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Decimal Value</t>
        </is>
      </c>
      <c r="B1" t="inlineStr">
        <is>
          <t>Python Roman Numeral</t>
        </is>
      </c>
      <c r="C1" t="inlineStr">
        <is>
          <t>Microsoft Excel Roman Func</t>
        </is>
      </c>
      <c r="D1" t="inlineStr">
        <is>
          <t>Test if Equal</t>
        </is>
      </c>
    </row>
    <row r="2">
      <c r="A2" t="n">
        <v>1</v>
      </c>
      <c r="B2" t="inlineStr">
        <is>
          <t>I</t>
        </is>
      </c>
      <c r="C2">
        <f>ROMAN(1)</f>
        <v/>
      </c>
      <c r="D2">
        <f>IF(B2=C2, "YES", "WRONG")</f>
        <v/>
      </c>
    </row>
    <row r="3">
      <c r="A3" t="n">
        <v>2</v>
      </c>
      <c r="B3" t="inlineStr">
        <is>
          <t>II</t>
        </is>
      </c>
      <c r="C3">
        <f>ROMAN(2)</f>
        <v/>
      </c>
      <c r="D3">
        <f>IF(B3=C3, "YES", "WRONG")</f>
        <v/>
      </c>
    </row>
    <row r="4">
      <c r="A4" t="n">
        <v>3</v>
      </c>
      <c r="B4" t="inlineStr">
        <is>
          <t>III</t>
        </is>
      </c>
      <c r="C4">
        <f>ROMAN(3)</f>
        <v/>
      </c>
      <c r="D4">
        <f>IF(B4=C4, "YES", "WRONG")</f>
        <v/>
      </c>
    </row>
    <row r="5">
      <c r="A5" t="n">
        <v>4</v>
      </c>
      <c r="B5" t="inlineStr">
        <is>
          <t>IV</t>
        </is>
      </c>
      <c r="C5">
        <f>ROMAN(4)</f>
        <v/>
      </c>
      <c r="D5">
        <f>IF(B5=C5, "YES", "WRONG")</f>
        <v/>
      </c>
    </row>
    <row r="6">
      <c r="A6" t="n">
        <v>5</v>
      </c>
      <c r="B6" t="inlineStr">
        <is>
          <t>V</t>
        </is>
      </c>
      <c r="C6">
        <f>ROMAN(5)</f>
        <v/>
      </c>
      <c r="D6">
        <f>IF(B6=C6, "YES", "WRONG")</f>
        <v/>
      </c>
    </row>
    <row r="7">
      <c r="A7" t="n">
        <v>6</v>
      </c>
      <c r="B7" t="inlineStr">
        <is>
          <t>VI</t>
        </is>
      </c>
      <c r="C7">
        <f>ROMAN(6)</f>
        <v/>
      </c>
      <c r="D7">
        <f>IF(B7=C7, "YES", "WRONG")</f>
        <v/>
      </c>
    </row>
    <row r="8">
      <c r="A8" t="n">
        <v>7</v>
      </c>
      <c r="B8" t="inlineStr">
        <is>
          <t>VII</t>
        </is>
      </c>
      <c r="C8">
        <f>ROMAN(7)</f>
        <v/>
      </c>
      <c r="D8">
        <f>IF(B8=C8, "YES", "WRONG")</f>
        <v/>
      </c>
    </row>
    <row r="9">
      <c r="A9" t="n">
        <v>8</v>
      </c>
      <c r="B9" t="inlineStr">
        <is>
          <t>VIII</t>
        </is>
      </c>
      <c r="C9">
        <f>ROMAN(8)</f>
        <v/>
      </c>
      <c r="D9">
        <f>IF(B9=C9, "YES", "WRONG")</f>
        <v/>
      </c>
    </row>
    <row r="10">
      <c r="A10" t="n">
        <v>9</v>
      </c>
      <c r="B10" t="inlineStr">
        <is>
          <t>IX</t>
        </is>
      </c>
      <c r="C10">
        <f>ROMAN(9)</f>
        <v/>
      </c>
      <c r="D10">
        <f>IF(B10=C10, "YES", "WRONG")</f>
        <v/>
      </c>
    </row>
    <row r="11">
      <c r="A11" t="n">
        <v>10</v>
      </c>
      <c r="B11" t="inlineStr">
        <is>
          <t>X</t>
        </is>
      </c>
      <c r="C11">
        <f>ROMAN(10)</f>
        <v/>
      </c>
      <c r="D11">
        <f>IF(B11=C11, "YES", "WRONG")</f>
        <v/>
      </c>
    </row>
    <row r="12">
      <c r="A12" t="n">
        <v>11</v>
      </c>
      <c r="B12" t="inlineStr">
        <is>
          <t>XI</t>
        </is>
      </c>
      <c r="C12">
        <f>ROMAN(11)</f>
        <v/>
      </c>
      <c r="D12">
        <f>IF(B12=C12, "YES", "WRONG")</f>
        <v/>
      </c>
    </row>
    <row r="13">
      <c r="A13" t="n">
        <v>12</v>
      </c>
      <c r="B13" t="inlineStr">
        <is>
          <t>XII</t>
        </is>
      </c>
      <c r="C13">
        <f>ROMAN(12)</f>
        <v/>
      </c>
      <c r="D13">
        <f>IF(B13=C13, "YES", "WRONG")</f>
        <v/>
      </c>
    </row>
    <row r="14">
      <c r="A14" t="n">
        <v>13</v>
      </c>
      <c r="B14" t="inlineStr">
        <is>
          <t>XIII</t>
        </is>
      </c>
      <c r="C14">
        <f>ROMAN(13)</f>
        <v/>
      </c>
      <c r="D14">
        <f>IF(B14=C14, "YES", "WRONG")</f>
        <v/>
      </c>
    </row>
    <row r="15">
      <c r="A15" t="n">
        <v>14</v>
      </c>
      <c r="B15" t="inlineStr">
        <is>
          <t>XIV</t>
        </is>
      </c>
      <c r="C15">
        <f>ROMAN(14)</f>
        <v/>
      </c>
      <c r="D15">
        <f>IF(B15=C15, "YES", "WRONG")</f>
        <v/>
      </c>
    </row>
    <row r="16">
      <c r="A16" t="n">
        <v>15</v>
      </c>
      <c r="B16" t="inlineStr">
        <is>
          <t>XV</t>
        </is>
      </c>
      <c r="C16">
        <f>ROMAN(15)</f>
        <v/>
      </c>
      <c r="D16">
        <f>IF(B16=C16, "YES", "WRONG")</f>
        <v/>
      </c>
    </row>
    <row r="17">
      <c r="A17" t="n">
        <v>16</v>
      </c>
      <c r="B17" t="inlineStr">
        <is>
          <t>XVI</t>
        </is>
      </c>
      <c r="C17">
        <f>ROMAN(16)</f>
        <v/>
      </c>
      <c r="D17">
        <f>IF(B17=C17, "YES", "WRONG")</f>
        <v/>
      </c>
    </row>
    <row r="18">
      <c r="A18" t="n">
        <v>17</v>
      </c>
      <c r="B18" t="inlineStr">
        <is>
          <t>XVII</t>
        </is>
      </c>
      <c r="C18">
        <f>ROMAN(17)</f>
        <v/>
      </c>
      <c r="D18">
        <f>IF(B18=C18, "YES", "WRONG")</f>
        <v/>
      </c>
    </row>
    <row r="19">
      <c r="A19" t="n">
        <v>18</v>
      </c>
      <c r="B19" t="inlineStr">
        <is>
          <t>XVIII</t>
        </is>
      </c>
      <c r="C19">
        <f>ROMAN(18)</f>
        <v/>
      </c>
      <c r="D19">
        <f>IF(B19=C19, "YES", "WRONG")</f>
        <v/>
      </c>
    </row>
    <row r="20">
      <c r="A20" t="n">
        <v>19</v>
      </c>
      <c r="B20" t="inlineStr">
        <is>
          <t>XIX</t>
        </is>
      </c>
      <c r="C20">
        <f>ROMAN(19)</f>
        <v/>
      </c>
      <c r="D20">
        <f>IF(B20=C20, "YES", "WRONG")</f>
        <v/>
      </c>
    </row>
    <row r="21">
      <c r="A21" t="n">
        <v>20</v>
      </c>
      <c r="B21" t="inlineStr">
        <is>
          <t>XX</t>
        </is>
      </c>
      <c r="C21">
        <f>ROMAN(20)</f>
        <v/>
      </c>
      <c r="D21">
        <f>IF(B21=C21, "YES", "WRONG")</f>
        <v/>
      </c>
    </row>
    <row r="22">
      <c r="A22" t="n">
        <v>21</v>
      </c>
      <c r="B22" t="inlineStr">
        <is>
          <t>XXI</t>
        </is>
      </c>
      <c r="C22">
        <f>ROMAN(21)</f>
        <v/>
      </c>
      <c r="D22">
        <f>IF(B22=C22, "YES", "WRONG")</f>
        <v/>
      </c>
    </row>
    <row r="23">
      <c r="A23" t="n">
        <v>22</v>
      </c>
      <c r="B23" t="inlineStr">
        <is>
          <t>XXII</t>
        </is>
      </c>
      <c r="C23">
        <f>ROMAN(22)</f>
        <v/>
      </c>
      <c r="D23">
        <f>IF(B23=C23, "YES", "WRONG")</f>
        <v/>
      </c>
    </row>
    <row r="24">
      <c r="A24" t="n">
        <v>23</v>
      </c>
      <c r="B24" t="inlineStr">
        <is>
          <t>XXIII</t>
        </is>
      </c>
      <c r="C24">
        <f>ROMAN(23)</f>
        <v/>
      </c>
      <c r="D24">
        <f>IF(B24=C24, "YES", "WRONG")</f>
        <v/>
      </c>
    </row>
    <row r="25">
      <c r="A25" t="n">
        <v>24</v>
      </c>
      <c r="B25" t="inlineStr">
        <is>
          <t>XXIV</t>
        </is>
      </c>
      <c r="C25">
        <f>ROMAN(24)</f>
        <v/>
      </c>
      <c r="D25">
        <f>IF(B25=C25, "YES", "WRONG")</f>
        <v/>
      </c>
    </row>
    <row r="26">
      <c r="A26" t="n">
        <v>25</v>
      </c>
      <c r="B26" t="inlineStr">
        <is>
          <t>XXV</t>
        </is>
      </c>
      <c r="C26">
        <f>ROMAN(25)</f>
        <v/>
      </c>
      <c r="D26">
        <f>IF(B26=C26, "YES", "WRONG")</f>
        <v/>
      </c>
    </row>
    <row r="27">
      <c r="A27" t="n">
        <v>26</v>
      </c>
      <c r="B27" t="inlineStr">
        <is>
          <t>XXVI</t>
        </is>
      </c>
      <c r="C27">
        <f>ROMAN(26)</f>
        <v/>
      </c>
      <c r="D27">
        <f>IF(B27=C27, "YES", "WRONG")</f>
        <v/>
      </c>
    </row>
    <row r="28">
      <c r="A28" t="n">
        <v>27</v>
      </c>
      <c r="B28" t="inlineStr">
        <is>
          <t>XXVII</t>
        </is>
      </c>
      <c r="C28">
        <f>ROMAN(27)</f>
        <v/>
      </c>
      <c r="D28">
        <f>IF(B28=C28, "YES", "WRONG")</f>
        <v/>
      </c>
    </row>
    <row r="29">
      <c r="A29" t="n">
        <v>28</v>
      </c>
      <c r="B29" t="inlineStr">
        <is>
          <t>XXVIII</t>
        </is>
      </c>
      <c r="C29">
        <f>ROMAN(28)</f>
        <v/>
      </c>
      <c r="D29">
        <f>IF(B29=C29, "YES", "WRONG")</f>
        <v/>
      </c>
    </row>
    <row r="30">
      <c r="A30" t="n">
        <v>29</v>
      </c>
      <c r="B30" t="inlineStr">
        <is>
          <t>XXIX</t>
        </is>
      </c>
      <c r="C30">
        <f>ROMAN(29)</f>
        <v/>
      </c>
      <c r="D30">
        <f>IF(B30=C30, "YES", "WRONG")</f>
        <v/>
      </c>
    </row>
    <row r="31">
      <c r="A31" t="n">
        <v>30</v>
      </c>
      <c r="B31" t="inlineStr">
        <is>
          <t>XXX</t>
        </is>
      </c>
      <c r="C31">
        <f>ROMAN(30)</f>
        <v/>
      </c>
      <c r="D31">
        <f>IF(B31=C31, "YES", "WRONG")</f>
        <v/>
      </c>
    </row>
    <row r="32">
      <c r="A32" t="n">
        <v>31</v>
      </c>
      <c r="B32" t="inlineStr">
        <is>
          <t>XXXI</t>
        </is>
      </c>
      <c r="C32">
        <f>ROMAN(31)</f>
        <v/>
      </c>
      <c r="D32">
        <f>IF(B32=C32, "YES", "WRONG")</f>
        <v/>
      </c>
    </row>
    <row r="33">
      <c r="A33" t="n">
        <v>32</v>
      </c>
      <c r="B33" t="inlineStr">
        <is>
          <t>XXXII</t>
        </is>
      </c>
      <c r="C33">
        <f>ROMAN(32)</f>
        <v/>
      </c>
      <c r="D33">
        <f>IF(B33=C33, "YES", "WRONG")</f>
        <v/>
      </c>
    </row>
    <row r="34">
      <c r="A34" t="n">
        <v>33</v>
      </c>
      <c r="B34" t="inlineStr">
        <is>
          <t>XXXIII</t>
        </is>
      </c>
      <c r="C34">
        <f>ROMAN(33)</f>
        <v/>
      </c>
      <c r="D34">
        <f>IF(B34=C34, "YES", "WRONG")</f>
        <v/>
      </c>
    </row>
    <row r="35">
      <c r="A35" t="n">
        <v>34</v>
      </c>
      <c r="B35" t="inlineStr">
        <is>
          <t>XXXIV</t>
        </is>
      </c>
      <c r="C35">
        <f>ROMAN(34)</f>
        <v/>
      </c>
      <c r="D35">
        <f>IF(B35=C35, "YES", "WRONG")</f>
        <v/>
      </c>
    </row>
    <row r="36">
      <c r="A36" t="n">
        <v>35</v>
      </c>
      <c r="B36" t="inlineStr">
        <is>
          <t>XXXV</t>
        </is>
      </c>
      <c r="C36">
        <f>ROMAN(35)</f>
        <v/>
      </c>
      <c r="D36">
        <f>IF(B36=C36, "YES", "WRONG")</f>
        <v/>
      </c>
    </row>
    <row r="37">
      <c r="A37" t="n">
        <v>36</v>
      </c>
      <c r="B37" t="inlineStr">
        <is>
          <t>XXXVI</t>
        </is>
      </c>
      <c r="C37">
        <f>ROMAN(36)</f>
        <v/>
      </c>
      <c r="D37">
        <f>IF(B37=C37, "YES", "WRONG")</f>
        <v/>
      </c>
    </row>
    <row r="38">
      <c r="A38" t="n">
        <v>37</v>
      </c>
      <c r="B38" t="inlineStr">
        <is>
          <t>XXXVII</t>
        </is>
      </c>
      <c r="C38">
        <f>ROMAN(37)</f>
        <v/>
      </c>
      <c r="D38">
        <f>IF(B38=C38, "YES", "WRONG")</f>
        <v/>
      </c>
    </row>
    <row r="39">
      <c r="A39" t="n">
        <v>38</v>
      </c>
      <c r="B39" t="inlineStr">
        <is>
          <t>XXXVIII</t>
        </is>
      </c>
      <c r="C39">
        <f>ROMAN(38)</f>
        <v/>
      </c>
      <c r="D39">
        <f>IF(B39=C39, "YES", "WRONG")</f>
        <v/>
      </c>
    </row>
    <row r="40">
      <c r="A40" t="n">
        <v>39</v>
      </c>
      <c r="B40" t="inlineStr">
        <is>
          <t>XXXIX</t>
        </is>
      </c>
      <c r="C40">
        <f>ROMAN(39)</f>
        <v/>
      </c>
      <c r="D40">
        <f>IF(B40=C40, "YES", "WRONG")</f>
        <v/>
      </c>
    </row>
    <row r="41">
      <c r="A41" t="n">
        <v>40</v>
      </c>
      <c r="B41" t="inlineStr">
        <is>
          <t>XL</t>
        </is>
      </c>
      <c r="C41">
        <f>ROMAN(40)</f>
        <v/>
      </c>
      <c r="D41">
        <f>IF(B41=C41, "YES", "WRONG")</f>
        <v/>
      </c>
    </row>
    <row r="42">
      <c r="A42" t="n">
        <v>41</v>
      </c>
      <c r="B42" t="inlineStr">
        <is>
          <t>XLI</t>
        </is>
      </c>
      <c r="C42">
        <f>ROMAN(41)</f>
        <v/>
      </c>
      <c r="D42">
        <f>IF(B42=C42, "YES", "WRONG")</f>
        <v/>
      </c>
    </row>
    <row r="43">
      <c r="A43" t="n">
        <v>42</v>
      </c>
      <c r="B43" t="inlineStr">
        <is>
          <t>XLII</t>
        </is>
      </c>
      <c r="C43">
        <f>ROMAN(42)</f>
        <v/>
      </c>
      <c r="D43">
        <f>IF(B43=C43, "YES", "WRONG")</f>
        <v/>
      </c>
    </row>
    <row r="44">
      <c r="A44" t="n">
        <v>43</v>
      </c>
      <c r="B44" t="inlineStr">
        <is>
          <t>XLIII</t>
        </is>
      </c>
      <c r="C44">
        <f>ROMAN(43)</f>
        <v/>
      </c>
      <c r="D44">
        <f>IF(B44=C44, "YES", "WRONG")</f>
        <v/>
      </c>
    </row>
    <row r="45">
      <c r="A45" t="n">
        <v>44</v>
      </c>
      <c r="B45" t="inlineStr">
        <is>
          <t>XLIV</t>
        </is>
      </c>
      <c r="C45">
        <f>ROMAN(44)</f>
        <v/>
      </c>
      <c r="D45">
        <f>IF(B45=C45, "YES", "WRONG")</f>
        <v/>
      </c>
    </row>
    <row r="46">
      <c r="A46" t="n">
        <v>45</v>
      </c>
      <c r="B46" t="inlineStr">
        <is>
          <t>XLV</t>
        </is>
      </c>
      <c r="C46">
        <f>ROMAN(45)</f>
        <v/>
      </c>
      <c r="D46">
        <f>IF(B46=C46, "YES", "WRONG")</f>
        <v/>
      </c>
    </row>
    <row r="47">
      <c r="A47" t="n">
        <v>46</v>
      </c>
      <c r="B47" t="inlineStr">
        <is>
          <t>XLVI</t>
        </is>
      </c>
      <c r="C47">
        <f>ROMAN(46)</f>
        <v/>
      </c>
      <c r="D47">
        <f>IF(B47=C47, "YES", "WRONG")</f>
        <v/>
      </c>
    </row>
    <row r="48">
      <c r="A48" t="n">
        <v>47</v>
      </c>
      <c r="B48" t="inlineStr">
        <is>
          <t>XLVII</t>
        </is>
      </c>
      <c r="C48">
        <f>ROMAN(47)</f>
        <v/>
      </c>
      <c r="D48">
        <f>IF(B48=C48, "YES", "WRONG")</f>
        <v/>
      </c>
    </row>
    <row r="49">
      <c r="A49" t="n">
        <v>48</v>
      </c>
      <c r="B49" t="inlineStr">
        <is>
          <t>XLVIII</t>
        </is>
      </c>
      <c r="C49">
        <f>ROMAN(48)</f>
        <v/>
      </c>
      <c r="D49">
        <f>IF(B49=C49, "YES", "WRONG")</f>
        <v/>
      </c>
    </row>
    <row r="50">
      <c r="A50" t="n">
        <v>49</v>
      </c>
      <c r="B50" t="inlineStr">
        <is>
          <t>XLIX</t>
        </is>
      </c>
      <c r="C50">
        <f>ROMAN(49)</f>
        <v/>
      </c>
      <c r="D50">
        <f>IF(B50=C50, "YES", "WRONG")</f>
        <v/>
      </c>
    </row>
    <row r="51">
      <c r="A51" t="n">
        <v>50</v>
      </c>
      <c r="B51" t="inlineStr">
        <is>
          <t>L</t>
        </is>
      </c>
      <c r="C51">
        <f>ROMAN(50)</f>
        <v/>
      </c>
      <c r="D51">
        <f>IF(B51=C51, "YES", "WRONG")</f>
        <v/>
      </c>
    </row>
    <row r="52">
      <c r="A52" t="n">
        <v>51</v>
      </c>
      <c r="B52" t="inlineStr">
        <is>
          <t>LI</t>
        </is>
      </c>
      <c r="C52">
        <f>ROMAN(51)</f>
        <v/>
      </c>
      <c r="D52">
        <f>IF(B52=C52, "YES", "WRONG")</f>
        <v/>
      </c>
    </row>
    <row r="53">
      <c r="A53" t="n">
        <v>52</v>
      </c>
      <c r="B53" t="inlineStr">
        <is>
          <t>LII</t>
        </is>
      </c>
      <c r="C53">
        <f>ROMAN(52)</f>
        <v/>
      </c>
      <c r="D53">
        <f>IF(B53=C53, "YES", "WRONG")</f>
        <v/>
      </c>
    </row>
    <row r="54">
      <c r="A54" t="n">
        <v>53</v>
      </c>
      <c r="B54" t="inlineStr">
        <is>
          <t>LIII</t>
        </is>
      </c>
      <c r="C54">
        <f>ROMAN(53)</f>
        <v/>
      </c>
      <c r="D54">
        <f>IF(B54=C54, "YES", "WRONG")</f>
        <v/>
      </c>
    </row>
    <row r="55">
      <c r="A55" t="n">
        <v>54</v>
      </c>
      <c r="B55" t="inlineStr">
        <is>
          <t>LIV</t>
        </is>
      </c>
      <c r="C55">
        <f>ROMAN(54)</f>
        <v/>
      </c>
      <c r="D55">
        <f>IF(B55=C55, "YES", "WRONG")</f>
        <v/>
      </c>
    </row>
    <row r="56">
      <c r="A56" t="n">
        <v>55</v>
      </c>
      <c r="B56" t="inlineStr">
        <is>
          <t>LV</t>
        </is>
      </c>
      <c r="C56">
        <f>ROMAN(55)</f>
        <v/>
      </c>
      <c r="D56">
        <f>IF(B56=C56, "YES", "WRONG")</f>
        <v/>
      </c>
    </row>
    <row r="57">
      <c r="A57" t="n">
        <v>56</v>
      </c>
      <c r="B57" t="inlineStr">
        <is>
          <t>LVI</t>
        </is>
      </c>
      <c r="C57">
        <f>ROMAN(56)</f>
        <v/>
      </c>
      <c r="D57">
        <f>IF(B57=C57, "YES", "WRONG")</f>
        <v/>
      </c>
    </row>
    <row r="58">
      <c r="A58" t="n">
        <v>57</v>
      </c>
      <c r="B58" t="inlineStr">
        <is>
          <t>LVII</t>
        </is>
      </c>
      <c r="C58">
        <f>ROMAN(57)</f>
        <v/>
      </c>
      <c r="D58">
        <f>IF(B58=C58, "YES", "WRONG")</f>
        <v/>
      </c>
    </row>
    <row r="59">
      <c r="A59" t="n">
        <v>58</v>
      </c>
      <c r="B59" t="inlineStr">
        <is>
          <t>LVIII</t>
        </is>
      </c>
      <c r="C59">
        <f>ROMAN(58)</f>
        <v/>
      </c>
      <c r="D59">
        <f>IF(B59=C59, "YES", "WRONG")</f>
        <v/>
      </c>
    </row>
    <row r="60">
      <c r="A60" t="n">
        <v>59</v>
      </c>
      <c r="B60" t="inlineStr">
        <is>
          <t>LIX</t>
        </is>
      </c>
      <c r="C60">
        <f>ROMAN(59)</f>
        <v/>
      </c>
      <c r="D60">
        <f>IF(B60=C60, "YES", "WRONG")</f>
        <v/>
      </c>
    </row>
    <row r="61">
      <c r="A61" t="n">
        <v>60</v>
      </c>
      <c r="B61" t="inlineStr">
        <is>
          <t>LX</t>
        </is>
      </c>
      <c r="C61">
        <f>ROMAN(60)</f>
        <v/>
      </c>
      <c r="D61">
        <f>IF(B61=C61, "YES", "WRONG")</f>
        <v/>
      </c>
    </row>
    <row r="62">
      <c r="A62" t="n">
        <v>61</v>
      </c>
      <c r="B62" t="inlineStr">
        <is>
          <t>LXI</t>
        </is>
      </c>
      <c r="C62">
        <f>ROMAN(61)</f>
        <v/>
      </c>
      <c r="D62">
        <f>IF(B62=C62, "YES", "WRONG")</f>
        <v/>
      </c>
    </row>
    <row r="63">
      <c r="A63" t="n">
        <v>62</v>
      </c>
      <c r="B63" t="inlineStr">
        <is>
          <t>LXII</t>
        </is>
      </c>
      <c r="C63">
        <f>ROMAN(62)</f>
        <v/>
      </c>
      <c r="D63">
        <f>IF(B63=C63, "YES", "WRONG")</f>
        <v/>
      </c>
    </row>
    <row r="64">
      <c r="A64" t="n">
        <v>63</v>
      </c>
      <c r="B64" t="inlineStr">
        <is>
          <t>LXIII</t>
        </is>
      </c>
      <c r="C64">
        <f>ROMAN(63)</f>
        <v/>
      </c>
      <c r="D64">
        <f>IF(B64=C64, "YES", "WRONG")</f>
        <v/>
      </c>
    </row>
    <row r="65">
      <c r="A65" t="n">
        <v>64</v>
      </c>
      <c r="B65" t="inlineStr">
        <is>
          <t>LXIV</t>
        </is>
      </c>
      <c r="C65">
        <f>ROMAN(64)</f>
        <v/>
      </c>
      <c r="D65">
        <f>IF(B65=C65, "YES", "WRONG")</f>
        <v/>
      </c>
    </row>
    <row r="66">
      <c r="A66" t="n">
        <v>65</v>
      </c>
      <c r="B66" t="inlineStr">
        <is>
          <t>LXV</t>
        </is>
      </c>
      <c r="C66">
        <f>ROMAN(65)</f>
        <v/>
      </c>
      <c r="D66">
        <f>IF(B66=C66, "YES", "WRONG")</f>
        <v/>
      </c>
    </row>
    <row r="67">
      <c r="A67" t="n">
        <v>66</v>
      </c>
      <c r="B67" t="inlineStr">
        <is>
          <t>LXVI</t>
        </is>
      </c>
      <c r="C67">
        <f>ROMAN(66)</f>
        <v/>
      </c>
      <c r="D67">
        <f>IF(B67=C67, "YES", "WRONG")</f>
        <v/>
      </c>
    </row>
    <row r="68">
      <c r="A68" t="n">
        <v>67</v>
      </c>
      <c r="B68" t="inlineStr">
        <is>
          <t>LXVII</t>
        </is>
      </c>
      <c r="C68">
        <f>ROMAN(67)</f>
        <v/>
      </c>
      <c r="D68">
        <f>IF(B68=C68, "YES", "WRONG")</f>
        <v/>
      </c>
    </row>
    <row r="69">
      <c r="A69" t="n">
        <v>68</v>
      </c>
      <c r="B69" t="inlineStr">
        <is>
          <t>LXVIII</t>
        </is>
      </c>
      <c r="C69">
        <f>ROMAN(68)</f>
        <v/>
      </c>
      <c r="D69">
        <f>IF(B69=C69, "YES", "WRONG")</f>
        <v/>
      </c>
    </row>
    <row r="70">
      <c r="A70" t="n">
        <v>69</v>
      </c>
      <c r="B70" t="inlineStr">
        <is>
          <t>LXIX</t>
        </is>
      </c>
      <c r="C70">
        <f>ROMAN(69)</f>
        <v/>
      </c>
      <c r="D70">
        <f>IF(B70=C70, "YES", "WRONG")</f>
        <v/>
      </c>
    </row>
    <row r="71">
      <c r="A71" t="n">
        <v>70</v>
      </c>
      <c r="B71" t="inlineStr">
        <is>
          <t>LXX</t>
        </is>
      </c>
      <c r="C71">
        <f>ROMAN(70)</f>
        <v/>
      </c>
      <c r="D71">
        <f>IF(B71=C71, "YES", "WRONG")</f>
        <v/>
      </c>
    </row>
    <row r="72">
      <c r="A72" t="n">
        <v>71</v>
      </c>
      <c r="B72" t="inlineStr">
        <is>
          <t>LXXI</t>
        </is>
      </c>
      <c r="C72">
        <f>ROMAN(71)</f>
        <v/>
      </c>
      <c r="D72">
        <f>IF(B72=C72, "YES", "WRONG")</f>
        <v/>
      </c>
    </row>
    <row r="73">
      <c r="A73" t="n">
        <v>72</v>
      </c>
      <c r="B73" t="inlineStr">
        <is>
          <t>LXXII</t>
        </is>
      </c>
      <c r="C73">
        <f>ROMAN(72)</f>
        <v/>
      </c>
      <c r="D73">
        <f>IF(B73=C73, "YES", "WRONG")</f>
        <v/>
      </c>
    </row>
    <row r="74">
      <c r="A74" t="n">
        <v>73</v>
      </c>
      <c r="B74" t="inlineStr">
        <is>
          <t>LXXIII</t>
        </is>
      </c>
      <c r="C74">
        <f>ROMAN(73)</f>
        <v/>
      </c>
      <c r="D74">
        <f>IF(B74=C74, "YES", "WRONG")</f>
        <v/>
      </c>
    </row>
    <row r="75">
      <c r="A75" t="n">
        <v>74</v>
      </c>
      <c r="B75" t="inlineStr">
        <is>
          <t>LXXIV</t>
        </is>
      </c>
      <c r="C75">
        <f>ROMAN(74)</f>
        <v/>
      </c>
      <c r="D75">
        <f>IF(B75=C75, "YES", "WRONG")</f>
        <v/>
      </c>
    </row>
    <row r="76">
      <c r="A76" t="n">
        <v>75</v>
      </c>
      <c r="B76" t="inlineStr">
        <is>
          <t>LXXV</t>
        </is>
      </c>
      <c r="C76">
        <f>ROMAN(75)</f>
        <v/>
      </c>
      <c r="D76">
        <f>IF(B76=C76, "YES", "WRONG")</f>
        <v/>
      </c>
    </row>
    <row r="77">
      <c r="A77" t="n">
        <v>76</v>
      </c>
      <c r="B77" t="inlineStr">
        <is>
          <t>LXXVI</t>
        </is>
      </c>
      <c r="C77">
        <f>ROMAN(76)</f>
        <v/>
      </c>
      <c r="D77">
        <f>IF(B77=C77, "YES", "WRONG")</f>
        <v/>
      </c>
    </row>
    <row r="78">
      <c r="A78" t="n">
        <v>77</v>
      </c>
      <c r="B78" t="inlineStr">
        <is>
          <t>LXXVII</t>
        </is>
      </c>
      <c r="C78">
        <f>ROMAN(77)</f>
        <v/>
      </c>
      <c r="D78">
        <f>IF(B78=C78, "YES", "WRONG")</f>
        <v/>
      </c>
    </row>
    <row r="79">
      <c r="A79" t="n">
        <v>78</v>
      </c>
      <c r="B79" t="inlineStr">
        <is>
          <t>LXXVIII</t>
        </is>
      </c>
      <c r="C79">
        <f>ROMAN(78)</f>
        <v/>
      </c>
      <c r="D79">
        <f>IF(B79=C79, "YES", "WRONG")</f>
        <v/>
      </c>
    </row>
    <row r="80">
      <c r="A80" t="n">
        <v>79</v>
      </c>
      <c r="B80" t="inlineStr">
        <is>
          <t>LXXIX</t>
        </is>
      </c>
      <c r="C80">
        <f>ROMAN(79)</f>
        <v/>
      </c>
      <c r="D80">
        <f>IF(B80=C80, "YES", "WRONG")</f>
        <v/>
      </c>
    </row>
    <row r="81">
      <c r="A81" t="n">
        <v>80</v>
      </c>
      <c r="B81" t="inlineStr">
        <is>
          <t>LXXX</t>
        </is>
      </c>
      <c r="C81">
        <f>ROMAN(80)</f>
        <v/>
      </c>
      <c r="D81">
        <f>IF(B81=C81, "YES", "WRONG")</f>
        <v/>
      </c>
    </row>
    <row r="82">
      <c r="A82" t="n">
        <v>81</v>
      </c>
      <c r="B82" t="inlineStr">
        <is>
          <t>LXXXI</t>
        </is>
      </c>
      <c r="C82">
        <f>ROMAN(81)</f>
        <v/>
      </c>
      <c r="D82">
        <f>IF(B82=C82, "YES", "WRONG")</f>
        <v/>
      </c>
    </row>
    <row r="83">
      <c r="A83" t="n">
        <v>82</v>
      </c>
      <c r="B83" t="inlineStr">
        <is>
          <t>LXXXII</t>
        </is>
      </c>
      <c r="C83">
        <f>ROMAN(82)</f>
        <v/>
      </c>
      <c r="D83">
        <f>IF(B83=C83, "YES", "WRONG")</f>
        <v/>
      </c>
    </row>
    <row r="84">
      <c r="A84" t="n">
        <v>83</v>
      </c>
      <c r="B84" t="inlineStr">
        <is>
          <t>LXXXIII</t>
        </is>
      </c>
      <c r="C84">
        <f>ROMAN(83)</f>
        <v/>
      </c>
      <c r="D84">
        <f>IF(B84=C84, "YES", "WRONG")</f>
        <v/>
      </c>
    </row>
    <row r="85">
      <c r="A85" t="n">
        <v>84</v>
      </c>
      <c r="B85" t="inlineStr">
        <is>
          <t>LXXXIV</t>
        </is>
      </c>
      <c r="C85">
        <f>ROMAN(84)</f>
        <v/>
      </c>
      <c r="D85">
        <f>IF(B85=C85, "YES", "WRONG")</f>
        <v/>
      </c>
    </row>
    <row r="86">
      <c r="A86" t="n">
        <v>85</v>
      </c>
      <c r="B86" t="inlineStr">
        <is>
          <t>LXXXV</t>
        </is>
      </c>
      <c r="C86">
        <f>ROMAN(85)</f>
        <v/>
      </c>
      <c r="D86">
        <f>IF(B86=C86, "YES", "WRONG")</f>
        <v/>
      </c>
    </row>
    <row r="87">
      <c r="A87" t="n">
        <v>86</v>
      </c>
      <c r="B87" t="inlineStr">
        <is>
          <t>LXXXVI</t>
        </is>
      </c>
      <c r="C87">
        <f>ROMAN(86)</f>
        <v/>
      </c>
      <c r="D87">
        <f>IF(B87=C87, "YES", "WRONG")</f>
        <v/>
      </c>
    </row>
    <row r="88">
      <c r="A88" t="n">
        <v>87</v>
      </c>
      <c r="B88" t="inlineStr">
        <is>
          <t>LXXXVII</t>
        </is>
      </c>
      <c r="C88">
        <f>ROMAN(87)</f>
        <v/>
      </c>
      <c r="D88">
        <f>IF(B88=C88, "YES", "WRONG")</f>
        <v/>
      </c>
    </row>
    <row r="89">
      <c r="A89" t="n">
        <v>88</v>
      </c>
      <c r="B89" t="inlineStr">
        <is>
          <t>LXXXVIII</t>
        </is>
      </c>
      <c r="C89">
        <f>ROMAN(88)</f>
        <v/>
      </c>
      <c r="D89">
        <f>IF(B89=C89, "YES", "WRONG")</f>
        <v/>
      </c>
    </row>
    <row r="90">
      <c r="A90" t="n">
        <v>89</v>
      </c>
      <c r="B90" t="inlineStr">
        <is>
          <t>LXXXIX</t>
        </is>
      </c>
      <c r="C90">
        <f>ROMAN(89)</f>
        <v/>
      </c>
      <c r="D90">
        <f>IF(B90=C90, "YES", "WRONG")</f>
        <v/>
      </c>
    </row>
    <row r="91">
      <c r="A91" t="n">
        <v>90</v>
      </c>
      <c r="B91" t="inlineStr">
        <is>
          <t>XC</t>
        </is>
      </c>
      <c r="C91">
        <f>ROMAN(90)</f>
        <v/>
      </c>
      <c r="D91">
        <f>IF(B91=C91, "YES", "WRONG")</f>
        <v/>
      </c>
    </row>
    <row r="92">
      <c r="A92" t="n">
        <v>91</v>
      </c>
      <c r="B92" t="inlineStr">
        <is>
          <t>XCI</t>
        </is>
      </c>
      <c r="C92">
        <f>ROMAN(91)</f>
        <v/>
      </c>
      <c r="D92">
        <f>IF(B92=C92, "YES", "WRONG")</f>
        <v/>
      </c>
    </row>
    <row r="93">
      <c r="A93" t="n">
        <v>92</v>
      </c>
      <c r="B93" t="inlineStr">
        <is>
          <t>XCII</t>
        </is>
      </c>
      <c r="C93">
        <f>ROMAN(92)</f>
        <v/>
      </c>
      <c r="D93">
        <f>IF(B93=C93, "YES", "WRONG")</f>
        <v/>
      </c>
    </row>
    <row r="94">
      <c r="A94" t="n">
        <v>93</v>
      </c>
      <c r="B94" t="inlineStr">
        <is>
          <t>XCIII</t>
        </is>
      </c>
      <c r="C94">
        <f>ROMAN(93)</f>
        <v/>
      </c>
      <c r="D94">
        <f>IF(B94=C94, "YES", "WRONG")</f>
        <v/>
      </c>
    </row>
    <row r="95">
      <c r="A95" t="n">
        <v>94</v>
      </c>
      <c r="B95" t="inlineStr">
        <is>
          <t>XCIV</t>
        </is>
      </c>
      <c r="C95">
        <f>ROMAN(94)</f>
        <v/>
      </c>
      <c r="D95">
        <f>IF(B95=C95, "YES", "WRONG")</f>
        <v/>
      </c>
    </row>
    <row r="96">
      <c r="A96" t="n">
        <v>95</v>
      </c>
      <c r="B96" t="inlineStr">
        <is>
          <t>XCV</t>
        </is>
      </c>
      <c r="C96">
        <f>ROMAN(95)</f>
        <v/>
      </c>
      <c r="D96">
        <f>IF(B96=C96, "YES", "WRONG")</f>
        <v/>
      </c>
    </row>
    <row r="97">
      <c r="A97" t="n">
        <v>96</v>
      </c>
      <c r="B97" t="inlineStr">
        <is>
          <t>XCVI</t>
        </is>
      </c>
      <c r="C97">
        <f>ROMAN(96)</f>
        <v/>
      </c>
      <c r="D97">
        <f>IF(B97=C97, "YES", "WRONG")</f>
        <v/>
      </c>
    </row>
    <row r="98">
      <c r="A98" t="n">
        <v>97</v>
      </c>
      <c r="B98" t="inlineStr">
        <is>
          <t>XCVII</t>
        </is>
      </c>
      <c r="C98">
        <f>ROMAN(97)</f>
        <v/>
      </c>
      <c r="D98">
        <f>IF(B98=C98, "YES", "WRONG")</f>
        <v/>
      </c>
    </row>
    <row r="99">
      <c r="A99" t="n">
        <v>98</v>
      </c>
      <c r="B99" t="inlineStr">
        <is>
          <t>XCVIII</t>
        </is>
      </c>
      <c r="C99">
        <f>ROMAN(98)</f>
        <v/>
      </c>
      <c r="D99">
        <f>IF(B99=C99, "YES", "WRONG")</f>
        <v/>
      </c>
    </row>
    <row r="100">
      <c r="A100" t="n">
        <v>99</v>
      </c>
      <c r="B100" t="inlineStr">
        <is>
          <t>XCIX</t>
        </is>
      </c>
      <c r="C100">
        <f>ROMAN(99)</f>
        <v/>
      </c>
      <c r="D100">
        <f>IF(B100=C100, "YES", "WRONG")</f>
        <v/>
      </c>
    </row>
    <row r="101">
      <c r="A101" t="n">
        <v>100</v>
      </c>
      <c r="B101" t="inlineStr">
        <is>
          <t>C</t>
        </is>
      </c>
      <c r="C101">
        <f>ROMAN(100)</f>
        <v/>
      </c>
      <c r="D101">
        <f>IF(B101=C101, "YES", "WRONG")</f>
        <v/>
      </c>
    </row>
    <row r="102">
      <c r="A102" t="n">
        <v>101</v>
      </c>
      <c r="B102" t="inlineStr">
        <is>
          <t>CI</t>
        </is>
      </c>
      <c r="C102">
        <f>ROMAN(101)</f>
        <v/>
      </c>
      <c r="D102">
        <f>IF(B102=C102, "YES", "WRONG")</f>
        <v/>
      </c>
    </row>
    <row r="103">
      <c r="A103" t="n">
        <v>102</v>
      </c>
      <c r="B103" t="inlineStr">
        <is>
          <t>CII</t>
        </is>
      </c>
      <c r="C103">
        <f>ROMAN(102)</f>
        <v/>
      </c>
      <c r="D103">
        <f>IF(B103=C103, "YES", "WRONG")</f>
        <v/>
      </c>
    </row>
    <row r="104">
      <c r="A104" t="n">
        <v>103</v>
      </c>
      <c r="B104" t="inlineStr">
        <is>
          <t>CIII</t>
        </is>
      </c>
      <c r="C104">
        <f>ROMAN(103)</f>
        <v/>
      </c>
      <c r="D104">
        <f>IF(B104=C104, "YES", "WRONG")</f>
        <v/>
      </c>
    </row>
    <row r="105">
      <c r="A105" t="n">
        <v>104</v>
      </c>
      <c r="B105" t="inlineStr">
        <is>
          <t>CIV</t>
        </is>
      </c>
      <c r="C105">
        <f>ROMAN(104)</f>
        <v/>
      </c>
      <c r="D105">
        <f>IF(B105=C105, "YES", "WRONG")</f>
        <v/>
      </c>
    </row>
    <row r="106">
      <c r="A106" t="n">
        <v>105</v>
      </c>
      <c r="B106" t="inlineStr">
        <is>
          <t>CV</t>
        </is>
      </c>
      <c r="C106">
        <f>ROMAN(105)</f>
        <v/>
      </c>
      <c r="D106">
        <f>IF(B106=C106, "YES", "WRONG")</f>
        <v/>
      </c>
    </row>
    <row r="107">
      <c r="A107" t="n">
        <v>106</v>
      </c>
      <c r="B107" t="inlineStr">
        <is>
          <t>CVI</t>
        </is>
      </c>
      <c r="C107">
        <f>ROMAN(106)</f>
        <v/>
      </c>
      <c r="D107">
        <f>IF(B107=C107, "YES", "WRONG")</f>
        <v/>
      </c>
    </row>
    <row r="108">
      <c r="A108" t="n">
        <v>107</v>
      </c>
      <c r="B108" t="inlineStr">
        <is>
          <t>CVII</t>
        </is>
      </c>
      <c r="C108">
        <f>ROMAN(107)</f>
        <v/>
      </c>
      <c r="D108">
        <f>IF(B108=C108, "YES", "WRONG")</f>
        <v/>
      </c>
    </row>
    <row r="109">
      <c r="A109" t="n">
        <v>108</v>
      </c>
      <c r="B109" t="inlineStr">
        <is>
          <t>CVIII</t>
        </is>
      </c>
      <c r="C109">
        <f>ROMAN(108)</f>
        <v/>
      </c>
      <c r="D109">
        <f>IF(B109=C109, "YES", "WRONG")</f>
        <v/>
      </c>
    </row>
    <row r="110">
      <c r="A110" t="n">
        <v>109</v>
      </c>
      <c r="B110" t="inlineStr">
        <is>
          <t>CIX</t>
        </is>
      </c>
      <c r="C110">
        <f>ROMAN(109)</f>
        <v/>
      </c>
      <c r="D110">
        <f>IF(B110=C110, "YES", "WRONG")</f>
        <v/>
      </c>
    </row>
    <row r="111">
      <c r="A111" t="n">
        <v>110</v>
      </c>
      <c r="B111" t="inlineStr">
        <is>
          <t>CX</t>
        </is>
      </c>
      <c r="C111">
        <f>ROMAN(110)</f>
        <v/>
      </c>
      <c r="D111">
        <f>IF(B111=C111, "YES", "WRONG")</f>
        <v/>
      </c>
    </row>
    <row r="112">
      <c r="A112" t="n">
        <v>111</v>
      </c>
      <c r="B112" t="inlineStr">
        <is>
          <t>CXI</t>
        </is>
      </c>
      <c r="C112">
        <f>ROMAN(111)</f>
        <v/>
      </c>
      <c r="D112">
        <f>IF(B112=C112, "YES", "WRONG")</f>
        <v/>
      </c>
    </row>
    <row r="113">
      <c r="A113" t="n">
        <v>112</v>
      </c>
      <c r="B113" t="inlineStr">
        <is>
          <t>CXII</t>
        </is>
      </c>
      <c r="C113">
        <f>ROMAN(112)</f>
        <v/>
      </c>
      <c r="D113">
        <f>IF(B113=C113, "YES", "WRONG")</f>
        <v/>
      </c>
    </row>
    <row r="114">
      <c r="A114" t="n">
        <v>113</v>
      </c>
      <c r="B114" t="inlineStr">
        <is>
          <t>CXIII</t>
        </is>
      </c>
      <c r="C114">
        <f>ROMAN(113)</f>
        <v/>
      </c>
      <c r="D114">
        <f>IF(B114=C114, "YES", "WRONG")</f>
        <v/>
      </c>
    </row>
    <row r="115">
      <c r="A115" t="n">
        <v>114</v>
      </c>
      <c r="B115" t="inlineStr">
        <is>
          <t>CXIV</t>
        </is>
      </c>
      <c r="C115">
        <f>ROMAN(114)</f>
        <v/>
      </c>
      <c r="D115">
        <f>IF(B115=C115, "YES", "WRONG")</f>
        <v/>
      </c>
    </row>
    <row r="116">
      <c r="A116" t="n">
        <v>115</v>
      </c>
      <c r="B116" t="inlineStr">
        <is>
          <t>CXV</t>
        </is>
      </c>
      <c r="C116">
        <f>ROMAN(115)</f>
        <v/>
      </c>
      <c r="D116">
        <f>IF(B116=C116, "YES", "WRONG")</f>
        <v/>
      </c>
    </row>
    <row r="117">
      <c r="A117" t="n">
        <v>116</v>
      </c>
      <c r="B117" t="inlineStr">
        <is>
          <t>CXVI</t>
        </is>
      </c>
      <c r="C117">
        <f>ROMAN(116)</f>
        <v/>
      </c>
      <c r="D117">
        <f>IF(B117=C117, "YES", "WRONG")</f>
        <v/>
      </c>
    </row>
    <row r="118">
      <c r="A118" t="n">
        <v>117</v>
      </c>
      <c r="B118" t="inlineStr">
        <is>
          <t>CXVII</t>
        </is>
      </c>
      <c r="C118">
        <f>ROMAN(117)</f>
        <v/>
      </c>
      <c r="D118">
        <f>IF(B118=C118, "YES", "WRONG")</f>
        <v/>
      </c>
    </row>
    <row r="119">
      <c r="A119" t="n">
        <v>118</v>
      </c>
      <c r="B119" t="inlineStr">
        <is>
          <t>CXVIII</t>
        </is>
      </c>
      <c r="C119">
        <f>ROMAN(118)</f>
        <v/>
      </c>
      <c r="D119">
        <f>IF(B119=C119, "YES", "WRONG")</f>
        <v/>
      </c>
    </row>
    <row r="120">
      <c r="A120" t="n">
        <v>119</v>
      </c>
      <c r="B120" t="inlineStr">
        <is>
          <t>CXIX</t>
        </is>
      </c>
      <c r="C120">
        <f>ROMAN(119)</f>
        <v/>
      </c>
      <c r="D120">
        <f>IF(B120=C120, "YES", "WRONG")</f>
        <v/>
      </c>
    </row>
    <row r="121">
      <c r="A121" t="n">
        <v>120</v>
      </c>
      <c r="B121" t="inlineStr">
        <is>
          <t>CXX</t>
        </is>
      </c>
      <c r="C121">
        <f>ROMAN(120)</f>
        <v/>
      </c>
      <c r="D121">
        <f>IF(B121=C121, "YES", "WRONG")</f>
        <v/>
      </c>
    </row>
    <row r="122">
      <c r="A122" t="n">
        <v>121</v>
      </c>
      <c r="B122" t="inlineStr">
        <is>
          <t>CXXI</t>
        </is>
      </c>
      <c r="C122">
        <f>ROMAN(121)</f>
        <v/>
      </c>
      <c r="D122">
        <f>IF(B122=C122, "YES", "WRONG")</f>
        <v/>
      </c>
    </row>
    <row r="123">
      <c r="A123" t="n">
        <v>122</v>
      </c>
      <c r="B123" t="inlineStr">
        <is>
          <t>CXXII</t>
        </is>
      </c>
      <c r="C123">
        <f>ROMAN(122)</f>
        <v/>
      </c>
      <c r="D123">
        <f>IF(B123=C123, "YES", "WRONG")</f>
        <v/>
      </c>
    </row>
    <row r="124">
      <c r="A124" t="n">
        <v>123</v>
      </c>
      <c r="B124" t="inlineStr">
        <is>
          <t>CXXIII</t>
        </is>
      </c>
      <c r="C124">
        <f>ROMAN(123)</f>
        <v/>
      </c>
      <c r="D124">
        <f>IF(B124=C124, "YES", "WRONG")</f>
        <v/>
      </c>
    </row>
    <row r="125">
      <c r="A125" t="n">
        <v>124</v>
      </c>
      <c r="B125" t="inlineStr">
        <is>
          <t>CXXIV</t>
        </is>
      </c>
      <c r="C125">
        <f>ROMAN(124)</f>
        <v/>
      </c>
      <c r="D125">
        <f>IF(B125=C125, "YES", "WRONG")</f>
        <v/>
      </c>
    </row>
    <row r="126">
      <c r="A126" t="n">
        <v>125</v>
      </c>
      <c r="B126" t="inlineStr">
        <is>
          <t>CXXV</t>
        </is>
      </c>
      <c r="C126">
        <f>ROMAN(125)</f>
        <v/>
      </c>
      <c r="D126">
        <f>IF(B126=C126, "YES", "WRONG")</f>
        <v/>
      </c>
    </row>
    <row r="127">
      <c r="A127" t="n">
        <v>126</v>
      </c>
      <c r="B127" t="inlineStr">
        <is>
          <t>CXXVI</t>
        </is>
      </c>
      <c r="C127">
        <f>ROMAN(126)</f>
        <v/>
      </c>
      <c r="D127">
        <f>IF(B127=C127, "YES", "WRONG")</f>
        <v/>
      </c>
    </row>
    <row r="128">
      <c r="A128" t="n">
        <v>127</v>
      </c>
      <c r="B128" t="inlineStr">
        <is>
          <t>CXXVII</t>
        </is>
      </c>
      <c r="C128">
        <f>ROMAN(127)</f>
        <v/>
      </c>
      <c r="D128">
        <f>IF(B128=C128, "YES", "WRONG")</f>
        <v/>
      </c>
    </row>
    <row r="129">
      <c r="A129" t="n">
        <v>128</v>
      </c>
      <c r="B129" t="inlineStr">
        <is>
          <t>CXXVIII</t>
        </is>
      </c>
      <c r="C129">
        <f>ROMAN(128)</f>
        <v/>
      </c>
      <c r="D129">
        <f>IF(B129=C129, "YES", "WRONG")</f>
        <v/>
      </c>
    </row>
    <row r="130">
      <c r="A130" t="n">
        <v>129</v>
      </c>
      <c r="B130" t="inlineStr">
        <is>
          <t>CXXIX</t>
        </is>
      </c>
      <c r="C130">
        <f>ROMAN(129)</f>
        <v/>
      </c>
      <c r="D130">
        <f>IF(B130=C130, "YES", "WRONG")</f>
        <v/>
      </c>
    </row>
    <row r="131">
      <c r="A131" t="n">
        <v>130</v>
      </c>
      <c r="B131" t="inlineStr">
        <is>
          <t>CXXX</t>
        </is>
      </c>
      <c r="C131">
        <f>ROMAN(130)</f>
        <v/>
      </c>
      <c r="D131">
        <f>IF(B131=C131, "YES", "WRONG")</f>
        <v/>
      </c>
    </row>
    <row r="132">
      <c r="A132" t="n">
        <v>131</v>
      </c>
      <c r="B132" t="inlineStr">
        <is>
          <t>CXXXI</t>
        </is>
      </c>
      <c r="C132">
        <f>ROMAN(131)</f>
        <v/>
      </c>
      <c r="D132">
        <f>IF(B132=C132, "YES", "WRONG")</f>
        <v/>
      </c>
    </row>
    <row r="133">
      <c r="A133" t="n">
        <v>132</v>
      </c>
      <c r="B133" t="inlineStr">
        <is>
          <t>CXXXII</t>
        </is>
      </c>
      <c r="C133">
        <f>ROMAN(132)</f>
        <v/>
      </c>
      <c r="D133">
        <f>IF(B133=C133, "YES", "WRONG")</f>
        <v/>
      </c>
    </row>
    <row r="134">
      <c r="A134" t="n">
        <v>133</v>
      </c>
      <c r="B134" t="inlineStr">
        <is>
          <t>CXXXIII</t>
        </is>
      </c>
      <c r="C134">
        <f>ROMAN(133)</f>
        <v/>
      </c>
      <c r="D134">
        <f>IF(B134=C134, "YES", "WRONG")</f>
        <v/>
      </c>
    </row>
    <row r="135">
      <c r="A135" t="n">
        <v>134</v>
      </c>
      <c r="B135" t="inlineStr">
        <is>
          <t>CXXXIV</t>
        </is>
      </c>
      <c r="C135">
        <f>ROMAN(134)</f>
        <v/>
      </c>
      <c r="D135">
        <f>IF(B135=C135, "YES", "WRONG")</f>
        <v/>
      </c>
    </row>
    <row r="136">
      <c r="A136" t="n">
        <v>135</v>
      </c>
      <c r="B136" t="inlineStr">
        <is>
          <t>CXXXV</t>
        </is>
      </c>
      <c r="C136">
        <f>ROMAN(135)</f>
        <v/>
      </c>
      <c r="D136">
        <f>IF(B136=C136, "YES", "WRONG")</f>
        <v/>
      </c>
    </row>
    <row r="137">
      <c r="A137" t="n">
        <v>136</v>
      </c>
      <c r="B137" t="inlineStr">
        <is>
          <t>CXXXVI</t>
        </is>
      </c>
      <c r="C137">
        <f>ROMAN(136)</f>
        <v/>
      </c>
      <c r="D137">
        <f>IF(B137=C137, "YES", "WRONG")</f>
        <v/>
      </c>
    </row>
    <row r="138">
      <c r="A138" t="n">
        <v>137</v>
      </c>
      <c r="B138" t="inlineStr">
        <is>
          <t>CXXXVII</t>
        </is>
      </c>
      <c r="C138">
        <f>ROMAN(137)</f>
        <v/>
      </c>
      <c r="D138">
        <f>IF(B138=C138, "YES", "WRONG")</f>
        <v/>
      </c>
    </row>
    <row r="139">
      <c r="A139" t="n">
        <v>138</v>
      </c>
      <c r="B139" t="inlineStr">
        <is>
          <t>CXXXVIII</t>
        </is>
      </c>
      <c r="C139">
        <f>ROMAN(138)</f>
        <v/>
      </c>
      <c r="D139">
        <f>IF(B139=C139, "YES", "WRONG")</f>
        <v/>
      </c>
    </row>
    <row r="140">
      <c r="A140" t="n">
        <v>139</v>
      </c>
      <c r="B140" t="inlineStr">
        <is>
          <t>CXXXIX</t>
        </is>
      </c>
      <c r="C140">
        <f>ROMAN(139)</f>
        <v/>
      </c>
      <c r="D140">
        <f>IF(B140=C140, "YES", "WRONG")</f>
        <v/>
      </c>
    </row>
    <row r="141">
      <c r="A141" t="n">
        <v>140</v>
      </c>
      <c r="B141" t="inlineStr">
        <is>
          <t>CXL</t>
        </is>
      </c>
      <c r="C141">
        <f>ROMAN(140)</f>
        <v/>
      </c>
      <c r="D141">
        <f>IF(B141=C141, "YES", "WRONG")</f>
        <v/>
      </c>
    </row>
    <row r="142">
      <c r="A142" t="n">
        <v>141</v>
      </c>
      <c r="B142" t="inlineStr">
        <is>
          <t>CXLI</t>
        </is>
      </c>
      <c r="C142">
        <f>ROMAN(141)</f>
        <v/>
      </c>
      <c r="D142">
        <f>IF(B142=C142, "YES", "WRONG")</f>
        <v/>
      </c>
    </row>
    <row r="143">
      <c r="A143" t="n">
        <v>142</v>
      </c>
      <c r="B143" t="inlineStr">
        <is>
          <t>CXLII</t>
        </is>
      </c>
      <c r="C143">
        <f>ROMAN(142)</f>
        <v/>
      </c>
      <c r="D143">
        <f>IF(B143=C143, "YES", "WRONG")</f>
        <v/>
      </c>
    </row>
    <row r="144">
      <c r="A144" t="n">
        <v>143</v>
      </c>
      <c r="B144" t="inlineStr">
        <is>
          <t>CXLIII</t>
        </is>
      </c>
      <c r="C144">
        <f>ROMAN(143)</f>
        <v/>
      </c>
      <c r="D144">
        <f>IF(B144=C144, "YES", "WRONG")</f>
        <v/>
      </c>
    </row>
    <row r="145">
      <c r="A145" t="n">
        <v>144</v>
      </c>
      <c r="B145" t="inlineStr">
        <is>
          <t>CXLIV</t>
        </is>
      </c>
      <c r="C145">
        <f>ROMAN(144)</f>
        <v/>
      </c>
      <c r="D145">
        <f>IF(B145=C145, "YES", "WRONG")</f>
        <v/>
      </c>
    </row>
    <row r="146">
      <c r="A146" t="n">
        <v>145</v>
      </c>
      <c r="B146" t="inlineStr">
        <is>
          <t>CXLV</t>
        </is>
      </c>
      <c r="C146">
        <f>ROMAN(145)</f>
        <v/>
      </c>
      <c r="D146">
        <f>IF(B146=C146, "YES", "WRONG")</f>
        <v/>
      </c>
    </row>
    <row r="147">
      <c r="A147" t="n">
        <v>146</v>
      </c>
      <c r="B147" t="inlineStr">
        <is>
          <t>CXLVI</t>
        </is>
      </c>
      <c r="C147">
        <f>ROMAN(146)</f>
        <v/>
      </c>
      <c r="D147">
        <f>IF(B147=C147, "YES", "WRONG")</f>
        <v/>
      </c>
    </row>
    <row r="148">
      <c r="A148" t="n">
        <v>147</v>
      </c>
      <c r="B148" t="inlineStr">
        <is>
          <t>CXLVII</t>
        </is>
      </c>
      <c r="C148">
        <f>ROMAN(147)</f>
        <v/>
      </c>
      <c r="D148">
        <f>IF(B148=C148, "YES", "WRONG")</f>
        <v/>
      </c>
    </row>
    <row r="149">
      <c r="A149" t="n">
        <v>148</v>
      </c>
      <c r="B149" t="inlineStr">
        <is>
          <t>CXLVIII</t>
        </is>
      </c>
      <c r="C149">
        <f>ROMAN(148)</f>
        <v/>
      </c>
      <c r="D149">
        <f>IF(B149=C149, "YES", "WRONG")</f>
        <v/>
      </c>
    </row>
    <row r="150">
      <c r="A150" t="n">
        <v>149</v>
      </c>
      <c r="B150" t="inlineStr">
        <is>
          <t>CXLIX</t>
        </is>
      </c>
      <c r="C150">
        <f>ROMAN(149)</f>
        <v/>
      </c>
      <c r="D150">
        <f>IF(B150=C150, "YES", "WRONG")</f>
        <v/>
      </c>
    </row>
    <row r="151">
      <c r="A151" t="n">
        <v>150</v>
      </c>
      <c r="B151" t="inlineStr">
        <is>
          <t>CL</t>
        </is>
      </c>
      <c r="C151">
        <f>ROMAN(150)</f>
        <v/>
      </c>
      <c r="D151">
        <f>IF(B151=C151, "YES", "WRONG")</f>
        <v/>
      </c>
    </row>
    <row r="152">
      <c r="A152" t="n">
        <v>151</v>
      </c>
      <c r="B152" t="inlineStr">
        <is>
          <t>CLI</t>
        </is>
      </c>
      <c r="C152">
        <f>ROMAN(151)</f>
        <v/>
      </c>
      <c r="D152">
        <f>IF(B152=C152, "YES", "WRONG")</f>
        <v/>
      </c>
    </row>
    <row r="153">
      <c r="A153" t="n">
        <v>152</v>
      </c>
      <c r="B153" t="inlineStr">
        <is>
          <t>CLII</t>
        </is>
      </c>
      <c r="C153">
        <f>ROMAN(152)</f>
        <v/>
      </c>
      <c r="D153">
        <f>IF(B153=C153, "YES", "WRONG")</f>
        <v/>
      </c>
    </row>
    <row r="154">
      <c r="A154" t="n">
        <v>153</v>
      </c>
      <c r="B154" t="inlineStr">
        <is>
          <t>CLIII</t>
        </is>
      </c>
      <c r="C154">
        <f>ROMAN(153)</f>
        <v/>
      </c>
      <c r="D154">
        <f>IF(B154=C154, "YES", "WRONG")</f>
        <v/>
      </c>
    </row>
    <row r="155">
      <c r="A155" t="n">
        <v>154</v>
      </c>
      <c r="B155" t="inlineStr">
        <is>
          <t>CLIV</t>
        </is>
      </c>
      <c r="C155">
        <f>ROMAN(154)</f>
        <v/>
      </c>
      <c r="D155">
        <f>IF(B155=C155, "YES", "WRONG")</f>
        <v/>
      </c>
    </row>
    <row r="156">
      <c r="A156" t="n">
        <v>155</v>
      </c>
      <c r="B156" t="inlineStr">
        <is>
          <t>CLV</t>
        </is>
      </c>
      <c r="C156">
        <f>ROMAN(155)</f>
        <v/>
      </c>
      <c r="D156">
        <f>IF(B156=C156, "YES", "WRONG")</f>
        <v/>
      </c>
    </row>
    <row r="157">
      <c r="A157" t="n">
        <v>156</v>
      </c>
      <c r="B157" t="inlineStr">
        <is>
          <t>CLVI</t>
        </is>
      </c>
      <c r="C157">
        <f>ROMAN(156)</f>
        <v/>
      </c>
      <c r="D157">
        <f>IF(B157=C157, "YES", "WRONG")</f>
        <v/>
      </c>
    </row>
    <row r="158">
      <c r="A158" t="n">
        <v>157</v>
      </c>
      <c r="B158" t="inlineStr">
        <is>
          <t>CLVII</t>
        </is>
      </c>
      <c r="C158">
        <f>ROMAN(157)</f>
        <v/>
      </c>
      <c r="D158">
        <f>IF(B158=C158, "YES", "WRONG")</f>
        <v/>
      </c>
    </row>
    <row r="159">
      <c r="A159" t="n">
        <v>158</v>
      </c>
      <c r="B159" t="inlineStr">
        <is>
          <t>CLVIII</t>
        </is>
      </c>
      <c r="C159">
        <f>ROMAN(158)</f>
        <v/>
      </c>
      <c r="D159">
        <f>IF(B159=C159, "YES", "WRONG")</f>
        <v/>
      </c>
    </row>
    <row r="160">
      <c r="A160" t="n">
        <v>159</v>
      </c>
      <c r="B160" t="inlineStr">
        <is>
          <t>CLIX</t>
        </is>
      </c>
      <c r="C160">
        <f>ROMAN(159)</f>
        <v/>
      </c>
      <c r="D160">
        <f>IF(B160=C160, "YES", "WRONG")</f>
        <v/>
      </c>
    </row>
    <row r="161">
      <c r="A161" t="n">
        <v>160</v>
      </c>
      <c r="B161" t="inlineStr">
        <is>
          <t>CLX</t>
        </is>
      </c>
      <c r="C161">
        <f>ROMAN(160)</f>
        <v/>
      </c>
      <c r="D161">
        <f>IF(B161=C161, "YES", "WRONG")</f>
        <v/>
      </c>
    </row>
    <row r="162">
      <c r="A162" t="n">
        <v>161</v>
      </c>
      <c r="B162" t="inlineStr">
        <is>
          <t>CLXI</t>
        </is>
      </c>
      <c r="C162">
        <f>ROMAN(161)</f>
        <v/>
      </c>
      <c r="D162">
        <f>IF(B162=C162, "YES", "WRONG")</f>
        <v/>
      </c>
    </row>
    <row r="163">
      <c r="A163" t="n">
        <v>162</v>
      </c>
      <c r="B163" t="inlineStr">
        <is>
          <t>CLXII</t>
        </is>
      </c>
      <c r="C163">
        <f>ROMAN(162)</f>
        <v/>
      </c>
      <c r="D163">
        <f>IF(B163=C163, "YES", "WRONG")</f>
        <v/>
      </c>
    </row>
    <row r="164">
      <c r="A164" t="n">
        <v>163</v>
      </c>
      <c r="B164" t="inlineStr">
        <is>
          <t>CLXIII</t>
        </is>
      </c>
      <c r="C164">
        <f>ROMAN(163)</f>
        <v/>
      </c>
      <c r="D164">
        <f>IF(B164=C164, "YES", "WRONG")</f>
        <v/>
      </c>
    </row>
    <row r="165">
      <c r="A165" t="n">
        <v>164</v>
      </c>
      <c r="B165" t="inlineStr">
        <is>
          <t>CLXIV</t>
        </is>
      </c>
      <c r="C165">
        <f>ROMAN(164)</f>
        <v/>
      </c>
      <c r="D165">
        <f>IF(B165=C165, "YES", "WRONG")</f>
        <v/>
      </c>
    </row>
    <row r="166">
      <c r="A166" t="n">
        <v>165</v>
      </c>
      <c r="B166" t="inlineStr">
        <is>
          <t>CLXV</t>
        </is>
      </c>
      <c r="C166">
        <f>ROMAN(165)</f>
        <v/>
      </c>
      <c r="D166">
        <f>IF(B166=C166, "YES", "WRONG")</f>
        <v/>
      </c>
    </row>
    <row r="167">
      <c r="A167" t="n">
        <v>166</v>
      </c>
      <c r="B167" t="inlineStr">
        <is>
          <t>CLXVI</t>
        </is>
      </c>
      <c r="C167">
        <f>ROMAN(166)</f>
        <v/>
      </c>
      <c r="D167">
        <f>IF(B167=C167, "YES", "WRONG")</f>
        <v/>
      </c>
    </row>
    <row r="168">
      <c r="A168" t="n">
        <v>167</v>
      </c>
      <c r="B168" t="inlineStr">
        <is>
          <t>CLXVII</t>
        </is>
      </c>
      <c r="C168">
        <f>ROMAN(167)</f>
        <v/>
      </c>
      <c r="D168">
        <f>IF(B168=C168, "YES", "WRONG")</f>
        <v/>
      </c>
    </row>
    <row r="169">
      <c r="A169" t="n">
        <v>168</v>
      </c>
      <c r="B169" t="inlineStr">
        <is>
          <t>CLXVIII</t>
        </is>
      </c>
      <c r="C169">
        <f>ROMAN(168)</f>
        <v/>
      </c>
      <c r="D169">
        <f>IF(B169=C169, "YES", "WRONG")</f>
        <v/>
      </c>
    </row>
    <row r="170">
      <c r="A170" t="n">
        <v>169</v>
      </c>
      <c r="B170" t="inlineStr">
        <is>
          <t>CLXIX</t>
        </is>
      </c>
      <c r="C170">
        <f>ROMAN(169)</f>
        <v/>
      </c>
      <c r="D170">
        <f>IF(B170=C170, "YES", "WRONG")</f>
        <v/>
      </c>
    </row>
    <row r="171">
      <c r="A171" t="n">
        <v>170</v>
      </c>
      <c r="B171" t="inlineStr">
        <is>
          <t>CLXX</t>
        </is>
      </c>
      <c r="C171">
        <f>ROMAN(170)</f>
        <v/>
      </c>
      <c r="D171">
        <f>IF(B171=C171, "YES", "WRONG")</f>
        <v/>
      </c>
    </row>
    <row r="172">
      <c r="A172" t="n">
        <v>171</v>
      </c>
      <c r="B172" t="inlineStr">
        <is>
          <t>CLXXI</t>
        </is>
      </c>
      <c r="C172">
        <f>ROMAN(171)</f>
        <v/>
      </c>
      <c r="D172">
        <f>IF(B172=C172, "YES", "WRONG")</f>
        <v/>
      </c>
    </row>
    <row r="173">
      <c r="A173" t="n">
        <v>172</v>
      </c>
      <c r="B173" t="inlineStr">
        <is>
          <t>CLXXII</t>
        </is>
      </c>
      <c r="C173">
        <f>ROMAN(172)</f>
        <v/>
      </c>
      <c r="D173">
        <f>IF(B173=C173, "YES", "WRONG")</f>
        <v/>
      </c>
    </row>
    <row r="174">
      <c r="A174" t="n">
        <v>173</v>
      </c>
      <c r="B174" t="inlineStr">
        <is>
          <t>CLXXIII</t>
        </is>
      </c>
      <c r="C174">
        <f>ROMAN(173)</f>
        <v/>
      </c>
      <c r="D174">
        <f>IF(B174=C174, "YES", "WRONG")</f>
        <v/>
      </c>
    </row>
    <row r="175">
      <c r="A175" t="n">
        <v>174</v>
      </c>
      <c r="B175" t="inlineStr">
        <is>
          <t>CLXXIV</t>
        </is>
      </c>
      <c r="C175">
        <f>ROMAN(174)</f>
        <v/>
      </c>
      <c r="D175">
        <f>IF(B175=C175, "YES", "WRONG")</f>
        <v/>
      </c>
    </row>
    <row r="176">
      <c r="A176" t="n">
        <v>175</v>
      </c>
      <c r="B176" t="inlineStr">
        <is>
          <t>CLXXV</t>
        </is>
      </c>
      <c r="C176">
        <f>ROMAN(175)</f>
        <v/>
      </c>
      <c r="D176">
        <f>IF(B176=C176, "YES", "WRONG")</f>
        <v/>
      </c>
    </row>
    <row r="177">
      <c r="A177" t="n">
        <v>176</v>
      </c>
      <c r="B177" t="inlineStr">
        <is>
          <t>CLXXVI</t>
        </is>
      </c>
      <c r="C177">
        <f>ROMAN(176)</f>
        <v/>
      </c>
      <c r="D177">
        <f>IF(B177=C177, "YES", "WRONG")</f>
        <v/>
      </c>
    </row>
    <row r="178">
      <c r="A178" t="n">
        <v>177</v>
      </c>
      <c r="B178" t="inlineStr">
        <is>
          <t>CLXXVII</t>
        </is>
      </c>
      <c r="C178">
        <f>ROMAN(177)</f>
        <v/>
      </c>
      <c r="D178">
        <f>IF(B178=C178, "YES", "WRONG")</f>
        <v/>
      </c>
    </row>
    <row r="179">
      <c r="A179" t="n">
        <v>178</v>
      </c>
      <c r="B179" t="inlineStr">
        <is>
          <t>CLXXVIII</t>
        </is>
      </c>
      <c r="C179">
        <f>ROMAN(178)</f>
        <v/>
      </c>
      <c r="D179">
        <f>IF(B179=C179, "YES", "WRONG")</f>
        <v/>
      </c>
    </row>
    <row r="180">
      <c r="A180" t="n">
        <v>179</v>
      </c>
      <c r="B180" t="inlineStr">
        <is>
          <t>CLXXIX</t>
        </is>
      </c>
      <c r="C180">
        <f>ROMAN(179)</f>
        <v/>
      </c>
      <c r="D180">
        <f>IF(B180=C180, "YES", "WRONG")</f>
        <v/>
      </c>
    </row>
    <row r="181">
      <c r="A181" t="n">
        <v>180</v>
      </c>
      <c r="B181" t="inlineStr">
        <is>
          <t>CLXXX</t>
        </is>
      </c>
      <c r="C181">
        <f>ROMAN(180)</f>
        <v/>
      </c>
      <c r="D181">
        <f>IF(B181=C181, "YES", "WRONG")</f>
        <v/>
      </c>
    </row>
    <row r="182">
      <c r="A182" t="n">
        <v>181</v>
      </c>
      <c r="B182" t="inlineStr">
        <is>
          <t>CLXXXI</t>
        </is>
      </c>
      <c r="C182">
        <f>ROMAN(181)</f>
        <v/>
      </c>
      <c r="D182">
        <f>IF(B182=C182, "YES", "WRONG")</f>
        <v/>
      </c>
    </row>
    <row r="183">
      <c r="A183" t="n">
        <v>182</v>
      </c>
      <c r="B183" t="inlineStr">
        <is>
          <t>CLXXXII</t>
        </is>
      </c>
      <c r="C183">
        <f>ROMAN(182)</f>
        <v/>
      </c>
      <c r="D183">
        <f>IF(B183=C183, "YES", "WRONG")</f>
        <v/>
      </c>
    </row>
    <row r="184">
      <c r="A184" t="n">
        <v>183</v>
      </c>
      <c r="B184" t="inlineStr">
        <is>
          <t>CLXXXIII</t>
        </is>
      </c>
      <c r="C184">
        <f>ROMAN(183)</f>
        <v/>
      </c>
      <c r="D184">
        <f>IF(B184=C184, "YES", "WRONG")</f>
        <v/>
      </c>
    </row>
    <row r="185">
      <c r="A185" t="n">
        <v>184</v>
      </c>
      <c r="B185" t="inlineStr">
        <is>
          <t>CLXXXIV</t>
        </is>
      </c>
      <c r="C185">
        <f>ROMAN(184)</f>
        <v/>
      </c>
      <c r="D185">
        <f>IF(B185=C185, "YES", "WRONG")</f>
        <v/>
      </c>
    </row>
    <row r="186">
      <c r="A186" t="n">
        <v>185</v>
      </c>
      <c r="B186" t="inlineStr">
        <is>
          <t>CLXXXV</t>
        </is>
      </c>
      <c r="C186">
        <f>ROMAN(185)</f>
        <v/>
      </c>
      <c r="D186">
        <f>IF(B186=C186, "YES", "WRONG")</f>
        <v/>
      </c>
    </row>
    <row r="187">
      <c r="A187" t="n">
        <v>186</v>
      </c>
      <c r="B187" t="inlineStr">
        <is>
          <t>CLXXXVI</t>
        </is>
      </c>
      <c r="C187">
        <f>ROMAN(186)</f>
        <v/>
      </c>
      <c r="D187">
        <f>IF(B187=C187, "YES", "WRONG")</f>
        <v/>
      </c>
    </row>
    <row r="188">
      <c r="A188" t="n">
        <v>187</v>
      </c>
      <c r="B188" t="inlineStr">
        <is>
          <t>CLXXXVII</t>
        </is>
      </c>
      <c r="C188">
        <f>ROMAN(187)</f>
        <v/>
      </c>
      <c r="D188">
        <f>IF(B188=C188, "YES", "WRONG")</f>
        <v/>
      </c>
    </row>
    <row r="189">
      <c r="A189" t="n">
        <v>188</v>
      </c>
      <c r="B189" t="inlineStr">
        <is>
          <t>CLXXXVIII</t>
        </is>
      </c>
      <c r="C189">
        <f>ROMAN(188)</f>
        <v/>
      </c>
      <c r="D189">
        <f>IF(B189=C189, "YES", "WRONG")</f>
        <v/>
      </c>
    </row>
    <row r="190">
      <c r="A190" t="n">
        <v>189</v>
      </c>
      <c r="B190" t="inlineStr">
        <is>
          <t>CLXXXIX</t>
        </is>
      </c>
      <c r="C190">
        <f>ROMAN(189)</f>
        <v/>
      </c>
      <c r="D190">
        <f>IF(B190=C190, "YES", "WRONG")</f>
        <v/>
      </c>
    </row>
    <row r="191">
      <c r="A191" t="n">
        <v>190</v>
      </c>
      <c r="B191" t="inlineStr">
        <is>
          <t>CXC</t>
        </is>
      </c>
      <c r="C191">
        <f>ROMAN(190)</f>
        <v/>
      </c>
      <c r="D191">
        <f>IF(B191=C191, "YES", "WRONG")</f>
        <v/>
      </c>
    </row>
    <row r="192">
      <c r="A192" t="n">
        <v>191</v>
      </c>
      <c r="B192" t="inlineStr">
        <is>
          <t>CXCI</t>
        </is>
      </c>
      <c r="C192">
        <f>ROMAN(191)</f>
        <v/>
      </c>
      <c r="D192">
        <f>IF(B192=C192, "YES", "WRONG")</f>
        <v/>
      </c>
    </row>
    <row r="193">
      <c r="A193" t="n">
        <v>192</v>
      </c>
      <c r="B193" t="inlineStr">
        <is>
          <t>CXCII</t>
        </is>
      </c>
      <c r="C193">
        <f>ROMAN(192)</f>
        <v/>
      </c>
      <c r="D193">
        <f>IF(B193=C193, "YES", "WRONG")</f>
        <v/>
      </c>
    </row>
    <row r="194">
      <c r="A194" t="n">
        <v>193</v>
      </c>
      <c r="B194" t="inlineStr">
        <is>
          <t>CXCIII</t>
        </is>
      </c>
      <c r="C194">
        <f>ROMAN(193)</f>
        <v/>
      </c>
      <c r="D194">
        <f>IF(B194=C194, "YES", "WRONG")</f>
        <v/>
      </c>
    </row>
    <row r="195">
      <c r="A195" t="n">
        <v>194</v>
      </c>
      <c r="B195" t="inlineStr">
        <is>
          <t>CXCIV</t>
        </is>
      </c>
      <c r="C195">
        <f>ROMAN(194)</f>
        <v/>
      </c>
      <c r="D195">
        <f>IF(B195=C195, "YES", "WRONG")</f>
        <v/>
      </c>
    </row>
    <row r="196">
      <c r="A196" t="n">
        <v>195</v>
      </c>
      <c r="B196" t="inlineStr">
        <is>
          <t>CXCV</t>
        </is>
      </c>
      <c r="C196">
        <f>ROMAN(195)</f>
        <v/>
      </c>
      <c r="D196">
        <f>IF(B196=C196, "YES", "WRONG")</f>
        <v/>
      </c>
    </row>
    <row r="197">
      <c r="A197" t="n">
        <v>196</v>
      </c>
      <c r="B197" t="inlineStr">
        <is>
          <t>CXCVI</t>
        </is>
      </c>
      <c r="C197">
        <f>ROMAN(196)</f>
        <v/>
      </c>
      <c r="D197">
        <f>IF(B197=C197, "YES", "WRONG")</f>
        <v/>
      </c>
    </row>
    <row r="198">
      <c r="A198" t="n">
        <v>197</v>
      </c>
      <c r="B198" t="inlineStr">
        <is>
          <t>CXCVII</t>
        </is>
      </c>
      <c r="C198">
        <f>ROMAN(197)</f>
        <v/>
      </c>
      <c r="D198">
        <f>IF(B198=C198, "YES", "WRONG")</f>
        <v/>
      </c>
    </row>
    <row r="199">
      <c r="A199" t="n">
        <v>198</v>
      </c>
      <c r="B199" t="inlineStr">
        <is>
          <t>CXCVIII</t>
        </is>
      </c>
      <c r="C199">
        <f>ROMAN(198)</f>
        <v/>
      </c>
      <c r="D199">
        <f>IF(B199=C199, "YES", "WRONG")</f>
        <v/>
      </c>
    </row>
    <row r="200">
      <c r="A200" t="n">
        <v>199</v>
      </c>
      <c r="B200" t="inlineStr">
        <is>
          <t>CXCIX</t>
        </is>
      </c>
      <c r="C200">
        <f>ROMAN(199)</f>
        <v/>
      </c>
      <c r="D200">
        <f>IF(B200=C200, "YES", "WRONG")</f>
        <v/>
      </c>
    </row>
    <row r="201">
      <c r="A201" t="n">
        <v>200</v>
      </c>
      <c r="B201" t="inlineStr">
        <is>
          <t>CC</t>
        </is>
      </c>
      <c r="C201">
        <f>ROMAN(200)</f>
        <v/>
      </c>
      <c r="D201">
        <f>IF(B201=C201, "YES", "WRONG")</f>
        <v/>
      </c>
    </row>
    <row r="202">
      <c r="A202" t="n">
        <v>201</v>
      </c>
      <c r="B202" t="inlineStr">
        <is>
          <t>CCI</t>
        </is>
      </c>
      <c r="C202">
        <f>ROMAN(201)</f>
        <v/>
      </c>
      <c r="D202">
        <f>IF(B202=C202, "YES", "WRONG")</f>
        <v/>
      </c>
    </row>
    <row r="203">
      <c r="A203" t="n">
        <v>202</v>
      </c>
      <c r="B203" t="inlineStr">
        <is>
          <t>CCII</t>
        </is>
      </c>
      <c r="C203">
        <f>ROMAN(202)</f>
        <v/>
      </c>
      <c r="D203">
        <f>IF(B203=C203, "YES", "WRONG")</f>
        <v/>
      </c>
    </row>
    <row r="204">
      <c r="A204" t="n">
        <v>203</v>
      </c>
      <c r="B204" t="inlineStr">
        <is>
          <t>CCIII</t>
        </is>
      </c>
      <c r="C204">
        <f>ROMAN(203)</f>
        <v/>
      </c>
      <c r="D204">
        <f>IF(B204=C204, "YES", "WRONG")</f>
        <v/>
      </c>
    </row>
    <row r="205">
      <c r="A205" t="n">
        <v>204</v>
      </c>
      <c r="B205" t="inlineStr">
        <is>
          <t>CCIV</t>
        </is>
      </c>
      <c r="C205">
        <f>ROMAN(204)</f>
        <v/>
      </c>
      <c r="D205">
        <f>IF(B205=C205, "YES", "WRONG")</f>
        <v/>
      </c>
    </row>
    <row r="206">
      <c r="A206" t="n">
        <v>205</v>
      </c>
      <c r="B206" t="inlineStr">
        <is>
          <t>CCV</t>
        </is>
      </c>
      <c r="C206">
        <f>ROMAN(205)</f>
        <v/>
      </c>
      <c r="D206">
        <f>IF(B206=C206, "YES", "WRONG")</f>
        <v/>
      </c>
    </row>
    <row r="207">
      <c r="A207" t="n">
        <v>206</v>
      </c>
      <c r="B207" t="inlineStr">
        <is>
          <t>CCVI</t>
        </is>
      </c>
      <c r="C207">
        <f>ROMAN(206)</f>
        <v/>
      </c>
      <c r="D207">
        <f>IF(B207=C207, "YES", "WRONG")</f>
        <v/>
      </c>
    </row>
    <row r="208">
      <c r="A208" t="n">
        <v>207</v>
      </c>
      <c r="B208" t="inlineStr">
        <is>
          <t>CCVII</t>
        </is>
      </c>
      <c r="C208">
        <f>ROMAN(207)</f>
        <v/>
      </c>
      <c r="D208">
        <f>IF(B208=C208, "YES", "WRONG")</f>
        <v/>
      </c>
    </row>
    <row r="209">
      <c r="A209" t="n">
        <v>208</v>
      </c>
      <c r="B209" t="inlineStr">
        <is>
          <t>CCVIII</t>
        </is>
      </c>
      <c r="C209">
        <f>ROMAN(208)</f>
        <v/>
      </c>
      <c r="D209">
        <f>IF(B209=C209, "YES", "WRONG")</f>
        <v/>
      </c>
    </row>
    <row r="210">
      <c r="A210" t="n">
        <v>209</v>
      </c>
      <c r="B210" t="inlineStr">
        <is>
          <t>CCIX</t>
        </is>
      </c>
      <c r="C210">
        <f>ROMAN(209)</f>
        <v/>
      </c>
      <c r="D210">
        <f>IF(B210=C210, "YES", "WRONG")</f>
        <v/>
      </c>
    </row>
    <row r="211">
      <c r="A211" t="n">
        <v>210</v>
      </c>
      <c r="B211" t="inlineStr">
        <is>
          <t>CCX</t>
        </is>
      </c>
      <c r="C211">
        <f>ROMAN(210)</f>
        <v/>
      </c>
      <c r="D211">
        <f>IF(B211=C211, "YES", "WRONG")</f>
        <v/>
      </c>
    </row>
    <row r="212">
      <c r="A212" t="n">
        <v>211</v>
      </c>
      <c r="B212" t="inlineStr">
        <is>
          <t>CCXI</t>
        </is>
      </c>
      <c r="C212">
        <f>ROMAN(211)</f>
        <v/>
      </c>
      <c r="D212">
        <f>IF(B212=C212, "YES", "WRONG")</f>
        <v/>
      </c>
    </row>
    <row r="213">
      <c r="A213" t="n">
        <v>212</v>
      </c>
      <c r="B213" t="inlineStr">
        <is>
          <t>CCXII</t>
        </is>
      </c>
      <c r="C213">
        <f>ROMAN(212)</f>
        <v/>
      </c>
      <c r="D213">
        <f>IF(B213=C213, "YES", "WRONG")</f>
        <v/>
      </c>
    </row>
    <row r="214">
      <c r="A214" t="n">
        <v>213</v>
      </c>
      <c r="B214" t="inlineStr">
        <is>
          <t>CCXIII</t>
        </is>
      </c>
      <c r="C214">
        <f>ROMAN(213)</f>
        <v/>
      </c>
      <c r="D214">
        <f>IF(B214=C214, "YES", "WRONG")</f>
        <v/>
      </c>
    </row>
    <row r="215">
      <c r="A215" t="n">
        <v>214</v>
      </c>
      <c r="B215" t="inlineStr">
        <is>
          <t>CCXIV</t>
        </is>
      </c>
      <c r="C215">
        <f>ROMAN(214)</f>
        <v/>
      </c>
      <c r="D215">
        <f>IF(B215=C215, "YES", "WRONG")</f>
        <v/>
      </c>
    </row>
    <row r="216">
      <c r="A216" t="n">
        <v>215</v>
      </c>
      <c r="B216" t="inlineStr">
        <is>
          <t>CCXV</t>
        </is>
      </c>
      <c r="C216">
        <f>ROMAN(215)</f>
        <v/>
      </c>
      <c r="D216">
        <f>IF(B216=C216, "YES", "WRONG")</f>
        <v/>
      </c>
    </row>
    <row r="217">
      <c r="A217" t="n">
        <v>216</v>
      </c>
      <c r="B217" t="inlineStr">
        <is>
          <t>CCXVI</t>
        </is>
      </c>
      <c r="C217">
        <f>ROMAN(216)</f>
        <v/>
      </c>
      <c r="D217">
        <f>IF(B217=C217, "YES", "WRONG")</f>
        <v/>
      </c>
    </row>
    <row r="218">
      <c r="A218" t="n">
        <v>217</v>
      </c>
      <c r="B218" t="inlineStr">
        <is>
          <t>CCXVII</t>
        </is>
      </c>
      <c r="C218">
        <f>ROMAN(217)</f>
        <v/>
      </c>
      <c r="D218">
        <f>IF(B218=C218, "YES", "WRONG")</f>
        <v/>
      </c>
    </row>
    <row r="219">
      <c r="A219" t="n">
        <v>218</v>
      </c>
      <c r="B219" t="inlineStr">
        <is>
          <t>CCXVIII</t>
        </is>
      </c>
      <c r="C219">
        <f>ROMAN(218)</f>
        <v/>
      </c>
      <c r="D219">
        <f>IF(B219=C219, "YES", "WRONG")</f>
        <v/>
      </c>
    </row>
    <row r="220">
      <c r="A220" t="n">
        <v>219</v>
      </c>
      <c r="B220" t="inlineStr">
        <is>
          <t>CCXIX</t>
        </is>
      </c>
      <c r="C220">
        <f>ROMAN(219)</f>
        <v/>
      </c>
      <c r="D220">
        <f>IF(B220=C220, "YES", "WRONG")</f>
        <v/>
      </c>
    </row>
    <row r="221">
      <c r="A221" t="n">
        <v>220</v>
      </c>
      <c r="B221" t="inlineStr">
        <is>
          <t>CCXX</t>
        </is>
      </c>
      <c r="C221">
        <f>ROMAN(220)</f>
        <v/>
      </c>
      <c r="D221">
        <f>IF(B221=C221, "YES", "WRONG")</f>
        <v/>
      </c>
    </row>
    <row r="222">
      <c r="A222" t="n">
        <v>221</v>
      </c>
      <c r="B222" t="inlineStr">
        <is>
          <t>CCXXI</t>
        </is>
      </c>
      <c r="C222">
        <f>ROMAN(221)</f>
        <v/>
      </c>
      <c r="D222">
        <f>IF(B222=C222, "YES", "WRONG")</f>
        <v/>
      </c>
    </row>
    <row r="223">
      <c r="A223" t="n">
        <v>222</v>
      </c>
      <c r="B223" t="inlineStr">
        <is>
          <t>CCXXII</t>
        </is>
      </c>
      <c r="C223">
        <f>ROMAN(222)</f>
        <v/>
      </c>
      <c r="D223">
        <f>IF(B223=C223, "YES", "WRONG")</f>
        <v/>
      </c>
    </row>
    <row r="224">
      <c r="A224" t="n">
        <v>223</v>
      </c>
      <c r="B224" t="inlineStr">
        <is>
          <t>CCXXIII</t>
        </is>
      </c>
      <c r="C224">
        <f>ROMAN(223)</f>
        <v/>
      </c>
      <c r="D224">
        <f>IF(B224=C224, "YES", "WRONG")</f>
        <v/>
      </c>
    </row>
    <row r="225">
      <c r="A225" t="n">
        <v>224</v>
      </c>
      <c r="B225" t="inlineStr">
        <is>
          <t>CCXXIV</t>
        </is>
      </c>
      <c r="C225">
        <f>ROMAN(224)</f>
        <v/>
      </c>
      <c r="D225">
        <f>IF(B225=C225, "YES", "WRONG")</f>
        <v/>
      </c>
    </row>
    <row r="226">
      <c r="A226" t="n">
        <v>225</v>
      </c>
      <c r="B226" t="inlineStr">
        <is>
          <t>CCXXV</t>
        </is>
      </c>
      <c r="C226">
        <f>ROMAN(225)</f>
        <v/>
      </c>
      <c r="D226">
        <f>IF(B226=C226, "YES", "WRONG")</f>
        <v/>
      </c>
    </row>
    <row r="227">
      <c r="A227" t="n">
        <v>226</v>
      </c>
      <c r="B227" t="inlineStr">
        <is>
          <t>CCXXVI</t>
        </is>
      </c>
      <c r="C227">
        <f>ROMAN(226)</f>
        <v/>
      </c>
      <c r="D227">
        <f>IF(B227=C227, "YES", "WRONG")</f>
        <v/>
      </c>
    </row>
    <row r="228">
      <c r="A228" t="n">
        <v>227</v>
      </c>
      <c r="B228" t="inlineStr">
        <is>
          <t>CCXXVII</t>
        </is>
      </c>
      <c r="C228">
        <f>ROMAN(227)</f>
        <v/>
      </c>
      <c r="D228">
        <f>IF(B228=C228, "YES", "WRONG")</f>
        <v/>
      </c>
    </row>
    <row r="229">
      <c r="A229" t="n">
        <v>228</v>
      </c>
      <c r="B229" t="inlineStr">
        <is>
          <t>CCXXVIII</t>
        </is>
      </c>
      <c r="C229">
        <f>ROMAN(228)</f>
        <v/>
      </c>
      <c r="D229">
        <f>IF(B229=C229, "YES", "WRONG")</f>
        <v/>
      </c>
    </row>
    <row r="230">
      <c r="A230" t="n">
        <v>229</v>
      </c>
      <c r="B230" t="inlineStr">
        <is>
          <t>CCXXIX</t>
        </is>
      </c>
      <c r="C230">
        <f>ROMAN(229)</f>
        <v/>
      </c>
      <c r="D230">
        <f>IF(B230=C230, "YES", "WRONG")</f>
        <v/>
      </c>
    </row>
    <row r="231">
      <c r="A231" t="n">
        <v>230</v>
      </c>
      <c r="B231" t="inlineStr">
        <is>
          <t>CCXXX</t>
        </is>
      </c>
      <c r="C231">
        <f>ROMAN(230)</f>
        <v/>
      </c>
      <c r="D231">
        <f>IF(B231=C231, "YES", "WRONG")</f>
        <v/>
      </c>
    </row>
    <row r="232">
      <c r="A232" t="n">
        <v>231</v>
      </c>
      <c r="B232" t="inlineStr">
        <is>
          <t>CCXXXI</t>
        </is>
      </c>
      <c r="C232">
        <f>ROMAN(231)</f>
        <v/>
      </c>
      <c r="D232">
        <f>IF(B232=C232, "YES", "WRONG")</f>
        <v/>
      </c>
    </row>
    <row r="233">
      <c r="A233" t="n">
        <v>232</v>
      </c>
      <c r="B233" t="inlineStr">
        <is>
          <t>CCXXXII</t>
        </is>
      </c>
      <c r="C233">
        <f>ROMAN(232)</f>
        <v/>
      </c>
      <c r="D233">
        <f>IF(B233=C233, "YES", "WRONG")</f>
        <v/>
      </c>
    </row>
    <row r="234">
      <c r="A234" t="n">
        <v>233</v>
      </c>
      <c r="B234" t="inlineStr">
        <is>
          <t>CCXXXIII</t>
        </is>
      </c>
      <c r="C234">
        <f>ROMAN(233)</f>
        <v/>
      </c>
      <c r="D234">
        <f>IF(B234=C234, "YES", "WRONG")</f>
        <v/>
      </c>
    </row>
    <row r="235">
      <c r="A235" t="n">
        <v>234</v>
      </c>
      <c r="B235" t="inlineStr">
        <is>
          <t>CCXXXIV</t>
        </is>
      </c>
      <c r="C235">
        <f>ROMAN(234)</f>
        <v/>
      </c>
      <c r="D235">
        <f>IF(B235=C235, "YES", "WRONG")</f>
        <v/>
      </c>
    </row>
    <row r="236">
      <c r="A236" t="n">
        <v>235</v>
      </c>
      <c r="B236" t="inlineStr">
        <is>
          <t>CCXXXV</t>
        </is>
      </c>
      <c r="C236">
        <f>ROMAN(235)</f>
        <v/>
      </c>
      <c r="D236">
        <f>IF(B236=C236, "YES", "WRONG")</f>
        <v/>
      </c>
    </row>
    <row r="237">
      <c r="A237" t="n">
        <v>236</v>
      </c>
      <c r="B237" t="inlineStr">
        <is>
          <t>CCXXXVI</t>
        </is>
      </c>
      <c r="C237">
        <f>ROMAN(236)</f>
        <v/>
      </c>
      <c r="D237">
        <f>IF(B237=C237, "YES", "WRONG")</f>
        <v/>
      </c>
    </row>
    <row r="238">
      <c r="A238" t="n">
        <v>237</v>
      </c>
      <c r="B238" t="inlineStr">
        <is>
          <t>CCXXXVII</t>
        </is>
      </c>
      <c r="C238">
        <f>ROMAN(237)</f>
        <v/>
      </c>
      <c r="D238">
        <f>IF(B238=C238, "YES", "WRONG")</f>
        <v/>
      </c>
    </row>
    <row r="239">
      <c r="A239" t="n">
        <v>238</v>
      </c>
      <c r="B239" t="inlineStr">
        <is>
          <t>CCXXXVIII</t>
        </is>
      </c>
      <c r="C239">
        <f>ROMAN(238)</f>
        <v/>
      </c>
      <c r="D239">
        <f>IF(B239=C239, "YES", "WRONG")</f>
        <v/>
      </c>
    </row>
    <row r="240">
      <c r="A240" t="n">
        <v>239</v>
      </c>
      <c r="B240" t="inlineStr">
        <is>
          <t>CCXXXIX</t>
        </is>
      </c>
      <c r="C240">
        <f>ROMAN(239)</f>
        <v/>
      </c>
      <c r="D240">
        <f>IF(B240=C240, "YES", "WRONG")</f>
        <v/>
      </c>
    </row>
    <row r="241">
      <c r="A241" t="n">
        <v>240</v>
      </c>
      <c r="B241" t="inlineStr">
        <is>
          <t>CCXL</t>
        </is>
      </c>
      <c r="C241">
        <f>ROMAN(240)</f>
        <v/>
      </c>
      <c r="D241">
        <f>IF(B241=C241, "YES", "WRONG")</f>
        <v/>
      </c>
    </row>
    <row r="242">
      <c r="A242" t="n">
        <v>241</v>
      </c>
      <c r="B242" t="inlineStr">
        <is>
          <t>CCXLI</t>
        </is>
      </c>
      <c r="C242">
        <f>ROMAN(241)</f>
        <v/>
      </c>
      <c r="D242">
        <f>IF(B242=C242, "YES", "WRONG")</f>
        <v/>
      </c>
    </row>
    <row r="243">
      <c r="A243" t="n">
        <v>242</v>
      </c>
      <c r="B243" t="inlineStr">
        <is>
          <t>CCXLII</t>
        </is>
      </c>
      <c r="C243">
        <f>ROMAN(242)</f>
        <v/>
      </c>
      <c r="D243">
        <f>IF(B243=C243, "YES", "WRONG")</f>
        <v/>
      </c>
    </row>
    <row r="244">
      <c r="A244" t="n">
        <v>243</v>
      </c>
      <c r="B244" t="inlineStr">
        <is>
          <t>CCXLIII</t>
        </is>
      </c>
      <c r="C244">
        <f>ROMAN(243)</f>
        <v/>
      </c>
      <c r="D244">
        <f>IF(B244=C244, "YES", "WRONG")</f>
        <v/>
      </c>
    </row>
    <row r="245">
      <c r="A245" t="n">
        <v>244</v>
      </c>
      <c r="B245" t="inlineStr">
        <is>
          <t>CCXLIV</t>
        </is>
      </c>
      <c r="C245">
        <f>ROMAN(244)</f>
        <v/>
      </c>
      <c r="D245">
        <f>IF(B245=C245, "YES", "WRONG")</f>
        <v/>
      </c>
    </row>
    <row r="246">
      <c r="A246" t="n">
        <v>245</v>
      </c>
      <c r="B246" t="inlineStr">
        <is>
          <t>CCXLV</t>
        </is>
      </c>
      <c r="C246">
        <f>ROMAN(245)</f>
        <v/>
      </c>
      <c r="D246">
        <f>IF(B246=C246, "YES", "WRONG")</f>
        <v/>
      </c>
    </row>
    <row r="247">
      <c r="A247" t="n">
        <v>246</v>
      </c>
      <c r="B247" t="inlineStr">
        <is>
          <t>CCXLVI</t>
        </is>
      </c>
      <c r="C247">
        <f>ROMAN(246)</f>
        <v/>
      </c>
      <c r="D247">
        <f>IF(B247=C247, "YES", "WRONG")</f>
        <v/>
      </c>
    </row>
    <row r="248">
      <c r="A248" t="n">
        <v>247</v>
      </c>
      <c r="B248" t="inlineStr">
        <is>
          <t>CCXLVII</t>
        </is>
      </c>
      <c r="C248">
        <f>ROMAN(247)</f>
        <v/>
      </c>
      <c r="D248">
        <f>IF(B248=C248, "YES", "WRONG")</f>
        <v/>
      </c>
    </row>
    <row r="249">
      <c r="A249" t="n">
        <v>248</v>
      </c>
      <c r="B249" t="inlineStr">
        <is>
          <t>CCXLVIII</t>
        </is>
      </c>
      <c r="C249">
        <f>ROMAN(248)</f>
        <v/>
      </c>
      <c r="D249">
        <f>IF(B249=C249, "YES", "WRONG")</f>
        <v/>
      </c>
    </row>
    <row r="250">
      <c r="A250" t="n">
        <v>249</v>
      </c>
      <c r="B250" t="inlineStr">
        <is>
          <t>CCXLIX</t>
        </is>
      </c>
      <c r="C250">
        <f>ROMAN(249)</f>
        <v/>
      </c>
      <c r="D250">
        <f>IF(B250=C250, "YES", "WRONG")</f>
        <v/>
      </c>
    </row>
    <row r="251">
      <c r="A251" t="n">
        <v>250</v>
      </c>
      <c r="B251" t="inlineStr">
        <is>
          <t>CCL</t>
        </is>
      </c>
      <c r="C251">
        <f>ROMAN(250)</f>
        <v/>
      </c>
      <c r="D251">
        <f>IF(B251=C251, "YES", "WRONG")</f>
        <v/>
      </c>
    </row>
    <row r="252">
      <c r="A252" t="n">
        <v>251</v>
      </c>
      <c r="B252" t="inlineStr">
        <is>
          <t>CCLI</t>
        </is>
      </c>
      <c r="C252">
        <f>ROMAN(251)</f>
        <v/>
      </c>
      <c r="D252">
        <f>IF(B252=C252, "YES", "WRONG")</f>
        <v/>
      </c>
    </row>
    <row r="253">
      <c r="A253" t="n">
        <v>252</v>
      </c>
      <c r="B253" t="inlineStr">
        <is>
          <t>CCLII</t>
        </is>
      </c>
      <c r="C253">
        <f>ROMAN(252)</f>
        <v/>
      </c>
      <c r="D253">
        <f>IF(B253=C253, "YES", "WRONG")</f>
        <v/>
      </c>
    </row>
    <row r="254">
      <c r="A254" t="n">
        <v>253</v>
      </c>
      <c r="B254" t="inlineStr">
        <is>
          <t>CCLIII</t>
        </is>
      </c>
      <c r="C254">
        <f>ROMAN(253)</f>
        <v/>
      </c>
      <c r="D254">
        <f>IF(B254=C254, "YES", "WRONG")</f>
        <v/>
      </c>
    </row>
    <row r="255">
      <c r="A255" t="n">
        <v>254</v>
      </c>
      <c r="B255" t="inlineStr">
        <is>
          <t>CCLIV</t>
        </is>
      </c>
      <c r="C255">
        <f>ROMAN(254)</f>
        <v/>
      </c>
      <c r="D255">
        <f>IF(B255=C255, "YES", "WRONG")</f>
        <v/>
      </c>
    </row>
    <row r="256">
      <c r="A256" t="n">
        <v>255</v>
      </c>
      <c r="B256" t="inlineStr">
        <is>
          <t>CCLV</t>
        </is>
      </c>
      <c r="C256">
        <f>ROMAN(255)</f>
        <v/>
      </c>
      <c r="D256">
        <f>IF(B256=C256, "YES", "WRONG")</f>
        <v/>
      </c>
    </row>
    <row r="257">
      <c r="A257" t="n">
        <v>256</v>
      </c>
      <c r="B257" t="inlineStr">
        <is>
          <t>CCLVI</t>
        </is>
      </c>
      <c r="C257">
        <f>ROMAN(256)</f>
        <v/>
      </c>
      <c r="D257">
        <f>IF(B257=C257, "YES", "WRONG")</f>
        <v/>
      </c>
    </row>
    <row r="258">
      <c r="A258" t="n">
        <v>257</v>
      </c>
      <c r="B258" t="inlineStr">
        <is>
          <t>CCLVII</t>
        </is>
      </c>
      <c r="C258">
        <f>ROMAN(257)</f>
        <v/>
      </c>
      <c r="D258">
        <f>IF(B258=C258, "YES", "WRONG")</f>
        <v/>
      </c>
    </row>
    <row r="259">
      <c r="A259" t="n">
        <v>258</v>
      </c>
      <c r="B259" t="inlineStr">
        <is>
          <t>CCLVIII</t>
        </is>
      </c>
      <c r="C259">
        <f>ROMAN(258)</f>
        <v/>
      </c>
      <c r="D259">
        <f>IF(B259=C259, "YES", "WRONG")</f>
        <v/>
      </c>
    </row>
    <row r="260">
      <c r="A260" t="n">
        <v>259</v>
      </c>
      <c r="B260" t="inlineStr">
        <is>
          <t>CCLIX</t>
        </is>
      </c>
      <c r="C260">
        <f>ROMAN(259)</f>
        <v/>
      </c>
      <c r="D260">
        <f>IF(B260=C260, "YES", "WRONG")</f>
        <v/>
      </c>
    </row>
    <row r="261">
      <c r="A261" t="n">
        <v>260</v>
      </c>
      <c r="B261" t="inlineStr">
        <is>
          <t>CCLX</t>
        </is>
      </c>
      <c r="C261">
        <f>ROMAN(260)</f>
        <v/>
      </c>
      <c r="D261">
        <f>IF(B261=C261, "YES", "WRONG")</f>
        <v/>
      </c>
    </row>
    <row r="262">
      <c r="A262" t="n">
        <v>261</v>
      </c>
      <c r="B262" t="inlineStr">
        <is>
          <t>CCLXI</t>
        </is>
      </c>
      <c r="C262">
        <f>ROMAN(261)</f>
        <v/>
      </c>
      <c r="D262">
        <f>IF(B262=C262, "YES", "WRONG")</f>
        <v/>
      </c>
    </row>
    <row r="263">
      <c r="A263" t="n">
        <v>262</v>
      </c>
      <c r="B263" t="inlineStr">
        <is>
          <t>CCLXII</t>
        </is>
      </c>
      <c r="C263">
        <f>ROMAN(262)</f>
        <v/>
      </c>
      <c r="D263">
        <f>IF(B263=C263, "YES", "WRONG")</f>
        <v/>
      </c>
    </row>
    <row r="264">
      <c r="A264" t="n">
        <v>263</v>
      </c>
      <c r="B264" t="inlineStr">
        <is>
          <t>CCLXIII</t>
        </is>
      </c>
      <c r="C264">
        <f>ROMAN(263)</f>
        <v/>
      </c>
      <c r="D264">
        <f>IF(B264=C264, "YES", "WRONG")</f>
        <v/>
      </c>
    </row>
    <row r="265">
      <c r="A265" t="n">
        <v>264</v>
      </c>
      <c r="B265" t="inlineStr">
        <is>
          <t>CCLXIV</t>
        </is>
      </c>
      <c r="C265">
        <f>ROMAN(264)</f>
        <v/>
      </c>
      <c r="D265">
        <f>IF(B265=C265, "YES", "WRONG")</f>
        <v/>
      </c>
    </row>
    <row r="266">
      <c r="A266" t="n">
        <v>265</v>
      </c>
      <c r="B266" t="inlineStr">
        <is>
          <t>CCLXV</t>
        </is>
      </c>
      <c r="C266">
        <f>ROMAN(265)</f>
        <v/>
      </c>
      <c r="D266">
        <f>IF(B266=C266, "YES", "WRONG")</f>
        <v/>
      </c>
    </row>
    <row r="267">
      <c r="A267" t="n">
        <v>266</v>
      </c>
      <c r="B267" t="inlineStr">
        <is>
          <t>CCLXVI</t>
        </is>
      </c>
      <c r="C267">
        <f>ROMAN(266)</f>
        <v/>
      </c>
      <c r="D267">
        <f>IF(B267=C267, "YES", "WRONG")</f>
        <v/>
      </c>
    </row>
    <row r="268">
      <c r="A268" t="n">
        <v>267</v>
      </c>
      <c r="B268" t="inlineStr">
        <is>
          <t>CCLXVII</t>
        </is>
      </c>
      <c r="C268">
        <f>ROMAN(267)</f>
        <v/>
      </c>
      <c r="D268">
        <f>IF(B268=C268, "YES", "WRONG")</f>
        <v/>
      </c>
    </row>
    <row r="269">
      <c r="A269" t="n">
        <v>268</v>
      </c>
      <c r="B269" t="inlineStr">
        <is>
          <t>CCLXVIII</t>
        </is>
      </c>
      <c r="C269">
        <f>ROMAN(268)</f>
        <v/>
      </c>
      <c r="D269">
        <f>IF(B269=C269, "YES", "WRONG")</f>
        <v/>
      </c>
    </row>
    <row r="270">
      <c r="A270" t="n">
        <v>269</v>
      </c>
      <c r="B270" t="inlineStr">
        <is>
          <t>CCLXIX</t>
        </is>
      </c>
      <c r="C270">
        <f>ROMAN(269)</f>
        <v/>
      </c>
      <c r="D270">
        <f>IF(B270=C270, "YES", "WRONG")</f>
        <v/>
      </c>
    </row>
    <row r="271">
      <c r="A271" t="n">
        <v>270</v>
      </c>
      <c r="B271" t="inlineStr">
        <is>
          <t>CCLXX</t>
        </is>
      </c>
      <c r="C271">
        <f>ROMAN(270)</f>
        <v/>
      </c>
      <c r="D271">
        <f>IF(B271=C271, "YES", "WRONG")</f>
        <v/>
      </c>
    </row>
    <row r="272">
      <c r="A272" t="n">
        <v>271</v>
      </c>
      <c r="B272" t="inlineStr">
        <is>
          <t>CCLXXI</t>
        </is>
      </c>
      <c r="C272">
        <f>ROMAN(271)</f>
        <v/>
      </c>
      <c r="D272">
        <f>IF(B272=C272, "YES", "WRONG")</f>
        <v/>
      </c>
    </row>
    <row r="273">
      <c r="A273" t="n">
        <v>272</v>
      </c>
      <c r="B273" t="inlineStr">
        <is>
          <t>CCLXXII</t>
        </is>
      </c>
      <c r="C273">
        <f>ROMAN(272)</f>
        <v/>
      </c>
      <c r="D273">
        <f>IF(B273=C273, "YES", "WRONG")</f>
        <v/>
      </c>
    </row>
    <row r="274">
      <c r="A274" t="n">
        <v>273</v>
      </c>
      <c r="B274" t="inlineStr">
        <is>
          <t>CCLXXIII</t>
        </is>
      </c>
      <c r="C274">
        <f>ROMAN(273)</f>
        <v/>
      </c>
      <c r="D274">
        <f>IF(B274=C274, "YES", "WRONG")</f>
        <v/>
      </c>
    </row>
    <row r="275">
      <c r="A275" t="n">
        <v>274</v>
      </c>
      <c r="B275" t="inlineStr">
        <is>
          <t>CCLXXIV</t>
        </is>
      </c>
      <c r="C275">
        <f>ROMAN(274)</f>
        <v/>
      </c>
      <c r="D275">
        <f>IF(B275=C275, "YES", "WRONG")</f>
        <v/>
      </c>
    </row>
    <row r="276">
      <c r="A276" t="n">
        <v>275</v>
      </c>
      <c r="B276" t="inlineStr">
        <is>
          <t>CCLXXV</t>
        </is>
      </c>
      <c r="C276">
        <f>ROMAN(275)</f>
        <v/>
      </c>
      <c r="D276">
        <f>IF(B276=C276, "YES", "WRONG")</f>
        <v/>
      </c>
    </row>
    <row r="277">
      <c r="A277" t="n">
        <v>276</v>
      </c>
      <c r="B277" t="inlineStr">
        <is>
          <t>CCLXXVI</t>
        </is>
      </c>
      <c r="C277">
        <f>ROMAN(276)</f>
        <v/>
      </c>
      <c r="D277">
        <f>IF(B277=C277, "YES", "WRONG")</f>
        <v/>
      </c>
    </row>
    <row r="278">
      <c r="A278" t="n">
        <v>277</v>
      </c>
      <c r="B278" t="inlineStr">
        <is>
          <t>CCLXXVII</t>
        </is>
      </c>
      <c r="C278">
        <f>ROMAN(277)</f>
        <v/>
      </c>
      <c r="D278">
        <f>IF(B278=C278, "YES", "WRONG")</f>
        <v/>
      </c>
    </row>
    <row r="279">
      <c r="A279" t="n">
        <v>278</v>
      </c>
      <c r="B279" t="inlineStr">
        <is>
          <t>CCLXXVIII</t>
        </is>
      </c>
      <c r="C279">
        <f>ROMAN(278)</f>
        <v/>
      </c>
      <c r="D279">
        <f>IF(B279=C279, "YES", "WRONG")</f>
        <v/>
      </c>
    </row>
    <row r="280">
      <c r="A280" t="n">
        <v>279</v>
      </c>
      <c r="B280" t="inlineStr">
        <is>
          <t>CCLXXIX</t>
        </is>
      </c>
      <c r="C280">
        <f>ROMAN(279)</f>
        <v/>
      </c>
      <c r="D280">
        <f>IF(B280=C280, "YES", "WRONG")</f>
        <v/>
      </c>
    </row>
    <row r="281">
      <c r="A281" t="n">
        <v>280</v>
      </c>
      <c r="B281" t="inlineStr">
        <is>
          <t>CCLXXX</t>
        </is>
      </c>
      <c r="C281">
        <f>ROMAN(280)</f>
        <v/>
      </c>
      <c r="D281">
        <f>IF(B281=C281, "YES", "WRONG")</f>
        <v/>
      </c>
    </row>
    <row r="282">
      <c r="A282" t="n">
        <v>281</v>
      </c>
      <c r="B282" t="inlineStr">
        <is>
          <t>CCLXXXI</t>
        </is>
      </c>
      <c r="C282">
        <f>ROMAN(281)</f>
        <v/>
      </c>
      <c r="D282">
        <f>IF(B282=C282, "YES", "WRONG")</f>
        <v/>
      </c>
    </row>
    <row r="283">
      <c r="A283" t="n">
        <v>282</v>
      </c>
      <c r="B283" t="inlineStr">
        <is>
          <t>CCLXXXII</t>
        </is>
      </c>
      <c r="C283">
        <f>ROMAN(282)</f>
        <v/>
      </c>
      <c r="D283">
        <f>IF(B283=C283, "YES", "WRONG")</f>
        <v/>
      </c>
    </row>
    <row r="284">
      <c r="A284" t="n">
        <v>283</v>
      </c>
      <c r="B284" t="inlineStr">
        <is>
          <t>CCLXXXIII</t>
        </is>
      </c>
      <c r="C284">
        <f>ROMAN(283)</f>
        <v/>
      </c>
      <c r="D284">
        <f>IF(B284=C284, "YES", "WRONG")</f>
        <v/>
      </c>
    </row>
    <row r="285">
      <c r="A285" t="n">
        <v>284</v>
      </c>
      <c r="B285" t="inlineStr">
        <is>
          <t>CCLXXXIV</t>
        </is>
      </c>
      <c r="C285">
        <f>ROMAN(284)</f>
        <v/>
      </c>
      <c r="D285">
        <f>IF(B285=C285, "YES", "WRONG")</f>
        <v/>
      </c>
    </row>
    <row r="286">
      <c r="A286" t="n">
        <v>285</v>
      </c>
      <c r="B286" t="inlineStr">
        <is>
          <t>CCLXXXV</t>
        </is>
      </c>
      <c r="C286">
        <f>ROMAN(285)</f>
        <v/>
      </c>
      <c r="D286">
        <f>IF(B286=C286, "YES", "WRONG")</f>
        <v/>
      </c>
    </row>
    <row r="287">
      <c r="A287" t="n">
        <v>286</v>
      </c>
      <c r="B287" t="inlineStr">
        <is>
          <t>CCLXXXVI</t>
        </is>
      </c>
      <c r="C287">
        <f>ROMAN(286)</f>
        <v/>
      </c>
      <c r="D287">
        <f>IF(B287=C287, "YES", "WRONG")</f>
        <v/>
      </c>
    </row>
    <row r="288">
      <c r="A288" t="n">
        <v>287</v>
      </c>
      <c r="B288" t="inlineStr">
        <is>
          <t>CCLXXXVII</t>
        </is>
      </c>
      <c r="C288">
        <f>ROMAN(287)</f>
        <v/>
      </c>
      <c r="D288">
        <f>IF(B288=C288, "YES", "WRONG")</f>
        <v/>
      </c>
    </row>
    <row r="289">
      <c r="A289" t="n">
        <v>288</v>
      </c>
      <c r="B289" t="inlineStr">
        <is>
          <t>CCLXXXVIII</t>
        </is>
      </c>
      <c r="C289">
        <f>ROMAN(288)</f>
        <v/>
      </c>
      <c r="D289">
        <f>IF(B289=C289, "YES", "WRONG")</f>
        <v/>
      </c>
    </row>
    <row r="290">
      <c r="A290" t="n">
        <v>289</v>
      </c>
      <c r="B290" t="inlineStr">
        <is>
          <t>CCLXXXIX</t>
        </is>
      </c>
      <c r="C290">
        <f>ROMAN(289)</f>
        <v/>
      </c>
      <c r="D290">
        <f>IF(B290=C290, "YES", "WRONG")</f>
        <v/>
      </c>
    </row>
    <row r="291">
      <c r="A291" t="n">
        <v>290</v>
      </c>
      <c r="B291" t="inlineStr">
        <is>
          <t>CCXC</t>
        </is>
      </c>
      <c r="C291">
        <f>ROMAN(290)</f>
        <v/>
      </c>
      <c r="D291">
        <f>IF(B291=C291, "YES", "WRONG")</f>
        <v/>
      </c>
    </row>
    <row r="292">
      <c r="A292" t="n">
        <v>291</v>
      </c>
      <c r="B292" t="inlineStr">
        <is>
          <t>CCXCI</t>
        </is>
      </c>
      <c r="C292">
        <f>ROMAN(291)</f>
        <v/>
      </c>
      <c r="D292">
        <f>IF(B292=C292, "YES", "WRONG")</f>
        <v/>
      </c>
    </row>
    <row r="293">
      <c r="A293" t="n">
        <v>292</v>
      </c>
      <c r="B293" t="inlineStr">
        <is>
          <t>CCXCII</t>
        </is>
      </c>
      <c r="C293">
        <f>ROMAN(292)</f>
        <v/>
      </c>
      <c r="D293">
        <f>IF(B293=C293, "YES", "WRONG")</f>
        <v/>
      </c>
    </row>
    <row r="294">
      <c r="A294" t="n">
        <v>293</v>
      </c>
      <c r="B294" t="inlineStr">
        <is>
          <t>CCXCIII</t>
        </is>
      </c>
      <c r="C294">
        <f>ROMAN(293)</f>
        <v/>
      </c>
      <c r="D294">
        <f>IF(B294=C294, "YES", "WRONG")</f>
        <v/>
      </c>
    </row>
    <row r="295">
      <c r="A295" t="n">
        <v>294</v>
      </c>
      <c r="B295" t="inlineStr">
        <is>
          <t>CCXCIV</t>
        </is>
      </c>
      <c r="C295">
        <f>ROMAN(294)</f>
        <v/>
      </c>
      <c r="D295">
        <f>IF(B295=C295, "YES", "WRONG")</f>
        <v/>
      </c>
    </row>
    <row r="296">
      <c r="A296" t="n">
        <v>295</v>
      </c>
      <c r="B296" t="inlineStr">
        <is>
          <t>CCXCV</t>
        </is>
      </c>
      <c r="C296">
        <f>ROMAN(295)</f>
        <v/>
      </c>
      <c r="D296">
        <f>IF(B296=C296, "YES", "WRONG")</f>
        <v/>
      </c>
    </row>
    <row r="297">
      <c r="A297" t="n">
        <v>296</v>
      </c>
      <c r="B297" t="inlineStr">
        <is>
          <t>CCXCVI</t>
        </is>
      </c>
      <c r="C297">
        <f>ROMAN(296)</f>
        <v/>
      </c>
      <c r="D297">
        <f>IF(B297=C297, "YES", "WRONG")</f>
        <v/>
      </c>
    </row>
    <row r="298">
      <c r="A298" t="n">
        <v>297</v>
      </c>
      <c r="B298" t="inlineStr">
        <is>
          <t>CCXCVII</t>
        </is>
      </c>
      <c r="C298">
        <f>ROMAN(297)</f>
        <v/>
      </c>
      <c r="D298">
        <f>IF(B298=C298, "YES", "WRONG")</f>
        <v/>
      </c>
    </row>
    <row r="299">
      <c r="A299" t="n">
        <v>298</v>
      </c>
      <c r="B299" t="inlineStr">
        <is>
          <t>CCXCVIII</t>
        </is>
      </c>
      <c r="C299">
        <f>ROMAN(298)</f>
        <v/>
      </c>
      <c r="D299">
        <f>IF(B299=C299, "YES", "WRONG")</f>
        <v/>
      </c>
    </row>
    <row r="300">
      <c r="A300" t="n">
        <v>299</v>
      </c>
      <c r="B300" t="inlineStr">
        <is>
          <t>CCXCIX</t>
        </is>
      </c>
      <c r="C300">
        <f>ROMAN(299)</f>
        <v/>
      </c>
      <c r="D300">
        <f>IF(B300=C300, "YES", "WRONG")</f>
        <v/>
      </c>
    </row>
    <row r="301">
      <c r="A301" t="n">
        <v>300</v>
      </c>
      <c r="B301" t="inlineStr">
        <is>
          <t>CCC</t>
        </is>
      </c>
      <c r="C301">
        <f>ROMAN(300)</f>
        <v/>
      </c>
      <c r="D301">
        <f>IF(B301=C301, "YES", "WRONG")</f>
        <v/>
      </c>
    </row>
    <row r="302">
      <c r="A302" t="n">
        <v>301</v>
      </c>
      <c r="B302" t="inlineStr">
        <is>
          <t>CCCI</t>
        </is>
      </c>
      <c r="C302">
        <f>ROMAN(301)</f>
        <v/>
      </c>
      <c r="D302">
        <f>IF(B302=C302, "YES", "WRONG")</f>
        <v/>
      </c>
    </row>
    <row r="303">
      <c r="A303" t="n">
        <v>302</v>
      </c>
      <c r="B303" t="inlineStr">
        <is>
          <t>CCCII</t>
        </is>
      </c>
      <c r="C303">
        <f>ROMAN(302)</f>
        <v/>
      </c>
      <c r="D303">
        <f>IF(B303=C303, "YES", "WRONG")</f>
        <v/>
      </c>
    </row>
    <row r="304">
      <c r="A304" t="n">
        <v>303</v>
      </c>
      <c r="B304" t="inlineStr">
        <is>
          <t>CCCIII</t>
        </is>
      </c>
      <c r="C304">
        <f>ROMAN(303)</f>
        <v/>
      </c>
      <c r="D304">
        <f>IF(B304=C304, "YES", "WRONG")</f>
        <v/>
      </c>
    </row>
    <row r="305">
      <c r="A305" t="n">
        <v>304</v>
      </c>
      <c r="B305" t="inlineStr">
        <is>
          <t>CCCIV</t>
        </is>
      </c>
      <c r="C305">
        <f>ROMAN(304)</f>
        <v/>
      </c>
      <c r="D305">
        <f>IF(B305=C305, "YES", "WRONG")</f>
        <v/>
      </c>
    </row>
    <row r="306">
      <c r="A306" t="n">
        <v>305</v>
      </c>
      <c r="B306" t="inlineStr">
        <is>
          <t>CCCV</t>
        </is>
      </c>
      <c r="C306">
        <f>ROMAN(305)</f>
        <v/>
      </c>
      <c r="D306">
        <f>IF(B306=C306, "YES", "WRONG")</f>
        <v/>
      </c>
    </row>
    <row r="307">
      <c r="A307" t="n">
        <v>306</v>
      </c>
      <c r="B307" t="inlineStr">
        <is>
          <t>CCCVI</t>
        </is>
      </c>
      <c r="C307">
        <f>ROMAN(306)</f>
        <v/>
      </c>
      <c r="D307">
        <f>IF(B307=C307, "YES", "WRONG")</f>
        <v/>
      </c>
    </row>
    <row r="308">
      <c r="A308" t="n">
        <v>307</v>
      </c>
      <c r="B308" t="inlineStr">
        <is>
          <t>CCCVII</t>
        </is>
      </c>
      <c r="C308">
        <f>ROMAN(307)</f>
        <v/>
      </c>
      <c r="D308">
        <f>IF(B308=C308, "YES", "WRONG")</f>
        <v/>
      </c>
    </row>
    <row r="309">
      <c r="A309" t="n">
        <v>308</v>
      </c>
      <c r="B309" t="inlineStr">
        <is>
          <t>CCCVIII</t>
        </is>
      </c>
      <c r="C309">
        <f>ROMAN(308)</f>
        <v/>
      </c>
      <c r="D309">
        <f>IF(B309=C309, "YES", "WRONG")</f>
        <v/>
      </c>
    </row>
    <row r="310">
      <c r="A310" t="n">
        <v>309</v>
      </c>
      <c r="B310" t="inlineStr">
        <is>
          <t>CCCIX</t>
        </is>
      </c>
      <c r="C310">
        <f>ROMAN(309)</f>
        <v/>
      </c>
      <c r="D310">
        <f>IF(B310=C310, "YES", "WRONG")</f>
        <v/>
      </c>
    </row>
    <row r="311">
      <c r="A311" t="n">
        <v>310</v>
      </c>
      <c r="B311" t="inlineStr">
        <is>
          <t>CCCX</t>
        </is>
      </c>
      <c r="C311">
        <f>ROMAN(310)</f>
        <v/>
      </c>
      <c r="D311">
        <f>IF(B311=C311, "YES", "WRONG")</f>
        <v/>
      </c>
    </row>
    <row r="312">
      <c r="A312" t="n">
        <v>311</v>
      </c>
      <c r="B312" t="inlineStr">
        <is>
          <t>CCCXI</t>
        </is>
      </c>
      <c r="C312">
        <f>ROMAN(311)</f>
        <v/>
      </c>
      <c r="D312">
        <f>IF(B312=C312, "YES", "WRONG")</f>
        <v/>
      </c>
    </row>
    <row r="313">
      <c r="A313" t="n">
        <v>312</v>
      </c>
      <c r="B313" t="inlineStr">
        <is>
          <t>CCCXII</t>
        </is>
      </c>
      <c r="C313">
        <f>ROMAN(312)</f>
        <v/>
      </c>
      <c r="D313">
        <f>IF(B313=C313, "YES", "WRONG")</f>
        <v/>
      </c>
    </row>
    <row r="314">
      <c r="A314" t="n">
        <v>313</v>
      </c>
      <c r="B314" t="inlineStr">
        <is>
          <t>CCCXIII</t>
        </is>
      </c>
      <c r="C314">
        <f>ROMAN(313)</f>
        <v/>
      </c>
      <c r="D314">
        <f>IF(B314=C314, "YES", "WRONG")</f>
        <v/>
      </c>
    </row>
    <row r="315">
      <c r="A315" t="n">
        <v>314</v>
      </c>
      <c r="B315" t="inlineStr">
        <is>
          <t>CCCXIV</t>
        </is>
      </c>
      <c r="C315">
        <f>ROMAN(314)</f>
        <v/>
      </c>
      <c r="D315">
        <f>IF(B315=C315, "YES", "WRONG")</f>
        <v/>
      </c>
    </row>
    <row r="316">
      <c r="A316" t="n">
        <v>315</v>
      </c>
      <c r="B316" t="inlineStr">
        <is>
          <t>CCCXV</t>
        </is>
      </c>
      <c r="C316">
        <f>ROMAN(315)</f>
        <v/>
      </c>
      <c r="D316">
        <f>IF(B316=C316, "YES", "WRONG")</f>
        <v/>
      </c>
    </row>
    <row r="317">
      <c r="A317" t="n">
        <v>316</v>
      </c>
      <c r="B317" t="inlineStr">
        <is>
          <t>CCCXVI</t>
        </is>
      </c>
      <c r="C317">
        <f>ROMAN(316)</f>
        <v/>
      </c>
      <c r="D317">
        <f>IF(B317=C317, "YES", "WRONG")</f>
        <v/>
      </c>
    </row>
    <row r="318">
      <c r="A318" t="n">
        <v>317</v>
      </c>
      <c r="B318" t="inlineStr">
        <is>
          <t>CCCXVII</t>
        </is>
      </c>
      <c r="C318">
        <f>ROMAN(317)</f>
        <v/>
      </c>
      <c r="D318">
        <f>IF(B318=C318, "YES", "WRONG")</f>
        <v/>
      </c>
    </row>
    <row r="319">
      <c r="A319" t="n">
        <v>318</v>
      </c>
      <c r="B319" t="inlineStr">
        <is>
          <t>CCCXVIII</t>
        </is>
      </c>
      <c r="C319">
        <f>ROMAN(318)</f>
        <v/>
      </c>
      <c r="D319">
        <f>IF(B319=C319, "YES", "WRONG")</f>
        <v/>
      </c>
    </row>
    <row r="320">
      <c r="A320" t="n">
        <v>319</v>
      </c>
      <c r="B320" t="inlineStr">
        <is>
          <t>CCCXIX</t>
        </is>
      </c>
      <c r="C320">
        <f>ROMAN(319)</f>
        <v/>
      </c>
      <c r="D320">
        <f>IF(B320=C320, "YES", "WRONG")</f>
        <v/>
      </c>
    </row>
    <row r="321">
      <c r="A321" t="n">
        <v>320</v>
      </c>
      <c r="B321" t="inlineStr">
        <is>
          <t>CCCXX</t>
        </is>
      </c>
      <c r="C321">
        <f>ROMAN(320)</f>
        <v/>
      </c>
      <c r="D321">
        <f>IF(B321=C321, "YES", "WRONG")</f>
        <v/>
      </c>
    </row>
    <row r="322">
      <c r="A322" t="n">
        <v>321</v>
      </c>
      <c r="B322" t="inlineStr">
        <is>
          <t>CCCXXI</t>
        </is>
      </c>
      <c r="C322">
        <f>ROMAN(321)</f>
        <v/>
      </c>
      <c r="D322">
        <f>IF(B322=C322, "YES", "WRONG")</f>
        <v/>
      </c>
    </row>
    <row r="323">
      <c r="A323" t="n">
        <v>322</v>
      </c>
      <c r="B323" t="inlineStr">
        <is>
          <t>CCCXXII</t>
        </is>
      </c>
      <c r="C323">
        <f>ROMAN(322)</f>
        <v/>
      </c>
      <c r="D323">
        <f>IF(B323=C323, "YES", "WRONG")</f>
        <v/>
      </c>
    </row>
    <row r="324">
      <c r="A324" t="n">
        <v>323</v>
      </c>
      <c r="B324" t="inlineStr">
        <is>
          <t>CCCXXIII</t>
        </is>
      </c>
      <c r="C324">
        <f>ROMAN(323)</f>
        <v/>
      </c>
      <c r="D324">
        <f>IF(B324=C324, "YES", "WRONG")</f>
        <v/>
      </c>
    </row>
    <row r="325">
      <c r="A325" t="n">
        <v>324</v>
      </c>
      <c r="B325" t="inlineStr">
        <is>
          <t>CCCXXIV</t>
        </is>
      </c>
      <c r="C325">
        <f>ROMAN(324)</f>
        <v/>
      </c>
      <c r="D325">
        <f>IF(B325=C325, "YES", "WRONG")</f>
        <v/>
      </c>
    </row>
    <row r="326">
      <c r="A326" t="n">
        <v>325</v>
      </c>
      <c r="B326" t="inlineStr">
        <is>
          <t>CCCXXV</t>
        </is>
      </c>
      <c r="C326">
        <f>ROMAN(325)</f>
        <v/>
      </c>
      <c r="D326">
        <f>IF(B326=C326, "YES", "WRONG")</f>
        <v/>
      </c>
    </row>
    <row r="327">
      <c r="A327" t="n">
        <v>326</v>
      </c>
      <c r="B327" t="inlineStr">
        <is>
          <t>CCCXXVI</t>
        </is>
      </c>
      <c r="C327">
        <f>ROMAN(326)</f>
        <v/>
      </c>
      <c r="D327">
        <f>IF(B327=C327, "YES", "WRONG")</f>
        <v/>
      </c>
    </row>
    <row r="328">
      <c r="A328" t="n">
        <v>327</v>
      </c>
      <c r="B328" t="inlineStr">
        <is>
          <t>CCCXXVII</t>
        </is>
      </c>
      <c r="C328">
        <f>ROMAN(327)</f>
        <v/>
      </c>
      <c r="D328">
        <f>IF(B328=C328, "YES", "WRONG")</f>
        <v/>
      </c>
    </row>
    <row r="329">
      <c r="A329" t="n">
        <v>328</v>
      </c>
      <c r="B329" t="inlineStr">
        <is>
          <t>CCCXXVIII</t>
        </is>
      </c>
      <c r="C329">
        <f>ROMAN(328)</f>
        <v/>
      </c>
      <c r="D329">
        <f>IF(B329=C329, "YES", "WRONG")</f>
        <v/>
      </c>
    </row>
    <row r="330">
      <c r="A330" t="n">
        <v>329</v>
      </c>
      <c r="B330" t="inlineStr">
        <is>
          <t>CCCXXIX</t>
        </is>
      </c>
      <c r="C330">
        <f>ROMAN(329)</f>
        <v/>
      </c>
      <c r="D330">
        <f>IF(B330=C330, "YES", "WRONG")</f>
        <v/>
      </c>
    </row>
    <row r="331">
      <c r="A331" t="n">
        <v>330</v>
      </c>
      <c r="B331" t="inlineStr">
        <is>
          <t>CCCXXX</t>
        </is>
      </c>
      <c r="C331">
        <f>ROMAN(330)</f>
        <v/>
      </c>
      <c r="D331">
        <f>IF(B331=C331, "YES", "WRONG")</f>
        <v/>
      </c>
    </row>
    <row r="332">
      <c r="A332" t="n">
        <v>331</v>
      </c>
      <c r="B332" t="inlineStr">
        <is>
          <t>CCCXXXI</t>
        </is>
      </c>
      <c r="C332">
        <f>ROMAN(331)</f>
        <v/>
      </c>
      <c r="D332">
        <f>IF(B332=C332, "YES", "WRONG")</f>
        <v/>
      </c>
    </row>
    <row r="333">
      <c r="A333" t="n">
        <v>332</v>
      </c>
      <c r="B333" t="inlineStr">
        <is>
          <t>CCCXXXII</t>
        </is>
      </c>
      <c r="C333">
        <f>ROMAN(332)</f>
        <v/>
      </c>
      <c r="D333">
        <f>IF(B333=C333, "YES", "WRONG")</f>
        <v/>
      </c>
    </row>
    <row r="334">
      <c r="A334" t="n">
        <v>333</v>
      </c>
      <c r="B334" t="inlineStr">
        <is>
          <t>CCCXXXIII</t>
        </is>
      </c>
      <c r="C334">
        <f>ROMAN(333)</f>
        <v/>
      </c>
      <c r="D334">
        <f>IF(B334=C334, "YES", "WRONG")</f>
        <v/>
      </c>
    </row>
    <row r="335">
      <c r="A335" t="n">
        <v>334</v>
      </c>
      <c r="B335" t="inlineStr">
        <is>
          <t>CCCXXXIV</t>
        </is>
      </c>
      <c r="C335">
        <f>ROMAN(334)</f>
        <v/>
      </c>
      <c r="D335">
        <f>IF(B335=C335, "YES", "WRONG")</f>
        <v/>
      </c>
    </row>
    <row r="336">
      <c r="A336" t="n">
        <v>335</v>
      </c>
      <c r="B336" t="inlineStr">
        <is>
          <t>CCCXXXV</t>
        </is>
      </c>
      <c r="C336">
        <f>ROMAN(335)</f>
        <v/>
      </c>
      <c r="D336">
        <f>IF(B336=C336, "YES", "WRONG")</f>
        <v/>
      </c>
    </row>
    <row r="337">
      <c r="A337" t="n">
        <v>336</v>
      </c>
      <c r="B337" t="inlineStr">
        <is>
          <t>CCCXXXVI</t>
        </is>
      </c>
      <c r="C337">
        <f>ROMAN(336)</f>
        <v/>
      </c>
      <c r="D337">
        <f>IF(B337=C337, "YES", "WRONG")</f>
        <v/>
      </c>
    </row>
    <row r="338">
      <c r="A338" t="n">
        <v>337</v>
      </c>
      <c r="B338" t="inlineStr">
        <is>
          <t>CCCXXXVII</t>
        </is>
      </c>
      <c r="C338">
        <f>ROMAN(337)</f>
        <v/>
      </c>
      <c r="D338">
        <f>IF(B338=C338, "YES", "WRONG")</f>
        <v/>
      </c>
    </row>
    <row r="339">
      <c r="A339" t="n">
        <v>338</v>
      </c>
      <c r="B339" t="inlineStr">
        <is>
          <t>CCCXXXVIII</t>
        </is>
      </c>
      <c r="C339">
        <f>ROMAN(338)</f>
        <v/>
      </c>
      <c r="D339">
        <f>IF(B339=C339, "YES", "WRONG")</f>
        <v/>
      </c>
    </row>
    <row r="340">
      <c r="A340" t="n">
        <v>339</v>
      </c>
      <c r="B340" t="inlineStr">
        <is>
          <t>CCCXXXIX</t>
        </is>
      </c>
      <c r="C340">
        <f>ROMAN(339)</f>
        <v/>
      </c>
      <c r="D340">
        <f>IF(B340=C340, "YES", "WRONG")</f>
        <v/>
      </c>
    </row>
    <row r="341">
      <c r="A341" t="n">
        <v>340</v>
      </c>
      <c r="B341" t="inlineStr">
        <is>
          <t>CCCXL</t>
        </is>
      </c>
      <c r="C341">
        <f>ROMAN(340)</f>
        <v/>
      </c>
      <c r="D341">
        <f>IF(B341=C341, "YES", "WRONG")</f>
        <v/>
      </c>
    </row>
    <row r="342">
      <c r="A342" t="n">
        <v>341</v>
      </c>
      <c r="B342" t="inlineStr">
        <is>
          <t>CCCXLI</t>
        </is>
      </c>
      <c r="C342">
        <f>ROMAN(341)</f>
        <v/>
      </c>
      <c r="D342">
        <f>IF(B342=C342, "YES", "WRONG")</f>
        <v/>
      </c>
    </row>
    <row r="343">
      <c r="A343" t="n">
        <v>342</v>
      </c>
      <c r="B343" t="inlineStr">
        <is>
          <t>CCCXLII</t>
        </is>
      </c>
      <c r="C343">
        <f>ROMAN(342)</f>
        <v/>
      </c>
      <c r="D343">
        <f>IF(B343=C343, "YES", "WRONG")</f>
        <v/>
      </c>
    </row>
    <row r="344">
      <c r="A344" t="n">
        <v>343</v>
      </c>
      <c r="B344" t="inlineStr">
        <is>
          <t>CCCXLIII</t>
        </is>
      </c>
      <c r="C344">
        <f>ROMAN(343)</f>
        <v/>
      </c>
      <c r="D344">
        <f>IF(B344=C344, "YES", "WRONG")</f>
        <v/>
      </c>
    </row>
    <row r="345">
      <c r="A345" t="n">
        <v>344</v>
      </c>
      <c r="B345" t="inlineStr">
        <is>
          <t>CCCXLIV</t>
        </is>
      </c>
      <c r="C345">
        <f>ROMAN(344)</f>
        <v/>
      </c>
      <c r="D345">
        <f>IF(B345=C345, "YES", "WRONG")</f>
        <v/>
      </c>
    </row>
    <row r="346">
      <c r="A346" t="n">
        <v>345</v>
      </c>
      <c r="B346" t="inlineStr">
        <is>
          <t>CCCXLV</t>
        </is>
      </c>
      <c r="C346">
        <f>ROMAN(345)</f>
        <v/>
      </c>
      <c r="D346">
        <f>IF(B346=C346, "YES", "WRONG")</f>
        <v/>
      </c>
    </row>
    <row r="347">
      <c r="A347" t="n">
        <v>346</v>
      </c>
      <c r="B347" t="inlineStr">
        <is>
          <t>CCCXLVI</t>
        </is>
      </c>
      <c r="C347">
        <f>ROMAN(346)</f>
        <v/>
      </c>
      <c r="D347">
        <f>IF(B347=C347, "YES", "WRONG")</f>
        <v/>
      </c>
    </row>
    <row r="348">
      <c r="A348" t="n">
        <v>347</v>
      </c>
      <c r="B348" t="inlineStr">
        <is>
          <t>CCCXLVII</t>
        </is>
      </c>
      <c r="C348">
        <f>ROMAN(347)</f>
        <v/>
      </c>
      <c r="D348">
        <f>IF(B348=C348, "YES", "WRONG")</f>
        <v/>
      </c>
    </row>
    <row r="349">
      <c r="A349" t="n">
        <v>348</v>
      </c>
      <c r="B349" t="inlineStr">
        <is>
          <t>CCCXLVIII</t>
        </is>
      </c>
      <c r="C349">
        <f>ROMAN(348)</f>
        <v/>
      </c>
      <c r="D349">
        <f>IF(B349=C349, "YES", "WRONG")</f>
        <v/>
      </c>
    </row>
    <row r="350">
      <c r="A350" t="n">
        <v>349</v>
      </c>
      <c r="B350" t="inlineStr">
        <is>
          <t>CCCXLIX</t>
        </is>
      </c>
      <c r="C350">
        <f>ROMAN(349)</f>
        <v/>
      </c>
      <c r="D350">
        <f>IF(B350=C350, "YES", "WRONG")</f>
        <v/>
      </c>
    </row>
    <row r="351">
      <c r="A351" t="n">
        <v>350</v>
      </c>
      <c r="B351" t="inlineStr">
        <is>
          <t>CCCL</t>
        </is>
      </c>
      <c r="C351">
        <f>ROMAN(350)</f>
        <v/>
      </c>
      <c r="D351">
        <f>IF(B351=C351, "YES", "WRONG")</f>
        <v/>
      </c>
    </row>
    <row r="352">
      <c r="A352" t="n">
        <v>351</v>
      </c>
      <c r="B352" t="inlineStr">
        <is>
          <t>CCCLI</t>
        </is>
      </c>
      <c r="C352">
        <f>ROMAN(351)</f>
        <v/>
      </c>
      <c r="D352">
        <f>IF(B352=C352, "YES", "WRONG")</f>
        <v/>
      </c>
    </row>
    <row r="353">
      <c r="A353" t="n">
        <v>352</v>
      </c>
      <c r="B353" t="inlineStr">
        <is>
          <t>CCCLII</t>
        </is>
      </c>
      <c r="C353">
        <f>ROMAN(352)</f>
        <v/>
      </c>
      <c r="D353">
        <f>IF(B353=C353, "YES", "WRONG")</f>
        <v/>
      </c>
    </row>
    <row r="354">
      <c r="A354" t="n">
        <v>353</v>
      </c>
      <c r="B354" t="inlineStr">
        <is>
          <t>CCCLIII</t>
        </is>
      </c>
      <c r="C354">
        <f>ROMAN(353)</f>
        <v/>
      </c>
      <c r="D354">
        <f>IF(B354=C354, "YES", "WRONG")</f>
        <v/>
      </c>
    </row>
    <row r="355">
      <c r="A355" t="n">
        <v>354</v>
      </c>
      <c r="B355" t="inlineStr">
        <is>
          <t>CCCLIV</t>
        </is>
      </c>
      <c r="C355">
        <f>ROMAN(354)</f>
        <v/>
      </c>
      <c r="D355">
        <f>IF(B355=C355, "YES", "WRONG")</f>
        <v/>
      </c>
    </row>
    <row r="356">
      <c r="A356" t="n">
        <v>355</v>
      </c>
      <c r="B356" t="inlineStr">
        <is>
          <t>CCCLV</t>
        </is>
      </c>
      <c r="C356">
        <f>ROMAN(355)</f>
        <v/>
      </c>
      <c r="D356">
        <f>IF(B356=C356, "YES", "WRONG")</f>
        <v/>
      </c>
    </row>
    <row r="357">
      <c r="A357" t="n">
        <v>356</v>
      </c>
      <c r="B357" t="inlineStr">
        <is>
          <t>CCCLVI</t>
        </is>
      </c>
      <c r="C357">
        <f>ROMAN(356)</f>
        <v/>
      </c>
      <c r="D357">
        <f>IF(B357=C357, "YES", "WRONG")</f>
        <v/>
      </c>
    </row>
    <row r="358">
      <c r="A358" t="n">
        <v>357</v>
      </c>
      <c r="B358" t="inlineStr">
        <is>
          <t>CCCLVII</t>
        </is>
      </c>
      <c r="C358">
        <f>ROMAN(357)</f>
        <v/>
      </c>
      <c r="D358">
        <f>IF(B358=C358, "YES", "WRONG")</f>
        <v/>
      </c>
    </row>
    <row r="359">
      <c r="A359" t="n">
        <v>358</v>
      </c>
      <c r="B359" t="inlineStr">
        <is>
          <t>CCCLVIII</t>
        </is>
      </c>
      <c r="C359">
        <f>ROMAN(358)</f>
        <v/>
      </c>
      <c r="D359">
        <f>IF(B359=C359, "YES", "WRONG")</f>
        <v/>
      </c>
    </row>
    <row r="360">
      <c r="A360" t="n">
        <v>359</v>
      </c>
      <c r="B360" t="inlineStr">
        <is>
          <t>CCCLIX</t>
        </is>
      </c>
      <c r="C360">
        <f>ROMAN(359)</f>
        <v/>
      </c>
      <c r="D360">
        <f>IF(B360=C360, "YES", "WRONG")</f>
        <v/>
      </c>
    </row>
    <row r="361">
      <c r="A361" t="n">
        <v>360</v>
      </c>
      <c r="B361" t="inlineStr">
        <is>
          <t>CCCLX</t>
        </is>
      </c>
      <c r="C361">
        <f>ROMAN(360)</f>
        <v/>
      </c>
      <c r="D361">
        <f>IF(B361=C361, "YES", "WRONG")</f>
        <v/>
      </c>
    </row>
    <row r="362">
      <c r="A362" t="n">
        <v>361</v>
      </c>
      <c r="B362" t="inlineStr">
        <is>
          <t>CCCLXI</t>
        </is>
      </c>
      <c r="C362">
        <f>ROMAN(361)</f>
        <v/>
      </c>
      <c r="D362">
        <f>IF(B362=C362, "YES", "WRONG")</f>
        <v/>
      </c>
    </row>
    <row r="363">
      <c r="A363" t="n">
        <v>362</v>
      </c>
      <c r="B363" t="inlineStr">
        <is>
          <t>CCCLXII</t>
        </is>
      </c>
      <c r="C363">
        <f>ROMAN(362)</f>
        <v/>
      </c>
      <c r="D363">
        <f>IF(B363=C363, "YES", "WRONG")</f>
        <v/>
      </c>
    </row>
    <row r="364">
      <c r="A364" t="n">
        <v>363</v>
      </c>
      <c r="B364" t="inlineStr">
        <is>
          <t>CCCLXIII</t>
        </is>
      </c>
      <c r="C364">
        <f>ROMAN(363)</f>
        <v/>
      </c>
      <c r="D364">
        <f>IF(B364=C364, "YES", "WRONG")</f>
        <v/>
      </c>
    </row>
    <row r="365">
      <c r="A365" t="n">
        <v>364</v>
      </c>
      <c r="B365" t="inlineStr">
        <is>
          <t>CCCLXIV</t>
        </is>
      </c>
      <c r="C365">
        <f>ROMAN(364)</f>
        <v/>
      </c>
      <c r="D365">
        <f>IF(B365=C365, "YES", "WRONG")</f>
        <v/>
      </c>
    </row>
    <row r="366">
      <c r="A366" t="n">
        <v>365</v>
      </c>
      <c r="B366" t="inlineStr">
        <is>
          <t>CCCLXV</t>
        </is>
      </c>
      <c r="C366">
        <f>ROMAN(365)</f>
        <v/>
      </c>
      <c r="D366">
        <f>IF(B366=C366, "YES", "WRONG")</f>
        <v/>
      </c>
    </row>
    <row r="367">
      <c r="A367" t="n">
        <v>366</v>
      </c>
      <c r="B367" t="inlineStr">
        <is>
          <t>CCCLXVI</t>
        </is>
      </c>
      <c r="C367">
        <f>ROMAN(366)</f>
        <v/>
      </c>
      <c r="D367">
        <f>IF(B367=C367, "YES", "WRONG")</f>
        <v/>
      </c>
    </row>
    <row r="368">
      <c r="A368" t="n">
        <v>367</v>
      </c>
      <c r="B368" t="inlineStr">
        <is>
          <t>CCCLXVII</t>
        </is>
      </c>
      <c r="C368">
        <f>ROMAN(367)</f>
        <v/>
      </c>
      <c r="D368">
        <f>IF(B368=C368, "YES", "WRONG")</f>
        <v/>
      </c>
    </row>
    <row r="369">
      <c r="A369" t="n">
        <v>368</v>
      </c>
      <c r="B369" t="inlineStr">
        <is>
          <t>CCCLXVIII</t>
        </is>
      </c>
      <c r="C369">
        <f>ROMAN(368)</f>
        <v/>
      </c>
      <c r="D369">
        <f>IF(B369=C369, "YES", "WRONG")</f>
        <v/>
      </c>
    </row>
    <row r="370">
      <c r="A370" t="n">
        <v>369</v>
      </c>
      <c r="B370" t="inlineStr">
        <is>
          <t>CCCLXIX</t>
        </is>
      </c>
      <c r="C370">
        <f>ROMAN(369)</f>
        <v/>
      </c>
      <c r="D370">
        <f>IF(B370=C370, "YES", "WRONG")</f>
        <v/>
      </c>
    </row>
    <row r="371">
      <c r="A371" t="n">
        <v>370</v>
      </c>
      <c r="B371" t="inlineStr">
        <is>
          <t>CCCLXX</t>
        </is>
      </c>
      <c r="C371">
        <f>ROMAN(370)</f>
        <v/>
      </c>
      <c r="D371">
        <f>IF(B371=C371, "YES", "WRONG")</f>
        <v/>
      </c>
    </row>
    <row r="372">
      <c r="A372" t="n">
        <v>371</v>
      </c>
      <c r="B372" t="inlineStr">
        <is>
          <t>CCCLXXI</t>
        </is>
      </c>
      <c r="C372">
        <f>ROMAN(371)</f>
        <v/>
      </c>
      <c r="D372">
        <f>IF(B372=C372, "YES", "WRONG")</f>
        <v/>
      </c>
    </row>
    <row r="373">
      <c r="A373" t="n">
        <v>372</v>
      </c>
      <c r="B373" t="inlineStr">
        <is>
          <t>CCCLXXII</t>
        </is>
      </c>
      <c r="C373">
        <f>ROMAN(372)</f>
        <v/>
      </c>
      <c r="D373">
        <f>IF(B373=C373, "YES", "WRONG")</f>
        <v/>
      </c>
    </row>
    <row r="374">
      <c r="A374" t="n">
        <v>373</v>
      </c>
      <c r="B374" t="inlineStr">
        <is>
          <t>CCCLXXIII</t>
        </is>
      </c>
      <c r="C374">
        <f>ROMAN(373)</f>
        <v/>
      </c>
      <c r="D374">
        <f>IF(B374=C374, "YES", "WRONG")</f>
        <v/>
      </c>
    </row>
    <row r="375">
      <c r="A375" t="n">
        <v>374</v>
      </c>
      <c r="B375" t="inlineStr">
        <is>
          <t>CCCLXXIV</t>
        </is>
      </c>
      <c r="C375">
        <f>ROMAN(374)</f>
        <v/>
      </c>
      <c r="D375">
        <f>IF(B375=C375, "YES", "WRONG")</f>
        <v/>
      </c>
    </row>
    <row r="376">
      <c r="A376" t="n">
        <v>375</v>
      </c>
      <c r="B376" t="inlineStr">
        <is>
          <t>CCCLXXV</t>
        </is>
      </c>
      <c r="C376">
        <f>ROMAN(375)</f>
        <v/>
      </c>
      <c r="D376">
        <f>IF(B376=C376, "YES", "WRONG")</f>
        <v/>
      </c>
    </row>
    <row r="377">
      <c r="A377" t="n">
        <v>376</v>
      </c>
      <c r="B377" t="inlineStr">
        <is>
          <t>CCCLXXVI</t>
        </is>
      </c>
      <c r="C377">
        <f>ROMAN(376)</f>
        <v/>
      </c>
      <c r="D377">
        <f>IF(B377=C377, "YES", "WRONG")</f>
        <v/>
      </c>
    </row>
    <row r="378">
      <c r="A378" t="n">
        <v>377</v>
      </c>
      <c r="B378" t="inlineStr">
        <is>
          <t>CCCLXXVII</t>
        </is>
      </c>
      <c r="C378">
        <f>ROMAN(377)</f>
        <v/>
      </c>
      <c r="D378">
        <f>IF(B378=C378, "YES", "WRONG")</f>
        <v/>
      </c>
    </row>
    <row r="379">
      <c r="A379" t="n">
        <v>378</v>
      </c>
      <c r="B379" t="inlineStr">
        <is>
          <t>CCCLXXVIII</t>
        </is>
      </c>
      <c r="C379">
        <f>ROMAN(378)</f>
        <v/>
      </c>
      <c r="D379">
        <f>IF(B379=C379, "YES", "WRONG")</f>
        <v/>
      </c>
    </row>
    <row r="380">
      <c r="A380" t="n">
        <v>379</v>
      </c>
      <c r="B380" t="inlineStr">
        <is>
          <t>CCCLXXIX</t>
        </is>
      </c>
      <c r="C380">
        <f>ROMAN(379)</f>
        <v/>
      </c>
      <c r="D380">
        <f>IF(B380=C380, "YES", "WRONG")</f>
        <v/>
      </c>
    </row>
    <row r="381">
      <c r="A381" t="n">
        <v>380</v>
      </c>
      <c r="B381" t="inlineStr">
        <is>
          <t>CCCLXXX</t>
        </is>
      </c>
      <c r="C381">
        <f>ROMAN(380)</f>
        <v/>
      </c>
      <c r="D381">
        <f>IF(B381=C381, "YES", "WRONG")</f>
        <v/>
      </c>
    </row>
    <row r="382">
      <c r="A382" t="n">
        <v>381</v>
      </c>
      <c r="B382" t="inlineStr">
        <is>
          <t>CCCLXXXI</t>
        </is>
      </c>
      <c r="C382">
        <f>ROMAN(381)</f>
        <v/>
      </c>
      <c r="D382">
        <f>IF(B382=C382, "YES", "WRONG")</f>
        <v/>
      </c>
    </row>
    <row r="383">
      <c r="A383" t="n">
        <v>382</v>
      </c>
      <c r="B383" t="inlineStr">
        <is>
          <t>CCCLXXXII</t>
        </is>
      </c>
      <c r="C383">
        <f>ROMAN(382)</f>
        <v/>
      </c>
      <c r="D383">
        <f>IF(B383=C383, "YES", "WRONG")</f>
        <v/>
      </c>
    </row>
    <row r="384">
      <c r="A384" t="n">
        <v>383</v>
      </c>
      <c r="B384" t="inlineStr">
        <is>
          <t>CCCLXXXIII</t>
        </is>
      </c>
      <c r="C384">
        <f>ROMAN(383)</f>
        <v/>
      </c>
      <c r="D384">
        <f>IF(B384=C384, "YES", "WRONG")</f>
        <v/>
      </c>
    </row>
    <row r="385">
      <c r="A385" t="n">
        <v>384</v>
      </c>
      <c r="B385" t="inlineStr">
        <is>
          <t>CCCLXXXIV</t>
        </is>
      </c>
      <c r="C385">
        <f>ROMAN(384)</f>
        <v/>
      </c>
      <c r="D385">
        <f>IF(B385=C385, "YES", "WRONG")</f>
        <v/>
      </c>
    </row>
    <row r="386">
      <c r="A386" t="n">
        <v>385</v>
      </c>
      <c r="B386" t="inlineStr">
        <is>
          <t>CCCLXXXV</t>
        </is>
      </c>
      <c r="C386">
        <f>ROMAN(385)</f>
        <v/>
      </c>
      <c r="D386">
        <f>IF(B386=C386, "YES", "WRONG")</f>
        <v/>
      </c>
    </row>
    <row r="387">
      <c r="A387" t="n">
        <v>386</v>
      </c>
      <c r="B387" t="inlineStr">
        <is>
          <t>CCCLXXXVI</t>
        </is>
      </c>
      <c r="C387">
        <f>ROMAN(386)</f>
        <v/>
      </c>
      <c r="D387">
        <f>IF(B387=C387, "YES", "WRONG")</f>
        <v/>
      </c>
    </row>
    <row r="388">
      <c r="A388" t="n">
        <v>387</v>
      </c>
      <c r="B388" t="inlineStr">
        <is>
          <t>CCCLXXXVII</t>
        </is>
      </c>
      <c r="C388">
        <f>ROMAN(387)</f>
        <v/>
      </c>
      <c r="D388">
        <f>IF(B388=C388, "YES", "WRONG")</f>
        <v/>
      </c>
    </row>
    <row r="389">
      <c r="A389" t="n">
        <v>388</v>
      </c>
      <c r="B389" t="inlineStr">
        <is>
          <t>CCCLXXXVIII</t>
        </is>
      </c>
      <c r="C389">
        <f>ROMAN(388)</f>
        <v/>
      </c>
      <c r="D389">
        <f>IF(B389=C389, "YES", "WRONG")</f>
        <v/>
      </c>
    </row>
    <row r="390">
      <c r="A390" t="n">
        <v>389</v>
      </c>
      <c r="B390" t="inlineStr">
        <is>
          <t>CCCLXXXIX</t>
        </is>
      </c>
      <c r="C390">
        <f>ROMAN(389)</f>
        <v/>
      </c>
      <c r="D390">
        <f>IF(B390=C390, "YES", "WRONG")</f>
        <v/>
      </c>
    </row>
    <row r="391">
      <c r="A391" t="n">
        <v>390</v>
      </c>
      <c r="B391" t="inlineStr">
        <is>
          <t>CCCXC</t>
        </is>
      </c>
      <c r="C391">
        <f>ROMAN(390)</f>
        <v/>
      </c>
      <c r="D391">
        <f>IF(B391=C391, "YES", "WRONG")</f>
        <v/>
      </c>
    </row>
    <row r="392">
      <c r="A392" t="n">
        <v>391</v>
      </c>
      <c r="B392" t="inlineStr">
        <is>
          <t>CCCXCI</t>
        </is>
      </c>
      <c r="C392">
        <f>ROMAN(391)</f>
        <v/>
      </c>
      <c r="D392">
        <f>IF(B392=C392, "YES", "WRONG")</f>
        <v/>
      </c>
    </row>
    <row r="393">
      <c r="A393" t="n">
        <v>392</v>
      </c>
      <c r="B393" t="inlineStr">
        <is>
          <t>CCCXCII</t>
        </is>
      </c>
      <c r="C393">
        <f>ROMAN(392)</f>
        <v/>
      </c>
      <c r="D393">
        <f>IF(B393=C393, "YES", "WRONG")</f>
        <v/>
      </c>
    </row>
    <row r="394">
      <c r="A394" t="n">
        <v>393</v>
      </c>
      <c r="B394" t="inlineStr">
        <is>
          <t>CCCXCIII</t>
        </is>
      </c>
      <c r="C394">
        <f>ROMAN(393)</f>
        <v/>
      </c>
      <c r="D394">
        <f>IF(B394=C394, "YES", "WRONG")</f>
        <v/>
      </c>
    </row>
    <row r="395">
      <c r="A395" t="n">
        <v>394</v>
      </c>
      <c r="B395" t="inlineStr">
        <is>
          <t>CCCXCIV</t>
        </is>
      </c>
      <c r="C395">
        <f>ROMAN(394)</f>
        <v/>
      </c>
      <c r="D395">
        <f>IF(B395=C395, "YES", "WRONG")</f>
        <v/>
      </c>
    </row>
    <row r="396">
      <c r="A396" t="n">
        <v>395</v>
      </c>
      <c r="B396" t="inlineStr">
        <is>
          <t>CCCXCV</t>
        </is>
      </c>
      <c r="C396">
        <f>ROMAN(395)</f>
        <v/>
      </c>
      <c r="D396">
        <f>IF(B396=C396, "YES", "WRONG")</f>
        <v/>
      </c>
    </row>
    <row r="397">
      <c r="A397" t="n">
        <v>396</v>
      </c>
      <c r="B397" t="inlineStr">
        <is>
          <t>CCCXCVI</t>
        </is>
      </c>
      <c r="C397">
        <f>ROMAN(396)</f>
        <v/>
      </c>
      <c r="D397">
        <f>IF(B397=C397, "YES", "WRONG")</f>
        <v/>
      </c>
    </row>
    <row r="398">
      <c r="A398" t="n">
        <v>397</v>
      </c>
      <c r="B398" t="inlineStr">
        <is>
          <t>CCCXCVII</t>
        </is>
      </c>
      <c r="C398">
        <f>ROMAN(397)</f>
        <v/>
      </c>
      <c r="D398">
        <f>IF(B398=C398, "YES", "WRONG")</f>
        <v/>
      </c>
    </row>
    <row r="399">
      <c r="A399" t="n">
        <v>398</v>
      </c>
      <c r="B399" t="inlineStr">
        <is>
          <t>CCCXCVIII</t>
        </is>
      </c>
      <c r="C399">
        <f>ROMAN(398)</f>
        <v/>
      </c>
      <c r="D399">
        <f>IF(B399=C399, "YES", "WRONG")</f>
        <v/>
      </c>
    </row>
    <row r="400">
      <c r="A400" t="n">
        <v>399</v>
      </c>
      <c r="B400" t="inlineStr">
        <is>
          <t>CCCXCIX</t>
        </is>
      </c>
      <c r="C400">
        <f>ROMAN(399)</f>
        <v/>
      </c>
      <c r="D400">
        <f>IF(B400=C400, "YES", "WRONG")</f>
        <v/>
      </c>
    </row>
    <row r="401">
      <c r="A401" t="n">
        <v>400</v>
      </c>
      <c r="B401" t="inlineStr">
        <is>
          <t>CD</t>
        </is>
      </c>
      <c r="C401">
        <f>ROMAN(400)</f>
        <v/>
      </c>
      <c r="D401">
        <f>IF(B401=C401, "YES", "WRONG")</f>
        <v/>
      </c>
    </row>
    <row r="402">
      <c r="A402" t="n">
        <v>401</v>
      </c>
      <c r="B402" t="inlineStr">
        <is>
          <t>CDI</t>
        </is>
      </c>
      <c r="C402">
        <f>ROMAN(401)</f>
        <v/>
      </c>
      <c r="D402">
        <f>IF(B402=C402, "YES", "WRONG")</f>
        <v/>
      </c>
    </row>
    <row r="403">
      <c r="A403" t="n">
        <v>402</v>
      </c>
      <c r="B403" t="inlineStr">
        <is>
          <t>CDII</t>
        </is>
      </c>
      <c r="C403">
        <f>ROMAN(402)</f>
        <v/>
      </c>
      <c r="D403">
        <f>IF(B403=C403, "YES", "WRONG")</f>
        <v/>
      </c>
    </row>
    <row r="404">
      <c r="A404" t="n">
        <v>403</v>
      </c>
      <c r="B404" t="inlineStr">
        <is>
          <t>CDIII</t>
        </is>
      </c>
      <c r="C404">
        <f>ROMAN(403)</f>
        <v/>
      </c>
      <c r="D404">
        <f>IF(B404=C404, "YES", "WRONG")</f>
        <v/>
      </c>
    </row>
    <row r="405">
      <c r="A405" t="n">
        <v>404</v>
      </c>
      <c r="B405" t="inlineStr">
        <is>
          <t>CDIV</t>
        </is>
      </c>
      <c r="C405">
        <f>ROMAN(404)</f>
        <v/>
      </c>
      <c r="D405">
        <f>IF(B405=C405, "YES", "WRONG")</f>
        <v/>
      </c>
    </row>
    <row r="406">
      <c r="A406" t="n">
        <v>405</v>
      </c>
      <c r="B406" t="inlineStr">
        <is>
          <t>CDV</t>
        </is>
      </c>
      <c r="C406">
        <f>ROMAN(405)</f>
        <v/>
      </c>
      <c r="D406">
        <f>IF(B406=C406, "YES", "WRONG")</f>
        <v/>
      </c>
    </row>
    <row r="407">
      <c r="A407" t="n">
        <v>406</v>
      </c>
      <c r="B407" t="inlineStr">
        <is>
          <t>CDVI</t>
        </is>
      </c>
      <c r="C407">
        <f>ROMAN(406)</f>
        <v/>
      </c>
      <c r="D407">
        <f>IF(B407=C407, "YES", "WRONG")</f>
        <v/>
      </c>
    </row>
    <row r="408">
      <c r="A408" t="n">
        <v>407</v>
      </c>
      <c r="B408" t="inlineStr">
        <is>
          <t>CDVII</t>
        </is>
      </c>
      <c r="C408">
        <f>ROMAN(407)</f>
        <v/>
      </c>
      <c r="D408">
        <f>IF(B408=C408, "YES", "WRONG")</f>
        <v/>
      </c>
    </row>
    <row r="409">
      <c r="A409" t="n">
        <v>408</v>
      </c>
      <c r="B409" t="inlineStr">
        <is>
          <t>CDVIII</t>
        </is>
      </c>
      <c r="C409">
        <f>ROMAN(408)</f>
        <v/>
      </c>
      <c r="D409">
        <f>IF(B409=C409, "YES", "WRONG")</f>
        <v/>
      </c>
    </row>
    <row r="410">
      <c r="A410" t="n">
        <v>409</v>
      </c>
      <c r="B410" t="inlineStr">
        <is>
          <t>CDIX</t>
        </is>
      </c>
      <c r="C410">
        <f>ROMAN(409)</f>
        <v/>
      </c>
      <c r="D410">
        <f>IF(B410=C410, "YES", "WRONG")</f>
        <v/>
      </c>
    </row>
    <row r="411">
      <c r="A411" t="n">
        <v>410</v>
      </c>
      <c r="B411" t="inlineStr">
        <is>
          <t>CDX</t>
        </is>
      </c>
      <c r="C411">
        <f>ROMAN(410)</f>
        <v/>
      </c>
      <c r="D411">
        <f>IF(B411=C411, "YES", "WRONG")</f>
        <v/>
      </c>
    </row>
    <row r="412">
      <c r="A412" t="n">
        <v>411</v>
      </c>
      <c r="B412" t="inlineStr">
        <is>
          <t>CDXI</t>
        </is>
      </c>
      <c r="C412">
        <f>ROMAN(411)</f>
        <v/>
      </c>
      <c r="D412">
        <f>IF(B412=C412, "YES", "WRONG")</f>
        <v/>
      </c>
    </row>
    <row r="413">
      <c r="A413" t="n">
        <v>412</v>
      </c>
      <c r="B413" t="inlineStr">
        <is>
          <t>CDXII</t>
        </is>
      </c>
      <c r="C413">
        <f>ROMAN(412)</f>
        <v/>
      </c>
      <c r="D413">
        <f>IF(B413=C413, "YES", "WRONG")</f>
        <v/>
      </c>
    </row>
    <row r="414">
      <c r="A414" t="n">
        <v>413</v>
      </c>
      <c r="B414" t="inlineStr">
        <is>
          <t>CDXIII</t>
        </is>
      </c>
      <c r="C414">
        <f>ROMAN(413)</f>
        <v/>
      </c>
      <c r="D414">
        <f>IF(B414=C414, "YES", "WRONG")</f>
        <v/>
      </c>
    </row>
    <row r="415">
      <c r="A415" t="n">
        <v>414</v>
      </c>
      <c r="B415" t="inlineStr">
        <is>
          <t>CDXIV</t>
        </is>
      </c>
      <c r="C415">
        <f>ROMAN(414)</f>
        <v/>
      </c>
      <c r="D415">
        <f>IF(B415=C415, "YES", "WRONG")</f>
        <v/>
      </c>
    </row>
    <row r="416">
      <c r="A416" t="n">
        <v>415</v>
      </c>
      <c r="B416" t="inlineStr">
        <is>
          <t>CDXV</t>
        </is>
      </c>
      <c r="C416">
        <f>ROMAN(415)</f>
        <v/>
      </c>
      <c r="D416">
        <f>IF(B416=C416, "YES", "WRONG")</f>
        <v/>
      </c>
    </row>
    <row r="417">
      <c r="A417" t="n">
        <v>416</v>
      </c>
      <c r="B417" t="inlineStr">
        <is>
          <t>CDXVI</t>
        </is>
      </c>
      <c r="C417">
        <f>ROMAN(416)</f>
        <v/>
      </c>
      <c r="D417">
        <f>IF(B417=C417, "YES", "WRONG")</f>
        <v/>
      </c>
    </row>
    <row r="418">
      <c r="A418" t="n">
        <v>417</v>
      </c>
      <c r="B418" t="inlineStr">
        <is>
          <t>CDXVII</t>
        </is>
      </c>
      <c r="C418">
        <f>ROMAN(417)</f>
        <v/>
      </c>
      <c r="D418">
        <f>IF(B418=C418, "YES", "WRONG")</f>
        <v/>
      </c>
    </row>
    <row r="419">
      <c r="A419" t="n">
        <v>418</v>
      </c>
      <c r="B419" t="inlineStr">
        <is>
          <t>CDXVIII</t>
        </is>
      </c>
      <c r="C419">
        <f>ROMAN(418)</f>
        <v/>
      </c>
      <c r="D419">
        <f>IF(B419=C419, "YES", "WRONG")</f>
        <v/>
      </c>
    </row>
    <row r="420">
      <c r="A420" t="n">
        <v>419</v>
      </c>
      <c r="B420" t="inlineStr">
        <is>
          <t>CDXIX</t>
        </is>
      </c>
      <c r="C420">
        <f>ROMAN(419)</f>
        <v/>
      </c>
      <c r="D420">
        <f>IF(B420=C420, "YES", "WRONG")</f>
        <v/>
      </c>
    </row>
    <row r="421">
      <c r="A421" t="n">
        <v>420</v>
      </c>
      <c r="B421" t="inlineStr">
        <is>
          <t>CDXX</t>
        </is>
      </c>
      <c r="C421">
        <f>ROMAN(420)</f>
        <v/>
      </c>
      <c r="D421">
        <f>IF(B421=C421, "YES", "WRONG")</f>
        <v/>
      </c>
    </row>
    <row r="422">
      <c r="A422" t="n">
        <v>421</v>
      </c>
      <c r="B422" t="inlineStr">
        <is>
          <t>CDXXI</t>
        </is>
      </c>
      <c r="C422">
        <f>ROMAN(421)</f>
        <v/>
      </c>
      <c r="D422">
        <f>IF(B422=C422, "YES", "WRONG")</f>
        <v/>
      </c>
    </row>
    <row r="423">
      <c r="A423" t="n">
        <v>422</v>
      </c>
      <c r="B423" t="inlineStr">
        <is>
          <t>CDXXII</t>
        </is>
      </c>
      <c r="C423">
        <f>ROMAN(422)</f>
        <v/>
      </c>
      <c r="D423">
        <f>IF(B423=C423, "YES", "WRONG")</f>
        <v/>
      </c>
    </row>
    <row r="424">
      <c r="A424" t="n">
        <v>423</v>
      </c>
      <c r="B424" t="inlineStr">
        <is>
          <t>CDXXIII</t>
        </is>
      </c>
      <c r="C424">
        <f>ROMAN(423)</f>
        <v/>
      </c>
      <c r="D424">
        <f>IF(B424=C424, "YES", "WRONG")</f>
        <v/>
      </c>
    </row>
    <row r="425">
      <c r="A425" t="n">
        <v>424</v>
      </c>
      <c r="B425" t="inlineStr">
        <is>
          <t>CDXXIV</t>
        </is>
      </c>
      <c r="C425">
        <f>ROMAN(424)</f>
        <v/>
      </c>
      <c r="D425">
        <f>IF(B425=C425, "YES", "WRONG")</f>
        <v/>
      </c>
    </row>
    <row r="426">
      <c r="A426" t="n">
        <v>425</v>
      </c>
      <c r="B426" t="inlineStr">
        <is>
          <t>CDXXV</t>
        </is>
      </c>
      <c r="C426">
        <f>ROMAN(425)</f>
        <v/>
      </c>
      <c r="D426">
        <f>IF(B426=C426, "YES", "WRONG")</f>
        <v/>
      </c>
    </row>
    <row r="427">
      <c r="A427" t="n">
        <v>426</v>
      </c>
      <c r="B427" t="inlineStr">
        <is>
          <t>CDXXVI</t>
        </is>
      </c>
      <c r="C427">
        <f>ROMAN(426)</f>
        <v/>
      </c>
      <c r="D427">
        <f>IF(B427=C427, "YES", "WRONG")</f>
        <v/>
      </c>
    </row>
    <row r="428">
      <c r="A428" t="n">
        <v>427</v>
      </c>
      <c r="B428" t="inlineStr">
        <is>
          <t>CDXXVII</t>
        </is>
      </c>
      <c r="C428">
        <f>ROMAN(427)</f>
        <v/>
      </c>
      <c r="D428">
        <f>IF(B428=C428, "YES", "WRONG")</f>
        <v/>
      </c>
    </row>
    <row r="429">
      <c r="A429" t="n">
        <v>428</v>
      </c>
      <c r="B429" t="inlineStr">
        <is>
          <t>CDXXVIII</t>
        </is>
      </c>
      <c r="C429">
        <f>ROMAN(428)</f>
        <v/>
      </c>
      <c r="D429">
        <f>IF(B429=C429, "YES", "WRONG")</f>
        <v/>
      </c>
    </row>
    <row r="430">
      <c r="A430" t="n">
        <v>429</v>
      </c>
      <c r="B430" t="inlineStr">
        <is>
          <t>CDXXIX</t>
        </is>
      </c>
      <c r="C430">
        <f>ROMAN(429)</f>
        <v/>
      </c>
      <c r="D430">
        <f>IF(B430=C430, "YES", "WRONG")</f>
        <v/>
      </c>
    </row>
    <row r="431">
      <c r="A431" t="n">
        <v>430</v>
      </c>
      <c r="B431" t="inlineStr">
        <is>
          <t>CDXXX</t>
        </is>
      </c>
      <c r="C431">
        <f>ROMAN(430)</f>
        <v/>
      </c>
      <c r="D431">
        <f>IF(B431=C431, "YES", "WRONG")</f>
        <v/>
      </c>
    </row>
    <row r="432">
      <c r="A432" t="n">
        <v>431</v>
      </c>
      <c r="B432" t="inlineStr">
        <is>
          <t>CDXXXI</t>
        </is>
      </c>
      <c r="C432">
        <f>ROMAN(431)</f>
        <v/>
      </c>
      <c r="D432">
        <f>IF(B432=C432, "YES", "WRONG")</f>
        <v/>
      </c>
    </row>
    <row r="433">
      <c r="A433" t="n">
        <v>432</v>
      </c>
      <c r="B433" t="inlineStr">
        <is>
          <t>CDXXXII</t>
        </is>
      </c>
      <c r="C433">
        <f>ROMAN(432)</f>
        <v/>
      </c>
      <c r="D433">
        <f>IF(B433=C433, "YES", "WRONG")</f>
        <v/>
      </c>
    </row>
    <row r="434">
      <c r="A434" t="n">
        <v>433</v>
      </c>
      <c r="B434" t="inlineStr">
        <is>
          <t>CDXXXIII</t>
        </is>
      </c>
      <c r="C434">
        <f>ROMAN(433)</f>
        <v/>
      </c>
      <c r="D434">
        <f>IF(B434=C434, "YES", "WRONG")</f>
        <v/>
      </c>
    </row>
    <row r="435">
      <c r="A435" t="n">
        <v>434</v>
      </c>
      <c r="B435" t="inlineStr">
        <is>
          <t>CDXXXIV</t>
        </is>
      </c>
      <c r="C435">
        <f>ROMAN(434)</f>
        <v/>
      </c>
      <c r="D435">
        <f>IF(B435=C435, "YES", "WRONG")</f>
        <v/>
      </c>
    </row>
    <row r="436">
      <c r="A436" t="n">
        <v>435</v>
      </c>
      <c r="B436" t="inlineStr">
        <is>
          <t>CDXXXV</t>
        </is>
      </c>
      <c r="C436">
        <f>ROMAN(435)</f>
        <v/>
      </c>
      <c r="D436">
        <f>IF(B436=C436, "YES", "WRONG")</f>
        <v/>
      </c>
    </row>
    <row r="437">
      <c r="A437" t="n">
        <v>436</v>
      </c>
      <c r="B437" t="inlineStr">
        <is>
          <t>CDXXXVI</t>
        </is>
      </c>
      <c r="C437">
        <f>ROMAN(436)</f>
        <v/>
      </c>
      <c r="D437">
        <f>IF(B437=C437, "YES", "WRONG")</f>
        <v/>
      </c>
    </row>
    <row r="438">
      <c r="A438" t="n">
        <v>437</v>
      </c>
      <c r="B438" t="inlineStr">
        <is>
          <t>CDXXXVII</t>
        </is>
      </c>
      <c r="C438">
        <f>ROMAN(437)</f>
        <v/>
      </c>
      <c r="D438">
        <f>IF(B438=C438, "YES", "WRONG")</f>
        <v/>
      </c>
    </row>
    <row r="439">
      <c r="A439" t="n">
        <v>438</v>
      </c>
      <c r="B439" t="inlineStr">
        <is>
          <t>CDXXXVIII</t>
        </is>
      </c>
      <c r="C439">
        <f>ROMAN(438)</f>
        <v/>
      </c>
      <c r="D439">
        <f>IF(B439=C439, "YES", "WRONG")</f>
        <v/>
      </c>
    </row>
    <row r="440">
      <c r="A440" t="n">
        <v>439</v>
      </c>
      <c r="B440" t="inlineStr">
        <is>
          <t>CDXXXIX</t>
        </is>
      </c>
      <c r="C440">
        <f>ROMAN(439)</f>
        <v/>
      </c>
      <c r="D440">
        <f>IF(B440=C440, "YES", "WRONG")</f>
        <v/>
      </c>
    </row>
    <row r="441">
      <c r="A441" t="n">
        <v>440</v>
      </c>
      <c r="B441" t="inlineStr">
        <is>
          <t>CDXL</t>
        </is>
      </c>
      <c r="C441">
        <f>ROMAN(440)</f>
        <v/>
      </c>
      <c r="D441">
        <f>IF(B441=C441, "YES", "WRONG")</f>
        <v/>
      </c>
    </row>
    <row r="442">
      <c r="A442" t="n">
        <v>441</v>
      </c>
      <c r="B442" t="inlineStr">
        <is>
          <t>CDXLI</t>
        </is>
      </c>
      <c r="C442">
        <f>ROMAN(441)</f>
        <v/>
      </c>
      <c r="D442">
        <f>IF(B442=C442, "YES", "WRONG")</f>
        <v/>
      </c>
    </row>
    <row r="443">
      <c r="A443" t="n">
        <v>442</v>
      </c>
      <c r="B443" t="inlineStr">
        <is>
          <t>CDXLII</t>
        </is>
      </c>
      <c r="C443">
        <f>ROMAN(442)</f>
        <v/>
      </c>
      <c r="D443">
        <f>IF(B443=C443, "YES", "WRONG")</f>
        <v/>
      </c>
    </row>
    <row r="444">
      <c r="A444" t="n">
        <v>443</v>
      </c>
      <c r="B444" t="inlineStr">
        <is>
          <t>CDXLIII</t>
        </is>
      </c>
      <c r="C444">
        <f>ROMAN(443)</f>
        <v/>
      </c>
      <c r="D444">
        <f>IF(B444=C444, "YES", "WRONG")</f>
        <v/>
      </c>
    </row>
    <row r="445">
      <c r="A445" t="n">
        <v>444</v>
      </c>
      <c r="B445" t="inlineStr">
        <is>
          <t>CDXLIV</t>
        </is>
      </c>
      <c r="C445">
        <f>ROMAN(444)</f>
        <v/>
      </c>
      <c r="D445">
        <f>IF(B445=C445, "YES", "WRONG")</f>
        <v/>
      </c>
    </row>
    <row r="446">
      <c r="A446" t="n">
        <v>445</v>
      </c>
      <c r="B446" t="inlineStr">
        <is>
          <t>CDXLV</t>
        </is>
      </c>
      <c r="C446">
        <f>ROMAN(445)</f>
        <v/>
      </c>
      <c r="D446">
        <f>IF(B446=C446, "YES", "WRONG")</f>
        <v/>
      </c>
    </row>
    <row r="447">
      <c r="A447" t="n">
        <v>446</v>
      </c>
      <c r="B447" t="inlineStr">
        <is>
          <t>CDXLVI</t>
        </is>
      </c>
      <c r="C447">
        <f>ROMAN(446)</f>
        <v/>
      </c>
      <c r="D447">
        <f>IF(B447=C447, "YES", "WRONG")</f>
        <v/>
      </c>
    </row>
    <row r="448">
      <c r="A448" t="n">
        <v>447</v>
      </c>
      <c r="B448" t="inlineStr">
        <is>
          <t>CDXLVII</t>
        </is>
      </c>
      <c r="C448">
        <f>ROMAN(447)</f>
        <v/>
      </c>
      <c r="D448">
        <f>IF(B448=C448, "YES", "WRONG")</f>
        <v/>
      </c>
    </row>
    <row r="449">
      <c r="A449" t="n">
        <v>448</v>
      </c>
      <c r="B449" t="inlineStr">
        <is>
          <t>CDXLVIII</t>
        </is>
      </c>
      <c r="C449">
        <f>ROMAN(448)</f>
        <v/>
      </c>
      <c r="D449">
        <f>IF(B449=C449, "YES", "WRONG")</f>
        <v/>
      </c>
    </row>
    <row r="450">
      <c r="A450" t="n">
        <v>449</v>
      </c>
      <c r="B450" t="inlineStr">
        <is>
          <t>CDXLIX</t>
        </is>
      </c>
      <c r="C450">
        <f>ROMAN(449)</f>
        <v/>
      </c>
      <c r="D450">
        <f>IF(B450=C450, "YES", "WRONG")</f>
        <v/>
      </c>
    </row>
    <row r="451">
      <c r="A451" t="n">
        <v>450</v>
      </c>
      <c r="B451" t="inlineStr">
        <is>
          <t>CDL</t>
        </is>
      </c>
      <c r="C451">
        <f>ROMAN(450)</f>
        <v/>
      </c>
      <c r="D451">
        <f>IF(B451=C451, "YES", "WRONG")</f>
        <v/>
      </c>
    </row>
    <row r="452">
      <c r="A452" t="n">
        <v>451</v>
      </c>
      <c r="B452" t="inlineStr">
        <is>
          <t>CDLI</t>
        </is>
      </c>
      <c r="C452">
        <f>ROMAN(451)</f>
        <v/>
      </c>
      <c r="D452">
        <f>IF(B452=C452, "YES", "WRONG")</f>
        <v/>
      </c>
    </row>
    <row r="453">
      <c r="A453" t="n">
        <v>452</v>
      </c>
      <c r="B453" t="inlineStr">
        <is>
          <t>CDLII</t>
        </is>
      </c>
      <c r="C453">
        <f>ROMAN(452)</f>
        <v/>
      </c>
      <c r="D453">
        <f>IF(B453=C453, "YES", "WRONG")</f>
        <v/>
      </c>
    </row>
    <row r="454">
      <c r="A454" t="n">
        <v>453</v>
      </c>
      <c r="B454" t="inlineStr">
        <is>
          <t>CDLIII</t>
        </is>
      </c>
      <c r="C454">
        <f>ROMAN(453)</f>
        <v/>
      </c>
      <c r="D454">
        <f>IF(B454=C454, "YES", "WRONG")</f>
        <v/>
      </c>
    </row>
    <row r="455">
      <c r="A455" t="n">
        <v>454</v>
      </c>
      <c r="B455" t="inlineStr">
        <is>
          <t>CDLIV</t>
        </is>
      </c>
      <c r="C455">
        <f>ROMAN(454)</f>
        <v/>
      </c>
      <c r="D455">
        <f>IF(B455=C455, "YES", "WRONG")</f>
        <v/>
      </c>
    </row>
    <row r="456">
      <c r="A456" t="n">
        <v>455</v>
      </c>
      <c r="B456" t="inlineStr">
        <is>
          <t>CDLV</t>
        </is>
      </c>
      <c r="C456">
        <f>ROMAN(455)</f>
        <v/>
      </c>
      <c r="D456">
        <f>IF(B456=C456, "YES", "WRONG")</f>
        <v/>
      </c>
    </row>
    <row r="457">
      <c r="A457" t="n">
        <v>456</v>
      </c>
      <c r="B457" t="inlineStr">
        <is>
          <t>CDLVI</t>
        </is>
      </c>
      <c r="C457">
        <f>ROMAN(456)</f>
        <v/>
      </c>
      <c r="D457">
        <f>IF(B457=C457, "YES", "WRONG")</f>
        <v/>
      </c>
    </row>
    <row r="458">
      <c r="A458" t="n">
        <v>457</v>
      </c>
      <c r="B458" t="inlineStr">
        <is>
          <t>CDLVII</t>
        </is>
      </c>
      <c r="C458">
        <f>ROMAN(457)</f>
        <v/>
      </c>
      <c r="D458">
        <f>IF(B458=C458, "YES", "WRONG")</f>
        <v/>
      </c>
    </row>
    <row r="459">
      <c r="A459" t="n">
        <v>458</v>
      </c>
      <c r="B459" t="inlineStr">
        <is>
          <t>CDLVIII</t>
        </is>
      </c>
      <c r="C459">
        <f>ROMAN(458)</f>
        <v/>
      </c>
      <c r="D459">
        <f>IF(B459=C459, "YES", "WRONG")</f>
        <v/>
      </c>
    </row>
    <row r="460">
      <c r="A460" t="n">
        <v>459</v>
      </c>
      <c r="B460" t="inlineStr">
        <is>
          <t>CDLIX</t>
        </is>
      </c>
      <c r="C460">
        <f>ROMAN(459)</f>
        <v/>
      </c>
      <c r="D460">
        <f>IF(B460=C460, "YES", "WRONG")</f>
        <v/>
      </c>
    </row>
    <row r="461">
      <c r="A461" t="n">
        <v>460</v>
      </c>
      <c r="B461" t="inlineStr">
        <is>
          <t>CDLX</t>
        </is>
      </c>
      <c r="C461">
        <f>ROMAN(460)</f>
        <v/>
      </c>
      <c r="D461">
        <f>IF(B461=C461, "YES", "WRONG")</f>
        <v/>
      </c>
    </row>
    <row r="462">
      <c r="A462" t="n">
        <v>461</v>
      </c>
      <c r="B462" t="inlineStr">
        <is>
          <t>CDLXI</t>
        </is>
      </c>
      <c r="C462">
        <f>ROMAN(461)</f>
        <v/>
      </c>
      <c r="D462">
        <f>IF(B462=C462, "YES", "WRONG")</f>
        <v/>
      </c>
    </row>
    <row r="463">
      <c r="A463" t="n">
        <v>462</v>
      </c>
      <c r="B463" t="inlineStr">
        <is>
          <t>CDLXII</t>
        </is>
      </c>
      <c r="C463">
        <f>ROMAN(462)</f>
        <v/>
      </c>
      <c r="D463">
        <f>IF(B463=C463, "YES", "WRONG")</f>
        <v/>
      </c>
    </row>
    <row r="464">
      <c r="A464" t="n">
        <v>463</v>
      </c>
      <c r="B464" t="inlineStr">
        <is>
          <t>CDLXIII</t>
        </is>
      </c>
      <c r="C464">
        <f>ROMAN(463)</f>
        <v/>
      </c>
      <c r="D464">
        <f>IF(B464=C464, "YES", "WRONG")</f>
        <v/>
      </c>
    </row>
    <row r="465">
      <c r="A465" t="n">
        <v>464</v>
      </c>
      <c r="B465" t="inlineStr">
        <is>
          <t>CDLXIV</t>
        </is>
      </c>
      <c r="C465">
        <f>ROMAN(464)</f>
        <v/>
      </c>
      <c r="D465">
        <f>IF(B465=C465, "YES", "WRONG")</f>
        <v/>
      </c>
    </row>
    <row r="466">
      <c r="A466" t="n">
        <v>465</v>
      </c>
      <c r="B466" t="inlineStr">
        <is>
          <t>CDLXV</t>
        </is>
      </c>
      <c r="C466">
        <f>ROMAN(465)</f>
        <v/>
      </c>
      <c r="D466">
        <f>IF(B466=C466, "YES", "WRONG")</f>
        <v/>
      </c>
    </row>
    <row r="467">
      <c r="A467" t="n">
        <v>466</v>
      </c>
      <c r="B467" t="inlineStr">
        <is>
          <t>CDLXVI</t>
        </is>
      </c>
      <c r="C467">
        <f>ROMAN(466)</f>
        <v/>
      </c>
      <c r="D467">
        <f>IF(B467=C467, "YES", "WRONG")</f>
        <v/>
      </c>
    </row>
    <row r="468">
      <c r="A468" t="n">
        <v>467</v>
      </c>
      <c r="B468" t="inlineStr">
        <is>
          <t>CDLXVII</t>
        </is>
      </c>
      <c r="C468">
        <f>ROMAN(467)</f>
        <v/>
      </c>
      <c r="D468">
        <f>IF(B468=C468, "YES", "WRONG")</f>
        <v/>
      </c>
    </row>
    <row r="469">
      <c r="A469" t="n">
        <v>468</v>
      </c>
      <c r="B469" t="inlineStr">
        <is>
          <t>CDLXVIII</t>
        </is>
      </c>
      <c r="C469">
        <f>ROMAN(468)</f>
        <v/>
      </c>
      <c r="D469">
        <f>IF(B469=C469, "YES", "WRONG")</f>
        <v/>
      </c>
    </row>
    <row r="470">
      <c r="A470" t="n">
        <v>469</v>
      </c>
      <c r="B470" t="inlineStr">
        <is>
          <t>CDLXIX</t>
        </is>
      </c>
      <c r="C470">
        <f>ROMAN(469)</f>
        <v/>
      </c>
      <c r="D470">
        <f>IF(B470=C470, "YES", "WRONG")</f>
        <v/>
      </c>
    </row>
    <row r="471">
      <c r="A471" t="n">
        <v>470</v>
      </c>
      <c r="B471" t="inlineStr">
        <is>
          <t>CDLXX</t>
        </is>
      </c>
      <c r="C471">
        <f>ROMAN(470)</f>
        <v/>
      </c>
      <c r="D471">
        <f>IF(B471=C471, "YES", "WRONG")</f>
        <v/>
      </c>
    </row>
    <row r="472">
      <c r="A472" t="n">
        <v>471</v>
      </c>
      <c r="B472" t="inlineStr">
        <is>
          <t>CDLXXI</t>
        </is>
      </c>
      <c r="C472">
        <f>ROMAN(471)</f>
        <v/>
      </c>
      <c r="D472">
        <f>IF(B472=C472, "YES", "WRONG")</f>
        <v/>
      </c>
    </row>
    <row r="473">
      <c r="A473" t="n">
        <v>472</v>
      </c>
      <c r="B473" t="inlineStr">
        <is>
          <t>CDLXXII</t>
        </is>
      </c>
      <c r="C473">
        <f>ROMAN(472)</f>
        <v/>
      </c>
      <c r="D473">
        <f>IF(B473=C473, "YES", "WRONG")</f>
        <v/>
      </c>
    </row>
    <row r="474">
      <c r="A474" t="n">
        <v>473</v>
      </c>
      <c r="B474" t="inlineStr">
        <is>
          <t>CDLXXIII</t>
        </is>
      </c>
      <c r="C474">
        <f>ROMAN(473)</f>
        <v/>
      </c>
      <c r="D474">
        <f>IF(B474=C474, "YES", "WRONG")</f>
        <v/>
      </c>
    </row>
    <row r="475">
      <c r="A475" t="n">
        <v>474</v>
      </c>
      <c r="B475" t="inlineStr">
        <is>
          <t>CDLXXIV</t>
        </is>
      </c>
      <c r="C475">
        <f>ROMAN(474)</f>
        <v/>
      </c>
      <c r="D475">
        <f>IF(B475=C475, "YES", "WRONG")</f>
        <v/>
      </c>
    </row>
    <row r="476">
      <c r="A476" t="n">
        <v>475</v>
      </c>
      <c r="B476" t="inlineStr">
        <is>
          <t>CDLXXV</t>
        </is>
      </c>
      <c r="C476">
        <f>ROMAN(475)</f>
        <v/>
      </c>
      <c r="D476">
        <f>IF(B476=C476, "YES", "WRONG")</f>
        <v/>
      </c>
    </row>
    <row r="477">
      <c r="A477" t="n">
        <v>476</v>
      </c>
      <c r="B477" t="inlineStr">
        <is>
          <t>CDLXXVI</t>
        </is>
      </c>
      <c r="C477">
        <f>ROMAN(476)</f>
        <v/>
      </c>
      <c r="D477">
        <f>IF(B477=C477, "YES", "WRONG")</f>
        <v/>
      </c>
    </row>
    <row r="478">
      <c r="A478" t="n">
        <v>477</v>
      </c>
      <c r="B478" t="inlineStr">
        <is>
          <t>CDLXXVII</t>
        </is>
      </c>
      <c r="C478">
        <f>ROMAN(477)</f>
        <v/>
      </c>
      <c r="D478">
        <f>IF(B478=C478, "YES", "WRONG")</f>
        <v/>
      </c>
    </row>
    <row r="479">
      <c r="A479" t="n">
        <v>478</v>
      </c>
      <c r="B479" t="inlineStr">
        <is>
          <t>CDLXXVIII</t>
        </is>
      </c>
      <c r="C479">
        <f>ROMAN(478)</f>
        <v/>
      </c>
      <c r="D479">
        <f>IF(B479=C479, "YES", "WRONG")</f>
        <v/>
      </c>
    </row>
    <row r="480">
      <c r="A480" t="n">
        <v>479</v>
      </c>
      <c r="B480" t="inlineStr">
        <is>
          <t>CDLXXIX</t>
        </is>
      </c>
      <c r="C480">
        <f>ROMAN(479)</f>
        <v/>
      </c>
      <c r="D480">
        <f>IF(B480=C480, "YES", "WRONG")</f>
        <v/>
      </c>
    </row>
    <row r="481">
      <c r="A481" t="n">
        <v>480</v>
      </c>
      <c r="B481" t="inlineStr">
        <is>
          <t>CDLXXX</t>
        </is>
      </c>
      <c r="C481">
        <f>ROMAN(480)</f>
        <v/>
      </c>
      <c r="D481">
        <f>IF(B481=C481, "YES", "WRONG")</f>
        <v/>
      </c>
    </row>
    <row r="482">
      <c r="A482" t="n">
        <v>481</v>
      </c>
      <c r="B482" t="inlineStr">
        <is>
          <t>CDLXXXI</t>
        </is>
      </c>
      <c r="C482">
        <f>ROMAN(481)</f>
        <v/>
      </c>
      <c r="D482">
        <f>IF(B482=C482, "YES", "WRONG")</f>
        <v/>
      </c>
    </row>
    <row r="483">
      <c r="A483" t="n">
        <v>482</v>
      </c>
      <c r="B483" t="inlineStr">
        <is>
          <t>CDLXXXII</t>
        </is>
      </c>
      <c r="C483">
        <f>ROMAN(482)</f>
        <v/>
      </c>
      <c r="D483">
        <f>IF(B483=C483, "YES", "WRONG")</f>
        <v/>
      </c>
    </row>
    <row r="484">
      <c r="A484" t="n">
        <v>483</v>
      </c>
      <c r="B484" t="inlineStr">
        <is>
          <t>CDLXXXIII</t>
        </is>
      </c>
      <c r="C484">
        <f>ROMAN(483)</f>
        <v/>
      </c>
      <c r="D484">
        <f>IF(B484=C484, "YES", "WRONG")</f>
        <v/>
      </c>
    </row>
    <row r="485">
      <c r="A485" t="n">
        <v>484</v>
      </c>
      <c r="B485" t="inlineStr">
        <is>
          <t>CDLXXXIV</t>
        </is>
      </c>
      <c r="C485">
        <f>ROMAN(484)</f>
        <v/>
      </c>
      <c r="D485">
        <f>IF(B485=C485, "YES", "WRONG")</f>
        <v/>
      </c>
    </row>
    <row r="486">
      <c r="A486" t="n">
        <v>485</v>
      </c>
      <c r="B486" t="inlineStr">
        <is>
          <t>CDLXXXV</t>
        </is>
      </c>
      <c r="C486">
        <f>ROMAN(485)</f>
        <v/>
      </c>
      <c r="D486">
        <f>IF(B486=C486, "YES", "WRONG")</f>
        <v/>
      </c>
    </row>
    <row r="487">
      <c r="A487" t="n">
        <v>486</v>
      </c>
      <c r="B487" t="inlineStr">
        <is>
          <t>CDLXXXVI</t>
        </is>
      </c>
      <c r="C487">
        <f>ROMAN(486)</f>
        <v/>
      </c>
      <c r="D487">
        <f>IF(B487=C487, "YES", "WRONG")</f>
        <v/>
      </c>
    </row>
    <row r="488">
      <c r="A488" t="n">
        <v>487</v>
      </c>
      <c r="B488" t="inlineStr">
        <is>
          <t>CDLXXXVII</t>
        </is>
      </c>
      <c r="C488">
        <f>ROMAN(487)</f>
        <v/>
      </c>
      <c r="D488">
        <f>IF(B488=C488, "YES", "WRONG")</f>
        <v/>
      </c>
    </row>
    <row r="489">
      <c r="A489" t="n">
        <v>488</v>
      </c>
      <c r="B489" t="inlineStr">
        <is>
          <t>CDLXXXVIII</t>
        </is>
      </c>
      <c r="C489">
        <f>ROMAN(488)</f>
        <v/>
      </c>
      <c r="D489">
        <f>IF(B489=C489, "YES", "WRONG")</f>
        <v/>
      </c>
    </row>
    <row r="490">
      <c r="A490" t="n">
        <v>489</v>
      </c>
      <c r="B490" t="inlineStr">
        <is>
          <t>CDLXXXIX</t>
        </is>
      </c>
      <c r="C490">
        <f>ROMAN(489)</f>
        <v/>
      </c>
      <c r="D490">
        <f>IF(B490=C490, "YES", "WRONG")</f>
        <v/>
      </c>
    </row>
    <row r="491">
      <c r="A491" t="n">
        <v>490</v>
      </c>
      <c r="B491" t="inlineStr">
        <is>
          <t>CDXC</t>
        </is>
      </c>
      <c r="C491">
        <f>ROMAN(490)</f>
        <v/>
      </c>
      <c r="D491">
        <f>IF(B491=C491, "YES", "WRONG")</f>
        <v/>
      </c>
    </row>
    <row r="492">
      <c r="A492" t="n">
        <v>491</v>
      </c>
      <c r="B492" t="inlineStr">
        <is>
          <t>CDXCI</t>
        </is>
      </c>
      <c r="C492">
        <f>ROMAN(491)</f>
        <v/>
      </c>
      <c r="D492">
        <f>IF(B492=C492, "YES", "WRONG")</f>
        <v/>
      </c>
    </row>
    <row r="493">
      <c r="A493" t="n">
        <v>492</v>
      </c>
      <c r="B493" t="inlineStr">
        <is>
          <t>CDXCII</t>
        </is>
      </c>
      <c r="C493">
        <f>ROMAN(492)</f>
        <v/>
      </c>
      <c r="D493">
        <f>IF(B493=C493, "YES", "WRONG")</f>
        <v/>
      </c>
    </row>
    <row r="494">
      <c r="A494" t="n">
        <v>493</v>
      </c>
      <c r="B494" t="inlineStr">
        <is>
          <t>CDXCIII</t>
        </is>
      </c>
      <c r="C494">
        <f>ROMAN(493)</f>
        <v/>
      </c>
      <c r="D494">
        <f>IF(B494=C494, "YES", "WRONG")</f>
        <v/>
      </c>
    </row>
    <row r="495">
      <c r="A495" t="n">
        <v>494</v>
      </c>
      <c r="B495" t="inlineStr">
        <is>
          <t>CDXCIV</t>
        </is>
      </c>
      <c r="C495">
        <f>ROMAN(494)</f>
        <v/>
      </c>
      <c r="D495">
        <f>IF(B495=C495, "YES", "WRONG")</f>
        <v/>
      </c>
    </row>
    <row r="496">
      <c r="A496" t="n">
        <v>495</v>
      </c>
      <c r="B496" t="inlineStr">
        <is>
          <t>CDXCV</t>
        </is>
      </c>
      <c r="C496">
        <f>ROMAN(495)</f>
        <v/>
      </c>
      <c r="D496">
        <f>IF(B496=C496, "YES", "WRONG")</f>
        <v/>
      </c>
    </row>
    <row r="497">
      <c r="A497" t="n">
        <v>496</v>
      </c>
      <c r="B497" t="inlineStr">
        <is>
          <t>CDXCVI</t>
        </is>
      </c>
      <c r="C497">
        <f>ROMAN(496)</f>
        <v/>
      </c>
      <c r="D497">
        <f>IF(B497=C497, "YES", "WRONG")</f>
        <v/>
      </c>
    </row>
    <row r="498">
      <c r="A498" t="n">
        <v>497</v>
      </c>
      <c r="B498" t="inlineStr">
        <is>
          <t>CDXCVII</t>
        </is>
      </c>
      <c r="C498">
        <f>ROMAN(497)</f>
        <v/>
      </c>
      <c r="D498">
        <f>IF(B498=C498, "YES", "WRONG")</f>
        <v/>
      </c>
    </row>
    <row r="499">
      <c r="A499" t="n">
        <v>498</v>
      </c>
      <c r="B499" t="inlineStr">
        <is>
          <t>CDXCVIII</t>
        </is>
      </c>
      <c r="C499">
        <f>ROMAN(498)</f>
        <v/>
      </c>
      <c r="D499">
        <f>IF(B499=C499, "YES", "WRONG")</f>
        <v/>
      </c>
    </row>
    <row r="500">
      <c r="A500" t="n">
        <v>499</v>
      </c>
      <c r="B500" t="inlineStr">
        <is>
          <t>CDXCIX</t>
        </is>
      </c>
      <c r="C500">
        <f>ROMAN(499)</f>
        <v/>
      </c>
      <c r="D500">
        <f>IF(B500=C500, "YES", "WRONG")</f>
        <v/>
      </c>
    </row>
    <row r="501">
      <c r="A501" t="n">
        <v>500</v>
      </c>
      <c r="B501" t="inlineStr">
        <is>
          <t>D</t>
        </is>
      </c>
      <c r="C501">
        <f>ROMAN(500)</f>
        <v/>
      </c>
      <c r="D501">
        <f>IF(B501=C501, "YES", "WRONG")</f>
        <v/>
      </c>
    </row>
    <row r="502">
      <c r="A502" t="n">
        <v>501</v>
      </c>
      <c r="B502" t="inlineStr">
        <is>
          <t>DI</t>
        </is>
      </c>
      <c r="C502">
        <f>ROMAN(501)</f>
        <v/>
      </c>
      <c r="D502">
        <f>IF(B502=C502, "YES", "WRONG")</f>
        <v/>
      </c>
    </row>
    <row r="503">
      <c r="A503" t="n">
        <v>502</v>
      </c>
      <c r="B503" t="inlineStr">
        <is>
          <t>DII</t>
        </is>
      </c>
      <c r="C503">
        <f>ROMAN(502)</f>
        <v/>
      </c>
      <c r="D503">
        <f>IF(B503=C503, "YES", "WRONG")</f>
        <v/>
      </c>
    </row>
    <row r="504">
      <c r="A504" t="n">
        <v>503</v>
      </c>
      <c r="B504" t="inlineStr">
        <is>
          <t>DIII</t>
        </is>
      </c>
      <c r="C504">
        <f>ROMAN(503)</f>
        <v/>
      </c>
      <c r="D504">
        <f>IF(B504=C504, "YES", "WRONG")</f>
        <v/>
      </c>
    </row>
    <row r="505">
      <c r="A505" t="n">
        <v>504</v>
      </c>
      <c r="B505" t="inlineStr">
        <is>
          <t>DIV</t>
        </is>
      </c>
      <c r="C505">
        <f>ROMAN(504)</f>
        <v/>
      </c>
      <c r="D505">
        <f>IF(B505=C505, "YES", "WRONG")</f>
        <v/>
      </c>
    </row>
    <row r="506">
      <c r="A506" t="n">
        <v>505</v>
      </c>
      <c r="B506" t="inlineStr">
        <is>
          <t>DV</t>
        </is>
      </c>
      <c r="C506">
        <f>ROMAN(505)</f>
        <v/>
      </c>
      <c r="D506">
        <f>IF(B506=C506, "YES", "WRONG")</f>
        <v/>
      </c>
    </row>
    <row r="507">
      <c r="A507" t="n">
        <v>506</v>
      </c>
      <c r="B507" t="inlineStr">
        <is>
          <t>DVI</t>
        </is>
      </c>
      <c r="C507">
        <f>ROMAN(506)</f>
        <v/>
      </c>
      <c r="D507">
        <f>IF(B507=C507, "YES", "WRONG")</f>
        <v/>
      </c>
    </row>
    <row r="508">
      <c r="A508" t="n">
        <v>507</v>
      </c>
      <c r="B508" t="inlineStr">
        <is>
          <t>DVII</t>
        </is>
      </c>
      <c r="C508">
        <f>ROMAN(507)</f>
        <v/>
      </c>
      <c r="D508">
        <f>IF(B508=C508, "YES", "WRONG")</f>
        <v/>
      </c>
    </row>
    <row r="509">
      <c r="A509" t="n">
        <v>508</v>
      </c>
      <c r="B509" t="inlineStr">
        <is>
          <t>DVIII</t>
        </is>
      </c>
      <c r="C509">
        <f>ROMAN(508)</f>
        <v/>
      </c>
      <c r="D509">
        <f>IF(B509=C509, "YES", "WRONG")</f>
        <v/>
      </c>
    </row>
    <row r="510">
      <c r="A510" t="n">
        <v>509</v>
      </c>
      <c r="B510" t="inlineStr">
        <is>
          <t>DIX</t>
        </is>
      </c>
      <c r="C510">
        <f>ROMAN(509)</f>
        <v/>
      </c>
      <c r="D510">
        <f>IF(B510=C510, "YES", "WRONG")</f>
        <v/>
      </c>
    </row>
    <row r="511">
      <c r="A511" t="n">
        <v>510</v>
      </c>
      <c r="B511" t="inlineStr">
        <is>
          <t>DX</t>
        </is>
      </c>
      <c r="C511">
        <f>ROMAN(510)</f>
        <v/>
      </c>
      <c r="D511">
        <f>IF(B511=C511, "YES", "WRONG")</f>
        <v/>
      </c>
    </row>
    <row r="512">
      <c r="A512" t="n">
        <v>511</v>
      </c>
      <c r="B512" t="inlineStr">
        <is>
          <t>DXI</t>
        </is>
      </c>
      <c r="C512">
        <f>ROMAN(511)</f>
        <v/>
      </c>
      <c r="D512">
        <f>IF(B512=C512, "YES", "WRONG")</f>
        <v/>
      </c>
    </row>
    <row r="513">
      <c r="A513" t="n">
        <v>512</v>
      </c>
      <c r="B513" t="inlineStr">
        <is>
          <t>DXII</t>
        </is>
      </c>
      <c r="C513">
        <f>ROMAN(512)</f>
        <v/>
      </c>
      <c r="D513">
        <f>IF(B513=C513, "YES", "WRONG")</f>
        <v/>
      </c>
    </row>
    <row r="514">
      <c r="A514" t="n">
        <v>513</v>
      </c>
      <c r="B514" t="inlineStr">
        <is>
          <t>DXIII</t>
        </is>
      </c>
      <c r="C514">
        <f>ROMAN(513)</f>
        <v/>
      </c>
      <c r="D514">
        <f>IF(B514=C514, "YES", "WRONG")</f>
        <v/>
      </c>
    </row>
    <row r="515">
      <c r="A515" t="n">
        <v>514</v>
      </c>
      <c r="B515" t="inlineStr">
        <is>
          <t>DXIV</t>
        </is>
      </c>
      <c r="C515">
        <f>ROMAN(514)</f>
        <v/>
      </c>
      <c r="D515">
        <f>IF(B515=C515, "YES", "WRONG")</f>
        <v/>
      </c>
    </row>
    <row r="516">
      <c r="A516" t="n">
        <v>515</v>
      </c>
      <c r="B516" t="inlineStr">
        <is>
          <t>DXV</t>
        </is>
      </c>
      <c r="C516">
        <f>ROMAN(515)</f>
        <v/>
      </c>
      <c r="D516">
        <f>IF(B516=C516, "YES", "WRONG")</f>
        <v/>
      </c>
    </row>
    <row r="517">
      <c r="A517" t="n">
        <v>516</v>
      </c>
      <c r="B517" t="inlineStr">
        <is>
          <t>DXVI</t>
        </is>
      </c>
      <c r="C517">
        <f>ROMAN(516)</f>
        <v/>
      </c>
      <c r="D517">
        <f>IF(B517=C517, "YES", "WRONG")</f>
        <v/>
      </c>
    </row>
    <row r="518">
      <c r="A518" t="n">
        <v>517</v>
      </c>
      <c r="B518" t="inlineStr">
        <is>
          <t>DXVII</t>
        </is>
      </c>
      <c r="C518">
        <f>ROMAN(517)</f>
        <v/>
      </c>
      <c r="D518">
        <f>IF(B518=C518, "YES", "WRONG")</f>
        <v/>
      </c>
    </row>
    <row r="519">
      <c r="A519" t="n">
        <v>518</v>
      </c>
      <c r="B519" t="inlineStr">
        <is>
          <t>DXVIII</t>
        </is>
      </c>
      <c r="C519">
        <f>ROMAN(518)</f>
        <v/>
      </c>
      <c r="D519">
        <f>IF(B519=C519, "YES", "WRONG")</f>
        <v/>
      </c>
    </row>
    <row r="520">
      <c r="A520" t="n">
        <v>519</v>
      </c>
      <c r="B520" t="inlineStr">
        <is>
          <t>DXIX</t>
        </is>
      </c>
      <c r="C520">
        <f>ROMAN(519)</f>
        <v/>
      </c>
      <c r="D520">
        <f>IF(B520=C520, "YES", "WRONG")</f>
        <v/>
      </c>
    </row>
    <row r="521">
      <c r="A521" t="n">
        <v>520</v>
      </c>
      <c r="B521" t="inlineStr">
        <is>
          <t>DXX</t>
        </is>
      </c>
      <c r="C521">
        <f>ROMAN(520)</f>
        <v/>
      </c>
      <c r="D521">
        <f>IF(B521=C521, "YES", "WRONG")</f>
        <v/>
      </c>
    </row>
    <row r="522">
      <c r="A522" t="n">
        <v>521</v>
      </c>
      <c r="B522" t="inlineStr">
        <is>
          <t>DXXI</t>
        </is>
      </c>
      <c r="C522">
        <f>ROMAN(521)</f>
        <v/>
      </c>
      <c r="D522">
        <f>IF(B522=C522, "YES", "WRONG")</f>
        <v/>
      </c>
    </row>
    <row r="523">
      <c r="A523" t="n">
        <v>522</v>
      </c>
      <c r="B523" t="inlineStr">
        <is>
          <t>DXXII</t>
        </is>
      </c>
      <c r="C523">
        <f>ROMAN(522)</f>
        <v/>
      </c>
      <c r="D523">
        <f>IF(B523=C523, "YES", "WRONG")</f>
        <v/>
      </c>
    </row>
    <row r="524">
      <c r="A524" t="n">
        <v>523</v>
      </c>
      <c r="B524" t="inlineStr">
        <is>
          <t>DXXIII</t>
        </is>
      </c>
      <c r="C524">
        <f>ROMAN(523)</f>
        <v/>
      </c>
      <c r="D524">
        <f>IF(B524=C524, "YES", "WRONG")</f>
        <v/>
      </c>
    </row>
    <row r="525">
      <c r="A525" t="n">
        <v>524</v>
      </c>
      <c r="B525" t="inlineStr">
        <is>
          <t>DXXIV</t>
        </is>
      </c>
      <c r="C525">
        <f>ROMAN(524)</f>
        <v/>
      </c>
      <c r="D525">
        <f>IF(B525=C525, "YES", "WRONG")</f>
        <v/>
      </c>
    </row>
    <row r="526">
      <c r="A526" t="n">
        <v>525</v>
      </c>
      <c r="B526" t="inlineStr">
        <is>
          <t>DXXV</t>
        </is>
      </c>
      <c r="C526">
        <f>ROMAN(525)</f>
        <v/>
      </c>
      <c r="D526">
        <f>IF(B526=C526, "YES", "WRONG")</f>
        <v/>
      </c>
    </row>
    <row r="527">
      <c r="A527" t="n">
        <v>526</v>
      </c>
      <c r="B527" t="inlineStr">
        <is>
          <t>DXXVI</t>
        </is>
      </c>
      <c r="C527">
        <f>ROMAN(526)</f>
        <v/>
      </c>
      <c r="D527">
        <f>IF(B527=C527, "YES", "WRONG")</f>
        <v/>
      </c>
    </row>
    <row r="528">
      <c r="A528" t="n">
        <v>527</v>
      </c>
      <c r="B528" t="inlineStr">
        <is>
          <t>DXXVII</t>
        </is>
      </c>
      <c r="C528">
        <f>ROMAN(527)</f>
        <v/>
      </c>
      <c r="D528">
        <f>IF(B528=C528, "YES", "WRONG")</f>
        <v/>
      </c>
    </row>
    <row r="529">
      <c r="A529" t="n">
        <v>528</v>
      </c>
      <c r="B529" t="inlineStr">
        <is>
          <t>DXXVIII</t>
        </is>
      </c>
      <c r="C529">
        <f>ROMAN(528)</f>
        <v/>
      </c>
      <c r="D529">
        <f>IF(B529=C529, "YES", "WRONG")</f>
        <v/>
      </c>
    </row>
    <row r="530">
      <c r="A530" t="n">
        <v>529</v>
      </c>
      <c r="B530" t="inlineStr">
        <is>
          <t>DXXIX</t>
        </is>
      </c>
      <c r="C530">
        <f>ROMAN(529)</f>
        <v/>
      </c>
      <c r="D530">
        <f>IF(B530=C530, "YES", "WRONG")</f>
        <v/>
      </c>
    </row>
    <row r="531">
      <c r="A531" t="n">
        <v>530</v>
      </c>
      <c r="B531" t="inlineStr">
        <is>
          <t>DXXX</t>
        </is>
      </c>
      <c r="C531">
        <f>ROMAN(530)</f>
        <v/>
      </c>
      <c r="D531">
        <f>IF(B531=C531, "YES", "WRONG")</f>
        <v/>
      </c>
    </row>
    <row r="532">
      <c r="A532" t="n">
        <v>531</v>
      </c>
      <c r="B532" t="inlineStr">
        <is>
          <t>DXXXI</t>
        </is>
      </c>
      <c r="C532">
        <f>ROMAN(531)</f>
        <v/>
      </c>
      <c r="D532">
        <f>IF(B532=C532, "YES", "WRONG")</f>
        <v/>
      </c>
    </row>
    <row r="533">
      <c r="A533" t="n">
        <v>532</v>
      </c>
      <c r="B533" t="inlineStr">
        <is>
          <t>DXXXII</t>
        </is>
      </c>
      <c r="C533">
        <f>ROMAN(532)</f>
        <v/>
      </c>
      <c r="D533">
        <f>IF(B533=C533, "YES", "WRONG")</f>
        <v/>
      </c>
    </row>
    <row r="534">
      <c r="A534" t="n">
        <v>533</v>
      </c>
      <c r="B534" t="inlineStr">
        <is>
          <t>DXXXIII</t>
        </is>
      </c>
      <c r="C534">
        <f>ROMAN(533)</f>
        <v/>
      </c>
      <c r="D534">
        <f>IF(B534=C534, "YES", "WRONG")</f>
        <v/>
      </c>
    </row>
    <row r="535">
      <c r="A535" t="n">
        <v>534</v>
      </c>
      <c r="B535" t="inlineStr">
        <is>
          <t>DXXXIV</t>
        </is>
      </c>
      <c r="C535">
        <f>ROMAN(534)</f>
        <v/>
      </c>
      <c r="D535">
        <f>IF(B535=C535, "YES", "WRONG")</f>
        <v/>
      </c>
    </row>
    <row r="536">
      <c r="A536" t="n">
        <v>535</v>
      </c>
      <c r="B536" t="inlineStr">
        <is>
          <t>DXXXV</t>
        </is>
      </c>
      <c r="C536">
        <f>ROMAN(535)</f>
        <v/>
      </c>
      <c r="D536">
        <f>IF(B536=C536, "YES", "WRONG")</f>
        <v/>
      </c>
    </row>
    <row r="537">
      <c r="A537" t="n">
        <v>536</v>
      </c>
      <c r="B537" t="inlineStr">
        <is>
          <t>DXXXVI</t>
        </is>
      </c>
      <c r="C537">
        <f>ROMAN(536)</f>
        <v/>
      </c>
      <c r="D537">
        <f>IF(B537=C537, "YES", "WRONG")</f>
        <v/>
      </c>
    </row>
    <row r="538">
      <c r="A538" t="n">
        <v>537</v>
      </c>
      <c r="B538" t="inlineStr">
        <is>
          <t>DXXXVII</t>
        </is>
      </c>
      <c r="C538">
        <f>ROMAN(537)</f>
        <v/>
      </c>
      <c r="D538">
        <f>IF(B538=C538, "YES", "WRONG")</f>
        <v/>
      </c>
    </row>
    <row r="539">
      <c r="A539" t="n">
        <v>538</v>
      </c>
      <c r="B539" t="inlineStr">
        <is>
          <t>DXXXVIII</t>
        </is>
      </c>
      <c r="C539">
        <f>ROMAN(538)</f>
        <v/>
      </c>
      <c r="D539">
        <f>IF(B539=C539, "YES", "WRONG")</f>
        <v/>
      </c>
    </row>
    <row r="540">
      <c r="A540" t="n">
        <v>539</v>
      </c>
      <c r="B540" t="inlineStr">
        <is>
          <t>DXXXIX</t>
        </is>
      </c>
      <c r="C540">
        <f>ROMAN(539)</f>
        <v/>
      </c>
      <c r="D540">
        <f>IF(B540=C540, "YES", "WRONG")</f>
        <v/>
      </c>
    </row>
    <row r="541">
      <c r="A541" t="n">
        <v>540</v>
      </c>
      <c r="B541" t="inlineStr">
        <is>
          <t>DXL</t>
        </is>
      </c>
      <c r="C541">
        <f>ROMAN(540)</f>
        <v/>
      </c>
      <c r="D541">
        <f>IF(B541=C541, "YES", "WRONG")</f>
        <v/>
      </c>
    </row>
    <row r="542">
      <c r="A542" t="n">
        <v>541</v>
      </c>
      <c r="B542" t="inlineStr">
        <is>
          <t>DXLI</t>
        </is>
      </c>
      <c r="C542">
        <f>ROMAN(541)</f>
        <v/>
      </c>
      <c r="D542">
        <f>IF(B542=C542, "YES", "WRONG")</f>
        <v/>
      </c>
    </row>
    <row r="543">
      <c r="A543" t="n">
        <v>542</v>
      </c>
      <c r="B543" t="inlineStr">
        <is>
          <t>DXLII</t>
        </is>
      </c>
      <c r="C543">
        <f>ROMAN(542)</f>
        <v/>
      </c>
      <c r="D543">
        <f>IF(B543=C543, "YES", "WRONG")</f>
        <v/>
      </c>
    </row>
    <row r="544">
      <c r="A544" t="n">
        <v>543</v>
      </c>
      <c r="B544" t="inlineStr">
        <is>
          <t>DXLIII</t>
        </is>
      </c>
      <c r="C544">
        <f>ROMAN(543)</f>
        <v/>
      </c>
      <c r="D544">
        <f>IF(B544=C544, "YES", "WRONG")</f>
        <v/>
      </c>
    </row>
    <row r="545">
      <c r="A545" t="n">
        <v>544</v>
      </c>
      <c r="B545" t="inlineStr">
        <is>
          <t>DXLIV</t>
        </is>
      </c>
      <c r="C545">
        <f>ROMAN(544)</f>
        <v/>
      </c>
      <c r="D545">
        <f>IF(B545=C545, "YES", "WRONG")</f>
        <v/>
      </c>
    </row>
    <row r="546">
      <c r="A546" t="n">
        <v>545</v>
      </c>
      <c r="B546" t="inlineStr">
        <is>
          <t>DXLV</t>
        </is>
      </c>
      <c r="C546">
        <f>ROMAN(545)</f>
        <v/>
      </c>
      <c r="D546">
        <f>IF(B546=C546, "YES", "WRONG")</f>
        <v/>
      </c>
    </row>
    <row r="547">
      <c r="A547" t="n">
        <v>546</v>
      </c>
      <c r="B547" t="inlineStr">
        <is>
          <t>DXLVI</t>
        </is>
      </c>
      <c r="C547">
        <f>ROMAN(546)</f>
        <v/>
      </c>
      <c r="D547">
        <f>IF(B547=C547, "YES", "WRONG")</f>
        <v/>
      </c>
    </row>
    <row r="548">
      <c r="A548" t="n">
        <v>547</v>
      </c>
      <c r="B548" t="inlineStr">
        <is>
          <t>DXLVII</t>
        </is>
      </c>
      <c r="C548">
        <f>ROMAN(547)</f>
        <v/>
      </c>
      <c r="D548">
        <f>IF(B548=C548, "YES", "WRONG")</f>
        <v/>
      </c>
    </row>
    <row r="549">
      <c r="A549" t="n">
        <v>548</v>
      </c>
      <c r="B549" t="inlineStr">
        <is>
          <t>DXLVIII</t>
        </is>
      </c>
      <c r="C549">
        <f>ROMAN(548)</f>
        <v/>
      </c>
      <c r="D549">
        <f>IF(B549=C549, "YES", "WRONG")</f>
        <v/>
      </c>
    </row>
    <row r="550">
      <c r="A550" t="n">
        <v>549</v>
      </c>
      <c r="B550" t="inlineStr">
        <is>
          <t>DXLIX</t>
        </is>
      </c>
      <c r="C550">
        <f>ROMAN(549)</f>
        <v/>
      </c>
      <c r="D550">
        <f>IF(B550=C550, "YES", "WRONG")</f>
        <v/>
      </c>
    </row>
    <row r="551">
      <c r="A551" t="n">
        <v>550</v>
      </c>
      <c r="B551" t="inlineStr">
        <is>
          <t>DL</t>
        </is>
      </c>
      <c r="C551">
        <f>ROMAN(550)</f>
        <v/>
      </c>
      <c r="D551">
        <f>IF(B551=C551, "YES", "WRONG")</f>
        <v/>
      </c>
    </row>
    <row r="552">
      <c r="A552" t="n">
        <v>551</v>
      </c>
      <c r="B552" t="inlineStr">
        <is>
          <t>DLI</t>
        </is>
      </c>
      <c r="C552">
        <f>ROMAN(551)</f>
        <v/>
      </c>
      <c r="D552">
        <f>IF(B552=C552, "YES", "WRONG")</f>
        <v/>
      </c>
    </row>
    <row r="553">
      <c r="A553" t="n">
        <v>552</v>
      </c>
      <c r="B553" t="inlineStr">
        <is>
          <t>DLII</t>
        </is>
      </c>
      <c r="C553">
        <f>ROMAN(552)</f>
        <v/>
      </c>
      <c r="D553">
        <f>IF(B553=C553, "YES", "WRONG")</f>
        <v/>
      </c>
    </row>
    <row r="554">
      <c r="A554" t="n">
        <v>553</v>
      </c>
      <c r="B554" t="inlineStr">
        <is>
          <t>DLIII</t>
        </is>
      </c>
      <c r="C554">
        <f>ROMAN(553)</f>
        <v/>
      </c>
      <c r="D554">
        <f>IF(B554=C554, "YES", "WRONG")</f>
        <v/>
      </c>
    </row>
    <row r="555">
      <c r="A555" t="n">
        <v>554</v>
      </c>
      <c r="B555" t="inlineStr">
        <is>
          <t>DLIV</t>
        </is>
      </c>
      <c r="C555">
        <f>ROMAN(554)</f>
        <v/>
      </c>
      <c r="D555">
        <f>IF(B555=C555, "YES", "WRONG")</f>
        <v/>
      </c>
    </row>
    <row r="556">
      <c r="A556" t="n">
        <v>555</v>
      </c>
      <c r="B556" t="inlineStr">
        <is>
          <t>DLV</t>
        </is>
      </c>
      <c r="C556">
        <f>ROMAN(555)</f>
        <v/>
      </c>
      <c r="D556">
        <f>IF(B556=C556, "YES", "WRONG")</f>
        <v/>
      </c>
    </row>
    <row r="557">
      <c r="A557" t="n">
        <v>556</v>
      </c>
      <c r="B557" t="inlineStr">
        <is>
          <t>DLVI</t>
        </is>
      </c>
      <c r="C557">
        <f>ROMAN(556)</f>
        <v/>
      </c>
      <c r="D557">
        <f>IF(B557=C557, "YES", "WRONG")</f>
        <v/>
      </c>
    </row>
    <row r="558">
      <c r="A558" t="n">
        <v>557</v>
      </c>
      <c r="B558" t="inlineStr">
        <is>
          <t>DLVII</t>
        </is>
      </c>
      <c r="C558">
        <f>ROMAN(557)</f>
        <v/>
      </c>
      <c r="D558">
        <f>IF(B558=C558, "YES", "WRONG")</f>
        <v/>
      </c>
    </row>
    <row r="559">
      <c r="A559" t="n">
        <v>558</v>
      </c>
      <c r="B559" t="inlineStr">
        <is>
          <t>DLVIII</t>
        </is>
      </c>
      <c r="C559">
        <f>ROMAN(558)</f>
        <v/>
      </c>
      <c r="D559">
        <f>IF(B559=C559, "YES", "WRONG")</f>
        <v/>
      </c>
    </row>
    <row r="560">
      <c r="A560" t="n">
        <v>559</v>
      </c>
      <c r="B560" t="inlineStr">
        <is>
          <t>DLIX</t>
        </is>
      </c>
      <c r="C560">
        <f>ROMAN(559)</f>
        <v/>
      </c>
      <c r="D560">
        <f>IF(B560=C560, "YES", "WRONG")</f>
        <v/>
      </c>
    </row>
    <row r="561">
      <c r="A561" t="n">
        <v>560</v>
      </c>
      <c r="B561" t="inlineStr">
        <is>
          <t>DLX</t>
        </is>
      </c>
      <c r="C561">
        <f>ROMAN(560)</f>
        <v/>
      </c>
      <c r="D561">
        <f>IF(B561=C561, "YES", "WRONG")</f>
        <v/>
      </c>
    </row>
    <row r="562">
      <c r="A562" t="n">
        <v>561</v>
      </c>
      <c r="B562" t="inlineStr">
        <is>
          <t>DLXI</t>
        </is>
      </c>
      <c r="C562">
        <f>ROMAN(561)</f>
        <v/>
      </c>
      <c r="D562">
        <f>IF(B562=C562, "YES", "WRONG")</f>
        <v/>
      </c>
    </row>
    <row r="563">
      <c r="A563" t="n">
        <v>562</v>
      </c>
      <c r="B563" t="inlineStr">
        <is>
          <t>DLXII</t>
        </is>
      </c>
      <c r="C563">
        <f>ROMAN(562)</f>
        <v/>
      </c>
      <c r="D563">
        <f>IF(B563=C563, "YES", "WRONG")</f>
        <v/>
      </c>
    </row>
    <row r="564">
      <c r="A564" t="n">
        <v>563</v>
      </c>
      <c r="B564" t="inlineStr">
        <is>
          <t>DLXIII</t>
        </is>
      </c>
      <c r="C564">
        <f>ROMAN(563)</f>
        <v/>
      </c>
      <c r="D564">
        <f>IF(B564=C564, "YES", "WRONG")</f>
        <v/>
      </c>
    </row>
    <row r="565">
      <c r="A565" t="n">
        <v>564</v>
      </c>
      <c r="B565" t="inlineStr">
        <is>
          <t>DLXIV</t>
        </is>
      </c>
      <c r="C565">
        <f>ROMAN(564)</f>
        <v/>
      </c>
      <c r="D565">
        <f>IF(B565=C565, "YES", "WRONG")</f>
        <v/>
      </c>
    </row>
    <row r="566">
      <c r="A566" t="n">
        <v>565</v>
      </c>
      <c r="B566" t="inlineStr">
        <is>
          <t>DLXV</t>
        </is>
      </c>
      <c r="C566">
        <f>ROMAN(565)</f>
        <v/>
      </c>
      <c r="D566">
        <f>IF(B566=C566, "YES", "WRONG")</f>
        <v/>
      </c>
    </row>
    <row r="567">
      <c r="A567" t="n">
        <v>566</v>
      </c>
      <c r="B567" t="inlineStr">
        <is>
          <t>DLXVI</t>
        </is>
      </c>
      <c r="C567">
        <f>ROMAN(566)</f>
        <v/>
      </c>
      <c r="D567">
        <f>IF(B567=C567, "YES", "WRONG")</f>
        <v/>
      </c>
    </row>
    <row r="568">
      <c r="A568" t="n">
        <v>567</v>
      </c>
      <c r="B568" t="inlineStr">
        <is>
          <t>DLXVII</t>
        </is>
      </c>
      <c r="C568">
        <f>ROMAN(567)</f>
        <v/>
      </c>
      <c r="D568">
        <f>IF(B568=C568, "YES", "WRONG")</f>
        <v/>
      </c>
    </row>
    <row r="569">
      <c r="A569" t="n">
        <v>568</v>
      </c>
      <c r="B569" t="inlineStr">
        <is>
          <t>DLXVIII</t>
        </is>
      </c>
      <c r="C569">
        <f>ROMAN(568)</f>
        <v/>
      </c>
      <c r="D569">
        <f>IF(B569=C569, "YES", "WRONG")</f>
        <v/>
      </c>
    </row>
    <row r="570">
      <c r="A570" t="n">
        <v>569</v>
      </c>
      <c r="B570" t="inlineStr">
        <is>
          <t>DLXIX</t>
        </is>
      </c>
      <c r="C570">
        <f>ROMAN(569)</f>
        <v/>
      </c>
      <c r="D570">
        <f>IF(B570=C570, "YES", "WRONG")</f>
        <v/>
      </c>
    </row>
    <row r="571">
      <c r="A571" t="n">
        <v>570</v>
      </c>
      <c r="B571" t="inlineStr">
        <is>
          <t>DLXX</t>
        </is>
      </c>
      <c r="C571">
        <f>ROMAN(570)</f>
        <v/>
      </c>
      <c r="D571">
        <f>IF(B571=C571, "YES", "WRONG")</f>
        <v/>
      </c>
    </row>
    <row r="572">
      <c r="A572" t="n">
        <v>571</v>
      </c>
      <c r="B572" t="inlineStr">
        <is>
          <t>DLXXI</t>
        </is>
      </c>
      <c r="C572">
        <f>ROMAN(571)</f>
        <v/>
      </c>
      <c r="D572">
        <f>IF(B572=C572, "YES", "WRONG")</f>
        <v/>
      </c>
    </row>
    <row r="573">
      <c r="A573" t="n">
        <v>572</v>
      </c>
      <c r="B573" t="inlineStr">
        <is>
          <t>DLXXII</t>
        </is>
      </c>
      <c r="C573">
        <f>ROMAN(572)</f>
        <v/>
      </c>
      <c r="D573">
        <f>IF(B573=C573, "YES", "WRONG")</f>
        <v/>
      </c>
    </row>
    <row r="574">
      <c r="A574" t="n">
        <v>573</v>
      </c>
      <c r="B574" t="inlineStr">
        <is>
          <t>DLXXIII</t>
        </is>
      </c>
      <c r="C574">
        <f>ROMAN(573)</f>
        <v/>
      </c>
      <c r="D574">
        <f>IF(B574=C574, "YES", "WRONG")</f>
        <v/>
      </c>
    </row>
    <row r="575">
      <c r="A575" t="n">
        <v>574</v>
      </c>
      <c r="B575" t="inlineStr">
        <is>
          <t>DLXXIV</t>
        </is>
      </c>
      <c r="C575">
        <f>ROMAN(574)</f>
        <v/>
      </c>
      <c r="D575">
        <f>IF(B575=C575, "YES", "WRONG")</f>
        <v/>
      </c>
    </row>
    <row r="576">
      <c r="A576" t="n">
        <v>575</v>
      </c>
      <c r="B576" t="inlineStr">
        <is>
          <t>DLXXV</t>
        </is>
      </c>
      <c r="C576">
        <f>ROMAN(575)</f>
        <v/>
      </c>
      <c r="D576">
        <f>IF(B576=C576, "YES", "WRONG")</f>
        <v/>
      </c>
    </row>
    <row r="577">
      <c r="A577" t="n">
        <v>576</v>
      </c>
      <c r="B577" t="inlineStr">
        <is>
          <t>DLXXVI</t>
        </is>
      </c>
      <c r="C577">
        <f>ROMAN(576)</f>
        <v/>
      </c>
      <c r="D577">
        <f>IF(B577=C577, "YES", "WRONG")</f>
        <v/>
      </c>
    </row>
    <row r="578">
      <c r="A578" t="n">
        <v>577</v>
      </c>
      <c r="B578" t="inlineStr">
        <is>
          <t>DLXXVII</t>
        </is>
      </c>
      <c r="C578">
        <f>ROMAN(577)</f>
        <v/>
      </c>
      <c r="D578">
        <f>IF(B578=C578, "YES", "WRONG")</f>
        <v/>
      </c>
    </row>
    <row r="579">
      <c r="A579" t="n">
        <v>578</v>
      </c>
      <c r="B579" t="inlineStr">
        <is>
          <t>DLXXVIII</t>
        </is>
      </c>
      <c r="C579">
        <f>ROMAN(578)</f>
        <v/>
      </c>
      <c r="D579">
        <f>IF(B579=C579, "YES", "WRONG")</f>
        <v/>
      </c>
    </row>
    <row r="580">
      <c r="A580" t="n">
        <v>579</v>
      </c>
      <c r="B580" t="inlineStr">
        <is>
          <t>DLXXIX</t>
        </is>
      </c>
      <c r="C580">
        <f>ROMAN(579)</f>
        <v/>
      </c>
      <c r="D580">
        <f>IF(B580=C580, "YES", "WRONG")</f>
        <v/>
      </c>
    </row>
    <row r="581">
      <c r="A581" t="n">
        <v>580</v>
      </c>
      <c r="B581" t="inlineStr">
        <is>
          <t>DLXXX</t>
        </is>
      </c>
      <c r="C581">
        <f>ROMAN(580)</f>
        <v/>
      </c>
      <c r="D581">
        <f>IF(B581=C581, "YES", "WRONG")</f>
        <v/>
      </c>
    </row>
    <row r="582">
      <c r="A582" t="n">
        <v>581</v>
      </c>
      <c r="B582" t="inlineStr">
        <is>
          <t>DLXXXI</t>
        </is>
      </c>
      <c r="C582">
        <f>ROMAN(581)</f>
        <v/>
      </c>
      <c r="D582">
        <f>IF(B582=C582, "YES", "WRONG")</f>
        <v/>
      </c>
    </row>
    <row r="583">
      <c r="A583" t="n">
        <v>582</v>
      </c>
      <c r="B583" t="inlineStr">
        <is>
          <t>DLXXXII</t>
        </is>
      </c>
      <c r="C583">
        <f>ROMAN(582)</f>
        <v/>
      </c>
      <c r="D583">
        <f>IF(B583=C583, "YES", "WRONG")</f>
        <v/>
      </c>
    </row>
    <row r="584">
      <c r="A584" t="n">
        <v>583</v>
      </c>
      <c r="B584" t="inlineStr">
        <is>
          <t>DLXXXIII</t>
        </is>
      </c>
      <c r="C584">
        <f>ROMAN(583)</f>
        <v/>
      </c>
      <c r="D584">
        <f>IF(B584=C584, "YES", "WRONG")</f>
        <v/>
      </c>
    </row>
    <row r="585">
      <c r="A585" t="n">
        <v>584</v>
      </c>
      <c r="B585" t="inlineStr">
        <is>
          <t>DLXXXIV</t>
        </is>
      </c>
      <c r="C585">
        <f>ROMAN(584)</f>
        <v/>
      </c>
      <c r="D585">
        <f>IF(B585=C585, "YES", "WRONG")</f>
        <v/>
      </c>
    </row>
    <row r="586">
      <c r="A586" t="n">
        <v>585</v>
      </c>
      <c r="B586" t="inlineStr">
        <is>
          <t>DLXXXV</t>
        </is>
      </c>
      <c r="C586">
        <f>ROMAN(585)</f>
        <v/>
      </c>
      <c r="D586">
        <f>IF(B586=C586, "YES", "WRONG")</f>
        <v/>
      </c>
    </row>
    <row r="587">
      <c r="A587" t="n">
        <v>586</v>
      </c>
      <c r="B587" t="inlineStr">
        <is>
          <t>DLXXXVI</t>
        </is>
      </c>
      <c r="C587">
        <f>ROMAN(586)</f>
        <v/>
      </c>
      <c r="D587">
        <f>IF(B587=C587, "YES", "WRONG")</f>
        <v/>
      </c>
    </row>
    <row r="588">
      <c r="A588" t="n">
        <v>587</v>
      </c>
      <c r="B588" t="inlineStr">
        <is>
          <t>DLXXXVII</t>
        </is>
      </c>
      <c r="C588">
        <f>ROMAN(587)</f>
        <v/>
      </c>
      <c r="D588">
        <f>IF(B588=C588, "YES", "WRONG")</f>
        <v/>
      </c>
    </row>
    <row r="589">
      <c r="A589" t="n">
        <v>588</v>
      </c>
      <c r="B589" t="inlineStr">
        <is>
          <t>DLXXXVIII</t>
        </is>
      </c>
      <c r="C589">
        <f>ROMAN(588)</f>
        <v/>
      </c>
      <c r="D589">
        <f>IF(B589=C589, "YES", "WRONG")</f>
        <v/>
      </c>
    </row>
    <row r="590">
      <c r="A590" t="n">
        <v>589</v>
      </c>
      <c r="B590" t="inlineStr">
        <is>
          <t>DLXXXIX</t>
        </is>
      </c>
      <c r="C590">
        <f>ROMAN(589)</f>
        <v/>
      </c>
      <c r="D590">
        <f>IF(B590=C590, "YES", "WRONG")</f>
        <v/>
      </c>
    </row>
    <row r="591">
      <c r="A591" t="n">
        <v>590</v>
      </c>
      <c r="B591" t="inlineStr">
        <is>
          <t>DXC</t>
        </is>
      </c>
      <c r="C591">
        <f>ROMAN(590)</f>
        <v/>
      </c>
      <c r="D591">
        <f>IF(B591=C591, "YES", "WRONG")</f>
        <v/>
      </c>
    </row>
    <row r="592">
      <c r="A592" t="n">
        <v>591</v>
      </c>
      <c r="B592" t="inlineStr">
        <is>
          <t>DXCI</t>
        </is>
      </c>
      <c r="C592">
        <f>ROMAN(591)</f>
        <v/>
      </c>
      <c r="D592">
        <f>IF(B592=C592, "YES", "WRONG")</f>
        <v/>
      </c>
    </row>
    <row r="593">
      <c r="A593" t="n">
        <v>592</v>
      </c>
      <c r="B593" t="inlineStr">
        <is>
          <t>DXCII</t>
        </is>
      </c>
      <c r="C593">
        <f>ROMAN(592)</f>
        <v/>
      </c>
      <c r="D593">
        <f>IF(B593=C593, "YES", "WRONG")</f>
        <v/>
      </c>
    </row>
    <row r="594">
      <c r="A594" t="n">
        <v>593</v>
      </c>
      <c r="B594" t="inlineStr">
        <is>
          <t>DXCIII</t>
        </is>
      </c>
      <c r="C594">
        <f>ROMAN(593)</f>
        <v/>
      </c>
      <c r="D594">
        <f>IF(B594=C594, "YES", "WRONG")</f>
        <v/>
      </c>
    </row>
    <row r="595">
      <c r="A595" t="n">
        <v>594</v>
      </c>
      <c r="B595" t="inlineStr">
        <is>
          <t>DXCIV</t>
        </is>
      </c>
      <c r="C595">
        <f>ROMAN(594)</f>
        <v/>
      </c>
      <c r="D595">
        <f>IF(B595=C595, "YES", "WRONG")</f>
        <v/>
      </c>
    </row>
    <row r="596">
      <c r="A596" t="n">
        <v>595</v>
      </c>
      <c r="B596" t="inlineStr">
        <is>
          <t>DXCV</t>
        </is>
      </c>
      <c r="C596">
        <f>ROMAN(595)</f>
        <v/>
      </c>
      <c r="D596">
        <f>IF(B596=C596, "YES", "WRONG")</f>
        <v/>
      </c>
    </row>
    <row r="597">
      <c r="A597" t="n">
        <v>596</v>
      </c>
      <c r="B597" t="inlineStr">
        <is>
          <t>DXCVI</t>
        </is>
      </c>
      <c r="C597">
        <f>ROMAN(596)</f>
        <v/>
      </c>
      <c r="D597">
        <f>IF(B597=C597, "YES", "WRONG")</f>
        <v/>
      </c>
    </row>
    <row r="598">
      <c r="A598" t="n">
        <v>597</v>
      </c>
      <c r="B598" t="inlineStr">
        <is>
          <t>DXCVII</t>
        </is>
      </c>
      <c r="C598">
        <f>ROMAN(597)</f>
        <v/>
      </c>
      <c r="D598">
        <f>IF(B598=C598, "YES", "WRONG")</f>
        <v/>
      </c>
    </row>
    <row r="599">
      <c r="A599" t="n">
        <v>598</v>
      </c>
      <c r="B599" t="inlineStr">
        <is>
          <t>DXCVIII</t>
        </is>
      </c>
      <c r="C599">
        <f>ROMAN(598)</f>
        <v/>
      </c>
      <c r="D599">
        <f>IF(B599=C599, "YES", "WRONG")</f>
        <v/>
      </c>
    </row>
    <row r="600">
      <c r="A600" t="n">
        <v>599</v>
      </c>
      <c r="B600" t="inlineStr">
        <is>
          <t>DXCIX</t>
        </is>
      </c>
      <c r="C600">
        <f>ROMAN(599)</f>
        <v/>
      </c>
      <c r="D600">
        <f>IF(B600=C600, "YES", "WRONG")</f>
        <v/>
      </c>
    </row>
    <row r="601">
      <c r="A601" t="n">
        <v>600</v>
      </c>
      <c r="B601" t="inlineStr">
        <is>
          <t>DC</t>
        </is>
      </c>
      <c r="C601">
        <f>ROMAN(600)</f>
        <v/>
      </c>
      <c r="D601">
        <f>IF(B601=C601, "YES", "WRONG")</f>
        <v/>
      </c>
    </row>
    <row r="602">
      <c r="A602" t="n">
        <v>601</v>
      </c>
      <c r="B602" t="inlineStr">
        <is>
          <t>DCI</t>
        </is>
      </c>
      <c r="C602">
        <f>ROMAN(601)</f>
        <v/>
      </c>
      <c r="D602">
        <f>IF(B602=C602, "YES", "WRONG")</f>
        <v/>
      </c>
    </row>
    <row r="603">
      <c r="A603" t="n">
        <v>602</v>
      </c>
      <c r="B603" t="inlineStr">
        <is>
          <t>DCII</t>
        </is>
      </c>
      <c r="C603">
        <f>ROMAN(602)</f>
        <v/>
      </c>
      <c r="D603">
        <f>IF(B603=C603, "YES", "WRONG")</f>
        <v/>
      </c>
    </row>
    <row r="604">
      <c r="A604" t="n">
        <v>603</v>
      </c>
      <c r="B604" t="inlineStr">
        <is>
          <t>DCIII</t>
        </is>
      </c>
      <c r="C604">
        <f>ROMAN(603)</f>
        <v/>
      </c>
      <c r="D604">
        <f>IF(B604=C604, "YES", "WRONG")</f>
        <v/>
      </c>
    </row>
    <row r="605">
      <c r="A605" t="n">
        <v>604</v>
      </c>
      <c r="B605" t="inlineStr">
        <is>
          <t>DCIV</t>
        </is>
      </c>
      <c r="C605">
        <f>ROMAN(604)</f>
        <v/>
      </c>
      <c r="D605">
        <f>IF(B605=C605, "YES", "WRONG")</f>
        <v/>
      </c>
    </row>
    <row r="606">
      <c r="A606" t="n">
        <v>605</v>
      </c>
      <c r="B606" t="inlineStr">
        <is>
          <t>DCV</t>
        </is>
      </c>
      <c r="C606">
        <f>ROMAN(605)</f>
        <v/>
      </c>
      <c r="D606">
        <f>IF(B606=C606, "YES", "WRONG")</f>
        <v/>
      </c>
    </row>
    <row r="607">
      <c r="A607" t="n">
        <v>606</v>
      </c>
      <c r="B607" t="inlineStr">
        <is>
          <t>DCVI</t>
        </is>
      </c>
      <c r="C607">
        <f>ROMAN(606)</f>
        <v/>
      </c>
      <c r="D607">
        <f>IF(B607=C607, "YES", "WRONG")</f>
        <v/>
      </c>
    </row>
    <row r="608">
      <c r="A608" t="n">
        <v>607</v>
      </c>
      <c r="B608" t="inlineStr">
        <is>
          <t>DCVII</t>
        </is>
      </c>
      <c r="C608">
        <f>ROMAN(607)</f>
        <v/>
      </c>
      <c r="D608">
        <f>IF(B608=C608, "YES", "WRONG")</f>
        <v/>
      </c>
    </row>
    <row r="609">
      <c r="A609" t="n">
        <v>608</v>
      </c>
      <c r="B609" t="inlineStr">
        <is>
          <t>DCVIII</t>
        </is>
      </c>
      <c r="C609">
        <f>ROMAN(608)</f>
        <v/>
      </c>
      <c r="D609">
        <f>IF(B609=C609, "YES", "WRONG")</f>
        <v/>
      </c>
    </row>
    <row r="610">
      <c r="A610" t="n">
        <v>609</v>
      </c>
      <c r="B610" t="inlineStr">
        <is>
          <t>DCIX</t>
        </is>
      </c>
      <c r="C610">
        <f>ROMAN(609)</f>
        <v/>
      </c>
      <c r="D610">
        <f>IF(B610=C610, "YES", "WRONG")</f>
        <v/>
      </c>
    </row>
    <row r="611">
      <c r="A611" t="n">
        <v>610</v>
      </c>
      <c r="B611" t="inlineStr">
        <is>
          <t>DCX</t>
        </is>
      </c>
      <c r="C611">
        <f>ROMAN(610)</f>
        <v/>
      </c>
      <c r="D611">
        <f>IF(B611=C611, "YES", "WRONG")</f>
        <v/>
      </c>
    </row>
    <row r="612">
      <c r="A612" t="n">
        <v>611</v>
      </c>
      <c r="B612" t="inlineStr">
        <is>
          <t>DCXI</t>
        </is>
      </c>
      <c r="C612">
        <f>ROMAN(611)</f>
        <v/>
      </c>
      <c r="D612">
        <f>IF(B612=C612, "YES", "WRONG")</f>
        <v/>
      </c>
    </row>
    <row r="613">
      <c r="A613" t="n">
        <v>612</v>
      </c>
      <c r="B613" t="inlineStr">
        <is>
          <t>DCXII</t>
        </is>
      </c>
      <c r="C613">
        <f>ROMAN(612)</f>
        <v/>
      </c>
      <c r="D613">
        <f>IF(B613=C613, "YES", "WRONG")</f>
        <v/>
      </c>
    </row>
    <row r="614">
      <c r="A614" t="n">
        <v>613</v>
      </c>
      <c r="B614" t="inlineStr">
        <is>
          <t>DCXIII</t>
        </is>
      </c>
      <c r="C614">
        <f>ROMAN(613)</f>
        <v/>
      </c>
      <c r="D614">
        <f>IF(B614=C614, "YES", "WRONG")</f>
        <v/>
      </c>
    </row>
    <row r="615">
      <c r="A615" t="n">
        <v>614</v>
      </c>
      <c r="B615" t="inlineStr">
        <is>
          <t>DCXIV</t>
        </is>
      </c>
      <c r="C615">
        <f>ROMAN(614)</f>
        <v/>
      </c>
      <c r="D615">
        <f>IF(B615=C615, "YES", "WRONG")</f>
        <v/>
      </c>
    </row>
    <row r="616">
      <c r="A616" t="n">
        <v>615</v>
      </c>
      <c r="B616" t="inlineStr">
        <is>
          <t>DCXV</t>
        </is>
      </c>
      <c r="C616">
        <f>ROMAN(615)</f>
        <v/>
      </c>
      <c r="D616">
        <f>IF(B616=C616, "YES", "WRONG")</f>
        <v/>
      </c>
    </row>
    <row r="617">
      <c r="A617" t="n">
        <v>616</v>
      </c>
      <c r="B617" t="inlineStr">
        <is>
          <t>DCXVI</t>
        </is>
      </c>
      <c r="C617">
        <f>ROMAN(616)</f>
        <v/>
      </c>
      <c r="D617">
        <f>IF(B617=C617, "YES", "WRONG")</f>
        <v/>
      </c>
    </row>
    <row r="618">
      <c r="A618" t="n">
        <v>617</v>
      </c>
      <c r="B618" t="inlineStr">
        <is>
          <t>DCXVII</t>
        </is>
      </c>
      <c r="C618">
        <f>ROMAN(617)</f>
        <v/>
      </c>
      <c r="D618">
        <f>IF(B618=C618, "YES", "WRONG")</f>
        <v/>
      </c>
    </row>
    <row r="619">
      <c r="A619" t="n">
        <v>618</v>
      </c>
      <c r="B619" t="inlineStr">
        <is>
          <t>DCXVIII</t>
        </is>
      </c>
      <c r="C619">
        <f>ROMAN(618)</f>
        <v/>
      </c>
      <c r="D619">
        <f>IF(B619=C619, "YES", "WRONG")</f>
        <v/>
      </c>
    </row>
    <row r="620">
      <c r="A620" t="n">
        <v>619</v>
      </c>
      <c r="B620" t="inlineStr">
        <is>
          <t>DCXIX</t>
        </is>
      </c>
      <c r="C620">
        <f>ROMAN(619)</f>
        <v/>
      </c>
      <c r="D620">
        <f>IF(B620=C620, "YES", "WRONG")</f>
        <v/>
      </c>
    </row>
    <row r="621">
      <c r="A621" t="n">
        <v>620</v>
      </c>
      <c r="B621" t="inlineStr">
        <is>
          <t>DCXX</t>
        </is>
      </c>
      <c r="C621">
        <f>ROMAN(620)</f>
        <v/>
      </c>
      <c r="D621">
        <f>IF(B621=C621, "YES", "WRONG")</f>
        <v/>
      </c>
    </row>
    <row r="622">
      <c r="A622" t="n">
        <v>621</v>
      </c>
      <c r="B622" t="inlineStr">
        <is>
          <t>DCXXI</t>
        </is>
      </c>
      <c r="C622">
        <f>ROMAN(621)</f>
        <v/>
      </c>
      <c r="D622">
        <f>IF(B622=C622, "YES", "WRONG")</f>
        <v/>
      </c>
    </row>
    <row r="623">
      <c r="A623" t="n">
        <v>622</v>
      </c>
      <c r="B623" t="inlineStr">
        <is>
          <t>DCXXII</t>
        </is>
      </c>
      <c r="C623">
        <f>ROMAN(622)</f>
        <v/>
      </c>
      <c r="D623">
        <f>IF(B623=C623, "YES", "WRONG")</f>
        <v/>
      </c>
    </row>
    <row r="624">
      <c r="A624" t="n">
        <v>623</v>
      </c>
      <c r="B624" t="inlineStr">
        <is>
          <t>DCXXIII</t>
        </is>
      </c>
      <c r="C624">
        <f>ROMAN(623)</f>
        <v/>
      </c>
      <c r="D624">
        <f>IF(B624=C624, "YES", "WRONG")</f>
        <v/>
      </c>
    </row>
    <row r="625">
      <c r="A625" t="n">
        <v>624</v>
      </c>
      <c r="B625" t="inlineStr">
        <is>
          <t>DCXXIV</t>
        </is>
      </c>
      <c r="C625">
        <f>ROMAN(624)</f>
        <v/>
      </c>
      <c r="D625">
        <f>IF(B625=C625, "YES", "WRONG")</f>
        <v/>
      </c>
    </row>
    <row r="626">
      <c r="A626" t="n">
        <v>625</v>
      </c>
      <c r="B626" t="inlineStr">
        <is>
          <t>DCXXV</t>
        </is>
      </c>
      <c r="C626">
        <f>ROMAN(625)</f>
        <v/>
      </c>
      <c r="D626">
        <f>IF(B626=C626, "YES", "WRONG")</f>
        <v/>
      </c>
    </row>
    <row r="627">
      <c r="A627" t="n">
        <v>626</v>
      </c>
      <c r="B627" t="inlineStr">
        <is>
          <t>DCXXVI</t>
        </is>
      </c>
      <c r="C627">
        <f>ROMAN(626)</f>
        <v/>
      </c>
      <c r="D627">
        <f>IF(B627=C627, "YES", "WRONG")</f>
        <v/>
      </c>
    </row>
    <row r="628">
      <c r="A628" t="n">
        <v>627</v>
      </c>
      <c r="B628" t="inlineStr">
        <is>
          <t>DCXXVII</t>
        </is>
      </c>
      <c r="C628">
        <f>ROMAN(627)</f>
        <v/>
      </c>
      <c r="D628">
        <f>IF(B628=C628, "YES", "WRONG")</f>
        <v/>
      </c>
    </row>
    <row r="629">
      <c r="A629" t="n">
        <v>628</v>
      </c>
      <c r="B629" t="inlineStr">
        <is>
          <t>DCXXVIII</t>
        </is>
      </c>
      <c r="C629">
        <f>ROMAN(628)</f>
        <v/>
      </c>
      <c r="D629">
        <f>IF(B629=C629, "YES", "WRONG")</f>
        <v/>
      </c>
    </row>
    <row r="630">
      <c r="A630" t="n">
        <v>629</v>
      </c>
      <c r="B630" t="inlineStr">
        <is>
          <t>DCXXIX</t>
        </is>
      </c>
      <c r="C630">
        <f>ROMAN(629)</f>
        <v/>
      </c>
      <c r="D630">
        <f>IF(B630=C630, "YES", "WRONG")</f>
        <v/>
      </c>
    </row>
    <row r="631">
      <c r="A631" t="n">
        <v>630</v>
      </c>
      <c r="B631" t="inlineStr">
        <is>
          <t>DCXXX</t>
        </is>
      </c>
      <c r="C631">
        <f>ROMAN(630)</f>
        <v/>
      </c>
      <c r="D631">
        <f>IF(B631=C631, "YES", "WRONG")</f>
        <v/>
      </c>
    </row>
    <row r="632">
      <c r="A632" t="n">
        <v>631</v>
      </c>
      <c r="B632" t="inlineStr">
        <is>
          <t>DCXXXI</t>
        </is>
      </c>
      <c r="C632">
        <f>ROMAN(631)</f>
        <v/>
      </c>
      <c r="D632">
        <f>IF(B632=C632, "YES", "WRONG")</f>
        <v/>
      </c>
    </row>
    <row r="633">
      <c r="A633" t="n">
        <v>632</v>
      </c>
      <c r="B633" t="inlineStr">
        <is>
          <t>DCXXXII</t>
        </is>
      </c>
      <c r="C633">
        <f>ROMAN(632)</f>
        <v/>
      </c>
      <c r="D633">
        <f>IF(B633=C633, "YES", "WRONG")</f>
        <v/>
      </c>
    </row>
    <row r="634">
      <c r="A634" t="n">
        <v>633</v>
      </c>
      <c r="B634" t="inlineStr">
        <is>
          <t>DCXXXIII</t>
        </is>
      </c>
      <c r="C634">
        <f>ROMAN(633)</f>
        <v/>
      </c>
      <c r="D634">
        <f>IF(B634=C634, "YES", "WRONG")</f>
        <v/>
      </c>
    </row>
    <row r="635">
      <c r="A635" t="n">
        <v>634</v>
      </c>
      <c r="B635" t="inlineStr">
        <is>
          <t>DCXXXIV</t>
        </is>
      </c>
      <c r="C635">
        <f>ROMAN(634)</f>
        <v/>
      </c>
      <c r="D635">
        <f>IF(B635=C635, "YES", "WRONG")</f>
        <v/>
      </c>
    </row>
    <row r="636">
      <c r="A636" t="n">
        <v>635</v>
      </c>
      <c r="B636" t="inlineStr">
        <is>
          <t>DCXXXV</t>
        </is>
      </c>
      <c r="C636">
        <f>ROMAN(635)</f>
        <v/>
      </c>
      <c r="D636">
        <f>IF(B636=C636, "YES", "WRONG")</f>
        <v/>
      </c>
    </row>
    <row r="637">
      <c r="A637" t="n">
        <v>636</v>
      </c>
      <c r="B637" t="inlineStr">
        <is>
          <t>DCXXXVI</t>
        </is>
      </c>
      <c r="C637">
        <f>ROMAN(636)</f>
        <v/>
      </c>
      <c r="D637">
        <f>IF(B637=C637, "YES", "WRONG")</f>
        <v/>
      </c>
    </row>
    <row r="638">
      <c r="A638" t="n">
        <v>637</v>
      </c>
      <c r="B638" t="inlineStr">
        <is>
          <t>DCXXXVII</t>
        </is>
      </c>
      <c r="C638">
        <f>ROMAN(637)</f>
        <v/>
      </c>
      <c r="D638">
        <f>IF(B638=C638, "YES", "WRONG")</f>
        <v/>
      </c>
    </row>
    <row r="639">
      <c r="A639" t="n">
        <v>638</v>
      </c>
      <c r="B639" t="inlineStr">
        <is>
          <t>DCXXXVIII</t>
        </is>
      </c>
      <c r="C639">
        <f>ROMAN(638)</f>
        <v/>
      </c>
      <c r="D639">
        <f>IF(B639=C639, "YES", "WRONG")</f>
        <v/>
      </c>
    </row>
    <row r="640">
      <c r="A640" t="n">
        <v>639</v>
      </c>
      <c r="B640" t="inlineStr">
        <is>
          <t>DCXXXIX</t>
        </is>
      </c>
      <c r="C640">
        <f>ROMAN(639)</f>
        <v/>
      </c>
      <c r="D640">
        <f>IF(B640=C640, "YES", "WRONG")</f>
        <v/>
      </c>
    </row>
    <row r="641">
      <c r="A641" t="n">
        <v>640</v>
      </c>
      <c r="B641" t="inlineStr">
        <is>
          <t>DCXL</t>
        </is>
      </c>
      <c r="C641">
        <f>ROMAN(640)</f>
        <v/>
      </c>
      <c r="D641">
        <f>IF(B641=C641, "YES", "WRONG")</f>
        <v/>
      </c>
    </row>
    <row r="642">
      <c r="A642" t="n">
        <v>641</v>
      </c>
      <c r="B642" t="inlineStr">
        <is>
          <t>DCXLI</t>
        </is>
      </c>
      <c r="C642">
        <f>ROMAN(641)</f>
        <v/>
      </c>
      <c r="D642">
        <f>IF(B642=C642, "YES", "WRONG")</f>
        <v/>
      </c>
    </row>
    <row r="643">
      <c r="A643" t="n">
        <v>642</v>
      </c>
      <c r="B643" t="inlineStr">
        <is>
          <t>DCXLII</t>
        </is>
      </c>
      <c r="C643">
        <f>ROMAN(642)</f>
        <v/>
      </c>
      <c r="D643">
        <f>IF(B643=C643, "YES", "WRONG")</f>
        <v/>
      </c>
    </row>
    <row r="644">
      <c r="A644" t="n">
        <v>643</v>
      </c>
      <c r="B644" t="inlineStr">
        <is>
          <t>DCXLIII</t>
        </is>
      </c>
      <c r="C644">
        <f>ROMAN(643)</f>
        <v/>
      </c>
      <c r="D644">
        <f>IF(B644=C644, "YES", "WRONG")</f>
        <v/>
      </c>
    </row>
    <row r="645">
      <c r="A645" t="n">
        <v>644</v>
      </c>
      <c r="B645" t="inlineStr">
        <is>
          <t>DCXLIV</t>
        </is>
      </c>
      <c r="C645">
        <f>ROMAN(644)</f>
        <v/>
      </c>
      <c r="D645">
        <f>IF(B645=C645, "YES", "WRONG")</f>
        <v/>
      </c>
    </row>
    <row r="646">
      <c r="A646" t="n">
        <v>645</v>
      </c>
      <c r="B646" t="inlineStr">
        <is>
          <t>DCXLV</t>
        </is>
      </c>
      <c r="C646">
        <f>ROMAN(645)</f>
        <v/>
      </c>
      <c r="D646">
        <f>IF(B646=C646, "YES", "WRONG")</f>
        <v/>
      </c>
    </row>
    <row r="647">
      <c r="A647" t="n">
        <v>646</v>
      </c>
      <c r="B647" t="inlineStr">
        <is>
          <t>DCXLVI</t>
        </is>
      </c>
      <c r="C647">
        <f>ROMAN(646)</f>
        <v/>
      </c>
      <c r="D647">
        <f>IF(B647=C647, "YES", "WRONG")</f>
        <v/>
      </c>
    </row>
    <row r="648">
      <c r="A648" t="n">
        <v>647</v>
      </c>
      <c r="B648" t="inlineStr">
        <is>
          <t>DCXLVII</t>
        </is>
      </c>
      <c r="C648">
        <f>ROMAN(647)</f>
        <v/>
      </c>
      <c r="D648">
        <f>IF(B648=C648, "YES", "WRONG")</f>
        <v/>
      </c>
    </row>
    <row r="649">
      <c r="A649" t="n">
        <v>648</v>
      </c>
      <c r="B649" t="inlineStr">
        <is>
          <t>DCXLVIII</t>
        </is>
      </c>
      <c r="C649">
        <f>ROMAN(648)</f>
        <v/>
      </c>
      <c r="D649">
        <f>IF(B649=C649, "YES", "WRONG")</f>
        <v/>
      </c>
    </row>
    <row r="650">
      <c r="A650" t="n">
        <v>649</v>
      </c>
      <c r="B650" t="inlineStr">
        <is>
          <t>DCXLIX</t>
        </is>
      </c>
      <c r="C650">
        <f>ROMAN(649)</f>
        <v/>
      </c>
      <c r="D650">
        <f>IF(B650=C650, "YES", "WRONG")</f>
        <v/>
      </c>
    </row>
    <row r="651">
      <c r="A651" t="n">
        <v>650</v>
      </c>
      <c r="B651" t="inlineStr">
        <is>
          <t>DCL</t>
        </is>
      </c>
      <c r="C651">
        <f>ROMAN(650)</f>
        <v/>
      </c>
      <c r="D651">
        <f>IF(B651=C651, "YES", "WRONG")</f>
        <v/>
      </c>
    </row>
    <row r="652">
      <c r="A652" t="n">
        <v>651</v>
      </c>
      <c r="B652" t="inlineStr">
        <is>
          <t>DCLI</t>
        </is>
      </c>
      <c r="C652">
        <f>ROMAN(651)</f>
        <v/>
      </c>
      <c r="D652">
        <f>IF(B652=C652, "YES", "WRONG")</f>
        <v/>
      </c>
    </row>
    <row r="653">
      <c r="A653" t="n">
        <v>652</v>
      </c>
      <c r="B653" t="inlineStr">
        <is>
          <t>DCLII</t>
        </is>
      </c>
      <c r="C653">
        <f>ROMAN(652)</f>
        <v/>
      </c>
      <c r="D653">
        <f>IF(B653=C653, "YES", "WRONG")</f>
        <v/>
      </c>
    </row>
    <row r="654">
      <c r="A654" t="n">
        <v>653</v>
      </c>
      <c r="B654" t="inlineStr">
        <is>
          <t>DCLIII</t>
        </is>
      </c>
      <c r="C654">
        <f>ROMAN(653)</f>
        <v/>
      </c>
      <c r="D654">
        <f>IF(B654=C654, "YES", "WRONG")</f>
        <v/>
      </c>
    </row>
    <row r="655">
      <c r="A655" t="n">
        <v>654</v>
      </c>
      <c r="B655" t="inlineStr">
        <is>
          <t>DCLIV</t>
        </is>
      </c>
      <c r="C655">
        <f>ROMAN(654)</f>
        <v/>
      </c>
      <c r="D655">
        <f>IF(B655=C655, "YES", "WRONG")</f>
        <v/>
      </c>
    </row>
    <row r="656">
      <c r="A656" t="n">
        <v>655</v>
      </c>
      <c r="B656" t="inlineStr">
        <is>
          <t>DCLV</t>
        </is>
      </c>
      <c r="C656">
        <f>ROMAN(655)</f>
        <v/>
      </c>
      <c r="D656">
        <f>IF(B656=C656, "YES", "WRONG")</f>
        <v/>
      </c>
    </row>
    <row r="657">
      <c r="A657" t="n">
        <v>656</v>
      </c>
      <c r="B657" t="inlineStr">
        <is>
          <t>DCLVI</t>
        </is>
      </c>
      <c r="C657">
        <f>ROMAN(656)</f>
        <v/>
      </c>
      <c r="D657">
        <f>IF(B657=C657, "YES", "WRONG")</f>
        <v/>
      </c>
    </row>
    <row r="658">
      <c r="A658" t="n">
        <v>657</v>
      </c>
      <c r="B658" t="inlineStr">
        <is>
          <t>DCLVII</t>
        </is>
      </c>
      <c r="C658">
        <f>ROMAN(657)</f>
        <v/>
      </c>
      <c r="D658">
        <f>IF(B658=C658, "YES", "WRONG")</f>
        <v/>
      </c>
    </row>
    <row r="659">
      <c r="A659" t="n">
        <v>658</v>
      </c>
      <c r="B659" t="inlineStr">
        <is>
          <t>DCLVIII</t>
        </is>
      </c>
      <c r="C659">
        <f>ROMAN(658)</f>
        <v/>
      </c>
      <c r="D659">
        <f>IF(B659=C659, "YES", "WRONG")</f>
        <v/>
      </c>
    </row>
    <row r="660">
      <c r="A660" t="n">
        <v>659</v>
      </c>
      <c r="B660" t="inlineStr">
        <is>
          <t>DCLIX</t>
        </is>
      </c>
      <c r="C660">
        <f>ROMAN(659)</f>
        <v/>
      </c>
      <c r="D660">
        <f>IF(B660=C660, "YES", "WRONG")</f>
        <v/>
      </c>
    </row>
    <row r="661">
      <c r="A661" t="n">
        <v>660</v>
      </c>
      <c r="B661" t="inlineStr">
        <is>
          <t>DCLX</t>
        </is>
      </c>
      <c r="C661">
        <f>ROMAN(660)</f>
        <v/>
      </c>
      <c r="D661">
        <f>IF(B661=C661, "YES", "WRONG")</f>
        <v/>
      </c>
    </row>
    <row r="662">
      <c r="A662" t="n">
        <v>661</v>
      </c>
      <c r="B662" t="inlineStr">
        <is>
          <t>DCLXI</t>
        </is>
      </c>
      <c r="C662">
        <f>ROMAN(661)</f>
        <v/>
      </c>
      <c r="D662">
        <f>IF(B662=C662, "YES", "WRONG")</f>
        <v/>
      </c>
    </row>
    <row r="663">
      <c r="A663" t="n">
        <v>662</v>
      </c>
      <c r="B663" t="inlineStr">
        <is>
          <t>DCLXII</t>
        </is>
      </c>
      <c r="C663">
        <f>ROMAN(662)</f>
        <v/>
      </c>
      <c r="D663">
        <f>IF(B663=C663, "YES", "WRONG")</f>
        <v/>
      </c>
    </row>
    <row r="664">
      <c r="A664" t="n">
        <v>663</v>
      </c>
      <c r="B664" t="inlineStr">
        <is>
          <t>DCLXIII</t>
        </is>
      </c>
      <c r="C664">
        <f>ROMAN(663)</f>
        <v/>
      </c>
      <c r="D664">
        <f>IF(B664=C664, "YES", "WRONG")</f>
        <v/>
      </c>
    </row>
    <row r="665">
      <c r="A665" t="n">
        <v>664</v>
      </c>
      <c r="B665" t="inlineStr">
        <is>
          <t>DCLXIV</t>
        </is>
      </c>
      <c r="C665">
        <f>ROMAN(664)</f>
        <v/>
      </c>
      <c r="D665">
        <f>IF(B665=C665, "YES", "WRONG")</f>
        <v/>
      </c>
    </row>
    <row r="666">
      <c r="A666" t="n">
        <v>665</v>
      </c>
      <c r="B666" t="inlineStr">
        <is>
          <t>DCLXV</t>
        </is>
      </c>
      <c r="C666">
        <f>ROMAN(665)</f>
        <v/>
      </c>
      <c r="D666">
        <f>IF(B666=C666, "YES", "WRONG")</f>
        <v/>
      </c>
    </row>
    <row r="667">
      <c r="A667" t="n">
        <v>666</v>
      </c>
      <c r="B667" t="inlineStr">
        <is>
          <t>DCLXVI</t>
        </is>
      </c>
      <c r="C667">
        <f>ROMAN(666)</f>
        <v/>
      </c>
      <c r="D667">
        <f>IF(B667=C667, "YES", "WRONG")</f>
        <v/>
      </c>
    </row>
    <row r="668">
      <c r="A668" t="n">
        <v>667</v>
      </c>
      <c r="B668" t="inlineStr">
        <is>
          <t>DCLXVII</t>
        </is>
      </c>
      <c r="C668">
        <f>ROMAN(667)</f>
        <v/>
      </c>
      <c r="D668">
        <f>IF(B668=C668, "YES", "WRONG")</f>
        <v/>
      </c>
    </row>
    <row r="669">
      <c r="A669" t="n">
        <v>668</v>
      </c>
      <c r="B669" t="inlineStr">
        <is>
          <t>DCLXVIII</t>
        </is>
      </c>
      <c r="C669">
        <f>ROMAN(668)</f>
        <v/>
      </c>
      <c r="D669">
        <f>IF(B669=C669, "YES", "WRONG")</f>
        <v/>
      </c>
    </row>
    <row r="670">
      <c r="A670" t="n">
        <v>669</v>
      </c>
      <c r="B670" t="inlineStr">
        <is>
          <t>DCLXIX</t>
        </is>
      </c>
      <c r="C670">
        <f>ROMAN(669)</f>
        <v/>
      </c>
      <c r="D670">
        <f>IF(B670=C670, "YES", "WRONG")</f>
        <v/>
      </c>
    </row>
    <row r="671">
      <c r="A671" t="n">
        <v>670</v>
      </c>
      <c r="B671" t="inlineStr">
        <is>
          <t>DCLXX</t>
        </is>
      </c>
      <c r="C671">
        <f>ROMAN(670)</f>
        <v/>
      </c>
      <c r="D671">
        <f>IF(B671=C671, "YES", "WRONG")</f>
        <v/>
      </c>
    </row>
    <row r="672">
      <c r="A672" t="n">
        <v>671</v>
      </c>
      <c r="B672" t="inlineStr">
        <is>
          <t>DCLXXI</t>
        </is>
      </c>
      <c r="C672">
        <f>ROMAN(671)</f>
        <v/>
      </c>
      <c r="D672">
        <f>IF(B672=C672, "YES", "WRONG")</f>
        <v/>
      </c>
    </row>
    <row r="673">
      <c r="A673" t="n">
        <v>672</v>
      </c>
      <c r="B673" t="inlineStr">
        <is>
          <t>DCLXXII</t>
        </is>
      </c>
      <c r="C673">
        <f>ROMAN(672)</f>
        <v/>
      </c>
      <c r="D673">
        <f>IF(B673=C673, "YES", "WRONG")</f>
        <v/>
      </c>
    </row>
    <row r="674">
      <c r="A674" t="n">
        <v>673</v>
      </c>
      <c r="B674" t="inlineStr">
        <is>
          <t>DCLXXIII</t>
        </is>
      </c>
      <c r="C674">
        <f>ROMAN(673)</f>
        <v/>
      </c>
      <c r="D674">
        <f>IF(B674=C674, "YES", "WRONG")</f>
        <v/>
      </c>
    </row>
    <row r="675">
      <c r="A675" t="n">
        <v>674</v>
      </c>
      <c r="B675" t="inlineStr">
        <is>
          <t>DCLXXIV</t>
        </is>
      </c>
      <c r="C675">
        <f>ROMAN(674)</f>
        <v/>
      </c>
      <c r="D675">
        <f>IF(B675=C675, "YES", "WRONG")</f>
        <v/>
      </c>
    </row>
    <row r="676">
      <c r="A676" t="n">
        <v>675</v>
      </c>
      <c r="B676" t="inlineStr">
        <is>
          <t>DCLXXV</t>
        </is>
      </c>
      <c r="C676">
        <f>ROMAN(675)</f>
        <v/>
      </c>
      <c r="D676">
        <f>IF(B676=C676, "YES", "WRONG")</f>
        <v/>
      </c>
    </row>
    <row r="677">
      <c r="A677" t="n">
        <v>676</v>
      </c>
      <c r="B677" t="inlineStr">
        <is>
          <t>DCLXXVI</t>
        </is>
      </c>
      <c r="C677">
        <f>ROMAN(676)</f>
        <v/>
      </c>
      <c r="D677">
        <f>IF(B677=C677, "YES", "WRONG")</f>
        <v/>
      </c>
    </row>
    <row r="678">
      <c r="A678" t="n">
        <v>677</v>
      </c>
      <c r="B678" t="inlineStr">
        <is>
          <t>DCLXXVII</t>
        </is>
      </c>
      <c r="C678">
        <f>ROMAN(677)</f>
        <v/>
      </c>
      <c r="D678">
        <f>IF(B678=C678, "YES", "WRONG")</f>
        <v/>
      </c>
    </row>
    <row r="679">
      <c r="A679" t="n">
        <v>678</v>
      </c>
      <c r="B679" t="inlineStr">
        <is>
          <t>DCLXXVIII</t>
        </is>
      </c>
      <c r="C679">
        <f>ROMAN(678)</f>
        <v/>
      </c>
      <c r="D679">
        <f>IF(B679=C679, "YES", "WRONG")</f>
        <v/>
      </c>
    </row>
    <row r="680">
      <c r="A680" t="n">
        <v>679</v>
      </c>
      <c r="B680" t="inlineStr">
        <is>
          <t>DCLXXIX</t>
        </is>
      </c>
      <c r="C680">
        <f>ROMAN(679)</f>
        <v/>
      </c>
      <c r="D680">
        <f>IF(B680=C680, "YES", "WRONG")</f>
        <v/>
      </c>
    </row>
    <row r="681">
      <c r="A681" t="n">
        <v>680</v>
      </c>
      <c r="B681" t="inlineStr">
        <is>
          <t>DCLXXX</t>
        </is>
      </c>
      <c r="C681">
        <f>ROMAN(680)</f>
        <v/>
      </c>
      <c r="D681">
        <f>IF(B681=C681, "YES", "WRONG")</f>
        <v/>
      </c>
    </row>
    <row r="682">
      <c r="A682" t="n">
        <v>681</v>
      </c>
      <c r="B682" t="inlineStr">
        <is>
          <t>DCLXXXI</t>
        </is>
      </c>
      <c r="C682">
        <f>ROMAN(681)</f>
        <v/>
      </c>
      <c r="D682">
        <f>IF(B682=C682, "YES", "WRONG")</f>
        <v/>
      </c>
    </row>
    <row r="683">
      <c r="A683" t="n">
        <v>682</v>
      </c>
      <c r="B683" t="inlineStr">
        <is>
          <t>DCLXXXII</t>
        </is>
      </c>
      <c r="C683">
        <f>ROMAN(682)</f>
        <v/>
      </c>
      <c r="D683">
        <f>IF(B683=C683, "YES", "WRONG")</f>
        <v/>
      </c>
    </row>
    <row r="684">
      <c r="A684" t="n">
        <v>683</v>
      </c>
      <c r="B684" t="inlineStr">
        <is>
          <t>DCLXXXIII</t>
        </is>
      </c>
      <c r="C684">
        <f>ROMAN(683)</f>
        <v/>
      </c>
      <c r="D684">
        <f>IF(B684=C684, "YES", "WRONG")</f>
        <v/>
      </c>
    </row>
    <row r="685">
      <c r="A685" t="n">
        <v>684</v>
      </c>
      <c r="B685" t="inlineStr">
        <is>
          <t>DCLXXXIV</t>
        </is>
      </c>
      <c r="C685">
        <f>ROMAN(684)</f>
        <v/>
      </c>
      <c r="D685">
        <f>IF(B685=C685, "YES", "WRONG")</f>
        <v/>
      </c>
    </row>
    <row r="686">
      <c r="A686" t="n">
        <v>685</v>
      </c>
      <c r="B686" t="inlineStr">
        <is>
          <t>DCLXXXV</t>
        </is>
      </c>
      <c r="C686">
        <f>ROMAN(685)</f>
        <v/>
      </c>
      <c r="D686">
        <f>IF(B686=C686, "YES", "WRONG")</f>
        <v/>
      </c>
    </row>
    <row r="687">
      <c r="A687" t="n">
        <v>686</v>
      </c>
      <c r="B687" t="inlineStr">
        <is>
          <t>DCLXXXVI</t>
        </is>
      </c>
      <c r="C687">
        <f>ROMAN(686)</f>
        <v/>
      </c>
      <c r="D687">
        <f>IF(B687=C687, "YES", "WRONG")</f>
        <v/>
      </c>
    </row>
    <row r="688">
      <c r="A688" t="n">
        <v>687</v>
      </c>
      <c r="B688" t="inlineStr">
        <is>
          <t>DCLXXXVII</t>
        </is>
      </c>
      <c r="C688">
        <f>ROMAN(687)</f>
        <v/>
      </c>
      <c r="D688">
        <f>IF(B688=C688, "YES", "WRONG")</f>
        <v/>
      </c>
    </row>
    <row r="689">
      <c r="A689" t="n">
        <v>688</v>
      </c>
      <c r="B689" t="inlineStr">
        <is>
          <t>DCLXXXVIII</t>
        </is>
      </c>
      <c r="C689">
        <f>ROMAN(688)</f>
        <v/>
      </c>
      <c r="D689">
        <f>IF(B689=C689, "YES", "WRONG")</f>
        <v/>
      </c>
    </row>
    <row r="690">
      <c r="A690" t="n">
        <v>689</v>
      </c>
      <c r="B690" t="inlineStr">
        <is>
          <t>DCLXXXIX</t>
        </is>
      </c>
      <c r="C690">
        <f>ROMAN(689)</f>
        <v/>
      </c>
      <c r="D690">
        <f>IF(B690=C690, "YES", "WRONG")</f>
        <v/>
      </c>
    </row>
    <row r="691">
      <c r="A691" t="n">
        <v>690</v>
      </c>
      <c r="B691" t="inlineStr">
        <is>
          <t>DCXC</t>
        </is>
      </c>
      <c r="C691">
        <f>ROMAN(690)</f>
        <v/>
      </c>
      <c r="D691">
        <f>IF(B691=C691, "YES", "WRONG")</f>
        <v/>
      </c>
    </row>
    <row r="692">
      <c r="A692" t="n">
        <v>691</v>
      </c>
      <c r="B692" t="inlineStr">
        <is>
          <t>DCXCI</t>
        </is>
      </c>
      <c r="C692">
        <f>ROMAN(691)</f>
        <v/>
      </c>
      <c r="D692">
        <f>IF(B692=C692, "YES", "WRONG")</f>
        <v/>
      </c>
    </row>
    <row r="693">
      <c r="A693" t="n">
        <v>692</v>
      </c>
      <c r="B693" t="inlineStr">
        <is>
          <t>DCXCII</t>
        </is>
      </c>
      <c r="C693">
        <f>ROMAN(692)</f>
        <v/>
      </c>
      <c r="D693">
        <f>IF(B693=C693, "YES", "WRONG")</f>
        <v/>
      </c>
    </row>
    <row r="694">
      <c r="A694" t="n">
        <v>693</v>
      </c>
      <c r="B694" t="inlineStr">
        <is>
          <t>DCXCIII</t>
        </is>
      </c>
      <c r="C694">
        <f>ROMAN(693)</f>
        <v/>
      </c>
      <c r="D694">
        <f>IF(B694=C694, "YES", "WRONG")</f>
        <v/>
      </c>
    </row>
    <row r="695">
      <c r="A695" t="n">
        <v>694</v>
      </c>
      <c r="B695" t="inlineStr">
        <is>
          <t>DCXCIV</t>
        </is>
      </c>
      <c r="C695">
        <f>ROMAN(694)</f>
        <v/>
      </c>
      <c r="D695">
        <f>IF(B695=C695, "YES", "WRONG")</f>
        <v/>
      </c>
    </row>
    <row r="696">
      <c r="A696" t="n">
        <v>695</v>
      </c>
      <c r="B696" t="inlineStr">
        <is>
          <t>DCXCV</t>
        </is>
      </c>
      <c r="C696">
        <f>ROMAN(695)</f>
        <v/>
      </c>
      <c r="D696">
        <f>IF(B696=C696, "YES", "WRONG")</f>
        <v/>
      </c>
    </row>
    <row r="697">
      <c r="A697" t="n">
        <v>696</v>
      </c>
      <c r="B697" t="inlineStr">
        <is>
          <t>DCXCVI</t>
        </is>
      </c>
      <c r="C697">
        <f>ROMAN(696)</f>
        <v/>
      </c>
      <c r="D697">
        <f>IF(B697=C697, "YES", "WRONG")</f>
        <v/>
      </c>
    </row>
    <row r="698">
      <c r="A698" t="n">
        <v>697</v>
      </c>
      <c r="B698" t="inlineStr">
        <is>
          <t>DCXCVII</t>
        </is>
      </c>
      <c r="C698">
        <f>ROMAN(697)</f>
        <v/>
      </c>
      <c r="D698">
        <f>IF(B698=C698, "YES", "WRONG")</f>
        <v/>
      </c>
    </row>
    <row r="699">
      <c r="A699" t="n">
        <v>698</v>
      </c>
      <c r="B699" t="inlineStr">
        <is>
          <t>DCXCVIII</t>
        </is>
      </c>
      <c r="C699">
        <f>ROMAN(698)</f>
        <v/>
      </c>
      <c r="D699">
        <f>IF(B699=C699, "YES", "WRONG")</f>
        <v/>
      </c>
    </row>
    <row r="700">
      <c r="A700" t="n">
        <v>699</v>
      </c>
      <c r="B700" t="inlineStr">
        <is>
          <t>DCXCIX</t>
        </is>
      </c>
      <c r="C700">
        <f>ROMAN(699)</f>
        <v/>
      </c>
      <c r="D700">
        <f>IF(B700=C700, "YES", "WRONG")</f>
        <v/>
      </c>
    </row>
    <row r="701">
      <c r="A701" t="n">
        <v>700</v>
      </c>
      <c r="B701" t="inlineStr">
        <is>
          <t>DCC</t>
        </is>
      </c>
      <c r="C701">
        <f>ROMAN(700)</f>
        <v/>
      </c>
      <c r="D701">
        <f>IF(B701=C701, "YES", "WRONG")</f>
        <v/>
      </c>
    </row>
    <row r="702">
      <c r="A702" t="n">
        <v>701</v>
      </c>
      <c r="B702" t="inlineStr">
        <is>
          <t>DCCI</t>
        </is>
      </c>
      <c r="C702">
        <f>ROMAN(701)</f>
        <v/>
      </c>
      <c r="D702">
        <f>IF(B702=C702, "YES", "WRONG")</f>
        <v/>
      </c>
    </row>
    <row r="703">
      <c r="A703" t="n">
        <v>702</v>
      </c>
      <c r="B703" t="inlineStr">
        <is>
          <t>DCCII</t>
        </is>
      </c>
      <c r="C703">
        <f>ROMAN(702)</f>
        <v/>
      </c>
      <c r="D703">
        <f>IF(B703=C703, "YES", "WRONG")</f>
        <v/>
      </c>
    </row>
    <row r="704">
      <c r="A704" t="n">
        <v>703</v>
      </c>
      <c r="B704" t="inlineStr">
        <is>
          <t>DCCIII</t>
        </is>
      </c>
      <c r="C704">
        <f>ROMAN(703)</f>
        <v/>
      </c>
      <c r="D704">
        <f>IF(B704=C704, "YES", "WRONG")</f>
        <v/>
      </c>
    </row>
    <row r="705">
      <c r="A705" t="n">
        <v>704</v>
      </c>
      <c r="B705" t="inlineStr">
        <is>
          <t>DCCIV</t>
        </is>
      </c>
      <c r="C705">
        <f>ROMAN(704)</f>
        <v/>
      </c>
      <c r="D705">
        <f>IF(B705=C705, "YES", "WRONG")</f>
        <v/>
      </c>
    </row>
    <row r="706">
      <c r="A706" t="n">
        <v>705</v>
      </c>
      <c r="B706" t="inlineStr">
        <is>
          <t>DCCV</t>
        </is>
      </c>
      <c r="C706">
        <f>ROMAN(705)</f>
        <v/>
      </c>
      <c r="D706">
        <f>IF(B706=C706, "YES", "WRONG")</f>
        <v/>
      </c>
    </row>
    <row r="707">
      <c r="A707" t="n">
        <v>706</v>
      </c>
      <c r="B707" t="inlineStr">
        <is>
          <t>DCCVI</t>
        </is>
      </c>
      <c r="C707">
        <f>ROMAN(706)</f>
        <v/>
      </c>
      <c r="D707">
        <f>IF(B707=C707, "YES", "WRONG")</f>
        <v/>
      </c>
    </row>
    <row r="708">
      <c r="A708" t="n">
        <v>707</v>
      </c>
      <c r="B708" t="inlineStr">
        <is>
          <t>DCCVII</t>
        </is>
      </c>
      <c r="C708">
        <f>ROMAN(707)</f>
        <v/>
      </c>
      <c r="D708">
        <f>IF(B708=C708, "YES", "WRONG")</f>
        <v/>
      </c>
    </row>
    <row r="709">
      <c r="A709" t="n">
        <v>708</v>
      </c>
      <c r="B709" t="inlineStr">
        <is>
          <t>DCCVIII</t>
        </is>
      </c>
      <c r="C709">
        <f>ROMAN(708)</f>
        <v/>
      </c>
      <c r="D709">
        <f>IF(B709=C709, "YES", "WRONG")</f>
        <v/>
      </c>
    </row>
    <row r="710">
      <c r="A710" t="n">
        <v>709</v>
      </c>
      <c r="B710" t="inlineStr">
        <is>
          <t>DCCIX</t>
        </is>
      </c>
      <c r="C710">
        <f>ROMAN(709)</f>
        <v/>
      </c>
      <c r="D710">
        <f>IF(B710=C710, "YES", "WRONG")</f>
        <v/>
      </c>
    </row>
    <row r="711">
      <c r="A711" t="n">
        <v>710</v>
      </c>
      <c r="B711" t="inlineStr">
        <is>
          <t>DCCX</t>
        </is>
      </c>
      <c r="C711">
        <f>ROMAN(710)</f>
        <v/>
      </c>
      <c r="D711">
        <f>IF(B711=C711, "YES", "WRONG")</f>
        <v/>
      </c>
    </row>
    <row r="712">
      <c r="A712" t="n">
        <v>711</v>
      </c>
      <c r="B712" t="inlineStr">
        <is>
          <t>DCCXI</t>
        </is>
      </c>
      <c r="C712">
        <f>ROMAN(711)</f>
        <v/>
      </c>
      <c r="D712">
        <f>IF(B712=C712, "YES", "WRONG")</f>
        <v/>
      </c>
    </row>
    <row r="713">
      <c r="A713" t="n">
        <v>712</v>
      </c>
      <c r="B713" t="inlineStr">
        <is>
          <t>DCCXII</t>
        </is>
      </c>
      <c r="C713">
        <f>ROMAN(712)</f>
        <v/>
      </c>
      <c r="D713">
        <f>IF(B713=C713, "YES", "WRONG")</f>
        <v/>
      </c>
    </row>
    <row r="714">
      <c r="A714" t="n">
        <v>713</v>
      </c>
      <c r="B714" t="inlineStr">
        <is>
          <t>DCCXIII</t>
        </is>
      </c>
      <c r="C714">
        <f>ROMAN(713)</f>
        <v/>
      </c>
      <c r="D714">
        <f>IF(B714=C714, "YES", "WRONG")</f>
        <v/>
      </c>
    </row>
    <row r="715">
      <c r="A715" t="n">
        <v>714</v>
      </c>
      <c r="B715" t="inlineStr">
        <is>
          <t>DCCXIV</t>
        </is>
      </c>
      <c r="C715">
        <f>ROMAN(714)</f>
        <v/>
      </c>
      <c r="D715">
        <f>IF(B715=C715, "YES", "WRONG")</f>
        <v/>
      </c>
    </row>
    <row r="716">
      <c r="A716" t="n">
        <v>715</v>
      </c>
      <c r="B716" t="inlineStr">
        <is>
          <t>DCCXV</t>
        </is>
      </c>
      <c r="C716">
        <f>ROMAN(715)</f>
        <v/>
      </c>
      <c r="D716">
        <f>IF(B716=C716, "YES", "WRONG")</f>
        <v/>
      </c>
    </row>
    <row r="717">
      <c r="A717" t="n">
        <v>716</v>
      </c>
      <c r="B717" t="inlineStr">
        <is>
          <t>DCCXVI</t>
        </is>
      </c>
      <c r="C717">
        <f>ROMAN(716)</f>
        <v/>
      </c>
      <c r="D717">
        <f>IF(B717=C717, "YES", "WRONG")</f>
        <v/>
      </c>
    </row>
    <row r="718">
      <c r="A718" t="n">
        <v>717</v>
      </c>
      <c r="B718" t="inlineStr">
        <is>
          <t>DCCXVII</t>
        </is>
      </c>
      <c r="C718">
        <f>ROMAN(717)</f>
        <v/>
      </c>
      <c r="D718">
        <f>IF(B718=C718, "YES", "WRONG")</f>
        <v/>
      </c>
    </row>
    <row r="719">
      <c r="A719" t="n">
        <v>718</v>
      </c>
      <c r="B719" t="inlineStr">
        <is>
          <t>DCCXVIII</t>
        </is>
      </c>
      <c r="C719">
        <f>ROMAN(718)</f>
        <v/>
      </c>
      <c r="D719">
        <f>IF(B719=C719, "YES", "WRONG")</f>
        <v/>
      </c>
    </row>
    <row r="720">
      <c r="A720" t="n">
        <v>719</v>
      </c>
      <c r="B720" t="inlineStr">
        <is>
          <t>DCCXIX</t>
        </is>
      </c>
      <c r="C720">
        <f>ROMAN(719)</f>
        <v/>
      </c>
      <c r="D720">
        <f>IF(B720=C720, "YES", "WRONG")</f>
        <v/>
      </c>
    </row>
    <row r="721">
      <c r="A721" t="n">
        <v>720</v>
      </c>
      <c r="B721" t="inlineStr">
        <is>
          <t>DCCXX</t>
        </is>
      </c>
      <c r="C721">
        <f>ROMAN(720)</f>
        <v/>
      </c>
      <c r="D721">
        <f>IF(B721=C721, "YES", "WRONG")</f>
        <v/>
      </c>
    </row>
    <row r="722">
      <c r="A722" t="n">
        <v>721</v>
      </c>
      <c r="B722" t="inlineStr">
        <is>
          <t>DCCXXI</t>
        </is>
      </c>
      <c r="C722">
        <f>ROMAN(721)</f>
        <v/>
      </c>
      <c r="D722">
        <f>IF(B722=C722, "YES", "WRONG")</f>
        <v/>
      </c>
    </row>
    <row r="723">
      <c r="A723" t="n">
        <v>722</v>
      </c>
      <c r="B723" t="inlineStr">
        <is>
          <t>DCCXXII</t>
        </is>
      </c>
      <c r="C723">
        <f>ROMAN(722)</f>
        <v/>
      </c>
      <c r="D723">
        <f>IF(B723=C723, "YES", "WRONG")</f>
        <v/>
      </c>
    </row>
    <row r="724">
      <c r="A724" t="n">
        <v>723</v>
      </c>
      <c r="B724" t="inlineStr">
        <is>
          <t>DCCXXIII</t>
        </is>
      </c>
      <c r="C724">
        <f>ROMAN(723)</f>
        <v/>
      </c>
      <c r="D724">
        <f>IF(B724=C724, "YES", "WRONG")</f>
        <v/>
      </c>
    </row>
    <row r="725">
      <c r="A725" t="n">
        <v>724</v>
      </c>
      <c r="B725" t="inlineStr">
        <is>
          <t>DCCXXIV</t>
        </is>
      </c>
      <c r="C725">
        <f>ROMAN(724)</f>
        <v/>
      </c>
      <c r="D725">
        <f>IF(B725=C725, "YES", "WRONG")</f>
        <v/>
      </c>
    </row>
    <row r="726">
      <c r="A726" t="n">
        <v>725</v>
      </c>
      <c r="B726" t="inlineStr">
        <is>
          <t>DCCXXV</t>
        </is>
      </c>
      <c r="C726">
        <f>ROMAN(725)</f>
        <v/>
      </c>
      <c r="D726">
        <f>IF(B726=C726, "YES", "WRONG")</f>
        <v/>
      </c>
    </row>
    <row r="727">
      <c r="A727" t="n">
        <v>726</v>
      </c>
      <c r="B727" t="inlineStr">
        <is>
          <t>DCCXXVI</t>
        </is>
      </c>
      <c r="C727">
        <f>ROMAN(726)</f>
        <v/>
      </c>
      <c r="D727">
        <f>IF(B727=C727, "YES", "WRONG")</f>
        <v/>
      </c>
    </row>
    <row r="728">
      <c r="A728" t="n">
        <v>727</v>
      </c>
      <c r="B728" t="inlineStr">
        <is>
          <t>DCCXXVII</t>
        </is>
      </c>
      <c r="C728">
        <f>ROMAN(727)</f>
        <v/>
      </c>
      <c r="D728">
        <f>IF(B728=C728, "YES", "WRONG")</f>
        <v/>
      </c>
    </row>
    <row r="729">
      <c r="A729" t="n">
        <v>728</v>
      </c>
      <c r="B729" t="inlineStr">
        <is>
          <t>DCCXXVIII</t>
        </is>
      </c>
      <c r="C729">
        <f>ROMAN(728)</f>
        <v/>
      </c>
      <c r="D729">
        <f>IF(B729=C729, "YES", "WRONG")</f>
        <v/>
      </c>
    </row>
    <row r="730">
      <c r="A730" t="n">
        <v>729</v>
      </c>
      <c r="B730" t="inlineStr">
        <is>
          <t>DCCXXIX</t>
        </is>
      </c>
      <c r="C730">
        <f>ROMAN(729)</f>
        <v/>
      </c>
      <c r="D730">
        <f>IF(B730=C730, "YES", "WRONG")</f>
        <v/>
      </c>
    </row>
    <row r="731">
      <c r="A731" t="n">
        <v>730</v>
      </c>
      <c r="B731" t="inlineStr">
        <is>
          <t>DCCXXX</t>
        </is>
      </c>
      <c r="C731">
        <f>ROMAN(730)</f>
        <v/>
      </c>
      <c r="D731">
        <f>IF(B731=C731, "YES", "WRONG")</f>
        <v/>
      </c>
    </row>
    <row r="732">
      <c r="A732" t="n">
        <v>731</v>
      </c>
      <c r="B732" t="inlineStr">
        <is>
          <t>DCCXXXI</t>
        </is>
      </c>
      <c r="C732">
        <f>ROMAN(731)</f>
        <v/>
      </c>
      <c r="D732">
        <f>IF(B732=C732, "YES", "WRONG")</f>
        <v/>
      </c>
    </row>
    <row r="733">
      <c r="A733" t="n">
        <v>732</v>
      </c>
      <c r="B733" t="inlineStr">
        <is>
          <t>DCCXXXII</t>
        </is>
      </c>
      <c r="C733">
        <f>ROMAN(732)</f>
        <v/>
      </c>
      <c r="D733">
        <f>IF(B733=C733, "YES", "WRONG")</f>
        <v/>
      </c>
    </row>
    <row r="734">
      <c r="A734" t="n">
        <v>733</v>
      </c>
      <c r="B734" t="inlineStr">
        <is>
          <t>DCCXXXIII</t>
        </is>
      </c>
      <c r="C734">
        <f>ROMAN(733)</f>
        <v/>
      </c>
      <c r="D734">
        <f>IF(B734=C734, "YES", "WRONG")</f>
        <v/>
      </c>
    </row>
    <row r="735">
      <c r="A735" t="n">
        <v>734</v>
      </c>
      <c r="B735" t="inlineStr">
        <is>
          <t>DCCXXXIV</t>
        </is>
      </c>
      <c r="C735">
        <f>ROMAN(734)</f>
        <v/>
      </c>
      <c r="D735">
        <f>IF(B735=C735, "YES", "WRONG")</f>
        <v/>
      </c>
    </row>
    <row r="736">
      <c r="A736" t="n">
        <v>735</v>
      </c>
      <c r="B736" t="inlineStr">
        <is>
          <t>DCCXXXV</t>
        </is>
      </c>
      <c r="C736">
        <f>ROMAN(735)</f>
        <v/>
      </c>
      <c r="D736">
        <f>IF(B736=C736, "YES", "WRONG")</f>
        <v/>
      </c>
    </row>
    <row r="737">
      <c r="A737" t="n">
        <v>736</v>
      </c>
      <c r="B737" t="inlineStr">
        <is>
          <t>DCCXXXVI</t>
        </is>
      </c>
      <c r="C737">
        <f>ROMAN(736)</f>
        <v/>
      </c>
      <c r="D737">
        <f>IF(B737=C737, "YES", "WRONG")</f>
        <v/>
      </c>
    </row>
    <row r="738">
      <c r="A738" t="n">
        <v>737</v>
      </c>
      <c r="B738" t="inlineStr">
        <is>
          <t>DCCXXXVII</t>
        </is>
      </c>
      <c r="C738">
        <f>ROMAN(737)</f>
        <v/>
      </c>
      <c r="D738">
        <f>IF(B738=C738, "YES", "WRONG")</f>
        <v/>
      </c>
    </row>
    <row r="739">
      <c r="A739" t="n">
        <v>738</v>
      </c>
      <c r="B739" t="inlineStr">
        <is>
          <t>DCCXXXVIII</t>
        </is>
      </c>
      <c r="C739">
        <f>ROMAN(738)</f>
        <v/>
      </c>
      <c r="D739">
        <f>IF(B739=C739, "YES", "WRONG")</f>
        <v/>
      </c>
    </row>
    <row r="740">
      <c r="A740" t="n">
        <v>739</v>
      </c>
      <c r="B740" t="inlineStr">
        <is>
          <t>DCCXXXIX</t>
        </is>
      </c>
      <c r="C740">
        <f>ROMAN(739)</f>
        <v/>
      </c>
      <c r="D740">
        <f>IF(B740=C740, "YES", "WRONG")</f>
        <v/>
      </c>
    </row>
    <row r="741">
      <c r="A741" t="n">
        <v>740</v>
      </c>
      <c r="B741" t="inlineStr">
        <is>
          <t>DCCXL</t>
        </is>
      </c>
      <c r="C741">
        <f>ROMAN(740)</f>
        <v/>
      </c>
      <c r="D741">
        <f>IF(B741=C741, "YES", "WRONG")</f>
        <v/>
      </c>
    </row>
    <row r="742">
      <c r="A742" t="n">
        <v>741</v>
      </c>
      <c r="B742" t="inlineStr">
        <is>
          <t>DCCXLI</t>
        </is>
      </c>
      <c r="C742">
        <f>ROMAN(741)</f>
        <v/>
      </c>
      <c r="D742">
        <f>IF(B742=C742, "YES", "WRONG")</f>
        <v/>
      </c>
    </row>
    <row r="743">
      <c r="A743" t="n">
        <v>742</v>
      </c>
      <c r="B743" t="inlineStr">
        <is>
          <t>DCCXLII</t>
        </is>
      </c>
      <c r="C743">
        <f>ROMAN(742)</f>
        <v/>
      </c>
      <c r="D743">
        <f>IF(B743=C743, "YES", "WRONG")</f>
        <v/>
      </c>
    </row>
    <row r="744">
      <c r="A744" t="n">
        <v>743</v>
      </c>
      <c r="B744" t="inlineStr">
        <is>
          <t>DCCXLIII</t>
        </is>
      </c>
      <c r="C744">
        <f>ROMAN(743)</f>
        <v/>
      </c>
      <c r="D744">
        <f>IF(B744=C744, "YES", "WRONG")</f>
        <v/>
      </c>
    </row>
    <row r="745">
      <c r="A745" t="n">
        <v>744</v>
      </c>
      <c r="B745" t="inlineStr">
        <is>
          <t>DCCXLIV</t>
        </is>
      </c>
      <c r="C745">
        <f>ROMAN(744)</f>
        <v/>
      </c>
      <c r="D745">
        <f>IF(B745=C745, "YES", "WRONG")</f>
        <v/>
      </c>
    </row>
    <row r="746">
      <c r="A746" t="n">
        <v>745</v>
      </c>
      <c r="B746" t="inlineStr">
        <is>
          <t>DCCXLV</t>
        </is>
      </c>
      <c r="C746">
        <f>ROMAN(745)</f>
        <v/>
      </c>
      <c r="D746">
        <f>IF(B746=C746, "YES", "WRONG")</f>
        <v/>
      </c>
    </row>
    <row r="747">
      <c r="A747" t="n">
        <v>746</v>
      </c>
      <c r="B747" t="inlineStr">
        <is>
          <t>DCCXLVI</t>
        </is>
      </c>
      <c r="C747">
        <f>ROMAN(746)</f>
        <v/>
      </c>
      <c r="D747">
        <f>IF(B747=C747, "YES", "WRONG")</f>
        <v/>
      </c>
    </row>
    <row r="748">
      <c r="A748" t="n">
        <v>747</v>
      </c>
      <c r="B748" t="inlineStr">
        <is>
          <t>DCCXLVII</t>
        </is>
      </c>
      <c r="C748">
        <f>ROMAN(747)</f>
        <v/>
      </c>
      <c r="D748">
        <f>IF(B748=C748, "YES", "WRONG")</f>
        <v/>
      </c>
    </row>
    <row r="749">
      <c r="A749" t="n">
        <v>748</v>
      </c>
      <c r="B749" t="inlineStr">
        <is>
          <t>DCCXLVIII</t>
        </is>
      </c>
      <c r="C749">
        <f>ROMAN(748)</f>
        <v/>
      </c>
      <c r="D749">
        <f>IF(B749=C749, "YES", "WRONG")</f>
        <v/>
      </c>
    </row>
    <row r="750">
      <c r="A750" t="n">
        <v>749</v>
      </c>
      <c r="B750" t="inlineStr">
        <is>
          <t>DCCXLIX</t>
        </is>
      </c>
      <c r="C750">
        <f>ROMAN(749)</f>
        <v/>
      </c>
      <c r="D750">
        <f>IF(B750=C750, "YES", "WRONG")</f>
        <v/>
      </c>
    </row>
    <row r="751">
      <c r="A751" t="n">
        <v>750</v>
      </c>
      <c r="B751" t="inlineStr">
        <is>
          <t>DCCL</t>
        </is>
      </c>
      <c r="C751">
        <f>ROMAN(750)</f>
        <v/>
      </c>
      <c r="D751">
        <f>IF(B751=C751, "YES", "WRONG")</f>
        <v/>
      </c>
    </row>
    <row r="752">
      <c r="A752" t="n">
        <v>751</v>
      </c>
      <c r="B752" t="inlineStr">
        <is>
          <t>DCCLI</t>
        </is>
      </c>
      <c r="C752">
        <f>ROMAN(751)</f>
        <v/>
      </c>
      <c r="D752">
        <f>IF(B752=C752, "YES", "WRONG")</f>
        <v/>
      </c>
    </row>
    <row r="753">
      <c r="A753" t="n">
        <v>752</v>
      </c>
      <c r="B753" t="inlineStr">
        <is>
          <t>DCCLII</t>
        </is>
      </c>
      <c r="C753">
        <f>ROMAN(752)</f>
        <v/>
      </c>
      <c r="D753">
        <f>IF(B753=C753, "YES", "WRONG")</f>
        <v/>
      </c>
    </row>
    <row r="754">
      <c r="A754" t="n">
        <v>753</v>
      </c>
      <c r="B754" t="inlineStr">
        <is>
          <t>DCCLIII</t>
        </is>
      </c>
      <c r="C754">
        <f>ROMAN(753)</f>
        <v/>
      </c>
      <c r="D754">
        <f>IF(B754=C754, "YES", "WRONG")</f>
        <v/>
      </c>
    </row>
    <row r="755">
      <c r="A755" t="n">
        <v>754</v>
      </c>
      <c r="B755" t="inlineStr">
        <is>
          <t>DCCLIV</t>
        </is>
      </c>
      <c r="C755">
        <f>ROMAN(754)</f>
        <v/>
      </c>
      <c r="D755">
        <f>IF(B755=C755, "YES", "WRONG")</f>
        <v/>
      </c>
    </row>
    <row r="756">
      <c r="A756" t="n">
        <v>755</v>
      </c>
      <c r="B756" t="inlineStr">
        <is>
          <t>DCCLV</t>
        </is>
      </c>
      <c r="C756">
        <f>ROMAN(755)</f>
        <v/>
      </c>
      <c r="D756">
        <f>IF(B756=C756, "YES", "WRONG")</f>
        <v/>
      </c>
    </row>
    <row r="757">
      <c r="A757" t="n">
        <v>756</v>
      </c>
      <c r="B757" t="inlineStr">
        <is>
          <t>DCCLVI</t>
        </is>
      </c>
      <c r="C757">
        <f>ROMAN(756)</f>
        <v/>
      </c>
      <c r="D757">
        <f>IF(B757=C757, "YES", "WRONG")</f>
        <v/>
      </c>
    </row>
    <row r="758">
      <c r="A758" t="n">
        <v>757</v>
      </c>
      <c r="B758" t="inlineStr">
        <is>
          <t>DCCLVII</t>
        </is>
      </c>
      <c r="C758">
        <f>ROMAN(757)</f>
        <v/>
      </c>
      <c r="D758">
        <f>IF(B758=C758, "YES", "WRONG")</f>
        <v/>
      </c>
    </row>
    <row r="759">
      <c r="A759" t="n">
        <v>758</v>
      </c>
      <c r="B759" t="inlineStr">
        <is>
          <t>DCCLVIII</t>
        </is>
      </c>
      <c r="C759">
        <f>ROMAN(758)</f>
        <v/>
      </c>
      <c r="D759">
        <f>IF(B759=C759, "YES", "WRONG")</f>
        <v/>
      </c>
    </row>
    <row r="760">
      <c r="A760" t="n">
        <v>759</v>
      </c>
      <c r="B760" t="inlineStr">
        <is>
          <t>DCCLIX</t>
        </is>
      </c>
      <c r="C760">
        <f>ROMAN(759)</f>
        <v/>
      </c>
      <c r="D760">
        <f>IF(B760=C760, "YES", "WRONG")</f>
        <v/>
      </c>
    </row>
    <row r="761">
      <c r="A761" t="n">
        <v>760</v>
      </c>
      <c r="B761" t="inlineStr">
        <is>
          <t>DCCLX</t>
        </is>
      </c>
      <c r="C761">
        <f>ROMAN(760)</f>
        <v/>
      </c>
      <c r="D761">
        <f>IF(B761=C761, "YES", "WRONG")</f>
        <v/>
      </c>
    </row>
    <row r="762">
      <c r="A762" t="n">
        <v>761</v>
      </c>
      <c r="B762" t="inlineStr">
        <is>
          <t>DCCLXI</t>
        </is>
      </c>
      <c r="C762">
        <f>ROMAN(761)</f>
        <v/>
      </c>
      <c r="D762">
        <f>IF(B762=C762, "YES", "WRONG")</f>
        <v/>
      </c>
    </row>
    <row r="763">
      <c r="A763" t="n">
        <v>762</v>
      </c>
      <c r="B763" t="inlineStr">
        <is>
          <t>DCCLXII</t>
        </is>
      </c>
      <c r="C763">
        <f>ROMAN(762)</f>
        <v/>
      </c>
      <c r="D763">
        <f>IF(B763=C763, "YES", "WRONG")</f>
        <v/>
      </c>
    </row>
    <row r="764">
      <c r="A764" t="n">
        <v>763</v>
      </c>
      <c r="B764" t="inlineStr">
        <is>
          <t>DCCLXIII</t>
        </is>
      </c>
      <c r="C764">
        <f>ROMAN(763)</f>
        <v/>
      </c>
      <c r="D764">
        <f>IF(B764=C764, "YES", "WRONG")</f>
        <v/>
      </c>
    </row>
    <row r="765">
      <c r="A765" t="n">
        <v>764</v>
      </c>
      <c r="B765" t="inlineStr">
        <is>
          <t>DCCLXIV</t>
        </is>
      </c>
      <c r="C765">
        <f>ROMAN(764)</f>
        <v/>
      </c>
      <c r="D765">
        <f>IF(B765=C765, "YES", "WRONG")</f>
        <v/>
      </c>
    </row>
    <row r="766">
      <c r="A766" t="n">
        <v>765</v>
      </c>
      <c r="B766" t="inlineStr">
        <is>
          <t>DCCLXV</t>
        </is>
      </c>
      <c r="C766">
        <f>ROMAN(765)</f>
        <v/>
      </c>
      <c r="D766">
        <f>IF(B766=C766, "YES", "WRONG")</f>
        <v/>
      </c>
    </row>
    <row r="767">
      <c r="A767" t="n">
        <v>766</v>
      </c>
      <c r="B767" t="inlineStr">
        <is>
          <t>DCCLXVI</t>
        </is>
      </c>
      <c r="C767">
        <f>ROMAN(766)</f>
        <v/>
      </c>
      <c r="D767">
        <f>IF(B767=C767, "YES", "WRONG")</f>
        <v/>
      </c>
    </row>
    <row r="768">
      <c r="A768" t="n">
        <v>767</v>
      </c>
      <c r="B768" t="inlineStr">
        <is>
          <t>DCCLXVII</t>
        </is>
      </c>
      <c r="C768">
        <f>ROMAN(767)</f>
        <v/>
      </c>
      <c r="D768">
        <f>IF(B768=C768, "YES", "WRONG")</f>
        <v/>
      </c>
    </row>
    <row r="769">
      <c r="A769" t="n">
        <v>768</v>
      </c>
      <c r="B769" t="inlineStr">
        <is>
          <t>DCCLXVIII</t>
        </is>
      </c>
      <c r="C769">
        <f>ROMAN(768)</f>
        <v/>
      </c>
      <c r="D769">
        <f>IF(B769=C769, "YES", "WRONG")</f>
        <v/>
      </c>
    </row>
    <row r="770">
      <c r="A770" t="n">
        <v>769</v>
      </c>
      <c r="B770" t="inlineStr">
        <is>
          <t>DCCLXIX</t>
        </is>
      </c>
      <c r="C770">
        <f>ROMAN(769)</f>
        <v/>
      </c>
      <c r="D770">
        <f>IF(B770=C770, "YES", "WRONG")</f>
        <v/>
      </c>
    </row>
    <row r="771">
      <c r="A771" t="n">
        <v>770</v>
      </c>
      <c r="B771" t="inlineStr">
        <is>
          <t>DCCLXX</t>
        </is>
      </c>
      <c r="C771">
        <f>ROMAN(770)</f>
        <v/>
      </c>
      <c r="D771">
        <f>IF(B771=C771, "YES", "WRONG")</f>
        <v/>
      </c>
    </row>
    <row r="772">
      <c r="A772" t="n">
        <v>771</v>
      </c>
      <c r="B772" t="inlineStr">
        <is>
          <t>DCCLXXI</t>
        </is>
      </c>
      <c r="C772">
        <f>ROMAN(771)</f>
        <v/>
      </c>
      <c r="D772">
        <f>IF(B772=C772, "YES", "WRONG")</f>
        <v/>
      </c>
    </row>
    <row r="773">
      <c r="A773" t="n">
        <v>772</v>
      </c>
      <c r="B773" t="inlineStr">
        <is>
          <t>DCCLXXII</t>
        </is>
      </c>
      <c r="C773">
        <f>ROMAN(772)</f>
        <v/>
      </c>
      <c r="D773">
        <f>IF(B773=C773, "YES", "WRONG")</f>
        <v/>
      </c>
    </row>
    <row r="774">
      <c r="A774" t="n">
        <v>773</v>
      </c>
      <c r="B774" t="inlineStr">
        <is>
          <t>DCCLXXIII</t>
        </is>
      </c>
      <c r="C774">
        <f>ROMAN(773)</f>
        <v/>
      </c>
      <c r="D774">
        <f>IF(B774=C774, "YES", "WRONG")</f>
        <v/>
      </c>
    </row>
    <row r="775">
      <c r="A775" t="n">
        <v>774</v>
      </c>
      <c r="B775" t="inlineStr">
        <is>
          <t>DCCLXXIV</t>
        </is>
      </c>
      <c r="C775">
        <f>ROMAN(774)</f>
        <v/>
      </c>
      <c r="D775">
        <f>IF(B775=C775, "YES", "WRONG")</f>
        <v/>
      </c>
    </row>
    <row r="776">
      <c r="A776" t="n">
        <v>775</v>
      </c>
      <c r="B776" t="inlineStr">
        <is>
          <t>DCCLXXV</t>
        </is>
      </c>
      <c r="C776">
        <f>ROMAN(775)</f>
        <v/>
      </c>
      <c r="D776">
        <f>IF(B776=C776, "YES", "WRONG")</f>
        <v/>
      </c>
    </row>
    <row r="777">
      <c r="A777" t="n">
        <v>776</v>
      </c>
      <c r="B777" t="inlineStr">
        <is>
          <t>DCCLXXVI</t>
        </is>
      </c>
      <c r="C777">
        <f>ROMAN(776)</f>
        <v/>
      </c>
      <c r="D777">
        <f>IF(B777=C777, "YES", "WRONG")</f>
        <v/>
      </c>
    </row>
    <row r="778">
      <c r="A778" t="n">
        <v>777</v>
      </c>
      <c r="B778" t="inlineStr">
        <is>
          <t>DCCLXXVII</t>
        </is>
      </c>
      <c r="C778">
        <f>ROMAN(777)</f>
        <v/>
      </c>
      <c r="D778">
        <f>IF(B778=C778, "YES", "WRONG")</f>
        <v/>
      </c>
    </row>
    <row r="779">
      <c r="A779" t="n">
        <v>778</v>
      </c>
      <c r="B779" t="inlineStr">
        <is>
          <t>DCCLXXVIII</t>
        </is>
      </c>
      <c r="C779">
        <f>ROMAN(778)</f>
        <v/>
      </c>
      <c r="D779">
        <f>IF(B779=C779, "YES", "WRONG")</f>
        <v/>
      </c>
    </row>
    <row r="780">
      <c r="A780" t="n">
        <v>779</v>
      </c>
      <c r="B780" t="inlineStr">
        <is>
          <t>DCCLXXIX</t>
        </is>
      </c>
      <c r="C780">
        <f>ROMAN(779)</f>
        <v/>
      </c>
      <c r="D780">
        <f>IF(B780=C780, "YES", "WRONG")</f>
        <v/>
      </c>
    </row>
    <row r="781">
      <c r="A781" t="n">
        <v>780</v>
      </c>
      <c r="B781" t="inlineStr">
        <is>
          <t>DCCLXXX</t>
        </is>
      </c>
      <c r="C781">
        <f>ROMAN(780)</f>
        <v/>
      </c>
      <c r="D781">
        <f>IF(B781=C781, "YES", "WRONG")</f>
        <v/>
      </c>
    </row>
    <row r="782">
      <c r="A782" t="n">
        <v>781</v>
      </c>
      <c r="B782" t="inlineStr">
        <is>
          <t>DCCLXXXI</t>
        </is>
      </c>
      <c r="C782">
        <f>ROMAN(781)</f>
        <v/>
      </c>
      <c r="D782">
        <f>IF(B782=C782, "YES", "WRONG")</f>
        <v/>
      </c>
    </row>
    <row r="783">
      <c r="A783" t="n">
        <v>782</v>
      </c>
      <c r="B783" t="inlineStr">
        <is>
          <t>DCCLXXXII</t>
        </is>
      </c>
      <c r="C783">
        <f>ROMAN(782)</f>
        <v/>
      </c>
      <c r="D783">
        <f>IF(B783=C783, "YES", "WRONG")</f>
        <v/>
      </c>
    </row>
    <row r="784">
      <c r="A784" t="n">
        <v>783</v>
      </c>
      <c r="B784" t="inlineStr">
        <is>
          <t>DCCLXXXIII</t>
        </is>
      </c>
      <c r="C784">
        <f>ROMAN(783)</f>
        <v/>
      </c>
      <c r="D784">
        <f>IF(B784=C784, "YES", "WRONG")</f>
        <v/>
      </c>
    </row>
    <row r="785">
      <c r="A785" t="n">
        <v>784</v>
      </c>
      <c r="B785" t="inlineStr">
        <is>
          <t>DCCLXXXIV</t>
        </is>
      </c>
      <c r="C785">
        <f>ROMAN(784)</f>
        <v/>
      </c>
      <c r="D785">
        <f>IF(B785=C785, "YES", "WRONG")</f>
        <v/>
      </c>
    </row>
    <row r="786">
      <c r="A786" t="n">
        <v>785</v>
      </c>
      <c r="B786" t="inlineStr">
        <is>
          <t>DCCLXXXV</t>
        </is>
      </c>
      <c r="C786">
        <f>ROMAN(785)</f>
        <v/>
      </c>
      <c r="D786">
        <f>IF(B786=C786, "YES", "WRONG")</f>
        <v/>
      </c>
    </row>
    <row r="787">
      <c r="A787" t="n">
        <v>786</v>
      </c>
      <c r="B787" t="inlineStr">
        <is>
          <t>DCCLXXXVI</t>
        </is>
      </c>
      <c r="C787">
        <f>ROMAN(786)</f>
        <v/>
      </c>
      <c r="D787">
        <f>IF(B787=C787, "YES", "WRONG")</f>
        <v/>
      </c>
    </row>
    <row r="788">
      <c r="A788" t="n">
        <v>787</v>
      </c>
      <c r="B788" t="inlineStr">
        <is>
          <t>DCCLXXXVII</t>
        </is>
      </c>
      <c r="C788">
        <f>ROMAN(787)</f>
        <v/>
      </c>
      <c r="D788">
        <f>IF(B788=C788, "YES", "WRONG")</f>
        <v/>
      </c>
    </row>
    <row r="789">
      <c r="A789" t="n">
        <v>788</v>
      </c>
      <c r="B789" t="inlineStr">
        <is>
          <t>DCCLXXXVIII</t>
        </is>
      </c>
      <c r="C789">
        <f>ROMAN(788)</f>
        <v/>
      </c>
      <c r="D789">
        <f>IF(B789=C789, "YES", "WRONG")</f>
        <v/>
      </c>
    </row>
    <row r="790">
      <c r="A790" t="n">
        <v>789</v>
      </c>
      <c r="B790" t="inlineStr">
        <is>
          <t>DCCLXXXIX</t>
        </is>
      </c>
      <c r="C790">
        <f>ROMAN(789)</f>
        <v/>
      </c>
      <c r="D790">
        <f>IF(B790=C790, "YES", "WRONG")</f>
        <v/>
      </c>
    </row>
    <row r="791">
      <c r="A791" t="n">
        <v>790</v>
      </c>
      <c r="B791" t="inlineStr">
        <is>
          <t>DCCXC</t>
        </is>
      </c>
      <c r="C791">
        <f>ROMAN(790)</f>
        <v/>
      </c>
      <c r="D791">
        <f>IF(B791=C791, "YES", "WRONG")</f>
        <v/>
      </c>
    </row>
    <row r="792">
      <c r="A792" t="n">
        <v>791</v>
      </c>
      <c r="B792" t="inlineStr">
        <is>
          <t>DCCXCI</t>
        </is>
      </c>
      <c r="C792">
        <f>ROMAN(791)</f>
        <v/>
      </c>
      <c r="D792">
        <f>IF(B792=C792, "YES", "WRONG")</f>
        <v/>
      </c>
    </row>
    <row r="793">
      <c r="A793" t="n">
        <v>792</v>
      </c>
      <c r="B793" t="inlineStr">
        <is>
          <t>DCCXCII</t>
        </is>
      </c>
      <c r="C793">
        <f>ROMAN(792)</f>
        <v/>
      </c>
      <c r="D793">
        <f>IF(B793=C793, "YES", "WRONG")</f>
        <v/>
      </c>
    </row>
    <row r="794">
      <c r="A794" t="n">
        <v>793</v>
      </c>
      <c r="B794" t="inlineStr">
        <is>
          <t>DCCXCIII</t>
        </is>
      </c>
      <c r="C794">
        <f>ROMAN(793)</f>
        <v/>
      </c>
      <c r="D794">
        <f>IF(B794=C794, "YES", "WRONG")</f>
        <v/>
      </c>
    </row>
    <row r="795">
      <c r="A795" t="n">
        <v>794</v>
      </c>
      <c r="B795" t="inlineStr">
        <is>
          <t>DCCXCIV</t>
        </is>
      </c>
      <c r="C795">
        <f>ROMAN(794)</f>
        <v/>
      </c>
      <c r="D795">
        <f>IF(B795=C795, "YES", "WRONG")</f>
        <v/>
      </c>
    </row>
    <row r="796">
      <c r="A796" t="n">
        <v>795</v>
      </c>
      <c r="B796" t="inlineStr">
        <is>
          <t>DCCXCV</t>
        </is>
      </c>
      <c r="C796">
        <f>ROMAN(795)</f>
        <v/>
      </c>
      <c r="D796">
        <f>IF(B796=C796, "YES", "WRONG")</f>
        <v/>
      </c>
    </row>
    <row r="797">
      <c r="A797" t="n">
        <v>796</v>
      </c>
      <c r="B797" t="inlineStr">
        <is>
          <t>DCCXCVI</t>
        </is>
      </c>
      <c r="C797">
        <f>ROMAN(796)</f>
        <v/>
      </c>
      <c r="D797">
        <f>IF(B797=C797, "YES", "WRONG")</f>
        <v/>
      </c>
    </row>
    <row r="798">
      <c r="A798" t="n">
        <v>797</v>
      </c>
      <c r="B798" t="inlineStr">
        <is>
          <t>DCCXCVII</t>
        </is>
      </c>
      <c r="C798">
        <f>ROMAN(797)</f>
        <v/>
      </c>
      <c r="D798">
        <f>IF(B798=C798, "YES", "WRONG")</f>
        <v/>
      </c>
    </row>
    <row r="799">
      <c r="A799" t="n">
        <v>798</v>
      </c>
      <c r="B799" t="inlineStr">
        <is>
          <t>DCCXCVIII</t>
        </is>
      </c>
      <c r="C799">
        <f>ROMAN(798)</f>
        <v/>
      </c>
      <c r="D799">
        <f>IF(B799=C799, "YES", "WRONG")</f>
        <v/>
      </c>
    </row>
    <row r="800">
      <c r="A800" t="n">
        <v>799</v>
      </c>
      <c r="B800" t="inlineStr">
        <is>
          <t>DCCXCIX</t>
        </is>
      </c>
      <c r="C800">
        <f>ROMAN(799)</f>
        <v/>
      </c>
      <c r="D800">
        <f>IF(B800=C800, "YES", "WRONG")</f>
        <v/>
      </c>
    </row>
    <row r="801">
      <c r="A801" t="n">
        <v>800</v>
      </c>
      <c r="B801" t="inlineStr">
        <is>
          <t>DCCC</t>
        </is>
      </c>
      <c r="C801">
        <f>ROMAN(800)</f>
        <v/>
      </c>
      <c r="D801">
        <f>IF(B801=C801, "YES", "WRONG")</f>
        <v/>
      </c>
    </row>
    <row r="802">
      <c r="A802" t="n">
        <v>801</v>
      </c>
      <c r="B802" t="inlineStr">
        <is>
          <t>DCCCI</t>
        </is>
      </c>
      <c r="C802">
        <f>ROMAN(801)</f>
        <v/>
      </c>
      <c r="D802">
        <f>IF(B802=C802, "YES", "WRONG")</f>
        <v/>
      </c>
    </row>
    <row r="803">
      <c r="A803" t="n">
        <v>802</v>
      </c>
      <c r="B803" t="inlineStr">
        <is>
          <t>DCCCII</t>
        </is>
      </c>
      <c r="C803">
        <f>ROMAN(802)</f>
        <v/>
      </c>
      <c r="D803">
        <f>IF(B803=C803, "YES", "WRONG")</f>
        <v/>
      </c>
    </row>
    <row r="804">
      <c r="A804" t="n">
        <v>803</v>
      </c>
      <c r="B804" t="inlineStr">
        <is>
          <t>DCCCIII</t>
        </is>
      </c>
      <c r="C804">
        <f>ROMAN(803)</f>
        <v/>
      </c>
      <c r="D804">
        <f>IF(B804=C804, "YES", "WRONG")</f>
        <v/>
      </c>
    </row>
    <row r="805">
      <c r="A805" t="n">
        <v>804</v>
      </c>
      <c r="B805" t="inlineStr">
        <is>
          <t>DCCCIV</t>
        </is>
      </c>
      <c r="C805">
        <f>ROMAN(804)</f>
        <v/>
      </c>
      <c r="D805">
        <f>IF(B805=C805, "YES", "WRONG")</f>
        <v/>
      </c>
    </row>
    <row r="806">
      <c r="A806" t="n">
        <v>805</v>
      </c>
      <c r="B806" t="inlineStr">
        <is>
          <t>DCCCV</t>
        </is>
      </c>
      <c r="C806">
        <f>ROMAN(805)</f>
        <v/>
      </c>
      <c r="D806">
        <f>IF(B806=C806, "YES", "WRONG")</f>
        <v/>
      </c>
    </row>
    <row r="807">
      <c r="A807" t="n">
        <v>806</v>
      </c>
      <c r="B807" t="inlineStr">
        <is>
          <t>DCCCVI</t>
        </is>
      </c>
      <c r="C807">
        <f>ROMAN(806)</f>
        <v/>
      </c>
      <c r="D807">
        <f>IF(B807=C807, "YES", "WRONG")</f>
        <v/>
      </c>
    </row>
    <row r="808">
      <c r="A808" t="n">
        <v>807</v>
      </c>
      <c r="B808" t="inlineStr">
        <is>
          <t>DCCCVII</t>
        </is>
      </c>
      <c r="C808">
        <f>ROMAN(807)</f>
        <v/>
      </c>
      <c r="D808">
        <f>IF(B808=C808, "YES", "WRONG")</f>
        <v/>
      </c>
    </row>
    <row r="809">
      <c r="A809" t="n">
        <v>808</v>
      </c>
      <c r="B809" t="inlineStr">
        <is>
          <t>DCCCVIII</t>
        </is>
      </c>
      <c r="C809">
        <f>ROMAN(808)</f>
        <v/>
      </c>
      <c r="D809">
        <f>IF(B809=C809, "YES", "WRONG")</f>
        <v/>
      </c>
    </row>
    <row r="810">
      <c r="A810" t="n">
        <v>809</v>
      </c>
      <c r="B810" t="inlineStr">
        <is>
          <t>DCCCIX</t>
        </is>
      </c>
      <c r="C810">
        <f>ROMAN(809)</f>
        <v/>
      </c>
      <c r="D810">
        <f>IF(B810=C810, "YES", "WRONG")</f>
        <v/>
      </c>
    </row>
    <row r="811">
      <c r="A811" t="n">
        <v>810</v>
      </c>
      <c r="B811" t="inlineStr">
        <is>
          <t>DCCCX</t>
        </is>
      </c>
      <c r="C811">
        <f>ROMAN(810)</f>
        <v/>
      </c>
      <c r="D811">
        <f>IF(B811=C811, "YES", "WRONG")</f>
        <v/>
      </c>
    </row>
    <row r="812">
      <c r="A812" t="n">
        <v>811</v>
      </c>
      <c r="B812" t="inlineStr">
        <is>
          <t>DCCCXI</t>
        </is>
      </c>
      <c r="C812">
        <f>ROMAN(811)</f>
        <v/>
      </c>
      <c r="D812">
        <f>IF(B812=C812, "YES", "WRONG")</f>
        <v/>
      </c>
    </row>
    <row r="813">
      <c r="A813" t="n">
        <v>812</v>
      </c>
      <c r="B813" t="inlineStr">
        <is>
          <t>DCCCXII</t>
        </is>
      </c>
      <c r="C813">
        <f>ROMAN(812)</f>
        <v/>
      </c>
      <c r="D813">
        <f>IF(B813=C813, "YES", "WRONG")</f>
        <v/>
      </c>
    </row>
    <row r="814">
      <c r="A814" t="n">
        <v>813</v>
      </c>
      <c r="B814" t="inlineStr">
        <is>
          <t>DCCCXIII</t>
        </is>
      </c>
      <c r="C814">
        <f>ROMAN(813)</f>
        <v/>
      </c>
      <c r="D814">
        <f>IF(B814=C814, "YES", "WRONG")</f>
        <v/>
      </c>
    </row>
    <row r="815">
      <c r="A815" t="n">
        <v>814</v>
      </c>
      <c r="B815" t="inlineStr">
        <is>
          <t>DCCCXIV</t>
        </is>
      </c>
      <c r="C815">
        <f>ROMAN(814)</f>
        <v/>
      </c>
      <c r="D815">
        <f>IF(B815=C815, "YES", "WRONG")</f>
        <v/>
      </c>
    </row>
    <row r="816">
      <c r="A816" t="n">
        <v>815</v>
      </c>
      <c r="B816" t="inlineStr">
        <is>
          <t>DCCCXV</t>
        </is>
      </c>
      <c r="C816">
        <f>ROMAN(815)</f>
        <v/>
      </c>
      <c r="D816">
        <f>IF(B816=C816, "YES", "WRONG")</f>
        <v/>
      </c>
    </row>
    <row r="817">
      <c r="A817" t="n">
        <v>816</v>
      </c>
      <c r="B817" t="inlineStr">
        <is>
          <t>DCCCXVI</t>
        </is>
      </c>
      <c r="C817">
        <f>ROMAN(816)</f>
        <v/>
      </c>
      <c r="D817">
        <f>IF(B817=C817, "YES", "WRONG")</f>
        <v/>
      </c>
    </row>
    <row r="818">
      <c r="A818" t="n">
        <v>817</v>
      </c>
      <c r="B818" t="inlineStr">
        <is>
          <t>DCCCXVII</t>
        </is>
      </c>
      <c r="C818">
        <f>ROMAN(817)</f>
        <v/>
      </c>
      <c r="D818">
        <f>IF(B818=C818, "YES", "WRONG")</f>
        <v/>
      </c>
    </row>
    <row r="819">
      <c r="A819" t="n">
        <v>818</v>
      </c>
      <c r="B819" t="inlineStr">
        <is>
          <t>DCCCXVIII</t>
        </is>
      </c>
      <c r="C819">
        <f>ROMAN(818)</f>
        <v/>
      </c>
      <c r="D819">
        <f>IF(B819=C819, "YES", "WRONG")</f>
        <v/>
      </c>
    </row>
    <row r="820">
      <c r="A820" t="n">
        <v>819</v>
      </c>
      <c r="B820" t="inlineStr">
        <is>
          <t>DCCCXIX</t>
        </is>
      </c>
      <c r="C820">
        <f>ROMAN(819)</f>
        <v/>
      </c>
      <c r="D820">
        <f>IF(B820=C820, "YES", "WRONG")</f>
        <v/>
      </c>
    </row>
    <row r="821">
      <c r="A821" t="n">
        <v>820</v>
      </c>
      <c r="B821" t="inlineStr">
        <is>
          <t>DCCCXX</t>
        </is>
      </c>
      <c r="C821">
        <f>ROMAN(820)</f>
        <v/>
      </c>
      <c r="D821">
        <f>IF(B821=C821, "YES", "WRONG")</f>
        <v/>
      </c>
    </row>
    <row r="822">
      <c r="A822" t="n">
        <v>821</v>
      </c>
      <c r="B822" t="inlineStr">
        <is>
          <t>DCCCXXI</t>
        </is>
      </c>
      <c r="C822">
        <f>ROMAN(821)</f>
        <v/>
      </c>
      <c r="D822">
        <f>IF(B822=C822, "YES", "WRONG")</f>
        <v/>
      </c>
    </row>
    <row r="823">
      <c r="A823" t="n">
        <v>822</v>
      </c>
      <c r="B823" t="inlineStr">
        <is>
          <t>DCCCXXII</t>
        </is>
      </c>
      <c r="C823">
        <f>ROMAN(822)</f>
        <v/>
      </c>
      <c r="D823">
        <f>IF(B823=C823, "YES", "WRONG")</f>
        <v/>
      </c>
    </row>
    <row r="824">
      <c r="A824" t="n">
        <v>823</v>
      </c>
      <c r="B824" t="inlineStr">
        <is>
          <t>DCCCXXIII</t>
        </is>
      </c>
      <c r="C824">
        <f>ROMAN(823)</f>
        <v/>
      </c>
      <c r="D824">
        <f>IF(B824=C824, "YES", "WRONG")</f>
        <v/>
      </c>
    </row>
    <row r="825">
      <c r="A825" t="n">
        <v>824</v>
      </c>
      <c r="B825" t="inlineStr">
        <is>
          <t>DCCCXXIV</t>
        </is>
      </c>
      <c r="C825">
        <f>ROMAN(824)</f>
        <v/>
      </c>
      <c r="D825">
        <f>IF(B825=C825, "YES", "WRONG")</f>
        <v/>
      </c>
    </row>
    <row r="826">
      <c r="A826" t="n">
        <v>825</v>
      </c>
      <c r="B826" t="inlineStr">
        <is>
          <t>DCCCXXV</t>
        </is>
      </c>
      <c r="C826">
        <f>ROMAN(825)</f>
        <v/>
      </c>
      <c r="D826">
        <f>IF(B826=C826, "YES", "WRONG")</f>
        <v/>
      </c>
    </row>
    <row r="827">
      <c r="A827" t="n">
        <v>826</v>
      </c>
      <c r="B827" t="inlineStr">
        <is>
          <t>DCCCXXVI</t>
        </is>
      </c>
      <c r="C827">
        <f>ROMAN(826)</f>
        <v/>
      </c>
      <c r="D827">
        <f>IF(B827=C827, "YES", "WRONG")</f>
        <v/>
      </c>
    </row>
    <row r="828">
      <c r="A828" t="n">
        <v>827</v>
      </c>
      <c r="B828" t="inlineStr">
        <is>
          <t>DCCCXXVII</t>
        </is>
      </c>
      <c r="C828">
        <f>ROMAN(827)</f>
        <v/>
      </c>
      <c r="D828">
        <f>IF(B828=C828, "YES", "WRONG")</f>
        <v/>
      </c>
    </row>
    <row r="829">
      <c r="A829" t="n">
        <v>828</v>
      </c>
      <c r="B829" t="inlineStr">
        <is>
          <t>DCCCXXVIII</t>
        </is>
      </c>
      <c r="C829">
        <f>ROMAN(828)</f>
        <v/>
      </c>
      <c r="D829">
        <f>IF(B829=C829, "YES", "WRONG")</f>
        <v/>
      </c>
    </row>
    <row r="830">
      <c r="A830" t="n">
        <v>829</v>
      </c>
      <c r="B830" t="inlineStr">
        <is>
          <t>DCCCXXIX</t>
        </is>
      </c>
      <c r="C830">
        <f>ROMAN(829)</f>
        <v/>
      </c>
      <c r="D830">
        <f>IF(B830=C830, "YES", "WRONG")</f>
        <v/>
      </c>
    </row>
    <row r="831">
      <c r="A831" t="n">
        <v>830</v>
      </c>
      <c r="B831" t="inlineStr">
        <is>
          <t>DCCCXXX</t>
        </is>
      </c>
      <c r="C831">
        <f>ROMAN(830)</f>
        <v/>
      </c>
      <c r="D831">
        <f>IF(B831=C831, "YES", "WRONG")</f>
        <v/>
      </c>
    </row>
    <row r="832">
      <c r="A832" t="n">
        <v>831</v>
      </c>
      <c r="B832" t="inlineStr">
        <is>
          <t>DCCCXXXI</t>
        </is>
      </c>
      <c r="C832">
        <f>ROMAN(831)</f>
        <v/>
      </c>
      <c r="D832">
        <f>IF(B832=C832, "YES", "WRONG")</f>
        <v/>
      </c>
    </row>
    <row r="833">
      <c r="A833" t="n">
        <v>832</v>
      </c>
      <c r="B833" t="inlineStr">
        <is>
          <t>DCCCXXXII</t>
        </is>
      </c>
      <c r="C833">
        <f>ROMAN(832)</f>
        <v/>
      </c>
      <c r="D833">
        <f>IF(B833=C833, "YES", "WRONG")</f>
        <v/>
      </c>
    </row>
    <row r="834">
      <c r="A834" t="n">
        <v>833</v>
      </c>
      <c r="B834" t="inlineStr">
        <is>
          <t>DCCCXXXIII</t>
        </is>
      </c>
      <c r="C834">
        <f>ROMAN(833)</f>
        <v/>
      </c>
      <c r="D834">
        <f>IF(B834=C834, "YES", "WRONG")</f>
        <v/>
      </c>
    </row>
    <row r="835">
      <c r="A835" t="n">
        <v>834</v>
      </c>
      <c r="B835" t="inlineStr">
        <is>
          <t>DCCCXXXIV</t>
        </is>
      </c>
      <c r="C835">
        <f>ROMAN(834)</f>
        <v/>
      </c>
      <c r="D835">
        <f>IF(B835=C835, "YES", "WRONG")</f>
        <v/>
      </c>
    </row>
    <row r="836">
      <c r="A836" t="n">
        <v>835</v>
      </c>
      <c r="B836" t="inlineStr">
        <is>
          <t>DCCCXXXV</t>
        </is>
      </c>
      <c r="C836">
        <f>ROMAN(835)</f>
        <v/>
      </c>
      <c r="D836">
        <f>IF(B836=C836, "YES", "WRONG")</f>
        <v/>
      </c>
    </row>
    <row r="837">
      <c r="A837" t="n">
        <v>836</v>
      </c>
      <c r="B837" t="inlineStr">
        <is>
          <t>DCCCXXXVI</t>
        </is>
      </c>
      <c r="C837">
        <f>ROMAN(836)</f>
        <v/>
      </c>
      <c r="D837">
        <f>IF(B837=C837, "YES", "WRONG")</f>
        <v/>
      </c>
    </row>
    <row r="838">
      <c r="A838" t="n">
        <v>837</v>
      </c>
      <c r="B838" t="inlineStr">
        <is>
          <t>DCCCXXXVII</t>
        </is>
      </c>
      <c r="C838">
        <f>ROMAN(837)</f>
        <v/>
      </c>
      <c r="D838">
        <f>IF(B838=C838, "YES", "WRONG")</f>
        <v/>
      </c>
    </row>
    <row r="839">
      <c r="A839" t="n">
        <v>838</v>
      </c>
      <c r="B839" t="inlineStr">
        <is>
          <t>DCCCXXXVIII</t>
        </is>
      </c>
      <c r="C839">
        <f>ROMAN(838)</f>
        <v/>
      </c>
      <c r="D839">
        <f>IF(B839=C839, "YES", "WRONG")</f>
        <v/>
      </c>
    </row>
    <row r="840">
      <c r="A840" t="n">
        <v>839</v>
      </c>
      <c r="B840" t="inlineStr">
        <is>
          <t>DCCCXXXIX</t>
        </is>
      </c>
      <c r="C840">
        <f>ROMAN(839)</f>
        <v/>
      </c>
      <c r="D840">
        <f>IF(B840=C840, "YES", "WRONG")</f>
        <v/>
      </c>
    </row>
    <row r="841">
      <c r="A841" t="n">
        <v>840</v>
      </c>
      <c r="B841" t="inlineStr">
        <is>
          <t>DCCCXL</t>
        </is>
      </c>
      <c r="C841">
        <f>ROMAN(840)</f>
        <v/>
      </c>
      <c r="D841">
        <f>IF(B841=C841, "YES", "WRONG")</f>
        <v/>
      </c>
    </row>
    <row r="842">
      <c r="A842" t="n">
        <v>841</v>
      </c>
      <c r="B842" t="inlineStr">
        <is>
          <t>DCCCXLI</t>
        </is>
      </c>
      <c r="C842">
        <f>ROMAN(841)</f>
        <v/>
      </c>
      <c r="D842">
        <f>IF(B842=C842, "YES", "WRONG")</f>
        <v/>
      </c>
    </row>
    <row r="843">
      <c r="A843" t="n">
        <v>842</v>
      </c>
      <c r="B843" t="inlineStr">
        <is>
          <t>DCCCXLII</t>
        </is>
      </c>
      <c r="C843">
        <f>ROMAN(842)</f>
        <v/>
      </c>
      <c r="D843">
        <f>IF(B843=C843, "YES", "WRONG")</f>
        <v/>
      </c>
    </row>
    <row r="844">
      <c r="A844" t="n">
        <v>843</v>
      </c>
      <c r="B844" t="inlineStr">
        <is>
          <t>DCCCXLIII</t>
        </is>
      </c>
      <c r="C844">
        <f>ROMAN(843)</f>
        <v/>
      </c>
      <c r="D844">
        <f>IF(B844=C844, "YES", "WRONG")</f>
        <v/>
      </c>
    </row>
    <row r="845">
      <c r="A845" t="n">
        <v>844</v>
      </c>
      <c r="B845" t="inlineStr">
        <is>
          <t>DCCCXLIV</t>
        </is>
      </c>
      <c r="C845">
        <f>ROMAN(844)</f>
        <v/>
      </c>
      <c r="D845">
        <f>IF(B845=C845, "YES", "WRONG")</f>
        <v/>
      </c>
    </row>
    <row r="846">
      <c r="A846" t="n">
        <v>845</v>
      </c>
      <c r="B846" t="inlineStr">
        <is>
          <t>DCCCXLV</t>
        </is>
      </c>
      <c r="C846">
        <f>ROMAN(845)</f>
        <v/>
      </c>
      <c r="D846">
        <f>IF(B846=C846, "YES", "WRONG")</f>
        <v/>
      </c>
    </row>
    <row r="847">
      <c r="A847" t="n">
        <v>846</v>
      </c>
      <c r="B847" t="inlineStr">
        <is>
          <t>DCCCXLVI</t>
        </is>
      </c>
      <c r="C847">
        <f>ROMAN(846)</f>
        <v/>
      </c>
      <c r="D847">
        <f>IF(B847=C847, "YES", "WRONG")</f>
        <v/>
      </c>
    </row>
    <row r="848">
      <c r="A848" t="n">
        <v>847</v>
      </c>
      <c r="B848" t="inlineStr">
        <is>
          <t>DCCCXLVII</t>
        </is>
      </c>
      <c r="C848">
        <f>ROMAN(847)</f>
        <v/>
      </c>
      <c r="D848">
        <f>IF(B848=C848, "YES", "WRONG")</f>
        <v/>
      </c>
    </row>
    <row r="849">
      <c r="A849" t="n">
        <v>848</v>
      </c>
      <c r="B849" t="inlineStr">
        <is>
          <t>DCCCXLVIII</t>
        </is>
      </c>
      <c r="C849">
        <f>ROMAN(848)</f>
        <v/>
      </c>
      <c r="D849">
        <f>IF(B849=C849, "YES", "WRONG")</f>
        <v/>
      </c>
    </row>
    <row r="850">
      <c r="A850" t="n">
        <v>849</v>
      </c>
      <c r="B850" t="inlineStr">
        <is>
          <t>DCCCXLIX</t>
        </is>
      </c>
      <c r="C850">
        <f>ROMAN(849)</f>
        <v/>
      </c>
      <c r="D850">
        <f>IF(B850=C850, "YES", "WRONG")</f>
        <v/>
      </c>
    </row>
    <row r="851">
      <c r="A851" t="n">
        <v>850</v>
      </c>
      <c r="B851" t="inlineStr">
        <is>
          <t>DCCCL</t>
        </is>
      </c>
      <c r="C851">
        <f>ROMAN(850)</f>
        <v/>
      </c>
      <c r="D851">
        <f>IF(B851=C851, "YES", "WRONG")</f>
        <v/>
      </c>
    </row>
    <row r="852">
      <c r="A852" t="n">
        <v>851</v>
      </c>
      <c r="B852" t="inlineStr">
        <is>
          <t>DCCCLI</t>
        </is>
      </c>
      <c r="C852">
        <f>ROMAN(851)</f>
        <v/>
      </c>
      <c r="D852">
        <f>IF(B852=C852, "YES", "WRONG")</f>
        <v/>
      </c>
    </row>
    <row r="853">
      <c r="A853" t="n">
        <v>852</v>
      </c>
      <c r="B853" t="inlineStr">
        <is>
          <t>DCCCLII</t>
        </is>
      </c>
      <c r="C853">
        <f>ROMAN(852)</f>
        <v/>
      </c>
      <c r="D853">
        <f>IF(B853=C853, "YES", "WRONG")</f>
        <v/>
      </c>
    </row>
    <row r="854">
      <c r="A854" t="n">
        <v>853</v>
      </c>
      <c r="B854" t="inlineStr">
        <is>
          <t>DCCCLIII</t>
        </is>
      </c>
      <c r="C854">
        <f>ROMAN(853)</f>
        <v/>
      </c>
      <c r="D854">
        <f>IF(B854=C854, "YES", "WRONG")</f>
        <v/>
      </c>
    </row>
    <row r="855">
      <c r="A855" t="n">
        <v>854</v>
      </c>
      <c r="B855" t="inlineStr">
        <is>
          <t>DCCCLIV</t>
        </is>
      </c>
      <c r="C855">
        <f>ROMAN(854)</f>
        <v/>
      </c>
      <c r="D855">
        <f>IF(B855=C855, "YES", "WRONG")</f>
        <v/>
      </c>
    </row>
    <row r="856">
      <c r="A856" t="n">
        <v>855</v>
      </c>
      <c r="B856" t="inlineStr">
        <is>
          <t>DCCCLV</t>
        </is>
      </c>
      <c r="C856">
        <f>ROMAN(855)</f>
        <v/>
      </c>
      <c r="D856">
        <f>IF(B856=C856, "YES", "WRONG")</f>
        <v/>
      </c>
    </row>
    <row r="857">
      <c r="A857" t="n">
        <v>856</v>
      </c>
      <c r="B857" t="inlineStr">
        <is>
          <t>DCCCLVI</t>
        </is>
      </c>
      <c r="C857">
        <f>ROMAN(856)</f>
        <v/>
      </c>
      <c r="D857">
        <f>IF(B857=C857, "YES", "WRONG")</f>
        <v/>
      </c>
    </row>
    <row r="858">
      <c r="A858" t="n">
        <v>857</v>
      </c>
      <c r="B858" t="inlineStr">
        <is>
          <t>DCCCLVII</t>
        </is>
      </c>
      <c r="C858">
        <f>ROMAN(857)</f>
        <v/>
      </c>
      <c r="D858">
        <f>IF(B858=C858, "YES", "WRONG")</f>
        <v/>
      </c>
    </row>
    <row r="859">
      <c r="A859" t="n">
        <v>858</v>
      </c>
      <c r="B859" t="inlineStr">
        <is>
          <t>DCCCLVIII</t>
        </is>
      </c>
      <c r="C859">
        <f>ROMAN(858)</f>
        <v/>
      </c>
      <c r="D859">
        <f>IF(B859=C859, "YES", "WRONG")</f>
        <v/>
      </c>
    </row>
    <row r="860">
      <c r="A860" t="n">
        <v>859</v>
      </c>
      <c r="B860" t="inlineStr">
        <is>
          <t>DCCCLIX</t>
        </is>
      </c>
      <c r="C860">
        <f>ROMAN(859)</f>
        <v/>
      </c>
      <c r="D860">
        <f>IF(B860=C860, "YES", "WRONG")</f>
        <v/>
      </c>
    </row>
    <row r="861">
      <c r="A861" t="n">
        <v>860</v>
      </c>
      <c r="B861" t="inlineStr">
        <is>
          <t>DCCCLX</t>
        </is>
      </c>
      <c r="C861">
        <f>ROMAN(860)</f>
        <v/>
      </c>
      <c r="D861">
        <f>IF(B861=C861, "YES", "WRONG")</f>
        <v/>
      </c>
    </row>
    <row r="862">
      <c r="A862" t="n">
        <v>861</v>
      </c>
      <c r="B862" t="inlineStr">
        <is>
          <t>DCCCLXI</t>
        </is>
      </c>
      <c r="C862">
        <f>ROMAN(861)</f>
        <v/>
      </c>
      <c r="D862">
        <f>IF(B862=C862, "YES", "WRONG")</f>
        <v/>
      </c>
    </row>
    <row r="863">
      <c r="A863" t="n">
        <v>862</v>
      </c>
      <c r="B863" t="inlineStr">
        <is>
          <t>DCCCLXII</t>
        </is>
      </c>
      <c r="C863">
        <f>ROMAN(862)</f>
        <v/>
      </c>
      <c r="D863">
        <f>IF(B863=C863, "YES", "WRONG")</f>
        <v/>
      </c>
    </row>
    <row r="864">
      <c r="A864" t="n">
        <v>863</v>
      </c>
      <c r="B864" t="inlineStr">
        <is>
          <t>DCCCLXIII</t>
        </is>
      </c>
      <c r="C864">
        <f>ROMAN(863)</f>
        <v/>
      </c>
      <c r="D864">
        <f>IF(B864=C864, "YES", "WRONG")</f>
        <v/>
      </c>
    </row>
    <row r="865">
      <c r="A865" t="n">
        <v>864</v>
      </c>
      <c r="B865" t="inlineStr">
        <is>
          <t>DCCCLXIV</t>
        </is>
      </c>
      <c r="C865">
        <f>ROMAN(864)</f>
        <v/>
      </c>
      <c r="D865">
        <f>IF(B865=C865, "YES", "WRONG")</f>
        <v/>
      </c>
    </row>
    <row r="866">
      <c r="A866" t="n">
        <v>865</v>
      </c>
      <c r="B866" t="inlineStr">
        <is>
          <t>DCCCLXV</t>
        </is>
      </c>
      <c r="C866">
        <f>ROMAN(865)</f>
        <v/>
      </c>
      <c r="D866">
        <f>IF(B866=C866, "YES", "WRONG")</f>
        <v/>
      </c>
    </row>
    <row r="867">
      <c r="A867" t="n">
        <v>866</v>
      </c>
      <c r="B867" t="inlineStr">
        <is>
          <t>DCCCLXVI</t>
        </is>
      </c>
      <c r="C867">
        <f>ROMAN(866)</f>
        <v/>
      </c>
      <c r="D867">
        <f>IF(B867=C867, "YES", "WRONG")</f>
        <v/>
      </c>
    </row>
    <row r="868">
      <c r="A868" t="n">
        <v>867</v>
      </c>
      <c r="B868" t="inlineStr">
        <is>
          <t>DCCCLXVII</t>
        </is>
      </c>
      <c r="C868">
        <f>ROMAN(867)</f>
        <v/>
      </c>
      <c r="D868">
        <f>IF(B868=C868, "YES", "WRONG")</f>
        <v/>
      </c>
    </row>
    <row r="869">
      <c r="A869" t="n">
        <v>868</v>
      </c>
      <c r="B869" t="inlineStr">
        <is>
          <t>DCCCLXVIII</t>
        </is>
      </c>
      <c r="C869">
        <f>ROMAN(868)</f>
        <v/>
      </c>
      <c r="D869">
        <f>IF(B869=C869, "YES", "WRONG")</f>
        <v/>
      </c>
    </row>
    <row r="870">
      <c r="A870" t="n">
        <v>869</v>
      </c>
      <c r="B870" t="inlineStr">
        <is>
          <t>DCCCLXIX</t>
        </is>
      </c>
      <c r="C870">
        <f>ROMAN(869)</f>
        <v/>
      </c>
      <c r="D870">
        <f>IF(B870=C870, "YES", "WRONG")</f>
        <v/>
      </c>
    </row>
    <row r="871">
      <c r="A871" t="n">
        <v>870</v>
      </c>
      <c r="B871" t="inlineStr">
        <is>
          <t>DCCCLXX</t>
        </is>
      </c>
      <c r="C871">
        <f>ROMAN(870)</f>
        <v/>
      </c>
      <c r="D871">
        <f>IF(B871=C871, "YES", "WRONG")</f>
        <v/>
      </c>
    </row>
    <row r="872">
      <c r="A872" t="n">
        <v>871</v>
      </c>
      <c r="B872" t="inlineStr">
        <is>
          <t>DCCCLXXI</t>
        </is>
      </c>
      <c r="C872">
        <f>ROMAN(871)</f>
        <v/>
      </c>
      <c r="D872">
        <f>IF(B872=C872, "YES", "WRONG")</f>
        <v/>
      </c>
    </row>
    <row r="873">
      <c r="A873" t="n">
        <v>872</v>
      </c>
      <c r="B873" t="inlineStr">
        <is>
          <t>DCCCLXXII</t>
        </is>
      </c>
      <c r="C873">
        <f>ROMAN(872)</f>
        <v/>
      </c>
      <c r="D873">
        <f>IF(B873=C873, "YES", "WRONG")</f>
        <v/>
      </c>
    </row>
    <row r="874">
      <c r="A874" t="n">
        <v>873</v>
      </c>
      <c r="B874" t="inlineStr">
        <is>
          <t>DCCCLXXIII</t>
        </is>
      </c>
      <c r="C874">
        <f>ROMAN(873)</f>
        <v/>
      </c>
      <c r="D874">
        <f>IF(B874=C874, "YES", "WRONG")</f>
        <v/>
      </c>
    </row>
    <row r="875">
      <c r="A875" t="n">
        <v>874</v>
      </c>
      <c r="B875" t="inlineStr">
        <is>
          <t>DCCCLXXIV</t>
        </is>
      </c>
      <c r="C875">
        <f>ROMAN(874)</f>
        <v/>
      </c>
      <c r="D875">
        <f>IF(B875=C875, "YES", "WRONG")</f>
        <v/>
      </c>
    </row>
    <row r="876">
      <c r="A876" t="n">
        <v>875</v>
      </c>
      <c r="B876" t="inlineStr">
        <is>
          <t>DCCCLXXV</t>
        </is>
      </c>
      <c r="C876">
        <f>ROMAN(875)</f>
        <v/>
      </c>
      <c r="D876">
        <f>IF(B876=C876, "YES", "WRONG")</f>
        <v/>
      </c>
    </row>
    <row r="877">
      <c r="A877" t="n">
        <v>876</v>
      </c>
      <c r="B877" t="inlineStr">
        <is>
          <t>DCCCLXXVI</t>
        </is>
      </c>
      <c r="C877">
        <f>ROMAN(876)</f>
        <v/>
      </c>
      <c r="D877">
        <f>IF(B877=C877, "YES", "WRONG")</f>
        <v/>
      </c>
    </row>
    <row r="878">
      <c r="A878" t="n">
        <v>877</v>
      </c>
      <c r="B878" t="inlineStr">
        <is>
          <t>DCCCLXXVII</t>
        </is>
      </c>
      <c r="C878">
        <f>ROMAN(877)</f>
        <v/>
      </c>
      <c r="D878">
        <f>IF(B878=C878, "YES", "WRONG")</f>
        <v/>
      </c>
    </row>
    <row r="879">
      <c r="A879" t="n">
        <v>878</v>
      </c>
      <c r="B879" t="inlineStr">
        <is>
          <t>DCCCLXXVIII</t>
        </is>
      </c>
      <c r="C879">
        <f>ROMAN(878)</f>
        <v/>
      </c>
      <c r="D879">
        <f>IF(B879=C879, "YES", "WRONG")</f>
        <v/>
      </c>
    </row>
    <row r="880">
      <c r="A880" t="n">
        <v>879</v>
      </c>
      <c r="B880" t="inlineStr">
        <is>
          <t>DCCCLXXIX</t>
        </is>
      </c>
      <c r="C880">
        <f>ROMAN(879)</f>
        <v/>
      </c>
      <c r="D880">
        <f>IF(B880=C880, "YES", "WRONG")</f>
        <v/>
      </c>
    </row>
    <row r="881">
      <c r="A881" t="n">
        <v>880</v>
      </c>
      <c r="B881" t="inlineStr">
        <is>
          <t>DCCCLXXX</t>
        </is>
      </c>
      <c r="C881">
        <f>ROMAN(880)</f>
        <v/>
      </c>
      <c r="D881">
        <f>IF(B881=C881, "YES", "WRONG")</f>
        <v/>
      </c>
    </row>
    <row r="882">
      <c r="A882" t="n">
        <v>881</v>
      </c>
      <c r="B882" t="inlineStr">
        <is>
          <t>DCCCLXXXI</t>
        </is>
      </c>
      <c r="C882">
        <f>ROMAN(881)</f>
        <v/>
      </c>
      <c r="D882">
        <f>IF(B882=C882, "YES", "WRONG")</f>
        <v/>
      </c>
    </row>
    <row r="883">
      <c r="A883" t="n">
        <v>882</v>
      </c>
      <c r="B883" t="inlineStr">
        <is>
          <t>DCCCLXXXII</t>
        </is>
      </c>
      <c r="C883">
        <f>ROMAN(882)</f>
        <v/>
      </c>
      <c r="D883">
        <f>IF(B883=C883, "YES", "WRONG")</f>
        <v/>
      </c>
    </row>
    <row r="884">
      <c r="A884" t="n">
        <v>883</v>
      </c>
      <c r="B884" t="inlineStr">
        <is>
          <t>DCCCLXXXIII</t>
        </is>
      </c>
      <c r="C884">
        <f>ROMAN(883)</f>
        <v/>
      </c>
      <c r="D884">
        <f>IF(B884=C884, "YES", "WRONG")</f>
        <v/>
      </c>
    </row>
    <row r="885">
      <c r="A885" t="n">
        <v>884</v>
      </c>
      <c r="B885" t="inlineStr">
        <is>
          <t>DCCCLXXXIV</t>
        </is>
      </c>
      <c r="C885">
        <f>ROMAN(884)</f>
        <v/>
      </c>
      <c r="D885">
        <f>IF(B885=C885, "YES", "WRONG")</f>
        <v/>
      </c>
    </row>
    <row r="886">
      <c r="A886" t="n">
        <v>885</v>
      </c>
      <c r="B886" t="inlineStr">
        <is>
          <t>DCCCLXXXV</t>
        </is>
      </c>
      <c r="C886">
        <f>ROMAN(885)</f>
        <v/>
      </c>
      <c r="D886">
        <f>IF(B886=C886, "YES", "WRONG")</f>
        <v/>
      </c>
    </row>
    <row r="887">
      <c r="A887" t="n">
        <v>886</v>
      </c>
      <c r="B887" t="inlineStr">
        <is>
          <t>DCCCLXXXVI</t>
        </is>
      </c>
      <c r="C887">
        <f>ROMAN(886)</f>
        <v/>
      </c>
      <c r="D887">
        <f>IF(B887=C887, "YES", "WRONG")</f>
        <v/>
      </c>
    </row>
    <row r="888">
      <c r="A888" t="n">
        <v>887</v>
      </c>
      <c r="B888" t="inlineStr">
        <is>
          <t>DCCCLXXXVII</t>
        </is>
      </c>
      <c r="C888">
        <f>ROMAN(887)</f>
        <v/>
      </c>
      <c r="D888">
        <f>IF(B888=C888, "YES", "WRONG")</f>
        <v/>
      </c>
    </row>
    <row r="889">
      <c r="A889" t="n">
        <v>888</v>
      </c>
      <c r="B889" t="inlineStr">
        <is>
          <t>DCCCLXXXVIII</t>
        </is>
      </c>
      <c r="C889">
        <f>ROMAN(888)</f>
        <v/>
      </c>
      <c r="D889">
        <f>IF(B889=C889, "YES", "WRONG")</f>
        <v/>
      </c>
    </row>
    <row r="890">
      <c r="A890" t="n">
        <v>889</v>
      </c>
      <c r="B890" t="inlineStr">
        <is>
          <t>DCCCLXXXIX</t>
        </is>
      </c>
      <c r="C890">
        <f>ROMAN(889)</f>
        <v/>
      </c>
      <c r="D890">
        <f>IF(B890=C890, "YES", "WRONG")</f>
        <v/>
      </c>
    </row>
    <row r="891">
      <c r="A891" t="n">
        <v>890</v>
      </c>
      <c r="B891" t="inlineStr">
        <is>
          <t>DCCCXC</t>
        </is>
      </c>
      <c r="C891">
        <f>ROMAN(890)</f>
        <v/>
      </c>
      <c r="D891">
        <f>IF(B891=C891, "YES", "WRONG")</f>
        <v/>
      </c>
    </row>
    <row r="892">
      <c r="A892" t="n">
        <v>891</v>
      </c>
      <c r="B892" t="inlineStr">
        <is>
          <t>DCCCXCI</t>
        </is>
      </c>
      <c r="C892">
        <f>ROMAN(891)</f>
        <v/>
      </c>
      <c r="D892">
        <f>IF(B892=C892, "YES", "WRONG")</f>
        <v/>
      </c>
    </row>
    <row r="893">
      <c r="A893" t="n">
        <v>892</v>
      </c>
      <c r="B893" t="inlineStr">
        <is>
          <t>DCCCXCII</t>
        </is>
      </c>
      <c r="C893">
        <f>ROMAN(892)</f>
        <v/>
      </c>
      <c r="D893">
        <f>IF(B893=C893, "YES", "WRONG")</f>
        <v/>
      </c>
    </row>
    <row r="894">
      <c r="A894" t="n">
        <v>893</v>
      </c>
      <c r="B894" t="inlineStr">
        <is>
          <t>DCCCXCIII</t>
        </is>
      </c>
      <c r="C894">
        <f>ROMAN(893)</f>
        <v/>
      </c>
      <c r="D894">
        <f>IF(B894=C894, "YES", "WRONG")</f>
        <v/>
      </c>
    </row>
    <row r="895">
      <c r="A895" t="n">
        <v>894</v>
      </c>
      <c r="B895" t="inlineStr">
        <is>
          <t>DCCCXCIV</t>
        </is>
      </c>
      <c r="C895">
        <f>ROMAN(894)</f>
        <v/>
      </c>
      <c r="D895">
        <f>IF(B895=C895, "YES", "WRONG")</f>
        <v/>
      </c>
    </row>
    <row r="896">
      <c r="A896" t="n">
        <v>895</v>
      </c>
      <c r="B896" t="inlineStr">
        <is>
          <t>DCCCXCV</t>
        </is>
      </c>
      <c r="C896">
        <f>ROMAN(895)</f>
        <v/>
      </c>
      <c r="D896">
        <f>IF(B896=C896, "YES", "WRONG")</f>
        <v/>
      </c>
    </row>
    <row r="897">
      <c r="A897" t="n">
        <v>896</v>
      </c>
      <c r="B897" t="inlineStr">
        <is>
          <t>DCCCXCVI</t>
        </is>
      </c>
      <c r="C897">
        <f>ROMAN(896)</f>
        <v/>
      </c>
      <c r="D897">
        <f>IF(B897=C897, "YES", "WRONG")</f>
        <v/>
      </c>
    </row>
    <row r="898">
      <c r="A898" t="n">
        <v>897</v>
      </c>
      <c r="B898" t="inlineStr">
        <is>
          <t>DCCCXCVII</t>
        </is>
      </c>
      <c r="C898">
        <f>ROMAN(897)</f>
        <v/>
      </c>
      <c r="D898">
        <f>IF(B898=C898, "YES", "WRONG")</f>
        <v/>
      </c>
    </row>
    <row r="899">
      <c r="A899" t="n">
        <v>898</v>
      </c>
      <c r="B899" t="inlineStr">
        <is>
          <t>DCCCXCVIII</t>
        </is>
      </c>
      <c r="C899">
        <f>ROMAN(898)</f>
        <v/>
      </c>
      <c r="D899">
        <f>IF(B899=C899, "YES", "WRONG")</f>
        <v/>
      </c>
    </row>
    <row r="900">
      <c r="A900" t="n">
        <v>899</v>
      </c>
      <c r="B900" t="inlineStr">
        <is>
          <t>DCCCXCIX</t>
        </is>
      </c>
      <c r="C900">
        <f>ROMAN(899)</f>
        <v/>
      </c>
      <c r="D900">
        <f>IF(B900=C900, "YES", "WRONG")</f>
        <v/>
      </c>
    </row>
    <row r="901">
      <c r="A901" t="n">
        <v>900</v>
      </c>
      <c r="B901" t="inlineStr">
        <is>
          <t>CM</t>
        </is>
      </c>
      <c r="C901">
        <f>ROMAN(900)</f>
        <v/>
      </c>
      <c r="D901">
        <f>IF(B901=C901, "YES", "WRONG")</f>
        <v/>
      </c>
    </row>
    <row r="902">
      <c r="A902" t="n">
        <v>901</v>
      </c>
      <c r="B902" t="inlineStr">
        <is>
          <t>CMI</t>
        </is>
      </c>
      <c r="C902">
        <f>ROMAN(901)</f>
        <v/>
      </c>
      <c r="D902">
        <f>IF(B902=C902, "YES", "WRONG")</f>
        <v/>
      </c>
    </row>
    <row r="903">
      <c r="A903" t="n">
        <v>902</v>
      </c>
      <c r="B903" t="inlineStr">
        <is>
          <t>CMII</t>
        </is>
      </c>
      <c r="C903">
        <f>ROMAN(902)</f>
        <v/>
      </c>
      <c r="D903">
        <f>IF(B903=C903, "YES", "WRONG")</f>
        <v/>
      </c>
    </row>
    <row r="904">
      <c r="A904" t="n">
        <v>903</v>
      </c>
      <c r="B904" t="inlineStr">
        <is>
          <t>CMIII</t>
        </is>
      </c>
      <c r="C904">
        <f>ROMAN(903)</f>
        <v/>
      </c>
      <c r="D904">
        <f>IF(B904=C904, "YES", "WRONG")</f>
        <v/>
      </c>
    </row>
    <row r="905">
      <c r="A905" t="n">
        <v>904</v>
      </c>
      <c r="B905" t="inlineStr">
        <is>
          <t>CMIV</t>
        </is>
      </c>
      <c r="C905">
        <f>ROMAN(904)</f>
        <v/>
      </c>
      <c r="D905">
        <f>IF(B905=C905, "YES", "WRONG")</f>
        <v/>
      </c>
    </row>
    <row r="906">
      <c r="A906" t="n">
        <v>905</v>
      </c>
      <c r="B906" t="inlineStr">
        <is>
          <t>CMV</t>
        </is>
      </c>
      <c r="C906">
        <f>ROMAN(905)</f>
        <v/>
      </c>
      <c r="D906">
        <f>IF(B906=C906, "YES", "WRONG")</f>
        <v/>
      </c>
    </row>
    <row r="907">
      <c r="A907" t="n">
        <v>906</v>
      </c>
      <c r="B907" t="inlineStr">
        <is>
          <t>CMVI</t>
        </is>
      </c>
      <c r="C907">
        <f>ROMAN(906)</f>
        <v/>
      </c>
      <c r="D907">
        <f>IF(B907=C907, "YES", "WRONG")</f>
        <v/>
      </c>
    </row>
    <row r="908">
      <c r="A908" t="n">
        <v>907</v>
      </c>
      <c r="B908" t="inlineStr">
        <is>
          <t>CMVII</t>
        </is>
      </c>
      <c r="C908">
        <f>ROMAN(907)</f>
        <v/>
      </c>
      <c r="D908">
        <f>IF(B908=C908, "YES", "WRONG")</f>
        <v/>
      </c>
    </row>
    <row r="909">
      <c r="A909" t="n">
        <v>908</v>
      </c>
      <c r="B909" t="inlineStr">
        <is>
          <t>CMVIII</t>
        </is>
      </c>
      <c r="C909">
        <f>ROMAN(908)</f>
        <v/>
      </c>
      <c r="D909">
        <f>IF(B909=C909, "YES", "WRONG")</f>
        <v/>
      </c>
    </row>
    <row r="910">
      <c r="A910" t="n">
        <v>909</v>
      </c>
      <c r="B910" t="inlineStr">
        <is>
          <t>CMIX</t>
        </is>
      </c>
      <c r="C910">
        <f>ROMAN(909)</f>
        <v/>
      </c>
      <c r="D910">
        <f>IF(B910=C910, "YES", "WRONG")</f>
        <v/>
      </c>
    </row>
    <row r="911">
      <c r="A911" t="n">
        <v>910</v>
      </c>
      <c r="B911" t="inlineStr">
        <is>
          <t>CMX</t>
        </is>
      </c>
      <c r="C911">
        <f>ROMAN(910)</f>
        <v/>
      </c>
      <c r="D911">
        <f>IF(B911=C911, "YES", "WRONG")</f>
        <v/>
      </c>
    </row>
    <row r="912">
      <c r="A912" t="n">
        <v>911</v>
      </c>
      <c r="B912" t="inlineStr">
        <is>
          <t>CMXI</t>
        </is>
      </c>
      <c r="C912">
        <f>ROMAN(911)</f>
        <v/>
      </c>
      <c r="D912">
        <f>IF(B912=C912, "YES", "WRONG")</f>
        <v/>
      </c>
    </row>
    <row r="913">
      <c r="A913" t="n">
        <v>912</v>
      </c>
      <c r="B913" t="inlineStr">
        <is>
          <t>CMXII</t>
        </is>
      </c>
      <c r="C913">
        <f>ROMAN(912)</f>
        <v/>
      </c>
      <c r="D913">
        <f>IF(B913=C913, "YES", "WRONG")</f>
        <v/>
      </c>
    </row>
    <row r="914">
      <c r="A914" t="n">
        <v>913</v>
      </c>
      <c r="B914" t="inlineStr">
        <is>
          <t>CMXIII</t>
        </is>
      </c>
      <c r="C914">
        <f>ROMAN(913)</f>
        <v/>
      </c>
      <c r="D914">
        <f>IF(B914=C914, "YES", "WRONG")</f>
        <v/>
      </c>
    </row>
    <row r="915">
      <c r="A915" t="n">
        <v>914</v>
      </c>
      <c r="B915" t="inlineStr">
        <is>
          <t>CMXIV</t>
        </is>
      </c>
      <c r="C915">
        <f>ROMAN(914)</f>
        <v/>
      </c>
      <c r="D915">
        <f>IF(B915=C915, "YES", "WRONG")</f>
        <v/>
      </c>
    </row>
    <row r="916">
      <c r="A916" t="n">
        <v>915</v>
      </c>
      <c r="B916" t="inlineStr">
        <is>
          <t>CMXV</t>
        </is>
      </c>
      <c r="C916">
        <f>ROMAN(915)</f>
        <v/>
      </c>
      <c r="D916">
        <f>IF(B916=C916, "YES", "WRONG")</f>
        <v/>
      </c>
    </row>
    <row r="917">
      <c r="A917" t="n">
        <v>916</v>
      </c>
      <c r="B917" t="inlineStr">
        <is>
          <t>CMXVI</t>
        </is>
      </c>
      <c r="C917">
        <f>ROMAN(916)</f>
        <v/>
      </c>
      <c r="D917">
        <f>IF(B917=C917, "YES", "WRONG")</f>
        <v/>
      </c>
    </row>
    <row r="918">
      <c r="A918" t="n">
        <v>917</v>
      </c>
      <c r="B918" t="inlineStr">
        <is>
          <t>CMXVII</t>
        </is>
      </c>
      <c r="C918">
        <f>ROMAN(917)</f>
        <v/>
      </c>
      <c r="D918">
        <f>IF(B918=C918, "YES", "WRONG")</f>
        <v/>
      </c>
    </row>
    <row r="919">
      <c r="A919" t="n">
        <v>918</v>
      </c>
      <c r="B919" t="inlineStr">
        <is>
          <t>CMXVIII</t>
        </is>
      </c>
      <c r="C919">
        <f>ROMAN(918)</f>
        <v/>
      </c>
      <c r="D919">
        <f>IF(B919=C919, "YES", "WRONG")</f>
        <v/>
      </c>
    </row>
    <row r="920">
      <c r="A920" t="n">
        <v>919</v>
      </c>
      <c r="B920" t="inlineStr">
        <is>
          <t>CMXIX</t>
        </is>
      </c>
      <c r="C920">
        <f>ROMAN(919)</f>
        <v/>
      </c>
      <c r="D920">
        <f>IF(B920=C920, "YES", "WRONG")</f>
        <v/>
      </c>
    </row>
    <row r="921">
      <c r="A921" t="n">
        <v>920</v>
      </c>
      <c r="B921" t="inlineStr">
        <is>
          <t>CMXX</t>
        </is>
      </c>
      <c r="C921">
        <f>ROMAN(920)</f>
        <v/>
      </c>
      <c r="D921">
        <f>IF(B921=C921, "YES", "WRONG")</f>
        <v/>
      </c>
    </row>
    <row r="922">
      <c r="A922" t="n">
        <v>921</v>
      </c>
      <c r="B922" t="inlineStr">
        <is>
          <t>CMXXI</t>
        </is>
      </c>
      <c r="C922">
        <f>ROMAN(921)</f>
        <v/>
      </c>
      <c r="D922">
        <f>IF(B922=C922, "YES", "WRONG")</f>
        <v/>
      </c>
    </row>
    <row r="923">
      <c r="A923" t="n">
        <v>922</v>
      </c>
      <c r="B923" t="inlineStr">
        <is>
          <t>CMXXII</t>
        </is>
      </c>
      <c r="C923">
        <f>ROMAN(922)</f>
        <v/>
      </c>
      <c r="D923">
        <f>IF(B923=C923, "YES", "WRONG")</f>
        <v/>
      </c>
    </row>
    <row r="924">
      <c r="A924" t="n">
        <v>923</v>
      </c>
      <c r="B924" t="inlineStr">
        <is>
          <t>CMXXIII</t>
        </is>
      </c>
      <c r="C924">
        <f>ROMAN(923)</f>
        <v/>
      </c>
      <c r="D924">
        <f>IF(B924=C924, "YES", "WRONG")</f>
        <v/>
      </c>
    </row>
    <row r="925">
      <c r="A925" t="n">
        <v>924</v>
      </c>
      <c r="B925" t="inlineStr">
        <is>
          <t>CMXXIV</t>
        </is>
      </c>
      <c r="C925">
        <f>ROMAN(924)</f>
        <v/>
      </c>
      <c r="D925">
        <f>IF(B925=C925, "YES", "WRONG")</f>
        <v/>
      </c>
    </row>
    <row r="926">
      <c r="A926" t="n">
        <v>925</v>
      </c>
      <c r="B926" t="inlineStr">
        <is>
          <t>CMXXV</t>
        </is>
      </c>
      <c r="C926">
        <f>ROMAN(925)</f>
        <v/>
      </c>
      <c r="D926">
        <f>IF(B926=C926, "YES", "WRONG")</f>
        <v/>
      </c>
    </row>
    <row r="927">
      <c r="A927" t="n">
        <v>926</v>
      </c>
      <c r="B927" t="inlineStr">
        <is>
          <t>CMXXVI</t>
        </is>
      </c>
      <c r="C927">
        <f>ROMAN(926)</f>
        <v/>
      </c>
      <c r="D927">
        <f>IF(B927=C927, "YES", "WRONG")</f>
        <v/>
      </c>
    </row>
    <row r="928">
      <c r="A928" t="n">
        <v>927</v>
      </c>
      <c r="B928" t="inlineStr">
        <is>
          <t>CMXXVII</t>
        </is>
      </c>
      <c r="C928">
        <f>ROMAN(927)</f>
        <v/>
      </c>
      <c r="D928">
        <f>IF(B928=C928, "YES", "WRONG")</f>
        <v/>
      </c>
    </row>
    <row r="929">
      <c r="A929" t="n">
        <v>928</v>
      </c>
      <c r="B929" t="inlineStr">
        <is>
          <t>CMXXVIII</t>
        </is>
      </c>
      <c r="C929">
        <f>ROMAN(928)</f>
        <v/>
      </c>
      <c r="D929">
        <f>IF(B929=C929, "YES", "WRONG")</f>
        <v/>
      </c>
    </row>
    <row r="930">
      <c r="A930" t="n">
        <v>929</v>
      </c>
      <c r="B930" t="inlineStr">
        <is>
          <t>CMXXIX</t>
        </is>
      </c>
      <c r="C930">
        <f>ROMAN(929)</f>
        <v/>
      </c>
      <c r="D930">
        <f>IF(B930=C930, "YES", "WRONG")</f>
        <v/>
      </c>
    </row>
    <row r="931">
      <c r="A931" t="n">
        <v>930</v>
      </c>
      <c r="B931" t="inlineStr">
        <is>
          <t>CMXXX</t>
        </is>
      </c>
      <c r="C931">
        <f>ROMAN(930)</f>
        <v/>
      </c>
      <c r="D931">
        <f>IF(B931=C931, "YES", "WRONG")</f>
        <v/>
      </c>
    </row>
    <row r="932">
      <c r="A932" t="n">
        <v>931</v>
      </c>
      <c r="B932" t="inlineStr">
        <is>
          <t>CMXXXI</t>
        </is>
      </c>
      <c r="C932">
        <f>ROMAN(931)</f>
        <v/>
      </c>
      <c r="D932">
        <f>IF(B932=C932, "YES", "WRONG")</f>
        <v/>
      </c>
    </row>
    <row r="933">
      <c r="A933" t="n">
        <v>932</v>
      </c>
      <c r="B933" t="inlineStr">
        <is>
          <t>CMXXXII</t>
        </is>
      </c>
      <c r="C933">
        <f>ROMAN(932)</f>
        <v/>
      </c>
      <c r="D933">
        <f>IF(B933=C933, "YES", "WRONG")</f>
        <v/>
      </c>
    </row>
    <row r="934">
      <c r="A934" t="n">
        <v>933</v>
      </c>
      <c r="B934" t="inlineStr">
        <is>
          <t>CMXXXIII</t>
        </is>
      </c>
      <c r="C934">
        <f>ROMAN(933)</f>
        <v/>
      </c>
      <c r="D934">
        <f>IF(B934=C934, "YES", "WRONG")</f>
        <v/>
      </c>
    </row>
    <row r="935">
      <c r="A935" t="n">
        <v>934</v>
      </c>
      <c r="B935" t="inlineStr">
        <is>
          <t>CMXXXIV</t>
        </is>
      </c>
      <c r="C935">
        <f>ROMAN(934)</f>
        <v/>
      </c>
      <c r="D935">
        <f>IF(B935=C935, "YES", "WRONG")</f>
        <v/>
      </c>
    </row>
    <row r="936">
      <c r="A936" t="n">
        <v>935</v>
      </c>
      <c r="B936" t="inlineStr">
        <is>
          <t>CMXXXV</t>
        </is>
      </c>
      <c r="C936">
        <f>ROMAN(935)</f>
        <v/>
      </c>
      <c r="D936">
        <f>IF(B936=C936, "YES", "WRONG")</f>
        <v/>
      </c>
    </row>
    <row r="937">
      <c r="A937" t="n">
        <v>936</v>
      </c>
      <c r="B937" t="inlineStr">
        <is>
          <t>CMXXXVI</t>
        </is>
      </c>
      <c r="C937">
        <f>ROMAN(936)</f>
        <v/>
      </c>
      <c r="D937">
        <f>IF(B937=C937, "YES", "WRONG")</f>
        <v/>
      </c>
    </row>
    <row r="938">
      <c r="A938" t="n">
        <v>937</v>
      </c>
      <c r="B938" t="inlineStr">
        <is>
          <t>CMXXXVII</t>
        </is>
      </c>
      <c r="C938">
        <f>ROMAN(937)</f>
        <v/>
      </c>
      <c r="D938">
        <f>IF(B938=C938, "YES", "WRONG")</f>
        <v/>
      </c>
    </row>
    <row r="939">
      <c r="A939" t="n">
        <v>938</v>
      </c>
      <c r="B939" t="inlineStr">
        <is>
          <t>CMXXXVIII</t>
        </is>
      </c>
      <c r="C939">
        <f>ROMAN(938)</f>
        <v/>
      </c>
      <c r="D939">
        <f>IF(B939=C939, "YES", "WRONG")</f>
        <v/>
      </c>
    </row>
    <row r="940">
      <c r="A940" t="n">
        <v>939</v>
      </c>
      <c r="B940" t="inlineStr">
        <is>
          <t>CMXXXIX</t>
        </is>
      </c>
      <c r="C940">
        <f>ROMAN(939)</f>
        <v/>
      </c>
      <c r="D940">
        <f>IF(B940=C940, "YES", "WRONG")</f>
        <v/>
      </c>
    </row>
    <row r="941">
      <c r="A941" t="n">
        <v>940</v>
      </c>
      <c r="B941" t="inlineStr">
        <is>
          <t>CMXL</t>
        </is>
      </c>
      <c r="C941">
        <f>ROMAN(940)</f>
        <v/>
      </c>
      <c r="D941">
        <f>IF(B941=C941, "YES", "WRONG")</f>
        <v/>
      </c>
    </row>
    <row r="942">
      <c r="A942" t="n">
        <v>941</v>
      </c>
      <c r="B942" t="inlineStr">
        <is>
          <t>CMXLI</t>
        </is>
      </c>
      <c r="C942">
        <f>ROMAN(941)</f>
        <v/>
      </c>
      <c r="D942">
        <f>IF(B942=C942, "YES", "WRONG")</f>
        <v/>
      </c>
    </row>
    <row r="943">
      <c r="A943" t="n">
        <v>942</v>
      </c>
      <c r="B943" t="inlineStr">
        <is>
          <t>CMXLII</t>
        </is>
      </c>
      <c r="C943">
        <f>ROMAN(942)</f>
        <v/>
      </c>
      <c r="D943">
        <f>IF(B943=C943, "YES", "WRONG")</f>
        <v/>
      </c>
    </row>
    <row r="944">
      <c r="A944" t="n">
        <v>943</v>
      </c>
      <c r="B944" t="inlineStr">
        <is>
          <t>CMXLIII</t>
        </is>
      </c>
      <c r="C944">
        <f>ROMAN(943)</f>
        <v/>
      </c>
      <c r="D944">
        <f>IF(B944=C944, "YES", "WRONG")</f>
        <v/>
      </c>
    </row>
    <row r="945">
      <c r="A945" t="n">
        <v>944</v>
      </c>
      <c r="B945" t="inlineStr">
        <is>
          <t>CMXLIV</t>
        </is>
      </c>
      <c r="C945">
        <f>ROMAN(944)</f>
        <v/>
      </c>
      <c r="D945">
        <f>IF(B945=C945, "YES", "WRONG")</f>
        <v/>
      </c>
    </row>
    <row r="946">
      <c r="A946" t="n">
        <v>945</v>
      </c>
      <c r="B946" t="inlineStr">
        <is>
          <t>CMXLV</t>
        </is>
      </c>
      <c r="C946">
        <f>ROMAN(945)</f>
        <v/>
      </c>
      <c r="D946">
        <f>IF(B946=C946, "YES", "WRONG")</f>
        <v/>
      </c>
    </row>
    <row r="947">
      <c r="A947" t="n">
        <v>946</v>
      </c>
      <c r="B947" t="inlineStr">
        <is>
          <t>CMXLVI</t>
        </is>
      </c>
      <c r="C947">
        <f>ROMAN(946)</f>
        <v/>
      </c>
      <c r="D947">
        <f>IF(B947=C947, "YES", "WRONG")</f>
        <v/>
      </c>
    </row>
    <row r="948">
      <c r="A948" t="n">
        <v>947</v>
      </c>
      <c r="B948" t="inlineStr">
        <is>
          <t>CMXLVII</t>
        </is>
      </c>
      <c r="C948">
        <f>ROMAN(947)</f>
        <v/>
      </c>
      <c r="D948">
        <f>IF(B948=C948, "YES", "WRONG")</f>
        <v/>
      </c>
    </row>
    <row r="949">
      <c r="A949" t="n">
        <v>948</v>
      </c>
      <c r="B949" t="inlineStr">
        <is>
          <t>CMXLVIII</t>
        </is>
      </c>
      <c r="C949">
        <f>ROMAN(948)</f>
        <v/>
      </c>
      <c r="D949">
        <f>IF(B949=C949, "YES", "WRONG")</f>
        <v/>
      </c>
    </row>
    <row r="950">
      <c r="A950" t="n">
        <v>949</v>
      </c>
      <c r="B950" t="inlineStr">
        <is>
          <t>CMXLIX</t>
        </is>
      </c>
      <c r="C950">
        <f>ROMAN(949)</f>
        <v/>
      </c>
      <c r="D950">
        <f>IF(B950=C950, "YES", "WRONG")</f>
        <v/>
      </c>
    </row>
    <row r="951">
      <c r="A951" t="n">
        <v>950</v>
      </c>
      <c r="B951" t="inlineStr">
        <is>
          <t>CML</t>
        </is>
      </c>
      <c r="C951">
        <f>ROMAN(950)</f>
        <v/>
      </c>
      <c r="D951">
        <f>IF(B951=C951, "YES", "WRONG")</f>
        <v/>
      </c>
    </row>
    <row r="952">
      <c r="A952" t="n">
        <v>951</v>
      </c>
      <c r="B952" t="inlineStr">
        <is>
          <t>CMLI</t>
        </is>
      </c>
      <c r="C952">
        <f>ROMAN(951)</f>
        <v/>
      </c>
      <c r="D952">
        <f>IF(B952=C952, "YES", "WRONG")</f>
        <v/>
      </c>
    </row>
    <row r="953">
      <c r="A953" t="n">
        <v>952</v>
      </c>
      <c r="B953" t="inlineStr">
        <is>
          <t>CMLII</t>
        </is>
      </c>
      <c r="C953">
        <f>ROMAN(952)</f>
        <v/>
      </c>
      <c r="D953">
        <f>IF(B953=C953, "YES", "WRONG")</f>
        <v/>
      </c>
    </row>
    <row r="954">
      <c r="A954" t="n">
        <v>953</v>
      </c>
      <c r="B954" t="inlineStr">
        <is>
          <t>CMLIII</t>
        </is>
      </c>
      <c r="C954">
        <f>ROMAN(953)</f>
        <v/>
      </c>
      <c r="D954">
        <f>IF(B954=C954, "YES", "WRONG")</f>
        <v/>
      </c>
    </row>
    <row r="955">
      <c r="A955" t="n">
        <v>954</v>
      </c>
      <c r="B955" t="inlineStr">
        <is>
          <t>CMLIV</t>
        </is>
      </c>
      <c r="C955">
        <f>ROMAN(954)</f>
        <v/>
      </c>
      <c r="D955">
        <f>IF(B955=C955, "YES", "WRONG")</f>
        <v/>
      </c>
    </row>
    <row r="956">
      <c r="A956" t="n">
        <v>955</v>
      </c>
      <c r="B956" t="inlineStr">
        <is>
          <t>CMLV</t>
        </is>
      </c>
      <c r="C956">
        <f>ROMAN(955)</f>
        <v/>
      </c>
      <c r="D956">
        <f>IF(B956=C956, "YES", "WRONG")</f>
        <v/>
      </c>
    </row>
    <row r="957">
      <c r="A957" t="n">
        <v>956</v>
      </c>
      <c r="B957" t="inlineStr">
        <is>
          <t>CMLVI</t>
        </is>
      </c>
      <c r="C957">
        <f>ROMAN(956)</f>
        <v/>
      </c>
      <c r="D957">
        <f>IF(B957=C957, "YES", "WRONG")</f>
        <v/>
      </c>
    </row>
    <row r="958">
      <c r="A958" t="n">
        <v>957</v>
      </c>
      <c r="B958" t="inlineStr">
        <is>
          <t>CMLVII</t>
        </is>
      </c>
      <c r="C958">
        <f>ROMAN(957)</f>
        <v/>
      </c>
      <c r="D958">
        <f>IF(B958=C958, "YES", "WRONG")</f>
        <v/>
      </c>
    </row>
    <row r="959">
      <c r="A959" t="n">
        <v>958</v>
      </c>
      <c r="B959" t="inlineStr">
        <is>
          <t>CMLVIII</t>
        </is>
      </c>
      <c r="C959">
        <f>ROMAN(958)</f>
        <v/>
      </c>
      <c r="D959">
        <f>IF(B959=C959, "YES", "WRONG")</f>
        <v/>
      </c>
    </row>
    <row r="960">
      <c r="A960" t="n">
        <v>959</v>
      </c>
      <c r="B960" t="inlineStr">
        <is>
          <t>CMLIX</t>
        </is>
      </c>
      <c r="C960">
        <f>ROMAN(959)</f>
        <v/>
      </c>
      <c r="D960">
        <f>IF(B960=C960, "YES", "WRONG")</f>
        <v/>
      </c>
    </row>
    <row r="961">
      <c r="A961" t="n">
        <v>960</v>
      </c>
      <c r="B961" t="inlineStr">
        <is>
          <t>CMLX</t>
        </is>
      </c>
      <c r="C961">
        <f>ROMAN(960)</f>
        <v/>
      </c>
      <c r="D961">
        <f>IF(B961=C961, "YES", "WRONG")</f>
        <v/>
      </c>
    </row>
    <row r="962">
      <c r="A962" t="n">
        <v>961</v>
      </c>
      <c r="B962" t="inlineStr">
        <is>
          <t>CMLXI</t>
        </is>
      </c>
      <c r="C962">
        <f>ROMAN(961)</f>
        <v/>
      </c>
      <c r="D962">
        <f>IF(B962=C962, "YES", "WRONG")</f>
        <v/>
      </c>
    </row>
    <row r="963">
      <c r="A963" t="n">
        <v>962</v>
      </c>
      <c r="B963" t="inlineStr">
        <is>
          <t>CMLXII</t>
        </is>
      </c>
      <c r="C963">
        <f>ROMAN(962)</f>
        <v/>
      </c>
      <c r="D963">
        <f>IF(B963=C963, "YES", "WRONG")</f>
        <v/>
      </c>
    </row>
    <row r="964">
      <c r="A964" t="n">
        <v>963</v>
      </c>
      <c r="B964" t="inlineStr">
        <is>
          <t>CMLXIII</t>
        </is>
      </c>
      <c r="C964">
        <f>ROMAN(963)</f>
        <v/>
      </c>
      <c r="D964">
        <f>IF(B964=C964, "YES", "WRONG")</f>
        <v/>
      </c>
    </row>
    <row r="965">
      <c r="A965" t="n">
        <v>964</v>
      </c>
      <c r="B965" t="inlineStr">
        <is>
          <t>CMLXIV</t>
        </is>
      </c>
      <c r="C965">
        <f>ROMAN(964)</f>
        <v/>
      </c>
      <c r="D965">
        <f>IF(B965=C965, "YES", "WRONG")</f>
        <v/>
      </c>
    </row>
    <row r="966">
      <c r="A966" t="n">
        <v>965</v>
      </c>
      <c r="B966" t="inlineStr">
        <is>
          <t>CMLXV</t>
        </is>
      </c>
      <c r="C966">
        <f>ROMAN(965)</f>
        <v/>
      </c>
      <c r="D966">
        <f>IF(B966=C966, "YES", "WRONG")</f>
        <v/>
      </c>
    </row>
    <row r="967">
      <c r="A967" t="n">
        <v>966</v>
      </c>
      <c r="B967" t="inlineStr">
        <is>
          <t>CMLXVI</t>
        </is>
      </c>
      <c r="C967">
        <f>ROMAN(966)</f>
        <v/>
      </c>
      <c r="D967">
        <f>IF(B967=C967, "YES", "WRONG")</f>
        <v/>
      </c>
    </row>
    <row r="968">
      <c r="A968" t="n">
        <v>967</v>
      </c>
      <c r="B968" t="inlineStr">
        <is>
          <t>CMLXVII</t>
        </is>
      </c>
      <c r="C968">
        <f>ROMAN(967)</f>
        <v/>
      </c>
      <c r="D968">
        <f>IF(B968=C968, "YES", "WRONG")</f>
        <v/>
      </c>
    </row>
    <row r="969">
      <c r="A969" t="n">
        <v>968</v>
      </c>
      <c r="B969" t="inlineStr">
        <is>
          <t>CMLXVIII</t>
        </is>
      </c>
      <c r="C969">
        <f>ROMAN(968)</f>
        <v/>
      </c>
      <c r="D969">
        <f>IF(B969=C969, "YES", "WRONG")</f>
        <v/>
      </c>
    </row>
    <row r="970">
      <c r="A970" t="n">
        <v>969</v>
      </c>
      <c r="B970" t="inlineStr">
        <is>
          <t>CMLXIX</t>
        </is>
      </c>
      <c r="C970">
        <f>ROMAN(969)</f>
        <v/>
      </c>
      <c r="D970">
        <f>IF(B970=C970, "YES", "WRONG")</f>
        <v/>
      </c>
    </row>
    <row r="971">
      <c r="A971" t="n">
        <v>970</v>
      </c>
      <c r="B971" t="inlineStr">
        <is>
          <t>CMLXX</t>
        </is>
      </c>
      <c r="C971">
        <f>ROMAN(970)</f>
        <v/>
      </c>
      <c r="D971">
        <f>IF(B971=C971, "YES", "WRONG")</f>
        <v/>
      </c>
    </row>
    <row r="972">
      <c r="A972" t="n">
        <v>971</v>
      </c>
      <c r="B972" t="inlineStr">
        <is>
          <t>CMLXXI</t>
        </is>
      </c>
      <c r="C972">
        <f>ROMAN(971)</f>
        <v/>
      </c>
      <c r="D972">
        <f>IF(B972=C972, "YES", "WRONG")</f>
        <v/>
      </c>
    </row>
    <row r="973">
      <c r="A973" t="n">
        <v>972</v>
      </c>
      <c r="B973" t="inlineStr">
        <is>
          <t>CMLXXII</t>
        </is>
      </c>
      <c r="C973">
        <f>ROMAN(972)</f>
        <v/>
      </c>
      <c r="D973">
        <f>IF(B973=C973, "YES", "WRONG")</f>
        <v/>
      </c>
    </row>
    <row r="974">
      <c r="A974" t="n">
        <v>973</v>
      </c>
      <c r="B974" t="inlineStr">
        <is>
          <t>CMLXXIII</t>
        </is>
      </c>
      <c r="C974">
        <f>ROMAN(973)</f>
        <v/>
      </c>
      <c r="D974">
        <f>IF(B974=C974, "YES", "WRONG")</f>
        <v/>
      </c>
    </row>
    <row r="975">
      <c r="A975" t="n">
        <v>974</v>
      </c>
      <c r="B975" t="inlineStr">
        <is>
          <t>CMLXXIV</t>
        </is>
      </c>
      <c r="C975">
        <f>ROMAN(974)</f>
        <v/>
      </c>
      <c r="D975">
        <f>IF(B975=C975, "YES", "WRONG")</f>
        <v/>
      </c>
    </row>
    <row r="976">
      <c r="A976" t="n">
        <v>975</v>
      </c>
      <c r="B976" t="inlineStr">
        <is>
          <t>CMLXXV</t>
        </is>
      </c>
      <c r="C976">
        <f>ROMAN(975)</f>
        <v/>
      </c>
      <c r="D976">
        <f>IF(B976=C976, "YES", "WRONG")</f>
        <v/>
      </c>
    </row>
    <row r="977">
      <c r="A977" t="n">
        <v>976</v>
      </c>
      <c r="B977" t="inlineStr">
        <is>
          <t>CMLXXVI</t>
        </is>
      </c>
      <c r="C977">
        <f>ROMAN(976)</f>
        <v/>
      </c>
      <c r="D977">
        <f>IF(B977=C977, "YES", "WRONG")</f>
        <v/>
      </c>
    </row>
    <row r="978">
      <c r="A978" t="n">
        <v>977</v>
      </c>
      <c r="B978" t="inlineStr">
        <is>
          <t>CMLXXVII</t>
        </is>
      </c>
      <c r="C978">
        <f>ROMAN(977)</f>
        <v/>
      </c>
      <c r="D978">
        <f>IF(B978=C978, "YES", "WRONG")</f>
        <v/>
      </c>
    </row>
    <row r="979">
      <c r="A979" t="n">
        <v>978</v>
      </c>
      <c r="B979" t="inlineStr">
        <is>
          <t>CMLXXVIII</t>
        </is>
      </c>
      <c r="C979">
        <f>ROMAN(978)</f>
        <v/>
      </c>
      <c r="D979">
        <f>IF(B979=C979, "YES", "WRONG")</f>
        <v/>
      </c>
    </row>
    <row r="980">
      <c r="A980" t="n">
        <v>979</v>
      </c>
      <c r="B980" t="inlineStr">
        <is>
          <t>CMLXXIX</t>
        </is>
      </c>
      <c r="C980">
        <f>ROMAN(979)</f>
        <v/>
      </c>
      <c r="D980">
        <f>IF(B980=C980, "YES", "WRONG")</f>
        <v/>
      </c>
    </row>
    <row r="981">
      <c r="A981" t="n">
        <v>980</v>
      </c>
      <c r="B981" t="inlineStr">
        <is>
          <t>CMLXXX</t>
        </is>
      </c>
      <c r="C981">
        <f>ROMAN(980)</f>
        <v/>
      </c>
      <c r="D981">
        <f>IF(B981=C981, "YES", "WRONG")</f>
        <v/>
      </c>
    </row>
    <row r="982">
      <c r="A982" t="n">
        <v>981</v>
      </c>
      <c r="B982" t="inlineStr">
        <is>
          <t>CMLXXXI</t>
        </is>
      </c>
      <c r="C982">
        <f>ROMAN(981)</f>
        <v/>
      </c>
      <c r="D982">
        <f>IF(B982=C982, "YES", "WRONG")</f>
        <v/>
      </c>
    </row>
    <row r="983">
      <c r="A983" t="n">
        <v>982</v>
      </c>
      <c r="B983" t="inlineStr">
        <is>
          <t>CMLXXXII</t>
        </is>
      </c>
      <c r="C983">
        <f>ROMAN(982)</f>
        <v/>
      </c>
      <c r="D983">
        <f>IF(B983=C983, "YES", "WRONG")</f>
        <v/>
      </c>
    </row>
    <row r="984">
      <c r="A984" t="n">
        <v>983</v>
      </c>
      <c r="B984" t="inlineStr">
        <is>
          <t>CMLXXXIII</t>
        </is>
      </c>
      <c r="C984">
        <f>ROMAN(983)</f>
        <v/>
      </c>
      <c r="D984">
        <f>IF(B984=C984, "YES", "WRONG")</f>
        <v/>
      </c>
    </row>
    <row r="985">
      <c r="A985" t="n">
        <v>984</v>
      </c>
      <c r="B985" t="inlineStr">
        <is>
          <t>CMLXXXIV</t>
        </is>
      </c>
      <c r="C985">
        <f>ROMAN(984)</f>
        <v/>
      </c>
      <c r="D985">
        <f>IF(B985=C985, "YES", "WRONG")</f>
        <v/>
      </c>
    </row>
    <row r="986">
      <c r="A986" t="n">
        <v>985</v>
      </c>
      <c r="B986" t="inlineStr">
        <is>
          <t>CMLXXXV</t>
        </is>
      </c>
      <c r="C986">
        <f>ROMAN(985)</f>
        <v/>
      </c>
      <c r="D986">
        <f>IF(B986=C986, "YES", "WRONG")</f>
        <v/>
      </c>
    </row>
    <row r="987">
      <c r="A987" t="n">
        <v>986</v>
      </c>
      <c r="B987" t="inlineStr">
        <is>
          <t>CMLXXXVI</t>
        </is>
      </c>
      <c r="C987">
        <f>ROMAN(986)</f>
        <v/>
      </c>
      <c r="D987">
        <f>IF(B987=C987, "YES", "WRONG")</f>
        <v/>
      </c>
    </row>
    <row r="988">
      <c r="A988" t="n">
        <v>987</v>
      </c>
      <c r="B988" t="inlineStr">
        <is>
          <t>CMLXXXVII</t>
        </is>
      </c>
      <c r="C988">
        <f>ROMAN(987)</f>
        <v/>
      </c>
      <c r="D988">
        <f>IF(B988=C988, "YES", "WRONG")</f>
        <v/>
      </c>
    </row>
    <row r="989">
      <c r="A989" t="n">
        <v>988</v>
      </c>
      <c r="B989" t="inlineStr">
        <is>
          <t>CMLXXXVIII</t>
        </is>
      </c>
      <c r="C989">
        <f>ROMAN(988)</f>
        <v/>
      </c>
      <c r="D989">
        <f>IF(B989=C989, "YES", "WRONG")</f>
        <v/>
      </c>
    </row>
    <row r="990">
      <c r="A990" t="n">
        <v>989</v>
      </c>
      <c r="B990" t="inlineStr">
        <is>
          <t>CMLXXXIX</t>
        </is>
      </c>
      <c r="C990">
        <f>ROMAN(989)</f>
        <v/>
      </c>
      <c r="D990">
        <f>IF(B990=C990, "YES", "WRONG")</f>
        <v/>
      </c>
    </row>
    <row r="991">
      <c r="A991" t="n">
        <v>990</v>
      </c>
      <c r="B991" t="inlineStr">
        <is>
          <t>CMXC</t>
        </is>
      </c>
      <c r="C991">
        <f>ROMAN(990)</f>
        <v/>
      </c>
      <c r="D991">
        <f>IF(B991=C991, "YES", "WRONG")</f>
        <v/>
      </c>
    </row>
    <row r="992">
      <c r="A992" t="n">
        <v>991</v>
      </c>
      <c r="B992" t="inlineStr">
        <is>
          <t>CMXCI</t>
        </is>
      </c>
      <c r="C992">
        <f>ROMAN(991)</f>
        <v/>
      </c>
      <c r="D992">
        <f>IF(B992=C992, "YES", "WRONG")</f>
        <v/>
      </c>
    </row>
    <row r="993">
      <c r="A993" t="n">
        <v>992</v>
      </c>
      <c r="B993" t="inlineStr">
        <is>
          <t>CMXCII</t>
        </is>
      </c>
      <c r="C993">
        <f>ROMAN(992)</f>
        <v/>
      </c>
      <c r="D993">
        <f>IF(B993=C993, "YES", "WRONG")</f>
        <v/>
      </c>
    </row>
    <row r="994">
      <c r="A994" t="n">
        <v>993</v>
      </c>
      <c r="B994" t="inlineStr">
        <is>
          <t>CMXCIII</t>
        </is>
      </c>
      <c r="C994">
        <f>ROMAN(993)</f>
        <v/>
      </c>
      <c r="D994">
        <f>IF(B994=C994, "YES", "WRONG")</f>
        <v/>
      </c>
    </row>
    <row r="995">
      <c r="A995" t="n">
        <v>994</v>
      </c>
      <c r="B995" t="inlineStr">
        <is>
          <t>CMXCIV</t>
        </is>
      </c>
      <c r="C995">
        <f>ROMAN(994)</f>
        <v/>
      </c>
      <c r="D995">
        <f>IF(B995=C995, "YES", "WRONG")</f>
        <v/>
      </c>
    </row>
    <row r="996">
      <c r="A996" t="n">
        <v>995</v>
      </c>
      <c r="B996" t="inlineStr">
        <is>
          <t>CMXCV</t>
        </is>
      </c>
      <c r="C996">
        <f>ROMAN(995)</f>
        <v/>
      </c>
      <c r="D996">
        <f>IF(B996=C996, "YES", "WRONG")</f>
        <v/>
      </c>
    </row>
    <row r="997">
      <c r="A997" t="n">
        <v>996</v>
      </c>
      <c r="B997" t="inlineStr">
        <is>
          <t>CMXCVI</t>
        </is>
      </c>
      <c r="C997">
        <f>ROMAN(996)</f>
        <v/>
      </c>
      <c r="D997">
        <f>IF(B997=C997, "YES", "WRONG")</f>
        <v/>
      </c>
    </row>
    <row r="998">
      <c r="A998" t="n">
        <v>997</v>
      </c>
      <c r="B998" t="inlineStr">
        <is>
          <t>CMXCVII</t>
        </is>
      </c>
      <c r="C998">
        <f>ROMAN(997)</f>
        <v/>
      </c>
      <c r="D998">
        <f>IF(B998=C998, "YES", "WRONG")</f>
        <v/>
      </c>
    </row>
    <row r="999">
      <c r="A999" t="n">
        <v>998</v>
      </c>
      <c r="B999" t="inlineStr">
        <is>
          <t>CMXCVIII</t>
        </is>
      </c>
      <c r="C999">
        <f>ROMAN(998)</f>
        <v/>
      </c>
      <c r="D999">
        <f>IF(B999=C999, "YES", "WRONG")</f>
        <v/>
      </c>
    </row>
    <row r="1000">
      <c r="A1000" t="n">
        <v>999</v>
      </c>
      <c r="B1000" t="inlineStr">
        <is>
          <t>CMXCIX</t>
        </is>
      </c>
      <c r="C1000">
        <f>ROMAN(999)</f>
        <v/>
      </c>
      <c r="D1000">
        <f>IF(B1000=C1000, "YES", "WRONG")</f>
        <v/>
      </c>
    </row>
    <row r="1001">
      <c r="A1001" t="n">
        <v>1000</v>
      </c>
      <c r="B1001" t="inlineStr">
        <is>
          <t>M</t>
        </is>
      </c>
      <c r="C1001">
        <f>ROMAN(1000)</f>
        <v/>
      </c>
      <c r="D1001">
        <f>IF(B1001=C1001, "YES", "WRONG")</f>
        <v/>
      </c>
    </row>
    <row r="1002">
      <c r="A1002" t="n">
        <v>1001</v>
      </c>
      <c r="B1002" t="inlineStr">
        <is>
          <t>MI</t>
        </is>
      </c>
      <c r="C1002">
        <f>ROMAN(1001)</f>
        <v/>
      </c>
      <c r="D1002">
        <f>IF(B1002=C1002, "YES", "WRONG")</f>
        <v/>
      </c>
    </row>
    <row r="1003">
      <c r="A1003" t="n">
        <v>1002</v>
      </c>
      <c r="B1003" t="inlineStr">
        <is>
          <t>MII</t>
        </is>
      </c>
      <c r="C1003">
        <f>ROMAN(1002)</f>
        <v/>
      </c>
      <c r="D1003">
        <f>IF(B1003=C1003, "YES", "WRONG")</f>
        <v/>
      </c>
    </row>
    <row r="1004">
      <c r="A1004" t="n">
        <v>1003</v>
      </c>
      <c r="B1004" t="inlineStr">
        <is>
          <t>MIII</t>
        </is>
      </c>
      <c r="C1004">
        <f>ROMAN(1003)</f>
        <v/>
      </c>
      <c r="D1004">
        <f>IF(B1004=C1004, "YES", "WRONG")</f>
        <v/>
      </c>
    </row>
    <row r="1005">
      <c r="A1005" t="n">
        <v>1004</v>
      </c>
      <c r="B1005" t="inlineStr">
        <is>
          <t>MIV</t>
        </is>
      </c>
      <c r="C1005">
        <f>ROMAN(1004)</f>
        <v/>
      </c>
      <c r="D1005">
        <f>IF(B1005=C1005, "YES", "WRONG")</f>
        <v/>
      </c>
    </row>
    <row r="1006">
      <c r="A1006" t="n">
        <v>1005</v>
      </c>
      <c r="B1006" t="inlineStr">
        <is>
          <t>MV</t>
        </is>
      </c>
      <c r="C1006">
        <f>ROMAN(1005)</f>
        <v/>
      </c>
      <c r="D1006">
        <f>IF(B1006=C1006, "YES", "WRONG")</f>
        <v/>
      </c>
    </row>
    <row r="1007">
      <c r="A1007" t="n">
        <v>1006</v>
      </c>
      <c r="B1007" t="inlineStr">
        <is>
          <t>MVI</t>
        </is>
      </c>
      <c r="C1007">
        <f>ROMAN(1006)</f>
        <v/>
      </c>
      <c r="D1007">
        <f>IF(B1007=C1007, "YES", "WRONG")</f>
        <v/>
      </c>
    </row>
    <row r="1008">
      <c r="A1008" t="n">
        <v>1007</v>
      </c>
      <c r="B1008" t="inlineStr">
        <is>
          <t>MVII</t>
        </is>
      </c>
      <c r="C1008">
        <f>ROMAN(1007)</f>
        <v/>
      </c>
      <c r="D1008">
        <f>IF(B1008=C1008, "YES", "WRONG")</f>
        <v/>
      </c>
    </row>
    <row r="1009">
      <c r="A1009" t="n">
        <v>1008</v>
      </c>
      <c r="B1009" t="inlineStr">
        <is>
          <t>MVIII</t>
        </is>
      </c>
      <c r="C1009">
        <f>ROMAN(1008)</f>
        <v/>
      </c>
      <c r="D1009">
        <f>IF(B1009=C1009, "YES", "WRONG")</f>
        <v/>
      </c>
    </row>
    <row r="1010">
      <c r="A1010" t="n">
        <v>1009</v>
      </c>
      <c r="B1010" t="inlineStr">
        <is>
          <t>MIX</t>
        </is>
      </c>
      <c r="C1010">
        <f>ROMAN(1009)</f>
        <v/>
      </c>
      <c r="D1010">
        <f>IF(B1010=C1010, "YES", "WRONG")</f>
        <v/>
      </c>
    </row>
    <row r="1011">
      <c r="A1011" t="n">
        <v>1010</v>
      </c>
      <c r="B1011" t="inlineStr">
        <is>
          <t>MX</t>
        </is>
      </c>
      <c r="C1011">
        <f>ROMAN(1010)</f>
        <v/>
      </c>
      <c r="D1011">
        <f>IF(B1011=C1011, "YES", "WRONG")</f>
        <v/>
      </c>
    </row>
    <row r="1012">
      <c r="A1012" t="n">
        <v>1011</v>
      </c>
      <c r="B1012" t="inlineStr">
        <is>
          <t>MXI</t>
        </is>
      </c>
      <c r="C1012">
        <f>ROMAN(1011)</f>
        <v/>
      </c>
      <c r="D1012">
        <f>IF(B1012=C1012, "YES", "WRONG")</f>
        <v/>
      </c>
    </row>
    <row r="1013">
      <c r="A1013" t="n">
        <v>1012</v>
      </c>
      <c r="B1013" t="inlineStr">
        <is>
          <t>MXII</t>
        </is>
      </c>
      <c r="C1013">
        <f>ROMAN(1012)</f>
        <v/>
      </c>
      <c r="D1013">
        <f>IF(B1013=C1013, "YES", "WRONG")</f>
        <v/>
      </c>
    </row>
    <row r="1014">
      <c r="A1014" t="n">
        <v>1013</v>
      </c>
      <c r="B1014" t="inlineStr">
        <is>
          <t>MXIII</t>
        </is>
      </c>
      <c r="C1014">
        <f>ROMAN(1013)</f>
        <v/>
      </c>
      <c r="D1014">
        <f>IF(B1014=C1014, "YES", "WRONG")</f>
        <v/>
      </c>
    </row>
    <row r="1015">
      <c r="A1015" t="n">
        <v>1014</v>
      </c>
      <c r="B1015" t="inlineStr">
        <is>
          <t>MXIV</t>
        </is>
      </c>
      <c r="C1015">
        <f>ROMAN(1014)</f>
        <v/>
      </c>
      <c r="D1015">
        <f>IF(B1015=C1015, "YES", "WRONG")</f>
        <v/>
      </c>
    </row>
    <row r="1016">
      <c r="A1016" t="n">
        <v>1015</v>
      </c>
      <c r="B1016" t="inlineStr">
        <is>
          <t>MXV</t>
        </is>
      </c>
      <c r="C1016">
        <f>ROMAN(1015)</f>
        <v/>
      </c>
      <c r="D1016">
        <f>IF(B1016=C1016, "YES", "WRONG")</f>
        <v/>
      </c>
    </row>
    <row r="1017">
      <c r="A1017" t="n">
        <v>1016</v>
      </c>
      <c r="B1017" t="inlineStr">
        <is>
          <t>MXVI</t>
        </is>
      </c>
      <c r="C1017">
        <f>ROMAN(1016)</f>
        <v/>
      </c>
      <c r="D1017">
        <f>IF(B1017=C1017, "YES", "WRONG")</f>
        <v/>
      </c>
    </row>
    <row r="1018">
      <c r="A1018" t="n">
        <v>1017</v>
      </c>
      <c r="B1018" t="inlineStr">
        <is>
          <t>MXVII</t>
        </is>
      </c>
      <c r="C1018">
        <f>ROMAN(1017)</f>
        <v/>
      </c>
      <c r="D1018">
        <f>IF(B1018=C1018, "YES", "WRONG")</f>
        <v/>
      </c>
    </row>
    <row r="1019">
      <c r="A1019" t="n">
        <v>1018</v>
      </c>
      <c r="B1019" t="inlineStr">
        <is>
          <t>MXVIII</t>
        </is>
      </c>
      <c r="C1019">
        <f>ROMAN(1018)</f>
        <v/>
      </c>
      <c r="D1019">
        <f>IF(B1019=C1019, "YES", "WRONG")</f>
        <v/>
      </c>
    </row>
    <row r="1020">
      <c r="A1020" t="n">
        <v>1019</v>
      </c>
      <c r="B1020" t="inlineStr">
        <is>
          <t>MXIX</t>
        </is>
      </c>
      <c r="C1020">
        <f>ROMAN(1019)</f>
        <v/>
      </c>
      <c r="D1020">
        <f>IF(B1020=C1020, "YES", "WRONG")</f>
        <v/>
      </c>
    </row>
    <row r="1021">
      <c r="A1021" t="n">
        <v>1020</v>
      </c>
      <c r="B1021" t="inlineStr">
        <is>
          <t>MXX</t>
        </is>
      </c>
      <c r="C1021">
        <f>ROMAN(1020)</f>
        <v/>
      </c>
      <c r="D1021">
        <f>IF(B1021=C1021, "YES", "WRONG")</f>
        <v/>
      </c>
    </row>
    <row r="1022">
      <c r="A1022" t="n">
        <v>1021</v>
      </c>
      <c r="B1022" t="inlineStr">
        <is>
          <t>MXXI</t>
        </is>
      </c>
      <c r="C1022">
        <f>ROMAN(1021)</f>
        <v/>
      </c>
      <c r="D1022">
        <f>IF(B1022=C1022, "YES", "WRONG")</f>
        <v/>
      </c>
    </row>
    <row r="1023">
      <c r="A1023" t="n">
        <v>1022</v>
      </c>
      <c r="B1023" t="inlineStr">
        <is>
          <t>MXXII</t>
        </is>
      </c>
      <c r="C1023">
        <f>ROMAN(1022)</f>
        <v/>
      </c>
      <c r="D1023">
        <f>IF(B1023=C1023, "YES", "WRONG")</f>
        <v/>
      </c>
    </row>
    <row r="1024">
      <c r="A1024" t="n">
        <v>1023</v>
      </c>
      <c r="B1024" t="inlineStr">
        <is>
          <t>MXXIII</t>
        </is>
      </c>
      <c r="C1024">
        <f>ROMAN(1023)</f>
        <v/>
      </c>
      <c r="D1024">
        <f>IF(B1024=C1024, "YES", "WRONG")</f>
        <v/>
      </c>
    </row>
    <row r="1025">
      <c r="A1025" t="n">
        <v>1024</v>
      </c>
      <c r="B1025" t="inlineStr">
        <is>
          <t>MXXIV</t>
        </is>
      </c>
      <c r="C1025">
        <f>ROMAN(1024)</f>
        <v/>
      </c>
      <c r="D1025">
        <f>IF(B1025=C1025, "YES", "WRONG")</f>
        <v/>
      </c>
    </row>
    <row r="1026">
      <c r="A1026" t="n">
        <v>1025</v>
      </c>
      <c r="B1026" t="inlineStr">
        <is>
          <t>MXXV</t>
        </is>
      </c>
      <c r="C1026">
        <f>ROMAN(1025)</f>
        <v/>
      </c>
      <c r="D1026">
        <f>IF(B1026=C1026, "YES", "WRONG")</f>
        <v/>
      </c>
    </row>
    <row r="1027">
      <c r="A1027" t="n">
        <v>1026</v>
      </c>
      <c r="B1027" t="inlineStr">
        <is>
          <t>MXXVI</t>
        </is>
      </c>
      <c r="C1027">
        <f>ROMAN(1026)</f>
        <v/>
      </c>
      <c r="D1027">
        <f>IF(B1027=C1027, "YES", "WRONG")</f>
        <v/>
      </c>
    </row>
    <row r="1028">
      <c r="A1028" t="n">
        <v>1027</v>
      </c>
      <c r="B1028" t="inlineStr">
        <is>
          <t>MXXVII</t>
        </is>
      </c>
      <c r="C1028">
        <f>ROMAN(1027)</f>
        <v/>
      </c>
      <c r="D1028">
        <f>IF(B1028=C1028, "YES", "WRONG")</f>
        <v/>
      </c>
    </row>
    <row r="1029">
      <c r="A1029" t="n">
        <v>1028</v>
      </c>
      <c r="B1029" t="inlineStr">
        <is>
          <t>MXXVIII</t>
        </is>
      </c>
      <c r="C1029">
        <f>ROMAN(1028)</f>
        <v/>
      </c>
      <c r="D1029">
        <f>IF(B1029=C1029, "YES", "WRONG")</f>
        <v/>
      </c>
    </row>
    <row r="1030">
      <c r="A1030" t="n">
        <v>1029</v>
      </c>
      <c r="B1030" t="inlineStr">
        <is>
          <t>MXXIX</t>
        </is>
      </c>
      <c r="C1030">
        <f>ROMAN(1029)</f>
        <v/>
      </c>
      <c r="D1030">
        <f>IF(B1030=C1030, "YES", "WRONG")</f>
        <v/>
      </c>
    </row>
    <row r="1031">
      <c r="A1031" t="n">
        <v>1030</v>
      </c>
      <c r="B1031" t="inlineStr">
        <is>
          <t>MXXX</t>
        </is>
      </c>
      <c r="C1031">
        <f>ROMAN(1030)</f>
        <v/>
      </c>
      <c r="D1031">
        <f>IF(B1031=C1031, "YES", "WRONG")</f>
        <v/>
      </c>
    </row>
    <row r="1032">
      <c r="A1032" t="n">
        <v>1031</v>
      </c>
      <c r="B1032" t="inlineStr">
        <is>
          <t>MXXXI</t>
        </is>
      </c>
      <c r="C1032">
        <f>ROMAN(1031)</f>
        <v/>
      </c>
      <c r="D1032">
        <f>IF(B1032=C1032, "YES", "WRONG")</f>
        <v/>
      </c>
    </row>
    <row r="1033">
      <c r="A1033" t="n">
        <v>1032</v>
      </c>
      <c r="B1033" t="inlineStr">
        <is>
          <t>MXXXII</t>
        </is>
      </c>
      <c r="C1033">
        <f>ROMAN(1032)</f>
        <v/>
      </c>
      <c r="D1033">
        <f>IF(B1033=C1033, "YES", "WRONG")</f>
        <v/>
      </c>
    </row>
    <row r="1034">
      <c r="A1034" t="n">
        <v>1033</v>
      </c>
      <c r="B1034" t="inlineStr">
        <is>
          <t>MXXXIII</t>
        </is>
      </c>
      <c r="C1034">
        <f>ROMAN(1033)</f>
        <v/>
      </c>
      <c r="D1034">
        <f>IF(B1034=C1034, "YES", "WRONG")</f>
        <v/>
      </c>
    </row>
    <row r="1035">
      <c r="A1035" t="n">
        <v>1034</v>
      </c>
      <c r="B1035" t="inlineStr">
        <is>
          <t>MXXXIV</t>
        </is>
      </c>
      <c r="C1035">
        <f>ROMAN(1034)</f>
        <v/>
      </c>
      <c r="D1035">
        <f>IF(B1035=C1035, "YES", "WRONG")</f>
        <v/>
      </c>
    </row>
    <row r="1036">
      <c r="A1036" t="n">
        <v>1035</v>
      </c>
      <c r="B1036" t="inlineStr">
        <is>
          <t>MXXXV</t>
        </is>
      </c>
      <c r="C1036">
        <f>ROMAN(1035)</f>
        <v/>
      </c>
      <c r="D1036">
        <f>IF(B1036=C1036, "YES", "WRONG")</f>
        <v/>
      </c>
    </row>
    <row r="1037">
      <c r="A1037" t="n">
        <v>1036</v>
      </c>
      <c r="B1037" t="inlineStr">
        <is>
          <t>MXXXVI</t>
        </is>
      </c>
      <c r="C1037">
        <f>ROMAN(1036)</f>
        <v/>
      </c>
      <c r="D1037">
        <f>IF(B1037=C1037, "YES", "WRONG")</f>
        <v/>
      </c>
    </row>
    <row r="1038">
      <c r="A1038" t="n">
        <v>1037</v>
      </c>
      <c r="B1038" t="inlineStr">
        <is>
          <t>MXXXVII</t>
        </is>
      </c>
      <c r="C1038">
        <f>ROMAN(1037)</f>
        <v/>
      </c>
      <c r="D1038">
        <f>IF(B1038=C1038, "YES", "WRONG")</f>
        <v/>
      </c>
    </row>
    <row r="1039">
      <c r="A1039" t="n">
        <v>1038</v>
      </c>
      <c r="B1039" t="inlineStr">
        <is>
          <t>MXXXVIII</t>
        </is>
      </c>
      <c r="C1039">
        <f>ROMAN(1038)</f>
        <v/>
      </c>
      <c r="D1039">
        <f>IF(B1039=C1039, "YES", "WRONG")</f>
        <v/>
      </c>
    </row>
    <row r="1040">
      <c r="A1040" t="n">
        <v>1039</v>
      </c>
      <c r="B1040" t="inlineStr">
        <is>
          <t>MXXXIX</t>
        </is>
      </c>
      <c r="C1040">
        <f>ROMAN(1039)</f>
        <v/>
      </c>
      <c r="D1040">
        <f>IF(B1040=C1040, "YES", "WRONG")</f>
        <v/>
      </c>
    </row>
    <row r="1041">
      <c r="A1041" t="n">
        <v>1040</v>
      </c>
      <c r="B1041" t="inlineStr">
        <is>
          <t>MXL</t>
        </is>
      </c>
      <c r="C1041">
        <f>ROMAN(1040)</f>
        <v/>
      </c>
      <c r="D1041">
        <f>IF(B1041=C1041, "YES", "WRONG")</f>
        <v/>
      </c>
    </row>
    <row r="1042">
      <c r="A1042" t="n">
        <v>1041</v>
      </c>
      <c r="B1042" t="inlineStr">
        <is>
          <t>MXLI</t>
        </is>
      </c>
      <c r="C1042">
        <f>ROMAN(1041)</f>
        <v/>
      </c>
      <c r="D1042">
        <f>IF(B1042=C1042, "YES", "WRONG")</f>
        <v/>
      </c>
    </row>
    <row r="1043">
      <c r="A1043" t="n">
        <v>1042</v>
      </c>
      <c r="B1043" t="inlineStr">
        <is>
          <t>MXLII</t>
        </is>
      </c>
      <c r="C1043">
        <f>ROMAN(1042)</f>
        <v/>
      </c>
      <c r="D1043">
        <f>IF(B1043=C1043, "YES", "WRONG")</f>
        <v/>
      </c>
    </row>
    <row r="1044">
      <c r="A1044" t="n">
        <v>1043</v>
      </c>
      <c r="B1044" t="inlineStr">
        <is>
          <t>MXLIII</t>
        </is>
      </c>
      <c r="C1044">
        <f>ROMAN(1043)</f>
        <v/>
      </c>
      <c r="D1044">
        <f>IF(B1044=C1044, "YES", "WRONG")</f>
        <v/>
      </c>
    </row>
    <row r="1045">
      <c r="A1045" t="n">
        <v>1044</v>
      </c>
      <c r="B1045" t="inlineStr">
        <is>
          <t>MXLIV</t>
        </is>
      </c>
      <c r="C1045">
        <f>ROMAN(1044)</f>
        <v/>
      </c>
      <c r="D1045">
        <f>IF(B1045=C1045, "YES", "WRONG")</f>
        <v/>
      </c>
    </row>
    <row r="1046">
      <c r="A1046" t="n">
        <v>1045</v>
      </c>
      <c r="B1046" t="inlineStr">
        <is>
          <t>MXLV</t>
        </is>
      </c>
      <c r="C1046">
        <f>ROMAN(1045)</f>
        <v/>
      </c>
      <c r="D1046">
        <f>IF(B1046=C1046, "YES", "WRONG")</f>
        <v/>
      </c>
    </row>
    <row r="1047">
      <c r="A1047" t="n">
        <v>1046</v>
      </c>
      <c r="B1047" t="inlineStr">
        <is>
          <t>MXLVI</t>
        </is>
      </c>
      <c r="C1047">
        <f>ROMAN(1046)</f>
        <v/>
      </c>
      <c r="D1047">
        <f>IF(B1047=C1047, "YES", "WRONG")</f>
        <v/>
      </c>
    </row>
    <row r="1048">
      <c r="A1048" t="n">
        <v>1047</v>
      </c>
      <c r="B1048" t="inlineStr">
        <is>
          <t>MXLVII</t>
        </is>
      </c>
      <c r="C1048">
        <f>ROMAN(1047)</f>
        <v/>
      </c>
      <c r="D1048">
        <f>IF(B1048=C1048, "YES", "WRONG")</f>
        <v/>
      </c>
    </row>
    <row r="1049">
      <c r="A1049" t="n">
        <v>1048</v>
      </c>
      <c r="B1049" t="inlineStr">
        <is>
          <t>MXLVIII</t>
        </is>
      </c>
      <c r="C1049">
        <f>ROMAN(1048)</f>
        <v/>
      </c>
      <c r="D1049">
        <f>IF(B1049=C1049, "YES", "WRONG")</f>
        <v/>
      </c>
    </row>
    <row r="1050">
      <c r="A1050" t="n">
        <v>1049</v>
      </c>
      <c r="B1050" t="inlineStr">
        <is>
          <t>MXLIX</t>
        </is>
      </c>
      <c r="C1050">
        <f>ROMAN(1049)</f>
        <v/>
      </c>
      <c r="D1050">
        <f>IF(B1050=C1050, "YES", "WRONG")</f>
        <v/>
      </c>
    </row>
    <row r="1051">
      <c r="A1051" t="n">
        <v>1050</v>
      </c>
      <c r="B1051" t="inlineStr">
        <is>
          <t>ML</t>
        </is>
      </c>
      <c r="C1051">
        <f>ROMAN(1050)</f>
        <v/>
      </c>
      <c r="D1051">
        <f>IF(B1051=C1051, "YES", "WRONG")</f>
        <v/>
      </c>
    </row>
    <row r="1052">
      <c r="A1052" t="n">
        <v>1051</v>
      </c>
      <c r="B1052" t="inlineStr">
        <is>
          <t>MLI</t>
        </is>
      </c>
      <c r="C1052">
        <f>ROMAN(1051)</f>
        <v/>
      </c>
      <c r="D1052">
        <f>IF(B1052=C1052, "YES", "WRONG")</f>
        <v/>
      </c>
    </row>
    <row r="1053">
      <c r="A1053" t="n">
        <v>1052</v>
      </c>
      <c r="B1053" t="inlineStr">
        <is>
          <t>MLII</t>
        </is>
      </c>
      <c r="C1053">
        <f>ROMAN(1052)</f>
        <v/>
      </c>
      <c r="D1053">
        <f>IF(B1053=C1053, "YES", "WRONG")</f>
        <v/>
      </c>
    </row>
    <row r="1054">
      <c r="A1054" t="n">
        <v>1053</v>
      </c>
      <c r="B1054" t="inlineStr">
        <is>
          <t>MLIII</t>
        </is>
      </c>
      <c r="C1054">
        <f>ROMAN(1053)</f>
        <v/>
      </c>
      <c r="D1054">
        <f>IF(B1054=C1054, "YES", "WRONG")</f>
        <v/>
      </c>
    </row>
    <row r="1055">
      <c r="A1055" t="n">
        <v>1054</v>
      </c>
      <c r="B1055" t="inlineStr">
        <is>
          <t>MLIV</t>
        </is>
      </c>
      <c r="C1055">
        <f>ROMAN(1054)</f>
        <v/>
      </c>
      <c r="D1055">
        <f>IF(B1055=C1055, "YES", "WRONG")</f>
        <v/>
      </c>
    </row>
    <row r="1056">
      <c r="A1056" t="n">
        <v>1055</v>
      </c>
      <c r="B1056" t="inlineStr">
        <is>
          <t>MLV</t>
        </is>
      </c>
      <c r="C1056">
        <f>ROMAN(1055)</f>
        <v/>
      </c>
      <c r="D1056">
        <f>IF(B1056=C1056, "YES", "WRONG")</f>
        <v/>
      </c>
    </row>
    <row r="1057">
      <c r="A1057" t="n">
        <v>1056</v>
      </c>
      <c r="B1057" t="inlineStr">
        <is>
          <t>MLVI</t>
        </is>
      </c>
      <c r="C1057">
        <f>ROMAN(1056)</f>
        <v/>
      </c>
      <c r="D1057">
        <f>IF(B1057=C1057, "YES", "WRONG")</f>
        <v/>
      </c>
    </row>
    <row r="1058">
      <c r="A1058" t="n">
        <v>1057</v>
      </c>
      <c r="B1058" t="inlineStr">
        <is>
          <t>MLVII</t>
        </is>
      </c>
      <c r="C1058">
        <f>ROMAN(1057)</f>
        <v/>
      </c>
      <c r="D1058">
        <f>IF(B1058=C1058, "YES", "WRONG")</f>
        <v/>
      </c>
    </row>
    <row r="1059">
      <c r="A1059" t="n">
        <v>1058</v>
      </c>
      <c r="B1059" t="inlineStr">
        <is>
          <t>MLVIII</t>
        </is>
      </c>
      <c r="C1059">
        <f>ROMAN(1058)</f>
        <v/>
      </c>
      <c r="D1059">
        <f>IF(B1059=C1059, "YES", "WRONG")</f>
        <v/>
      </c>
    </row>
    <row r="1060">
      <c r="A1060" t="n">
        <v>1059</v>
      </c>
      <c r="B1060" t="inlineStr">
        <is>
          <t>MLIX</t>
        </is>
      </c>
      <c r="C1060">
        <f>ROMAN(1059)</f>
        <v/>
      </c>
      <c r="D1060">
        <f>IF(B1060=C1060, "YES", "WRONG")</f>
        <v/>
      </c>
    </row>
    <row r="1061">
      <c r="A1061" t="n">
        <v>1060</v>
      </c>
      <c r="B1061" t="inlineStr">
        <is>
          <t>MLX</t>
        </is>
      </c>
      <c r="C1061">
        <f>ROMAN(1060)</f>
        <v/>
      </c>
      <c r="D1061">
        <f>IF(B1061=C1061, "YES", "WRONG")</f>
        <v/>
      </c>
    </row>
    <row r="1062">
      <c r="A1062" t="n">
        <v>1061</v>
      </c>
      <c r="B1062" t="inlineStr">
        <is>
          <t>MLXI</t>
        </is>
      </c>
      <c r="C1062">
        <f>ROMAN(1061)</f>
        <v/>
      </c>
      <c r="D1062">
        <f>IF(B1062=C1062, "YES", "WRONG")</f>
        <v/>
      </c>
    </row>
    <row r="1063">
      <c r="A1063" t="n">
        <v>1062</v>
      </c>
      <c r="B1063" t="inlineStr">
        <is>
          <t>MLXII</t>
        </is>
      </c>
      <c r="C1063">
        <f>ROMAN(1062)</f>
        <v/>
      </c>
      <c r="D1063">
        <f>IF(B1063=C1063, "YES", "WRONG")</f>
        <v/>
      </c>
    </row>
    <row r="1064">
      <c r="A1064" t="n">
        <v>1063</v>
      </c>
      <c r="B1064" t="inlineStr">
        <is>
          <t>MLXIII</t>
        </is>
      </c>
      <c r="C1064">
        <f>ROMAN(1063)</f>
        <v/>
      </c>
      <c r="D1064">
        <f>IF(B1064=C1064, "YES", "WRONG")</f>
        <v/>
      </c>
    </row>
    <row r="1065">
      <c r="A1065" t="n">
        <v>1064</v>
      </c>
      <c r="B1065" t="inlineStr">
        <is>
          <t>MLXIV</t>
        </is>
      </c>
      <c r="C1065">
        <f>ROMAN(1064)</f>
        <v/>
      </c>
      <c r="D1065">
        <f>IF(B1065=C1065, "YES", "WRONG")</f>
        <v/>
      </c>
    </row>
    <row r="1066">
      <c r="A1066" t="n">
        <v>1065</v>
      </c>
      <c r="B1066" t="inlineStr">
        <is>
          <t>MLXV</t>
        </is>
      </c>
      <c r="C1066">
        <f>ROMAN(1065)</f>
        <v/>
      </c>
      <c r="D1066">
        <f>IF(B1066=C1066, "YES", "WRONG")</f>
        <v/>
      </c>
    </row>
    <row r="1067">
      <c r="A1067" t="n">
        <v>1066</v>
      </c>
      <c r="B1067" t="inlineStr">
        <is>
          <t>MLXVI</t>
        </is>
      </c>
      <c r="C1067">
        <f>ROMAN(1066)</f>
        <v/>
      </c>
      <c r="D1067">
        <f>IF(B1067=C1067, "YES", "WRONG")</f>
        <v/>
      </c>
    </row>
    <row r="1068">
      <c r="A1068" t="n">
        <v>1067</v>
      </c>
      <c r="B1068" t="inlineStr">
        <is>
          <t>MLXVII</t>
        </is>
      </c>
      <c r="C1068">
        <f>ROMAN(1067)</f>
        <v/>
      </c>
      <c r="D1068">
        <f>IF(B1068=C1068, "YES", "WRONG")</f>
        <v/>
      </c>
    </row>
    <row r="1069">
      <c r="A1069" t="n">
        <v>1068</v>
      </c>
      <c r="B1069" t="inlineStr">
        <is>
          <t>MLXVIII</t>
        </is>
      </c>
      <c r="C1069">
        <f>ROMAN(1068)</f>
        <v/>
      </c>
      <c r="D1069">
        <f>IF(B1069=C1069, "YES", "WRONG")</f>
        <v/>
      </c>
    </row>
    <row r="1070">
      <c r="A1070" t="n">
        <v>1069</v>
      </c>
      <c r="B1070" t="inlineStr">
        <is>
          <t>MLXIX</t>
        </is>
      </c>
      <c r="C1070">
        <f>ROMAN(1069)</f>
        <v/>
      </c>
      <c r="D1070">
        <f>IF(B1070=C1070, "YES", "WRONG")</f>
        <v/>
      </c>
    </row>
    <row r="1071">
      <c r="A1071" t="n">
        <v>1070</v>
      </c>
      <c r="B1071" t="inlineStr">
        <is>
          <t>MLXX</t>
        </is>
      </c>
      <c r="C1071">
        <f>ROMAN(1070)</f>
        <v/>
      </c>
      <c r="D1071">
        <f>IF(B1071=C1071, "YES", "WRONG")</f>
        <v/>
      </c>
    </row>
    <row r="1072">
      <c r="A1072" t="n">
        <v>1071</v>
      </c>
      <c r="B1072" t="inlineStr">
        <is>
          <t>MLXXI</t>
        </is>
      </c>
      <c r="C1072">
        <f>ROMAN(1071)</f>
        <v/>
      </c>
      <c r="D1072">
        <f>IF(B1072=C1072, "YES", "WRONG")</f>
        <v/>
      </c>
    </row>
    <row r="1073">
      <c r="A1073" t="n">
        <v>1072</v>
      </c>
      <c r="B1073" t="inlineStr">
        <is>
          <t>MLXXII</t>
        </is>
      </c>
      <c r="C1073">
        <f>ROMAN(1072)</f>
        <v/>
      </c>
      <c r="D1073">
        <f>IF(B1073=C1073, "YES", "WRONG")</f>
        <v/>
      </c>
    </row>
    <row r="1074">
      <c r="A1074" t="n">
        <v>1073</v>
      </c>
      <c r="B1074" t="inlineStr">
        <is>
          <t>MLXXIII</t>
        </is>
      </c>
      <c r="C1074">
        <f>ROMAN(1073)</f>
        <v/>
      </c>
      <c r="D1074">
        <f>IF(B1074=C1074, "YES", "WRONG")</f>
        <v/>
      </c>
    </row>
    <row r="1075">
      <c r="A1075" t="n">
        <v>1074</v>
      </c>
      <c r="B1075" t="inlineStr">
        <is>
          <t>MLXXIV</t>
        </is>
      </c>
      <c r="C1075">
        <f>ROMAN(1074)</f>
        <v/>
      </c>
      <c r="D1075">
        <f>IF(B1075=C1075, "YES", "WRONG")</f>
        <v/>
      </c>
    </row>
    <row r="1076">
      <c r="A1076" t="n">
        <v>1075</v>
      </c>
      <c r="B1076" t="inlineStr">
        <is>
          <t>MLXXV</t>
        </is>
      </c>
      <c r="C1076">
        <f>ROMAN(1075)</f>
        <v/>
      </c>
      <c r="D1076">
        <f>IF(B1076=C1076, "YES", "WRONG")</f>
        <v/>
      </c>
    </row>
    <row r="1077">
      <c r="A1077" t="n">
        <v>1076</v>
      </c>
      <c r="B1077" t="inlineStr">
        <is>
          <t>MLXXVI</t>
        </is>
      </c>
      <c r="C1077">
        <f>ROMAN(1076)</f>
        <v/>
      </c>
      <c r="D1077">
        <f>IF(B1077=C1077, "YES", "WRONG")</f>
        <v/>
      </c>
    </row>
    <row r="1078">
      <c r="A1078" t="n">
        <v>1077</v>
      </c>
      <c r="B1078" t="inlineStr">
        <is>
          <t>MLXXVII</t>
        </is>
      </c>
      <c r="C1078">
        <f>ROMAN(1077)</f>
        <v/>
      </c>
      <c r="D1078">
        <f>IF(B1078=C1078, "YES", "WRONG")</f>
        <v/>
      </c>
    </row>
    <row r="1079">
      <c r="A1079" t="n">
        <v>1078</v>
      </c>
      <c r="B1079" t="inlineStr">
        <is>
          <t>MLXXVIII</t>
        </is>
      </c>
      <c r="C1079">
        <f>ROMAN(1078)</f>
        <v/>
      </c>
      <c r="D1079">
        <f>IF(B1079=C1079, "YES", "WRONG")</f>
        <v/>
      </c>
    </row>
    <row r="1080">
      <c r="A1080" t="n">
        <v>1079</v>
      </c>
      <c r="B1080" t="inlineStr">
        <is>
          <t>MLXXIX</t>
        </is>
      </c>
      <c r="C1080">
        <f>ROMAN(1079)</f>
        <v/>
      </c>
      <c r="D1080">
        <f>IF(B1080=C1080, "YES", "WRONG")</f>
        <v/>
      </c>
    </row>
    <row r="1081">
      <c r="A1081" t="n">
        <v>1080</v>
      </c>
      <c r="B1081" t="inlineStr">
        <is>
          <t>MLXXX</t>
        </is>
      </c>
      <c r="C1081">
        <f>ROMAN(1080)</f>
        <v/>
      </c>
      <c r="D1081">
        <f>IF(B1081=C1081, "YES", "WRONG")</f>
        <v/>
      </c>
    </row>
    <row r="1082">
      <c r="A1082" t="n">
        <v>1081</v>
      </c>
      <c r="B1082" t="inlineStr">
        <is>
          <t>MLXXXI</t>
        </is>
      </c>
      <c r="C1082">
        <f>ROMAN(1081)</f>
        <v/>
      </c>
      <c r="D1082">
        <f>IF(B1082=C1082, "YES", "WRONG")</f>
        <v/>
      </c>
    </row>
    <row r="1083">
      <c r="A1083" t="n">
        <v>1082</v>
      </c>
      <c r="B1083" t="inlineStr">
        <is>
          <t>MLXXXII</t>
        </is>
      </c>
      <c r="C1083">
        <f>ROMAN(1082)</f>
        <v/>
      </c>
      <c r="D1083">
        <f>IF(B1083=C1083, "YES", "WRONG")</f>
        <v/>
      </c>
    </row>
    <row r="1084">
      <c r="A1084" t="n">
        <v>1083</v>
      </c>
      <c r="B1084" t="inlineStr">
        <is>
          <t>MLXXXIII</t>
        </is>
      </c>
      <c r="C1084">
        <f>ROMAN(1083)</f>
        <v/>
      </c>
      <c r="D1084">
        <f>IF(B1084=C1084, "YES", "WRONG")</f>
        <v/>
      </c>
    </row>
    <row r="1085">
      <c r="A1085" t="n">
        <v>1084</v>
      </c>
      <c r="B1085" t="inlineStr">
        <is>
          <t>MLXXXIV</t>
        </is>
      </c>
      <c r="C1085">
        <f>ROMAN(1084)</f>
        <v/>
      </c>
      <c r="D1085">
        <f>IF(B1085=C1085, "YES", "WRONG")</f>
        <v/>
      </c>
    </row>
    <row r="1086">
      <c r="A1086" t="n">
        <v>1085</v>
      </c>
      <c r="B1086" t="inlineStr">
        <is>
          <t>MLXXXV</t>
        </is>
      </c>
      <c r="C1086">
        <f>ROMAN(1085)</f>
        <v/>
      </c>
      <c r="D1086">
        <f>IF(B1086=C1086, "YES", "WRONG")</f>
        <v/>
      </c>
    </row>
    <row r="1087">
      <c r="A1087" t="n">
        <v>1086</v>
      </c>
      <c r="B1087" t="inlineStr">
        <is>
          <t>MLXXXVI</t>
        </is>
      </c>
      <c r="C1087">
        <f>ROMAN(1086)</f>
        <v/>
      </c>
      <c r="D1087">
        <f>IF(B1087=C1087, "YES", "WRONG")</f>
        <v/>
      </c>
    </row>
    <row r="1088">
      <c r="A1088" t="n">
        <v>1087</v>
      </c>
      <c r="B1088" t="inlineStr">
        <is>
          <t>MLXXXVII</t>
        </is>
      </c>
      <c r="C1088">
        <f>ROMAN(1087)</f>
        <v/>
      </c>
      <c r="D1088">
        <f>IF(B1088=C1088, "YES", "WRONG")</f>
        <v/>
      </c>
    </row>
    <row r="1089">
      <c r="A1089" t="n">
        <v>1088</v>
      </c>
      <c r="B1089" t="inlineStr">
        <is>
          <t>MLXXXVIII</t>
        </is>
      </c>
      <c r="C1089">
        <f>ROMAN(1088)</f>
        <v/>
      </c>
      <c r="D1089">
        <f>IF(B1089=C1089, "YES", "WRONG")</f>
        <v/>
      </c>
    </row>
    <row r="1090">
      <c r="A1090" t="n">
        <v>1089</v>
      </c>
      <c r="B1090" t="inlineStr">
        <is>
          <t>MLXXXIX</t>
        </is>
      </c>
      <c r="C1090">
        <f>ROMAN(1089)</f>
        <v/>
      </c>
      <c r="D1090">
        <f>IF(B1090=C1090, "YES", "WRONG")</f>
        <v/>
      </c>
    </row>
    <row r="1091">
      <c r="A1091" t="n">
        <v>1090</v>
      </c>
      <c r="B1091" t="inlineStr">
        <is>
          <t>MXC</t>
        </is>
      </c>
      <c r="C1091">
        <f>ROMAN(1090)</f>
        <v/>
      </c>
      <c r="D1091">
        <f>IF(B1091=C1091, "YES", "WRONG")</f>
        <v/>
      </c>
    </row>
    <row r="1092">
      <c r="A1092" t="n">
        <v>1091</v>
      </c>
      <c r="B1092" t="inlineStr">
        <is>
          <t>MXCI</t>
        </is>
      </c>
      <c r="C1092">
        <f>ROMAN(1091)</f>
        <v/>
      </c>
      <c r="D1092">
        <f>IF(B1092=C1092, "YES", "WRONG")</f>
        <v/>
      </c>
    </row>
    <row r="1093">
      <c r="A1093" t="n">
        <v>1092</v>
      </c>
      <c r="B1093" t="inlineStr">
        <is>
          <t>MXCII</t>
        </is>
      </c>
      <c r="C1093">
        <f>ROMAN(1092)</f>
        <v/>
      </c>
      <c r="D1093">
        <f>IF(B1093=C1093, "YES", "WRONG")</f>
        <v/>
      </c>
    </row>
    <row r="1094">
      <c r="A1094" t="n">
        <v>1093</v>
      </c>
      <c r="B1094" t="inlineStr">
        <is>
          <t>MXCIII</t>
        </is>
      </c>
      <c r="C1094">
        <f>ROMAN(1093)</f>
        <v/>
      </c>
      <c r="D1094">
        <f>IF(B1094=C1094, "YES", "WRONG")</f>
        <v/>
      </c>
    </row>
    <row r="1095">
      <c r="A1095" t="n">
        <v>1094</v>
      </c>
      <c r="B1095" t="inlineStr">
        <is>
          <t>MXCIV</t>
        </is>
      </c>
      <c r="C1095">
        <f>ROMAN(1094)</f>
        <v/>
      </c>
      <c r="D1095">
        <f>IF(B1095=C1095, "YES", "WRONG")</f>
        <v/>
      </c>
    </row>
    <row r="1096">
      <c r="A1096" t="n">
        <v>1095</v>
      </c>
      <c r="B1096" t="inlineStr">
        <is>
          <t>MXCV</t>
        </is>
      </c>
      <c r="C1096">
        <f>ROMAN(1095)</f>
        <v/>
      </c>
      <c r="D1096">
        <f>IF(B1096=C1096, "YES", "WRONG")</f>
        <v/>
      </c>
    </row>
    <row r="1097">
      <c r="A1097" t="n">
        <v>1096</v>
      </c>
      <c r="B1097" t="inlineStr">
        <is>
          <t>MXCVI</t>
        </is>
      </c>
      <c r="C1097">
        <f>ROMAN(1096)</f>
        <v/>
      </c>
      <c r="D1097">
        <f>IF(B1097=C1097, "YES", "WRONG")</f>
        <v/>
      </c>
    </row>
    <row r="1098">
      <c r="A1098" t="n">
        <v>1097</v>
      </c>
      <c r="B1098" t="inlineStr">
        <is>
          <t>MXCVII</t>
        </is>
      </c>
      <c r="C1098">
        <f>ROMAN(1097)</f>
        <v/>
      </c>
      <c r="D1098">
        <f>IF(B1098=C1098, "YES", "WRONG")</f>
        <v/>
      </c>
    </row>
    <row r="1099">
      <c r="A1099" t="n">
        <v>1098</v>
      </c>
      <c r="B1099" t="inlineStr">
        <is>
          <t>MXCVIII</t>
        </is>
      </c>
      <c r="C1099">
        <f>ROMAN(1098)</f>
        <v/>
      </c>
      <c r="D1099">
        <f>IF(B1099=C1099, "YES", "WRONG")</f>
        <v/>
      </c>
    </row>
    <row r="1100">
      <c r="A1100" t="n">
        <v>1099</v>
      </c>
      <c r="B1100" t="inlineStr">
        <is>
          <t>MXCIX</t>
        </is>
      </c>
      <c r="C1100">
        <f>ROMAN(1099)</f>
        <v/>
      </c>
      <c r="D1100">
        <f>IF(B1100=C1100, "YES", "WRONG")</f>
        <v/>
      </c>
    </row>
    <row r="1101">
      <c r="A1101" t="n">
        <v>1100</v>
      </c>
      <c r="B1101" t="inlineStr">
        <is>
          <t>MC</t>
        </is>
      </c>
      <c r="C1101">
        <f>ROMAN(1100)</f>
        <v/>
      </c>
      <c r="D1101">
        <f>IF(B1101=C1101, "YES", "WRONG")</f>
        <v/>
      </c>
    </row>
    <row r="1102">
      <c r="A1102" t="n">
        <v>1101</v>
      </c>
      <c r="B1102" t="inlineStr">
        <is>
          <t>MCI</t>
        </is>
      </c>
      <c r="C1102">
        <f>ROMAN(1101)</f>
        <v/>
      </c>
      <c r="D1102">
        <f>IF(B1102=C1102, "YES", "WRONG")</f>
        <v/>
      </c>
    </row>
    <row r="1103">
      <c r="A1103" t="n">
        <v>1102</v>
      </c>
      <c r="B1103" t="inlineStr">
        <is>
          <t>MCII</t>
        </is>
      </c>
      <c r="C1103">
        <f>ROMAN(1102)</f>
        <v/>
      </c>
      <c r="D1103">
        <f>IF(B1103=C1103, "YES", "WRONG")</f>
        <v/>
      </c>
    </row>
    <row r="1104">
      <c r="A1104" t="n">
        <v>1103</v>
      </c>
      <c r="B1104" t="inlineStr">
        <is>
          <t>MCIII</t>
        </is>
      </c>
      <c r="C1104">
        <f>ROMAN(1103)</f>
        <v/>
      </c>
      <c r="D1104">
        <f>IF(B1104=C1104, "YES", "WRONG")</f>
        <v/>
      </c>
    </row>
    <row r="1105">
      <c r="A1105" t="n">
        <v>1104</v>
      </c>
      <c r="B1105" t="inlineStr">
        <is>
          <t>MCIV</t>
        </is>
      </c>
      <c r="C1105">
        <f>ROMAN(1104)</f>
        <v/>
      </c>
      <c r="D1105">
        <f>IF(B1105=C1105, "YES", "WRONG")</f>
        <v/>
      </c>
    </row>
    <row r="1106">
      <c r="A1106" t="n">
        <v>1105</v>
      </c>
      <c r="B1106" t="inlineStr">
        <is>
          <t>MCV</t>
        </is>
      </c>
      <c r="C1106">
        <f>ROMAN(1105)</f>
        <v/>
      </c>
      <c r="D1106">
        <f>IF(B1106=C1106, "YES", "WRONG")</f>
        <v/>
      </c>
    </row>
    <row r="1107">
      <c r="A1107" t="n">
        <v>1106</v>
      </c>
      <c r="B1107" t="inlineStr">
        <is>
          <t>MCVI</t>
        </is>
      </c>
      <c r="C1107">
        <f>ROMAN(1106)</f>
        <v/>
      </c>
      <c r="D1107">
        <f>IF(B1107=C1107, "YES", "WRONG")</f>
        <v/>
      </c>
    </row>
    <row r="1108">
      <c r="A1108" t="n">
        <v>1107</v>
      </c>
      <c r="B1108" t="inlineStr">
        <is>
          <t>MCVII</t>
        </is>
      </c>
      <c r="C1108">
        <f>ROMAN(1107)</f>
        <v/>
      </c>
      <c r="D1108">
        <f>IF(B1108=C1108, "YES", "WRONG")</f>
        <v/>
      </c>
    </row>
    <row r="1109">
      <c r="A1109" t="n">
        <v>1108</v>
      </c>
      <c r="B1109" t="inlineStr">
        <is>
          <t>MCVIII</t>
        </is>
      </c>
      <c r="C1109">
        <f>ROMAN(1108)</f>
        <v/>
      </c>
      <c r="D1109">
        <f>IF(B1109=C1109, "YES", "WRONG")</f>
        <v/>
      </c>
    </row>
    <row r="1110">
      <c r="A1110" t="n">
        <v>1109</v>
      </c>
      <c r="B1110" t="inlineStr">
        <is>
          <t>MCIX</t>
        </is>
      </c>
      <c r="C1110">
        <f>ROMAN(1109)</f>
        <v/>
      </c>
      <c r="D1110">
        <f>IF(B1110=C1110, "YES", "WRONG")</f>
        <v/>
      </c>
    </row>
    <row r="1111">
      <c r="A1111" t="n">
        <v>1110</v>
      </c>
      <c r="B1111" t="inlineStr">
        <is>
          <t>MCX</t>
        </is>
      </c>
      <c r="C1111">
        <f>ROMAN(1110)</f>
        <v/>
      </c>
      <c r="D1111">
        <f>IF(B1111=C1111, "YES", "WRONG")</f>
        <v/>
      </c>
    </row>
    <row r="1112">
      <c r="A1112" t="n">
        <v>1111</v>
      </c>
      <c r="B1112" t="inlineStr">
        <is>
          <t>MCXI</t>
        </is>
      </c>
      <c r="C1112">
        <f>ROMAN(1111)</f>
        <v/>
      </c>
      <c r="D1112">
        <f>IF(B1112=C1112, "YES", "WRONG")</f>
        <v/>
      </c>
    </row>
    <row r="1113">
      <c r="A1113" t="n">
        <v>1112</v>
      </c>
      <c r="B1113" t="inlineStr">
        <is>
          <t>MCXII</t>
        </is>
      </c>
      <c r="C1113">
        <f>ROMAN(1112)</f>
        <v/>
      </c>
      <c r="D1113">
        <f>IF(B1113=C1113, "YES", "WRONG")</f>
        <v/>
      </c>
    </row>
    <row r="1114">
      <c r="A1114" t="n">
        <v>1113</v>
      </c>
      <c r="B1114" t="inlineStr">
        <is>
          <t>MCXIII</t>
        </is>
      </c>
      <c r="C1114">
        <f>ROMAN(1113)</f>
        <v/>
      </c>
      <c r="D1114">
        <f>IF(B1114=C1114, "YES", "WRONG")</f>
        <v/>
      </c>
    </row>
    <row r="1115">
      <c r="A1115" t="n">
        <v>1114</v>
      </c>
      <c r="B1115" t="inlineStr">
        <is>
          <t>MCXIV</t>
        </is>
      </c>
      <c r="C1115">
        <f>ROMAN(1114)</f>
        <v/>
      </c>
      <c r="D1115">
        <f>IF(B1115=C1115, "YES", "WRONG")</f>
        <v/>
      </c>
    </row>
    <row r="1116">
      <c r="A1116" t="n">
        <v>1115</v>
      </c>
      <c r="B1116" t="inlineStr">
        <is>
          <t>MCXV</t>
        </is>
      </c>
      <c r="C1116">
        <f>ROMAN(1115)</f>
        <v/>
      </c>
      <c r="D1116">
        <f>IF(B1116=C1116, "YES", "WRONG")</f>
        <v/>
      </c>
    </row>
    <row r="1117">
      <c r="A1117" t="n">
        <v>1116</v>
      </c>
      <c r="B1117" t="inlineStr">
        <is>
          <t>MCXVI</t>
        </is>
      </c>
      <c r="C1117">
        <f>ROMAN(1116)</f>
        <v/>
      </c>
      <c r="D1117">
        <f>IF(B1117=C1117, "YES", "WRONG")</f>
        <v/>
      </c>
    </row>
    <row r="1118">
      <c r="A1118" t="n">
        <v>1117</v>
      </c>
      <c r="B1118" t="inlineStr">
        <is>
          <t>MCXVII</t>
        </is>
      </c>
      <c r="C1118">
        <f>ROMAN(1117)</f>
        <v/>
      </c>
      <c r="D1118">
        <f>IF(B1118=C1118, "YES", "WRONG")</f>
        <v/>
      </c>
    </row>
    <row r="1119">
      <c r="A1119" t="n">
        <v>1118</v>
      </c>
      <c r="B1119" t="inlineStr">
        <is>
          <t>MCXVIII</t>
        </is>
      </c>
      <c r="C1119">
        <f>ROMAN(1118)</f>
        <v/>
      </c>
      <c r="D1119">
        <f>IF(B1119=C1119, "YES", "WRONG")</f>
        <v/>
      </c>
    </row>
    <row r="1120">
      <c r="A1120" t="n">
        <v>1119</v>
      </c>
      <c r="B1120" t="inlineStr">
        <is>
          <t>MCXIX</t>
        </is>
      </c>
      <c r="C1120">
        <f>ROMAN(1119)</f>
        <v/>
      </c>
      <c r="D1120">
        <f>IF(B1120=C1120, "YES", "WRONG")</f>
        <v/>
      </c>
    </row>
    <row r="1121">
      <c r="A1121" t="n">
        <v>1120</v>
      </c>
      <c r="B1121" t="inlineStr">
        <is>
          <t>MCXX</t>
        </is>
      </c>
      <c r="C1121">
        <f>ROMAN(1120)</f>
        <v/>
      </c>
      <c r="D1121">
        <f>IF(B1121=C1121, "YES", "WRONG")</f>
        <v/>
      </c>
    </row>
    <row r="1122">
      <c r="A1122" t="n">
        <v>1121</v>
      </c>
      <c r="B1122" t="inlineStr">
        <is>
          <t>MCXXI</t>
        </is>
      </c>
      <c r="C1122">
        <f>ROMAN(1121)</f>
        <v/>
      </c>
      <c r="D1122">
        <f>IF(B1122=C1122, "YES", "WRONG")</f>
        <v/>
      </c>
    </row>
    <row r="1123">
      <c r="A1123" t="n">
        <v>1122</v>
      </c>
      <c r="B1123" t="inlineStr">
        <is>
          <t>MCXXII</t>
        </is>
      </c>
      <c r="C1123">
        <f>ROMAN(1122)</f>
        <v/>
      </c>
      <c r="D1123">
        <f>IF(B1123=C1123, "YES", "WRONG")</f>
        <v/>
      </c>
    </row>
    <row r="1124">
      <c r="A1124" t="n">
        <v>1123</v>
      </c>
      <c r="B1124" t="inlineStr">
        <is>
          <t>MCXXIII</t>
        </is>
      </c>
      <c r="C1124">
        <f>ROMAN(1123)</f>
        <v/>
      </c>
      <c r="D1124">
        <f>IF(B1124=C1124, "YES", "WRONG")</f>
        <v/>
      </c>
    </row>
    <row r="1125">
      <c r="A1125" t="n">
        <v>1124</v>
      </c>
      <c r="B1125" t="inlineStr">
        <is>
          <t>MCXXIV</t>
        </is>
      </c>
      <c r="C1125">
        <f>ROMAN(1124)</f>
        <v/>
      </c>
      <c r="D1125">
        <f>IF(B1125=C1125, "YES", "WRONG")</f>
        <v/>
      </c>
    </row>
    <row r="1126">
      <c r="A1126" t="n">
        <v>1125</v>
      </c>
      <c r="B1126" t="inlineStr">
        <is>
          <t>MCXXV</t>
        </is>
      </c>
      <c r="C1126">
        <f>ROMAN(1125)</f>
        <v/>
      </c>
      <c r="D1126">
        <f>IF(B1126=C1126, "YES", "WRONG")</f>
        <v/>
      </c>
    </row>
    <row r="1127">
      <c r="A1127" t="n">
        <v>1126</v>
      </c>
      <c r="B1127" t="inlineStr">
        <is>
          <t>MCXXVI</t>
        </is>
      </c>
      <c r="C1127">
        <f>ROMAN(1126)</f>
        <v/>
      </c>
      <c r="D1127">
        <f>IF(B1127=C1127, "YES", "WRONG")</f>
        <v/>
      </c>
    </row>
    <row r="1128">
      <c r="A1128" t="n">
        <v>1127</v>
      </c>
      <c r="B1128" t="inlineStr">
        <is>
          <t>MCXXVII</t>
        </is>
      </c>
      <c r="C1128">
        <f>ROMAN(1127)</f>
        <v/>
      </c>
      <c r="D1128">
        <f>IF(B1128=C1128, "YES", "WRONG")</f>
        <v/>
      </c>
    </row>
    <row r="1129">
      <c r="A1129" t="n">
        <v>1128</v>
      </c>
      <c r="B1129" t="inlineStr">
        <is>
          <t>MCXXVIII</t>
        </is>
      </c>
      <c r="C1129">
        <f>ROMAN(1128)</f>
        <v/>
      </c>
      <c r="D1129">
        <f>IF(B1129=C1129, "YES", "WRONG")</f>
        <v/>
      </c>
    </row>
    <row r="1130">
      <c r="A1130" t="n">
        <v>1129</v>
      </c>
      <c r="B1130" t="inlineStr">
        <is>
          <t>MCXXIX</t>
        </is>
      </c>
      <c r="C1130">
        <f>ROMAN(1129)</f>
        <v/>
      </c>
      <c r="D1130">
        <f>IF(B1130=C1130, "YES", "WRONG")</f>
        <v/>
      </c>
    </row>
    <row r="1131">
      <c r="A1131" t="n">
        <v>1130</v>
      </c>
      <c r="B1131" t="inlineStr">
        <is>
          <t>MCXXX</t>
        </is>
      </c>
      <c r="C1131">
        <f>ROMAN(1130)</f>
        <v/>
      </c>
      <c r="D1131">
        <f>IF(B1131=C1131, "YES", "WRONG")</f>
        <v/>
      </c>
    </row>
    <row r="1132">
      <c r="A1132" t="n">
        <v>1131</v>
      </c>
      <c r="B1132" t="inlineStr">
        <is>
          <t>MCXXXI</t>
        </is>
      </c>
      <c r="C1132">
        <f>ROMAN(1131)</f>
        <v/>
      </c>
      <c r="D1132">
        <f>IF(B1132=C1132, "YES", "WRONG")</f>
        <v/>
      </c>
    </row>
    <row r="1133">
      <c r="A1133" t="n">
        <v>1132</v>
      </c>
      <c r="B1133" t="inlineStr">
        <is>
          <t>MCXXXII</t>
        </is>
      </c>
      <c r="C1133">
        <f>ROMAN(1132)</f>
        <v/>
      </c>
      <c r="D1133">
        <f>IF(B1133=C1133, "YES", "WRONG")</f>
        <v/>
      </c>
    </row>
    <row r="1134">
      <c r="A1134" t="n">
        <v>1133</v>
      </c>
      <c r="B1134" t="inlineStr">
        <is>
          <t>MCXXXIII</t>
        </is>
      </c>
      <c r="C1134">
        <f>ROMAN(1133)</f>
        <v/>
      </c>
      <c r="D1134">
        <f>IF(B1134=C1134, "YES", "WRONG")</f>
        <v/>
      </c>
    </row>
    <row r="1135">
      <c r="A1135" t="n">
        <v>1134</v>
      </c>
      <c r="B1135" t="inlineStr">
        <is>
          <t>MCXXXIV</t>
        </is>
      </c>
      <c r="C1135">
        <f>ROMAN(1134)</f>
        <v/>
      </c>
      <c r="D1135">
        <f>IF(B1135=C1135, "YES", "WRONG")</f>
        <v/>
      </c>
    </row>
    <row r="1136">
      <c r="A1136" t="n">
        <v>1135</v>
      </c>
      <c r="B1136" t="inlineStr">
        <is>
          <t>MCXXXV</t>
        </is>
      </c>
      <c r="C1136">
        <f>ROMAN(1135)</f>
        <v/>
      </c>
      <c r="D1136">
        <f>IF(B1136=C1136, "YES", "WRONG")</f>
        <v/>
      </c>
    </row>
    <row r="1137">
      <c r="A1137" t="n">
        <v>1136</v>
      </c>
      <c r="B1137" t="inlineStr">
        <is>
          <t>MCXXXVI</t>
        </is>
      </c>
      <c r="C1137">
        <f>ROMAN(1136)</f>
        <v/>
      </c>
      <c r="D1137">
        <f>IF(B1137=C1137, "YES", "WRONG")</f>
        <v/>
      </c>
    </row>
    <row r="1138">
      <c r="A1138" t="n">
        <v>1137</v>
      </c>
      <c r="B1138" t="inlineStr">
        <is>
          <t>MCXXXVII</t>
        </is>
      </c>
      <c r="C1138">
        <f>ROMAN(1137)</f>
        <v/>
      </c>
      <c r="D1138">
        <f>IF(B1138=C1138, "YES", "WRONG")</f>
        <v/>
      </c>
    </row>
    <row r="1139">
      <c r="A1139" t="n">
        <v>1138</v>
      </c>
      <c r="B1139" t="inlineStr">
        <is>
          <t>MCXXXVIII</t>
        </is>
      </c>
      <c r="C1139">
        <f>ROMAN(1138)</f>
        <v/>
      </c>
      <c r="D1139">
        <f>IF(B1139=C1139, "YES", "WRONG")</f>
        <v/>
      </c>
    </row>
    <row r="1140">
      <c r="A1140" t="n">
        <v>1139</v>
      </c>
      <c r="B1140" t="inlineStr">
        <is>
          <t>MCXXXIX</t>
        </is>
      </c>
      <c r="C1140">
        <f>ROMAN(1139)</f>
        <v/>
      </c>
      <c r="D1140">
        <f>IF(B1140=C1140, "YES", "WRONG")</f>
        <v/>
      </c>
    </row>
    <row r="1141">
      <c r="A1141" t="n">
        <v>1140</v>
      </c>
      <c r="B1141" t="inlineStr">
        <is>
          <t>MCXL</t>
        </is>
      </c>
      <c r="C1141">
        <f>ROMAN(1140)</f>
        <v/>
      </c>
      <c r="D1141">
        <f>IF(B1141=C1141, "YES", "WRONG")</f>
        <v/>
      </c>
    </row>
    <row r="1142">
      <c r="A1142" t="n">
        <v>1141</v>
      </c>
      <c r="B1142" t="inlineStr">
        <is>
          <t>MCXLI</t>
        </is>
      </c>
      <c r="C1142">
        <f>ROMAN(1141)</f>
        <v/>
      </c>
      <c r="D1142">
        <f>IF(B1142=C1142, "YES", "WRONG")</f>
        <v/>
      </c>
    </row>
    <row r="1143">
      <c r="A1143" t="n">
        <v>1142</v>
      </c>
      <c r="B1143" t="inlineStr">
        <is>
          <t>MCXLII</t>
        </is>
      </c>
      <c r="C1143">
        <f>ROMAN(1142)</f>
        <v/>
      </c>
      <c r="D1143">
        <f>IF(B1143=C1143, "YES", "WRONG")</f>
        <v/>
      </c>
    </row>
    <row r="1144">
      <c r="A1144" t="n">
        <v>1143</v>
      </c>
      <c r="B1144" t="inlineStr">
        <is>
          <t>MCXLIII</t>
        </is>
      </c>
      <c r="C1144">
        <f>ROMAN(1143)</f>
        <v/>
      </c>
      <c r="D1144">
        <f>IF(B1144=C1144, "YES", "WRONG")</f>
        <v/>
      </c>
    </row>
    <row r="1145">
      <c r="A1145" t="n">
        <v>1144</v>
      </c>
      <c r="B1145" t="inlineStr">
        <is>
          <t>MCXLIV</t>
        </is>
      </c>
      <c r="C1145">
        <f>ROMAN(1144)</f>
        <v/>
      </c>
      <c r="D1145">
        <f>IF(B1145=C1145, "YES", "WRONG")</f>
        <v/>
      </c>
    </row>
    <row r="1146">
      <c r="A1146" t="n">
        <v>1145</v>
      </c>
      <c r="B1146" t="inlineStr">
        <is>
          <t>MCXLV</t>
        </is>
      </c>
      <c r="C1146">
        <f>ROMAN(1145)</f>
        <v/>
      </c>
      <c r="D1146">
        <f>IF(B1146=C1146, "YES", "WRONG")</f>
        <v/>
      </c>
    </row>
    <row r="1147">
      <c r="A1147" t="n">
        <v>1146</v>
      </c>
      <c r="B1147" t="inlineStr">
        <is>
          <t>MCXLVI</t>
        </is>
      </c>
      <c r="C1147">
        <f>ROMAN(1146)</f>
        <v/>
      </c>
      <c r="D1147">
        <f>IF(B1147=C1147, "YES", "WRONG")</f>
        <v/>
      </c>
    </row>
    <row r="1148">
      <c r="A1148" t="n">
        <v>1147</v>
      </c>
      <c r="B1148" t="inlineStr">
        <is>
          <t>MCXLVII</t>
        </is>
      </c>
      <c r="C1148">
        <f>ROMAN(1147)</f>
        <v/>
      </c>
      <c r="D1148">
        <f>IF(B1148=C1148, "YES", "WRONG")</f>
        <v/>
      </c>
    </row>
    <row r="1149">
      <c r="A1149" t="n">
        <v>1148</v>
      </c>
      <c r="B1149" t="inlineStr">
        <is>
          <t>MCXLVIII</t>
        </is>
      </c>
      <c r="C1149">
        <f>ROMAN(1148)</f>
        <v/>
      </c>
      <c r="D1149">
        <f>IF(B1149=C1149, "YES", "WRONG")</f>
        <v/>
      </c>
    </row>
    <row r="1150">
      <c r="A1150" t="n">
        <v>1149</v>
      </c>
      <c r="B1150" t="inlineStr">
        <is>
          <t>MCXLIX</t>
        </is>
      </c>
      <c r="C1150">
        <f>ROMAN(1149)</f>
        <v/>
      </c>
      <c r="D1150">
        <f>IF(B1150=C1150, "YES", "WRONG")</f>
        <v/>
      </c>
    </row>
    <row r="1151">
      <c r="A1151" t="n">
        <v>1150</v>
      </c>
      <c r="B1151" t="inlineStr">
        <is>
          <t>MCL</t>
        </is>
      </c>
      <c r="C1151">
        <f>ROMAN(1150)</f>
        <v/>
      </c>
      <c r="D1151">
        <f>IF(B1151=C1151, "YES", "WRONG")</f>
        <v/>
      </c>
    </row>
    <row r="1152">
      <c r="A1152" t="n">
        <v>1151</v>
      </c>
      <c r="B1152" t="inlineStr">
        <is>
          <t>MCLI</t>
        </is>
      </c>
      <c r="C1152">
        <f>ROMAN(1151)</f>
        <v/>
      </c>
      <c r="D1152">
        <f>IF(B1152=C1152, "YES", "WRONG")</f>
        <v/>
      </c>
    </row>
    <row r="1153">
      <c r="A1153" t="n">
        <v>1152</v>
      </c>
      <c r="B1153" t="inlineStr">
        <is>
          <t>MCLII</t>
        </is>
      </c>
      <c r="C1153">
        <f>ROMAN(1152)</f>
        <v/>
      </c>
      <c r="D1153">
        <f>IF(B1153=C1153, "YES", "WRONG")</f>
        <v/>
      </c>
    </row>
    <row r="1154">
      <c r="A1154" t="n">
        <v>1153</v>
      </c>
      <c r="B1154" t="inlineStr">
        <is>
          <t>MCLIII</t>
        </is>
      </c>
      <c r="C1154">
        <f>ROMAN(1153)</f>
        <v/>
      </c>
      <c r="D1154">
        <f>IF(B1154=C1154, "YES", "WRONG")</f>
        <v/>
      </c>
    </row>
    <row r="1155">
      <c r="A1155" t="n">
        <v>1154</v>
      </c>
      <c r="B1155" t="inlineStr">
        <is>
          <t>MCLIV</t>
        </is>
      </c>
      <c r="C1155">
        <f>ROMAN(1154)</f>
        <v/>
      </c>
      <c r="D1155">
        <f>IF(B1155=C1155, "YES", "WRONG")</f>
        <v/>
      </c>
    </row>
    <row r="1156">
      <c r="A1156" t="n">
        <v>1155</v>
      </c>
      <c r="B1156" t="inlineStr">
        <is>
          <t>MCLV</t>
        </is>
      </c>
      <c r="C1156">
        <f>ROMAN(1155)</f>
        <v/>
      </c>
      <c r="D1156">
        <f>IF(B1156=C1156, "YES", "WRONG")</f>
        <v/>
      </c>
    </row>
    <row r="1157">
      <c r="A1157" t="n">
        <v>1156</v>
      </c>
      <c r="B1157" t="inlineStr">
        <is>
          <t>MCLVI</t>
        </is>
      </c>
      <c r="C1157">
        <f>ROMAN(1156)</f>
        <v/>
      </c>
      <c r="D1157">
        <f>IF(B1157=C1157, "YES", "WRONG")</f>
        <v/>
      </c>
    </row>
    <row r="1158">
      <c r="A1158" t="n">
        <v>1157</v>
      </c>
      <c r="B1158" t="inlineStr">
        <is>
          <t>MCLVII</t>
        </is>
      </c>
      <c r="C1158">
        <f>ROMAN(1157)</f>
        <v/>
      </c>
      <c r="D1158">
        <f>IF(B1158=C1158, "YES", "WRONG")</f>
        <v/>
      </c>
    </row>
    <row r="1159">
      <c r="A1159" t="n">
        <v>1158</v>
      </c>
      <c r="B1159" t="inlineStr">
        <is>
          <t>MCLVIII</t>
        </is>
      </c>
      <c r="C1159">
        <f>ROMAN(1158)</f>
        <v/>
      </c>
      <c r="D1159">
        <f>IF(B1159=C1159, "YES", "WRONG")</f>
        <v/>
      </c>
    </row>
    <row r="1160">
      <c r="A1160" t="n">
        <v>1159</v>
      </c>
      <c r="B1160" t="inlineStr">
        <is>
          <t>MCLIX</t>
        </is>
      </c>
      <c r="C1160">
        <f>ROMAN(1159)</f>
        <v/>
      </c>
      <c r="D1160">
        <f>IF(B1160=C1160, "YES", "WRONG")</f>
        <v/>
      </c>
    </row>
    <row r="1161">
      <c r="A1161" t="n">
        <v>1160</v>
      </c>
      <c r="B1161" t="inlineStr">
        <is>
          <t>MCLX</t>
        </is>
      </c>
      <c r="C1161">
        <f>ROMAN(1160)</f>
        <v/>
      </c>
      <c r="D1161">
        <f>IF(B1161=C1161, "YES", "WRONG")</f>
        <v/>
      </c>
    </row>
    <row r="1162">
      <c r="A1162" t="n">
        <v>1161</v>
      </c>
      <c r="B1162" t="inlineStr">
        <is>
          <t>MCLXI</t>
        </is>
      </c>
      <c r="C1162">
        <f>ROMAN(1161)</f>
        <v/>
      </c>
      <c r="D1162">
        <f>IF(B1162=C1162, "YES", "WRONG")</f>
        <v/>
      </c>
    </row>
    <row r="1163">
      <c r="A1163" t="n">
        <v>1162</v>
      </c>
      <c r="B1163" t="inlineStr">
        <is>
          <t>MCLXII</t>
        </is>
      </c>
      <c r="C1163">
        <f>ROMAN(1162)</f>
        <v/>
      </c>
      <c r="D1163">
        <f>IF(B1163=C1163, "YES", "WRONG")</f>
        <v/>
      </c>
    </row>
    <row r="1164">
      <c r="A1164" t="n">
        <v>1163</v>
      </c>
      <c r="B1164" t="inlineStr">
        <is>
          <t>MCLXIII</t>
        </is>
      </c>
      <c r="C1164">
        <f>ROMAN(1163)</f>
        <v/>
      </c>
      <c r="D1164">
        <f>IF(B1164=C1164, "YES", "WRONG")</f>
        <v/>
      </c>
    </row>
    <row r="1165">
      <c r="A1165" t="n">
        <v>1164</v>
      </c>
      <c r="B1165" t="inlineStr">
        <is>
          <t>MCLXIV</t>
        </is>
      </c>
      <c r="C1165">
        <f>ROMAN(1164)</f>
        <v/>
      </c>
      <c r="D1165">
        <f>IF(B1165=C1165, "YES", "WRONG")</f>
        <v/>
      </c>
    </row>
    <row r="1166">
      <c r="A1166" t="n">
        <v>1165</v>
      </c>
      <c r="B1166" t="inlineStr">
        <is>
          <t>MCLXV</t>
        </is>
      </c>
      <c r="C1166">
        <f>ROMAN(1165)</f>
        <v/>
      </c>
      <c r="D1166">
        <f>IF(B1166=C1166, "YES", "WRONG")</f>
        <v/>
      </c>
    </row>
    <row r="1167">
      <c r="A1167" t="n">
        <v>1166</v>
      </c>
      <c r="B1167" t="inlineStr">
        <is>
          <t>MCLXVI</t>
        </is>
      </c>
      <c r="C1167">
        <f>ROMAN(1166)</f>
        <v/>
      </c>
      <c r="D1167">
        <f>IF(B1167=C1167, "YES", "WRONG")</f>
        <v/>
      </c>
    </row>
    <row r="1168">
      <c r="A1168" t="n">
        <v>1167</v>
      </c>
      <c r="B1168" t="inlineStr">
        <is>
          <t>MCLXVII</t>
        </is>
      </c>
      <c r="C1168">
        <f>ROMAN(1167)</f>
        <v/>
      </c>
      <c r="D1168">
        <f>IF(B1168=C1168, "YES", "WRONG")</f>
        <v/>
      </c>
    </row>
    <row r="1169">
      <c r="A1169" t="n">
        <v>1168</v>
      </c>
      <c r="B1169" t="inlineStr">
        <is>
          <t>MCLXVIII</t>
        </is>
      </c>
      <c r="C1169">
        <f>ROMAN(1168)</f>
        <v/>
      </c>
      <c r="D1169">
        <f>IF(B1169=C1169, "YES", "WRONG")</f>
        <v/>
      </c>
    </row>
    <row r="1170">
      <c r="A1170" t="n">
        <v>1169</v>
      </c>
      <c r="B1170" t="inlineStr">
        <is>
          <t>MCLXIX</t>
        </is>
      </c>
      <c r="C1170">
        <f>ROMAN(1169)</f>
        <v/>
      </c>
      <c r="D1170">
        <f>IF(B1170=C1170, "YES", "WRONG")</f>
        <v/>
      </c>
    </row>
    <row r="1171">
      <c r="A1171" t="n">
        <v>1170</v>
      </c>
      <c r="B1171" t="inlineStr">
        <is>
          <t>MCLXX</t>
        </is>
      </c>
      <c r="C1171">
        <f>ROMAN(1170)</f>
        <v/>
      </c>
      <c r="D1171">
        <f>IF(B1171=C1171, "YES", "WRONG")</f>
        <v/>
      </c>
    </row>
    <row r="1172">
      <c r="A1172" t="n">
        <v>1171</v>
      </c>
      <c r="B1172" t="inlineStr">
        <is>
          <t>MCLXXI</t>
        </is>
      </c>
      <c r="C1172">
        <f>ROMAN(1171)</f>
        <v/>
      </c>
      <c r="D1172">
        <f>IF(B1172=C1172, "YES", "WRONG")</f>
        <v/>
      </c>
    </row>
    <row r="1173">
      <c r="A1173" t="n">
        <v>1172</v>
      </c>
      <c r="B1173" t="inlineStr">
        <is>
          <t>MCLXXII</t>
        </is>
      </c>
      <c r="C1173">
        <f>ROMAN(1172)</f>
        <v/>
      </c>
      <c r="D1173">
        <f>IF(B1173=C1173, "YES", "WRONG")</f>
        <v/>
      </c>
    </row>
    <row r="1174">
      <c r="A1174" t="n">
        <v>1173</v>
      </c>
      <c r="B1174" t="inlineStr">
        <is>
          <t>MCLXXIII</t>
        </is>
      </c>
      <c r="C1174">
        <f>ROMAN(1173)</f>
        <v/>
      </c>
      <c r="D1174">
        <f>IF(B1174=C1174, "YES", "WRONG")</f>
        <v/>
      </c>
    </row>
    <row r="1175">
      <c r="A1175" t="n">
        <v>1174</v>
      </c>
      <c r="B1175" t="inlineStr">
        <is>
          <t>MCLXXIV</t>
        </is>
      </c>
      <c r="C1175">
        <f>ROMAN(1174)</f>
        <v/>
      </c>
      <c r="D1175">
        <f>IF(B1175=C1175, "YES", "WRONG")</f>
        <v/>
      </c>
    </row>
    <row r="1176">
      <c r="A1176" t="n">
        <v>1175</v>
      </c>
      <c r="B1176" t="inlineStr">
        <is>
          <t>MCLXXV</t>
        </is>
      </c>
      <c r="C1176">
        <f>ROMAN(1175)</f>
        <v/>
      </c>
      <c r="D1176">
        <f>IF(B1176=C1176, "YES", "WRONG")</f>
        <v/>
      </c>
    </row>
    <row r="1177">
      <c r="A1177" t="n">
        <v>1176</v>
      </c>
      <c r="B1177" t="inlineStr">
        <is>
          <t>MCLXXVI</t>
        </is>
      </c>
      <c r="C1177">
        <f>ROMAN(1176)</f>
        <v/>
      </c>
      <c r="D1177">
        <f>IF(B1177=C1177, "YES", "WRONG")</f>
        <v/>
      </c>
    </row>
    <row r="1178">
      <c r="A1178" t="n">
        <v>1177</v>
      </c>
      <c r="B1178" t="inlineStr">
        <is>
          <t>MCLXXVII</t>
        </is>
      </c>
      <c r="C1178">
        <f>ROMAN(1177)</f>
        <v/>
      </c>
      <c r="D1178">
        <f>IF(B1178=C1178, "YES", "WRONG")</f>
        <v/>
      </c>
    </row>
    <row r="1179">
      <c r="A1179" t="n">
        <v>1178</v>
      </c>
      <c r="B1179" t="inlineStr">
        <is>
          <t>MCLXXVIII</t>
        </is>
      </c>
      <c r="C1179">
        <f>ROMAN(1178)</f>
        <v/>
      </c>
      <c r="D1179">
        <f>IF(B1179=C1179, "YES", "WRONG")</f>
        <v/>
      </c>
    </row>
    <row r="1180">
      <c r="A1180" t="n">
        <v>1179</v>
      </c>
      <c r="B1180" t="inlineStr">
        <is>
          <t>MCLXXIX</t>
        </is>
      </c>
      <c r="C1180">
        <f>ROMAN(1179)</f>
        <v/>
      </c>
      <c r="D1180">
        <f>IF(B1180=C1180, "YES", "WRONG")</f>
        <v/>
      </c>
    </row>
    <row r="1181">
      <c r="A1181" t="n">
        <v>1180</v>
      </c>
      <c r="B1181" t="inlineStr">
        <is>
          <t>MCLXXX</t>
        </is>
      </c>
      <c r="C1181">
        <f>ROMAN(1180)</f>
        <v/>
      </c>
      <c r="D1181">
        <f>IF(B1181=C1181, "YES", "WRONG")</f>
        <v/>
      </c>
    </row>
    <row r="1182">
      <c r="A1182" t="n">
        <v>1181</v>
      </c>
      <c r="B1182" t="inlineStr">
        <is>
          <t>MCLXXXI</t>
        </is>
      </c>
      <c r="C1182">
        <f>ROMAN(1181)</f>
        <v/>
      </c>
      <c r="D1182">
        <f>IF(B1182=C1182, "YES", "WRONG")</f>
        <v/>
      </c>
    </row>
    <row r="1183">
      <c r="A1183" t="n">
        <v>1182</v>
      </c>
      <c r="B1183" t="inlineStr">
        <is>
          <t>MCLXXXII</t>
        </is>
      </c>
      <c r="C1183">
        <f>ROMAN(1182)</f>
        <v/>
      </c>
      <c r="D1183">
        <f>IF(B1183=C1183, "YES", "WRONG")</f>
        <v/>
      </c>
    </row>
    <row r="1184">
      <c r="A1184" t="n">
        <v>1183</v>
      </c>
      <c r="B1184" t="inlineStr">
        <is>
          <t>MCLXXXIII</t>
        </is>
      </c>
      <c r="C1184">
        <f>ROMAN(1183)</f>
        <v/>
      </c>
      <c r="D1184">
        <f>IF(B1184=C1184, "YES", "WRONG")</f>
        <v/>
      </c>
    </row>
    <row r="1185">
      <c r="A1185" t="n">
        <v>1184</v>
      </c>
      <c r="B1185" t="inlineStr">
        <is>
          <t>MCLXXXIV</t>
        </is>
      </c>
      <c r="C1185">
        <f>ROMAN(1184)</f>
        <v/>
      </c>
      <c r="D1185">
        <f>IF(B1185=C1185, "YES", "WRONG")</f>
        <v/>
      </c>
    </row>
    <row r="1186">
      <c r="A1186" t="n">
        <v>1185</v>
      </c>
      <c r="B1186" t="inlineStr">
        <is>
          <t>MCLXXXV</t>
        </is>
      </c>
      <c r="C1186">
        <f>ROMAN(1185)</f>
        <v/>
      </c>
      <c r="D1186">
        <f>IF(B1186=C1186, "YES", "WRONG")</f>
        <v/>
      </c>
    </row>
    <row r="1187">
      <c r="A1187" t="n">
        <v>1186</v>
      </c>
      <c r="B1187" t="inlineStr">
        <is>
          <t>MCLXXXVI</t>
        </is>
      </c>
      <c r="C1187">
        <f>ROMAN(1186)</f>
        <v/>
      </c>
      <c r="D1187">
        <f>IF(B1187=C1187, "YES", "WRONG")</f>
        <v/>
      </c>
    </row>
    <row r="1188">
      <c r="A1188" t="n">
        <v>1187</v>
      </c>
      <c r="B1188" t="inlineStr">
        <is>
          <t>MCLXXXVII</t>
        </is>
      </c>
      <c r="C1188">
        <f>ROMAN(1187)</f>
        <v/>
      </c>
      <c r="D1188">
        <f>IF(B1188=C1188, "YES", "WRONG")</f>
        <v/>
      </c>
    </row>
    <row r="1189">
      <c r="A1189" t="n">
        <v>1188</v>
      </c>
      <c r="B1189" t="inlineStr">
        <is>
          <t>MCLXXXVIII</t>
        </is>
      </c>
      <c r="C1189">
        <f>ROMAN(1188)</f>
        <v/>
      </c>
      <c r="D1189">
        <f>IF(B1189=C1189, "YES", "WRONG")</f>
        <v/>
      </c>
    </row>
    <row r="1190">
      <c r="A1190" t="n">
        <v>1189</v>
      </c>
      <c r="B1190" t="inlineStr">
        <is>
          <t>MCLXXXIX</t>
        </is>
      </c>
      <c r="C1190">
        <f>ROMAN(1189)</f>
        <v/>
      </c>
      <c r="D1190">
        <f>IF(B1190=C1190, "YES", "WRONG")</f>
        <v/>
      </c>
    </row>
    <row r="1191">
      <c r="A1191" t="n">
        <v>1190</v>
      </c>
      <c r="B1191" t="inlineStr">
        <is>
          <t>MCXC</t>
        </is>
      </c>
      <c r="C1191">
        <f>ROMAN(1190)</f>
        <v/>
      </c>
      <c r="D1191">
        <f>IF(B1191=C1191, "YES", "WRONG")</f>
        <v/>
      </c>
    </row>
    <row r="1192">
      <c r="A1192" t="n">
        <v>1191</v>
      </c>
      <c r="B1192" t="inlineStr">
        <is>
          <t>MCXCI</t>
        </is>
      </c>
      <c r="C1192">
        <f>ROMAN(1191)</f>
        <v/>
      </c>
      <c r="D1192">
        <f>IF(B1192=C1192, "YES", "WRONG")</f>
        <v/>
      </c>
    </row>
    <row r="1193">
      <c r="A1193" t="n">
        <v>1192</v>
      </c>
      <c r="B1193" t="inlineStr">
        <is>
          <t>MCXCII</t>
        </is>
      </c>
      <c r="C1193">
        <f>ROMAN(1192)</f>
        <v/>
      </c>
      <c r="D1193">
        <f>IF(B1193=C1193, "YES", "WRONG")</f>
        <v/>
      </c>
    </row>
    <row r="1194">
      <c r="A1194" t="n">
        <v>1193</v>
      </c>
      <c r="B1194" t="inlineStr">
        <is>
          <t>MCXCIII</t>
        </is>
      </c>
      <c r="C1194">
        <f>ROMAN(1193)</f>
        <v/>
      </c>
      <c r="D1194">
        <f>IF(B1194=C1194, "YES", "WRONG")</f>
        <v/>
      </c>
    </row>
    <row r="1195">
      <c r="A1195" t="n">
        <v>1194</v>
      </c>
      <c r="B1195" t="inlineStr">
        <is>
          <t>MCXCIV</t>
        </is>
      </c>
      <c r="C1195">
        <f>ROMAN(1194)</f>
        <v/>
      </c>
      <c r="D1195">
        <f>IF(B1195=C1195, "YES", "WRONG")</f>
        <v/>
      </c>
    </row>
    <row r="1196">
      <c r="A1196" t="n">
        <v>1195</v>
      </c>
      <c r="B1196" t="inlineStr">
        <is>
          <t>MCXCV</t>
        </is>
      </c>
      <c r="C1196">
        <f>ROMAN(1195)</f>
        <v/>
      </c>
      <c r="D1196">
        <f>IF(B1196=C1196, "YES", "WRONG")</f>
        <v/>
      </c>
    </row>
    <row r="1197">
      <c r="A1197" t="n">
        <v>1196</v>
      </c>
      <c r="B1197" t="inlineStr">
        <is>
          <t>MCXCVI</t>
        </is>
      </c>
      <c r="C1197">
        <f>ROMAN(1196)</f>
        <v/>
      </c>
      <c r="D1197">
        <f>IF(B1197=C1197, "YES", "WRONG")</f>
        <v/>
      </c>
    </row>
    <row r="1198">
      <c r="A1198" t="n">
        <v>1197</v>
      </c>
      <c r="B1198" t="inlineStr">
        <is>
          <t>MCXCVII</t>
        </is>
      </c>
      <c r="C1198">
        <f>ROMAN(1197)</f>
        <v/>
      </c>
      <c r="D1198">
        <f>IF(B1198=C1198, "YES", "WRONG")</f>
        <v/>
      </c>
    </row>
    <row r="1199">
      <c r="A1199" t="n">
        <v>1198</v>
      </c>
      <c r="B1199" t="inlineStr">
        <is>
          <t>MCXCVIII</t>
        </is>
      </c>
      <c r="C1199">
        <f>ROMAN(1198)</f>
        <v/>
      </c>
      <c r="D1199">
        <f>IF(B1199=C1199, "YES", "WRONG")</f>
        <v/>
      </c>
    </row>
    <row r="1200">
      <c r="A1200" t="n">
        <v>1199</v>
      </c>
      <c r="B1200" t="inlineStr">
        <is>
          <t>MCXCIX</t>
        </is>
      </c>
      <c r="C1200">
        <f>ROMAN(1199)</f>
        <v/>
      </c>
      <c r="D1200">
        <f>IF(B1200=C1200, "YES", "WRONG")</f>
        <v/>
      </c>
    </row>
    <row r="1201">
      <c r="A1201" t="n">
        <v>1200</v>
      </c>
      <c r="B1201" t="inlineStr">
        <is>
          <t>MCC</t>
        </is>
      </c>
      <c r="C1201">
        <f>ROMAN(1200)</f>
        <v/>
      </c>
      <c r="D1201">
        <f>IF(B1201=C1201, "YES", "WRONG")</f>
        <v/>
      </c>
    </row>
    <row r="1202">
      <c r="A1202" t="n">
        <v>1201</v>
      </c>
      <c r="B1202" t="inlineStr">
        <is>
          <t>MCCI</t>
        </is>
      </c>
      <c r="C1202">
        <f>ROMAN(1201)</f>
        <v/>
      </c>
      <c r="D1202">
        <f>IF(B1202=C1202, "YES", "WRONG")</f>
        <v/>
      </c>
    </row>
    <row r="1203">
      <c r="A1203" t="n">
        <v>1202</v>
      </c>
      <c r="B1203" t="inlineStr">
        <is>
          <t>MCCII</t>
        </is>
      </c>
      <c r="C1203">
        <f>ROMAN(1202)</f>
        <v/>
      </c>
      <c r="D1203">
        <f>IF(B1203=C1203, "YES", "WRONG")</f>
        <v/>
      </c>
    </row>
    <row r="1204">
      <c r="A1204" t="n">
        <v>1203</v>
      </c>
      <c r="B1204" t="inlineStr">
        <is>
          <t>MCCIII</t>
        </is>
      </c>
      <c r="C1204">
        <f>ROMAN(1203)</f>
        <v/>
      </c>
      <c r="D1204">
        <f>IF(B1204=C1204, "YES", "WRONG")</f>
        <v/>
      </c>
    </row>
    <row r="1205">
      <c r="A1205" t="n">
        <v>1204</v>
      </c>
      <c r="B1205" t="inlineStr">
        <is>
          <t>MCCIV</t>
        </is>
      </c>
      <c r="C1205">
        <f>ROMAN(1204)</f>
        <v/>
      </c>
      <c r="D1205">
        <f>IF(B1205=C1205, "YES", "WRONG")</f>
        <v/>
      </c>
    </row>
    <row r="1206">
      <c r="A1206" t="n">
        <v>1205</v>
      </c>
      <c r="B1206" t="inlineStr">
        <is>
          <t>MCCV</t>
        </is>
      </c>
      <c r="C1206">
        <f>ROMAN(1205)</f>
        <v/>
      </c>
      <c r="D1206">
        <f>IF(B1206=C1206, "YES", "WRONG")</f>
        <v/>
      </c>
    </row>
    <row r="1207">
      <c r="A1207" t="n">
        <v>1206</v>
      </c>
      <c r="B1207" t="inlineStr">
        <is>
          <t>MCCVI</t>
        </is>
      </c>
      <c r="C1207">
        <f>ROMAN(1206)</f>
        <v/>
      </c>
      <c r="D1207">
        <f>IF(B1207=C1207, "YES", "WRONG")</f>
        <v/>
      </c>
    </row>
    <row r="1208">
      <c r="A1208" t="n">
        <v>1207</v>
      </c>
      <c r="B1208" t="inlineStr">
        <is>
          <t>MCCVII</t>
        </is>
      </c>
      <c r="C1208">
        <f>ROMAN(1207)</f>
        <v/>
      </c>
      <c r="D1208">
        <f>IF(B1208=C1208, "YES", "WRONG")</f>
        <v/>
      </c>
    </row>
    <row r="1209">
      <c r="A1209" t="n">
        <v>1208</v>
      </c>
      <c r="B1209" t="inlineStr">
        <is>
          <t>MCCVIII</t>
        </is>
      </c>
      <c r="C1209">
        <f>ROMAN(1208)</f>
        <v/>
      </c>
      <c r="D1209">
        <f>IF(B1209=C1209, "YES", "WRONG")</f>
        <v/>
      </c>
    </row>
    <row r="1210">
      <c r="A1210" t="n">
        <v>1209</v>
      </c>
      <c r="B1210" t="inlineStr">
        <is>
          <t>MCCIX</t>
        </is>
      </c>
      <c r="C1210">
        <f>ROMAN(1209)</f>
        <v/>
      </c>
      <c r="D1210">
        <f>IF(B1210=C1210, "YES", "WRONG")</f>
        <v/>
      </c>
    </row>
    <row r="1211">
      <c r="A1211" t="n">
        <v>1210</v>
      </c>
      <c r="B1211" t="inlineStr">
        <is>
          <t>MCCX</t>
        </is>
      </c>
      <c r="C1211">
        <f>ROMAN(1210)</f>
        <v/>
      </c>
      <c r="D1211">
        <f>IF(B1211=C1211, "YES", "WRONG")</f>
        <v/>
      </c>
    </row>
    <row r="1212">
      <c r="A1212" t="n">
        <v>1211</v>
      </c>
      <c r="B1212" t="inlineStr">
        <is>
          <t>MCCXI</t>
        </is>
      </c>
      <c r="C1212">
        <f>ROMAN(1211)</f>
        <v/>
      </c>
      <c r="D1212">
        <f>IF(B1212=C1212, "YES", "WRONG")</f>
        <v/>
      </c>
    </row>
    <row r="1213">
      <c r="A1213" t="n">
        <v>1212</v>
      </c>
      <c r="B1213" t="inlineStr">
        <is>
          <t>MCCXII</t>
        </is>
      </c>
      <c r="C1213">
        <f>ROMAN(1212)</f>
        <v/>
      </c>
      <c r="D1213">
        <f>IF(B1213=C1213, "YES", "WRONG")</f>
        <v/>
      </c>
    </row>
    <row r="1214">
      <c r="A1214" t="n">
        <v>1213</v>
      </c>
      <c r="B1214" t="inlineStr">
        <is>
          <t>MCCXIII</t>
        </is>
      </c>
      <c r="C1214">
        <f>ROMAN(1213)</f>
        <v/>
      </c>
      <c r="D1214">
        <f>IF(B1214=C1214, "YES", "WRONG")</f>
        <v/>
      </c>
    </row>
    <row r="1215">
      <c r="A1215" t="n">
        <v>1214</v>
      </c>
      <c r="B1215" t="inlineStr">
        <is>
          <t>MCCXIV</t>
        </is>
      </c>
      <c r="C1215">
        <f>ROMAN(1214)</f>
        <v/>
      </c>
      <c r="D1215">
        <f>IF(B1215=C1215, "YES", "WRONG")</f>
        <v/>
      </c>
    </row>
    <row r="1216">
      <c r="A1216" t="n">
        <v>1215</v>
      </c>
      <c r="B1216" t="inlineStr">
        <is>
          <t>MCCXV</t>
        </is>
      </c>
      <c r="C1216">
        <f>ROMAN(1215)</f>
        <v/>
      </c>
      <c r="D1216">
        <f>IF(B1216=C1216, "YES", "WRONG")</f>
        <v/>
      </c>
    </row>
    <row r="1217">
      <c r="A1217" t="n">
        <v>1216</v>
      </c>
      <c r="B1217" t="inlineStr">
        <is>
          <t>MCCXVI</t>
        </is>
      </c>
      <c r="C1217">
        <f>ROMAN(1216)</f>
        <v/>
      </c>
      <c r="D1217">
        <f>IF(B1217=C1217, "YES", "WRONG")</f>
        <v/>
      </c>
    </row>
    <row r="1218">
      <c r="A1218" t="n">
        <v>1217</v>
      </c>
      <c r="B1218" t="inlineStr">
        <is>
          <t>MCCXVII</t>
        </is>
      </c>
      <c r="C1218">
        <f>ROMAN(1217)</f>
        <v/>
      </c>
      <c r="D1218">
        <f>IF(B1218=C1218, "YES", "WRONG")</f>
        <v/>
      </c>
    </row>
    <row r="1219">
      <c r="A1219" t="n">
        <v>1218</v>
      </c>
      <c r="B1219" t="inlineStr">
        <is>
          <t>MCCXVIII</t>
        </is>
      </c>
      <c r="C1219">
        <f>ROMAN(1218)</f>
        <v/>
      </c>
      <c r="D1219">
        <f>IF(B1219=C1219, "YES", "WRONG")</f>
        <v/>
      </c>
    </row>
    <row r="1220">
      <c r="A1220" t="n">
        <v>1219</v>
      </c>
      <c r="B1220" t="inlineStr">
        <is>
          <t>MCCXIX</t>
        </is>
      </c>
      <c r="C1220">
        <f>ROMAN(1219)</f>
        <v/>
      </c>
      <c r="D1220">
        <f>IF(B1220=C1220, "YES", "WRONG")</f>
        <v/>
      </c>
    </row>
    <row r="1221">
      <c r="A1221" t="n">
        <v>1220</v>
      </c>
      <c r="B1221" t="inlineStr">
        <is>
          <t>MCCXX</t>
        </is>
      </c>
      <c r="C1221">
        <f>ROMAN(1220)</f>
        <v/>
      </c>
      <c r="D1221">
        <f>IF(B1221=C1221, "YES", "WRONG")</f>
        <v/>
      </c>
    </row>
    <row r="1222">
      <c r="A1222" t="n">
        <v>1221</v>
      </c>
      <c r="B1222" t="inlineStr">
        <is>
          <t>MCCXXI</t>
        </is>
      </c>
      <c r="C1222">
        <f>ROMAN(1221)</f>
        <v/>
      </c>
      <c r="D1222">
        <f>IF(B1222=C1222, "YES", "WRONG")</f>
        <v/>
      </c>
    </row>
    <row r="1223">
      <c r="A1223" t="n">
        <v>1222</v>
      </c>
      <c r="B1223" t="inlineStr">
        <is>
          <t>MCCXXII</t>
        </is>
      </c>
      <c r="C1223">
        <f>ROMAN(1222)</f>
        <v/>
      </c>
      <c r="D1223">
        <f>IF(B1223=C1223, "YES", "WRONG")</f>
        <v/>
      </c>
    </row>
    <row r="1224">
      <c r="A1224" t="n">
        <v>1223</v>
      </c>
      <c r="B1224" t="inlineStr">
        <is>
          <t>MCCXXIII</t>
        </is>
      </c>
      <c r="C1224">
        <f>ROMAN(1223)</f>
        <v/>
      </c>
      <c r="D1224">
        <f>IF(B1224=C1224, "YES", "WRONG")</f>
        <v/>
      </c>
    </row>
    <row r="1225">
      <c r="A1225" t="n">
        <v>1224</v>
      </c>
      <c r="B1225" t="inlineStr">
        <is>
          <t>MCCXXIV</t>
        </is>
      </c>
      <c r="C1225">
        <f>ROMAN(1224)</f>
        <v/>
      </c>
      <c r="D1225">
        <f>IF(B1225=C1225, "YES", "WRONG")</f>
        <v/>
      </c>
    </row>
    <row r="1226">
      <c r="A1226" t="n">
        <v>1225</v>
      </c>
      <c r="B1226" t="inlineStr">
        <is>
          <t>MCCXXV</t>
        </is>
      </c>
      <c r="C1226">
        <f>ROMAN(1225)</f>
        <v/>
      </c>
      <c r="D1226">
        <f>IF(B1226=C1226, "YES", "WRONG")</f>
        <v/>
      </c>
    </row>
    <row r="1227">
      <c r="A1227" t="n">
        <v>1226</v>
      </c>
      <c r="B1227" t="inlineStr">
        <is>
          <t>MCCXXVI</t>
        </is>
      </c>
      <c r="C1227">
        <f>ROMAN(1226)</f>
        <v/>
      </c>
      <c r="D1227">
        <f>IF(B1227=C1227, "YES", "WRONG")</f>
        <v/>
      </c>
    </row>
    <row r="1228">
      <c r="A1228" t="n">
        <v>1227</v>
      </c>
      <c r="B1228" t="inlineStr">
        <is>
          <t>MCCXXVII</t>
        </is>
      </c>
      <c r="C1228">
        <f>ROMAN(1227)</f>
        <v/>
      </c>
      <c r="D1228">
        <f>IF(B1228=C1228, "YES", "WRONG")</f>
        <v/>
      </c>
    </row>
    <row r="1229">
      <c r="A1229" t="n">
        <v>1228</v>
      </c>
      <c r="B1229" t="inlineStr">
        <is>
          <t>MCCXXVIII</t>
        </is>
      </c>
      <c r="C1229">
        <f>ROMAN(1228)</f>
        <v/>
      </c>
      <c r="D1229">
        <f>IF(B1229=C1229, "YES", "WRONG")</f>
        <v/>
      </c>
    </row>
    <row r="1230">
      <c r="A1230" t="n">
        <v>1229</v>
      </c>
      <c r="B1230" t="inlineStr">
        <is>
          <t>MCCXXIX</t>
        </is>
      </c>
      <c r="C1230">
        <f>ROMAN(1229)</f>
        <v/>
      </c>
      <c r="D1230">
        <f>IF(B1230=C1230, "YES", "WRONG")</f>
        <v/>
      </c>
    </row>
    <row r="1231">
      <c r="A1231" t="n">
        <v>1230</v>
      </c>
      <c r="B1231" t="inlineStr">
        <is>
          <t>MCCXXX</t>
        </is>
      </c>
      <c r="C1231">
        <f>ROMAN(1230)</f>
        <v/>
      </c>
      <c r="D1231">
        <f>IF(B1231=C1231, "YES", "WRONG")</f>
        <v/>
      </c>
    </row>
    <row r="1232">
      <c r="A1232" t="n">
        <v>1231</v>
      </c>
      <c r="B1232" t="inlineStr">
        <is>
          <t>MCCXXXI</t>
        </is>
      </c>
      <c r="C1232">
        <f>ROMAN(1231)</f>
        <v/>
      </c>
      <c r="D1232">
        <f>IF(B1232=C1232, "YES", "WRONG")</f>
        <v/>
      </c>
    </row>
    <row r="1233">
      <c r="A1233" t="n">
        <v>1232</v>
      </c>
      <c r="B1233" t="inlineStr">
        <is>
          <t>MCCXXXII</t>
        </is>
      </c>
      <c r="C1233">
        <f>ROMAN(1232)</f>
        <v/>
      </c>
      <c r="D1233">
        <f>IF(B1233=C1233, "YES", "WRONG")</f>
        <v/>
      </c>
    </row>
    <row r="1234">
      <c r="A1234" t="n">
        <v>1233</v>
      </c>
      <c r="B1234" t="inlineStr">
        <is>
          <t>MCCXXXIII</t>
        </is>
      </c>
      <c r="C1234">
        <f>ROMAN(1233)</f>
        <v/>
      </c>
      <c r="D1234">
        <f>IF(B1234=C1234, "YES", "WRONG")</f>
        <v/>
      </c>
    </row>
    <row r="1235">
      <c r="A1235" t="n">
        <v>1234</v>
      </c>
      <c r="B1235" t="inlineStr">
        <is>
          <t>MCCXXXIV</t>
        </is>
      </c>
      <c r="C1235">
        <f>ROMAN(1234)</f>
        <v/>
      </c>
      <c r="D1235">
        <f>IF(B1235=C1235, "YES", "WRONG")</f>
        <v/>
      </c>
    </row>
    <row r="1236">
      <c r="A1236" t="n">
        <v>1235</v>
      </c>
      <c r="B1236" t="inlineStr">
        <is>
          <t>MCCXXXV</t>
        </is>
      </c>
      <c r="C1236">
        <f>ROMAN(1235)</f>
        <v/>
      </c>
      <c r="D1236">
        <f>IF(B1236=C1236, "YES", "WRONG")</f>
        <v/>
      </c>
    </row>
    <row r="1237">
      <c r="A1237" t="n">
        <v>1236</v>
      </c>
      <c r="B1237" t="inlineStr">
        <is>
          <t>MCCXXXVI</t>
        </is>
      </c>
      <c r="C1237">
        <f>ROMAN(1236)</f>
        <v/>
      </c>
      <c r="D1237">
        <f>IF(B1237=C1237, "YES", "WRONG")</f>
        <v/>
      </c>
    </row>
    <row r="1238">
      <c r="A1238" t="n">
        <v>1237</v>
      </c>
      <c r="B1238" t="inlineStr">
        <is>
          <t>MCCXXXVII</t>
        </is>
      </c>
      <c r="C1238">
        <f>ROMAN(1237)</f>
        <v/>
      </c>
      <c r="D1238">
        <f>IF(B1238=C1238, "YES", "WRONG")</f>
        <v/>
      </c>
    </row>
    <row r="1239">
      <c r="A1239" t="n">
        <v>1238</v>
      </c>
      <c r="B1239" t="inlineStr">
        <is>
          <t>MCCXXXVIII</t>
        </is>
      </c>
      <c r="C1239">
        <f>ROMAN(1238)</f>
        <v/>
      </c>
      <c r="D1239">
        <f>IF(B1239=C1239, "YES", "WRONG")</f>
        <v/>
      </c>
    </row>
    <row r="1240">
      <c r="A1240" t="n">
        <v>1239</v>
      </c>
      <c r="B1240" t="inlineStr">
        <is>
          <t>MCCXXXIX</t>
        </is>
      </c>
      <c r="C1240">
        <f>ROMAN(1239)</f>
        <v/>
      </c>
      <c r="D1240">
        <f>IF(B1240=C1240, "YES", "WRONG")</f>
        <v/>
      </c>
    </row>
    <row r="1241">
      <c r="A1241" t="n">
        <v>1240</v>
      </c>
      <c r="B1241" t="inlineStr">
        <is>
          <t>MCCXL</t>
        </is>
      </c>
      <c r="C1241">
        <f>ROMAN(1240)</f>
        <v/>
      </c>
      <c r="D1241">
        <f>IF(B1241=C1241, "YES", "WRONG")</f>
        <v/>
      </c>
    </row>
    <row r="1242">
      <c r="A1242" t="n">
        <v>1241</v>
      </c>
      <c r="B1242" t="inlineStr">
        <is>
          <t>MCCXLI</t>
        </is>
      </c>
      <c r="C1242">
        <f>ROMAN(1241)</f>
        <v/>
      </c>
      <c r="D1242">
        <f>IF(B1242=C1242, "YES", "WRONG")</f>
        <v/>
      </c>
    </row>
    <row r="1243">
      <c r="A1243" t="n">
        <v>1242</v>
      </c>
      <c r="B1243" t="inlineStr">
        <is>
          <t>MCCXLII</t>
        </is>
      </c>
      <c r="C1243">
        <f>ROMAN(1242)</f>
        <v/>
      </c>
      <c r="D1243">
        <f>IF(B1243=C1243, "YES", "WRONG")</f>
        <v/>
      </c>
    </row>
    <row r="1244">
      <c r="A1244" t="n">
        <v>1243</v>
      </c>
      <c r="B1244" t="inlineStr">
        <is>
          <t>MCCXLIII</t>
        </is>
      </c>
      <c r="C1244">
        <f>ROMAN(1243)</f>
        <v/>
      </c>
      <c r="D1244">
        <f>IF(B1244=C1244, "YES", "WRONG")</f>
        <v/>
      </c>
    </row>
    <row r="1245">
      <c r="A1245" t="n">
        <v>1244</v>
      </c>
      <c r="B1245" t="inlineStr">
        <is>
          <t>MCCXLIV</t>
        </is>
      </c>
      <c r="C1245">
        <f>ROMAN(1244)</f>
        <v/>
      </c>
      <c r="D1245">
        <f>IF(B1245=C1245, "YES", "WRONG")</f>
        <v/>
      </c>
    </row>
    <row r="1246">
      <c r="A1246" t="n">
        <v>1245</v>
      </c>
      <c r="B1246" t="inlineStr">
        <is>
          <t>MCCXLV</t>
        </is>
      </c>
      <c r="C1246">
        <f>ROMAN(1245)</f>
        <v/>
      </c>
      <c r="D1246">
        <f>IF(B1246=C1246, "YES", "WRONG")</f>
        <v/>
      </c>
    </row>
    <row r="1247">
      <c r="A1247" t="n">
        <v>1246</v>
      </c>
      <c r="B1247" t="inlineStr">
        <is>
          <t>MCCXLVI</t>
        </is>
      </c>
      <c r="C1247">
        <f>ROMAN(1246)</f>
        <v/>
      </c>
      <c r="D1247">
        <f>IF(B1247=C1247, "YES", "WRONG")</f>
        <v/>
      </c>
    </row>
    <row r="1248">
      <c r="A1248" t="n">
        <v>1247</v>
      </c>
      <c r="B1248" t="inlineStr">
        <is>
          <t>MCCXLVII</t>
        </is>
      </c>
      <c r="C1248">
        <f>ROMAN(1247)</f>
        <v/>
      </c>
      <c r="D1248">
        <f>IF(B1248=C1248, "YES", "WRONG")</f>
        <v/>
      </c>
    </row>
    <row r="1249">
      <c r="A1249" t="n">
        <v>1248</v>
      </c>
      <c r="B1249" t="inlineStr">
        <is>
          <t>MCCXLVIII</t>
        </is>
      </c>
      <c r="C1249">
        <f>ROMAN(1248)</f>
        <v/>
      </c>
      <c r="D1249">
        <f>IF(B1249=C1249, "YES", "WRONG")</f>
        <v/>
      </c>
    </row>
    <row r="1250">
      <c r="A1250" t="n">
        <v>1249</v>
      </c>
      <c r="B1250" t="inlineStr">
        <is>
          <t>MCCXLIX</t>
        </is>
      </c>
      <c r="C1250">
        <f>ROMAN(1249)</f>
        <v/>
      </c>
      <c r="D1250">
        <f>IF(B1250=C1250, "YES", "WRONG")</f>
        <v/>
      </c>
    </row>
    <row r="1251">
      <c r="A1251" t="n">
        <v>1250</v>
      </c>
      <c r="B1251" t="inlineStr">
        <is>
          <t>MCCL</t>
        </is>
      </c>
      <c r="C1251">
        <f>ROMAN(1250)</f>
        <v/>
      </c>
      <c r="D1251">
        <f>IF(B1251=C1251, "YES", "WRONG")</f>
        <v/>
      </c>
    </row>
    <row r="1252">
      <c r="A1252" t="n">
        <v>1251</v>
      </c>
      <c r="B1252" t="inlineStr">
        <is>
          <t>MCCLI</t>
        </is>
      </c>
      <c r="C1252">
        <f>ROMAN(1251)</f>
        <v/>
      </c>
      <c r="D1252">
        <f>IF(B1252=C1252, "YES", "WRONG")</f>
        <v/>
      </c>
    </row>
    <row r="1253">
      <c r="A1253" t="n">
        <v>1252</v>
      </c>
      <c r="B1253" t="inlineStr">
        <is>
          <t>MCCLII</t>
        </is>
      </c>
      <c r="C1253">
        <f>ROMAN(1252)</f>
        <v/>
      </c>
      <c r="D1253">
        <f>IF(B1253=C1253, "YES", "WRONG")</f>
        <v/>
      </c>
    </row>
    <row r="1254">
      <c r="A1254" t="n">
        <v>1253</v>
      </c>
      <c r="B1254" t="inlineStr">
        <is>
          <t>MCCLIII</t>
        </is>
      </c>
      <c r="C1254">
        <f>ROMAN(1253)</f>
        <v/>
      </c>
      <c r="D1254">
        <f>IF(B1254=C1254, "YES", "WRONG")</f>
        <v/>
      </c>
    </row>
    <row r="1255">
      <c r="A1255" t="n">
        <v>1254</v>
      </c>
      <c r="B1255" t="inlineStr">
        <is>
          <t>MCCLIV</t>
        </is>
      </c>
      <c r="C1255">
        <f>ROMAN(1254)</f>
        <v/>
      </c>
      <c r="D1255">
        <f>IF(B1255=C1255, "YES", "WRONG")</f>
        <v/>
      </c>
    </row>
    <row r="1256">
      <c r="A1256" t="n">
        <v>1255</v>
      </c>
      <c r="B1256" t="inlineStr">
        <is>
          <t>MCCLV</t>
        </is>
      </c>
      <c r="C1256">
        <f>ROMAN(1255)</f>
        <v/>
      </c>
      <c r="D1256">
        <f>IF(B1256=C1256, "YES", "WRONG")</f>
        <v/>
      </c>
    </row>
    <row r="1257">
      <c r="A1257" t="n">
        <v>1256</v>
      </c>
      <c r="B1257" t="inlineStr">
        <is>
          <t>MCCLVI</t>
        </is>
      </c>
      <c r="C1257">
        <f>ROMAN(1256)</f>
        <v/>
      </c>
      <c r="D1257">
        <f>IF(B1257=C1257, "YES", "WRONG")</f>
        <v/>
      </c>
    </row>
    <row r="1258">
      <c r="A1258" t="n">
        <v>1257</v>
      </c>
      <c r="B1258" t="inlineStr">
        <is>
          <t>MCCLVII</t>
        </is>
      </c>
      <c r="C1258">
        <f>ROMAN(1257)</f>
        <v/>
      </c>
      <c r="D1258">
        <f>IF(B1258=C1258, "YES", "WRONG")</f>
        <v/>
      </c>
    </row>
    <row r="1259">
      <c r="A1259" t="n">
        <v>1258</v>
      </c>
      <c r="B1259" t="inlineStr">
        <is>
          <t>MCCLVIII</t>
        </is>
      </c>
      <c r="C1259">
        <f>ROMAN(1258)</f>
        <v/>
      </c>
      <c r="D1259">
        <f>IF(B1259=C1259, "YES", "WRONG")</f>
        <v/>
      </c>
    </row>
    <row r="1260">
      <c r="A1260" t="n">
        <v>1259</v>
      </c>
      <c r="B1260" t="inlineStr">
        <is>
          <t>MCCLIX</t>
        </is>
      </c>
      <c r="C1260">
        <f>ROMAN(1259)</f>
        <v/>
      </c>
      <c r="D1260">
        <f>IF(B1260=C1260, "YES", "WRONG")</f>
        <v/>
      </c>
    </row>
    <row r="1261">
      <c r="A1261" t="n">
        <v>1260</v>
      </c>
      <c r="B1261" t="inlineStr">
        <is>
          <t>MCCLX</t>
        </is>
      </c>
      <c r="C1261">
        <f>ROMAN(1260)</f>
        <v/>
      </c>
      <c r="D1261">
        <f>IF(B1261=C1261, "YES", "WRONG")</f>
        <v/>
      </c>
    </row>
    <row r="1262">
      <c r="A1262" t="n">
        <v>1261</v>
      </c>
      <c r="B1262" t="inlineStr">
        <is>
          <t>MCCLXI</t>
        </is>
      </c>
      <c r="C1262">
        <f>ROMAN(1261)</f>
        <v/>
      </c>
      <c r="D1262">
        <f>IF(B1262=C1262, "YES", "WRONG")</f>
        <v/>
      </c>
    </row>
    <row r="1263">
      <c r="A1263" t="n">
        <v>1262</v>
      </c>
      <c r="B1263" t="inlineStr">
        <is>
          <t>MCCLXII</t>
        </is>
      </c>
      <c r="C1263">
        <f>ROMAN(1262)</f>
        <v/>
      </c>
      <c r="D1263">
        <f>IF(B1263=C1263, "YES", "WRONG")</f>
        <v/>
      </c>
    </row>
    <row r="1264">
      <c r="A1264" t="n">
        <v>1263</v>
      </c>
      <c r="B1264" t="inlineStr">
        <is>
          <t>MCCLXIII</t>
        </is>
      </c>
      <c r="C1264">
        <f>ROMAN(1263)</f>
        <v/>
      </c>
      <c r="D1264">
        <f>IF(B1264=C1264, "YES", "WRONG")</f>
        <v/>
      </c>
    </row>
    <row r="1265">
      <c r="A1265" t="n">
        <v>1264</v>
      </c>
      <c r="B1265" t="inlineStr">
        <is>
          <t>MCCLXIV</t>
        </is>
      </c>
      <c r="C1265">
        <f>ROMAN(1264)</f>
        <v/>
      </c>
      <c r="D1265">
        <f>IF(B1265=C1265, "YES", "WRONG")</f>
        <v/>
      </c>
    </row>
    <row r="1266">
      <c r="A1266" t="n">
        <v>1265</v>
      </c>
      <c r="B1266" t="inlineStr">
        <is>
          <t>MCCLXV</t>
        </is>
      </c>
      <c r="C1266">
        <f>ROMAN(1265)</f>
        <v/>
      </c>
      <c r="D1266">
        <f>IF(B1266=C1266, "YES", "WRONG")</f>
        <v/>
      </c>
    </row>
    <row r="1267">
      <c r="A1267" t="n">
        <v>1266</v>
      </c>
      <c r="B1267" t="inlineStr">
        <is>
          <t>MCCLXVI</t>
        </is>
      </c>
      <c r="C1267">
        <f>ROMAN(1266)</f>
        <v/>
      </c>
      <c r="D1267">
        <f>IF(B1267=C1267, "YES", "WRONG")</f>
        <v/>
      </c>
    </row>
    <row r="1268">
      <c r="A1268" t="n">
        <v>1267</v>
      </c>
      <c r="B1268" t="inlineStr">
        <is>
          <t>MCCLXVII</t>
        </is>
      </c>
      <c r="C1268">
        <f>ROMAN(1267)</f>
        <v/>
      </c>
      <c r="D1268">
        <f>IF(B1268=C1268, "YES", "WRONG")</f>
        <v/>
      </c>
    </row>
    <row r="1269">
      <c r="A1269" t="n">
        <v>1268</v>
      </c>
      <c r="B1269" t="inlineStr">
        <is>
          <t>MCCLXVIII</t>
        </is>
      </c>
      <c r="C1269">
        <f>ROMAN(1268)</f>
        <v/>
      </c>
      <c r="D1269">
        <f>IF(B1269=C1269, "YES", "WRONG")</f>
        <v/>
      </c>
    </row>
    <row r="1270">
      <c r="A1270" t="n">
        <v>1269</v>
      </c>
      <c r="B1270" t="inlineStr">
        <is>
          <t>MCCLXIX</t>
        </is>
      </c>
      <c r="C1270">
        <f>ROMAN(1269)</f>
        <v/>
      </c>
      <c r="D1270">
        <f>IF(B1270=C1270, "YES", "WRONG")</f>
        <v/>
      </c>
    </row>
    <row r="1271">
      <c r="A1271" t="n">
        <v>1270</v>
      </c>
      <c r="B1271" t="inlineStr">
        <is>
          <t>MCCLXX</t>
        </is>
      </c>
      <c r="C1271">
        <f>ROMAN(1270)</f>
        <v/>
      </c>
      <c r="D1271">
        <f>IF(B1271=C1271, "YES", "WRONG")</f>
        <v/>
      </c>
    </row>
    <row r="1272">
      <c r="A1272" t="n">
        <v>1271</v>
      </c>
      <c r="B1272" t="inlineStr">
        <is>
          <t>MCCLXXI</t>
        </is>
      </c>
      <c r="C1272">
        <f>ROMAN(1271)</f>
        <v/>
      </c>
      <c r="D1272">
        <f>IF(B1272=C1272, "YES", "WRONG")</f>
        <v/>
      </c>
    </row>
    <row r="1273">
      <c r="A1273" t="n">
        <v>1272</v>
      </c>
      <c r="B1273" t="inlineStr">
        <is>
          <t>MCCLXXII</t>
        </is>
      </c>
      <c r="C1273">
        <f>ROMAN(1272)</f>
        <v/>
      </c>
      <c r="D1273">
        <f>IF(B1273=C1273, "YES", "WRONG")</f>
        <v/>
      </c>
    </row>
    <row r="1274">
      <c r="A1274" t="n">
        <v>1273</v>
      </c>
      <c r="B1274" t="inlineStr">
        <is>
          <t>MCCLXXIII</t>
        </is>
      </c>
      <c r="C1274">
        <f>ROMAN(1273)</f>
        <v/>
      </c>
      <c r="D1274">
        <f>IF(B1274=C1274, "YES", "WRONG")</f>
        <v/>
      </c>
    </row>
    <row r="1275">
      <c r="A1275" t="n">
        <v>1274</v>
      </c>
      <c r="B1275" t="inlineStr">
        <is>
          <t>MCCLXXIV</t>
        </is>
      </c>
      <c r="C1275">
        <f>ROMAN(1274)</f>
        <v/>
      </c>
      <c r="D1275">
        <f>IF(B1275=C1275, "YES", "WRONG")</f>
        <v/>
      </c>
    </row>
    <row r="1276">
      <c r="A1276" t="n">
        <v>1275</v>
      </c>
      <c r="B1276" t="inlineStr">
        <is>
          <t>MCCLXXV</t>
        </is>
      </c>
      <c r="C1276">
        <f>ROMAN(1275)</f>
        <v/>
      </c>
      <c r="D1276">
        <f>IF(B1276=C1276, "YES", "WRONG")</f>
        <v/>
      </c>
    </row>
    <row r="1277">
      <c r="A1277" t="n">
        <v>1276</v>
      </c>
      <c r="B1277" t="inlineStr">
        <is>
          <t>MCCLXXVI</t>
        </is>
      </c>
      <c r="C1277">
        <f>ROMAN(1276)</f>
        <v/>
      </c>
      <c r="D1277">
        <f>IF(B1277=C1277, "YES", "WRONG")</f>
        <v/>
      </c>
    </row>
    <row r="1278">
      <c r="A1278" t="n">
        <v>1277</v>
      </c>
      <c r="B1278" t="inlineStr">
        <is>
          <t>MCCLXXVII</t>
        </is>
      </c>
      <c r="C1278">
        <f>ROMAN(1277)</f>
        <v/>
      </c>
      <c r="D1278">
        <f>IF(B1278=C1278, "YES", "WRONG")</f>
        <v/>
      </c>
    </row>
    <row r="1279">
      <c r="A1279" t="n">
        <v>1278</v>
      </c>
      <c r="B1279" t="inlineStr">
        <is>
          <t>MCCLXXVIII</t>
        </is>
      </c>
      <c r="C1279">
        <f>ROMAN(1278)</f>
        <v/>
      </c>
      <c r="D1279">
        <f>IF(B1279=C1279, "YES", "WRONG")</f>
        <v/>
      </c>
    </row>
    <row r="1280">
      <c r="A1280" t="n">
        <v>1279</v>
      </c>
      <c r="B1280" t="inlineStr">
        <is>
          <t>MCCLXXIX</t>
        </is>
      </c>
      <c r="C1280">
        <f>ROMAN(1279)</f>
        <v/>
      </c>
      <c r="D1280">
        <f>IF(B1280=C1280, "YES", "WRONG")</f>
        <v/>
      </c>
    </row>
    <row r="1281">
      <c r="A1281" t="n">
        <v>1280</v>
      </c>
      <c r="B1281" t="inlineStr">
        <is>
          <t>MCCLXXX</t>
        </is>
      </c>
      <c r="C1281">
        <f>ROMAN(1280)</f>
        <v/>
      </c>
      <c r="D1281">
        <f>IF(B1281=C1281, "YES", "WRONG")</f>
        <v/>
      </c>
    </row>
    <row r="1282">
      <c r="A1282" t="n">
        <v>1281</v>
      </c>
      <c r="B1282" t="inlineStr">
        <is>
          <t>MCCLXXXI</t>
        </is>
      </c>
      <c r="C1282">
        <f>ROMAN(1281)</f>
        <v/>
      </c>
      <c r="D1282">
        <f>IF(B1282=C1282, "YES", "WRONG")</f>
        <v/>
      </c>
    </row>
    <row r="1283">
      <c r="A1283" t="n">
        <v>1282</v>
      </c>
      <c r="B1283" t="inlineStr">
        <is>
          <t>MCCLXXXII</t>
        </is>
      </c>
      <c r="C1283">
        <f>ROMAN(1282)</f>
        <v/>
      </c>
      <c r="D1283">
        <f>IF(B1283=C1283, "YES", "WRONG")</f>
        <v/>
      </c>
    </row>
    <row r="1284">
      <c r="A1284" t="n">
        <v>1283</v>
      </c>
      <c r="B1284" t="inlineStr">
        <is>
          <t>MCCLXXXIII</t>
        </is>
      </c>
      <c r="C1284">
        <f>ROMAN(1283)</f>
        <v/>
      </c>
      <c r="D1284">
        <f>IF(B1284=C1284, "YES", "WRONG")</f>
        <v/>
      </c>
    </row>
    <row r="1285">
      <c r="A1285" t="n">
        <v>1284</v>
      </c>
      <c r="B1285" t="inlineStr">
        <is>
          <t>MCCLXXXIV</t>
        </is>
      </c>
      <c r="C1285">
        <f>ROMAN(1284)</f>
        <v/>
      </c>
      <c r="D1285">
        <f>IF(B1285=C1285, "YES", "WRONG")</f>
        <v/>
      </c>
    </row>
    <row r="1286">
      <c r="A1286" t="n">
        <v>1285</v>
      </c>
      <c r="B1286" t="inlineStr">
        <is>
          <t>MCCLXXXV</t>
        </is>
      </c>
      <c r="C1286">
        <f>ROMAN(1285)</f>
        <v/>
      </c>
      <c r="D1286">
        <f>IF(B1286=C1286, "YES", "WRONG")</f>
        <v/>
      </c>
    </row>
    <row r="1287">
      <c r="A1287" t="n">
        <v>1286</v>
      </c>
      <c r="B1287" t="inlineStr">
        <is>
          <t>MCCLXXXVI</t>
        </is>
      </c>
      <c r="C1287">
        <f>ROMAN(1286)</f>
        <v/>
      </c>
      <c r="D1287">
        <f>IF(B1287=C1287, "YES", "WRONG")</f>
        <v/>
      </c>
    </row>
    <row r="1288">
      <c r="A1288" t="n">
        <v>1287</v>
      </c>
      <c r="B1288" t="inlineStr">
        <is>
          <t>MCCLXXXVII</t>
        </is>
      </c>
      <c r="C1288">
        <f>ROMAN(1287)</f>
        <v/>
      </c>
      <c r="D1288">
        <f>IF(B1288=C1288, "YES", "WRONG")</f>
        <v/>
      </c>
    </row>
    <row r="1289">
      <c r="A1289" t="n">
        <v>1288</v>
      </c>
      <c r="B1289" t="inlineStr">
        <is>
          <t>MCCLXXXVIII</t>
        </is>
      </c>
      <c r="C1289">
        <f>ROMAN(1288)</f>
        <v/>
      </c>
      <c r="D1289">
        <f>IF(B1289=C1289, "YES", "WRONG")</f>
        <v/>
      </c>
    </row>
    <row r="1290">
      <c r="A1290" t="n">
        <v>1289</v>
      </c>
      <c r="B1290" t="inlineStr">
        <is>
          <t>MCCLXXXIX</t>
        </is>
      </c>
      <c r="C1290">
        <f>ROMAN(1289)</f>
        <v/>
      </c>
      <c r="D1290">
        <f>IF(B1290=C1290, "YES", "WRONG")</f>
        <v/>
      </c>
    </row>
    <row r="1291">
      <c r="A1291" t="n">
        <v>1290</v>
      </c>
      <c r="B1291" t="inlineStr">
        <is>
          <t>MCCXC</t>
        </is>
      </c>
      <c r="C1291">
        <f>ROMAN(1290)</f>
        <v/>
      </c>
      <c r="D1291">
        <f>IF(B1291=C1291, "YES", "WRONG")</f>
        <v/>
      </c>
    </row>
    <row r="1292">
      <c r="A1292" t="n">
        <v>1291</v>
      </c>
      <c r="B1292" t="inlineStr">
        <is>
          <t>MCCXCI</t>
        </is>
      </c>
      <c r="C1292">
        <f>ROMAN(1291)</f>
        <v/>
      </c>
      <c r="D1292">
        <f>IF(B1292=C1292, "YES", "WRONG")</f>
        <v/>
      </c>
    </row>
    <row r="1293">
      <c r="A1293" t="n">
        <v>1292</v>
      </c>
      <c r="B1293" t="inlineStr">
        <is>
          <t>MCCXCII</t>
        </is>
      </c>
      <c r="C1293">
        <f>ROMAN(1292)</f>
        <v/>
      </c>
      <c r="D1293">
        <f>IF(B1293=C1293, "YES", "WRONG")</f>
        <v/>
      </c>
    </row>
    <row r="1294">
      <c r="A1294" t="n">
        <v>1293</v>
      </c>
      <c r="B1294" t="inlineStr">
        <is>
          <t>MCCXCIII</t>
        </is>
      </c>
      <c r="C1294">
        <f>ROMAN(1293)</f>
        <v/>
      </c>
      <c r="D1294">
        <f>IF(B1294=C1294, "YES", "WRONG")</f>
        <v/>
      </c>
    </row>
    <row r="1295">
      <c r="A1295" t="n">
        <v>1294</v>
      </c>
      <c r="B1295" t="inlineStr">
        <is>
          <t>MCCXCIV</t>
        </is>
      </c>
      <c r="C1295">
        <f>ROMAN(1294)</f>
        <v/>
      </c>
      <c r="D1295">
        <f>IF(B1295=C1295, "YES", "WRONG")</f>
        <v/>
      </c>
    </row>
    <row r="1296">
      <c r="A1296" t="n">
        <v>1295</v>
      </c>
      <c r="B1296" t="inlineStr">
        <is>
          <t>MCCXCV</t>
        </is>
      </c>
      <c r="C1296">
        <f>ROMAN(1295)</f>
        <v/>
      </c>
      <c r="D1296">
        <f>IF(B1296=C1296, "YES", "WRONG")</f>
        <v/>
      </c>
    </row>
    <row r="1297">
      <c r="A1297" t="n">
        <v>1296</v>
      </c>
      <c r="B1297" t="inlineStr">
        <is>
          <t>MCCXCVI</t>
        </is>
      </c>
      <c r="C1297">
        <f>ROMAN(1296)</f>
        <v/>
      </c>
      <c r="D1297">
        <f>IF(B1297=C1297, "YES", "WRONG")</f>
        <v/>
      </c>
    </row>
    <row r="1298">
      <c r="A1298" t="n">
        <v>1297</v>
      </c>
      <c r="B1298" t="inlineStr">
        <is>
          <t>MCCXCVII</t>
        </is>
      </c>
      <c r="C1298">
        <f>ROMAN(1297)</f>
        <v/>
      </c>
      <c r="D1298">
        <f>IF(B1298=C1298, "YES", "WRONG")</f>
        <v/>
      </c>
    </row>
    <row r="1299">
      <c r="A1299" t="n">
        <v>1298</v>
      </c>
      <c r="B1299" t="inlineStr">
        <is>
          <t>MCCXCVIII</t>
        </is>
      </c>
      <c r="C1299">
        <f>ROMAN(1298)</f>
        <v/>
      </c>
      <c r="D1299">
        <f>IF(B1299=C1299, "YES", "WRONG")</f>
        <v/>
      </c>
    </row>
    <row r="1300">
      <c r="A1300" t="n">
        <v>1299</v>
      </c>
      <c r="B1300" t="inlineStr">
        <is>
          <t>MCCXCIX</t>
        </is>
      </c>
      <c r="C1300">
        <f>ROMAN(1299)</f>
        <v/>
      </c>
      <c r="D1300">
        <f>IF(B1300=C1300, "YES", "WRONG")</f>
        <v/>
      </c>
    </row>
    <row r="1301">
      <c r="A1301" t="n">
        <v>1300</v>
      </c>
      <c r="B1301" t="inlineStr">
        <is>
          <t>MCCC</t>
        </is>
      </c>
      <c r="C1301">
        <f>ROMAN(1300)</f>
        <v/>
      </c>
      <c r="D1301">
        <f>IF(B1301=C1301, "YES", "WRONG")</f>
        <v/>
      </c>
    </row>
    <row r="1302">
      <c r="A1302" t="n">
        <v>1301</v>
      </c>
      <c r="B1302" t="inlineStr">
        <is>
          <t>MCCCI</t>
        </is>
      </c>
      <c r="C1302">
        <f>ROMAN(1301)</f>
        <v/>
      </c>
      <c r="D1302">
        <f>IF(B1302=C1302, "YES", "WRONG")</f>
        <v/>
      </c>
    </row>
    <row r="1303">
      <c r="A1303" t="n">
        <v>1302</v>
      </c>
      <c r="B1303" t="inlineStr">
        <is>
          <t>MCCCII</t>
        </is>
      </c>
      <c r="C1303">
        <f>ROMAN(1302)</f>
        <v/>
      </c>
      <c r="D1303">
        <f>IF(B1303=C1303, "YES", "WRONG")</f>
        <v/>
      </c>
    </row>
    <row r="1304">
      <c r="A1304" t="n">
        <v>1303</v>
      </c>
      <c r="B1304" t="inlineStr">
        <is>
          <t>MCCCIII</t>
        </is>
      </c>
      <c r="C1304">
        <f>ROMAN(1303)</f>
        <v/>
      </c>
      <c r="D1304">
        <f>IF(B1304=C1304, "YES", "WRONG")</f>
        <v/>
      </c>
    </row>
    <row r="1305">
      <c r="A1305" t="n">
        <v>1304</v>
      </c>
      <c r="B1305" t="inlineStr">
        <is>
          <t>MCCCIV</t>
        </is>
      </c>
      <c r="C1305">
        <f>ROMAN(1304)</f>
        <v/>
      </c>
      <c r="D1305">
        <f>IF(B1305=C1305, "YES", "WRONG")</f>
        <v/>
      </c>
    </row>
    <row r="1306">
      <c r="A1306" t="n">
        <v>1305</v>
      </c>
      <c r="B1306" t="inlineStr">
        <is>
          <t>MCCCV</t>
        </is>
      </c>
      <c r="C1306">
        <f>ROMAN(1305)</f>
        <v/>
      </c>
      <c r="D1306">
        <f>IF(B1306=C1306, "YES", "WRONG")</f>
        <v/>
      </c>
    </row>
    <row r="1307">
      <c r="A1307" t="n">
        <v>1306</v>
      </c>
      <c r="B1307" t="inlineStr">
        <is>
          <t>MCCCVI</t>
        </is>
      </c>
      <c r="C1307">
        <f>ROMAN(1306)</f>
        <v/>
      </c>
      <c r="D1307">
        <f>IF(B1307=C1307, "YES", "WRONG")</f>
        <v/>
      </c>
    </row>
    <row r="1308">
      <c r="A1308" t="n">
        <v>1307</v>
      </c>
      <c r="B1308" t="inlineStr">
        <is>
          <t>MCCCVII</t>
        </is>
      </c>
      <c r="C1308">
        <f>ROMAN(1307)</f>
        <v/>
      </c>
      <c r="D1308">
        <f>IF(B1308=C1308, "YES", "WRONG")</f>
        <v/>
      </c>
    </row>
    <row r="1309">
      <c r="A1309" t="n">
        <v>1308</v>
      </c>
      <c r="B1309" t="inlineStr">
        <is>
          <t>MCCCVIII</t>
        </is>
      </c>
      <c r="C1309">
        <f>ROMAN(1308)</f>
        <v/>
      </c>
      <c r="D1309">
        <f>IF(B1309=C1309, "YES", "WRONG")</f>
        <v/>
      </c>
    </row>
    <row r="1310">
      <c r="A1310" t="n">
        <v>1309</v>
      </c>
      <c r="B1310" t="inlineStr">
        <is>
          <t>MCCCIX</t>
        </is>
      </c>
      <c r="C1310">
        <f>ROMAN(1309)</f>
        <v/>
      </c>
      <c r="D1310">
        <f>IF(B1310=C1310, "YES", "WRONG")</f>
        <v/>
      </c>
    </row>
    <row r="1311">
      <c r="A1311" t="n">
        <v>1310</v>
      </c>
      <c r="B1311" t="inlineStr">
        <is>
          <t>MCCCX</t>
        </is>
      </c>
      <c r="C1311">
        <f>ROMAN(1310)</f>
        <v/>
      </c>
      <c r="D1311">
        <f>IF(B1311=C1311, "YES", "WRONG")</f>
        <v/>
      </c>
    </row>
    <row r="1312">
      <c r="A1312" t="n">
        <v>1311</v>
      </c>
      <c r="B1312" t="inlineStr">
        <is>
          <t>MCCCXI</t>
        </is>
      </c>
      <c r="C1312">
        <f>ROMAN(1311)</f>
        <v/>
      </c>
      <c r="D1312">
        <f>IF(B1312=C1312, "YES", "WRONG")</f>
        <v/>
      </c>
    </row>
    <row r="1313">
      <c r="A1313" t="n">
        <v>1312</v>
      </c>
      <c r="B1313" t="inlineStr">
        <is>
          <t>MCCCXII</t>
        </is>
      </c>
      <c r="C1313">
        <f>ROMAN(1312)</f>
        <v/>
      </c>
      <c r="D1313">
        <f>IF(B1313=C1313, "YES", "WRONG")</f>
        <v/>
      </c>
    </row>
    <row r="1314">
      <c r="A1314" t="n">
        <v>1313</v>
      </c>
      <c r="B1314" t="inlineStr">
        <is>
          <t>MCCCXIII</t>
        </is>
      </c>
      <c r="C1314">
        <f>ROMAN(1313)</f>
        <v/>
      </c>
      <c r="D1314">
        <f>IF(B1314=C1314, "YES", "WRONG")</f>
        <v/>
      </c>
    </row>
    <row r="1315">
      <c r="A1315" t="n">
        <v>1314</v>
      </c>
      <c r="B1315" t="inlineStr">
        <is>
          <t>MCCCXIV</t>
        </is>
      </c>
      <c r="C1315">
        <f>ROMAN(1314)</f>
        <v/>
      </c>
      <c r="D1315">
        <f>IF(B1315=C1315, "YES", "WRONG")</f>
        <v/>
      </c>
    </row>
    <row r="1316">
      <c r="A1316" t="n">
        <v>1315</v>
      </c>
      <c r="B1316" t="inlineStr">
        <is>
          <t>MCCCXV</t>
        </is>
      </c>
      <c r="C1316">
        <f>ROMAN(1315)</f>
        <v/>
      </c>
      <c r="D1316">
        <f>IF(B1316=C1316, "YES", "WRONG")</f>
        <v/>
      </c>
    </row>
    <row r="1317">
      <c r="A1317" t="n">
        <v>1316</v>
      </c>
      <c r="B1317" t="inlineStr">
        <is>
          <t>MCCCXVI</t>
        </is>
      </c>
      <c r="C1317">
        <f>ROMAN(1316)</f>
        <v/>
      </c>
      <c r="D1317">
        <f>IF(B1317=C1317, "YES", "WRONG")</f>
        <v/>
      </c>
    </row>
    <row r="1318">
      <c r="A1318" t="n">
        <v>1317</v>
      </c>
      <c r="B1318" t="inlineStr">
        <is>
          <t>MCCCXVII</t>
        </is>
      </c>
      <c r="C1318">
        <f>ROMAN(1317)</f>
        <v/>
      </c>
      <c r="D1318">
        <f>IF(B1318=C1318, "YES", "WRONG")</f>
        <v/>
      </c>
    </row>
    <row r="1319">
      <c r="A1319" t="n">
        <v>1318</v>
      </c>
      <c r="B1319" t="inlineStr">
        <is>
          <t>MCCCXVIII</t>
        </is>
      </c>
      <c r="C1319">
        <f>ROMAN(1318)</f>
        <v/>
      </c>
      <c r="D1319">
        <f>IF(B1319=C1319, "YES", "WRONG")</f>
        <v/>
      </c>
    </row>
    <row r="1320">
      <c r="A1320" t="n">
        <v>1319</v>
      </c>
      <c r="B1320" t="inlineStr">
        <is>
          <t>MCCCXIX</t>
        </is>
      </c>
      <c r="C1320">
        <f>ROMAN(1319)</f>
        <v/>
      </c>
      <c r="D1320">
        <f>IF(B1320=C1320, "YES", "WRONG")</f>
        <v/>
      </c>
    </row>
    <row r="1321">
      <c r="A1321" t="n">
        <v>1320</v>
      </c>
      <c r="B1321" t="inlineStr">
        <is>
          <t>MCCCXX</t>
        </is>
      </c>
      <c r="C1321">
        <f>ROMAN(1320)</f>
        <v/>
      </c>
      <c r="D1321">
        <f>IF(B1321=C1321, "YES", "WRONG")</f>
        <v/>
      </c>
    </row>
    <row r="1322">
      <c r="A1322" t="n">
        <v>1321</v>
      </c>
      <c r="B1322" t="inlineStr">
        <is>
          <t>MCCCXXI</t>
        </is>
      </c>
      <c r="C1322">
        <f>ROMAN(1321)</f>
        <v/>
      </c>
      <c r="D1322">
        <f>IF(B1322=C1322, "YES", "WRONG")</f>
        <v/>
      </c>
    </row>
    <row r="1323">
      <c r="A1323" t="n">
        <v>1322</v>
      </c>
      <c r="B1323" t="inlineStr">
        <is>
          <t>MCCCXXII</t>
        </is>
      </c>
      <c r="C1323">
        <f>ROMAN(1322)</f>
        <v/>
      </c>
      <c r="D1323">
        <f>IF(B1323=C1323, "YES", "WRONG")</f>
        <v/>
      </c>
    </row>
    <row r="1324">
      <c r="A1324" t="n">
        <v>1323</v>
      </c>
      <c r="B1324" t="inlineStr">
        <is>
          <t>MCCCXXIII</t>
        </is>
      </c>
      <c r="C1324">
        <f>ROMAN(1323)</f>
        <v/>
      </c>
      <c r="D1324">
        <f>IF(B1324=C1324, "YES", "WRONG")</f>
        <v/>
      </c>
    </row>
    <row r="1325">
      <c r="A1325" t="n">
        <v>1324</v>
      </c>
      <c r="B1325" t="inlineStr">
        <is>
          <t>MCCCXXIV</t>
        </is>
      </c>
      <c r="C1325">
        <f>ROMAN(1324)</f>
        <v/>
      </c>
      <c r="D1325">
        <f>IF(B1325=C1325, "YES", "WRONG")</f>
        <v/>
      </c>
    </row>
    <row r="1326">
      <c r="A1326" t="n">
        <v>1325</v>
      </c>
      <c r="B1326" t="inlineStr">
        <is>
          <t>MCCCXXV</t>
        </is>
      </c>
      <c r="C1326">
        <f>ROMAN(1325)</f>
        <v/>
      </c>
      <c r="D1326">
        <f>IF(B1326=C1326, "YES", "WRONG")</f>
        <v/>
      </c>
    </row>
    <row r="1327">
      <c r="A1327" t="n">
        <v>1326</v>
      </c>
      <c r="B1327" t="inlineStr">
        <is>
          <t>MCCCXXVI</t>
        </is>
      </c>
      <c r="C1327">
        <f>ROMAN(1326)</f>
        <v/>
      </c>
      <c r="D1327">
        <f>IF(B1327=C1327, "YES", "WRONG")</f>
        <v/>
      </c>
    </row>
    <row r="1328">
      <c r="A1328" t="n">
        <v>1327</v>
      </c>
      <c r="B1328" t="inlineStr">
        <is>
          <t>MCCCXXVII</t>
        </is>
      </c>
      <c r="C1328">
        <f>ROMAN(1327)</f>
        <v/>
      </c>
      <c r="D1328">
        <f>IF(B1328=C1328, "YES", "WRONG")</f>
        <v/>
      </c>
    </row>
    <row r="1329">
      <c r="A1329" t="n">
        <v>1328</v>
      </c>
      <c r="B1329" t="inlineStr">
        <is>
          <t>MCCCXXVIII</t>
        </is>
      </c>
      <c r="C1329">
        <f>ROMAN(1328)</f>
        <v/>
      </c>
      <c r="D1329">
        <f>IF(B1329=C1329, "YES", "WRONG")</f>
        <v/>
      </c>
    </row>
    <row r="1330">
      <c r="A1330" t="n">
        <v>1329</v>
      </c>
      <c r="B1330" t="inlineStr">
        <is>
          <t>MCCCXXIX</t>
        </is>
      </c>
      <c r="C1330">
        <f>ROMAN(1329)</f>
        <v/>
      </c>
      <c r="D1330">
        <f>IF(B1330=C1330, "YES", "WRONG")</f>
        <v/>
      </c>
    </row>
    <row r="1331">
      <c r="A1331" t="n">
        <v>1330</v>
      </c>
      <c r="B1331" t="inlineStr">
        <is>
          <t>MCCCXXX</t>
        </is>
      </c>
      <c r="C1331">
        <f>ROMAN(1330)</f>
        <v/>
      </c>
      <c r="D1331">
        <f>IF(B1331=C1331, "YES", "WRONG")</f>
        <v/>
      </c>
    </row>
    <row r="1332">
      <c r="A1332" t="n">
        <v>1331</v>
      </c>
      <c r="B1332" t="inlineStr">
        <is>
          <t>MCCCXXXI</t>
        </is>
      </c>
      <c r="C1332">
        <f>ROMAN(1331)</f>
        <v/>
      </c>
      <c r="D1332">
        <f>IF(B1332=C1332, "YES", "WRONG")</f>
        <v/>
      </c>
    </row>
    <row r="1333">
      <c r="A1333" t="n">
        <v>1332</v>
      </c>
      <c r="B1333" t="inlineStr">
        <is>
          <t>MCCCXXXII</t>
        </is>
      </c>
      <c r="C1333">
        <f>ROMAN(1332)</f>
        <v/>
      </c>
      <c r="D1333">
        <f>IF(B1333=C1333, "YES", "WRONG")</f>
        <v/>
      </c>
    </row>
    <row r="1334">
      <c r="A1334" t="n">
        <v>1333</v>
      </c>
      <c r="B1334" t="inlineStr">
        <is>
          <t>MCCCXXXIII</t>
        </is>
      </c>
      <c r="C1334">
        <f>ROMAN(1333)</f>
        <v/>
      </c>
      <c r="D1334">
        <f>IF(B1334=C1334, "YES", "WRONG")</f>
        <v/>
      </c>
    </row>
    <row r="1335">
      <c r="A1335" t="n">
        <v>1334</v>
      </c>
      <c r="B1335" t="inlineStr">
        <is>
          <t>MCCCXXXIV</t>
        </is>
      </c>
      <c r="C1335">
        <f>ROMAN(1334)</f>
        <v/>
      </c>
      <c r="D1335">
        <f>IF(B1335=C1335, "YES", "WRONG")</f>
        <v/>
      </c>
    </row>
    <row r="1336">
      <c r="A1336" t="n">
        <v>1335</v>
      </c>
      <c r="B1336" t="inlineStr">
        <is>
          <t>MCCCXXXV</t>
        </is>
      </c>
      <c r="C1336">
        <f>ROMAN(1335)</f>
        <v/>
      </c>
      <c r="D1336">
        <f>IF(B1336=C1336, "YES", "WRONG")</f>
        <v/>
      </c>
    </row>
    <row r="1337">
      <c r="A1337" t="n">
        <v>1336</v>
      </c>
      <c r="B1337" t="inlineStr">
        <is>
          <t>MCCCXXXVI</t>
        </is>
      </c>
      <c r="C1337">
        <f>ROMAN(1336)</f>
        <v/>
      </c>
      <c r="D1337">
        <f>IF(B1337=C1337, "YES", "WRONG")</f>
        <v/>
      </c>
    </row>
    <row r="1338">
      <c r="A1338" t="n">
        <v>1337</v>
      </c>
      <c r="B1338" t="inlineStr">
        <is>
          <t>MCCCXXXVII</t>
        </is>
      </c>
      <c r="C1338">
        <f>ROMAN(1337)</f>
        <v/>
      </c>
      <c r="D1338">
        <f>IF(B1338=C1338, "YES", "WRONG")</f>
        <v/>
      </c>
    </row>
    <row r="1339">
      <c r="A1339" t="n">
        <v>1338</v>
      </c>
      <c r="B1339" t="inlineStr">
        <is>
          <t>MCCCXXXVIII</t>
        </is>
      </c>
      <c r="C1339">
        <f>ROMAN(1338)</f>
        <v/>
      </c>
      <c r="D1339">
        <f>IF(B1339=C1339, "YES", "WRONG")</f>
        <v/>
      </c>
    </row>
    <row r="1340">
      <c r="A1340" t="n">
        <v>1339</v>
      </c>
      <c r="B1340" t="inlineStr">
        <is>
          <t>MCCCXXXIX</t>
        </is>
      </c>
      <c r="C1340">
        <f>ROMAN(1339)</f>
        <v/>
      </c>
      <c r="D1340">
        <f>IF(B1340=C1340, "YES", "WRONG")</f>
        <v/>
      </c>
    </row>
    <row r="1341">
      <c r="A1341" t="n">
        <v>1340</v>
      </c>
      <c r="B1341" t="inlineStr">
        <is>
          <t>MCCCXL</t>
        </is>
      </c>
      <c r="C1341">
        <f>ROMAN(1340)</f>
        <v/>
      </c>
      <c r="D1341">
        <f>IF(B1341=C1341, "YES", "WRONG")</f>
        <v/>
      </c>
    </row>
    <row r="1342">
      <c r="A1342" t="n">
        <v>1341</v>
      </c>
      <c r="B1342" t="inlineStr">
        <is>
          <t>MCCCXLI</t>
        </is>
      </c>
      <c r="C1342">
        <f>ROMAN(1341)</f>
        <v/>
      </c>
      <c r="D1342">
        <f>IF(B1342=C1342, "YES", "WRONG")</f>
        <v/>
      </c>
    </row>
    <row r="1343">
      <c r="A1343" t="n">
        <v>1342</v>
      </c>
      <c r="B1343" t="inlineStr">
        <is>
          <t>MCCCXLII</t>
        </is>
      </c>
      <c r="C1343">
        <f>ROMAN(1342)</f>
        <v/>
      </c>
      <c r="D1343">
        <f>IF(B1343=C1343, "YES", "WRONG")</f>
        <v/>
      </c>
    </row>
    <row r="1344">
      <c r="A1344" t="n">
        <v>1343</v>
      </c>
      <c r="B1344" t="inlineStr">
        <is>
          <t>MCCCXLIII</t>
        </is>
      </c>
      <c r="C1344">
        <f>ROMAN(1343)</f>
        <v/>
      </c>
      <c r="D1344">
        <f>IF(B1344=C1344, "YES", "WRONG")</f>
        <v/>
      </c>
    </row>
    <row r="1345">
      <c r="A1345" t="n">
        <v>1344</v>
      </c>
      <c r="B1345" t="inlineStr">
        <is>
          <t>MCCCXLIV</t>
        </is>
      </c>
      <c r="C1345">
        <f>ROMAN(1344)</f>
        <v/>
      </c>
      <c r="D1345">
        <f>IF(B1345=C1345, "YES", "WRONG")</f>
        <v/>
      </c>
    </row>
    <row r="1346">
      <c r="A1346" t="n">
        <v>1345</v>
      </c>
      <c r="B1346" t="inlineStr">
        <is>
          <t>MCCCXLV</t>
        </is>
      </c>
      <c r="C1346">
        <f>ROMAN(1345)</f>
        <v/>
      </c>
      <c r="D1346">
        <f>IF(B1346=C1346, "YES", "WRONG")</f>
        <v/>
      </c>
    </row>
    <row r="1347">
      <c r="A1347" t="n">
        <v>1346</v>
      </c>
      <c r="B1347" t="inlineStr">
        <is>
          <t>MCCCXLVI</t>
        </is>
      </c>
      <c r="C1347">
        <f>ROMAN(1346)</f>
        <v/>
      </c>
      <c r="D1347">
        <f>IF(B1347=C1347, "YES", "WRONG")</f>
        <v/>
      </c>
    </row>
    <row r="1348">
      <c r="A1348" t="n">
        <v>1347</v>
      </c>
      <c r="B1348" t="inlineStr">
        <is>
          <t>MCCCXLVII</t>
        </is>
      </c>
      <c r="C1348">
        <f>ROMAN(1347)</f>
        <v/>
      </c>
      <c r="D1348">
        <f>IF(B1348=C1348, "YES", "WRONG")</f>
        <v/>
      </c>
    </row>
    <row r="1349">
      <c r="A1349" t="n">
        <v>1348</v>
      </c>
      <c r="B1349" t="inlineStr">
        <is>
          <t>MCCCXLVIII</t>
        </is>
      </c>
      <c r="C1349">
        <f>ROMAN(1348)</f>
        <v/>
      </c>
      <c r="D1349">
        <f>IF(B1349=C1349, "YES", "WRONG")</f>
        <v/>
      </c>
    </row>
    <row r="1350">
      <c r="A1350" t="n">
        <v>1349</v>
      </c>
      <c r="B1350" t="inlineStr">
        <is>
          <t>MCCCXLIX</t>
        </is>
      </c>
      <c r="C1350">
        <f>ROMAN(1349)</f>
        <v/>
      </c>
      <c r="D1350">
        <f>IF(B1350=C1350, "YES", "WRONG")</f>
        <v/>
      </c>
    </row>
    <row r="1351">
      <c r="A1351" t="n">
        <v>1350</v>
      </c>
      <c r="B1351" t="inlineStr">
        <is>
          <t>MCCCL</t>
        </is>
      </c>
      <c r="C1351">
        <f>ROMAN(1350)</f>
        <v/>
      </c>
      <c r="D1351">
        <f>IF(B1351=C1351, "YES", "WRONG")</f>
        <v/>
      </c>
    </row>
    <row r="1352">
      <c r="A1352" t="n">
        <v>1351</v>
      </c>
      <c r="B1352" t="inlineStr">
        <is>
          <t>MCCCLI</t>
        </is>
      </c>
      <c r="C1352">
        <f>ROMAN(1351)</f>
        <v/>
      </c>
      <c r="D1352">
        <f>IF(B1352=C1352, "YES", "WRONG")</f>
        <v/>
      </c>
    </row>
    <row r="1353">
      <c r="A1353" t="n">
        <v>1352</v>
      </c>
      <c r="B1353" t="inlineStr">
        <is>
          <t>MCCCLII</t>
        </is>
      </c>
      <c r="C1353">
        <f>ROMAN(1352)</f>
        <v/>
      </c>
      <c r="D1353">
        <f>IF(B1353=C1353, "YES", "WRONG")</f>
        <v/>
      </c>
    </row>
    <row r="1354">
      <c r="A1354" t="n">
        <v>1353</v>
      </c>
      <c r="B1354" t="inlineStr">
        <is>
          <t>MCCCLIII</t>
        </is>
      </c>
      <c r="C1354">
        <f>ROMAN(1353)</f>
        <v/>
      </c>
      <c r="D1354">
        <f>IF(B1354=C1354, "YES", "WRONG")</f>
        <v/>
      </c>
    </row>
    <row r="1355">
      <c r="A1355" t="n">
        <v>1354</v>
      </c>
      <c r="B1355" t="inlineStr">
        <is>
          <t>MCCCLIV</t>
        </is>
      </c>
      <c r="C1355">
        <f>ROMAN(1354)</f>
        <v/>
      </c>
      <c r="D1355">
        <f>IF(B1355=C1355, "YES", "WRONG")</f>
        <v/>
      </c>
    </row>
    <row r="1356">
      <c r="A1356" t="n">
        <v>1355</v>
      </c>
      <c r="B1356" t="inlineStr">
        <is>
          <t>MCCCLV</t>
        </is>
      </c>
      <c r="C1356">
        <f>ROMAN(1355)</f>
        <v/>
      </c>
      <c r="D1356">
        <f>IF(B1356=C1356, "YES", "WRONG")</f>
        <v/>
      </c>
    </row>
    <row r="1357">
      <c r="A1357" t="n">
        <v>1356</v>
      </c>
      <c r="B1357" t="inlineStr">
        <is>
          <t>MCCCLVI</t>
        </is>
      </c>
      <c r="C1357">
        <f>ROMAN(1356)</f>
        <v/>
      </c>
      <c r="D1357">
        <f>IF(B1357=C1357, "YES", "WRONG")</f>
        <v/>
      </c>
    </row>
    <row r="1358">
      <c r="A1358" t="n">
        <v>1357</v>
      </c>
      <c r="B1358" t="inlineStr">
        <is>
          <t>MCCCLVII</t>
        </is>
      </c>
      <c r="C1358">
        <f>ROMAN(1357)</f>
        <v/>
      </c>
      <c r="D1358">
        <f>IF(B1358=C1358, "YES", "WRONG")</f>
        <v/>
      </c>
    </row>
    <row r="1359">
      <c r="A1359" t="n">
        <v>1358</v>
      </c>
      <c r="B1359" t="inlineStr">
        <is>
          <t>MCCCLVIII</t>
        </is>
      </c>
      <c r="C1359">
        <f>ROMAN(1358)</f>
        <v/>
      </c>
      <c r="D1359">
        <f>IF(B1359=C1359, "YES", "WRONG")</f>
        <v/>
      </c>
    </row>
    <row r="1360">
      <c r="A1360" t="n">
        <v>1359</v>
      </c>
      <c r="B1360" t="inlineStr">
        <is>
          <t>MCCCLIX</t>
        </is>
      </c>
      <c r="C1360">
        <f>ROMAN(1359)</f>
        <v/>
      </c>
      <c r="D1360">
        <f>IF(B1360=C1360, "YES", "WRONG")</f>
        <v/>
      </c>
    </row>
    <row r="1361">
      <c r="A1361" t="n">
        <v>1360</v>
      </c>
      <c r="B1361" t="inlineStr">
        <is>
          <t>MCCCLX</t>
        </is>
      </c>
      <c r="C1361">
        <f>ROMAN(1360)</f>
        <v/>
      </c>
      <c r="D1361">
        <f>IF(B1361=C1361, "YES", "WRONG")</f>
        <v/>
      </c>
    </row>
    <row r="1362">
      <c r="A1362" t="n">
        <v>1361</v>
      </c>
      <c r="B1362" t="inlineStr">
        <is>
          <t>MCCCLXI</t>
        </is>
      </c>
      <c r="C1362">
        <f>ROMAN(1361)</f>
        <v/>
      </c>
      <c r="D1362">
        <f>IF(B1362=C1362, "YES", "WRONG")</f>
        <v/>
      </c>
    </row>
    <row r="1363">
      <c r="A1363" t="n">
        <v>1362</v>
      </c>
      <c r="B1363" t="inlineStr">
        <is>
          <t>MCCCLXII</t>
        </is>
      </c>
      <c r="C1363">
        <f>ROMAN(1362)</f>
        <v/>
      </c>
      <c r="D1363">
        <f>IF(B1363=C1363, "YES", "WRONG")</f>
        <v/>
      </c>
    </row>
    <row r="1364">
      <c r="A1364" t="n">
        <v>1363</v>
      </c>
      <c r="B1364" t="inlineStr">
        <is>
          <t>MCCCLXIII</t>
        </is>
      </c>
      <c r="C1364">
        <f>ROMAN(1363)</f>
        <v/>
      </c>
      <c r="D1364">
        <f>IF(B1364=C1364, "YES", "WRONG")</f>
        <v/>
      </c>
    </row>
    <row r="1365">
      <c r="A1365" t="n">
        <v>1364</v>
      </c>
      <c r="B1365" t="inlineStr">
        <is>
          <t>MCCCLXIV</t>
        </is>
      </c>
      <c r="C1365">
        <f>ROMAN(1364)</f>
        <v/>
      </c>
      <c r="D1365">
        <f>IF(B1365=C1365, "YES", "WRONG")</f>
        <v/>
      </c>
    </row>
    <row r="1366">
      <c r="A1366" t="n">
        <v>1365</v>
      </c>
      <c r="B1366" t="inlineStr">
        <is>
          <t>MCCCLXV</t>
        </is>
      </c>
      <c r="C1366">
        <f>ROMAN(1365)</f>
        <v/>
      </c>
      <c r="D1366">
        <f>IF(B1366=C1366, "YES", "WRONG")</f>
        <v/>
      </c>
    </row>
    <row r="1367">
      <c r="A1367" t="n">
        <v>1366</v>
      </c>
      <c r="B1367" t="inlineStr">
        <is>
          <t>MCCCLXVI</t>
        </is>
      </c>
      <c r="C1367">
        <f>ROMAN(1366)</f>
        <v/>
      </c>
      <c r="D1367">
        <f>IF(B1367=C1367, "YES", "WRONG")</f>
        <v/>
      </c>
    </row>
    <row r="1368">
      <c r="A1368" t="n">
        <v>1367</v>
      </c>
      <c r="B1368" t="inlineStr">
        <is>
          <t>MCCCLXVII</t>
        </is>
      </c>
      <c r="C1368">
        <f>ROMAN(1367)</f>
        <v/>
      </c>
      <c r="D1368">
        <f>IF(B1368=C1368, "YES", "WRONG")</f>
        <v/>
      </c>
    </row>
    <row r="1369">
      <c r="A1369" t="n">
        <v>1368</v>
      </c>
      <c r="B1369" t="inlineStr">
        <is>
          <t>MCCCLXVIII</t>
        </is>
      </c>
      <c r="C1369">
        <f>ROMAN(1368)</f>
        <v/>
      </c>
      <c r="D1369">
        <f>IF(B1369=C1369, "YES", "WRONG")</f>
        <v/>
      </c>
    </row>
    <row r="1370">
      <c r="A1370" t="n">
        <v>1369</v>
      </c>
      <c r="B1370" t="inlineStr">
        <is>
          <t>MCCCLXIX</t>
        </is>
      </c>
      <c r="C1370">
        <f>ROMAN(1369)</f>
        <v/>
      </c>
      <c r="D1370">
        <f>IF(B1370=C1370, "YES", "WRONG")</f>
        <v/>
      </c>
    </row>
    <row r="1371">
      <c r="A1371" t="n">
        <v>1370</v>
      </c>
      <c r="B1371" t="inlineStr">
        <is>
          <t>MCCCLXX</t>
        </is>
      </c>
      <c r="C1371">
        <f>ROMAN(1370)</f>
        <v/>
      </c>
      <c r="D1371">
        <f>IF(B1371=C1371, "YES", "WRONG")</f>
        <v/>
      </c>
    </row>
    <row r="1372">
      <c r="A1372" t="n">
        <v>1371</v>
      </c>
      <c r="B1372" t="inlineStr">
        <is>
          <t>MCCCLXXI</t>
        </is>
      </c>
      <c r="C1372">
        <f>ROMAN(1371)</f>
        <v/>
      </c>
      <c r="D1372">
        <f>IF(B1372=C1372, "YES", "WRONG")</f>
        <v/>
      </c>
    </row>
    <row r="1373">
      <c r="A1373" t="n">
        <v>1372</v>
      </c>
      <c r="B1373" t="inlineStr">
        <is>
          <t>MCCCLXXII</t>
        </is>
      </c>
      <c r="C1373">
        <f>ROMAN(1372)</f>
        <v/>
      </c>
      <c r="D1373">
        <f>IF(B1373=C1373, "YES", "WRONG")</f>
        <v/>
      </c>
    </row>
    <row r="1374">
      <c r="A1374" t="n">
        <v>1373</v>
      </c>
      <c r="B1374" t="inlineStr">
        <is>
          <t>MCCCLXXIII</t>
        </is>
      </c>
      <c r="C1374">
        <f>ROMAN(1373)</f>
        <v/>
      </c>
      <c r="D1374">
        <f>IF(B1374=C1374, "YES", "WRONG")</f>
        <v/>
      </c>
    </row>
    <row r="1375">
      <c r="A1375" t="n">
        <v>1374</v>
      </c>
      <c r="B1375" t="inlineStr">
        <is>
          <t>MCCCLXXIV</t>
        </is>
      </c>
      <c r="C1375">
        <f>ROMAN(1374)</f>
        <v/>
      </c>
      <c r="D1375">
        <f>IF(B1375=C1375, "YES", "WRONG")</f>
        <v/>
      </c>
    </row>
    <row r="1376">
      <c r="A1376" t="n">
        <v>1375</v>
      </c>
      <c r="B1376" t="inlineStr">
        <is>
          <t>MCCCLXXV</t>
        </is>
      </c>
      <c r="C1376">
        <f>ROMAN(1375)</f>
        <v/>
      </c>
      <c r="D1376">
        <f>IF(B1376=C1376, "YES", "WRONG")</f>
        <v/>
      </c>
    </row>
    <row r="1377">
      <c r="A1377" t="n">
        <v>1376</v>
      </c>
      <c r="B1377" t="inlineStr">
        <is>
          <t>MCCCLXXVI</t>
        </is>
      </c>
      <c r="C1377">
        <f>ROMAN(1376)</f>
        <v/>
      </c>
      <c r="D1377">
        <f>IF(B1377=C1377, "YES", "WRONG")</f>
        <v/>
      </c>
    </row>
    <row r="1378">
      <c r="A1378" t="n">
        <v>1377</v>
      </c>
      <c r="B1378" t="inlineStr">
        <is>
          <t>MCCCLXXVII</t>
        </is>
      </c>
      <c r="C1378">
        <f>ROMAN(1377)</f>
        <v/>
      </c>
      <c r="D1378">
        <f>IF(B1378=C1378, "YES", "WRONG")</f>
        <v/>
      </c>
    </row>
    <row r="1379">
      <c r="A1379" t="n">
        <v>1378</v>
      </c>
      <c r="B1379" t="inlineStr">
        <is>
          <t>MCCCLXXVIII</t>
        </is>
      </c>
      <c r="C1379">
        <f>ROMAN(1378)</f>
        <v/>
      </c>
      <c r="D1379">
        <f>IF(B1379=C1379, "YES", "WRONG")</f>
        <v/>
      </c>
    </row>
    <row r="1380">
      <c r="A1380" t="n">
        <v>1379</v>
      </c>
      <c r="B1380" t="inlineStr">
        <is>
          <t>MCCCLXXIX</t>
        </is>
      </c>
      <c r="C1380">
        <f>ROMAN(1379)</f>
        <v/>
      </c>
      <c r="D1380">
        <f>IF(B1380=C1380, "YES", "WRONG")</f>
        <v/>
      </c>
    </row>
    <row r="1381">
      <c r="A1381" t="n">
        <v>1380</v>
      </c>
      <c r="B1381" t="inlineStr">
        <is>
          <t>MCCCLXXX</t>
        </is>
      </c>
      <c r="C1381">
        <f>ROMAN(1380)</f>
        <v/>
      </c>
      <c r="D1381">
        <f>IF(B1381=C1381, "YES", "WRONG")</f>
        <v/>
      </c>
    </row>
    <row r="1382">
      <c r="A1382" t="n">
        <v>1381</v>
      </c>
      <c r="B1382" t="inlineStr">
        <is>
          <t>MCCCLXXXI</t>
        </is>
      </c>
      <c r="C1382">
        <f>ROMAN(1381)</f>
        <v/>
      </c>
      <c r="D1382">
        <f>IF(B1382=C1382, "YES", "WRONG")</f>
        <v/>
      </c>
    </row>
    <row r="1383">
      <c r="A1383" t="n">
        <v>1382</v>
      </c>
      <c r="B1383" t="inlineStr">
        <is>
          <t>MCCCLXXXII</t>
        </is>
      </c>
      <c r="C1383">
        <f>ROMAN(1382)</f>
        <v/>
      </c>
      <c r="D1383">
        <f>IF(B1383=C1383, "YES", "WRONG")</f>
        <v/>
      </c>
    </row>
    <row r="1384">
      <c r="A1384" t="n">
        <v>1383</v>
      </c>
      <c r="B1384" t="inlineStr">
        <is>
          <t>MCCCLXXXIII</t>
        </is>
      </c>
      <c r="C1384">
        <f>ROMAN(1383)</f>
        <v/>
      </c>
      <c r="D1384">
        <f>IF(B1384=C1384, "YES", "WRONG")</f>
        <v/>
      </c>
    </row>
    <row r="1385">
      <c r="A1385" t="n">
        <v>1384</v>
      </c>
      <c r="B1385" t="inlineStr">
        <is>
          <t>MCCCLXXXIV</t>
        </is>
      </c>
      <c r="C1385">
        <f>ROMAN(1384)</f>
        <v/>
      </c>
      <c r="D1385">
        <f>IF(B1385=C1385, "YES", "WRONG")</f>
        <v/>
      </c>
    </row>
    <row r="1386">
      <c r="A1386" t="n">
        <v>1385</v>
      </c>
      <c r="B1386" t="inlineStr">
        <is>
          <t>MCCCLXXXV</t>
        </is>
      </c>
      <c r="C1386">
        <f>ROMAN(1385)</f>
        <v/>
      </c>
      <c r="D1386">
        <f>IF(B1386=C1386, "YES", "WRONG")</f>
        <v/>
      </c>
    </row>
    <row r="1387">
      <c r="A1387" t="n">
        <v>1386</v>
      </c>
      <c r="B1387" t="inlineStr">
        <is>
          <t>MCCCLXXXVI</t>
        </is>
      </c>
      <c r="C1387">
        <f>ROMAN(1386)</f>
        <v/>
      </c>
      <c r="D1387">
        <f>IF(B1387=C1387, "YES", "WRONG")</f>
        <v/>
      </c>
    </row>
    <row r="1388">
      <c r="A1388" t="n">
        <v>1387</v>
      </c>
      <c r="B1388" t="inlineStr">
        <is>
          <t>MCCCLXXXVII</t>
        </is>
      </c>
      <c r="C1388">
        <f>ROMAN(1387)</f>
        <v/>
      </c>
      <c r="D1388">
        <f>IF(B1388=C1388, "YES", "WRONG")</f>
        <v/>
      </c>
    </row>
    <row r="1389">
      <c r="A1389" t="n">
        <v>1388</v>
      </c>
      <c r="B1389" t="inlineStr">
        <is>
          <t>MCCCLXXXVIII</t>
        </is>
      </c>
      <c r="C1389">
        <f>ROMAN(1388)</f>
        <v/>
      </c>
      <c r="D1389">
        <f>IF(B1389=C1389, "YES", "WRONG")</f>
        <v/>
      </c>
    </row>
    <row r="1390">
      <c r="A1390" t="n">
        <v>1389</v>
      </c>
      <c r="B1390" t="inlineStr">
        <is>
          <t>MCCCLXXXIX</t>
        </is>
      </c>
      <c r="C1390">
        <f>ROMAN(1389)</f>
        <v/>
      </c>
      <c r="D1390">
        <f>IF(B1390=C1390, "YES", "WRONG")</f>
        <v/>
      </c>
    </row>
    <row r="1391">
      <c r="A1391" t="n">
        <v>1390</v>
      </c>
      <c r="B1391" t="inlineStr">
        <is>
          <t>MCCCXC</t>
        </is>
      </c>
      <c r="C1391">
        <f>ROMAN(1390)</f>
        <v/>
      </c>
      <c r="D1391">
        <f>IF(B1391=C1391, "YES", "WRONG")</f>
        <v/>
      </c>
    </row>
    <row r="1392">
      <c r="A1392" t="n">
        <v>1391</v>
      </c>
      <c r="B1392" t="inlineStr">
        <is>
          <t>MCCCXCI</t>
        </is>
      </c>
      <c r="C1392">
        <f>ROMAN(1391)</f>
        <v/>
      </c>
      <c r="D1392">
        <f>IF(B1392=C1392, "YES", "WRONG")</f>
        <v/>
      </c>
    </row>
    <row r="1393">
      <c r="A1393" t="n">
        <v>1392</v>
      </c>
      <c r="B1393" t="inlineStr">
        <is>
          <t>MCCCXCII</t>
        </is>
      </c>
      <c r="C1393">
        <f>ROMAN(1392)</f>
        <v/>
      </c>
      <c r="D1393">
        <f>IF(B1393=C1393, "YES", "WRONG")</f>
        <v/>
      </c>
    </row>
    <row r="1394">
      <c r="A1394" t="n">
        <v>1393</v>
      </c>
      <c r="B1394" t="inlineStr">
        <is>
          <t>MCCCXCIII</t>
        </is>
      </c>
      <c r="C1394">
        <f>ROMAN(1393)</f>
        <v/>
      </c>
      <c r="D1394">
        <f>IF(B1394=C1394, "YES", "WRONG")</f>
        <v/>
      </c>
    </row>
    <row r="1395">
      <c r="A1395" t="n">
        <v>1394</v>
      </c>
      <c r="B1395" t="inlineStr">
        <is>
          <t>MCCCXCIV</t>
        </is>
      </c>
      <c r="C1395">
        <f>ROMAN(1394)</f>
        <v/>
      </c>
      <c r="D1395">
        <f>IF(B1395=C1395, "YES", "WRONG")</f>
        <v/>
      </c>
    </row>
    <row r="1396">
      <c r="A1396" t="n">
        <v>1395</v>
      </c>
      <c r="B1396" t="inlineStr">
        <is>
          <t>MCCCXCV</t>
        </is>
      </c>
      <c r="C1396">
        <f>ROMAN(1395)</f>
        <v/>
      </c>
      <c r="D1396">
        <f>IF(B1396=C1396, "YES", "WRONG")</f>
        <v/>
      </c>
    </row>
    <row r="1397">
      <c r="A1397" t="n">
        <v>1396</v>
      </c>
      <c r="B1397" t="inlineStr">
        <is>
          <t>MCCCXCVI</t>
        </is>
      </c>
      <c r="C1397">
        <f>ROMAN(1396)</f>
        <v/>
      </c>
      <c r="D1397">
        <f>IF(B1397=C1397, "YES", "WRONG")</f>
        <v/>
      </c>
    </row>
    <row r="1398">
      <c r="A1398" t="n">
        <v>1397</v>
      </c>
      <c r="B1398" t="inlineStr">
        <is>
          <t>MCCCXCVII</t>
        </is>
      </c>
      <c r="C1398">
        <f>ROMAN(1397)</f>
        <v/>
      </c>
      <c r="D1398">
        <f>IF(B1398=C1398, "YES", "WRONG")</f>
        <v/>
      </c>
    </row>
    <row r="1399">
      <c r="A1399" t="n">
        <v>1398</v>
      </c>
      <c r="B1399" t="inlineStr">
        <is>
          <t>MCCCXCVIII</t>
        </is>
      </c>
      <c r="C1399">
        <f>ROMAN(1398)</f>
        <v/>
      </c>
      <c r="D1399">
        <f>IF(B1399=C1399, "YES", "WRONG")</f>
        <v/>
      </c>
    </row>
    <row r="1400">
      <c r="A1400" t="n">
        <v>1399</v>
      </c>
      <c r="B1400" t="inlineStr">
        <is>
          <t>MCCCXCIX</t>
        </is>
      </c>
      <c r="C1400">
        <f>ROMAN(1399)</f>
        <v/>
      </c>
      <c r="D1400">
        <f>IF(B1400=C1400, "YES", "WRONG")</f>
        <v/>
      </c>
    </row>
    <row r="1401">
      <c r="A1401" t="n">
        <v>1400</v>
      </c>
      <c r="B1401" t="inlineStr">
        <is>
          <t>MCD</t>
        </is>
      </c>
      <c r="C1401">
        <f>ROMAN(1400)</f>
        <v/>
      </c>
      <c r="D1401">
        <f>IF(B1401=C1401, "YES", "WRONG")</f>
        <v/>
      </c>
    </row>
    <row r="1402">
      <c r="A1402" t="n">
        <v>1401</v>
      </c>
      <c r="B1402" t="inlineStr">
        <is>
          <t>MCDI</t>
        </is>
      </c>
      <c r="C1402">
        <f>ROMAN(1401)</f>
        <v/>
      </c>
      <c r="D1402">
        <f>IF(B1402=C1402, "YES", "WRONG")</f>
        <v/>
      </c>
    </row>
    <row r="1403">
      <c r="A1403" t="n">
        <v>1402</v>
      </c>
      <c r="B1403" t="inlineStr">
        <is>
          <t>MCDII</t>
        </is>
      </c>
      <c r="C1403">
        <f>ROMAN(1402)</f>
        <v/>
      </c>
      <c r="D1403">
        <f>IF(B1403=C1403, "YES", "WRONG")</f>
        <v/>
      </c>
    </row>
    <row r="1404">
      <c r="A1404" t="n">
        <v>1403</v>
      </c>
      <c r="B1404" t="inlineStr">
        <is>
          <t>MCDIII</t>
        </is>
      </c>
      <c r="C1404">
        <f>ROMAN(1403)</f>
        <v/>
      </c>
      <c r="D1404">
        <f>IF(B1404=C1404, "YES", "WRONG")</f>
        <v/>
      </c>
    </row>
    <row r="1405">
      <c r="A1405" t="n">
        <v>1404</v>
      </c>
      <c r="B1405" t="inlineStr">
        <is>
          <t>MCDIV</t>
        </is>
      </c>
      <c r="C1405">
        <f>ROMAN(1404)</f>
        <v/>
      </c>
      <c r="D1405">
        <f>IF(B1405=C1405, "YES", "WRONG")</f>
        <v/>
      </c>
    </row>
    <row r="1406">
      <c r="A1406" t="n">
        <v>1405</v>
      </c>
      <c r="B1406" t="inlineStr">
        <is>
          <t>MCDV</t>
        </is>
      </c>
      <c r="C1406">
        <f>ROMAN(1405)</f>
        <v/>
      </c>
      <c r="D1406">
        <f>IF(B1406=C1406, "YES", "WRONG")</f>
        <v/>
      </c>
    </row>
    <row r="1407">
      <c r="A1407" t="n">
        <v>1406</v>
      </c>
      <c r="B1407" t="inlineStr">
        <is>
          <t>MCDVI</t>
        </is>
      </c>
      <c r="C1407">
        <f>ROMAN(1406)</f>
        <v/>
      </c>
      <c r="D1407">
        <f>IF(B1407=C1407, "YES", "WRONG")</f>
        <v/>
      </c>
    </row>
    <row r="1408">
      <c r="A1408" t="n">
        <v>1407</v>
      </c>
      <c r="B1408" t="inlineStr">
        <is>
          <t>MCDVII</t>
        </is>
      </c>
      <c r="C1408">
        <f>ROMAN(1407)</f>
        <v/>
      </c>
      <c r="D1408">
        <f>IF(B1408=C1408, "YES", "WRONG")</f>
        <v/>
      </c>
    </row>
    <row r="1409">
      <c r="A1409" t="n">
        <v>1408</v>
      </c>
      <c r="B1409" t="inlineStr">
        <is>
          <t>MCDVIII</t>
        </is>
      </c>
      <c r="C1409">
        <f>ROMAN(1408)</f>
        <v/>
      </c>
      <c r="D1409">
        <f>IF(B1409=C1409, "YES", "WRONG")</f>
        <v/>
      </c>
    </row>
    <row r="1410">
      <c r="A1410" t="n">
        <v>1409</v>
      </c>
      <c r="B1410" t="inlineStr">
        <is>
          <t>MCDIX</t>
        </is>
      </c>
      <c r="C1410">
        <f>ROMAN(1409)</f>
        <v/>
      </c>
      <c r="D1410">
        <f>IF(B1410=C1410, "YES", "WRONG")</f>
        <v/>
      </c>
    </row>
    <row r="1411">
      <c r="A1411" t="n">
        <v>1410</v>
      </c>
      <c r="B1411" t="inlineStr">
        <is>
          <t>MCDX</t>
        </is>
      </c>
      <c r="C1411">
        <f>ROMAN(1410)</f>
        <v/>
      </c>
      <c r="D1411">
        <f>IF(B1411=C1411, "YES", "WRONG")</f>
        <v/>
      </c>
    </row>
    <row r="1412">
      <c r="A1412" t="n">
        <v>1411</v>
      </c>
      <c r="B1412" t="inlineStr">
        <is>
          <t>MCDXI</t>
        </is>
      </c>
      <c r="C1412">
        <f>ROMAN(1411)</f>
        <v/>
      </c>
      <c r="D1412">
        <f>IF(B1412=C1412, "YES", "WRONG")</f>
        <v/>
      </c>
    </row>
    <row r="1413">
      <c r="A1413" t="n">
        <v>1412</v>
      </c>
      <c r="B1413" t="inlineStr">
        <is>
          <t>MCDXII</t>
        </is>
      </c>
      <c r="C1413">
        <f>ROMAN(1412)</f>
        <v/>
      </c>
      <c r="D1413">
        <f>IF(B1413=C1413, "YES", "WRONG")</f>
        <v/>
      </c>
    </row>
    <row r="1414">
      <c r="A1414" t="n">
        <v>1413</v>
      </c>
      <c r="B1414" t="inlineStr">
        <is>
          <t>MCDXIII</t>
        </is>
      </c>
      <c r="C1414">
        <f>ROMAN(1413)</f>
        <v/>
      </c>
      <c r="D1414">
        <f>IF(B1414=C1414, "YES", "WRONG")</f>
        <v/>
      </c>
    </row>
    <row r="1415">
      <c r="A1415" t="n">
        <v>1414</v>
      </c>
      <c r="B1415" t="inlineStr">
        <is>
          <t>MCDXIV</t>
        </is>
      </c>
      <c r="C1415">
        <f>ROMAN(1414)</f>
        <v/>
      </c>
      <c r="D1415">
        <f>IF(B1415=C1415, "YES", "WRONG")</f>
        <v/>
      </c>
    </row>
    <row r="1416">
      <c r="A1416" t="n">
        <v>1415</v>
      </c>
      <c r="B1416" t="inlineStr">
        <is>
          <t>MCDXV</t>
        </is>
      </c>
      <c r="C1416">
        <f>ROMAN(1415)</f>
        <v/>
      </c>
      <c r="D1416">
        <f>IF(B1416=C1416, "YES", "WRONG")</f>
        <v/>
      </c>
    </row>
    <row r="1417">
      <c r="A1417" t="n">
        <v>1416</v>
      </c>
      <c r="B1417" t="inlineStr">
        <is>
          <t>MCDXVI</t>
        </is>
      </c>
      <c r="C1417">
        <f>ROMAN(1416)</f>
        <v/>
      </c>
      <c r="D1417">
        <f>IF(B1417=C1417, "YES", "WRONG")</f>
        <v/>
      </c>
    </row>
    <row r="1418">
      <c r="A1418" t="n">
        <v>1417</v>
      </c>
      <c r="B1418" t="inlineStr">
        <is>
          <t>MCDXVII</t>
        </is>
      </c>
      <c r="C1418">
        <f>ROMAN(1417)</f>
        <v/>
      </c>
      <c r="D1418">
        <f>IF(B1418=C1418, "YES", "WRONG")</f>
        <v/>
      </c>
    </row>
    <row r="1419">
      <c r="A1419" t="n">
        <v>1418</v>
      </c>
      <c r="B1419" t="inlineStr">
        <is>
          <t>MCDXVIII</t>
        </is>
      </c>
      <c r="C1419">
        <f>ROMAN(1418)</f>
        <v/>
      </c>
      <c r="D1419">
        <f>IF(B1419=C1419, "YES", "WRONG")</f>
        <v/>
      </c>
    </row>
    <row r="1420">
      <c r="A1420" t="n">
        <v>1419</v>
      </c>
      <c r="B1420" t="inlineStr">
        <is>
          <t>MCDXIX</t>
        </is>
      </c>
      <c r="C1420">
        <f>ROMAN(1419)</f>
        <v/>
      </c>
      <c r="D1420">
        <f>IF(B1420=C1420, "YES", "WRONG")</f>
        <v/>
      </c>
    </row>
    <row r="1421">
      <c r="A1421" t="n">
        <v>1420</v>
      </c>
      <c r="B1421" t="inlineStr">
        <is>
          <t>MCDXX</t>
        </is>
      </c>
      <c r="C1421">
        <f>ROMAN(1420)</f>
        <v/>
      </c>
      <c r="D1421">
        <f>IF(B1421=C1421, "YES", "WRONG")</f>
        <v/>
      </c>
    </row>
    <row r="1422">
      <c r="A1422" t="n">
        <v>1421</v>
      </c>
      <c r="B1422" t="inlineStr">
        <is>
          <t>MCDXXI</t>
        </is>
      </c>
      <c r="C1422">
        <f>ROMAN(1421)</f>
        <v/>
      </c>
      <c r="D1422">
        <f>IF(B1422=C1422, "YES", "WRONG")</f>
        <v/>
      </c>
    </row>
    <row r="1423">
      <c r="A1423" t="n">
        <v>1422</v>
      </c>
      <c r="B1423" t="inlineStr">
        <is>
          <t>MCDXXII</t>
        </is>
      </c>
      <c r="C1423">
        <f>ROMAN(1422)</f>
        <v/>
      </c>
      <c r="D1423">
        <f>IF(B1423=C1423, "YES", "WRONG")</f>
        <v/>
      </c>
    </row>
    <row r="1424">
      <c r="A1424" t="n">
        <v>1423</v>
      </c>
      <c r="B1424" t="inlineStr">
        <is>
          <t>MCDXXIII</t>
        </is>
      </c>
      <c r="C1424">
        <f>ROMAN(1423)</f>
        <v/>
      </c>
      <c r="D1424">
        <f>IF(B1424=C1424, "YES", "WRONG")</f>
        <v/>
      </c>
    </row>
    <row r="1425">
      <c r="A1425" t="n">
        <v>1424</v>
      </c>
      <c r="B1425" t="inlineStr">
        <is>
          <t>MCDXXIV</t>
        </is>
      </c>
      <c r="C1425">
        <f>ROMAN(1424)</f>
        <v/>
      </c>
      <c r="D1425">
        <f>IF(B1425=C1425, "YES", "WRONG")</f>
        <v/>
      </c>
    </row>
    <row r="1426">
      <c r="A1426" t="n">
        <v>1425</v>
      </c>
      <c r="B1426" t="inlineStr">
        <is>
          <t>MCDXXV</t>
        </is>
      </c>
      <c r="C1426">
        <f>ROMAN(1425)</f>
        <v/>
      </c>
      <c r="D1426">
        <f>IF(B1426=C1426, "YES", "WRONG")</f>
        <v/>
      </c>
    </row>
    <row r="1427">
      <c r="A1427" t="n">
        <v>1426</v>
      </c>
      <c r="B1427" t="inlineStr">
        <is>
          <t>MCDXXVI</t>
        </is>
      </c>
      <c r="C1427">
        <f>ROMAN(1426)</f>
        <v/>
      </c>
      <c r="D1427">
        <f>IF(B1427=C1427, "YES", "WRONG")</f>
        <v/>
      </c>
    </row>
    <row r="1428">
      <c r="A1428" t="n">
        <v>1427</v>
      </c>
      <c r="B1428" t="inlineStr">
        <is>
          <t>MCDXXVII</t>
        </is>
      </c>
      <c r="C1428">
        <f>ROMAN(1427)</f>
        <v/>
      </c>
      <c r="D1428">
        <f>IF(B1428=C1428, "YES", "WRONG")</f>
        <v/>
      </c>
    </row>
    <row r="1429">
      <c r="A1429" t="n">
        <v>1428</v>
      </c>
      <c r="B1429" t="inlineStr">
        <is>
          <t>MCDXXVIII</t>
        </is>
      </c>
      <c r="C1429">
        <f>ROMAN(1428)</f>
        <v/>
      </c>
      <c r="D1429">
        <f>IF(B1429=C1429, "YES", "WRONG")</f>
        <v/>
      </c>
    </row>
    <row r="1430">
      <c r="A1430" t="n">
        <v>1429</v>
      </c>
      <c r="B1430" t="inlineStr">
        <is>
          <t>MCDXXIX</t>
        </is>
      </c>
      <c r="C1430">
        <f>ROMAN(1429)</f>
        <v/>
      </c>
      <c r="D1430">
        <f>IF(B1430=C1430, "YES", "WRONG")</f>
        <v/>
      </c>
    </row>
    <row r="1431">
      <c r="A1431" t="n">
        <v>1430</v>
      </c>
      <c r="B1431" t="inlineStr">
        <is>
          <t>MCDXXX</t>
        </is>
      </c>
      <c r="C1431">
        <f>ROMAN(1430)</f>
        <v/>
      </c>
      <c r="D1431">
        <f>IF(B1431=C1431, "YES", "WRONG")</f>
        <v/>
      </c>
    </row>
    <row r="1432">
      <c r="A1432" t="n">
        <v>1431</v>
      </c>
      <c r="B1432" t="inlineStr">
        <is>
          <t>MCDXXXI</t>
        </is>
      </c>
      <c r="C1432">
        <f>ROMAN(1431)</f>
        <v/>
      </c>
      <c r="D1432">
        <f>IF(B1432=C1432, "YES", "WRONG")</f>
        <v/>
      </c>
    </row>
    <row r="1433">
      <c r="A1433" t="n">
        <v>1432</v>
      </c>
      <c r="B1433" t="inlineStr">
        <is>
          <t>MCDXXXII</t>
        </is>
      </c>
      <c r="C1433">
        <f>ROMAN(1432)</f>
        <v/>
      </c>
      <c r="D1433">
        <f>IF(B1433=C1433, "YES", "WRONG")</f>
        <v/>
      </c>
    </row>
    <row r="1434">
      <c r="A1434" t="n">
        <v>1433</v>
      </c>
      <c r="B1434" t="inlineStr">
        <is>
          <t>MCDXXXIII</t>
        </is>
      </c>
      <c r="C1434">
        <f>ROMAN(1433)</f>
        <v/>
      </c>
      <c r="D1434">
        <f>IF(B1434=C1434, "YES", "WRONG")</f>
        <v/>
      </c>
    </row>
    <row r="1435">
      <c r="A1435" t="n">
        <v>1434</v>
      </c>
      <c r="B1435" t="inlineStr">
        <is>
          <t>MCDXXXIV</t>
        </is>
      </c>
      <c r="C1435">
        <f>ROMAN(1434)</f>
        <v/>
      </c>
      <c r="D1435">
        <f>IF(B1435=C1435, "YES", "WRONG")</f>
        <v/>
      </c>
    </row>
    <row r="1436">
      <c r="A1436" t="n">
        <v>1435</v>
      </c>
      <c r="B1436" t="inlineStr">
        <is>
          <t>MCDXXXV</t>
        </is>
      </c>
      <c r="C1436">
        <f>ROMAN(1435)</f>
        <v/>
      </c>
      <c r="D1436">
        <f>IF(B1436=C1436, "YES", "WRONG")</f>
        <v/>
      </c>
    </row>
    <row r="1437">
      <c r="A1437" t="n">
        <v>1436</v>
      </c>
      <c r="B1437" t="inlineStr">
        <is>
          <t>MCDXXXVI</t>
        </is>
      </c>
      <c r="C1437">
        <f>ROMAN(1436)</f>
        <v/>
      </c>
      <c r="D1437">
        <f>IF(B1437=C1437, "YES", "WRONG")</f>
        <v/>
      </c>
    </row>
    <row r="1438">
      <c r="A1438" t="n">
        <v>1437</v>
      </c>
      <c r="B1438" t="inlineStr">
        <is>
          <t>MCDXXXVII</t>
        </is>
      </c>
      <c r="C1438">
        <f>ROMAN(1437)</f>
        <v/>
      </c>
      <c r="D1438">
        <f>IF(B1438=C1438, "YES", "WRONG")</f>
        <v/>
      </c>
    </row>
    <row r="1439">
      <c r="A1439" t="n">
        <v>1438</v>
      </c>
      <c r="B1439" t="inlineStr">
        <is>
          <t>MCDXXXVIII</t>
        </is>
      </c>
      <c r="C1439">
        <f>ROMAN(1438)</f>
        <v/>
      </c>
      <c r="D1439">
        <f>IF(B1439=C1439, "YES", "WRONG")</f>
        <v/>
      </c>
    </row>
    <row r="1440">
      <c r="A1440" t="n">
        <v>1439</v>
      </c>
      <c r="B1440" t="inlineStr">
        <is>
          <t>MCDXXXIX</t>
        </is>
      </c>
      <c r="C1440">
        <f>ROMAN(1439)</f>
        <v/>
      </c>
      <c r="D1440">
        <f>IF(B1440=C1440, "YES", "WRONG")</f>
        <v/>
      </c>
    </row>
    <row r="1441">
      <c r="A1441" t="n">
        <v>1440</v>
      </c>
      <c r="B1441" t="inlineStr">
        <is>
          <t>MCDXL</t>
        </is>
      </c>
      <c r="C1441">
        <f>ROMAN(1440)</f>
        <v/>
      </c>
      <c r="D1441">
        <f>IF(B1441=C1441, "YES", "WRONG")</f>
        <v/>
      </c>
    </row>
    <row r="1442">
      <c r="A1442" t="n">
        <v>1441</v>
      </c>
      <c r="B1442" t="inlineStr">
        <is>
          <t>MCDXLI</t>
        </is>
      </c>
      <c r="C1442">
        <f>ROMAN(1441)</f>
        <v/>
      </c>
      <c r="D1442">
        <f>IF(B1442=C1442, "YES", "WRONG")</f>
        <v/>
      </c>
    </row>
    <row r="1443">
      <c r="A1443" t="n">
        <v>1442</v>
      </c>
      <c r="B1443" t="inlineStr">
        <is>
          <t>MCDXLII</t>
        </is>
      </c>
      <c r="C1443">
        <f>ROMAN(1442)</f>
        <v/>
      </c>
      <c r="D1443">
        <f>IF(B1443=C1443, "YES", "WRONG")</f>
        <v/>
      </c>
    </row>
    <row r="1444">
      <c r="A1444" t="n">
        <v>1443</v>
      </c>
      <c r="B1444" t="inlineStr">
        <is>
          <t>MCDXLIII</t>
        </is>
      </c>
      <c r="C1444">
        <f>ROMAN(1443)</f>
        <v/>
      </c>
      <c r="D1444">
        <f>IF(B1444=C1444, "YES", "WRONG")</f>
        <v/>
      </c>
    </row>
    <row r="1445">
      <c r="A1445" t="n">
        <v>1444</v>
      </c>
      <c r="B1445" t="inlineStr">
        <is>
          <t>MCDXLIV</t>
        </is>
      </c>
      <c r="C1445">
        <f>ROMAN(1444)</f>
        <v/>
      </c>
      <c r="D1445">
        <f>IF(B1445=C1445, "YES", "WRONG")</f>
        <v/>
      </c>
    </row>
    <row r="1446">
      <c r="A1446" t="n">
        <v>1445</v>
      </c>
      <c r="B1446" t="inlineStr">
        <is>
          <t>MCDXLV</t>
        </is>
      </c>
      <c r="C1446">
        <f>ROMAN(1445)</f>
        <v/>
      </c>
      <c r="D1446">
        <f>IF(B1446=C1446, "YES", "WRONG")</f>
        <v/>
      </c>
    </row>
    <row r="1447">
      <c r="A1447" t="n">
        <v>1446</v>
      </c>
      <c r="B1447" t="inlineStr">
        <is>
          <t>MCDXLVI</t>
        </is>
      </c>
      <c r="C1447">
        <f>ROMAN(1446)</f>
        <v/>
      </c>
      <c r="D1447">
        <f>IF(B1447=C1447, "YES", "WRONG")</f>
        <v/>
      </c>
    </row>
    <row r="1448">
      <c r="A1448" t="n">
        <v>1447</v>
      </c>
      <c r="B1448" t="inlineStr">
        <is>
          <t>MCDXLVII</t>
        </is>
      </c>
      <c r="C1448">
        <f>ROMAN(1447)</f>
        <v/>
      </c>
      <c r="D1448">
        <f>IF(B1448=C1448, "YES", "WRONG")</f>
        <v/>
      </c>
    </row>
    <row r="1449">
      <c r="A1449" t="n">
        <v>1448</v>
      </c>
      <c r="B1449" t="inlineStr">
        <is>
          <t>MCDXLVIII</t>
        </is>
      </c>
      <c r="C1449">
        <f>ROMAN(1448)</f>
        <v/>
      </c>
      <c r="D1449">
        <f>IF(B1449=C1449, "YES", "WRONG")</f>
        <v/>
      </c>
    </row>
    <row r="1450">
      <c r="A1450" t="n">
        <v>1449</v>
      </c>
      <c r="B1450" t="inlineStr">
        <is>
          <t>MCDXLIX</t>
        </is>
      </c>
      <c r="C1450">
        <f>ROMAN(1449)</f>
        <v/>
      </c>
      <c r="D1450">
        <f>IF(B1450=C1450, "YES", "WRONG")</f>
        <v/>
      </c>
    </row>
    <row r="1451">
      <c r="A1451" t="n">
        <v>1450</v>
      </c>
      <c r="B1451" t="inlineStr">
        <is>
          <t>MCDL</t>
        </is>
      </c>
      <c r="C1451">
        <f>ROMAN(1450)</f>
        <v/>
      </c>
      <c r="D1451">
        <f>IF(B1451=C1451, "YES", "WRONG")</f>
        <v/>
      </c>
    </row>
    <row r="1452">
      <c r="A1452" t="n">
        <v>1451</v>
      </c>
      <c r="B1452" t="inlineStr">
        <is>
          <t>MCDLI</t>
        </is>
      </c>
      <c r="C1452">
        <f>ROMAN(1451)</f>
        <v/>
      </c>
      <c r="D1452">
        <f>IF(B1452=C1452, "YES", "WRONG")</f>
        <v/>
      </c>
    </row>
    <row r="1453">
      <c r="A1453" t="n">
        <v>1452</v>
      </c>
      <c r="B1453" t="inlineStr">
        <is>
          <t>MCDLII</t>
        </is>
      </c>
      <c r="C1453">
        <f>ROMAN(1452)</f>
        <v/>
      </c>
      <c r="D1453">
        <f>IF(B1453=C1453, "YES", "WRONG")</f>
        <v/>
      </c>
    </row>
    <row r="1454">
      <c r="A1454" t="n">
        <v>1453</v>
      </c>
      <c r="B1454" t="inlineStr">
        <is>
          <t>MCDLIII</t>
        </is>
      </c>
      <c r="C1454">
        <f>ROMAN(1453)</f>
        <v/>
      </c>
      <c r="D1454">
        <f>IF(B1454=C1454, "YES", "WRONG")</f>
        <v/>
      </c>
    </row>
    <row r="1455">
      <c r="A1455" t="n">
        <v>1454</v>
      </c>
      <c r="B1455" t="inlineStr">
        <is>
          <t>MCDLIV</t>
        </is>
      </c>
      <c r="C1455">
        <f>ROMAN(1454)</f>
        <v/>
      </c>
      <c r="D1455">
        <f>IF(B1455=C1455, "YES", "WRONG")</f>
        <v/>
      </c>
    </row>
    <row r="1456">
      <c r="A1456" t="n">
        <v>1455</v>
      </c>
      <c r="B1456" t="inlineStr">
        <is>
          <t>MCDLV</t>
        </is>
      </c>
      <c r="C1456">
        <f>ROMAN(1455)</f>
        <v/>
      </c>
      <c r="D1456">
        <f>IF(B1456=C1456, "YES", "WRONG")</f>
        <v/>
      </c>
    </row>
    <row r="1457">
      <c r="A1457" t="n">
        <v>1456</v>
      </c>
      <c r="B1457" t="inlineStr">
        <is>
          <t>MCDLVI</t>
        </is>
      </c>
      <c r="C1457">
        <f>ROMAN(1456)</f>
        <v/>
      </c>
      <c r="D1457">
        <f>IF(B1457=C1457, "YES", "WRONG")</f>
        <v/>
      </c>
    </row>
    <row r="1458">
      <c r="A1458" t="n">
        <v>1457</v>
      </c>
      <c r="B1458" t="inlineStr">
        <is>
          <t>MCDLVII</t>
        </is>
      </c>
      <c r="C1458">
        <f>ROMAN(1457)</f>
        <v/>
      </c>
      <c r="D1458">
        <f>IF(B1458=C1458, "YES", "WRONG")</f>
        <v/>
      </c>
    </row>
    <row r="1459">
      <c r="A1459" t="n">
        <v>1458</v>
      </c>
      <c r="B1459" t="inlineStr">
        <is>
          <t>MCDLVIII</t>
        </is>
      </c>
      <c r="C1459">
        <f>ROMAN(1458)</f>
        <v/>
      </c>
      <c r="D1459">
        <f>IF(B1459=C1459, "YES", "WRONG")</f>
        <v/>
      </c>
    </row>
    <row r="1460">
      <c r="A1460" t="n">
        <v>1459</v>
      </c>
      <c r="B1460" t="inlineStr">
        <is>
          <t>MCDLIX</t>
        </is>
      </c>
      <c r="C1460">
        <f>ROMAN(1459)</f>
        <v/>
      </c>
      <c r="D1460">
        <f>IF(B1460=C1460, "YES", "WRONG")</f>
        <v/>
      </c>
    </row>
    <row r="1461">
      <c r="A1461" t="n">
        <v>1460</v>
      </c>
      <c r="B1461" t="inlineStr">
        <is>
          <t>MCDLX</t>
        </is>
      </c>
      <c r="C1461">
        <f>ROMAN(1460)</f>
        <v/>
      </c>
      <c r="D1461">
        <f>IF(B1461=C1461, "YES", "WRONG")</f>
        <v/>
      </c>
    </row>
    <row r="1462">
      <c r="A1462" t="n">
        <v>1461</v>
      </c>
      <c r="B1462" t="inlineStr">
        <is>
          <t>MCDLXI</t>
        </is>
      </c>
      <c r="C1462">
        <f>ROMAN(1461)</f>
        <v/>
      </c>
      <c r="D1462">
        <f>IF(B1462=C1462, "YES", "WRONG")</f>
        <v/>
      </c>
    </row>
    <row r="1463">
      <c r="A1463" t="n">
        <v>1462</v>
      </c>
      <c r="B1463" t="inlineStr">
        <is>
          <t>MCDLXII</t>
        </is>
      </c>
      <c r="C1463">
        <f>ROMAN(1462)</f>
        <v/>
      </c>
      <c r="D1463">
        <f>IF(B1463=C1463, "YES", "WRONG")</f>
        <v/>
      </c>
    </row>
    <row r="1464">
      <c r="A1464" t="n">
        <v>1463</v>
      </c>
      <c r="B1464" t="inlineStr">
        <is>
          <t>MCDLXIII</t>
        </is>
      </c>
      <c r="C1464">
        <f>ROMAN(1463)</f>
        <v/>
      </c>
      <c r="D1464">
        <f>IF(B1464=C1464, "YES", "WRONG")</f>
        <v/>
      </c>
    </row>
    <row r="1465">
      <c r="A1465" t="n">
        <v>1464</v>
      </c>
      <c r="B1465" t="inlineStr">
        <is>
          <t>MCDLXIV</t>
        </is>
      </c>
      <c r="C1465">
        <f>ROMAN(1464)</f>
        <v/>
      </c>
      <c r="D1465">
        <f>IF(B1465=C1465, "YES", "WRONG")</f>
        <v/>
      </c>
    </row>
    <row r="1466">
      <c r="A1466" t="n">
        <v>1465</v>
      </c>
      <c r="B1466" t="inlineStr">
        <is>
          <t>MCDLXV</t>
        </is>
      </c>
      <c r="C1466">
        <f>ROMAN(1465)</f>
        <v/>
      </c>
      <c r="D1466">
        <f>IF(B1466=C1466, "YES", "WRONG")</f>
        <v/>
      </c>
    </row>
    <row r="1467">
      <c r="A1467" t="n">
        <v>1466</v>
      </c>
      <c r="B1467" t="inlineStr">
        <is>
          <t>MCDLXVI</t>
        </is>
      </c>
      <c r="C1467">
        <f>ROMAN(1466)</f>
        <v/>
      </c>
      <c r="D1467">
        <f>IF(B1467=C1467, "YES", "WRONG")</f>
        <v/>
      </c>
    </row>
    <row r="1468">
      <c r="A1468" t="n">
        <v>1467</v>
      </c>
      <c r="B1468" t="inlineStr">
        <is>
          <t>MCDLXVII</t>
        </is>
      </c>
      <c r="C1468">
        <f>ROMAN(1467)</f>
        <v/>
      </c>
      <c r="D1468">
        <f>IF(B1468=C1468, "YES", "WRONG")</f>
        <v/>
      </c>
    </row>
    <row r="1469">
      <c r="A1469" t="n">
        <v>1468</v>
      </c>
      <c r="B1469" t="inlineStr">
        <is>
          <t>MCDLXVIII</t>
        </is>
      </c>
      <c r="C1469">
        <f>ROMAN(1468)</f>
        <v/>
      </c>
      <c r="D1469">
        <f>IF(B1469=C1469, "YES", "WRONG")</f>
        <v/>
      </c>
    </row>
    <row r="1470">
      <c r="A1470" t="n">
        <v>1469</v>
      </c>
      <c r="B1470" t="inlineStr">
        <is>
          <t>MCDLXIX</t>
        </is>
      </c>
      <c r="C1470">
        <f>ROMAN(1469)</f>
        <v/>
      </c>
      <c r="D1470">
        <f>IF(B1470=C1470, "YES", "WRONG")</f>
        <v/>
      </c>
    </row>
    <row r="1471">
      <c r="A1471" t="n">
        <v>1470</v>
      </c>
      <c r="B1471" t="inlineStr">
        <is>
          <t>MCDLXX</t>
        </is>
      </c>
      <c r="C1471">
        <f>ROMAN(1470)</f>
        <v/>
      </c>
      <c r="D1471">
        <f>IF(B1471=C1471, "YES", "WRONG")</f>
        <v/>
      </c>
    </row>
    <row r="1472">
      <c r="A1472" t="n">
        <v>1471</v>
      </c>
      <c r="B1472" t="inlineStr">
        <is>
          <t>MCDLXXI</t>
        </is>
      </c>
      <c r="C1472">
        <f>ROMAN(1471)</f>
        <v/>
      </c>
      <c r="D1472">
        <f>IF(B1472=C1472, "YES", "WRONG")</f>
        <v/>
      </c>
    </row>
    <row r="1473">
      <c r="A1473" t="n">
        <v>1472</v>
      </c>
      <c r="B1473" t="inlineStr">
        <is>
          <t>MCDLXXII</t>
        </is>
      </c>
      <c r="C1473">
        <f>ROMAN(1472)</f>
        <v/>
      </c>
      <c r="D1473">
        <f>IF(B1473=C1473, "YES", "WRONG")</f>
        <v/>
      </c>
    </row>
    <row r="1474">
      <c r="A1474" t="n">
        <v>1473</v>
      </c>
      <c r="B1474" t="inlineStr">
        <is>
          <t>MCDLXXIII</t>
        </is>
      </c>
      <c r="C1474">
        <f>ROMAN(1473)</f>
        <v/>
      </c>
      <c r="D1474">
        <f>IF(B1474=C1474, "YES", "WRONG")</f>
        <v/>
      </c>
    </row>
    <row r="1475">
      <c r="A1475" t="n">
        <v>1474</v>
      </c>
      <c r="B1475" t="inlineStr">
        <is>
          <t>MCDLXXIV</t>
        </is>
      </c>
      <c r="C1475">
        <f>ROMAN(1474)</f>
        <v/>
      </c>
      <c r="D1475">
        <f>IF(B1475=C1475, "YES", "WRONG")</f>
        <v/>
      </c>
    </row>
    <row r="1476">
      <c r="A1476" t="n">
        <v>1475</v>
      </c>
      <c r="B1476" t="inlineStr">
        <is>
          <t>MCDLXXV</t>
        </is>
      </c>
      <c r="C1476">
        <f>ROMAN(1475)</f>
        <v/>
      </c>
      <c r="D1476">
        <f>IF(B1476=C1476, "YES", "WRONG")</f>
        <v/>
      </c>
    </row>
    <row r="1477">
      <c r="A1477" t="n">
        <v>1476</v>
      </c>
      <c r="B1477" t="inlineStr">
        <is>
          <t>MCDLXXVI</t>
        </is>
      </c>
      <c r="C1477">
        <f>ROMAN(1476)</f>
        <v/>
      </c>
      <c r="D1477">
        <f>IF(B1477=C1477, "YES", "WRONG")</f>
        <v/>
      </c>
    </row>
    <row r="1478">
      <c r="A1478" t="n">
        <v>1477</v>
      </c>
      <c r="B1478" t="inlineStr">
        <is>
          <t>MCDLXXVII</t>
        </is>
      </c>
      <c r="C1478">
        <f>ROMAN(1477)</f>
        <v/>
      </c>
      <c r="D1478">
        <f>IF(B1478=C1478, "YES", "WRONG")</f>
        <v/>
      </c>
    </row>
    <row r="1479">
      <c r="A1479" t="n">
        <v>1478</v>
      </c>
      <c r="B1479" t="inlineStr">
        <is>
          <t>MCDLXXVIII</t>
        </is>
      </c>
      <c r="C1479">
        <f>ROMAN(1478)</f>
        <v/>
      </c>
      <c r="D1479">
        <f>IF(B1479=C1479, "YES", "WRONG")</f>
        <v/>
      </c>
    </row>
    <row r="1480">
      <c r="A1480" t="n">
        <v>1479</v>
      </c>
      <c r="B1480" t="inlineStr">
        <is>
          <t>MCDLXXIX</t>
        </is>
      </c>
      <c r="C1480">
        <f>ROMAN(1479)</f>
        <v/>
      </c>
      <c r="D1480">
        <f>IF(B1480=C1480, "YES", "WRONG")</f>
        <v/>
      </c>
    </row>
    <row r="1481">
      <c r="A1481" t="n">
        <v>1480</v>
      </c>
      <c r="B1481" t="inlineStr">
        <is>
          <t>MCDLXXX</t>
        </is>
      </c>
      <c r="C1481">
        <f>ROMAN(1480)</f>
        <v/>
      </c>
      <c r="D1481">
        <f>IF(B1481=C1481, "YES", "WRONG")</f>
        <v/>
      </c>
    </row>
    <row r="1482">
      <c r="A1482" t="n">
        <v>1481</v>
      </c>
      <c r="B1482" t="inlineStr">
        <is>
          <t>MCDLXXXI</t>
        </is>
      </c>
      <c r="C1482">
        <f>ROMAN(1481)</f>
        <v/>
      </c>
      <c r="D1482">
        <f>IF(B1482=C1482, "YES", "WRONG")</f>
        <v/>
      </c>
    </row>
    <row r="1483">
      <c r="A1483" t="n">
        <v>1482</v>
      </c>
      <c r="B1483" t="inlineStr">
        <is>
          <t>MCDLXXXII</t>
        </is>
      </c>
      <c r="C1483">
        <f>ROMAN(1482)</f>
        <v/>
      </c>
      <c r="D1483">
        <f>IF(B1483=C1483, "YES", "WRONG")</f>
        <v/>
      </c>
    </row>
    <row r="1484">
      <c r="A1484" t="n">
        <v>1483</v>
      </c>
      <c r="B1484" t="inlineStr">
        <is>
          <t>MCDLXXXIII</t>
        </is>
      </c>
      <c r="C1484">
        <f>ROMAN(1483)</f>
        <v/>
      </c>
      <c r="D1484">
        <f>IF(B1484=C1484, "YES", "WRONG")</f>
        <v/>
      </c>
    </row>
    <row r="1485">
      <c r="A1485" t="n">
        <v>1484</v>
      </c>
      <c r="B1485" t="inlineStr">
        <is>
          <t>MCDLXXXIV</t>
        </is>
      </c>
      <c r="C1485">
        <f>ROMAN(1484)</f>
        <v/>
      </c>
      <c r="D1485">
        <f>IF(B1485=C1485, "YES", "WRONG")</f>
        <v/>
      </c>
    </row>
    <row r="1486">
      <c r="A1486" t="n">
        <v>1485</v>
      </c>
      <c r="B1486" t="inlineStr">
        <is>
          <t>MCDLXXXV</t>
        </is>
      </c>
      <c r="C1486">
        <f>ROMAN(1485)</f>
        <v/>
      </c>
      <c r="D1486">
        <f>IF(B1486=C1486, "YES", "WRONG")</f>
        <v/>
      </c>
    </row>
    <row r="1487">
      <c r="A1487" t="n">
        <v>1486</v>
      </c>
      <c r="B1487" t="inlineStr">
        <is>
          <t>MCDLXXXVI</t>
        </is>
      </c>
      <c r="C1487">
        <f>ROMAN(1486)</f>
        <v/>
      </c>
      <c r="D1487">
        <f>IF(B1487=C1487, "YES", "WRONG")</f>
        <v/>
      </c>
    </row>
    <row r="1488">
      <c r="A1488" t="n">
        <v>1487</v>
      </c>
      <c r="B1488" t="inlineStr">
        <is>
          <t>MCDLXXXVII</t>
        </is>
      </c>
      <c r="C1488">
        <f>ROMAN(1487)</f>
        <v/>
      </c>
      <c r="D1488">
        <f>IF(B1488=C1488, "YES", "WRONG")</f>
        <v/>
      </c>
    </row>
    <row r="1489">
      <c r="A1489" t="n">
        <v>1488</v>
      </c>
      <c r="B1489" t="inlineStr">
        <is>
          <t>MCDLXXXVIII</t>
        </is>
      </c>
      <c r="C1489">
        <f>ROMAN(1488)</f>
        <v/>
      </c>
      <c r="D1489">
        <f>IF(B1489=C1489, "YES", "WRONG")</f>
        <v/>
      </c>
    </row>
    <row r="1490">
      <c r="A1490" t="n">
        <v>1489</v>
      </c>
      <c r="B1490" t="inlineStr">
        <is>
          <t>MCDLXXXIX</t>
        </is>
      </c>
      <c r="C1490">
        <f>ROMAN(1489)</f>
        <v/>
      </c>
      <c r="D1490">
        <f>IF(B1490=C1490, "YES", "WRONG")</f>
        <v/>
      </c>
    </row>
    <row r="1491">
      <c r="A1491" t="n">
        <v>1490</v>
      </c>
      <c r="B1491" t="inlineStr">
        <is>
          <t>MCDXC</t>
        </is>
      </c>
      <c r="C1491">
        <f>ROMAN(1490)</f>
        <v/>
      </c>
      <c r="D1491">
        <f>IF(B1491=C1491, "YES", "WRONG")</f>
        <v/>
      </c>
    </row>
    <row r="1492">
      <c r="A1492" t="n">
        <v>1491</v>
      </c>
      <c r="B1492" t="inlineStr">
        <is>
          <t>MCDXCI</t>
        </is>
      </c>
      <c r="C1492">
        <f>ROMAN(1491)</f>
        <v/>
      </c>
      <c r="D1492">
        <f>IF(B1492=C1492, "YES", "WRONG")</f>
        <v/>
      </c>
    </row>
    <row r="1493">
      <c r="A1493" t="n">
        <v>1492</v>
      </c>
      <c r="B1493" t="inlineStr">
        <is>
          <t>MCDXCII</t>
        </is>
      </c>
      <c r="C1493">
        <f>ROMAN(1492)</f>
        <v/>
      </c>
      <c r="D1493">
        <f>IF(B1493=C1493, "YES", "WRONG")</f>
        <v/>
      </c>
    </row>
    <row r="1494">
      <c r="A1494" t="n">
        <v>1493</v>
      </c>
      <c r="B1494" t="inlineStr">
        <is>
          <t>MCDXCIII</t>
        </is>
      </c>
      <c r="C1494">
        <f>ROMAN(1493)</f>
        <v/>
      </c>
      <c r="D1494">
        <f>IF(B1494=C1494, "YES", "WRONG")</f>
        <v/>
      </c>
    </row>
    <row r="1495">
      <c r="A1495" t="n">
        <v>1494</v>
      </c>
      <c r="B1495" t="inlineStr">
        <is>
          <t>MCDXCIV</t>
        </is>
      </c>
      <c r="C1495">
        <f>ROMAN(1494)</f>
        <v/>
      </c>
      <c r="D1495">
        <f>IF(B1495=C1495, "YES", "WRONG")</f>
        <v/>
      </c>
    </row>
    <row r="1496">
      <c r="A1496" t="n">
        <v>1495</v>
      </c>
      <c r="B1496" t="inlineStr">
        <is>
          <t>MCDXCV</t>
        </is>
      </c>
      <c r="C1496">
        <f>ROMAN(1495)</f>
        <v/>
      </c>
      <c r="D1496">
        <f>IF(B1496=C1496, "YES", "WRONG")</f>
        <v/>
      </c>
    </row>
    <row r="1497">
      <c r="A1497" t="n">
        <v>1496</v>
      </c>
      <c r="B1497" t="inlineStr">
        <is>
          <t>MCDXCVI</t>
        </is>
      </c>
      <c r="C1497">
        <f>ROMAN(1496)</f>
        <v/>
      </c>
      <c r="D1497">
        <f>IF(B1497=C1497, "YES", "WRONG")</f>
        <v/>
      </c>
    </row>
    <row r="1498">
      <c r="A1498" t="n">
        <v>1497</v>
      </c>
      <c r="B1498" t="inlineStr">
        <is>
          <t>MCDXCVII</t>
        </is>
      </c>
      <c r="C1498">
        <f>ROMAN(1497)</f>
        <v/>
      </c>
      <c r="D1498">
        <f>IF(B1498=C1498, "YES", "WRONG")</f>
        <v/>
      </c>
    </row>
    <row r="1499">
      <c r="A1499" t="n">
        <v>1498</v>
      </c>
      <c r="B1499" t="inlineStr">
        <is>
          <t>MCDXCVIII</t>
        </is>
      </c>
      <c r="C1499">
        <f>ROMAN(1498)</f>
        <v/>
      </c>
      <c r="D1499">
        <f>IF(B1499=C1499, "YES", "WRONG")</f>
        <v/>
      </c>
    </row>
    <row r="1500">
      <c r="A1500" t="n">
        <v>1499</v>
      </c>
      <c r="B1500" t="inlineStr">
        <is>
          <t>MCDXCIX</t>
        </is>
      </c>
      <c r="C1500">
        <f>ROMAN(1499)</f>
        <v/>
      </c>
      <c r="D1500">
        <f>IF(B1500=C1500, "YES", "WRONG")</f>
        <v/>
      </c>
    </row>
    <row r="1501">
      <c r="A1501" t="n">
        <v>1500</v>
      </c>
      <c r="B1501" t="inlineStr">
        <is>
          <t>MD</t>
        </is>
      </c>
      <c r="C1501">
        <f>ROMAN(1500)</f>
        <v/>
      </c>
      <c r="D1501">
        <f>IF(B1501=C1501, "YES", "WRONG")</f>
        <v/>
      </c>
    </row>
    <row r="1502">
      <c r="A1502" t="n">
        <v>1501</v>
      </c>
      <c r="B1502" t="inlineStr">
        <is>
          <t>MDI</t>
        </is>
      </c>
      <c r="C1502">
        <f>ROMAN(1501)</f>
        <v/>
      </c>
      <c r="D1502">
        <f>IF(B1502=C1502, "YES", "WRONG")</f>
        <v/>
      </c>
    </row>
    <row r="1503">
      <c r="A1503" t="n">
        <v>1502</v>
      </c>
      <c r="B1503" t="inlineStr">
        <is>
          <t>MDII</t>
        </is>
      </c>
      <c r="C1503">
        <f>ROMAN(1502)</f>
        <v/>
      </c>
      <c r="D1503">
        <f>IF(B1503=C1503, "YES", "WRONG")</f>
        <v/>
      </c>
    </row>
    <row r="1504">
      <c r="A1504" t="n">
        <v>1503</v>
      </c>
      <c r="B1504" t="inlineStr">
        <is>
          <t>MDIII</t>
        </is>
      </c>
      <c r="C1504">
        <f>ROMAN(1503)</f>
        <v/>
      </c>
      <c r="D1504">
        <f>IF(B1504=C1504, "YES", "WRONG")</f>
        <v/>
      </c>
    </row>
    <row r="1505">
      <c r="A1505" t="n">
        <v>1504</v>
      </c>
      <c r="B1505" t="inlineStr">
        <is>
          <t>MDIV</t>
        </is>
      </c>
      <c r="C1505">
        <f>ROMAN(1504)</f>
        <v/>
      </c>
      <c r="D1505">
        <f>IF(B1505=C1505, "YES", "WRONG")</f>
        <v/>
      </c>
    </row>
    <row r="1506">
      <c r="A1506" t="n">
        <v>1505</v>
      </c>
      <c r="B1506" t="inlineStr">
        <is>
          <t>MDV</t>
        </is>
      </c>
      <c r="C1506">
        <f>ROMAN(1505)</f>
        <v/>
      </c>
      <c r="D1506">
        <f>IF(B1506=C1506, "YES", "WRONG")</f>
        <v/>
      </c>
    </row>
    <row r="1507">
      <c r="A1507" t="n">
        <v>1506</v>
      </c>
      <c r="B1507" t="inlineStr">
        <is>
          <t>MDVI</t>
        </is>
      </c>
      <c r="C1507">
        <f>ROMAN(1506)</f>
        <v/>
      </c>
      <c r="D1507">
        <f>IF(B1507=C1507, "YES", "WRONG")</f>
        <v/>
      </c>
    </row>
    <row r="1508">
      <c r="A1508" t="n">
        <v>1507</v>
      </c>
      <c r="B1508" t="inlineStr">
        <is>
          <t>MDVII</t>
        </is>
      </c>
      <c r="C1508">
        <f>ROMAN(1507)</f>
        <v/>
      </c>
      <c r="D1508">
        <f>IF(B1508=C1508, "YES", "WRONG")</f>
        <v/>
      </c>
    </row>
    <row r="1509">
      <c r="A1509" t="n">
        <v>1508</v>
      </c>
      <c r="B1509" t="inlineStr">
        <is>
          <t>MDVIII</t>
        </is>
      </c>
      <c r="C1509">
        <f>ROMAN(1508)</f>
        <v/>
      </c>
      <c r="D1509">
        <f>IF(B1509=C1509, "YES", "WRONG")</f>
        <v/>
      </c>
    </row>
    <row r="1510">
      <c r="A1510" t="n">
        <v>1509</v>
      </c>
      <c r="B1510" t="inlineStr">
        <is>
          <t>MDIX</t>
        </is>
      </c>
      <c r="C1510">
        <f>ROMAN(1509)</f>
        <v/>
      </c>
      <c r="D1510">
        <f>IF(B1510=C1510, "YES", "WRONG")</f>
        <v/>
      </c>
    </row>
    <row r="1511">
      <c r="A1511" t="n">
        <v>1510</v>
      </c>
      <c r="B1511" t="inlineStr">
        <is>
          <t>MDX</t>
        </is>
      </c>
      <c r="C1511">
        <f>ROMAN(1510)</f>
        <v/>
      </c>
      <c r="D1511">
        <f>IF(B1511=C1511, "YES", "WRONG")</f>
        <v/>
      </c>
    </row>
    <row r="1512">
      <c r="A1512" t="n">
        <v>1511</v>
      </c>
      <c r="B1512" t="inlineStr">
        <is>
          <t>MDXI</t>
        </is>
      </c>
      <c r="C1512">
        <f>ROMAN(1511)</f>
        <v/>
      </c>
      <c r="D1512">
        <f>IF(B1512=C1512, "YES", "WRONG")</f>
        <v/>
      </c>
    </row>
    <row r="1513">
      <c r="A1513" t="n">
        <v>1512</v>
      </c>
      <c r="B1513" t="inlineStr">
        <is>
          <t>MDXII</t>
        </is>
      </c>
      <c r="C1513">
        <f>ROMAN(1512)</f>
        <v/>
      </c>
      <c r="D1513">
        <f>IF(B1513=C1513, "YES", "WRONG")</f>
        <v/>
      </c>
    </row>
    <row r="1514">
      <c r="A1514" t="n">
        <v>1513</v>
      </c>
      <c r="B1514" t="inlineStr">
        <is>
          <t>MDXIII</t>
        </is>
      </c>
      <c r="C1514">
        <f>ROMAN(1513)</f>
        <v/>
      </c>
      <c r="D1514">
        <f>IF(B1514=C1514, "YES", "WRONG")</f>
        <v/>
      </c>
    </row>
    <row r="1515">
      <c r="A1515" t="n">
        <v>1514</v>
      </c>
      <c r="B1515" t="inlineStr">
        <is>
          <t>MDXIV</t>
        </is>
      </c>
      <c r="C1515">
        <f>ROMAN(1514)</f>
        <v/>
      </c>
      <c r="D1515">
        <f>IF(B1515=C1515, "YES", "WRONG")</f>
        <v/>
      </c>
    </row>
    <row r="1516">
      <c r="A1516" t="n">
        <v>1515</v>
      </c>
      <c r="B1516" t="inlineStr">
        <is>
          <t>MDXV</t>
        </is>
      </c>
      <c r="C1516">
        <f>ROMAN(1515)</f>
        <v/>
      </c>
      <c r="D1516">
        <f>IF(B1516=C1516, "YES", "WRONG")</f>
        <v/>
      </c>
    </row>
    <row r="1517">
      <c r="A1517" t="n">
        <v>1516</v>
      </c>
      <c r="B1517" t="inlineStr">
        <is>
          <t>MDXVI</t>
        </is>
      </c>
      <c r="C1517">
        <f>ROMAN(1516)</f>
        <v/>
      </c>
      <c r="D1517">
        <f>IF(B1517=C1517, "YES", "WRONG")</f>
        <v/>
      </c>
    </row>
    <row r="1518">
      <c r="A1518" t="n">
        <v>1517</v>
      </c>
      <c r="B1518" t="inlineStr">
        <is>
          <t>MDXVII</t>
        </is>
      </c>
      <c r="C1518">
        <f>ROMAN(1517)</f>
        <v/>
      </c>
      <c r="D1518">
        <f>IF(B1518=C1518, "YES", "WRONG")</f>
        <v/>
      </c>
    </row>
    <row r="1519">
      <c r="A1519" t="n">
        <v>1518</v>
      </c>
      <c r="B1519" t="inlineStr">
        <is>
          <t>MDXVIII</t>
        </is>
      </c>
      <c r="C1519">
        <f>ROMAN(1518)</f>
        <v/>
      </c>
      <c r="D1519">
        <f>IF(B1519=C1519, "YES", "WRONG")</f>
        <v/>
      </c>
    </row>
    <row r="1520">
      <c r="A1520" t="n">
        <v>1519</v>
      </c>
      <c r="B1520" t="inlineStr">
        <is>
          <t>MDXIX</t>
        </is>
      </c>
      <c r="C1520">
        <f>ROMAN(1519)</f>
        <v/>
      </c>
      <c r="D1520">
        <f>IF(B1520=C1520, "YES", "WRONG")</f>
        <v/>
      </c>
    </row>
    <row r="1521">
      <c r="A1521" t="n">
        <v>1520</v>
      </c>
      <c r="B1521" t="inlineStr">
        <is>
          <t>MDXX</t>
        </is>
      </c>
      <c r="C1521">
        <f>ROMAN(1520)</f>
        <v/>
      </c>
      <c r="D1521">
        <f>IF(B1521=C1521, "YES", "WRONG")</f>
        <v/>
      </c>
    </row>
    <row r="1522">
      <c r="A1522" t="n">
        <v>1521</v>
      </c>
      <c r="B1522" t="inlineStr">
        <is>
          <t>MDXXI</t>
        </is>
      </c>
      <c r="C1522">
        <f>ROMAN(1521)</f>
        <v/>
      </c>
      <c r="D1522">
        <f>IF(B1522=C1522, "YES", "WRONG")</f>
        <v/>
      </c>
    </row>
    <row r="1523">
      <c r="A1523" t="n">
        <v>1522</v>
      </c>
      <c r="B1523" t="inlineStr">
        <is>
          <t>MDXXII</t>
        </is>
      </c>
      <c r="C1523">
        <f>ROMAN(1522)</f>
        <v/>
      </c>
      <c r="D1523">
        <f>IF(B1523=C1523, "YES", "WRONG")</f>
        <v/>
      </c>
    </row>
    <row r="1524">
      <c r="A1524" t="n">
        <v>1523</v>
      </c>
      <c r="B1524" t="inlineStr">
        <is>
          <t>MDXXIII</t>
        </is>
      </c>
      <c r="C1524">
        <f>ROMAN(1523)</f>
        <v/>
      </c>
      <c r="D1524">
        <f>IF(B1524=C1524, "YES", "WRONG")</f>
        <v/>
      </c>
    </row>
    <row r="1525">
      <c r="A1525" t="n">
        <v>1524</v>
      </c>
      <c r="B1525" t="inlineStr">
        <is>
          <t>MDXXIV</t>
        </is>
      </c>
      <c r="C1525">
        <f>ROMAN(1524)</f>
        <v/>
      </c>
      <c r="D1525">
        <f>IF(B1525=C1525, "YES", "WRONG")</f>
        <v/>
      </c>
    </row>
    <row r="1526">
      <c r="A1526" t="n">
        <v>1525</v>
      </c>
      <c r="B1526" t="inlineStr">
        <is>
          <t>MDXXV</t>
        </is>
      </c>
      <c r="C1526">
        <f>ROMAN(1525)</f>
        <v/>
      </c>
      <c r="D1526">
        <f>IF(B1526=C1526, "YES", "WRONG")</f>
        <v/>
      </c>
    </row>
    <row r="1527">
      <c r="A1527" t="n">
        <v>1526</v>
      </c>
      <c r="B1527" t="inlineStr">
        <is>
          <t>MDXXVI</t>
        </is>
      </c>
      <c r="C1527">
        <f>ROMAN(1526)</f>
        <v/>
      </c>
      <c r="D1527">
        <f>IF(B1527=C1527, "YES", "WRONG")</f>
        <v/>
      </c>
    </row>
    <row r="1528">
      <c r="A1528" t="n">
        <v>1527</v>
      </c>
      <c r="B1528" t="inlineStr">
        <is>
          <t>MDXXVII</t>
        </is>
      </c>
      <c r="C1528">
        <f>ROMAN(1527)</f>
        <v/>
      </c>
      <c r="D1528">
        <f>IF(B1528=C1528, "YES", "WRONG")</f>
        <v/>
      </c>
    </row>
    <row r="1529">
      <c r="A1529" t="n">
        <v>1528</v>
      </c>
      <c r="B1529" t="inlineStr">
        <is>
          <t>MDXXVIII</t>
        </is>
      </c>
      <c r="C1529">
        <f>ROMAN(1528)</f>
        <v/>
      </c>
      <c r="D1529">
        <f>IF(B1529=C1529, "YES", "WRONG")</f>
        <v/>
      </c>
    </row>
    <row r="1530">
      <c r="A1530" t="n">
        <v>1529</v>
      </c>
      <c r="B1530" t="inlineStr">
        <is>
          <t>MDXXIX</t>
        </is>
      </c>
      <c r="C1530">
        <f>ROMAN(1529)</f>
        <v/>
      </c>
      <c r="D1530">
        <f>IF(B1530=C1530, "YES", "WRONG")</f>
        <v/>
      </c>
    </row>
    <row r="1531">
      <c r="A1531" t="n">
        <v>1530</v>
      </c>
      <c r="B1531" t="inlineStr">
        <is>
          <t>MDXXX</t>
        </is>
      </c>
      <c r="C1531">
        <f>ROMAN(1530)</f>
        <v/>
      </c>
      <c r="D1531">
        <f>IF(B1531=C1531, "YES", "WRONG")</f>
        <v/>
      </c>
    </row>
    <row r="1532">
      <c r="A1532" t="n">
        <v>1531</v>
      </c>
      <c r="B1532" t="inlineStr">
        <is>
          <t>MDXXXI</t>
        </is>
      </c>
      <c r="C1532">
        <f>ROMAN(1531)</f>
        <v/>
      </c>
      <c r="D1532">
        <f>IF(B1532=C1532, "YES", "WRONG")</f>
        <v/>
      </c>
    </row>
    <row r="1533">
      <c r="A1533" t="n">
        <v>1532</v>
      </c>
      <c r="B1533" t="inlineStr">
        <is>
          <t>MDXXXII</t>
        </is>
      </c>
      <c r="C1533">
        <f>ROMAN(1532)</f>
        <v/>
      </c>
      <c r="D1533">
        <f>IF(B1533=C1533, "YES", "WRONG")</f>
        <v/>
      </c>
    </row>
    <row r="1534">
      <c r="A1534" t="n">
        <v>1533</v>
      </c>
      <c r="B1534" t="inlineStr">
        <is>
          <t>MDXXXIII</t>
        </is>
      </c>
      <c r="C1534">
        <f>ROMAN(1533)</f>
        <v/>
      </c>
      <c r="D1534">
        <f>IF(B1534=C1534, "YES", "WRONG")</f>
        <v/>
      </c>
    </row>
    <row r="1535">
      <c r="A1535" t="n">
        <v>1534</v>
      </c>
      <c r="B1535" t="inlineStr">
        <is>
          <t>MDXXXIV</t>
        </is>
      </c>
      <c r="C1535">
        <f>ROMAN(1534)</f>
        <v/>
      </c>
      <c r="D1535">
        <f>IF(B1535=C1535, "YES", "WRONG")</f>
        <v/>
      </c>
    </row>
    <row r="1536">
      <c r="A1536" t="n">
        <v>1535</v>
      </c>
      <c r="B1536" t="inlineStr">
        <is>
          <t>MDXXXV</t>
        </is>
      </c>
      <c r="C1536">
        <f>ROMAN(1535)</f>
        <v/>
      </c>
      <c r="D1536">
        <f>IF(B1536=C1536, "YES", "WRONG")</f>
        <v/>
      </c>
    </row>
    <row r="1537">
      <c r="A1537" t="n">
        <v>1536</v>
      </c>
      <c r="B1537" t="inlineStr">
        <is>
          <t>MDXXXVI</t>
        </is>
      </c>
      <c r="C1537">
        <f>ROMAN(1536)</f>
        <v/>
      </c>
      <c r="D1537">
        <f>IF(B1537=C1537, "YES", "WRONG")</f>
        <v/>
      </c>
    </row>
    <row r="1538">
      <c r="A1538" t="n">
        <v>1537</v>
      </c>
      <c r="B1538" t="inlineStr">
        <is>
          <t>MDXXXVII</t>
        </is>
      </c>
      <c r="C1538">
        <f>ROMAN(1537)</f>
        <v/>
      </c>
      <c r="D1538">
        <f>IF(B1538=C1538, "YES", "WRONG")</f>
        <v/>
      </c>
    </row>
    <row r="1539">
      <c r="A1539" t="n">
        <v>1538</v>
      </c>
      <c r="B1539" t="inlineStr">
        <is>
          <t>MDXXXVIII</t>
        </is>
      </c>
      <c r="C1539">
        <f>ROMAN(1538)</f>
        <v/>
      </c>
      <c r="D1539">
        <f>IF(B1539=C1539, "YES", "WRONG")</f>
        <v/>
      </c>
    </row>
    <row r="1540">
      <c r="A1540" t="n">
        <v>1539</v>
      </c>
      <c r="B1540" t="inlineStr">
        <is>
          <t>MDXXXIX</t>
        </is>
      </c>
      <c r="C1540">
        <f>ROMAN(1539)</f>
        <v/>
      </c>
      <c r="D1540">
        <f>IF(B1540=C1540, "YES", "WRONG")</f>
        <v/>
      </c>
    </row>
    <row r="1541">
      <c r="A1541" t="n">
        <v>1540</v>
      </c>
      <c r="B1541" t="inlineStr">
        <is>
          <t>MDXL</t>
        </is>
      </c>
      <c r="C1541">
        <f>ROMAN(1540)</f>
        <v/>
      </c>
      <c r="D1541">
        <f>IF(B1541=C1541, "YES", "WRONG")</f>
        <v/>
      </c>
    </row>
    <row r="1542">
      <c r="A1542" t="n">
        <v>1541</v>
      </c>
      <c r="B1542" t="inlineStr">
        <is>
          <t>MDXLI</t>
        </is>
      </c>
      <c r="C1542">
        <f>ROMAN(1541)</f>
        <v/>
      </c>
      <c r="D1542">
        <f>IF(B1542=C1542, "YES", "WRONG")</f>
        <v/>
      </c>
    </row>
    <row r="1543">
      <c r="A1543" t="n">
        <v>1542</v>
      </c>
      <c r="B1543" t="inlineStr">
        <is>
          <t>MDXLII</t>
        </is>
      </c>
      <c r="C1543">
        <f>ROMAN(1542)</f>
        <v/>
      </c>
      <c r="D1543">
        <f>IF(B1543=C1543, "YES", "WRONG")</f>
        <v/>
      </c>
    </row>
    <row r="1544">
      <c r="A1544" t="n">
        <v>1543</v>
      </c>
      <c r="B1544" t="inlineStr">
        <is>
          <t>MDXLIII</t>
        </is>
      </c>
      <c r="C1544">
        <f>ROMAN(1543)</f>
        <v/>
      </c>
      <c r="D1544">
        <f>IF(B1544=C1544, "YES", "WRONG")</f>
        <v/>
      </c>
    </row>
    <row r="1545">
      <c r="A1545" t="n">
        <v>1544</v>
      </c>
      <c r="B1545" t="inlineStr">
        <is>
          <t>MDXLIV</t>
        </is>
      </c>
      <c r="C1545">
        <f>ROMAN(1544)</f>
        <v/>
      </c>
      <c r="D1545">
        <f>IF(B1545=C1545, "YES", "WRONG")</f>
        <v/>
      </c>
    </row>
    <row r="1546">
      <c r="A1546" t="n">
        <v>1545</v>
      </c>
      <c r="B1546" t="inlineStr">
        <is>
          <t>MDXLV</t>
        </is>
      </c>
      <c r="C1546">
        <f>ROMAN(1545)</f>
        <v/>
      </c>
      <c r="D1546">
        <f>IF(B1546=C1546, "YES", "WRONG")</f>
        <v/>
      </c>
    </row>
    <row r="1547">
      <c r="A1547" t="n">
        <v>1546</v>
      </c>
      <c r="B1547" t="inlineStr">
        <is>
          <t>MDXLVI</t>
        </is>
      </c>
      <c r="C1547">
        <f>ROMAN(1546)</f>
        <v/>
      </c>
      <c r="D1547">
        <f>IF(B1547=C1547, "YES", "WRONG")</f>
        <v/>
      </c>
    </row>
    <row r="1548">
      <c r="A1548" t="n">
        <v>1547</v>
      </c>
      <c r="B1548" t="inlineStr">
        <is>
          <t>MDXLVII</t>
        </is>
      </c>
      <c r="C1548">
        <f>ROMAN(1547)</f>
        <v/>
      </c>
      <c r="D1548">
        <f>IF(B1548=C1548, "YES", "WRONG")</f>
        <v/>
      </c>
    </row>
    <row r="1549">
      <c r="A1549" t="n">
        <v>1548</v>
      </c>
      <c r="B1549" t="inlineStr">
        <is>
          <t>MDXLVIII</t>
        </is>
      </c>
      <c r="C1549">
        <f>ROMAN(1548)</f>
        <v/>
      </c>
      <c r="D1549">
        <f>IF(B1549=C1549, "YES", "WRONG")</f>
        <v/>
      </c>
    </row>
    <row r="1550">
      <c r="A1550" t="n">
        <v>1549</v>
      </c>
      <c r="B1550" t="inlineStr">
        <is>
          <t>MDXLIX</t>
        </is>
      </c>
      <c r="C1550">
        <f>ROMAN(1549)</f>
        <v/>
      </c>
      <c r="D1550">
        <f>IF(B1550=C1550, "YES", "WRONG")</f>
        <v/>
      </c>
    </row>
    <row r="1551">
      <c r="A1551" t="n">
        <v>1550</v>
      </c>
      <c r="B1551" t="inlineStr">
        <is>
          <t>MDL</t>
        </is>
      </c>
      <c r="C1551">
        <f>ROMAN(1550)</f>
        <v/>
      </c>
      <c r="D1551">
        <f>IF(B1551=C1551, "YES", "WRONG")</f>
        <v/>
      </c>
    </row>
    <row r="1552">
      <c r="A1552" t="n">
        <v>1551</v>
      </c>
      <c r="B1552" t="inlineStr">
        <is>
          <t>MDLI</t>
        </is>
      </c>
      <c r="C1552">
        <f>ROMAN(1551)</f>
        <v/>
      </c>
      <c r="D1552">
        <f>IF(B1552=C1552, "YES", "WRONG")</f>
        <v/>
      </c>
    </row>
    <row r="1553">
      <c r="A1553" t="n">
        <v>1552</v>
      </c>
      <c r="B1553" t="inlineStr">
        <is>
          <t>MDLII</t>
        </is>
      </c>
      <c r="C1553">
        <f>ROMAN(1552)</f>
        <v/>
      </c>
      <c r="D1553">
        <f>IF(B1553=C1553, "YES", "WRONG")</f>
        <v/>
      </c>
    </row>
    <row r="1554">
      <c r="A1554" t="n">
        <v>1553</v>
      </c>
      <c r="B1554" t="inlineStr">
        <is>
          <t>MDLIII</t>
        </is>
      </c>
      <c r="C1554">
        <f>ROMAN(1553)</f>
        <v/>
      </c>
      <c r="D1554">
        <f>IF(B1554=C1554, "YES", "WRONG")</f>
        <v/>
      </c>
    </row>
    <row r="1555">
      <c r="A1555" t="n">
        <v>1554</v>
      </c>
      <c r="B1555" t="inlineStr">
        <is>
          <t>MDLIV</t>
        </is>
      </c>
      <c r="C1555">
        <f>ROMAN(1554)</f>
        <v/>
      </c>
      <c r="D1555">
        <f>IF(B1555=C1555, "YES", "WRONG")</f>
        <v/>
      </c>
    </row>
    <row r="1556">
      <c r="A1556" t="n">
        <v>1555</v>
      </c>
      <c r="B1556" t="inlineStr">
        <is>
          <t>MDLV</t>
        </is>
      </c>
      <c r="C1556">
        <f>ROMAN(1555)</f>
        <v/>
      </c>
      <c r="D1556">
        <f>IF(B1556=C1556, "YES", "WRONG")</f>
        <v/>
      </c>
    </row>
    <row r="1557">
      <c r="A1557" t="n">
        <v>1556</v>
      </c>
      <c r="B1557" t="inlineStr">
        <is>
          <t>MDLVI</t>
        </is>
      </c>
      <c r="C1557">
        <f>ROMAN(1556)</f>
        <v/>
      </c>
      <c r="D1557">
        <f>IF(B1557=C1557, "YES", "WRONG")</f>
        <v/>
      </c>
    </row>
    <row r="1558">
      <c r="A1558" t="n">
        <v>1557</v>
      </c>
      <c r="B1558" t="inlineStr">
        <is>
          <t>MDLVII</t>
        </is>
      </c>
      <c r="C1558">
        <f>ROMAN(1557)</f>
        <v/>
      </c>
      <c r="D1558">
        <f>IF(B1558=C1558, "YES", "WRONG")</f>
        <v/>
      </c>
    </row>
    <row r="1559">
      <c r="A1559" t="n">
        <v>1558</v>
      </c>
      <c r="B1559" t="inlineStr">
        <is>
          <t>MDLVIII</t>
        </is>
      </c>
      <c r="C1559">
        <f>ROMAN(1558)</f>
        <v/>
      </c>
      <c r="D1559">
        <f>IF(B1559=C1559, "YES", "WRONG")</f>
        <v/>
      </c>
    </row>
    <row r="1560">
      <c r="A1560" t="n">
        <v>1559</v>
      </c>
      <c r="B1560" t="inlineStr">
        <is>
          <t>MDLIX</t>
        </is>
      </c>
      <c r="C1560">
        <f>ROMAN(1559)</f>
        <v/>
      </c>
      <c r="D1560">
        <f>IF(B1560=C1560, "YES", "WRONG")</f>
        <v/>
      </c>
    </row>
    <row r="1561">
      <c r="A1561" t="n">
        <v>1560</v>
      </c>
      <c r="B1561" t="inlineStr">
        <is>
          <t>MDLX</t>
        </is>
      </c>
      <c r="C1561">
        <f>ROMAN(1560)</f>
        <v/>
      </c>
      <c r="D1561">
        <f>IF(B1561=C1561, "YES", "WRONG")</f>
        <v/>
      </c>
    </row>
    <row r="1562">
      <c r="A1562" t="n">
        <v>1561</v>
      </c>
      <c r="B1562" t="inlineStr">
        <is>
          <t>MDLXI</t>
        </is>
      </c>
      <c r="C1562">
        <f>ROMAN(1561)</f>
        <v/>
      </c>
      <c r="D1562">
        <f>IF(B1562=C1562, "YES", "WRONG")</f>
        <v/>
      </c>
    </row>
    <row r="1563">
      <c r="A1563" t="n">
        <v>1562</v>
      </c>
      <c r="B1563" t="inlineStr">
        <is>
          <t>MDLXII</t>
        </is>
      </c>
      <c r="C1563">
        <f>ROMAN(1562)</f>
        <v/>
      </c>
      <c r="D1563">
        <f>IF(B1563=C1563, "YES", "WRONG")</f>
        <v/>
      </c>
    </row>
    <row r="1564">
      <c r="A1564" t="n">
        <v>1563</v>
      </c>
      <c r="B1564" t="inlineStr">
        <is>
          <t>MDLXIII</t>
        </is>
      </c>
      <c r="C1564">
        <f>ROMAN(1563)</f>
        <v/>
      </c>
      <c r="D1564">
        <f>IF(B1564=C1564, "YES", "WRONG")</f>
        <v/>
      </c>
    </row>
    <row r="1565">
      <c r="A1565" t="n">
        <v>1564</v>
      </c>
      <c r="B1565" t="inlineStr">
        <is>
          <t>MDLXIV</t>
        </is>
      </c>
      <c r="C1565">
        <f>ROMAN(1564)</f>
        <v/>
      </c>
      <c r="D1565">
        <f>IF(B1565=C1565, "YES", "WRONG")</f>
        <v/>
      </c>
    </row>
    <row r="1566">
      <c r="A1566" t="n">
        <v>1565</v>
      </c>
      <c r="B1566" t="inlineStr">
        <is>
          <t>MDLXV</t>
        </is>
      </c>
      <c r="C1566">
        <f>ROMAN(1565)</f>
        <v/>
      </c>
      <c r="D1566">
        <f>IF(B1566=C1566, "YES", "WRONG")</f>
        <v/>
      </c>
    </row>
    <row r="1567">
      <c r="A1567" t="n">
        <v>1566</v>
      </c>
      <c r="B1567" t="inlineStr">
        <is>
          <t>MDLXVI</t>
        </is>
      </c>
      <c r="C1567">
        <f>ROMAN(1566)</f>
        <v/>
      </c>
      <c r="D1567">
        <f>IF(B1567=C1567, "YES", "WRONG")</f>
        <v/>
      </c>
    </row>
    <row r="1568">
      <c r="A1568" t="n">
        <v>1567</v>
      </c>
      <c r="B1568" t="inlineStr">
        <is>
          <t>MDLXVII</t>
        </is>
      </c>
      <c r="C1568">
        <f>ROMAN(1567)</f>
        <v/>
      </c>
      <c r="D1568">
        <f>IF(B1568=C1568, "YES", "WRONG")</f>
        <v/>
      </c>
    </row>
    <row r="1569">
      <c r="A1569" t="n">
        <v>1568</v>
      </c>
      <c r="B1569" t="inlineStr">
        <is>
          <t>MDLXVIII</t>
        </is>
      </c>
      <c r="C1569">
        <f>ROMAN(1568)</f>
        <v/>
      </c>
      <c r="D1569">
        <f>IF(B1569=C1569, "YES", "WRONG")</f>
        <v/>
      </c>
    </row>
    <row r="1570">
      <c r="A1570" t="n">
        <v>1569</v>
      </c>
      <c r="B1570" t="inlineStr">
        <is>
          <t>MDLXIX</t>
        </is>
      </c>
      <c r="C1570">
        <f>ROMAN(1569)</f>
        <v/>
      </c>
      <c r="D1570">
        <f>IF(B1570=C1570, "YES", "WRONG")</f>
        <v/>
      </c>
    </row>
    <row r="1571">
      <c r="A1571" t="n">
        <v>1570</v>
      </c>
      <c r="B1571" t="inlineStr">
        <is>
          <t>MDLXX</t>
        </is>
      </c>
      <c r="C1571">
        <f>ROMAN(1570)</f>
        <v/>
      </c>
      <c r="D1571">
        <f>IF(B1571=C1571, "YES", "WRONG")</f>
        <v/>
      </c>
    </row>
    <row r="1572">
      <c r="A1572" t="n">
        <v>1571</v>
      </c>
      <c r="B1572" t="inlineStr">
        <is>
          <t>MDLXXI</t>
        </is>
      </c>
      <c r="C1572">
        <f>ROMAN(1571)</f>
        <v/>
      </c>
      <c r="D1572">
        <f>IF(B1572=C1572, "YES", "WRONG")</f>
        <v/>
      </c>
    </row>
    <row r="1573">
      <c r="A1573" t="n">
        <v>1572</v>
      </c>
      <c r="B1573" t="inlineStr">
        <is>
          <t>MDLXXII</t>
        </is>
      </c>
      <c r="C1573">
        <f>ROMAN(1572)</f>
        <v/>
      </c>
      <c r="D1573">
        <f>IF(B1573=C1573, "YES", "WRONG")</f>
        <v/>
      </c>
    </row>
    <row r="1574">
      <c r="A1574" t="n">
        <v>1573</v>
      </c>
      <c r="B1574" t="inlineStr">
        <is>
          <t>MDLXXIII</t>
        </is>
      </c>
      <c r="C1574">
        <f>ROMAN(1573)</f>
        <v/>
      </c>
      <c r="D1574">
        <f>IF(B1574=C1574, "YES", "WRONG")</f>
        <v/>
      </c>
    </row>
    <row r="1575">
      <c r="A1575" t="n">
        <v>1574</v>
      </c>
      <c r="B1575" t="inlineStr">
        <is>
          <t>MDLXXIV</t>
        </is>
      </c>
      <c r="C1575">
        <f>ROMAN(1574)</f>
        <v/>
      </c>
      <c r="D1575">
        <f>IF(B1575=C1575, "YES", "WRONG")</f>
        <v/>
      </c>
    </row>
    <row r="1576">
      <c r="A1576" t="n">
        <v>1575</v>
      </c>
      <c r="B1576" t="inlineStr">
        <is>
          <t>MDLXXV</t>
        </is>
      </c>
      <c r="C1576">
        <f>ROMAN(1575)</f>
        <v/>
      </c>
      <c r="D1576">
        <f>IF(B1576=C1576, "YES", "WRONG")</f>
        <v/>
      </c>
    </row>
    <row r="1577">
      <c r="A1577" t="n">
        <v>1576</v>
      </c>
      <c r="B1577" t="inlineStr">
        <is>
          <t>MDLXXVI</t>
        </is>
      </c>
      <c r="C1577">
        <f>ROMAN(1576)</f>
        <v/>
      </c>
      <c r="D1577">
        <f>IF(B1577=C1577, "YES", "WRONG")</f>
        <v/>
      </c>
    </row>
    <row r="1578">
      <c r="A1578" t="n">
        <v>1577</v>
      </c>
      <c r="B1578" t="inlineStr">
        <is>
          <t>MDLXXVII</t>
        </is>
      </c>
      <c r="C1578">
        <f>ROMAN(1577)</f>
        <v/>
      </c>
      <c r="D1578">
        <f>IF(B1578=C1578, "YES", "WRONG")</f>
        <v/>
      </c>
    </row>
    <row r="1579">
      <c r="A1579" t="n">
        <v>1578</v>
      </c>
      <c r="B1579" t="inlineStr">
        <is>
          <t>MDLXXVIII</t>
        </is>
      </c>
      <c r="C1579">
        <f>ROMAN(1578)</f>
        <v/>
      </c>
      <c r="D1579">
        <f>IF(B1579=C1579, "YES", "WRONG")</f>
        <v/>
      </c>
    </row>
    <row r="1580">
      <c r="A1580" t="n">
        <v>1579</v>
      </c>
      <c r="B1580" t="inlineStr">
        <is>
          <t>MDLXXIX</t>
        </is>
      </c>
      <c r="C1580">
        <f>ROMAN(1579)</f>
        <v/>
      </c>
      <c r="D1580">
        <f>IF(B1580=C1580, "YES", "WRONG")</f>
        <v/>
      </c>
    </row>
    <row r="1581">
      <c r="A1581" t="n">
        <v>1580</v>
      </c>
      <c r="B1581" t="inlineStr">
        <is>
          <t>MDLXXX</t>
        </is>
      </c>
      <c r="C1581">
        <f>ROMAN(1580)</f>
        <v/>
      </c>
      <c r="D1581">
        <f>IF(B1581=C1581, "YES", "WRONG")</f>
        <v/>
      </c>
    </row>
    <row r="1582">
      <c r="A1582" t="n">
        <v>1581</v>
      </c>
      <c r="B1582" t="inlineStr">
        <is>
          <t>MDLXXXI</t>
        </is>
      </c>
      <c r="C1582">
        <f>ROMAN(1581)</f>
        <v/>
      </c>
      <c r="D1582">
        <f>IF(B1582=C1582, "YES", "WRONG")</f>
        <v/>
      </c>
    </row>
    <row r="1583">
      <c r="A1583" t="n">
        <v>1582</v>
      </c>
      <c r="B1583" t="inlineStr">
        <is>
          <t>MDLXXXII</t>
        </is>
      </c>
      <c r="C1583">
        <f>ROMAN(1582)</f>
        <v/>
      </c>
      <c r="D1583">
        <f>IF(B1583=C1583, "YES", "WRONG")</f>
        <v/>
      </c>
    </row>
    <row r="1584">
      <c r="A1584" t="n">
        <v>1583</v>
      </c>
      <c r="B1584" t="inlineStr">
        <is>
          <t>MDLXXXIII</t>
        </is>
      </c>
      <c r="C1584">
        <f>ROMAN(1583)</f>
        <v/>
      </c>
      <c r="D1584">
        <f>IF(B1584=C1584, "YES", "WRONG")</f>
        <v/>
      </c>
    </row>
    <row r="1585">
      <c r="A1585" t="n">
        <v>1584</v>
      </c>
      <c r="B1585" t="inlineStr">
        <is>
          <t>MDLXXXIV</t>
        </is>
      </c>
      <c r="C1585">
        <f>ROMAN(1584)</f>
        <v/>
      </c>
      <c r="D1585">
        <f>IF(B1585=C1585, "YES", "WRONG")</f>
        <v/>
      </c>
    </row>
    <row r="1586">
      <c r="A1586" t="n">
        <v>1585</v>
      </c>
      <c r="B1586" t="inlineStr">
        <is>
          <t>MDLXXXV</t>
        </is>
      </c>
      <c r="C1586">
        <f>ROMAN(1585)</f>
        <v/>
      </c>
      <c r="D1586">
        <f>IF(B1586=C1586, "YES", "WRONG")</f>
        <v/>
      </c>
    </row>
    <row r="1587">
      <c r="A1587" t="n">
        <v>1586</v>
      </c>
      <c r="B1587" t="inlineStr">
        <is>
          <t>MDLXXXVI</t>
        </is>
      </c>
      <c r="C1587">
        <f>ROMAN(1586)</f>
        <v/>
      </c>
      <c r="D1587">
        <f>IF(B1587=C1587, "YES", "WRONG")</f>
        <v/>
      </c>
    </row>
    <row r="1588">
      <c r="A1588" t="n">
        <v>1587</v>
      </c>
      <c r="B1588" t="inlineStr">
        <is>
          <t>MDLXXXVII</t>
        </is>
      </c>
      <c r="C1588">
        <f>ROMAN(1587)</f>
        <v/>
      </c>
      <c r="D1588">
        <f>IF(B1588=C1588, "YES", "WRONG")</f>
        <v/>
      </c>
    </row>
    <row r="1589">
      <c r="A1589" t="n">
        <v>1588</v>
      </c>
      <c r="B1589" t="inlineStr">
        <is>
          <t>MDLXXXVIII</t>
        </is>
      </c>
      <c r="C1589">
        <f>ROMAN(1588)</f>
        <v/>
      </c>
      <c r="D1589">
        <f>IF(B1589=C1589, "YES", "WRONG")</f>
        <v/>
      </c>
    </row>
    <row r="1590">
      <c r="A1590" t="n">
        <v>1589</v>
      </c>
      <c r="B1590" t="inlineStr">
        <is>
          <t>MDLXXXIX</t>
        </is>
      </c>
      <c r="C1590">
        <f>ROMAN(1589)</f>
        <v/>
      </c>
      <c r="D1590">
        <f>IF(B1590=C1590, "YES", "WRONG")</f>
        <v/>
      </c>
    </row>
    <row r="1591">
      <c r="A1591" t="n">
        <v>1590</v>
      </c>
      <c r="B1591" t="inlineStr">
        <is>
          <t>MDXC</t>
        </is>
      </c>
      <c r="C1591">
        <f>ROMAN(1590)</f>
        <v/>
      </c>
      <c r="D1591">
        <f>IF(B1591=C1591, "YES", "WRONG")</f>
        <v/>
      </c>
    </row>
    <row r="1592">
      <c r="A1592" t="n">
        <v>1591</v>
      </c>
      <c r="B1592" t="inlineStr">
        <is>
          <t>MDXCI</t>
        </is>
      </c>
      <c r="C1592">
        <f>ROMAN(1591)</f>
        <v/>
      </c>
      <c r="D1592">
        <f>IF(B1592=C1592, "YES", "WRONG")</f>
        <v/>
      </c>
    </row>
    <row r="1593">
      <c r="A1593" t="n">
        <v>1592</v>
      </c>
      <c r="B1593" t="inlineStr">
        <is>
          <t>MDXCII</t>
        </is>
      </c>
      <c r="C1593">
        <f>ROMAN(1592)</f>
        <v/>
      </c>
      <c r="D1593">
        <f>IF(B1593=C1593, "YES", "WRONG")</f>
        <v/>
      </c>
    </row>
    <row r="1594">
      <c r="A1594" t="n">
        <v>1593</v>
      </c>
      <c r="B1594" t="inlineStr">
        <is>
          <t>MDXCIII</t>
        </is>
      </c>
      <c r="C1594">
        <f>ROMAN(1593)</f>
        <v/>
      </c>
      <c r="D1594">
        <f>IF(B1594=C1594, "YES", "WRONG")</f>
        <v/>
      </c>
    </row>
    <row r="1595">
      <c r="A1595" t="n">
        <v>1594</v>
      </c>
      <c r="B1595" t="inlineStr">
        <is>
          <t>MDXCIV</t>
        </is>
      </c>
      <c r="C1595">
        <f>ROMAN(1594)</f>
        <v/>
      </c>
      <c r="D1595">
        <f>IF(B1595=C1595, "YES", "WRONG")</f>
        <v/>
      </c>
    </row>
    <row r="1596">
      <c r="A1596" t="n">
        <v>1595</v>
      </c>
      <c r="B1596" t="inlineStr">
        <is>
          <t>MDXCV</t>
        </is>
      </c>
      <c r="C1596">
        <f>ROMAN(1595)</f>
        <v/>
      </c>
      <c r="D1596">
        <f>IF(B1596=C1596, "YES", "WRONG")</f>
        <v/>
      </c>
    </row>
    <row r="1597">
      <c r="A1597" t="n">
        <v>1596</v>
      </c>
      <c r="B1597" t="inlineStr">
        <is>
          <t>MDXCVI</t>
        </is>
      </c>
      <c r="C1597">
        <f>ROMAN(1596)</f>
        <v/>
      </c>
      <c r="D1597">
        <f>IF(B1597=C1597, "YES", "WRONG")</f>
        <v/>
      </c>
    </row>
    <row r="1598">
      <c r="A1598" t="n">
        <v>1597</v>
      </c>
      <c r="B1598" t="inlineStr">
        <is>
          <t>MDXCVII</t>
        </is>
      </c>
      <c r="C1598">
        <f>ROMAN(1597)</f>
        <v/>
      </c>
      <c r="D1598">
        <f>IF(B1598=C1598, "YES", "WRONG")</f>
        <v/>
      </c>
    </row>
    <row r="1599">
      <c r="A1599" t="n">
        <v>1598</v>
      </c>
      <c r="B1599" t="inlineStr">
        <is>
          <t>MDXCVIII</t>
        </is>
      </c>
      <c r="C1599">
        <f>ROMAN(1598)</f>
        <v/>
      </c>
      <c r="D1599">
        <f>IF(B1599=C1599, "YES", "WRONG")</f>
        <v/>
      </c>
    </row>
    <row r="1600">
      <c r="A1600" t="n">
        <v>1599</v>
      </c>
      <c r="B1600" t="inlineStr">
        <is>
          <t>MDXCIX</t>
        </is>
      </c>
      <c r="C1600">
        <f>ROMAN(1599)</f>
        <v/>
      </c>
      <c r="D1600">
        <f>IF(B1600=C1600, "YES", "WRONG")</f>
        <v/>
      </c>
    </row>
    <row r="1601">
      <c r="A1601" t="n">
        <v>1600</v>
      </c>
      <c r="B1601" t="inlineStr">
        <is>
          <t>MDC</t>
        </is>
      </c>
      <c r="C1601">
        <f>ROMAN(1600)</f>
        <v/>
      </c>
      <c r="D1601">
        <f>IF(B1601=C1601, "YES", "WRONG")</f>
        <v/>
      </c>
    </row>
    <row r="1602">
      <c r="A1602" t="n">
        <v>1601</v>
      </c>
      <c r="B1602" t="inlineStr">
        <is>
          <t>MDCI</t>
        </is>
      </c>
      <c r="C1602">
        <f>ROMAN(1601)</f>
        <v/>
      </c>
      <c r="D1602">
        <f>IF(B1602=C1602, "YES", "WRONG")</f>
        <v/>
      </c>
    </row>
    <row r="1603">
      <c r="A1603" t="n">
        <v>1602</v>
      </c>
      <c r="B1603" t="inlineStr">
        <is>
          <t>MDCII</t>
        </is>
      </c>
      <c r="C1603">
        <f>ROMAN(1602)</f>
        <v/>
      </c>
      <c r="D1603">
        <f>IF(B1603=C1603, "YES", "WRONG")</f>
        <v/>
      </c>
    </row>
    <row r="1604">
      <c r="A1604" t="n">
        <v>1603</v>
      </c>
      <c r="B1604" t="inlineStr">
        <is>
          <t>MDCIII</t>
        </is>
      </c>
      <c r="C1604">
        <f>ROMAN(1603)</f>
        <v/>
      </c>
      <c r="D1604">
        <f>IF(B1604=C1604, "YES", "WRONG")</f>
        <v/>
      </c>
    </row>
    <row r="1605">
      <c r="A1605" t="n">
        <v>1604</v>
      </c>
      <c r="B1605" t="inlineStr">
        <is>
          <t>MDCIV</t>
        </is>
      </c>
      <c r="C1605">
        <f>ROMAN(1604)</f>
        <v/>
      </c>
      <c r="D1605">
        <f>IF(B1605=C1605, "YES", "WRONG")</f>
        <v/>
      </c>
    </row>
    <row r="1606">
      <c r="A1606" t="n">
        <v>1605</v>
      </c>
      <c r="B1606" t="inlineStr">
        <is>
          <t>MDCV</t>
        </is>
      </c>
      <c r="C1606">
        <f>ROMAN(1605)</f>
        <v/>
      </c>
      <c r="D1606">
        <f>IF(B1606=C1606, "YES", "WRONG")</f>
        <v/>
      </c>
    </row>
    <row r="1607">
      <c r="A1607" t="n">
        <v>1606</v>
      </c>
      <c r="B1607" t="inlineStr">
        <is>
          <t>MDCVI</t>
        </is>
      </c>
      <c r="C1607">
        <f>ROMAN(1606)</f>
        <v/>
      </c>
      <c r="D1607">
        <f>IF(B1607=C1607, "YES", "WRONG")</f>
        <v/>
      </c>
    </row>
    <row r="1608">
      <c r="A1608" t="n">
        <v>1607</v>
      </c>
      <c r="B1608" t="inlineStr">
        <is>
          <t>MDCVII</t>
        </is>
      </c>
      <c r="C1608">
        <f>ROMAN(1607)</f>
        <v/>
      </c>
      <c r="D1608">
        <f>IF(B1608=C1608, "YES", "WRONG")</f>
        <v/>
      </c>
    </row>
    <row r="1609">
      <c r="A1609" t="n">
        <v>1608</v>
      </c>
      <c r="B1609" t="inlineStr">
        <is>
          <t>MDCVIII</t>
        </is>
      </c>
      <c r="C1609">
        <f>ROMAN(1608)</f>
        <v/>
      </c>
      <c r="D1609">
        <f>IF(B1609=C1609, "YES", "WRONG")</f>
        <v/>
      </c>
    </row>
    <row r="1610">
      <c r="A1610" t="n">
        <v>1609</v>
      </c>
      <c r="B1610" t="inlineStr">
        <is>
          <t>MDCIX</t>
        </is>
      </c>
      <c r="C1610">
        <f>ROMAN(1609)</f>
        <v/>
      </c>
      <c r="D1610">
        <f>IF(B1610=C1610, "YES", "WRONG")</f>
        <v/>
      </c>
    </row>
    <row r="1611">
      <c r="A1611" t="n">
        <v>1610</v>
      </c>
      <c r="B1611" t="inlineStr">
        <is>
          <t>MDCX</t>
        </is>
      </c>
      <c r="C1611">
        <f>ROMAN(1610)</f>
        <v/>
      </c>
      <c r="D1611">
        <f>IF(B1611=C1611, "YES", "WRONG")</f>
        <v/>
      </c>
    </row>
    <row r="1612">
      <c r="A1612" t="n">
        <v>1611</v>
      </c>
      <c r="B1612" t="inlineStr">
        <is>
          <t>MDCXI</t>
        </is>
      </c>
      <c r="C1612">
        <f>ROMAN(1611)</f>
        <v/>
      </c>
      <c r="D1612">
        <f>IF(B1612=C1612, "YES", "WRONG")</f>
        <v/>
      </c>
    </row>
    <row r="1613">
      <c r="A1613" t="n">
        <v>1612</v>
      </c>
      <c r="B1613" t="inlineStr">
        <is>
          <t>MDCXII</t>
        </is>
      </c>
      <c r="C1613">
        <f>ROMAN(1612)</f>
        <v/>
      </c>
      <c r="D1613">
        <f>IF(B1613=C1613, "YES", "WRONG")</f>
        <v/>
      </c>
    </row>
    <row r="1614">
      <c r="A1614" t="n">
        <v>1613</v>
      </c>
      <c r="B1614" t="inlineStr">
        <is>
          <t>MDCXIII</t>
        </is>
      </c>
      <c r="C1614">
        <f>ROMAN(1613)</f>
        <v/>
      </c>
      <c r="D1614">
        <f>IF(B1614=C1614, "YES", "WRONG")</f>
        <v/>
      </c>
    </row>
    <row r="1615">
      <c r="A1615" t="n">
        <v>1614</v>
      </c>
      <c r="B1615" t="inlineStr">
        <is>
          <t>MDCXIV</t>
        </is>
      </c>
      <c r="C1615">
        <f>ROMAN(1614)</f>
        <v/>
      </c>
      <c r="D1615">
        <f>IF(B1615=C1615, "YES", "WRONG")</f>
        <v/>
      </c>
    </row>
    <row r="1616">
      <c r="A1616" t="n">
        <v>1615</v>
      </c>
      <c r="B1616" t="inlineStr">
        <is>
          <t>MDCXV</t>
        </is>
      </c>
      <c r="C1616">
        <f>ROMAN(1615)</f>
        <v/>
      </c>
      <c r="D1616">
        <f>IF(B1616=C1616, "YES", "WRONG")</f>
        <v/>
      </c>
    </row>
    <row r="1617">
      <c r="A1617" t="n">
        <v>1616</v>
      </c>
      <c r="B1617" t="inlineStr">
        <is>
          <t>MDCXVI</t>
        </is>
      </c>
      <c r="C1617">
        <f>ROMAN(1616)</f>
        <v/>
      </c>
      <c r="D1617">
        <f>IF(B1617=C1617, "YES", "WRONG")</f>
        <v/>
      </c>
    </row>
    <row r="1618">
      <c r="A1618" t="n">
        <v>1617</v>
      </c>
      <c r="B1618" t="inlineStr">
        <is>
          <t>MDCXVII</t>
        </is>
      </c>
      <c r="C1618">
        <f>ROMAN(1617)</f>
        <v/>
      </c>
      <c r="D1618">
        <f>IF(B1618=C1618, "YES", "WRONG")</f>
        <v/>
      </c>
    </row>
    <row r="1619">
      <c r="A1619" t="n">
        <v>1618</v>
      </c>
      <c r="B1619" t="inlineStr">
        <is>
          <t>MDCXVIII</t>
        </is>
      </c>
      <c r="C1619">
        <f>ROMAN(1618)</f>
        <v/>
      </c>
      <c r="D1619">
        <f>IF(B1619=C1619, "YES", "WRONG")</f>
        <v/>
      </c>
    </row>
    <row r="1620">
      <c r="A1620" t="n">
        <v>1619</v>
      </c>
      <c r="B1620" t="inlineStr">
        <is>
          <t>MDCXIX</t>
        </is>
      </c>
      <c r="C1620">
        <f>ROMAN(1619)</f>
        <v/>
      </c>
      <c r="D1620">
        <f>IF(B1620=C1620, "YES", "WRONG")</f>
        <v/>
      </c>
    </row>
    <row r="1621">
      <c r="A1621" t="n">
        <v>1620</v>
      </c>
      <c r="B1621" t="inlineStr">
        <is>
          <t>MDCXX</t>
        </is>
      </c>
      <c r="C1621">
        <f>ROMAN(1620)</f>
        <v/>
      </c>
      <c r="D1621">
        <f>IF(B1621=C1621, "YES", "WRONG")</f>
        <v/>
      </c>
    </row>
    <row r="1622">
      <c r="A1622" t="n">
        <v>1621</v>
      </c>
      <c r="B1622" t="inlineStr">
        <is>
          <t>MDCXXI</t>
        </is>
      </c>
      <c r="C1622">
        <f>ROMAN(1621)</f>
        <v/>
      </c>
      <c r="D1622">
        <f>IF(B1622=C1622, "YES", "WRONG")</f>
        <v/>
      </c>
    </row>
    <row r="1623">
      <c r="A1623" t="n">
        <v>1622</v>
      </c>
      <c r="B1623" t="inlineStr">
        <is>
          <t>MDCXXII</t>
        </is>
      </c>
      <c r="C1623">
        <f>ROMAN(1622)</f>
        <v/>
      </c>
      <c r="D1623">
        <f>IF(B1623=C1623, "YES", "WRONG")</f>
        <v/>
      </c>
    </row>
    <row r="1624">
      <c r="A1624" t="n">
        <v>1623</v>
      </c>
      <c r="B1624" t="inlineStr">
        <is>
          <t>MDCXXIII</t>
        </is>
      </c>
      <c r="C1624">
        <f>ROMAN(1623)</f>
        <v/>
      </c>
      <c r="D1624">
        <f>IF(B1624=C1624, "YES", "WRONG")</f>
        <v/>
      </c>
    </row>
    <row r="1625">
      <c r="A1625" t="n">
        <v>1624</v>
      </c>
      <c r="B1625" t="inlineStr">
        <is>
          <t>MDCXXIV</t>
        </is>
      </c>
      <c r="C1625">
        <f>ROMAN(1624)</f>
        <v/>
      </c>
      <c r="D1625">
        <f>IF(B1625=C1625, "YES", "WRONG")</f>
        <v/>
      </c>
    </row>
    <row r="1626">
      <c r="A1626" t="n">
        <v>1625</v>
      </c>
      <c r="B1626" t="inlineStr">
        <is>
          <t>MDCXXV</t>
        </is>
      </c>
      <c r="C1626">
        <f>ROMAN(1625)</f>
        <v/>
      </c>
      <c r="D1626">
        <f>IF(B1626=C1626, "YES", "WRONG")</f>
        <v/>
      </c>
    </row>
    <row r="1627">
      <c r="A1627" t="n">
        <v>1626</v>
      </c>
      <c r="B1627" t="inlineStr">
        <is>
          <t>MDCXXVI</t>
        </is>
      </c>
      <c r="C1627">
        <f>ROMAN(1626)</f>
        <v/>
      </c>
      <c r="D1627">
        <f>IF(B1627=C1627, "YES", "WRONG")</f>
        <v/>
      </c>
    </row>
    <row r="1628">
      <c r="A1628" t="n">
        <v>1627</v>
      </c>
      <c r="B1628" t="inlineStr">
        <is>
          <t>MDCXXVII</t>
        </is>
      </c>
      <c r="C1628">
        <f>ROMAN(1627)</f>
        <v/>
      </c>
      <c r="D1628">
        <f>IF(B1628=C1628, "YES", "WRONG")</f>
        <v/>
      </c>
    </row>
    <row r="1629">
      <c r="A1629" t="n">
        <v>1628</v>
      </c>
      <c r="B1629" t="inlineStr">
        <is>
          <t>MDCXXVIII</t>
        </is>
      </c>
      <c r="C1629">
        <f>ROMAN(1628)</f>
        <v/>
      </c>
      <c r="D1629">
        <f>IF(B1629=C1629, "YES", "WRONG")</f>
        <v/>
      </c>
    </row>
    <row r="1630">
      <c r="A1630" t="n">
        <v>1629</v>
      </c>
      <c r="B1630" t="inlineStr">
        <is>
          <t>MDCXXIX</t>
        </is>
      </c>
      <c r="C1630">
        <f>ROMAN(1629)</f>
        <v/>
      </c>
      <c r="D1630">
        <f>IF(B1630=C1630, "YES", "WRONG")</f>
        <v/>
      </c>
    </row>
    <row r="1631">
      <c r="A1631" t="n">
        <v>1630</v>
      </c>
      <c r="B1631" t="inlineStr">
        <is>
          <t>MDCXXX</t>
        </is>
      </c>
      <c r="C1631">
        <f>ROMAN(1630)</f>
        <v/>
      </c>
      <c r="D1631">
        <f>IF(B1631=C1631, "YES", "WRONG")</f>
        <v/>
      </c>
    </row>
    <row r="1632">
      <c r="A1632" t="n">
        <v>1631</v>
      </c>
      <c r="B1632" t="inlineStr">
        <is>
          <t>MDCXXXI</t>
        </is>
      </c>
      <c r="C1632">
        <f>ROMAN(1631)</f>
        <v/>
      </c>
      <c r="D1632">
        <f>IF(B1632=C1632, "YES", "WRONG")</f>
        <v/>
      </c>
    </row>
    <row r="1633">
      <c r="A1633" t="n">
        <v>1632</v>
      </c>
      <c r="B1633" t="inlineStr">
        <is>
          <t>MDCXXXII</t>
        </is>
      </c>
      <c r="C1633">
        <f>ROMAN(1632)</f>
        <v/>
      </c>
      <c r="D1633">
        <f>IF(B1633=C1633, "YES", "WRONG")</f>
        <v/>
      </c>
    </row>
    <row r="1634">
      <c r="A1634" t="n">
        <v>1633</v>
      </c>
      <c r="B1634" t="inlineStr">
        <is>
          <t>MDCXXXIII</t>
        </is>
      </c>
      <c r="C1634">
        <f>ROMAN(1633)</f>
        <v/>
      </c>
      <c r="D1634">
        <f>IF(B1634=C1634, "YES", "WRONG")</f>
        <v/>
      </c>
    </row>
    <row r="1635">
      <c r="A1635" t="n">
        <v>1634</v>
      </c>
      <c r="B1635" t="inlineStr">
        <is>
          <t>MDCXXXIV</t>
        </is>
      </c>
      <c r="C1635">
        <f>ROMAN(1634)</f>
        <v/>
      </c>
      <c r="D1635">
        <f>IF(B1635=C1635, "YES", "WRONG")</f>
        <v/>
      </c>
    </row>
    <row r="1636">
      <c r="A1636" t="n">
        <v>1635</v>
      </c>
      <c r="B1636" t="inlineStr">
        <is>
          <t>MDCXXXV</t>
        </is>
      </c>
      <c r="C1636">
        <f>ROMAN(1635)</f>
        <v/>
      </c>
      <c r="D1636">
        <f>IF(B1636=C1636, "YES", "WRONG")</f>
        <v/>
      </c>
    </row>
    <row r="1637">
      <c r="A1637" t="n">
        <v>1636</v>
      </c>
      <c r="B1637" t="inlineStr">
        <is>
          <t>MDCXXXVI</t>
        </is>
      </c>
      <c r="C1637">
        <f>ROMAN(1636)</f>
        <v/>
      </c>
      <c r="D1637">
        <f>IF(B1637=C1637, "YES", "WRONG")</f>
        <v/>
      </c>
    </row>
    <row r="1638">
      <c r="A1638" t="n">
        <v>1637</v>
      </c>
      <c r="B1638" t="inlineStr">
        <is>
          <t>MDCXXXVII</t>
        </is>
      </c>
      <c r="C1638">
        <f>ROMAN(1637)</f>
        <v/>
      </c>
      <c r="D1638">
        <f>IF(B1638=C1638, "YES", "WRONG")</f>
        <v/>
      </c>
    </row>
    <row r="1639">
      <c r="A1639" t="n">
        <v>1638</v>
      </c>
      <c r="B1639" t="inlineStr">
        <is>
          <t>MDCXXXVIII</t>
        </is>
      </c>
      <c r="C1639">
        <f>ROMAN(1638)</f>
        <v/>
      </c>
      <c r="D1639">
        <f>IF(B1639=C1639, "YES", "WRONG")</f>
        <v/>
      </c>
    </row>
    <row r="1640">
      <c r="A1640" t="n">
        <v>1639</v>
      </c>
      <c r="B1640" t="inlineStr">
        <is>
          <t>MDCXXXIX</t>
        </is>
      </c>
      <c r="C1640">
        <f>ROMAN(1639)</f>
        <v/>
      </c>
      <c r="D1640">
        <f>IF(B1640=C1640, "YES", "WRONG")</f>
        <v/>
      </c>
    </row>
    <row r="1641">
      <c r="A1641" t="n">
        <v>1640</v>
      </c>
      <c r="B1641" t="inlineStr">
        <is>
          <t>MDCXL</t>
        </is>
      </c>
      <c r="C1641">
        <f>ROMAN(1640)</f>
        <v/>
      </c>
      <c r="D1641">
        <f>IF(B1641=C1641, "YES", "WRONG")</f>
        <v/>
      </c>
    </row>
    <row r="1642">
      <c r="A1642" t="n">
        <v>1641</v>
      </c>
      <c r="B1642" t="inlineStr">
        <is>
          <t>MDCXLI</t>
        </is>
      </c>
      <c r="C1642">
        <f>ROMAN(1641)</f>
        <v/>
      </c>
      <c r="D1642">
        <f>IF(B1642=C1642, "YES", "WRONG")</f>
        <v/>
      </c>
    </row>
    <row r="1643">
      <c r="A1643" t="n">
        <v>1642</v>
      </c>
      <c r="B1643" t="inlineStr">
        <is>
          <t>MDCXLII</t>
        </is>
      </c>
      <c r="C1643">
        <f>ROMAN(1642)</f>
        <v/>
      </c>
      <c r="D1643">
        <f>IF(B1643=C1643, "YES", "WRONG")</f>
        <v/>
      </c>
    </row>
    <row r="1644">
      <c r="A1644" t="n">
        <v>1643</v>
      </c>
      <c r="B1644" t="inlineStr">
        <is>
          <t>MDCXLIII</t>
        </is>
      </c>
      <c r="C1644">
        <f>ROMAN(1643)</f>
        <v/>
      </c>
      <c r="D1644">
        <f>IF(B1644=C1644, "YES", "WRONG")</f>
        <v/>
      </c>
    </row>
    <row r="1645">
      <c r="A1645" t="n">
        <v>1644</v>
      </c>
      <c r="B1645" t="inlineStr">
        <is>
          <t>MDCXLIV</t>
        </is>
      </c>
      <c r="C1645">
        <f>ROMAN(1644)</f>
        <v/>
      </c>
      <c r="D1645">
        <f>IF(B1645=C1645, "YES", "WRONG")</f>
        <v/>
      </c>
    </row>
    <row r="1646">
      <c r="A1646" t="n">
        <v>1645</v>
      </c>
      <c r="B1646" t="inlineStr">
        <is>
          <t>MDCXLV</t>
        </is>
      </c>
      <c r="C1646">
        <f>ROMAN(1645)</f>
        <v/>
      </c>
      <c r="D1646">
        <f>IF(B1646=C1646, "YES", "WRONG")</f>
        <v/>
      </c>
    </row>
    <row r="1647">
      <c r="A1647" t="n">
        <v>1646</v>
      </c>
      <c r="B1647" t="inlineStr">
        <is>
          <t>MDCXLVI</t>
        </is>
      </c>
      <c r="C1647">
        <f>ROMAN(1646)</f>
        <v/>
      </c>
      <c r="D1647">
        <f>IF(B1647=C1647, "YES", "WRONG")</f>
        <v/>
      </c>
    </row>
    <row r="1648">
      <c r="A1648" t="n">
        <v>1647</v>
      </c>
      <c r="B1648" t="inlineStr">
        <is>
          <t>MDCXLVII</t>
        </is>
      </c>
      <c r="C1648">
        <f>ROMAN(1647)</f>
        <v/>
      </c>
      <c r="D1648">
        <f>IF(B1648=C1648, "YES", "WRONG")</f>
        <v/>
      </c>
    </row>
    <row r="1649">
      <c r="A1649" t="n">
        <v>1648</v>
      </c>
      <c r="B1649" t="inlineStr">
        <is>
          <t>MDCXLVIII</t>
        </is>
      </c>
      <c r="C1649">
        <f>ROMAN(1648)</f>
        <v/>
      </c>
      <c r="D1649">
        <f>IF(B1649=C1649, "YES", "WRONG")</f>
        <v/>
      </c>
    </row>
    <row r="1650">
      <c r="A1650" t="n">
        <v>1649</v>
      </c>
      <c r="B1650" t="inlineStr">
        <is>
          <t>MDCXLIX</t>
        </is>
      </c>
      <c r="C1650">
        <f>ROMAN(1649)</f>
        <v/>
      </c>
      <c r="D1650">
        <f>IF(B1650=C1650, "YES", "WRONG")</f>
        <v/>
      </c>
    </row>
    <row r="1651">
      <c r="A1651" t="n">
        <v>1650</v>
      </c>
      <c r="B1651" t="inlineStr">
        <is>
          <t>MDCL</t>
        </is>
      </c>
      <c r="C1651">
        <f>ROMAN(1650)</f>
        <v/>
      </c>
      <c r="D1651">
        <f>IF(B1651=C1651, "YES", "WRONG")</f>
        <v/>
      </c>
    </row>
    <row r="1652">
      <c r="A1652" t="n">
        <v>1651</v>
      </c>
      <c r="B1652" t="inlineStr">
        <is>
          <t>MDCLI</t>
        </is>
      </c>
      <c r="C1652">
        <f>ROMAN(1651)</f>
        <v/>
      </c>
      <c r="D1652">
        <f>IF(B1652=C1652, "YES", "WRONG")</f>
        <v/>
      </c>
    </row>
    <row r="1653">
      <c r="A1653" t="n">
        <v>1652</v>
      </c>
      <c r="B1653" t="inlineStr">
        <is>
          <t>MDCLII</t>
        </is>
      </c>
      <c r="C1653">
        <f>ROMAN(1652)</f>
        <v/>
      </c>
      <c r="D1653">
        <f>IF(B1653=C1653, "YES", "WRONG")</f>
        <v/>
      </c>
    </row>
    <row r="1654">
      <c r="A1654" t="n">
        <v>1653</v>
      </c>
      <c r="B1654" t="inlineStr">
        <is>
          <t>MDCLIII</t>
        </is>
      </c>
      <c r="C1654">
        <f>ROMAN(1653)</f>
        <v/>
      </c>
      <c r="D1654">
        <f>IF(B1654=C1654, "YES", "WRONG")</f>
        <v/>
      </c>
    </row>
    <row r="1655">
      <c r="A1655" t="n">
        <v>1654</v>
      </c>
      <c r="B1655" t="inlineStr">
        <is>
          <t>MDCLIV</t>
        </is>
      </c>
      <c r="C1655">
        <f>ROMAN(1654)</f>
        <v/>
      </c>
      <c r="D1655">
        <f>IF(B1655=C1655, "YES", "WRONG")</f>
        <v/>
      </c>
    </row>
    <row r="1656">
      <c r="A1656" t="n">
        <v>1655</v>
      </c>
      <c r="B1656" t="inlineStr">
        <is>
          <t>MDCLV</t>
        </is>
      </c>
      <c r="C1656">
        <f>ROMAN(1655)</f>
        <v/>
      </c>
      <c r="D1656">
        <f>IF(B1656=C1656, "YES", "WRONG")</f>
        <v/>
      </c>
    </row>
    <row r="1657">
      <c r="A1657" t="n">
        <v>1656</v>
      </c>
      <c r="B1657" t="inlineStr">
        <is>
          <t>MDCLVI</t>
        </is>
      </c>
      <c r="C1657">
        <f>ROMAN(1656)</f>
        <v/>
      </c>
      <c r="D1657">
        <f>IF(B1657=C1657, "YES", "WRONG")</f>
        <v/>
      </c>
    </row>
    <row r="1658">
      <c r="A1658" t="n">
        <v>1657</v>
      </c>
      <c r="B1658" t="inlineStr">
        <is>
          <t>MDCLVII</t>
        </is>
      </c>
      <c r="C1658">
        <f>ROMAN(1657)</f>
        <v/>
      </c>
      <c r="D1658">
        <f>IF(B1658=C1658, "YES", "WRONG")</f>
        <v/>
      </c>
    </row>
    <row r="1659">
      <c r="A1659" t="n">
        <v>1658</v>
      </c>
      <c r="B1659" t="inlineStr">
        <is>
          <t>MDCLVIII</t>
        </is>
      </c>
      <c r="C1659">
        <f>ROMAN(1658)</f>
        <v/>
      </c>
      <c r="D1659">
        <f>IF(B1659=C1659, "YES", "WRONG")</f>
        <v/>
      </c>
    </row>
    <row r="1660">
      <c r="A1660" t="n">
        <v>1659</v>
      </c>
      <c r="B1660" t="inlineStr">
        <is>
          <t>MDCLIX</t>
        </is>
      </c>
      <c r="C1660">
        <f>ROMAN(1659)</f>
        <v/>
      </c>
      <c r="D1660">
        <f>IF(B1660=C1660, "YES", "WRONG")</f>
        <v/>
      </c>
    </row>
    <row r="1661">
      <c r="A1661" t="n">
        <v>1660</v>
      </c>
      <c r="B1661" t="inlineStr">
        <is>
          <t>MDCLX</t>
        </is>
      </c>
      <c r="C1661">
        <f>ROMAN(1660)</f>
        <v/>
      </c>
      <c r="D1661">
        <f>IF(B1661=C1661, "YES", "WRONG")</f>
        <v/>
      </c>
    </row>
    <row r="1662">
      <c r="A1662" t="n">
        <v>1661</v>
      </c>
      <c r="B1662" t="inlineStr">
        <is>
          <t>MDCLXI</t>
        </is>
      </c>
      <c r="C1662">
        <f>ROMAN(1661)</f>
        <v/>
      </c>
      <c r="D1662">
        <f>IF(B1662=C1662, "YES", "WRONG")</f>
        <v/>
      </c>
    </row>
    <row r="1663">
      <c r="A1663" t="n">
        <v>1662</v>
      </c>
      <c r="B1663" t="inlineStr">
        <is>
          <t>MDCLXII</t>
        </is>
      </c>
      <c r="C1663">
        <f>ROMAN(1662)</f>
        <v/>
      </c>
      <c r="D1663">
        <f>IF(B1663=C1663, "YES", "WRONG")</f>
        <v/>
      </c>
    </row>
    <row r="1664">
      <c r="A1664" t="n">
        <v>1663</v>
      </c>
      <c r="B1664" t="inlineStr">
        <is>
          <t>MDCLXIII</t>
        </is>
      </c>
      <c r="C1664">
        <f>ROMAN(1663)</f>
        <v/>
      </c>
      <c r="D1664">
        <f>IF(B1664=C1664, "YES", "WRONG")</f>
        <v/>
      </c>
    </row>
    <row r="1665">
      <c r="A1665" t="n">
        <v>1664</v>
      </c>
      <c r="B1665" t="inlineStr">
        <is>
          <t>MDCLXIV</t>
        </is>
      </c>
      <c r="C1665">
        <f>ROMAN(1664)</f>
        <v/>
      </c>
      <c r="D1665">
        <f>IF(B1665=C1665, "YES", "WRONG")</f>
        <v/>
      </c>
    </row>
    <row r="1666">
      <c r="A1666" t="n">
        <v>1665</v>
      </c>
      <c r="B1666" t="inlineStr">
        <is>
          <t>MDCLXV</t>
        </is>
      </c>
      <c r="C1666">
        <f>ROMAN(1665)</f>
        <v/>
      </c>
      <c r="D1666">
        <f>IF(B1666=C1666, "YES", "WRONG")</f>
        <v/>
      </c>
    </row>
    <row r="1667">
      <c r="A1667" t="n">
        <v>1666</v>
      </c>
      <c r="B1667" t="inlineStr">
        <is>
          <t>MDCLXVI</t>
        </is>
      </c>
      <c r="C1667">
        <f>ROMAN(1666)</f>
        <v/>
      </c>
      <c r="D1667">
        <f>IF(B1667=C1667, "YES", "WRONG")</f>
        <v/>
      </c>
    </row>
    <row r="1668">
      <c r="A1668" t="n">
        <v>1667</v>
      </c>
      <c r="B1668" t="inlineStr">
        <is>
          <t>MDCLXVII</t>
        </is>
      </c>
      <c r="C1668">
        <f>ROMAN(1667)</f>
        <v/>
      </c>
      <c r="D1668">
        <f>IF(B1668=C1668, "YES", "WRONG")</f>
        <v/>
      </c>
    </row>
    <row r="1669">
      <c r="A1669" t="n">
        <v>1668</v>
      </c>
      <c r="B1669" t="inlineStr">
        <is>
          <t>MDCLXVIII</t>
        </is>
      </c>
      <c r="C1669">
        <f>ROMAN(1668)</f>
        <v/>
      </c>
      <c r="D1669">
        <f>IF(B1669=C1669, "YES", "WRONG")</f>
        <v/>
      </c>
    </row>
    <row r="1670">
      <c r="A1670" t="n">
        <v>1669</v>
      </c>
      <c r="B1670" t="inlineStr">
        <is>
          <t>MDCLXIX</t>
        </is>
      </c>
      <c r="C1670">
        <f>ROMAN(1669)</f>
        <v/>
      </c>
      <c r="D1670">
        <f>IF(B1670=C1670, "YES", "WRONG")</f>
        <v/>
      </c>
    </row>
    <row r="1671">
      <c r="A1671" t="n">
        <v>1670</v>
      </c>
      <c r="B1671" t="inlineStr">
        <is>
          <t>MDCLXX</t>
        </is>
      </c>
      <c r="C1671">
        <f>ROMAN(1670)</f>
        <v/>
      </c>
      <c r="D1671">
        <f>IF(B1671=C1671, "YES", "WRONG")</f>
        <v/>
      </c>
    </row>
    <row r="1672">
      <c r="A1672" t="n">
        <v>1671</v>
      </c>
      <c r="B1672" t="inlineStr">
        <is>
          <t>MDCLXXI</t>
        </is>
      </c>
      <c r="C1672">
        <f>ROMAN(1671)</f>
        <v/>
      </c>
      <c r="D1672">
        <f>IF(B1672=C1672, "YES", "WRONG")</f>
        <v/>
      </c>
    </row>
    <row r="1673">
      <c r="A1673" t="n">
        <v>1672</v>
      </c>
      <c r="B1673" t="inlineStr">
        <is>
          <t>MDCLXXII</t>
        </is>
      </c>
      <c r="C1673">
        <f>ROMAN(1672)</f>
        <v/>
      </c>
      <c r="D1673">
        <f>IF(B1673=C1673, "YES", "WRONG")</f>
        <v/>
      </c>
    </row>
    <row r="1674">
      <c r="A1674" t="n">
        <v>1673</v>
      </c>
      <c r="B1674" t="inlineStr">
        <is>
          <t>MDCLXXIII</t>
        </is>
      </c>
      <c r="C1674">
        <f>ROMAN(1673)</f>
        <v/>
      </c>
      <c r="D1674">
        <f>IF(B1674=C1674, "YES", "WRONG")</f>
        <v/>
      </c>
    </row>
    <row r="1675">
      <c r="A1675" t="n">
        <v>1674</v>
      </c>
      <c r="B1675" t="inlineStr">
        <is>
          <t>MDCLXXIV</t>
        </is>
      </c>
      <c r="C1675">
        <f>ROMAN(1674)</f>
        <v/>
      </c>
      <c r="D1675">
        <f>IF(B1675=C1675, "YES", "WRONG")</f>
        <v/>
      </c>
    </row>
    <row r="1676">
      <c r="A1676" t="n">
        <v>1675</v>
      </c>
      <c r="B1676" t="inlineStr">
        <is>
          <t>MDCLXXV</t>
        </is>
      </c>
      <c r="C1676">
        <f>ROMAN(1675)</f>
        <v/>
      </c>
      <c r="D1676">
        <f>IF(B1676=C1676, "YES", "WRONG")</f>
        <v/>
      </c>
    </row>
    <row r="1677">
      <c r="A1677" t="n">
        <v>1676</v>
      </c>
      <c r="B1677" t="inlineStr">
        <is>
          <t>MDCLXXVI</t>
        </is>
      </c>
      <c r="C1677">
        <f>ROMAN(1676)</f>
        <v/>
      </c>
      <c r="D1677">
        <f>IF(B1677=C1677, "YES", "WRONG")</f>
        <v/>
      </c>
    </row>
    <row r="1678">
      <c r="A1678" t="n">
        <v>1677</v>
      </c>
      <c r="B1678" t="inlineStr">
        <is>
          <t>MDCLXXVII</t>
        </is>
      </c>
      <c r="C1678">
        <f>ROMAN(1677)</f>
        <v/>
      </c>
      <c r="D1678">
        <f>IF(B1678=C1678, "YES", "WRONG")</f>
        <v/>
      </c>
    </row>
    <row r="1679">
      <c r="A1679" t="n">
        <v>1678</v>
      </c>
      <c r="B1679" t="inlineStr">
        <is>
          <t>MDCLXXVIII</t>
        </is>
      </c>
      <c r="C1679">
        <f>ROMAN(1678)</f>
        <v/>
      </c>
      <c r="D1679">
        <f>IF(B1679=C1679, "YES", "WRONG")</f>
        <v/>
      </c>
    </row>
    <row r="1680">
      <c r="A1680" t="n">
        <v>1679</v>
      </c>
      <c r="B1680" t="inlineStr">
        <is>
          <t>MDCLXXIX</t>
        </is>
      </c>
      <c r="C1680">
        <f>ROMAN(1679)</f>
        <v/>
      </c>
      <c r="D1680">
        <f>IF(B1680=C1680, "YES", "WRONG")</f>
        <v/>
      </c>
    </row>
    <row r="1681">
      <c r="A1681" t="n">
        <v>1680</v>
      </c>
      <c r="B1681" t="inlineStr">
        <is>
          <t>MDCLXXX</t>
        </is>
      </c>
      <c r="C1681">
        <f>ROMAN(1680)</f>
        <v/>
      </c>
      <c r="D1681">
        <f>IF(B1681=C1681, "YES", "WRONG")</f>
        <v/>
      </c>
    </row>
    <row r="1682">
      <c r="A1682" t="n">
        <v>1681</v>
      </c>
      <c r="B1682" t="inlineStr">
        <is>
          <t>MDCLXXXI</t>
        </is>
      </c>
      <c r="C1682">
        <f>ROMAN(1681)</f>
        <v/>
      </c>
      <c r="D1682">
        <f>IF(B1682=C1682, "YES", "WRONG")</f>
        <v/>
      </c>
    </row>
    <row r="1683">
      <c r="A1683" t="n">
        <v>1682</v>
      </c>
      <c r="B1683" t="inlineStr">
        <is>
          <t>MDCLXXXII</t>
        </is>
      </c>
      <c r="C1683">
        <f>ROMAN(1682)</f>
        <v/>
      </c>
      <c r="D1683">
        <f>IF(B1683=C1683, "YES", "WRONG")</f>
        <v/>
      </c>
    </row>
    <row r="1684">
      <c r="A1684" t="n">
        <v>1683</v>
      </c>
      <c r="B1684" t="inlineStr">
        <is>
          <t>MDCLXXXIII</t>
        </is>
      </c>
      <c r="C1684">
        <f>ROMAN(1683)</f>
        <v/>
      </c>
      <c r="D1684">
        <f>IF(B1684=C1684, "YES", "WRONG")</f>
        <v/>
      </c>
    </row>
    <row r="1685">
      <c r="A1685" t="n">
        <v>1684</v>
      </c>
      <c r="B1685" t="inlineStr">
        <is>
          <t>MDCLXXXIV</t>
        </is>
      </c>
      <c r="C1685">
        <f>ROMAN(1684)</f>
        <v/>
      </c>
      <c r="D1685">
        <f>IF(B1685=C1685, "YES", "WRONG")</f>
        <v/>
      </c>
    </row>
    <row r="1686">
      <c r="A1686" t="n">
        <v>1685</v>
      </c>
      <c r="B1686" t="inlineStr">
        <is>
          <t>MDCLXXXV</t>
        </is>
      </c>
      <c r="C1686">
        <f>ROMAN(1685)</f>
        <v/>
      </c>
      <c r="D1686">
        <f>IF(B1686=C1686, "YES", "WRONG")</f>
        <v/>
      </c>
    </row>
    <row r="1687">
      <c r="A1687" t="n">
        <v>1686</v>
      </c>
      <c r="B1687" t="inlineStr">
        <is>
          <t>MDCLXXXVI</t>
        </is>
      </c>
      <c r="C1687">
        <f>ROMAN(1686)</f>
        <v/>
      </c>
      <c r="D1687">
        <f>IF(B1687=C1687, "YES", "WRONG")</f>
        <v/>
      </c>
    </row>
    <row r="1688">
      <c r="A1688" t="n">
        <v>1687</v>
      </c>
      <c r="B1688" t="inlineStr">
        <is>
          <t>MDCLXXXVII</t>
        </is>
      </c>
      <c r="C1688">
        <f>ROMAN(1687)</f>
        <v/>
      </c>
      <c r="D1688">
        <f>IF(B1688=C1688, "YES", "WRONG")</f>
        <v/>
      </c>
    </row>
    <row r="1689">
      <c r="A1689" t="n">
        <v>1688</v>
      </c>
      <c r="B1689" t="inlineStr">
        <is>
          <t>MDCLXXXVIII</t>
        </is>
      </c>
      <c r="C1689">
        <f>ROMAN(1688)</f>
        <v/>
      </c>
      <c r="D1689">
        <f>IF(B1689=C1689, "YES", "WRONG")</f>
        <v/>
      </c>
    </row>
    <row r="1690">
      <c r="A1690" t="n">
        <v>1689</v>
      </c>
      <c r="B1690" t="inlineStr">
        <is>
          <t>MDCLXXXIX</t>
        </is>
      </c>
      <c r="C1690">
        <f>ROMAN(1689)</f>
        <v/>
      </c>
      <c r="D1690">
        <f>IF(B1690=C1690, "YES", "WRONG")</f>
        <v/>
      </c>
    </row>
    <row r="1691">
      <c r="A1691" t="n">
        <v>1690</v>
      </c>
      <c r="B1691" t="inlineStr">
        <is>
          <t>MDCXC</t>
        </is>
      </c>
      <c r="C1691">
        <f>ROMAN(1690)</f>
        <v/>
      </c>
      <c r="D1691">
        <f>IF(B1691=C1691, "YES", "WRONG")</f>
        <v/>
      </c>
    </row>
    <row r="1692">
      <c r="A1692" t="n">
        <v>1691</v>
      </c>
      <c r="B1692" t="inlineStr">
        <is>
          <t>MDCXCI</t>
        </is>
      </c>
      <c r="C1692">
        <f>ROMAN(1691)</f>
        <v/>
      </c>
      <c r="D1692">
        <f>IF(B1692=C1692, "YES", "WRONG")</f>
        <v/>
      </c>
    </row>
    <row r="1693">
      <c r="A1693" t="n">
        <v>1692</v>
      </c>
      <c r="B1693" t="inlineStr">
        <is>
          <t>MDCXCII</t>
        </is>
      </c>
      <c r="C1693">
        <f>ROMAN(1692)</f>
        <v/>
      </c>
      <c r="D1693">
        <f>IF(B1693=C1693, "YES", "WRONG")</f>
        <v/>
      </c>
    </row>
    <row r="1694">
      <c r="A1694" t="n">
        <v>1693</v>
      </c>
      <c r="B1694" t="inlineStr">
        <is>
          <t>MDCXCIII</t>
        </is>
      </c>
      <c r="C1694">
        <f>ROMAN(1693)</f>
        <v/>
      </c>
      <c r="D1694">
        <f>IF(B1694=C1694, "YES", "WRONG")</f>
        <v/>
      </c>
    </row>
    <row r="1695">
      <c r="A1695" t="n">
        <v>1694</v>
      </c>
      <c r="B1695" t="inlineStr">
        <is>
          <t>MDCXCIV</t>
        </is>
      </c>
      <c r="C1695">
        <f>ROMAN(1694)</f>
        <v/>
      </c>
      <c r="D1695">
        <f>IF(B1695=C1695, "YES", "WRONG")</f>
        <v/>
      </c>
    </row>
    <row r="1696">
      <c r="A1696" t="n">
        <v>1695</v>
      </c>
      <c r="B1696" t="inlineStr">
        <is>
          <t>MDCXCV</t>
        </is>
      </c>
      <c r="C1696">
        <f>ROMAN(1695)</f>
        <v/>
      </c>
      <c r="D1696">
        <f>IF(B1696=C1696, "YES", "WRONG")</f>
        <v/>
      </c>
    </row>
    <row r="1697">
      <c r="A1697" t="n">
        <v>1696</v>
      </c>
      <c r="B1697" t="inlineStr">
        <is>
          <t>MDCXCVI</t>
        </is>
      </c>
      <c r="C1697">
        <f>ROMAN(1696)</f>
        <v/>
      </c>
      <c r="D1697">
        <f>IF(B1697=C1697, "YES", "WRONG")</f>
        <v/>
      </c>
    </row>
    <row r="1698">
      <c r="A1698" t="n">
        <v>1697</v>
      </c>
      <c r="B1698" t="inlineStr">
        <is>
          <t>MDCXCVII</t>
        </is>
      </c>
      <c r="C1698">
        <f>ROMAN(1697)</f>
        <v/>
      </c>
      <c r="D1698">
        <f>IF(B1698=C1698, "YES", "WRONG")</f>
        <v/>
      </c>
    </row>
    <row r="1699">
      <c r="A1699" t="n">
        <v>1698</v>
      </c>
      <c r="B1699" t="inlineStr">
        <is>
          <t>MDCXCVIII</t>
        </is>
      </c>
      <c r="C1699">
        <f>ROMAN(1698)</f>
        <v/>
      </c>
      <c r="D1699">
        <f>IF(B1699=C1699, "YES", "WRONG")</f>
        <v/>
      </c>
    </row>
    <row r="1700">
      <c r="A1700" t="n">
        <v>1699</v>
      </c>
      <c r="B1700" t="inlineStr">
        <is>
          <t>MDCXCIX</t>
        </is>
      </c>
      <c r="C1700">
        <f>ROMAN(1699)</f>
        <v/>
      </c>
      <c r="D1700">
        <f>IF(B1700=C1700, "YES", "WRONG")</f>
        <v/>
      </c>
    </row>
    <row r="1701">
      <c r="A1701" t="n">
        <v>1700</v>
      </c>
      <c r="B1701" t="inlineStr">
        <is>
          <t>MDCC</t>
        </is>
      </c>
      <c r="C1701">
        <f>ROMAN(1700)</f>
        <v/>
      </c>
      <c r="D1701">
        <f>IF(B1701=C1701, "YES", "WRONG")</f>
        <v/>
      </c>
    </row>
    <row r="1702">
      <c r="A1702" t="n">
        <v>1701</v>
      </c>
      <c r="B1702" t="inlineStr">
        <is>
          <t>MDCCI</t>
        </is>
      </c>
      <c r="C1702">
        <f>ROMAN(1701)</f>
        <v/>
      </c>
      <c r="D1702">
        <f>IF(B1702=C1702, "YES", "WRONG")</f>
        <v/>
      </c>
    </row>
    <row r="1703">
      <c r="A1703" t="n">
        <v>1702</v>
      </c>
      <c r="B1703" t="inlineStr">
        <is>
          <t>MDCCII</t>
        </is>
      </c>
      <c r="C1703">
        <f>ROMAN(1702)</f>
        <v/>
      </c>
      <c r="D1703">
        <f>IF(B1703=C1703, "YES", "WRONG")</f>
        <v/>
      </c>
    </row>
    <row r="1704">
      <c r="A1704" t="n">
        <v>1703</v>
      </c>
      <c r="B1704" t="inlineStr">
        <is>
          <t>MDCCIII</t>
        </is>
      </c>
      <c r="C1704">
        <f>ROMAN(1703)</f>
        <v/>
      </c>
      <c r="D1704">
        <f>IF(B1704=C1704, "YES", "WRONG")</f>
        <v/>
      </c>
    </row>
    <row r="1705">
      <c r="A1705" t="n">
        <v>1704</v>
      </c>
      <c r="B1705" t="inlineStr">
        <is>
          <t>MDCCIV</t>
        </is>
      </c>
      <c r="C1705">
        <f>ROMAN(1704)</f>
        <v/>
      </c>
      <c r="D1705">
        <f>IF(B1705=C1705, "YES", "WRONG")</f>
        <v/>
      </c>
    </row>
    <row r="1706">
      <c r="A1706" t="n">
        <v>1705</v>
      </c>
      <c r="B1706" t="inlineStr">
        <is>
          <t>MDCCV</t>
        </is>
      </c>
      <c r="C1706">
        <f>ROMAN(1705)</f>
        <v/>
      </c>
      <c r="D1706">
        <f>IF(B1706=C1706, "YES", "WRONG")</f>
        <v/>
      </c>
    </row>
    <row r="1707">
      <c r="A1707" t="n">
        <v>1706</v>
      </c>
      <c r="B1707" t="inlineStr">
        <is>
          <t>MDCCVI</t>
        </is>
      </c>
      <c r="C1707">
        <f>ROMAN(1706)</f>
        <v/>
      </c>
      <c r="D1707">
        <f>IF(B1707=C1707, "YES", "WRONG")</f>
        <v/>
      </c>
    </row>
    <row r="1708">
      <c r="A1708" t="n">
        <v>1707</v>
      </c>
      <c r="B1708" t="inlineStr">
        <is>
          <t>MDCCVII</t>
        </is>
      </c>
      <c r="C1708">
        <f>ROMAN(1707)</f>
        <v/>
      </c>
      <c r="D1708">
        <f>IF(B1708=C1708, "YES", "WRONG")</f>
        <v/>
      </c>
    </row>
    <row r="1709">
      <c r="A1709" t="n">
        <v>1708</v>
      </c>
      <c r="B1709" t="inlineStr">
        <is>
          <t>MDCCVIII</t>
        </is>
      </c>
      <c r="C1709">
        <f>ROMAN(1708)</f>
        <v/>
      </c>
      <c r="D1709">
        <f>IF(B1709=C1709, "YES", "WRONG")</f>
        <v/>
      </c>
    </row>
    <row r="1710">
      <c r="A1710" t="n">
        <v>1709</v>
      </c>
      <c r="B1710" t="inlineStr">
        <is>
          <t>MDCCIX</t>
        </is>
      </c>
      <c r="C1710">
        <f>ROMAN(1709)</f>
        <v/>
      </c>
      <c r="D1710">
        <f>IF(B1710=C1710, "YES", "WRONG")</f>
        <v/>
      </c>
    </row>
    <row r="1711">
      <c r="A1711" t="n">
        <v>1710</v>
      </c>
      <c r="B1711" t="inlineStr">
        <is>
          <t>MDCCX</t>
        </is>
      </c>
      <c r="C1711">
        <f>ROMAN(1710)</f>
        <v/>
      </c>
      <c r="D1711">
        <f>IF(B1711=C1711, "YES", "WRONG")</f>
        <v/>
      </c>
    </row>
    <row r="1712">
      <c r="A1712" t="n">
        <v>1711</v>
      </c>
      <c r="B1712" t="inlineStr">
        <is>
          <t>MDCCXI</t>
        </is>
      </c>
      <c r="C1712">
        <f>ROMAN(1711)</f>
        <v/>
      </c>
      <c r="D1712">
        <f>IF(B1712=C1712, "YES", "WRONG")</f>
        <v/>
      </c>
    </row>
    <row r="1713">
      <c r="A1713" t="n">
        <v>1712</v>
      </c>
      <c r="B1713" t="inlineStr">
        <is>
          <t>MDCCXII</t>
        </is>
      </c>
      <c r="C1713">
        <f>ROMAN(1712)</f>
        <v/>
      </c>
      <c r="D1713">
        <f>IF(B1713=C1713, "YES", "WRONG")</f>
        <v/>
      </c>
    </row>
    <row r="1714">
      <c r="A1714" t="n">
        <v>1713</v>
      </c>
      <c r="B1714" t="inlineStr">
        <is>
          <t>MDCCXIII</t>
        </is>
      </c>
      <c r="C1714">
        <f>ROMAN(1713)</f>
        <v/>
      </c>
      <c r="D1714">
        <f>IF(B1714=C1714, "YES", "WRONG")</f>
        <v/>
      </c>
    </row>
    <row r="1715">
      <c r="A1715" t="n">
        <v>1714</v>
      </c>
      <c r="B1715" t="inlineStr">
        <is>
          <t>MDCCXIV</t>
        </is>
      </c>
      <c r="C1715">
        <f>ROMAN(1714)</f>
        <v/>
      </c>
      <c r="D1715">
        <f>IF(B1715=C1715, "YES", "WRONG")</f>
        <v/>
      </c>
    </row>
    <row r="1716">
      <c r="A1716" t="n">
        <v>1715</v>
      </c>
      <c r="B1716" t="inlineStr">
        <is>
          <t>MDCCXV</t>
        </is>
      </c>
      <c r="C1716">
        <f>ROMAN(1715)</f>
        <v/>
      </c>
      <c r="D1716">
        <f>IF(B1716=C1716, "YES", "WRONG")</f>
        <v/>
      </c>
    </row>
    <row r="1717">
      <c r="A1717" t="n">
        <v>1716</v>
      </c>
      <c r="B1717" t="inlineStr">
        <is>
          <t>MDCCXVI</t>
        </is>
      </c>
      <c r="C1717">
        <f>ROMAN(1716)</f>
        <v/>
      </c>
      <c r="D1717">
        <f>IF(B1717=C1717, "YES", "WRONG")</f>
        <v/>
      </c>
    </row>
    <row r="1718">
      <c r="A1718" t="n">
        <v>1717</v>
      </c>
      <c r="B1718" t="inlineStr">
        <is>
          <t>MDCCXVII</t>
        </is>
      </c>
      <c r="C1718">
        <f>ROMAN(1717)</f>
        <v/>
      </c>
      <c r="D1718">
        <f>IF(B1718=C1718, "YES", "WRONG")</f>
        <v/>
      </c>
    </row>
    <row r="1719">
      <c r="A1719" t="n">
        <v>1718</v>
      </c>
      <c r="B1719" t="inlineStr">
        <is>
          <t>MDCCXVIII</t>
        </is>
      </c>
      <c r="C1719">
        <f>ROMAN(1718)</f>
        <v/>
      </c>
      <c r="D1719">
        <f>IF(B1719=C1719, "YES", "WRONG")</f>
        <v/>
      </c>
    </row>
    <row r="1720">
      <c r="A1720" t="n">
        <v>1719</v>
      </c>
      <c r="B1720" t="inlineStr">
        <is>
          <t>MDCCXIX</t>
        </is>
      </c>
      <c r="C1720">
        <f>ROMAN(1719)</f>
        <v/>
      </c>
      <c r="D1720">
        <f>IF(B1720=C1720, "YES", "WRONG")</f>
        <v/>
      </c>
    </row>
    <row r="1721">
      <c r="A1721" t="n">
        <v>1720</v>
      </c>
      <c r="B1721" t="inlineStr">
        <is>
          <t>MDCCXX</t>
        </is>
      </c>
      <c r="C1721">
        <f>ROMAN(1720)</f>
        <v/>
      </c>
      <c r="D1721">
        <f>IF(B1721=C1721, "YES", "WRONG")</f>
        <v/>
      </c>
    </row>
    <row r="1722">
      <c r="A1722" t="n">
        <v>1721</v>
      </c>
      <c r="B1722" t="inlineStr">
        <is>
          <t>MDCCXXI</t>
        </is>
      </c>
      <c r="C1722">
        <f>ROMAN(1721)</f>
        <v/>
      </c>
      <c r="D1722">
        <f>IF(B1722=C1722, "YES", "WRONG")</f>
        <v/>
      </c>
    </row>
    <row r="1723">
      <c r="A1723" t="n">
        <v>1722</v>
      </c>
      <c r="B1723" t="inlineStr">
        <is>
          <t>MDCCXXII</t>
        </is>
      </c>
      <c r="C1723">
        <f>ROMAN(1722)</f>
        <v/>
      </c>
      <c r="D1723">
        <f>IF(B1723=C1723, "YES", "WRONG")</f>
        <v/>
      </c>
    </row>
    <row r="1724">
      <c r="A1724" t="n">
        <v>1723</v>
      </c>
      <c r="B1724" t="inlineStr">
        <is>
          <t>MDCCXXIII</t>
        </is>
      </c>
      <c r="C1724">
        <f>ROMAN(1723)</f>
        <v/>
      </c>
      <c r="D1724">
        <f>IF(B1724=C1724, "YES", "WRONG")</f>
        <v/>
      </c>
    </row>
    <row r="1725">
      <c r="A1725" t="n">
        <v>1724</v>
      </c>
      <c r="B1725" t="inlineStr">
        <is>
          <t>MDCCXXIV</t>
        </is>
      </c>
      <c r="C1725">
        <f>ROMAN(1724)</f>
        <v/>
      </c>
      <c r="D1725">
        <f>IF(B1725=C1725, "YES", "WRONG")</f>
        <v/>
      </c>
    </row>
    <row r="1726">
      <c r="A1726" t="n">
        <v>1725</v>
      </c>
      <c r="B1726" t="inlineStr">
        <is>
          <t>MDCCXXV</t>
        </is>
      </c>
      <c r="C1726">
        <f>ROMAN(1725)</f>
        <v/>
      </c>
      <c r="D1726">
        <f>IF(B1726=C1726, "YES", "WRONG")</f>
        <v/>
      </c>
    </row>
    <row r="1727">
      <c r="A1727" t="n">
        <v>1726</v>
      </c>
      <c r="B1727" t="inlineStr">
        <is>
          <t>MDCCXXVI</t>
        </is>
      </c>
      <c r="C1727">
        <f>ROMAN(1726)</f>
        <v/>
      </c>
      <c r="D1727">
        <f>IF(B1727=C1727, "YES", "WRONG")</f>
        <v/>
      </c>
    </row>
    <row r="1728">
      <c r="A1728" t="n">
        <v>1727</v>
      </c>
      <c r="B1728" t="inlineStr">
        <is>
          <t>MDCCXXVII</t>
        </is>
      </c>
      <c r="C1728">
        <f>ROMAN(1727)</f>
        <v/>
      </c>
      <c r="D1728">
        <f>IF(B1728=C1728, "YES", "WRONG")</f>
        <v/>
      </c>
    </row>
    <row r="1729">
      <c r="A1729" t="n">
        <v>1728</v>
      </c>
      <c r="B1729" t="inlineStr">
        <is>
          <t>MDCCXXVIII</t>
        </is>
      </c>
      <c r="C1729">
        <f>ROMAN(1728)</f>
        <v/>
      </c>
      <c r="D1729">
        <f>IF(B1729=C1729, "YES", "WRONG")</f>
        <v/>
      </c>
    </row>
    <row r="1730">
      <c r="A1730" t="n">
        <v>1729</v>
      </c>
      <c r="B1730" t="inlineStr">
        <is>
          <t>MDCCXXIX</t>
        </is>
      </c>
      <c r="C1730">
        <f>ROMAN(1729)</f>
        <v/>
      </c>
      <c r="D1730">
        <f>IF(B1730=C1730, "YES", "WRONG")</f>
        <v/>
      </c>
    </row>
    <row r="1731">
      <c r="A1731" t="n">
        <v>1730</v>
      </c>
      <c r="B1731" t="inlineStr">
        <is>
          <t>MDCCXXX</t>
        </is>
      </c>
      <c r="C1731">
        <f>ROMAN(1730)</f>
        <v/>
      </c>
      <c r="D1731">
        <f>IF(B1731=C1731, "YES", "WRONG")</f>
        <v/>
      </c>
    </row>
    <row r="1732">
      <c r="A1732" t="n">
        <v>1731</v>
      </c>
      <c r="B1732" t="inlineStr">
        <is>
          <t>MDCCXXXI</t>
        </is>
      </c>
      <c r="C1732">
        <f>ROMAN(1731)</f>
        <v/>
      </c>
      <c r="D1732">
        <f>IF(B1732=C1732, "YES", "WRONG")</f>
        <v/>
      </c>
    </row>
    <row r="1733">
      <c r="A1733" t="n">
        <v>1732</v>
      </c>
      <c r="B1733" t="inlineStr">
        <is>
          <t>MDCCXXXII</t>
        </is>
      </c>
      <c r="C1733">
        <f>ROMAN(1732)</f>
        <v/>
      </c>
      <c r="D1733">
        <f>IF(B1733=C1733, "YES", "WRONG")</f>
        <v/>
      </c>
    </row>
    <row r="1734">
      <c r="A1734" t="n">
        <v>1733</v>
      </c>
      <c r="B1734" t="inlineStr">
        <is>
          <t>MDCCXXXIII</t>
        </is>
      </c>
      <c r="C1734">
        <f>ROMAN(1733)</f>
        <v/>
      </c>
      <c r="D1734">
        <f>IF(B1734=C1734, "YES", "WRONG")</f>
        <v/>
      </c>
    </row>
    <row r="1735">
      <c r="A1735" t="n">
        <v>1734</v>
      </c>
      <c r="B1735" t="inlineStr">
        <is>
          <t>MDCCXXXIV</t>
        </is>
      </c>
      <c r="C1735">
        <f>ROMAN(1734)</f>
        <v/>
      </c>
      <c r="D1735">
        <f>IF(B1735=C1735, "YES", "WRONG")</f>
        <v/>
      </c>
    </row>
    <row r="1736">
      <c r="A1736" t="n">
        <v>1735</v>
      </c>
      <c r="B1736" t="inlineStr">
        <is>
          <t>MDCCXXXV</t>
        </is>
      </c>
      <c r="C1736">
        <f>ROMAN(1735)</f>
        <v/>
      </c>
      <c r="D1736">
        <f>IF(B1736=C1736, "YES", "WRONG")</f>
        <v/>
      </c>
    </row>
    <row r="1737">
      <c r="A1737" t="n">
        <v>1736</v>
      </c>
      <c r="B1737" t="inlineStr">
        <is>
          <t>MDCCXXXVI</t>
        </is>
      </c>
      <c r="C1737">
        <f>ROMAN(1736)</f>
        <v/>
      </c>
      <c r="D1737">
        <f>IF(B1737=C1737, "YES", "WRONG")</f>
        <v/>
      </c>
    </row>
    <row r="1738">
      <c r="A1738" t="n">
        <v>1737</v>
      </c>
      <c r="B1738" t="inlineStr">
        <is>
          <t>MDCCXXXVII</t>
        </is>
      </c>
      <c r="C1738">
        <f>ROMAN(1737)</f>
        <v/>
      </c>
      <c r="D1738">
        <f>IF(B1738=C1738, "YES", "WRONG")</f>
        <v/>
      </c>
    </row>
    <row r="1739">
      <c r="A1739" t="n">
        <v>1738</v>
      </c>
      <c r="B1739" t="inlineStr">
        <is>
          <t>MDCCXXXVIII</t>
        </is>
      </c>
      <c r="C1739">
        <f>ROMAN(1738)</f>
        <v/>
      </c>
      <c r="D1739">
        <f>IF(B1739=C1739, "YES", "WRONG")</f>
        <v/>
      </c>
    </row>
    <row r="1740">
      <c r="A1740" t="n">
        <v>1739</v>
      </c>
      <c r="B1740" t="inlineStr">
        <is>
          <t>MDCCXXXIX</t>
        </is>
      </c>
      <c r="C1740">
        <f>ROMAN(1739)</f>
        <v/>
      </c>
      <c r="D1740">
        <f>IF(B1740=C1740, "YES", "WRONG")</f>
        <v/>
      </c>
    </row>
    <row r="1741">
      <c r="A1741" t="n">
        <v>1740</v>
      </c>
      <c r="B1741" t="inlineStr">
        <is>
          <t>MDCCXL</t>
        </is>
      </c>
      <c r="C1741">
        <f>ROMAN(1740)</f>
        <v/>
      </c>
      <c r="D1741">
        <f>IF(B1741=C1741, "YES", "WRONG")</f>
        <v/>
      </c>
    </row>
    <row r="1742">
      <c r="A1742" t="n">
        <v>1741</v>
      </c>
      <c r="B1742" t="inlineStr">
        <is>
          <t>MDCCXLI</t>
        </is>
      </c>
      <c r="C1742">
        <f>ROMAN(1741)</f>
        <v/>
      </c>
      <c r="D1742">
        <f>IF(B1742=C1742, "YES", "WRONG")</f>
        <v/>
      </c>
    </row>
    <row r="1743">
      <c r="A1743" t="n">
        <v>1742</v>
      </c>
      <c r="B1743" t="inlineStr">
        <is>
          <t>MDCCXLII</t>
        </is>
      </c>
      <c r="C1743">
        <f>ROMAN(1742)</f>
        <v/>
      </c>
      <c r="D1743">
        <f>IF(B1743=C1743, "YES", "WRONG")</f>
        <v/>
      </c>
    </row>
    <row r="1744">
      <c r="A1744" t="n">
        <v>1743</v>
      </c>
      <c r="B1744" t="inlineStr">
        <is>
          <t>MDCCXLIII</t>
        </is>
      </c>
      <c r="C1744">
        <f>ROMAN(1743)</f>
        <v/>
      </c>
      <c r="D1744">
        <f>IF(B1744=C1744, "YES", "WRONG")</f>
        <v/>
      </c>
    </row>
    <row r="1745">
      <c r="A1745" t="n">
        <v>1744</v>
      </c>
      <c r="B1745" t="inlineStr">
        <is>
          <t>MDCCXLIV</t>
        </is>
      </c>
      <c r="C1745">
        <f>ROMAN(1744)</f>
        <v/>
      </c>
      <c r="D1745">
        <f>IF(B1745=C1745, "YES", "WRONG")</f>
        <v/>
      </c>
    </row>
    <row r="1746">
      <c r="A1746" t="n">
        <v>1745</v>
      </c>
      <c r="B1746" t="inlineStr">
        <is>
          <t>MDCCXLV</t>
        </is>
      </c>
      <c r="C1746">
        <f>ROMAN(1745)</f>
        <v/>
      </c>
      <c r="D1746">
        <f>IF(B1746=C1746, "YES", "WRONG")</f>
        <v/>
      </c>
    </row>
    <row r="1747">
      <c r="A1747" t="n">
        <v>1746</v>
      </c>
      <c r="B1747" t="inlineStr">
        <is>
          <t>MDCCXLVI</t>
        </is>
      </c>
      <c r="C1747">
        <f>ROMAN(1746)</f>
        <v/>
      </c>
      <c r="D1747">
        <f>IF(B1747=C1747, "YES", "WRONG")</f>
        <v/>
      </c>
    </row>
    <row r="1748">
      <c r="A1748" t="n">
        <v>1747</v>
      </c>
      <c r="B1748" t="inlineStr">
        <is>
          <t>MDCCXLVII</t>
        </is>
      </c>
      <c r="C1748">
        <f>ROMAN(1747)</f>
        <v/>
      </c>
      <c r="D1748">
        <f>IF(B1748=C1748, "YES", "WRONG")</f>
        <v/>
      </c>
    </row>
    <row r="1749">
      <c r="A1749" t="n">
        <v>1748</v>
      </c>
      <c r="B1749" t="inlineStr">
        <is>
          <t>MDCCXLVIII</t>
        </is>
      </c>
      <c r="C1749">
        <f>ROMAN(1748)</f>
        <v/>
      </c>
      <c r="D1749">
        <f>IF(B1749=C1749, "YES", "WRONG")</f>
        <v/>
      </c>
    </row>
    <row r="1750">
      <c r="A1750" t="n">
        <v>1749</v>
      </c>
      <c r="B1750" t="inlineStr">
        <is>
          <t>MDCCXLIX</t>
        </is>
      </c>
      <c r="C1750">
        <f>ROMAN(1749)</f>
        <v/>
      </c>
      <c r="D1750">
        <f>IF(B1750=C1750, "YES", "WRONG")</f>
        <v/>
      </c>
    </row>
    <row r="1751">
      <c r="A1751" t="n">
        <v>1750</v>
      </c>
      <c r="B1751" t="inlineStr">
        <is>
          <t>MDCCL</t>
        </is>
      </c>
      <c r="C1751">
        <f>ROMAN(1750)</f>
        <v/>
      </c>
      <c r="D1751">
        <f>IF(B1751=C1751, "YES", "WRONG")</f>
        <v/>
      </c>
    </row>
    <row r="1752">
      <c r="A1752" t="n">
        <v>1751</v>
      </c>
      <c r="B1752" t="inlineStr">
        <is>
          <t>MDCCLI</t>
        </is>
      </c>
      <c r="C1752">
        <f>ROMAN(1751)</f>
        <v/>
      </c>
      <c r="D1752">
        <f>IF(B1752=C1752, "YES", "WRONG")</f>
        <v/>
      </c>
    </row>
    <row r="1753">
      <c r="A1753" t="n">
        <v>1752</v>
      </c>
      <c r="B1753" t="inlineStr">
        <is>
          <t>MDCCLII</t>
        </is>
      </c>
      <c r="C1753">
        <f>ROMAN(1752)</f>
        <v/>
      </c>
      <c r="D1753">
        <f>IF(B1753=C1753, "YES", "WRONG")</f>
        <v/>
      </c>
    </row>
    <row r="1754">
      <c r="A1754" t="n">
        <v>1753</v>
      </c>
      <c r="B1754" t="inlineStr">
        <is>
          <t>MDCCLIII</t>
        </is>
      </c>
      <c r="C1754">
        <f>ROMAN(1753)</f>
        <v/>
      </c>
      <c r="D1754">
        <f>IF(B1754=C1754, "YES", "WRONG")</f>
        <v/>
      </c>
    </row>
    <row r="1755">
      <c r="A1755" t="n">
        <v>1754</v>
      </c>
      <c r="B1755" t="inlineStr">
        <is>
          <t>MDCCLIV</t>
        </is>
      </c>
      <c r="C1755">
        <f>ROMAN(1754)</f>
        <v/>
      </c>
      <c r="D1755">
        <f>IF(B1755=C1755, "YES", "WRONG")</f>
        <v/>
      </c>
    </row>
    <row r="1756">
      <c r="A1756" t="n">
        <v>1755</v>
      </c>
      <c r="B1756" t="inlineStr">
        <is>
          <t>MDCCLV</t>
        </is>
      </c>
      <c r="C1756">
        <f>ROMAN(1755)</f>
        <v/>
      </c>
      <c r="D1756">
        <f>IF(B1756=C1756, "YES", "WRONG")</f>
        <v/>
      </c>
    </row>
    <row r="1757">
      <c r="A1757" t="n">
        <v>1756</v>
      </c>
      <c r="B1757" t="inlineStr">
        <is>
          <t>MDCCLVI</t>
        </is>
      </c>
      <c r="C1757">
        <f>ROMAN(1756)</f>
        <v/>
      </c>
      <c r="D1757">
        <f>IF(B1757=C1757, "YES", "WRONG")</f>
        <v/>
      </c>
    </row>
    <row r="1758">
      <c r="A1758" t="n">
        <v>1757</v>
      </c>
      <c r="B1758" t="inlineStr">
        <is>
          <t>MDCCLVII</t>
        </is>
      </c>
      <c r="C1758">
        <f>ROMAN(1757)</f>
        <v/>
      </c>
      <c r="D1758">
        <f>IF(B1758=C1758, "YES", "WRONG")</f>
        <v/>
      </c>
    </row>
    <row r="1759">
      <c r="A1759" t="n">
        <v>1758</v>
      </c>
      <c r="B1759" t="inlineStr">
        <is>
          <t>MDCCLVIII</t>
        </is>
      </c>
      <c r="C1759">
        <f>ROMAN(1758)</f>
        <v/>
      </c>
      <c r="D1759">
        <f>IF(B1759=C1759, "YES", "WRONG")</f>
        <v/>
      </c>
    </row>
    <row r="1760">
      <c r="A1760" t="n">
        <v>1759</v>
      </c>
      <c r="B1760" t="inlineStr">
        <is>
          <t>MDCCLIX</t>
        </is>
      </c>
      <c r="C1760">
        <f>ROMAN(1759)</f>
        <v/>
      </c>
      <c r="D1760">
        <f>IF(B1760=C1760, "YES", "WRONG")</f>
        <v/>
      </c>
    </row>
    <row r="1761">
      <c r="A1761" t="n">
        <v>1760</v>
      </c>
      <c r="B1761" t="inlineStr">
        <is>
          <t>MDCCLX</t>
        </is>
      </c>
      <c r="C1761">
        <f>ROMAN(1760)</f>
        <v/>
      </c>
      <c r="D1761">
        <f>IF(B1761=C1761, "YES", "WRONG")</f>
        <v/>
      </c>
    </row>
    <row r="1762">
      <c r="A1762" t="n">
        <v>1761</v>
      </c>
      <c r="B1762" t="inlineStr">
        <is>
          <t>MDCCLXI</t>
        </is>
      </c>
      <c r="C1762">
        <f>ROMAN(1761)</f>
        <v/>
      </c>
      <c r="D1762">
        <f>IF(B1762=C1762, "YES", "WRONG")</f>
        <v/>
      </c>
    </row>
    <row r="1763">
      <c r="A1763" t="n">
        <v>1762</v>
      </c>
      <c r="B1763" t="inlineStr">
        <is>
          <t>MDCCLXII</t>
        </is>
      </c>
      <c r="C1763">
        <f>ROMAN(1762)</f>
        <v/>
      </c>
      <c r="D1763">
        <f>IF(B1763=C1763, "YES", "WRONG")</f>
        <v/>
      </c>
    </row>
    <row r="1764">
      <c r="A1764" t="n">
        <v>1763</v>
      </c>
      <c r="B1764" t="inlineStr">
        <is>
          <t>MDCCLXIII</t>
        </is>
      </c>
      <c r="C1764">
        <f>ROMAN(1763)</f>
        <v/>
      </c>
      <c r="D1764">
        <f>IF(B1764=C1764, "YES", "WRONG")</f>
        <v/>
      </c>
    </row>
    <row r="1765">
      <c r="A1765" t="n">
        <v>1764</v>
      </c>
      <c r="B1765" t="inlineStr">
        <is>
          <t>MDCCLXIV</t>
        </is>
      </c>
      <c r="C1765">
        <f>ROMAN(1764)</f>
        <v/>
      </c>
      <c r="D1765">
        <f>IF(B1765=C1765, "YES", "WRONG")</f>
        <v/>
      </c>
    </row>
    <row r="1766">
      <c r="A1766" t="n">
        <v>1765</v>
      </c>
      <c r="B1766" t="inlineStr">
        <is>
          <t>MDCCLXV</t>
        </is>
      </c>
      <c r="C1766">
        <f>ROMAN(1765)</f>
        <v/>
      </c>
      <c r="D1766">
        <f>IF(B1766=C1766, "YES", "WRONG")</f>
        <v/>
      </c>
    </row>
    <row r="1767">
      <c r="A1767" t="n">
        <v>1766</v>
      </c>
      <c r="B1767" t="inlineStr">
        <is>
          <t>MDCCLXVI</t>
        </is>
      </c>
      <c r="C1767">
        <f>ROMAN(1766)</f>
        <v/>
      </c>
      <c r="D1767">
        <f>IF(B1767=C1767, "YES", "WRONG")</f>
        <v/>
      </c>
    </row>
    <row r="1768">
      <c r="A1768" t="n">
        <v>1767</v>
      </c>
      <c r="B1768" t="inlineStr">
        <is>
          <t>MDCCLXVII</t>
        </is>
      </c>
      <c r="C1768">
        <f>ROMAN(1767)</f>
        <v/>
      </c>
      <c r="D1768">
        <f>IF(B1768=C1768, "YES", "WRONG")</f>
        <v/>
      </c>
    </row>
    <row r="1769">
      <c r="A1769" t="n">
        <v>1768</v>
      </c>
      <c r="B1769" t="inlineStr">
        <is>
          <t>MDCCLXVIII</t>
        </is>
      </c>
      <c r="C1769">
        <f>ROMAN(1768)</f>
        <v/>
      </c>
      <c r="D1769">
        <f>IF(B1769=C1769, "YES", "WRONG")</f>
        <v/>
      </c>
    </row>
    <row r="1770">
      <c r="A1770" t="n">
        <v>1769</v>
      </c>
      <c r="B1770" t="inlineStr">
        <is>
          <t>MDCCLXIX</t>
        </is>
      </c>
      <c r="C1770">
        <f>ROMAN(1769)</f>
        <v/>
      </c>
      <c r="D1770">
        <f>IF(B1770=C1770, "YES", "WRONG")</f>
        <v/>
      </c>
    </row>
    <row r="1771">
      <c r="A1771" t="n">
        <v>1770</v>
      </c>
      <c r="B1771" t="inlineStr">
        <is>
          <t>MDCCLXX</t>
        </is>
      </c>
      <c r="C1771">
        <f>ROMAN(1770)</f>
        <v/>
      </c>
      <c r="D1771">
        <f>IF(B1771=C1771, "YES", "WRONG")</f>
        <v/>
      </c>
    </row>
    <row r="1772">
      <c r="A1772" t="n">
        <v>1771</v>
      </c>
      <c r="B1772" t="inlineStr">
        <is>
          <t>MDCCLXXI</t>
        </is>
      </c>
      <c r="C1772">
        <f>ROMAN(1771)</f>
        <v/>
      </c>
      <c r="D1772">
        <f>IF(B1772=C1772, "YES", "WRONG")</f>
        <v/>
      </c>
    </row>
    <row r="1773">
      <c r="A1773" t="n">
        <v>1772</v>
      </c>
      <c r="B1773" t="inlineStr">
        <is>
          <t>MDCCLXXII</t>
        </is>
      </c>
      <c r="C1773">
        <f>ROMAN(1772)</f>
        <v/>
      </c>
      <c r="D1773">
        <f>IF(B1773=C1773, "YES", "WRONG")</f>
        <v/>
      </c>
    </row>
    <row r="1774">
      <c r="A1774" t="n">
        <v>1773</v>
      </c>
      <c r="B1774" t="inlineStr">
        <is>
          <t>MDCCLXXIII</t>
        </is>
      </c>
      <c r="C1774">
        <f>ROMAN(1773)</f>
        <v/>
      </c>
      <c r="D1774">
        <f>IF(B1774=C1774, "YES", "WRONG")</f>
        <v/>
      </c>
    </row>
    <row r="1775">
      <c r="A1775" t="n">
        <v>1774</v>
      </c>
      <c r="B1775" t="inlineStr">
        <is>
          <t>MDCCLXXIV</t>
        </is>
      </c>
      <c r="C1775">
        <f>ROMAN(1774)</f>
        <v/>
      </c>
      <c r="D1775">
        <f>IF(B1775=C1775, "YES", "WRONG")</f>
        <v/>
      </c>
    </row>
    <row r="1776">
      <c r="A1776" t="n">
        <v>1775</v>
      </c>
      <c r="B1776" t="inlineStr">
        <is>
          <t>MDCCLXXV</t>
        </is>
      </c>
      <c r="C1776">
        <f>ROMAN(1775)</f>
        <v/>
      </c>
      <c r="D1776">
        <f>IF(B1776=C1776, "YES", "WRONG")</f>
        <v/>
      </c>
    </row>
    <row r="1777">
      <c r="A1777" t="n">
        <v>1776</v>
      </c>
      <c r="B1777" t="inlineStr">
        <is>
          <t>MDCCLXXVI</t>
        </is>
      </c>
      <c r="C1777">
        <f>ROMAN(1776)</f>
        <v/>
      </c>
      <c r="D1777">
        <f>IF(B1777=C1777, "YES", "WRONG")</f>
        <v/>
      </c>
    </row>
    <row r="1778">
      <c r="A1778" t="n">
        <v>1777</v>
      </c>
      <c r="B1778" t="inlineStr">
        <is>
          <t>MDCCLXXVII</t>
        </is>
      </c>
      <c r="C1778">
        <f>ROMAN(1777)</f>
        <v/>
      </c>
      <c r="D1778">
        <f>IF(B1778=C1778, "YES", "WRONG")</f>
        <v/>
      </c>
    </row>
    <row r="1779">
      <c r="A1779" t="n">
        <v>1778</v>
      </c>
      <c r="B1779" t="inlineStr">
        <is>
          <t>MDCCLXXVIII</t>
        </is>
      </c>
      <c r="C1779">
        <f>ROMAN(1778)</f>
        <v/>
      </c>
      <c r="D1779">
        <f>IF(B1779=C1779, "YES", "WRONG")</f>
        <v/>
      </c>
    </row>
    <row r="1780">
      <c r="A1780" t="n">
        <v>1779</v>
      </c>
      <c r="B1780" t="inlineStr">
        <is>
          <t>MDCCLXXIX</t>
        </is>
      </c>
      <c r="C1780">
        <f>ROMAN(1779)</f>
        <v/>
      </c>
      <c r="D1780">
        <f>IF(B1780=C1780, "YES", "WRONG")</f>
        <v/>
      </c>
    </row>
    <row r="1781">
      <c r="A1781" t="n">
        <v>1780</v>
      </c>
      <c r="B1781" t="inlineStr">
        <is>
          <t>MDCCLXXX</t>
        </is>
      </c>
      <c r="C1781">
        <f>ROMAN(1780)</f>
        <v/>
      </c>
      <c r="D1781">
        <f>IF(B1781=C1781, "YES", "WRONG")</f>
        <v/>
      </c>
    </row>
    <row r="1782">
      <c r="A1782" t="n">
        <v>1781</v>
      </c>
      <c r="B1782" t="inlineStr">
        <is>
          <t>MDCCLXXXI</t>
        </is>
      </c>
      <c r="C1782">
        <f>ROMAN(1781)</f>
        <v/>
      </c>
      <c r="D1782">
        <f>IF(B1782=C1782, "YES", "WRONG")</f>
        <v/>
      </c>
    </row>
    <row r="1783">
      <c r="A1783" t="n">
        <v>1782</v>
      </c>
      <c r="B1783" t="inlineStr">
        <is>
          <t>MDCCLXXXII</t>
        </is>
      </c>
      <c r="C1783">
        <f>ROMAN(1782)</f>
        <v/>
      </c>
      <c r="D1783">
        <f>IF(B1783=C1783, "YES", "WRONG")</f>
        <v/>
      </c>
    </row>
    <row r="1784">
      <c r="A1784" t="n">
        <v>1783</v>
      </c>
      <c r="B1784" t="inlineStr">
        <is>
          <t>MDCCLXXXIII</t>
        </is>
      </c>
      <c r="C1784">
        <f>ROMAN(1783)</f>
        <v/>
      </c>
      <c r="D1784">
        <f>IF(B1784=C1784, "YES", "WRONG")</f>
        <v/>
      </c>
    </row>
    <row r="1785">
      <c r="A1785" t="n">
        <v>1784</v>
      </c>
      <c r="B1785" t="inlineStr">
        <is>
          <t>MDCCLXXXIV</t>
        </is>
      </c>
      <c r="C1785">
        <f>ROMAN(1784)</f>
        <v/>
      </c>
      <c r="D1785">
        <f>IF(B1785=C1785, "YES", "WRONG")</f>
        <v/>
      </c>
    </row>
    <row r="1786">
      <c r="A1786" t="n">
        <v>1785</v>
      </c>
      <c r="B1786" t="inlineStr">
        <is>
          <t>MDCCLXXXV</t>
        </is>
      </c>
      <c r="C1786">
        <f>ROMAN(1785)</f>
        <v/>
      </c>
      <c r="D1786">
        <f>IF(B1786=C1786, "YES", "WRONG")</f>
        <v/>
      </c>
    </row>
    <row r="1787">
      <c r="A1787" t="n">
        <v>1786</v>
      </c>
      <c r="B1787" t="inlineStr">
        <is>
          <t>MDCCLXXXVI</t>
        </is>
      </c>
      <c r="C1787">
        <f>ROMAN(1786)</f>
        <v/>
      </c>
      <c r="D1787">
        <f>IF(B1787=C1787, "YES", "WRONG")</f>
        <v/>
      </c>
    </row>
    <row r="1788">
      <c r="A1788" t="n">
        <v>1787</v>
      </c>
      <c r="B1788" t="inlineStr">
        <is>
          <t>MDCCLXXXVII</t>
        </is>
      </c>
      <c r="C1788">
        <f>ROMAN(1787)</f>
        <v/>
      </c>
      <c r="D1788">
        <f>IF(B1788=C1788, "YES", "WRONG")</f>
        <v/>
      </c>
    </row>
    <row r="1789">
      <c r="A1789" t="n">
        <v>1788</v>
      </c>
      <c r="B1789" t="inlineStr">
        <is>
          <t>MDCCLXXXVIII</t>
        </is>
      </c>
      <c r="C1789">
        <f>ROMAN(1788)</f>
        <v/>
      </c>
      <c r="D1789">
        <f>IF(B1789=C1789, "YES", "WRONG")</f>
        <v/>
      </c>
    </row>
    <row r="1790">
      <c r="A1790" t="n">
        <v>1789</v>
      </c>
      <c r="B1790" t="inlineStr">
        <is>
          <t>MDCCLXXXIX</t>
        </is>
      </c>
      <c r="C1790">
        <f>ROMAN(1789)</f>
        <v/>
      </c>
      <c r="D1790">
        <f>IF(B1790=C1790, "YES", "WRONG")</f>
        <v/>
      </c>
    </row>
    <row r="1791">
      <c r="A1791" t="n">
        <v>1790</v>
      </c>
      <c r="B1791" t="inlineStr">
        <is>
          <t>MDCCXC</t>
        </is>
      </c>
      <c r="C1791">
        <f>ROMAN(1790)</f>
        <v/>
      </c>
      <c r="D1791">
        <f>IF(B1791=C1791, "YES", "WRONG")</f>
        <v/>
      </c>
    </row>
    <row r="1792">
      <c r="A1792" t="n">
        <v>1791</v>
      </c>
      <c r="B1792" t="inlineStr">
        <is>
          <t>MDCCXCI</t>
        </is>
      </c>
      <c r="C1792">
        <f>ROMAN(1791)</f>
        <v/>
      </c>
      <c r="D1792">
        <f>IF(B1792=C1792, "YES", "WRONG")</f>
        <v/>
      </c>
    </row>
    <row r="1793">
      <c r="A1793" t="n">
        <v>1792</v>
      </c>
      <c r="B1793" t="inlineStr">
        <is>
          <t>MDCCXCII</t>
        </is>
      </c>
      <c r="C1793">
        <f>ROMAN(1792)</f>
        <v/>
      </c>
      <c r="D1793">
        <f>IF(B1793=C1793, "YES", "WRONG")</f>
        <v/>
      </c>
    </row>
    <row r="1794">
      <c r="A1794" t="n">
        <v>1793</v>
      </c>
      <c r="B1794" t="inlineStr">
        <is>
          <t>MDCCXCIII</t>
        </is>
      </c>
      <c r="C1794">
        <f>ROMAN(1793)</f>
        <v/>
      </c>
      <c r="D1794">
        <f>IF(B1794=C1794, "YES", "WRONG")</f>
        <v/>
      </c>
    </row>
    <row r="1795">
      <c r="A1795" t="n">
        <v>1794</v>
      </c>
      <c r="B1795" t="inlineStr">
        <is>
          <t>MDCCXCIV</t>
        </is>
      </c>
      <c r="C1795">
        <f>ROMAN(1794)</f>
        <v/>
      </c>
      <c r="D1795">
        <f>IF(B1795=C1795, "YES", "WRONG")</f>
        <v/>
      </c>
    </row>
    <row r="1796">
      <c r="A1796" t="n">
        <v>1795</v>
      </c>
      <c r="B1796" t="inlineStr">
        <is>
          <t>MDCCXCV</t>
        </is>
      </c>
      <c r="C1796">
        <f>ROMAN(1795)</f>
        <v/>
      </c>
      <c r="D1796">
        <f>IF(B1796=C1796, "YES", "WRONG")</f>
        <v/>
      </c>
    </row>
    <row r="1797">
      <c r="A1797" t="n">
        <v>1796</v>
      </c>
      <c r="B1797" t="inlineStr">
        <is>
          <t>MDCCXCVI</t>
        </is>
      </c>
      <c r="C1797">
        <f>ROMAN(1796)</f>
        <v/>
      </c>
      <c r="D1797">
        <f>IF(B1797=C1797, "YES", "WRONG")</f>
        <v/>
      </c>
    </row>
    <row r="1798">
      <c r="A1798" t="n">
        <v>1797</v>
      </c>
      <c r="B1798" t="inlineStr">
        <is>
          <t>MDCCXCVII</t>
        </is>
      </c>
      <c r="C1798">
        <f>ROMAN(1797)</f>
        <v/>
      </c>
      <c r="D1798">
        <f>IF(B1798=C1798, "YES", "WRONG")</f>
        <v/>
      </c>
    </row>
    <row r="1799">
      <c r="A1799" t="n">
        <v>1798</v>
      </c>
      <c r="B1799" t="inlineStr">
        <is>
          <t>MDCCXCVIII</t>
        </is>
      </c>
      <c r="C1799">
        <f>ROMAN(1798)</f>
        <v/>
      </c>
      <c r="D1799">
        <f>IF(B1799=C1799, "YES", "WRONG")</f>
        <v/>
      </c>
    </row>
    <row r="1800">
      <c r="A1800" t="n">
        <v>1799</v>
      </c>
      <c r="B1800" t="inlineStr">
        <is>
          <t>MDCCXCIX</t>
        </is>
      </c>
      <c r="C1800">
        <f>ROMAN(1799)</f>
        <v/>
      </c>
      <c r="D1800">
        <f>IF(B1800=C1800, "YES", "WRONG")</f>
        <v/>
      </c>
    </row>
    <row r="1801">
      <c r="A1801" t="n">
        <v>1800</v>
      </c>
      <c r="B1801" t="inlineStr">
        <is>
          <t>MDCCC</t>
        </is>
      </c>
      <c r="C1801">
        <f>ROMAN(1800)</f>
        <v/>
      </c>
      <c r="D1801">
        <f>IF(B1801=C1801, "YES", "WRONG")</f>
        <v/>
      </c>
    </row>
    <row r="1802">
      <c r="A1802" t="n">
        <v>1801</v>
      </c>
      <c r="B1802" t="inlineStr">
        <is>
          <t>MDCCCI</t>
        </is>
      </c>
      <c r="C1802">
        <f>ROMAN(1801)</f>
        <v/>
      </c>
      <c r="D1802">
        <f>IF(B1802=C1802, "YES", "WRONG")</f>
        <v/>
      </c>
    </row>
    <row r="1803">
      <c r="A1803" t="n">
        <v>1802</v>
      </c>
      <c r="B1803" t="inlineStr">
        <is>
          <t>MDCCCII</t>
        </is>
      </c>
      <c r="C1803">
        <f>ROMAN(1802)</f>
        <v/>
      </c>
      <c r="D1803">
        <f>IF(B1803=C1803, "YES", "WRONG")</f>
        <v/>
      </c>
    </row>
    <row r="1804">
      <c r="A1804" t="n">
        <v>1803</v>
      </c>
      <c r="B1804" t="inlineStr">
        <is>
          <t>MDCCCIII</t>
        </is>
      </c>
      <c r="C1804">
        <f>ROMAN(1803)</f>
        <v/>
      </c>
      <c r="D1804">
        <f>IF(B1804=C1804, "YES", "WRONG")</f>
        <v/>
      </c>
    </row>
    <row r="1805">
      <c r="A1805" t="n">
        <v>1804</v>
      </c>
      <c r="B1805" t="inlineStr">
        <is>
          <t>MDCCCIV</t>
        </is>
      </c>
      <c r="C1805">
        <f>ROMAN(1804)</f>
        <v/>
      </c>
      <c r="D1805">
        <f>IF(B1805=C1805, "YES", "WRONG")</f>
        <v/>
      </c>
    </row>
    <row r="1806">
      <c r="A1806" t="n">
        <v>1805</v>
      </c>
      <c r="B1806" t="inlineStr">
        <is>
          <t>MDCCCV</t>
        </is>
      </c>
      <c r="C1806">
        <f>ROMAN(1805)</f>
        <v/>
      </c>
      <c r="D1806">
        <f>IF(B1806=C1806, "YES", "WRONG")</f>
        <v/>
      </c>
    </row>
    <row r="1807">
      <c r="A1807" t="n">
        <v>1806</v>
      </c>
      <c r="B1807" t="inlineStr">
        <is>
          <t>MDCCCVI</t>
        </is>
      </c>
      <c r="C1807">
        <f>ROMAN(1806)</f>
        <v/>
      </c>
      <c r="D1807">
        <f>IF(B1807=C1807, "YES", "WRONG")</f>
        <v/>
      </c>
    </row>
    <row r="1808">
      <c r="A1808" t="n">
        <v>1807</v>
      </c>
      <c r="B1808" t="inlineStr">
        <is>
          <t>MDCCCVII</t>
        </is>
      </c>
      <c r="C1808">
        <f>ROMAN(1807)</f>
        <v/>
      </c>
      <c r="D1808">
        <f>IF(B1808=C1808, "YES", "WRONG")</f>
        <v/>
      </c>
    </row>
    <row r="1809">
      <c r="A1809" t="n">
        <v>1808</v>
      </c>
      <c r="B1809" t="inlineStr">
        <is>
          <t>MDCCCVIII</t>
        </is>
      </c>
      <c r="C1809">
        <f>ROMAN(1808)</f>
        <v/>
      </c>
      <c r="D1809">
        <f>IF(B1809=C1809, "YES", "WRONG")</f>
        <v/>
      </c>
    </row>
    <row r="1810">
      <c r="A1810" t="n">
        <v>1809</v>
      </c>
      <c r="B1810" t="inlineStr">
        <is>
          <t>MDCCCIX</t>
        </is>
      </c>
      <c r="C1810">
        <f>ROMAN(1809)</f>
        <v/>
      </c>
      <c r="D1810">
        <f>IF(B1810=C1810, "YES", "WRONG")</f>
        <v/>
      </c>
    </row>
    <row r="1811">
      <c r="A1811" t="n">
        <v>1810</v>
      </c>
      <c r="B1811" t="inlineStr">
        <is>
          <t>MDCCCX</t>
        </is>
      </c>
      <c r="C1811">
        <f>ROMAN(1810)</f>
        <v/>
      </c>
      <c r="D1811">
        <f>IF(B1811=C1811, "YES", "WRONG")</f>
        <v/>
      </c>
    </row>
    <row r="1812">
      <c r="A1812" t="n">
        <v>1811</v>
      </c>
      <c r="B1812" t="inlineStr">
        <is>
          <t>MDCCCXI</t>
        </is>
      </c>
      <c r="C1812">
        <f>ROMAN(1811)</f>
        <v/>
      </c>
      <c r="D1812">
        <f>IF(B1812=C1812, "YES", "WRONG")</f>
        <v/>
      </c>
    </row>
    <row r="1813">
      <c r="A1813" t="n">
        <v>1812</v>
      </c>
      <c r="B1813" t="inlineStr">
        <is>
          <t>MDCCCXII</t>
        </is>
      </c>
      <c r="C1813">
        <f>ROMAN(1812)</f>
        <v/>
      </c>
      <c r="D1813">
        <f>IF(B1813=C1813, "YES", "WRONG")</f>
        <v/>
      </c>
    </row>
    <row r="1814">
      <c r="A1814" t="n">
        <v>1813</v>
      </c>
      <c r="B1814" t="inlineStr">
        <is>
          <t>MDCCCXIII</t>
        </is>
      </c>
      <c r="C1814">
        <f>ROMAN(1813)</f>
        <v/>
      </c>
      <c r="D1814">
        <f>IF(B1814=C1814, "YES", "WRONG")</f>
        <v/>
      </c>
    </row>
    <row r="1815">
      <c r="A1815" t="n">
        <v>1814</v>
      </c>
      <c r="B1815" t="inlineStr">
        <is>
          <t>MDCCCXIV</t>
        </is>
      </c>
      <c r="C1815">
        <f>ROMAN(1814)</f>
        <v/>
      </c>
      <c r="D1815">
        <f>IF(B1815=C1815, "YES", "WRONG")</f>
        <v/>
      </c>
    </row>
    <row r="1816">
      <c r="A1816" t="n">
        <v>1815</v>
      </c>
      <c r="B1816" t="inlineStr">
        <is>
          <t>MDCCCXV</t>
        </is>
      </c>
      <c r="C1816">
        <f>ROMAN(1815)</f>
        <v/>
      </c>
      <c r="D1816">
        <f>IF(B1816=C1816, "YES", "WRONG")</f>
        <v/>
      </c>
    </row>
    <row r="1817">
      <c r="A1817" t="n">
        <v>1816</v>
      </c>
      <c r="B1817" t="inlineStr">
        <is>
          <t>MDCCCXVI</t>
        </is>
      </c>
      <c r="C1817">
        <f>ROMAN(1816)</f>
        <v/>
      </c>
      <c r="D1817">
        <f>IF(B1817=C1817, "YES", "WRONG")</f>
        <v/>
      </c>
    </row>
    <row r="1818">
      <c r="A1818" t="n">
        <v>1817</v>
      </c>
      <c r="B1818" t="inlineStr">
        <is>
          <t>MDCCCXVII</t>
        </is>
      </c>
      <c r="C1818">
        <f>ROMAN(1817)</f>
        <v/>
      </c>
      <c r="D1818">
        <f>IF(B1818=C1818, "YES", "WRONG")</f>
        <v/>
      </c>
    </row>
    <row r="1819">
      <c r="A1819" t="n">
        <v>1818</v>
      </c>
      <c r="B1819" t="inlineStr">
        <is>
          <t>MDCCCXVIII</t>
        </is>
      </c>
      <c r="C1819">
        <f>ROMAN(1818)</f>
        <v/>
      </c>
      <c r="D1819">
        <f>IF(B1819=C1819, "YES", "WRONG")</f>
        <v/>
      </c>
    </row>
    <row r="1820">
      <c r="A1820" t="n">
        <v>1819</v>
      </c>
      <c r="B1820" t="inlineStr">
        <is>
          <t>MDCCCXIX</t>
        </is>
      </c>
      <c r="C1820">
        <f>ROMAN(1819)</f>
        <v/>
      </c>
      <c r="D1820">
        <f>IF(B1820=C1820, "YES", "WRONG")</f>
        <v/>
      </c>
    </row>
    <row r="1821">
      <c r="A1821" t="n">
        <v>1820</v>
      </c>
      <c r="B1821" t="inlineStr">
        <is>
          <t>MDCCCXX</t>
        </is>
      </c>
      <c r="C1821">
        <f>ROMAN(1820)</f>
        <v/>
      </c>
      <c r="D1821">
        <f>IF(B1821=C1821, "YES", "WRONG")</f>
        <v/>
      </c>
    </row>
    <row r="1822">
      <c r="A1822" t="n">
        <v>1821</v>
      </c>
      <c r="B1822" t="inlineStr">
        <is>
          <t>MDCCCXXI</t>
        </is>
      </c>
      <c r="C1822">
        <f>ROMAN(1821)</f>
        <v/>
      </c>
      <c r="D1822">
        <f>IF(B1822=C1822, "YES", "WRONG")</f>
        <v/>
      </c>
    </row>
    <row r="1823">
      <c r="A1823" t="n">
        <v>1822</v>
      </c>
      <c r="B1823" t="inlineStr">
        <is>
          <t>MDCCCXXII</t>
        </is>
      </c>
      <c r="C1823">
        <f>ROMAN(1822)</f>
        <v/>
      </c>
      <c r="D1823">
        <f>IF(B1823=C1823, "YES", "WRONG")</f>
        <v/>
      </c>
    </row>
    <row r="1824">
      <c r="A1824" t="n">
        <v>1823</v>
      </c>
      <c r="B1824" t="inlineStr">
        <is>
          <t>MDCCCXXIII</t>
        </is>
      </c>
      <c r="C1824">
        <f>ROMAN(1823)</f>
        <v/>
      </c>
      <c r="D1824">
        <f>IF(B1824=C1824, "YES", "WRONG")</f>
        <v/>
      </c>
    </row>
    <row r="1825">
      <c r="A1825" t="n">
        <v>1824</v>
      </c>
      <c r="B1825" t="inlineStr">
        <is>
          <t>MDCCCXXIV</t>
        </is>
      </c>
      <c r="C1825">
        <f>ROMAN(1824)</f>
        <v/>
      </c>
      <c r="D1825">
        <f>IF(B1825=C1825, "YES", "WRONG")</f>
        <v/>
      </c>
    </row>
    <row r="1826">
      <c r="A1826" t="n">
        <v>1825</v>
      </c>
      <c r="B1826" t="inlineStr">
        <is>
          <t>MDCCCXXV</t>
        </is>
      </c>
      <c r="C1826">
        <f>ROMAN(1825)</f>
        <v/>
      </c>
      <c r="D1826">
        <f>IF(B1826=C1826, "YES", "WRONG")</f>
        <v/>
      </c>
    </row>
    <row r="1827">
      <c r="A1827" t="n">
        <v>1826</v>
      </c>
      <c r="B1827" t="inlineStr">
        <is>
          <t>MDCCCXXVI</t>
        </is>
      </c>
      <c r="C1827">
        <f>ROMAN(1826)</f>
        <v/>
      </c>
      <c r="D1827">
        <f>IF(B1827=C1827, "YES", "WRONG")</f>
        <v/>
      </c>
    </row>
    <row r="1828">
      <c r="A1828" t="n">
        <v>1827</v>
      </c>
      <c r="B1828" t="inlineStr">
        <is>
          <t>MDCCCXXVII</t>
        </is>
      </c>
      <c r="C1828">
        <f>ROMAN(1827)</f>
        <v/>
      </c>
      <c r="D1828">
        <f>IF(B1828=C1828, "YES", "WRONG")</f>
        <v/>
      </c>
    </row>
    <row r="1829">
      <c r="A1829" t="n">
        <v>1828</v>
      </c>
      <c r="B1829" t="inlineStr">
        <is>
          <t>MDCCCXXVIII</t>
        </is>
      </c>
      <c r="C1829">
        <f>ROMAN(1828)</f>
        <v/>
      </c>
      <c r="D1829">
        <f>IF(B1829=C1829, "YES", "WRONG")</f>
        <v/>
      </c>
    </row>
    <row r="1830">
      <c r="A1830" t="n">
        <v>1829</v>
      </c>
      <c r="B1830" t="inlineStr">
        <is>
          <t>MDCCCXXIX</t>
        </is>
      </c>
      <c r="C1830">
        <f>ROMAN(1829)</f>
        <v/>
      </c>
      <c r="D1830">
        <f>IF(B1830=C1830, "YES", "WRONG")</f>
        <v/>
      </c>
    </row>
    <row r="1831">
      <c r="A1831" t="n">
        <v>1830</v>
      </c>
      <c r="B1831" t="inlineStr">
        <is>
          <t>MDCCCXXX</t>
        </is>
      </c>
      <c r="C1831">
        <f>ROMAN(1830)</f>
        <v/>
      </c>
      <c r="D1831">
        <f>IF(B1831=C1831, "YES", "WRONG")</f>
        <v/>
      </c>
    </row>
    <row r="1832">
      <c r="A1832" t="n">
        <v>1831</v>
      </c>
      <c r="B1832" t="inlineStr">
        <is>
          <t>MDCCCXXXI</t>
        </is>
      </c>
      <c r="C1832">
        <f>ROMAN(1831)</f>
        <v/>
      </c>
      <c r="D1832">
        <f>IF(B1832=C1832, "YES", "WRONG")</f>
        <v/>
      </c>
    </row>
    <row r="1833">
      <c r="A1833" t="n">
        <v>1832</v>
      </c>
      <c r="B1833" t="inlineStr">
        <is>
          <t>MDCCCXXXII</t>
        </is>
      </c>
      <c r="C1833">
        <f>ROMAN(1832)</f>
        <v/>
      </c>
      <c r="D1833">
        <f>IF(B1833=C1833, "YES", "WRONG")</f>
        <v/>
      </c>
    </row>
    <row r="1834">
      <c r="A1834" t="n">
        <v>1833</v>
      </c>
      <c r="B1834" t="inlineStr">
        <is>
          <t>MDCCCXXXIII</t>
        </is>
      </c>
      <c r="C1834">
        <f>ROMAN(1833)</f>
        <v/>
      </c>
      <c r="D1834">
        <f>IF(B1834=C1834, "YES", "WRONG")</f>
        <v/>
      </c>
    </row>
    <row r="1835">
      <c r="A1835" t="n">
        <v>1834</v>
      </c>
      <c r="B1835" t="inlineStr">
        <is>
          <t>MDCCCXXXIV</t>
        </is>
      </c>
      <c r="C1835">
        <f>ROMAN(1834)</f>
        <v/>
      </c>
      <c r="D1835">
        <f>IF(B1835=C1835, "YES", "WRONG")</f>
        <v/>
      </c>
    </row>
    <row r="1836">
      <c r="A1836" t="n">
        <v>1835</v>
      </c>
      <c r="B1836" t="inlineStr">
        <is>
          <t>MDCCCXXXV</t>
        </is>
      </c>
      <c r="C1836">
        <f>ROMAN(1835)</f>
        <v/>
      </c>
      <c r="D1836">
        <f>IF(B1836=C1836, "YES", "WRONG")</f>
        <v/>
      </c>
    </row>
    <row r="1837">
      <c r="A1837" t="n">
        <v>1836</v>
      </c>
      <c r="B1837" t="inlineStr">
        <is>
          <t>MDCCCXXXVI</t>
        </is>
      </c>
      <c r="C1837">
        <f>ROMAN(1836)</f>
        <v/>
      </c>
      <c r="D1837">
        <f>IF(B1837=C1837, "YES", "WRONG")</f>
        <v/>
      </c>
    </row>
    <row r="1838">
      <c r="A1838" t="n">
        <v>1837</v>
      </c>
      <c r="B1838" t="inlineStr">
        <is>
          <t>MDCCCXXXVII</t>
        </is>
      </c>
      <c r="C1838">
        <f>ROMAN(1837)</f>
        <v/>
      </c>
      <c r="D1838">
        <f>IF(B1838=C1838, "YES", "WRONG")</f>
        <v/>
      </c>
    </row>
    <row r="1839">
      <c r="A1839" t="n">
        <v>1838</v>
      </c>
      <c r="B1839" t="inlineStr">
        <is>
          <t>MDCCCXXXVIII</t>
        </is>
      </c>
      <c r="C1839">
        <f>ROMAN(1838)</f>
        <v/>
      </c>
      <c r="D1839">
        <f>IF(B1839=C1839, "YES", "WRONG")</f>
        <v/>
      </c>
    </row>
    <row r="1840">
      <c r="A1840" t="n">
        <v>1839</v>
      </c>
      <c r="B1840" t="inlineStr">
        <is>
          <t>MDCCCXXXIX</t>
        </is>
      </c>
      <c r="C1840">
        <f>ROMAN(1839)</f>
        <v/>
      </c>
      <c r="D1840">
        <f>IF(B1840=C1840, "YES", "WRONG")</f>
        <v/>
      </c>
    </row>
    <row r="1841">
      <c r="A1841" t="n">
        <v>1840</v>
      </c>
      <c r="B1841" t="inlineStr">
        <is>
          <t>MDCCCXL</t>
        </is>
      </c>
      <c r="C1841">
        <f>ROMAN(1840)</f>
        <v/>
      </c>
      <c r="D1841">
        <f>IF(B1841=C1841, "YES", "WRONG")</f>
        <v/>
      </c>
    </row>
    <row r="1842">
      <c r="A1842" t="n">
        <v>1841</v>
      </c>
      <c r="B1842" t="inlineStr">
        <is>
          <t>MDCCCXLI</t>
        </is>
      </c>
      <c r="C1842">
        <f>ROMAN(1841)</f>
        <v/>
      </c>
      <c r="D1842">
        <f>IF(B1842=C1842, "YES", "WRONG")</f>
        <v/>
      </c>
    </row>
    <row r="1843">
      <c r="A1843" t="n">
        <v>1842</v>
      </c>
      <c r="B1843" t="inlineStr">
        <is>
          <t>MDCCCXLII</t>
        </is>
      </c>
      <c r="C1843">
        <f>ROMAN(1842)</f>
        <v/>
      </c>
      <c r="D1843">
        <f>IF(B1843=C1843, "YES", "WRONG")</f>
        <v/>
      </c>
    </row>
    <row r="1844">
      <c r="A1844" t="n">
        <v>1843</v>
      </c>
      <c r="B1844" t="inlineStr">
        <is>
          <t>MDCCCXLIII</t>
        </is>
      </c>
      <c r="C1844">
        <f>ROMAN(1843)</f>
        <v/>
      </c>
      <c r="D1844">
        <f>IF(B1844=C1844, "YES", "WRONG")</f>
        <v/>
      </c>
    </row>
    <row r="1845">
      <c r="A1845" t="n">
        <v>1844</v>
      </c>
      <c r="B1845" t="inlineStr">
        <is>
          <t>MDCCCXLIV</t>
        </is>
      </c>
      <c r="C1845">
        <f>ROMAN(1844)</f>
        <v/>
      </c>
      <c r="D1845">
        <f>IF(B1845=C1845, "YES", "WRONG")</f>
        <v/>
      </c>
    </row>
    <row r="1846">
      <c r="A1846" t="n">
        <v>1845</v>
      </c>
      <c r="B1846" t="inlineStr">
        <is>
          <t>MDCCCXLV</t>
        </is>
      </c>
      <c r="C1846">
        <f>ROMAN(1845)</f>
        <v/>
      </c>
      <c r="D1846">
        <f>IF(B1846=C1846, "YES", "WRONG")</f>
        <v/>
      </c>
    </row>
    <row r="1847">
      <c r="A1847" t="n">
        <v>1846</v>
      </c>
      <c r="B1847" t="inlineStr">
        <is>
          <t>MDCCCXLVI</t>
        </is>
      </c>
      <c r="C1847">
        <f>ROMAN(1846)</f>
        <v/>
      </c>
      <c r="D1847">
        <f>IF(B1847=C1847, "YES", "WRONG")</f>
        <v/>
      </c>
    </row>
    <row r="1848">
      <c r="A1848" t="n">
        <v>1847</v>
      </c>
      <c r="B1848" t="inlineStr">
        <is>
          <t>MDCCCXLVII</t>
        </is>
      </c>
      <c r="C1848">
        <f>ROMAN(1847)</f>
        <v/>
      </c>
      <c r="D1848">
        <f>IF(B1848=C1848, "YES", "WRONG")</f>
        <v/>
      </c>
    </row>
    <row r="1849">
      <c r="A1849" t="n">
        <v>1848</v>
      </c>
      <c r="B1849" t="inlineStr">
        <is>
          <t>MDCCCXLVIII</t>
        </is>
      </c>
      <c r="C1849">
        <f>ROMAN(1848)</f>
        <v/>
      </c>
      <c r="D1849">
        <f>IF(B1849=C1849, "YES", "WRONG")</f>
        <v/>
      </c>
    </row>
    <row r="1850">
      <c r="A1850" t="n">
        <v>1849</v>
      </c>
      <c r="B1850" t="inlineStr">
        <is>
          <t>MDCCCXLIX</t>
        </is>
      </c>
      <c r="C1850">
        <f>ROMAN(1849)</f>
        <v/>
      </c>
      <c r="D1850">
        <f>IF(B1850=C1850, "YES", "WRONG")</f>
        <v/>
      </c>
    </row>
    <row r="1851">
      <c r="A1851" t="n">
        <v>1850</v>
      </c>
      <c r="B1851" t="inlineStr">
        <is>
          <t>MDCCCL</t>
        </is>
      </c>
      <c r="C1851">
        <f>ROMAN(1850)</f>
        <v/>
      </c>
      <c r="D1851">
        <f>IF(B1851=C1851, "YES", "WRONG")</f>
        <v/>
      </c>
    </row>
    <row r="1852">
      <c r="A1852" t="n">
        <v>1851</v>
      </c>
      <c r="B1852" t="inlineStr">
        <is>
          <t>MDCCCLI</t>
        </is>
      </c>
      <c r="C1852">
        <f>ROMAN(1851)</f>
        <v/>
      </c>
      <c r="D1852">
        <f>IF(B1852=C1852, "YES", "WRONG")</f>
        <v/>
      </c>
    </row>
    <row r="1853">
      <c r="A1853" t="n">
        <v>1852</v>
      </c>
      <c r="B1853" t="inlineStr">
        <is>
          <t>MDCCCLII</t>
        </is>
      </c>
      <c r="C1853">
        <f>ROMAN(1852)</f>
        <v/>
      </c>
      <c r="D1853">
        <f>IF(B1853=C1853, "YES", "WRONG")</f>
        <v/>
      </c>
    </row>
    <row r="1854">
      <c r="A1854" t="n">
        <v>1853</v>
      </c>
      <c r="B1854" t="inlineStr">
        <is>
          <t>MDCCCLIII</t>
        </is>
      </c>
      <c r="C1854">
        <f>ROMAN(1853)</f>
        <v/>
      </c>
      <c r="D1854">
        <f>IF(B1854=C1854, "YES", "WRONG")</f>
        <v/>
      </c>
    </row>
    <row r="1855">
      <c r="A1855" t="n">
        <v>1854</v>
      </c>
      <c r="B1855" t="inlineStr">
        <is>
          <t>MDCCCLIV</t>
        </is>
      </c>
      <c r="C1855">
        <f>ROMAN(1854)</f>
        <v/>
      </c>
      <c r="D1855">
        <f>IF(B1855=C1855, "YES", "WRONG")</f>
        <v/>
      </c>
    </row>
    <row r="1856">
      <c r="A1856" t="n">
        <v>1855</v>
      </c>
      <c r="B1856" t="inlineStr">
        <is>
          <t>MDCCCLV</t>
        </is>
      </c>
      <c r="C1856">
        <f>ROMAN(1855)</f>
        <v/>
      </c>
      <c r="D1856">
        <f>IF(B1856=C1856, "YES", "WRONG")</f>
        <v/>
      </c>
    </row>
    <row r="1857">
      <c r="A1857" t="n">
        <v>1856</v>
      </c>
      <c r="B1857" t="inlineStr">
        <is>
          <t>MDCCCLVI</t>
        </is>
      </c>
      <c r="C1857">
        <f>ROMAN(1856)</f>
        <v/>
      </c>
      <c r="D1857">
        <f>IF(B1857=C1857, "YES", "WRONG")</f>
        <v/>
      </c>
    </row>
    <row r="1858">
      <c r="A1858" t="n">
        <v>1857</v>
      </c>
      <c r="B1858" t="inlineStr">
        <is>
          <t>MDCCCLVII</t>
        </is>
      </c>
      <c r="C1858">
        <f>ROMAN(1857)</f>
        <v/>
      </c>
      <c r="D1858">
        <f>IF(B1858=C1858, "YES", "WRONG")</f>
        <v/>
      </c>
    </row>
    <row r="1859">
      <c r="A1859" t="n">
        <v>1858</v>
      </c>
      <c r="B1859" t="inlineStr">
        <is>
          <t>MDCCCLVIII</t>
        </is>
      </c>
      <c r="C1859">
        <f>ROMAN(1858)</f>
        <v/>
      </c>
      <c r="D1859">
        <f>IF(B1859=C1859, "YES", "WRONG")</f>
        <v/>
      </c>
    </row>
    <row r="1860">
      <c r="A1860" t="n">
        <v>1859</v>
      </c>
      <c r="B1860" t="inlineStr">
        <is>
          <t>MDCCCLIX</t>
        </is>
      </c>
      <c r="C1860">
        <f>ROMAN(1859)</f>
        <v/>
      </c>
      <c r="D1860">
        <f>IF(B1860=C1860, "YES", "WRONG")</f>
        <v/>
      </c>
    </row>
    <row r="1861">
      <c r="A1861" t="n">
        <v>1860</v>
      </c>
      <c r="B1861" t="inlineStr">
        <is>
          <t>MDCCCLX</t>
        </is>
      </c>
      <c r="C1861">
        <f>ROMAN(1860)</f>
        <v/>
      </c>
      <c r="D1861">
        <f>IF(B1861=C1861, "YES", "WRONG")</f>
        <v/>
      </c>
    </row>
    <row r="1862">
      <c r="A1862" t="n">
        <v>1861</v>
      </c>
      <c r="B1862" t="inlineStr">
        <is>
          <t>MDCCCLXI</t>
        </is>
      </c>
      <c r="C1862">
        <f>ROMAN(1861)</f>
        <v/>
      </c>
      <c r="D1862">
        <f>IF(B1862=C1862, "YES", "WRONG")</f>
        <v/>
      </c>
    </row>
    <row r="1863">
      <c r="A1863" t="n">
        <v>1862</v>
      </c>
      <c r="B1863" t="inlineStr">
        <is>
          <t>MDCCCLXII</t>
        </is>
      </c>
      <c r="C1863">
        <f>ROMAN(1862)</f>
        <v/>
      </c>
      <c r="D1863">
        <f>IF(B1863=C1863, "YES", "WRONG")</f>
        <v/>
      </c>
    </row>
    <row r="1864">
      <c r="A1864" t="n">
        <v>1863</v>
      </c>
      <c r="B1864" t="inlineStr">
        <is>
          <t>MDCCCLXIII</t>
        </is>
      </c>
      <c r="C1864">
        <f>ROMAN(1863)</f>
        <v/>
      </c>
      <c r="D1864">
        <f>IF(B1864=C1864, "YES", "WRONG")</f>
        <v/>
      </c>
    </row>
    <row r="1865">
      <c r="A1865" t="n">
        <v>1864</v>
      </c>
      <c r="B1865" t="inlineStr">
        <is>
          <t>MDCCCLXIV</t>
        </is>
      </c>
      <c r="C1865">
        <f>ROMAN(1864)</f>
        <v/>
      </c>
      <c r="D1865">
        <f>IF(B1865=C1865, "YES", "WRONG")</f>
        <v/>
      </c>
    </row>
    <row r="1866">
      <c r="A1866" t="n">
        <v>1865</v>
      </c>
      <c r="B1866" t="inlineStr">
        <is>
          <t>MDCCCLXV</t>
        </is>
      </c>
      <c r="C1866">
        <f>ROMAN(1865)</f>
        <v/>
      </c>
      <c r="D1866">
        <f>IF(B1866=C1866, "YES", "WRONG")</f>
        <v/>
      </c>
    </row>
    <row r="1867">
      <c r="A1867" t="n">
        <v>1866</v>
      </c>
      <c r="B1867" t="inlineStr">
        <is>
          <t>MDCCCLXVI</t>
        </is>
      </c>
      <c r="C1867">
        <f>ROMAN(1866)</f>
        <v/>
      </c>
      <c r="D1867">
        <f>IF(B1867=C1867, "YES", "WRONG")</f>
        <v/>
      </c>
    </row>
    <row r="1868">
      <c r="A1868" t="n">
        <v>1867</v>
      </c>
      <c r="B1868" t="inlineStr">
        <is>
          <t>MDCCCLXVII</t>
        </is>
      </c>
      <c r="C1868">
        <f>ROMAN(1867)</f>
        <v/>
      </c>
      <c r="D1868">
        <f>IF(B1868=C1868, "YES", "WRONG")</f>
        <v/>
      </c>
    </row>
    <row r="1869">
      <c r="A1869" t="n">
        <v>1868</v>
      </c>
      <c r="B1869" t="inlineStr">
        <is>
          <t>MDCCCLXVIII</t>
        </is>
      </c>
      <c r="C1869">
        <f>ROMAN(1868)</f>
        <v/>
      </c>
      <c r="D1869">
        <f>IF(B1869=C1869, "YES", "WRONG")</f>
        <v/>
      </c>
    </row>
    <row r="1870">
      <c r="A1870" t="n">
        <v>1869</v>
      </c>
      <c r="B1870" t="inlineStr">
        <is>
          <t>MDCCCLXIX</t>
        </is>
      </c>
      <c r="C1870">
        <f>ROMAN(1869)</f>
        <v/>
      </c>
      <c r="D1870">
        <f>IF(B1870=C1870, "YES", "WRONG")</f>
        <v/>
      </c>
    </row>
    <row r="1871">
      <c r="A1871" t="n">
        <v>1870</v>
      </c>
      <c r="B1871" t="inlineStr">
        <is>
          <t>MDCCCLXX</t>
        </is>
      </c>
      <c r="C1871">
        <f>ROMAN(1870)</f>
        <v/>
      </c>
      <c r="D1871">
        <f>IF(B1871=C1871, "YES", "WRONG")</f>
        <v/>
      </c>
    </row>
    <row r="1872">
      <c r="A1872" t="n">
        <v>1871</v>
      </c>
      <c r="B1872" t="inlineStr">
        <is>
          <t>MDCCCLXXI</t>
        </is>
      </c>
      <c r="C1872">
        <f>ROMAN(1871)</f>
        <v/>
      </c>
      <c r="D1872">
        <f>IF(B1872=C1872, "YES", "WRONG")</f>
        <v/>
      </c>
    </row>
    <row r="1873">
      <c r="A1873" t="n">
        <v>1872</v>
      </c>
      <c r="B1873" t="inlineStr">
        <is>
          <t>MDCCCLXXII</t>
        </is>
      </c>
      <c r="C1873">
        <f>ROMAN(1872)</f>
        <v/>
      </c>
      <c r="D1873">
        <f>IF(B1873=C1873, "YES", "WRONG")</f>
        <v/>
      </c>
    </row>
    <row r="1874">
      <c r="A1874" t="n">
        <v>1873</v>
      </c>
      <c r="B1874" t="inlineStr">
        <is>
          <t>MDCCCLXXIII</t>
        </is>
      </c>
      <c r="C1874">
        <f>ROMAN(1873)</f>
        <v/>
      </c>
      <c r="D1874">
        <f>IF(B1874=C1874, "YES", "WRONG")</f>
        <v/>
      </c>
    </row>
    <row r="1875">
      <c r="A1875" t="n">
        <v>1874</v>
      </c>
      <c r="B1875" t="inlineStr">
        <is>
          <t>MDCCCLXXIV</t>
        </is>
      </c>
      <c r="C1875">
        <f>ROMAN(1874)</f>
        <v/>
      </c>
      <c r="D1875">
        <f>IF(B1875=C1875, "YES", "WRONG")</f>
        <v/>
      </c>
    </row>
    <row r="1876">
      <c r="A1876" t="n">
        <v>1875</v>
      </c>
      <c r="B1876" t="inlineStr">
        <is>
          <t>MDCCCLXXV</t>
        </is>
      </c>
      <c r="C1876">
        <f>ROMAN(1875)</f>
        <v/>
      </c>
      <c r="D1876">
        <f>IF(B1876=C1876, "YES", "WRONG")</f>
        <v/>
      </c>
    </row>
    <row r="1877">
      <c r="A1877" t="n">
        <v>1876</v>
      </c>
      <c r="B1877" t="inlineStr">
        <is>
          <t>MDCCCLXXVI</t>
        </is>
      </c>
      <c r="C1877">
        <f>ROMAN(1876)</f>
        <v/>
      </c>
      <c r="D1877">
        <f>IF(B1877=C1877, "YES", "WRONG")</f>
        <v/>
      </c>
    </row>
    <row r="1878">
      <c r="A1878" t="n">
        <v>1877</v>
      </c>
      <c r="B1878" t="inlineStr">
        <is>
          <t>MDCCCLXXVII</t>
        </is>
      </c>
      <c r="C1878">
        <f>ROMAN(1877)</f>
        <v/>
      </c>
      <c r="D1878">
        <f>IF(B1878=C1878, "YES", "WRONG")</f>
        <v/>
      </c>
    </row>
    <row r="1879">
      <c r="A1879" t="n">
        <v>1878</v>
      </c>
      <c r="B1879" t="inlineStr">
        <is>
          <t>MDCCCLXXVIII</t>
        </is>
      </c>
      <c r="C1879">
        <f>ROMAN(1878)</f>
        <v/>
      </c>
      <c r="D1879">
        <f>IF(B1879=C1879, "YES", "WRONG")</f>
        <v/>
      </c>
    </row>
    <row r="1880">
      <c r="A1880" t="n">
        <v>1879</v>
      </c>
      <c r="B1880" t="inlineStr">
        <is>
          <t>MDCCCLXXIX</t>
        </is>
      </c>
      <c r="C1880">
        <f>ROMAN(1879)</f>
        <v/>
      </c>
      <c r="D1880">
        <f>IF(B1880=C1880, "YES", "WRONG")</f>
        <v/>
      </c>
    </row>
    <row r="1881">
      <c r="A1881" t="n">
        <v>1880</v>
      </c>
      <c r="B1881" t="inlineStr">
        <is>
          <t>MDCCCLXXX</t>
        </is>
      </c>
      <c r="C1881">
        <f>ROMAN(1880)</f>
        <v/>
      </c>
      <c r="D1881">
        <f>IF(B1881=C1881, "YES", "WRONG")</f>
        <v/>
      </c>
    </row>
    <row r="1882">
      <c r="A1882" t="n">
        <v>1881</v>
      </c>
      <c r="B1882" t="inlineStr">
        <is>
          <t>MDCCCLXXXI</t>
        </is>
      </c>
      <c r="C1882">
        <f>ROMAN(1881)</f>
        <v/>
      </c>
      <c r="D1882">
        <f>IF(B1882=C1882, "YES", "WRONG")</f>
        <v/>
      </c>
    </row>
    <row r="1883">
      <c r="A1883" t="n">
        <v>1882</v>
      </c>
      <c r="B1883" t="inlineStr">
        <is>
          <t>MDCCCLXXXII</t>
        </is>
      </c>
      <c r="C1883">
        <f>ROMAN(1882)</f>
        <v/>
      </c>
      <c r="D1883">
        <f>IF(B1883=C1883, "YES", "WRONG")</f>
        <v/>
      </c>
    </row>
    <row r="1884">
      <c r="A1884" t="n">
        <v>1883</v>
      </c>
      <c r="B1884" t="inlineStr">
        <is>
          <t>MDCCCLXXXIII</t>
        </is>
      </c>
      <c r="C1884">
        <f>ROMAN(1883)</f>
        <v/>
      </c>
      <c r="D1884">
        <f>IF(B1884=C1884, "YES", "WRONG")</f>
        <v/>
      </c>
    </row>
    <row r="1885">
      <c r="A1885" t="n">
        <v>1884</v>
      </c>
      <c r="B1885" t="inlineStr">
        <is>
          <t>MDCCCLXXXIV</t>
        </is>
      </c>
      <c r="C1885">
        <f>ROMAN(1884)</f>
        <v/>
      </c>
      <c r="D1885">
        <f>IF(B1885=C1885, "YES", "WRONG")</f>
        <v/>
      </c>
    </row>
    <row r="1886">
      <c r="A1886" t="n">
        <v>1885</v>
      </c>
      <c r="B1886" t="inlineStr">
        <is>
          <t>MDCCCLXXXV</t>
        </is>
      </c>
      <c r="C1886">
        <f>ROMAN(1885)</f>
        <v/>
      </c>
      <c r="D1886">
        <f>IF(B1886=C1886, "YES", "WRONG")</f>
        <v/>
      </c>
    </row>
    <row r="1887">
      <c r="A1887" t="n">
        <v>1886</v>
      </c>
      <c r="B1887" t="inlineStr">
        <is>
          <t>MDCCCLXXXVI</t>
        </is>
      </c>
      <c r="C1887">
        <f>ROMAN(1886)</f>
        <v/>
      </c>
      <c r="D1887">
        <f>IF(B1887=C1887, "YES", "WRONG")</f>
        <v/>
      </c>
    </row>
    <row r="1888">
      <c r="A1888" t="n">
        <v>1887</v>
      </c>
      <c r="B1888" t="inlineStr">
        <is>
          <t>MDCCCLXXXVII</t>
        </is>
      </c>
      <c r="C1888">
        <f>ROMAN(1887)</f>
        <v/>
      </c>
      <c r="D1888">
        <f>IF(B1888=C1888, "YES", "WRONG")</f>
        <v/>
      </c>
    </row>
    <row r="1889">
      <c r="A1889" t="n">
        <v>1888</v>
      </c>
      <c r="B1889" t="inlineStr">
        <is>
          <t>MDCCCLXXXVIII</t>
        </is>
      </c>
      <c r="C1889">
        <f>ROMAN(1888)</f>
        <v/>
      </c>
      <c r="D1889">
        <f>IF(B1889=C1889, "YES", "WRONG")</f>
        <v/>
      </c>
    </row>
    <row r="1890">
      <c r="A1890" t="n">
        <v>1889</v>
      </c>
      <c r="B1890" t="inlineStr">
        <is>
          <t>MDCCCLXXXIX</t>
        </is>
      </c>
      <c r="C1890">
        <f>ROMAN(1889)</f>
        <v/>
      </c>
      <c r="D1890">
        <f>IF(B1890=C1890, "YES", "WRONG")</f>
        <v/>
      </c>
    </row>
    <row r="1891">
      <c r="A1891" t="n">
        <v>1890</v>
      </c>
      <c r="B1891" t="inlineStr">
        <is>
          <t>MDCCCXC</t>
        </is>
      </c>
      <c r="C1891">
        <f>ROMAN(1890)</f>
        <v/>
      </c>
      <c r="D1891">
        <f>IF(B1891=C1891, "YES", "WRONG")</f>
        <v/>
      </c>
    </row>
    <row r="1892">
      <c r="A1892" t="n">
        <v>1891</v>
      </c>
      <c r="B1892" t="inlineStr">
        <is>
          <t>MDCCCXCI</t>
        </is>
      </c>
      <c r="C1892">
        <f>ROMAN(1891)</f>
        <v/>
      </c>
      <c r="D1892">
        <f>IF(B1892=C1892, "YES", "WRONG")</f>
        <v/>
      </c>
    </row>
    <row r="1893">
      <c r="A1893" t="n">
        <v>1892</v>
      </c>
      <c r="B1893" t="inlineStr">
        <is>
          <t>MDCCCXCII</t>
        </is>
      </c>
      <c r="C1893">
        <f>ROMAN(1892)</f>
        <v/>
      </c>
      <c r="D1893">
        <f>IF(B1893=C1893, "YES", "WRONG")</f>
        <v/>
      </c>
    </row>
    <row r="1894">
      <c r="A1894" t="n">
        <v>1893</v>
      </c>
      <c r="B1894" t="inlineStr">
        <is>
          <t>MDCCCXCIII</t>
        </is>
      </c>
      <c r="C1894">
        <f>ROMAN(1893)</f>
        <v/>
      </c>
      <c r="D1894">
        <f>IF(B1894=C1894, "YES", "WRONG")</f>
        <v/>
      </c>
    </row>
    <row r="1895">
      <c r="A1895" t="n">
        <v>1894</v>
      </c>
      <c r="B1895" t="inlineStr">
        <is>
          <t>MDCCCXCIV</t>
        </is>
      </c>
      <c r="C1895">
        <f>ROMAN(1894)</f>
        <v/>
      </c>
      <c r="D1895">
        <f>IF(B1895=C1895, "YES", "WRONG")</f>
        <v/>
      </c>
    </row>
    <row r="1896">
      <c r="A1896" t="n">
        <v>1895</v>
      </c>
      <c r="B1896" t="inlineStr">
        <is>
          <t>MDCCCXCV</t>
        </is>
      </c>
      <c r="C1896">
        <f>ROMAN(1895)</f>
        <v/>
      </c>
      <c r="D1896">
        <f>IF(B1896=C1896, "YES", "WRONG")</f>
        <v/>
      </c>
    </row>
    <row r="1897">
      <c r="A1897" t="n">
        <v>1896</v>
      </c>
      <c r="B1897" t="inlineStr">
        <is>
          <t>MDCCCXCVI</t>
        </is>
      </c>
      <c r="C1897">
        <f>ROMAN(1896)</f>
        <v/>
      </c>
      <c r="D1897">
        <f>IF(B1897=C1897, "YES", "WRONG")</f>
        <v/>
      </c>
    </row>
    <row r="1898">
      <c r="A1898" t="n">
        <v>1897</v>
      </c>
      <c r="B1898" t="inlineStr">
        <is>
          <t>MDCCCXCVII</t>
        </is>
      </c>
      <c r="C1898">
        <f>ROMAN(1897)</f>
        <v/>
      </c>
      <c r="D1898">
        <f>IF(B1898=C1898, "YES", "WRONG")</f>
        <v/>
      </c>
    </row>
    <row r="1899">
      <c r="A1899" t="n">
        <v>1898</v>
      </c>
      <c r="B1899" t="inlineStr">
        <is>
          <t>MDCCCXCVIII</t>
        </is>
      </c>
      <c r="C1899">
        <f>ROMAN(1898)</f>
        <v/>
      </c>
      <c r="D1899">
        <f>IF(B1899=C1899, "YES", "WRONG")</f>
        <v/>
      </c>
    </row>
    <row r="1900">
      <c r="A1900" t="n">
        <v>1899</v>
      </c>
      <c r="B1900" t="inlineStr">
        <is>
          <t>MDCCCXCIX</t>
        </is>
      </c>
      <c r="C1900">
        <f>ROMAN(1899)</f>
        <v/>
      </c>
      <c r="D1900">
        <f>IF(B1900=C1900, "YES", "WRONG")</f>
        <v/>
      </c>
    </row>
    <row r="1901">
      <c r="A1901" t="n">
        <v>1900</v>
      </c>
      <c r="B1901" t="inlineStr">
        <is>
          <t>MCM</t>
        </is>
      </c>
      <c r="C1901">
        <f>ROMAN(1900)</f>
        <v/>
      </c>
      <c r="D1901">
        <f>IF(B1901=C1901, "YES", "WRONG")</f>
        <v/>
      </c>
    </row>
    <row r="1902">
      <c r="A1902" t="n">
        <v>1901</v>
      </c>
      <c r="B1902" t="inlineStr">
        <is>
          <t>MCMI</t>
        </is>
      </c>
      <c r="C1902">
        <f>ROMAN(1901)</f>
        <v/>
      </c>
      <c r="D1902">
        <f>IF(B1902=C1902, "YES", "WRONG")</f>
        <v/>
      </c>
    </row>
    <row r="1903">
      <c r="A1903" t="n">
        <v>1902</v>
      </c>
      <c r="B1903" t="inlineStr">
        <is>
          <t>MCMII</t>
        </is>
      </c>
      <c r="C1903">
        <f>ROMAN(1902)</f>
        <v/>
      </c>
      <c r="D1903">
        <f>IF(B1903=C1903, "YES", "WRONG")</f>
        <v/>
      </c>
    </row>
    <row r="1904">
      <c r="A1904" t="n">
        <v>1903</v>
      </c>
      <c r="B1904" t="inlineStr">
        <is>
          <t>MCMIII</t>
        </is>
      </c>
      <c r="C1904">
        <f>ROMAN(1903)</f>
        <v/>
      </c>
      <c r="D1904">
        <f>IF(B1904=C1904, "YES", "WRONG")</f>
        <v/>
      </c>
    </row>
    <row r="1905">
      <c r="A1905" t="n">
        <v>1904</v>
      </c>
      <c r="B1905" t="inlineStr">
        <is>
          <t>MCMIV</t>
        </is>
      </c>
      <c r="C1905">
        <f>ROMAN(1904)</f>
        <v/>
      </c>
      <c r="D1905">
        <f>IF(B1905=C1905, "YES", "WRONG")</f>
        <v/>
      </c>
    </row>
    <row r="1906">
      <c r="A1906" t="n">
        <v>1905</v>
      </c>
      <c r="B1906" t="inlineStr">
        <is>
          <t>MCMV</t>
        </is>
      </c>
      <c r="C1906">
        <f>ROMAN(1905)</f>
        <v/>
      </c>
      <c r="D1906">
        <f>IF(B1906=C1906, "YES", "WRONG")</f>
        <v/>
      </c>
    </row>
    <row r="1907">
      <c r="A1907" t="n">
        <v>1906</v>
      </c>
      <c r="B1907" t="inlineStr">
        <is>
          <t>MCMVI</t>
        </is>
      </c>
      <c r="C1907">
        <f>ROMAN(1906)</f>
        <v/>
      </c>
      <c r="D1907">
        <f>IF(B1907=C1907, "YES", "WRONG")</f>
        <v/>
      </c>
    </row>
    <row r="1908">
      <c r="A1908" t="n">
        <v>1907</v>
      </c>
      <c r="B1908" t="inlineStr">
        <is>
          <t>MCMVII</t>
        </is>
      </c>
      <c r="C1908">
        <f>ROMAN(1907)</f>
        <v/>
      </c>
      <c r="D1908">
        <f>IF(B1908=C1908, "YES", "WRONG")</f>
        <v/>
      </c>
    </row>
    <row r="1909">
      <c r="A1909" t="n">
        <v>1908</v>
      </c>
      <c r="B1909" t="inlineStr">
        <is>
          <t>MCMVIII</t>
        </is>
      </c>
      <c r="C1909">
        <f>ROMAN(1908)</f>
        <v/>
      </c>
      <c r="D1909">
        <f>IF(B1909=C1909, "YES", "WRONG")</f>
        <v/>
      </c>
    </row>
    <row r="1910">
      <c r="A1910" t="n">
        <v>1909</v>
      </c>
      <c r="B1910" t="inlineStr">
        <is>
          <t>MCMIX</t>
        </is>
      </c>
      <c r="C1910">
        <f>ROMAN(1909)</f>
        <v/>
      </c>
      <c r="D1910">
        <f>IF(B1910=C1910, "YES", "WRONG")</f>
        <v/>
      </c>
    </row>
    <row r="1911">
      <c r="A1911" t="n">
        <v>1910</v>
      </c>
      <c r="B1911" t="inlineStr">
        <is>
          <t>MCMX</t>
        </is>
      </c>
      <c r="C1911">
        <f>ROMAN(1910)</f>
        <v/>
      </c>
      <c r="D1911">
        <f>IF(B1911=C1911, "YES", "WRONG")</f>
        <v/>
      </c>
    </row>
    <row r="1912">
      <c r="A1912" t="n">
        <v>1911</v>
      </c>
      <c r="B1912" t="inlineStr">
        <is>
          <t>MCMXI</t>
        </is>
      </c>
      <c r="C1912">
        <f>ROMAN(1911)</f>
        <v/>
      </c>
      <c r="D1912">
        <f>IF(B1912=C1912, "YES", "WRONG")</f>
        <v/>
      </c>
    </row>
    <row r="1913">
      <c r="A1913" t="n">
        <v>1912</v>
      </c>
      <c r="B1913" t="inlineStr">
        <is>
          <t>MCMXII</t>
        </is>
      </c>
      <c r="C1913">
        <f>ROMAN(1912)</f>
        <v/>
      </c>
      <c r="D1913">
        <f>IF(B1913=C1913, "YES", "WRONG")</f>
        <v/>
      </c>
    </row>
    <row r="1914">
      <c r="A1914" t="n">
        <v>1913</v>
      </c>
      <c r="B1914" t="inlineStr">
        <is>
          <t>MCMXIII</t>
        </is>
      </c>
      <c r="C1914">
        <f>ROMAN(1913)</f>
        <v/>
      </c>
      <c r="D1914">
        <f>IF(B1914=C1914, "YES", "WRONG")</f>
        <v/>
      </c>
    </row>
    <row r="1915">
      <c r="A1915" t="n">
        <v>1914</v>
      </c>
      <c r="B1915" t="inlineStr">
        <is>
          <t>MCMXIV</t>
        </is>
      </c>
      <c r="C1915">
        <f>ROMAN(1914)</f>
        <v/>
      </c>
      <c r="D1915">
        <f>IF(B1915=C1915, "YES", "WRONG")</f>
        <v/>
      </c>
    </row>
    <row r="1916">
      <c r="A1916" t="n">
        <v>1915</v>
      </c>
      <c r="B1916" t="inlineStr">
        <is>
          <t>MCMXV</t>
        </is>
      </c>
      <c r="C1916">
        <f>ROMAN(1915)</f>
        <v/>
      </c>
      <c r="D1916">
        <f>IF(B1916=C1916, "YES", "WRONG")</f>
        <v/>
      </c>
    </row>
    <row r="1917">
      <c r="A1917" t="n">
        <v>1916</v>
      </c>
      <c r="B1917" t="inlineStr">
        <is>
          <t>MCMXVI</t>
        </is>
      </c>
      <c r="C1917">
        <f>ROMAN(1916)</f>
        <v/>
      </c>
      <c r="D1917">
        <f>IF(B1917=C1917, "YES", "WRONG")</f>
        <v/>
      </c>
    </row>
    <row r="1918">
      <c r="A1918" t="n">
        <v>1917</v>
      </c>
      <c r="B1918" t="inlineStr">
        <is>
          <t>MCMXVII</t>
        </is>
      </c>
      <c r="C1918">
        <f>ROMAN(1917)</f>
        <v/>
      </c>
      <c r="D1918">
        <f>IF(B1918=C1918, "YES", "WRONG")</f>
        <v/>
      </c>
    </row>
    <row r="1919">
      <c r="A1919" t="n">
        <v>1918</v>
      </c>
      <c r="B1919" t="inlineStr">
        <is>
          <t>MCMXVIII</t>
        </is>
      </c>
      <c r="C1919">
        <f>ROMAN(1918)</f>
        <v/>
      </c>
      <c r="D1919">
        <f>IF(B1919=C1919, "YES", "WRONG")</f>
        <v/>
      </c>
    </row>
    <row r="1920">
      <c r="A1920" t="n">
        <v>1919</v>
      </c>
      <c r="B1920" t="inlineStr">
        <is>
          <t>MCMXIX</t>
        </is>
      </c>
      <c r="C1920">
        <f>ROMAN(1919)</f>
        <v/>
      </c>
      <c r="D1920">
        <f>IF(B1920=C1920, "YES", "WRONG")</f>
        <v/>
      </c>
    </row>
    <row r="1921">
      <c r="A1921" t="n">
        <v>1920</v>
      </c>
      <c r="B1921" t="inlineStr">
        <is>
          <t>MCMXX</t>
        </is>
      </c>
      <c r="C1921">
        <f>ROMAN(1920)</f>
        <v/>
      </c>
      <c r="D1921">
        <f>IF(B1921=C1921, "YES", "WRONG")</f>
        <v/>
      </c>
    </row>
    <row r="1922">
      <c r="A1922" t="n">
        <v>1921</v>
      </c>
      <c r="B1922" t="inlineStr">
        <is>
          <t>MCMXXI</t>
        </is>
      </c>
      <c r="C1922">
        <f>ROMAN(1921)</f>
        <v/>
      </c>
      <c r="D1922">
        <f>IF(B1922=C1922, "YES", "WRONG")</f>
        <v/>
      </c>
    </row>
    <row r="1923">
      <c r="A1923" t="n">
        <v>1922</v>
      </c>
      <c r="B1923" t="inlineStr">
        <is>
          <t>MCMXXII</t>
        </is>
      </c>
      <c r="C1923">
        <f>ROMAN(1922)</f>
        <v/>
      </c>
      <c r="D1923">
        <f>IF(B1923=C1923, "YES", "WRONG")</f>
        <v/>
      </c>
    </row>
    <row r="1924">
      <c r="A1924" t="n">
        <v>1923</v>
      </c>
      <c r="B1924" t="inlineStr">
        <is>
          <t>MCMXXIII</t>
        </is>
      </c>
      <c r="C1924">
        <f>ROMAN(1923)</f>
        <v/>
      </c>
      <c r="D1924">
        <f>IF(B1924=C1924, "YES", "WRONG")</f>
        <v/>
      </c>
    </row>
    <row r="1925">
      <c r="A1925" t="n">
        <v>1924</v>
      </c>
      <c r="B1925" t="inlineStr">
        <is>
          <t>MCMXXIV</t>
        </is>
      </c>
      <c r="C1925">
        <f>ROMAN(1924)</f>
        <v/>
      </c>
      <c r="D1925">
        <f>IF(B1925=C1925, "YES", "WRONG")</f>
        <v/>
      </c>
    </row>
    <row r="1926">
      <c r="A1926" t="n">
        <v>1925</v>
      </c>
      <c r="B1926" t="inlineStr">
        <is>
          <t>MCMXXV</t>
        </is>
      </c>
      <c r="C1926">
        <f>ROMAN(1925)</f>
        <v/>
      </c>
      <c r="D1926">
        <f>IF(B1926=C1926, "YES", "WRONG")</f>
        <v/>
      </c>
    </row>
    <row r="1927">
      <c r="A1927" t="n">
        <v>1926</v>
      </c>
      <c r="B1927" t="inlineStr">
        <is>
          <t>MCMXXVI</t>
        </is>
      </c>
      <c r="C1927">
        <f>ROMAN(1926)</f>
        <v/>
      </c>
      <c r="D1927">
        <f>IF(B1927=C1927, "YES", "WRONG")</f>
        <v/>
      </c>
    </row>
    <row r="1928">
      <c r="A1928" t="n">
        <v>1927</v>
      </c>
      <c r="B1928" t="inlineStr">
        <is>
          <t>MCMXXVII</t>
        </is>
      </c>
      <c r="C1928">
        <f>ROMAN(1927)</f>
        <v/>
      </c>
      <c r="D1928">
        <f>IF(B1928=C1928, "YES", "WRONG")</f>
        <v/>
      </c>
    </row>
    <row r="1929">
      <c r="A1929" t="n">
        <v>1928</v>
      </c>
      <c r="B1929" t="inlineStr">
        <is>
          <t>MCMXXVIII</t>
        </is>
      </c>
      <c r="C1929">
        <f>ROMAN(1928)</f>
        <v/>
      </c>
      <c r="D1929">
        <f>IF(B1929=C1929, "YES", "WRONG")</f>
        <v/>
      </c>
    </row>
    <row r="1930">
      <c r="A1930" t="n">
        <v>1929</v>
      </c>
      <c r="B1930" t="inlineStr">
        <is>
          <t>MCMXXIX</t>
        </is>
      </c>
      <c r="C1930">
        <f>ROMAN(1929)</f>
        <v/>
      </c>
      <c r="D1930">
        <f>IF(B1930=C1930, "YES", "WRONG")</f>
        <v/>
      </c>
    </row>
    <row r="1931">
      <c r="A1931" t="n">
        <v>1930</v>
      </c>
      <c r="B1931" t="inlineStr">
        <is>
          <t>MCMXXX</t>
        </is>
      </c>
      <c r="C1931">
        <f>ROMAN(1930)</f>
        <v/>
      </c>
      <c r="D1931">
        <f>IF(B1931=C1931, "YES", "WRONG")</f>
        <v/>
      </c>
    </row>
    <row r="1932">
      <c r="A1932" t="n">
        <v>1931</v>
      </c>
      <c r="B1932" t="inlineStr">
        <is>
          <t>MCMXXXI</t>
        </is>
      </c>
      <c r="C1932">
        <f>ROMAN(1931)</f>
        <v/>
      </c>
      <c r="D1932">
        <f>IF(B1932=C1932, "YES", "WRONG")</f>
        <v/>
      </c>
    </row>
    <row r="1933">
      <c r="A1933" t="n">
        <v>1932</v>
      </c>
      <c r="B1933" t="inlineStr">
        <is>
          <t>MCMXXXII</t>
        </is>
      </c>
      <c r="C1933">
        <f>ROMAN(1932)</f>
        <v/>
      </c>
      <c r="D1933">
        <f>IF(B1933=C1933, "YES", "WRONG")</f>
        <v/>
      </c>
    </row>
    <row r="1934">
      <c r="A1934" t="n">
        <v>1933</v>
      </c>
      <c r="B1934" t="inlineStr">
        <is>
          <t>MCMXXXIII</t>
        </is>
      </c>
      <c r="C1934">
        <f>ROMAN(1933)</f>
        <v/>
      </c>
      <c r="D1934">
        <f>IF(B1934=C1934, "YES", "WRONG")</f>
        <v/>
      </c>
    </row>
    <row r="1935">
      <c r="A1935" t="n">
        <v>1934</v>
      </c>
      <c r="B1935" t="inlineStr">
        <is>
          <t>MCMXXXIV</t>
        </is>
      </c>
      <c r="C1935">
        <f>ROMAN(1934)</f>
        <v/>
      </c>
      <c r="D1935">
        <f>IF(B1935=C1935, "YES", "WRONG")</f>
        <v/>
      </c>
    </row>
    <row r="1936">
      <c r="A1936" t="n">
        <v>1935</v>
      </c>
      <c r="B1936" t="inlineStr">
        <is>
          <t>MCMXXXV</t>
        </is>
      </c>
      <c r="C1936">
        <f>ROMAN(1935)</f>
        <v/>
      </c>
      <c r="D1936">
        <f>IF(B1936=C1936, "YES", "WRONG")</f>
        <v/>
      </c>
    </row>
    <row r="1937">
      <c r="A1937" t="n">
        <v>1936</v>
      </c>
      <c r="B1937" t="inlineStr">
        <is>
          <t>MCMXXXVI</t>
        </is>
      </c>
      <c r="C1937">
        <f>ROMAN(1936)</f>
        <v/>
      </c>
      <c r="D1937">
        <f>IF(B1937=C1937, "YES", "WRONG")</f>
        <v/>
      </c>
    </row>
    <row r="1938">
      <c r="A1938" t="n">
        <v>1937</v>
      </c>
      <c r="B1938" t="inlineStr">
        <is>
          <t>MCMXXXVII</t>
        </is>
      </c>
      <c r="C1938">
        <f>ROMAN(1937)</f>
        <v/>
      </c>
      <c r="D1938">
        <f>IF(B1938=C1938, "YES", "WRONG")</f>
        <v/>
      </c>
    </row>
    <row r="1939">
      <c r="A1939" t="n">
        <v>1938</v>
      </c>
      <c r="B1939" t="inlineStr">
        <is>
          <t>MCMXXXVIII</t>
        </is>
      </c>
      <c r="C1939">
        <f>ROMAN(1938)</f>
        <v/>
      </c>
      <c r="D1939">
        <f>IF(B1939=C1939, "YES", "WRONG")</f>
        <v/>
      </c>
    </row>
    <row r="1940">
      <c r="A1940" t="n">
        <v>1939</v>
      </c>
      <c r="B1940" t="inlineStr">
        <is>
          <t>MCMXXXIX</t>
        </is>
      </c>
      <c r="C1940">
        <f>ROMAN(1939)</f>
        <v/>
      </c>
      <c r="D1940">
        <f>IF(B1940=C1940, "YES", "WRONG")</f>
        <v/>
      </c>
    </row>
    <row r="1941">
      <c r="A1941" t="n">
        <v>1940</v>
      </c>
      <c r="B1941" t="inlineStr">
        <is>
          <t>MCMXL</t>
        </is>
      </c>
      <c r="C1941">
        <f>ROMAN(1940)</f>
        <v/>
      </c>
      <c r="D1941">
        <f>IF(B1941=C1941, "YES", "WRONG")</f>
        <v/>
      </c>
    </row>
    <row r="1942">
      <c r="A1942" t="n">
        <v>1941</v>
      </c>
      <c r="B1942" t="inlineStr">
        <is>
          <t>MCMXLI</t>
        </is>
      </c>
      <c r="C1942">
        <f>ROMAN(1941)</f>
        <v/>
      </c>
      <c r="D1942">
        <f>IF(B1942=C1942, "YES", "WRONG")</f>
        <v/>
      </c>
    </row>
    <row r="1943">
      <c r="A1943" t="n">
        <v>1942</v>
      </c>
      <c r="B1943" t="inlineStr">
        <is>
          <t>MCMXLII</t>
        </is>
      </c>
      <c r="C1943">
        <f>ROMAN(1942)</f>
        <v/>
      </c>
      <c r="D1943">
        <f>IF(B1943=C1943, "YES", "WRONG")</f>
        <v/>
      </c>
    </row>
    <row r="1944">
      <c r="A1944" t="n">
        <v>1943</v>
      </c>
      <c r="B1944" t="inlineStr">
        <is>
          <t>MCMXLIII</t>
        </is>
      </c>
      <c r="C1944">
        <f>ROMAN(1943)</f>
        <v/>
      </c>
      <c r="D1944">
        <f>IF(B1944=C1944, "YES", "WRONG")</f>
        <v/>
      </c>
    </row>
    <row r="1945">
      <c r="A1945" t="n">
        <v>1944</v>
      </c>
      <c r="B1945" t="inlineStr">
        <is>
          <t>MCMXLIV</t>
        </is>
      </c>
      <c r="C1945">
        <f>ROMAN(1944)</f>
        <v/>
      </c>
      <c r="D1945">
        <f>IF(B1945=C1945, "YES", "WRONG")</f>
        <v/>
      </c>
    </row>
    <row r="1946">
      <c r="A1946" t="n">
        <v>1945</v>
      </c>
      <c r="B1946" t="inlineStr">
        <is>
          <t>MCMXLV</t>
        </is>
      </c>
      <c r="C1946">
        <f>ROMAN(1945)</f>
        <v/>
      </c>
      <c r="D1946">
        <f>IF(B1946=C1946, "YES", "WRONG")</f>
        <v/>
      </c>
    </row>
    <row r="1947">
      <c r="A1947" t="n">
        <v>1946</v>
      </c>
      <c r="B1947" t="inlineStr">
        <is>
          <t>MCMXLVI</t>
        </is>
      </c>
      <c r="C1947">
        <f>ROMAN(1946)</f>
        <v/>
      </c>
      <c r="D1947">
        <f>IF(B1947=C1947, "YES", "WRONG")</f>
        <v/>
      </c>
    </row>
    <row r="1948">
      <c r="A1948" t="n">
        <v>1947</v>
      </c>
      <c r="B1948" t="inlineStr">
        <is>
          <t>MCMXLVII</t>
        </is>
      </c>
      <c r="C1948">
        <f>ROMAN(1947)</f>
        <v/>
      </c>
      <c r="D1948">
        <f>IF(B1948=C1948, "YES", "WRONG")</f>
        <v/>
      </c>
    </row>
    <row r="1949">
      <c r="A1949" t="n">
        <v>1948</v>
      </c>
      <c r="B1949" t="inlineStr">
        <is>
          <t>MCMXLVIII</t>
        </is>
      </c>
      <c r="C1949">
        <f>ROMAN(1948)</f>
        <v/>
      </c>
      <c r="D1949">
        <f>IF(B1949=C1949, "YES", "WRONG")</f>
        <v/>
      </c>
    </row>
    <row r="1950">
      <c r="A1950" t="n">
        <v>1949</v>
      </c>
      <c r="B1950" t="inlineStr">
        <is>
          <t>MCMXLIX</t>
        </is>
      </c>
      <c r="C1950">
        <f>ROMAN(1949)</f>
        <v/>
      </c>
      <c r="D1950">
        <f>IF(B1950=C1950, "YES", "WRONG")</f>
        <v/>
      </c>
    </row>
    <row r="1951">
      <c r="A1951" t="n">
        <v>1950</v>
      </c>
      <c r="B1951" t="inlineStr">
        <is>
          <t>MCML</t>
        </is>
      </c>
      <c r="C1951">
        <f>ROMAN(1950)</f>
        <v/>
      </c>
      <c r="D1951">
        <f>IF(B1951=C1951, "YES", "WRONG")</f>
        <v/>
      </c>
    </row>
    <row r="1952">
      <c r="A1952" t="n">
        <v>1951</v>
      </c>
      <c r="B1952" t="inlineStr">
        <is>
          <t>MCMLI</t>
        </is>
      </c>
      <c r="C1952">
        <f>ROMAN(1951)</f>
        <v/>
      </c>
      <c r="D1952">
        <f>IF(B1952=C1952, "YES", "WRONG")</f>
        <v/>
      </c>
    </row>
    <row r="1953">
      <c r="A1953" t="n">
        <v>1952</v>
      </c>
      <c r="B1953" t="inlineStr">
        <is>
          <t>MCMLII</t>
        </is>
      </c>
      <c r="C1953">
        <f>ROMAN(1952)</f>
        <v/>
      </c>
      <c r="D1953">
        <f>IF(B1953=C1953, "YES", "WRONG")</f>
        <v/>
      </c>
    </row>
    <row r="1954">
      <c r="A1954" t="n">
        <v>1953</v>
      </c>
      <c r="B1954" t="inlineStr">
        <is>
          <t>MCMLIII</t>
        </is>
      </c>
      <c r="C1954">
        <f>ROMAN(1953)</f>
        <v/>
      </c>
      <c r="D1954">
        <f>IF(B1954=C1954, "YES", "WRONG")</f>
        <v/>
      </c>
    </row>
    <row r="1955">
      <c r="A1955" t="n">
        <v>1954</v>
      </c>
      <c r="B1955" t="inlineStr">
        <is>
          <t>MCMLIV</t>
        </is>
      </c>
      <c r="C1955">
        <f>ROMAN(1954)</f>
        <v/>
      </c>
      <c r="D1955">
        <f>IF(B1955=C1955, "YES", "WRONG")</f>
        <v/>
      </c>
    </row>
    <row r="1956">
      <c r="A1956" t="n">
        <v>1955</v>
      </c>
      <c r="B1956" t="inlineStr">
        <is>
          <t>MCMLV</t>
        </is>
      </c>
      <c r="C1956">
        <f>ROMAN(1955)</f>
        <v/>
      </c>
      <c r="D1956">
        <f>IF(B1956=C1956, "YES", "WRONG")</f>
        <v/>
      </c>
    </row>
    <row r="1957">
      <c r="A1957" t="n">
        <v>1956</v>
      </c>
      <c r="B1957" t="inlineStr">
        <is>
          <t>MCMLVI</t>
        </is>
      </c>
      <c r="C1957">
        <f>ROMAN(1956)</f>
        <v/>
      </c>
      <c r="D1957">
        <f>IF(B1957=C1957, "YES", "WRONG")</f>
        <v/>
      </c>
    </row>
    <row r="1958">
      <c r="A1958" t="n">
        <v>1957</v>
      </c>
      <c r="B1958" t="inlineStr">
        <is>
          <t>MCMLVII</t>
        </is>
      </c>
      <c r="C1958">
        <f>ROMAN(1957)</f>
        <v/>
      </c>
      <c r="D1958">
        <f>IF(B1958=C1958, "YES", "WRONG")</f>
        <v/>
      </c>
    </row>
    <row r="1959">
      <c r="A1959" t="n">
        <v>1958</v>
      </c>
      <c r="B1959" t="inlineStr">
        <is>
          <t>MCMLVIII</t>
        </is>
      </c>
      <c r="C1959">
        <f>ROMAN(1958)</f>
        <v/>
      </c>
      <c r="D1959">
        <f>IF(B1959=C1959, "YES", "WRONG")</f>
        <v/>
      </c>
    </row>
    <row r="1960">
      <c r="A1960" t="n">
        <v>1959</v>
      </c>
      <c r="B1960" t="inlineStr">
        <is>
          <t>MCMLIX</t>
        </is>
      </c>
      <c r="C1960">
        <f>ROMAN(1959)</f>
        <v/>
      </c>
      <c r="D1960">
        <f>IF(B1960=C1960, "YES", "WRONG")</f>
        <v/>
      </c>
    </row>
    <row r="1961">
      <c r="A1961" t="n">
        <v>1960</v>
      </c>
      <c r="B1961" t="inlineStr">
        <is>
          <t>MCMLX</t>
        </is>
      </c>
      <c r="C1961">
        <f>ROMAN(1960)</f>
        <v/>
      </c>
      <c r="D1961">
        <f>IF(B1961=C1961, "YES", "WRONG")</f>
        <v/>
      </c>
    </row>
    <row r="1962">
      <c r="A1962" t="n">
        <v>1961</v>
      </c>
      <c r="B1962" t="inlineStr">
        <is>
          <t>MCMLXI</t>
        </is>
      </c>
      <c r="C1962">
        <f>ROMAN(1961)</f>
        <v/>
      </c>
      <c r="D1962">
        <f>IF(B1962=C1962, "YES", "WRONG")</f>
        <v/>
      </c>
    </row>
    <row r="1963">
      <c r="A1963" t="n">
        <v>1962</v>
      </c>
      <c r="B1963" t="inlineStr">
        <is>
          <t>MCMLXII</t>
        </is>
      </c>
      <c r="C1963">
        <f>ROMAN(1962)</f>
        <v/>
      </c>
      <c r="D1963">
        <f>IF(B1963=C1963, "YES", "WRONG")</f>
        <v/>
      </c>
    </row>
    <row r="1964">
      <c r="A1964" t="n">
        <v>1963</v>
      </c>
      <c r="B1964" t="inlineStr">
        <is>
          <t>MCMLXIII</t>
        </is>
      </c>
      <c r="C1964">
        <f>ROMAN(1963)</f>
        <v/>
      </c>
      <c r="D1964">
        <f>IF(B1964=C1964, "YES", "WRONG")</f>
        <v/>
      </c>
    </row>
    <row r="1965">
      <c r="A1965" t="n">
        <v>1964</v>
      </c>
      <c r="B1965" t="inlineStr">
        <is>
          <t>MCMLXIV</t>
        </is>
      </c>
      <c r="C1965">
        <f>ROMAN(1964)</f>
        <v/>
      </c>
      <c r="D1965">
        <f>IF(B1965=C1965, "YES", "WRONG")</f>
        <v/>
      </c>
    </row>
    <row r="1966">
      <c r="A1966" t="n">
        <v>1965</v>
      </c>
      <c r="B1966" t="inlineStr">
        <is>
          <t>MCMLXV</t>
        </is>
      </c>
      <c r="C1966">
        <f>ROMAN(1965)</f>
        <v/>
      </c>
      <c r="D1966">
        <f>IF(B1966=C1966, "YES", "WRONG")</f>
        <v/>
      </c>
    </row>
    <row r="1967">
      <c r="A1967" t="n">
        <v>1966</v>
      </c>
      <c r="B1967" t="inlineStr">
        <is>
          <t>MCMLXVI</t>
        </is>
      </c>
      <c r="C1967">
        <f>ROMAN(1966)</f>
        <v/>
      </c>
      <c r="D1967">
        <f>IF(B1967=C1967, "YES", "WRONG")</f>
        <v/>
      </c>
    </row>
    <row r="1968">
      <c r="A1968" t="n">
        <v>1967</v>
      </c>
      <c r="B1968" t="inlineStr">
        <is>
          <t>MCMLXVII</t>
        </is>
      </c>
      <c r="C1968">
        <f>ROMAN(1967)</f>
        <v/>
      </c>
      <c r="D1968">
        <f>IF(B1968=C1968, "YES", "WRONG")</f>
        <v/>
      </c>
    </row>
    <row r="1969">
      <c r="A1969" t="n">
        <v>1968</v>
      </c>
      <c r="B1969" t="inlineStr">
        <is>
          <t>MCMLXVIII</t>
        </is>
      </c>
      <c r="C1969">
        <f>ROMAN(1968)</f>
        <v/>
      </c>
      <c r="D1969">
        <f>IF(B1969=C1969, "YES", "WRONG")</f>
        <v/>
      </c>
    </row>
    <row r="1970">
      <c r="A1970" t="n">
        <v>1969</v>
      </c>
      <c r="B1970" t="inlineStr">
        <is>
          <t>MCMLXIX</t>
        </is>
      </c>
      <c r="C1970">
        <f>ROMAN(1969)</f>
        <v/>
      </c>
      <c r="D1970">
        <f>IF(B1970=C1970, "YES", "WRONG")</f>
        <v/>
      </c>
    </row>
    <row r="1971">
      <c r="A1971" t="n">
        <v>1970</v>
      </c>
      <c r="B1971" t="inlineStr">
        <is>
          <t>MCMLXX</t>
        </is>
      </c>
      <c r="C1971">
        <f>ROMAN(1970)</f>
        <v/>
      </c>
      <c r="D1971">
        <f>IF(B1971=C1971, "YES", "WRONG")</f>
        <v/>
      </c>
    </row>
    <row r="1972">
      <c r="A1972" t="n">
        <v>1971</v>
      </c>
      <c r="B1972" t="inlineStr">
        <is>
          <t>MCMLXXI</t>
        </is>
      </c>
      <c r="C1972">
        <f>ROMAN(1971)</f>
        <v/>
      </c>
      <c r="D1972">
        <f>IF(B1972=C1972, "YES", "WRONG")</f>
        <v/>
      </c>
    </row>
    <row r="1973">
      <c r="A1973" t="n">
        <v>1972</v>
      </c>
      <c r="B1973" t="inlineStr">
        <is>
          <t>MCMLXXII</t>
        </is>
      </c>
      <c r="C1973">
        <f>ROMAN(1972)</f>
        <v/>
      </c>
      <c r="D1973">
        <f>IF(B1973=C1973, "YES", "WRONG")</f>
        <v/>
      </c>
    </row>
    <row r="1974">
      <c r="A1974" t="n">
        <v>1973</v>
      </c>
      <c r="B1974" t="inlineStr">
        <is>
          <t>MCMLXXIII</t>
        </is>
      </c>
      <c r="C1974">
        <f>ROMAN(1973)</f>
        <v/>
      </c>
      <c r="D1974">
        <f>IF(B1974=C1974, "YES", "WRONG")</f>
        <v/>
      </c>
    </row>
    <row r="1975">
      <c r="A1975" t="n">
        <v>1974</v>
      </c>
      <c r="B1975" t="inlineStr">
        <is>
          <t>MCMLXXIV</t>
        </is>
      </c>
      <c r="C1975">
        <f>ROMAN(1974)</f>
        <v/>
      </c>
      <c r="D1975">
        <f>IF(B1975=C1975, "YES", "WRONG")</f>
        <v/>
      </c>
    </row>
    <row r="1976">
      <c r="A1976" t="n">
        <v>1975</v>
      </c>
      <c r="B1976" t="inlineStr">
        <is>
          <t>MCMLXXV</t>
        </is>
      </c>
      <c r="C1976">
        <f>ROMAN(1975)</f>
        <v/>
      </c>
      <c r="D1976">
        <f>IF(B1976=C1976, "YES", "WRONG")</f>
        <v/>
      </c>
    </row>
    <row r="1977">
      <c r="A1977" t="n">
        <v>1976</v>
      </c>
      <c r="B1977" t="inlineStr">
        <is>
          <t>MCMLXXVI</t>
        </is>
      </c>
      <c r="C1977">
        <f>ROMAN(1976)</f>
        <v/>
      </c>
      <c r="D1977">
        <f>IF(B1977=C1977, "YES", "WRONG")</f>
        <v/>
      </c>
    </row>
    <row r="1978">
      <c r="A1978" t="n">
        <v>1977</v>
      </c>
      <c r="B1978" t="inlineStr">
        <is>
          <t>MCMLXXVII</t>
        </is>
      </c>
      <c r="C1978">
        <f>ROMAN(1977)</f>
        <v/>
      </c>
      <c r="D1978">
        <f>IF(B1978=C1978, "YES", "WRONG")</f>
        <v/>
      </c>
    </row>
    <row r="1979">
      <c r="A1979" t="n">
        <v>1978</v>
      </c>
      <c r="B1979" t="inlineStr">
        <is>
          <t>MCMLXXVIII</t>
        </is>
      </c>
      <c r="C1979">
        <f>ROMAN(1978)</f>
        <v/>
      </c>
      <c r="D1979">
        <f>IF(B1979=C1979, "YES", "WRONG")</f>
        <v/>
      </c>
    </row>
    <row r="1980">
      <c r="A1980" t="n">
        <v>1979</v>
      </c>
      <c r="B1980" t="inlineStr">
        <is>
          <t>MCMLXXIX</t>
        </is>
      </c>
      <c r="C1980">
        <f>ROMAN(1979)</f>
        <v/>
      </c>
      <c r="D1980">
        <f>IF(B1980=C1980, "YES", "WRONG")</f>
        <v/>
      </c>
    </row>
    <row r="1981">
      <c r="A1981" t="n">
        <v>1980</v>
      </c>
      <c r="B1981" t="inlineStr">
        <is>
          <t>MCMLXXX</t>
        </is>
      </c>
      <c r="C1981">
        <f>ROMAN(1980)</f>
        <v/>
      </c>
      <c r="D1981">
        <f>IF(B1981=C1981, "YES", "WRONG")</f>
        <v/>
      </c>
    </row>
    <row r="1982">
      <c r="A1982" t="n">
        <v>1981</v>
      </c>
      <c r="B1982" t="inlineStr">
        <is>
          <t>MCMLXXXI</t>
        </is>
      </c>
      <c r="C1982">
        <f>ROMAN(1981)</f>
        <v/>
      </c>
      <c r="D1982">
        <f>IF(B1982=C1982, "YES", "WRONG")</f>
        <v/>
      </c>
    </row>
    <row r="1983">
      <c r="A1983" t="n">
        <v>1982</v>
      </c>
      <c r="B1983" t="inlineStr">
        <is>
          <t>MCMLXXXII</t>
        </is>
      </c>
      <c r="C1983">
        <f>ROMAN(1982)</f>
        <v/>
      </c>
      <c r="D1983">
        <f>IF(B1983=C1983, "YES", "WRONG")</f>
        <v/>
      </c>
    </row>
    <row r="1984">
      <c r="A1984" t="n">
        <v>1983</v>
      </c>
      <c r="B1984" t="inlineStr">
        <is>
          <t>MCMLXXXIII</t>
        </is>
      </c>
      <c r="C1984">
        <f>ROMAN(1983)</f>
        <v/>
      </c>
      <c r="D1984">
        <f>IF(B1984=C1984, "YES", "WRONG")</f>
        <v/>
      </c>
    </row>
    <row r="1985">
      <c r="A1985" t="n">
        <v>1984</v>
      </c>
      <c r="B1985" t="inlineStr">
        <is>
          <t>MCMLXXXIV</t>
        </is>
      </c>
      <c r="C1985">
        <f>ROMAN(1984)</f>
        <v/>
      </c>
      <c r="D1985">
        <f>IF(B1985=C1985, "YES", "WRONG")</f>
        <v/>
      </c>
    </row>
    <row r="1986">
      <c r="A1986" t="n">
        <v>1985</v>
      </c>
      <c r="B1986" t="inlineStr">
        <is>
          <t>MCMLXXXV</t>
        </is>
      </c>
      <c r="C1986">
        <f>ROMAN(1985)</f>
        <v/>
      </c>
      <c r="D1986">
        <f>IF(B1986=C1986, "YES", "WRONG")</f>
        <v/>
      </c>
    </row>
    <row r="1987">
      <c r="A1987" t="n">
        <v>1986</v>
      </c>
      <c r="B1987" t="inlineStr">
        <is>
          <t>MCMLXXXVI</t>
        </is>
      </c>
      <c r="C1987">
        <f>ROMAN(1986)</f>
        <v/>
      </c>
      <c r="D1987">
        <f>IF(B1987=C1987, "YES", "WRONG")</f>
        <v/>
      </c>
    </row>
    <row r="1988">
      <c r="A1988" t="n">
        <v>1987</v>
      </c>
      <c r="B1988" t="inlineStr">
        <is>
          <t>MCMLXXXVII</t>
        </is>
      </c>
      <c r="C1988">
        <f>ROMAN(1987)</f>
        <v/>
      </c>
      <c r="D1988">
        <f>IF(B1988=C1988, "YES", "WRONG")</f>
        <v/>
      </c>
    </row>
    <row r="1989">
      <c r="A1989" t="n">
        <v>1988</v>
      </c>
      <c r="B1989" t="inlineStr">
        <is>
          <t>MCMLXXXVIII</t>
        </is>
      </c>
      <c r="C1989">
        <f>ROMAN(1988)</f>
        <v/>
      </c>
      <c r="D1989">
        <f>IF(B1989=C1989, "YES", "WRONG")</f>
        <v/>
      </c>
    </row>
    <row r="1990">
      <c r="A1990" t="n">
        <v>1989</v>
      </c>
      <c r="B1990" t="inlineStr">
        <is>
          <t>MCMLXXXIX</t>
        </is>
      </c>
      <c r="C1990">
        <f>ROMAN(1989)</f>
        <v/>
      </c>
      <c r="D1990">
        <f>IF(B1990=C1990, "YES", "WRONG")</f>
        <v/>
      </c>
    </row>
    <row r="1991">
      <c r="A1991" t="n">
        <v>1990</v>
      </c>
      <c r="B1991" t="inlineStr">
        <is>
          <t>MCMXC</t>
        </is>
      </c>
      <c r="C1991">
        <f>ROMAN(1990)</f>
        <v/>
      </c>
      <c r="D1991">
        <f>IF(B1991=C1991, "YES", "WRONG")</f>
        <v/>
      </c>
    </row>
    <row r="1992">
      <c r="A1992" t="n">
        <v>1991</v>
      </c>
      <c r="B1992" t="inlineStr">
        <is>
          <t>MCMXCI</t>
        </is>
      </c>
      <c r="C1992">
        <f>ROMAN(1991)</f>
        <v/>
      </c>
      <c r="D1992">
        <f>IF(B1992=C1992, "YES", "WRONG")</f>
        <v/>
      </c>
    </row>
    <row r="1993">
      <c r="A1993" t="n">
        <v>1992</v>
      </c>
      <c r="B1993" t="inlineStr">
        <is>
          <t>MCMXCII</t>
        </is>
      </c>
      <c r="C1993">
        <f>ROMAN(1992)</f>
        <v/>
      </c>
      <c r="D1993">
        <f>IF(B1993=C1993, "YES", "WRONG")</f>
        <v/>
      </c>
    </row>
    <row r="1994">
      <c r="A1994" t="n">
        <v>1993</v>
      </c>
      <c r="B1994" t="inlineStr">
        <is>
          <t>MCMXCIII</t>
        </is>
      </c>
      <c r="C1994">
        <f>ROMAN(1993)</f>
        <v/>
      </c>
      <c r="D1994">
        <f>IF(B1994=C1994, "YES", "WRONG")</f>
        <v/>
      </c>
    </row>
    <row r="1995">
      <c r="A1995" t="n">
        <v>1994</v>
      </c>
      <c r="B1995" t="inlineStr">
        <is>
          <t>MCMXCIV</t>
        </is>
      </c>
      <c r="C1995">
        <f>ROMAN(1994)</f>
        <v/>
      </c>
      <c r="D1995">
        <f>IF(B1995=C1995, "YES", "WRONG")</f>
        <v/>
      </c>
    </row>
    <row r="1996">
      <c r="A1996" t="n">
        <v>1995</v>
      </c>
      <c r="B1996" t="inlineStr">
        <is>
          <t>MCMXCV</t>
        </is>
      </c>
      <c r="C1996">
        <f>ROMAN(1995)</f>
        <v/>
      </c>
      <c r="D1996">
        <f>IF(B1996=C1996, "YES", "WRONG")</f>
        <v/>
      </c>
    </row>
    <row r="1997">
      <c r="A1997" t="n">
        <v>1996</v>
      </c>
      <c r="B1997" t="inlineStr">
        <is>
          <t>MCMXCVI</t>
        </is>
      </c>
      <c r="C1997">
        <f>ROMAN(1996)</f>
        <v/>
      </c>
      <c r="D1997">
        <f>IF(B1997=C1997, "YES", "WRONG")</f>
        <v/>
      </c>
    </row>
    <row r="1998">
      <c r="A1998" t="n">
        <v>1997</v>
      </c>
      <c r="B1998" t="inlineStr">
        <is>
          <t>MCMXCVII</t>
        </is>
      </c>
      <c r="C1998">
        <f>ROMAN(1997)</f>
        <v/>
      </c>
      <c r="D1998">
        <f>IF(B1998=C1998, "YES", "WRONG")</f>
        <v/>
      </c>
    </row>
    <row r="1999">
      <c r="A1999" t="n">
        <v>1998</v>
      </c>
      <c r="B1999" t="inlineStr">
        <is>
          <t>MCMXCVIII</t>
        </is>
      </c>
      <c r="C1999">
        <f>ROMAN(1998)</f>
        <v/>
      </c>
      <c r="D1999">
        <f>IF(B1999=C1999, "YES", "WRONG")</f>
        <v/>
      </c>
    </row>
    <row r="2000">
      <c r="A2000" t="n">
        <v>1999</v>
      </c>
      <c r="B2000" t="inlineStr">
        <is>
          <t>MCMXCIX</t>
        </is>
      </c>
      <c r="C2000">
        <f>ROMAN(1999)</f>
        <v/>
      </c>
      <c r="D2000">
        <f>IF(B2000=C2000, "YES", "WRONG")</f>
        <v/>
      </c>
    </row>
    <row r="2001">
      <c r="A2001" t="n">
        <v>2000</v>
      </c>
      <c r="B2001" t="inlineStr">
        <is>
          <t>MM</t>
        </is>
      </c>
      <c r="C2001">
        <f>ROMAN(2000)</f>
        <v/>
      </c>
      <c r="D2001">
        <f>IF(B2001=C2001, "YES", "WRONG")</f>
        <v/>
      </c>
    </row>
    <row r="2002">
      <c r="A2002" t="n">
        <v>2001</v>
      </c>
      <c r="B2002" t="inlineStr">
        <is>
          <t>MMI</t>
        </is>
      </c>
      <c r="C2002">
        <f>ROMAN(2001)</f>
        <v/>
      </c>
      <c r="D2002">
        <f>IF(B2002=C2002, "YES", "WRONG")</f>
        <v/>
      </c>
    </row>
    <row r="2003">
      <c r="A2003" t="n">
        <v>2002</v>
      </c>
      <c r="B2003" t="inlineStr">
        <is>
          <t>MMII</t>
        </is>
      </c>
      <c r="C2003">
        <f>ROMAN(2002)</f>
        <v/>
      </c>
      <c r="D2003">
        <f>IF(B2003=C2003, "YES", "WRONG")</f>
        <v/>
      </c>
    </row>
    <row r="2004">
      <c r="A2004" t="n">
        <v>2003</v>
      </c>
      <c r="B2004" t="inlineStr">
        <is>
          <t>MMIII</t>
        </is>
      </c>
      <c r="C2004">
        <f>ROMAN(2003)</f>
        <v/>
      </c>
      <c r="D2004">
        <f>IF(B2004=C2004, "YES", "WRONG")</f>
        <v/>
      </c>
    </row>
    <row r="2005">
      <c r="A2005" t="n">
        <v>2004</v>
      </c>
      <c r="B2005" t="inlineStr">
        <is>
          <t>MMIV</t>
        </is>
      </c>
      <c r="C2005">
        <f>ROMAN(2004)</f>
        <v/>
      </c>
      <c r="D2005">
        <f>IF(B2005=C2005, "YES", "WRONG")</f>
        <v/>
      </c>
    </row>
    <row r="2006">
      <c r="A2006" t="n">
        <v>2005</v>
      </c>
      <c r="B2006" t="inlineStr">
        <is>
          <t>MMV</t>
        </is>
      </c>
      <c r="C2006">
        <f>ROMAN(2005)</f>
        <v/>
      </c>
      <c r="D2006">
        <f>IF(B2006=C2006, "YES", "WRONG")</f>
        <v/>
      </c>
    </row>
    <row r="2007">
      <c r="A2007" t="n">
        <v>2006</v>
      </c>
      <c r="B2007" t="inlineStr">
        <is>
          <t>MMVI</t>
        </is>
      </c>
      <c r="C2007">
        <f>ROMAN(2006)</f>
        <v/>
      </c>
      <c r="D2007">
        <f>IF(B2007=C2007, "YES", "WRONG")</f>
        <v/>
      </c>
    </row>
    <row r="2008">
      <c r="A2008" t="n">
        <v>2007</v>
      </c>
      <c r="B2008" t="inlineStr">
        <is>
          <t>MMVII</t>
        </is>
      </c>
      <c r="C2008">
        <f>ROMAN(2007)</f>
        <v/>
      </c>
      <c r="D2008">
        <f>IF(B2008=C2008, "YES", "WRONG")</f>
        <v/>
      </c>
    </row>
    <row r="2009">
      <c r="A2009" t="n">
        <v>2008</v>
      </c>
      <c r="B2009" t="inlineStr">
        <is>
          <t>MMVIII</t>
        </is>
      </c>
      <c r="C2009">
        <f>ROMAN(2008)</f>
        <v/>
      </c>
      <c r="D2009">
        <f>IF(B2009=C2009, "YES", "WRONG")</f>
        <v/>
      </c>
    </row>
    <row r="2010">
      <c r="A2010" t="n">
        <v>2009</v>
      </c>
      <c r="B2010" t="inlineStr">
        <is>
          <t>MMIX</t>
        </is>
      </c>
      <c r="C2010">
        <f>ROMAN(2009)</f>
        <v/>
      </c>
      <c r="D2010">
        <f>IF(B2010=C2010, "YES", "WRONG")</f>
        <v/>
      </c>
    </row>
    <row r="2011">
      <c r="A2011" t="n">
        <v>2010</v>
      </c>
      <c r="B2011" t="inlineStr">
        <is>
          <t>MMX</t>
        </is>
      </c>
      <c r="C2011">
        <f>ROMAN(2010)</f>
        <v/>
      </c>
      <c r="D2011">
        <f>IF(B2011=C2011, "YES", "WRONG")</f>
        <v/>
      </c>
    </row>
    <row r="2012">
      <c r="A2012" t="n">
        <v>2011</v>
      </c>
      <c r="B2012" t="inlineStr">
        <is>
          <t>MMXI</t>
        </is>
      </c>
      <c r="C2012">
        <f>ROMAN(2011)</f>
        <v/>
      </c>
      <c r="D2012">
        <f>IF(B2012=C2012, "YES", "WRONG")</f>
        <v/>
      </c>
    </row>
    <row r="2013">
      <c r="A2013" t="n">
        <v>2012</v>
      </c>
      <c r="B2013" t="inlineStr">
        <is>
          <t>MMXII</t>
        </is>
      </c>
      <c r="C2013">
        <f>ROMAN(2012)</f>
        <v/>
      </c>
      <c r="D2013">
        <f>IF(B2013=C2013, "YES", "WRONG")</f>
        <v/>
      </c>
    </row>
    <row r="2014">
      <c r="A2014" t="n">
        <v>2013</v>
      </c>
      <c r="B2014" t="inlineStr">
        <is>
          <t>MMXIII</t>
        </is>
      </c>
      <c r="C2014">
        <f>ROMAN(2013)</f>
        <v/>
      </c>
      <c r="D2014">
        <f>IF(B2014=C2014, "YES", "WRONG")</f>
        <v/>
      </c>
    </row>
    <row r="2015">
      <c r="A2015" t="n">
        <v>2014</v>
      </c>
      <c r="B2015" t="inlineStr">
        <is>
          <t>MMXIV</t>
        </is>
      </c>
      <c r="C2015">
        <f>ROMAN(2014)</f>
        <v/>
      </c>
      <c r="D2015">
        <f>IF(B2015=C2015, "YES", "WRONG")</f>
        <v/>
      </c>
    </row>
    <row r="2016">
      <c r="A2016" t="n">
        <v>2015</v>
      </c>
      <c r="B2016" t="inlineStr">
        <is>
          <t>MMXV</t>
        </is>
      </c>
      <c r="C2016">
        <f>ROMAN(2015)</f>
        <v/>
      </c>
      <c r="D2016">
        <f>IF(B2016=C2016, "YES", "WRONG")</f>
        <v/>
      </c>
    </row>
    <row r="2017">
      <c r="A2017" t="n">
        <v>2016</v>
      </c>
      <c r="B2017" t="inlineStr">
        <is>
          <t>MMXVI</t>
        </is>
      </c>
      <c r="C2017">
        <f>ROMAN(2016)</f>
        <v/>
      </c>
      <c r="D2017">
        <f>IF(B2017=C2017, "YES", "WRONG")</f>
        <v/>
      </c>
    </row>
    <row r="2018">
      <c r="A2018" t="n">
        <v>2017</v>
      </c>
      <c r="B2018" t="inlineStr">
        <is>
          <t>MMXVII</t>
        </is>
      </c>
      <c r="C2018">
        <f>ROMAN(2017)</f>
        <v/>
      </c>
      <c r="D2018">
        <f>IF(B2018=C2018, "YES", "WRONG")</f>
        <v/>
      </c>
    </row>
    <row r="2019">
      <c r="A2019" t="n">
        <v>2018</v>
      </c>
      <c r="B2019" t="inlineStr">
        <is>
          <t>MMXVIII</t>
        </is>
      </c>
      <c r="C2019">
        <f>ROMAN(2018)</f>
        <v/>
      </c>
      <c r="D2019">
        <f>IF(B2019=C2019, "YES", "WRONG")</f>
        <v/>
      </c>
    </row>
    <row r="2020">
      <c r="A2020" t="n">
        <v>2019</v>
      </c>
      <c r="B2020" t="inlineStr">
        <is>
          <t>MMXIX</t>
        </is>
      </c>
      <c r="C2020">
        <f>ROMAN(2019)</f>
        <v/>
      </c>
      <c r="D2020">
        <f>IF(B2020=C2020, "YES", "WRONG")</f>
        <v/>
      </c>
    </row>
    <row r="2021">
      <c r="A2021" t="n">
        <v>2020</v>
      </c>
      <c r="B2021" t="inlineStr">
        <is>
          <t>MMXX</t>
        </is>
      </c>
      <c r="C2021">
        <f>ROMAN(2020)</f>
        <v/>
      </c>
      <c r="D2021">
        <f>IF(B2021=C2021, "YES", "WRONG")</f>
        <v/>
      </c>
    </row>
    <row r="2022">
      <c r="A2022" t="n">
        <v>2021</v>
      </c>
      <c r="B2022" t="inlineStr">
        <is>
          <t>MMXXI</t>
        </is>
      </c>
      <c r="C2022">
        <f>ROMAN(2021)</f>
        <v/>
      </c>
      <c r="D2022">
        <f>IF(B2022=C2022, "YES", "WRONG")</f>
        <v/>
      </c>
    </row>
    <row r="2023">
      <c r="A2023" t="n">
        <v>2022</v>
      </c>
      <c r="B2023" t="inlineStr">
        <is>
          <t>MMXXII</t>
        </is>
      </c>
      <c r="C2023">
        <f>ROMAN(2022)</f>
        <v/>
      </c>
      <c r="D2023">
        <f>IF(B2023=C2023, "YES", "WRONG")</f>
        <v/>
      </c>
    </row>
    <row r="2024">
      <c r="A2024" t="n">
        <v>2023</v>
      </c>
      <c r="B2024" t="inlineStr">
        <is>
          <t>MMXXIII</t>
        </is>
      </c>
      <c r="C2024">
        <f>ROMAN(2023)</f>
        <v/>
      </c>
      <c r="D2024">
        <f>IF(B2024=C2024, "YES", "WRONG")</f>
        <v/>
      </c>
    </row>
    <row r="2025">
      <c r="A2025" t="n">
        <v>2024</v>
      </c>
      <c r="B2025" t="inlineStr">
        <is>
          <t>MMXXIV</t>
        </is>
      </c>
      <c r="C2025">
        <f>ROMAN(2024)</f>
        <v/>
      </c>
      <c r="D2025">
        <f>IF(B2025=C2025, "YES", "WRONG")</f>
        <v/>
      </c>
    </row>
    <row r="2026">
      <c r="A2026" t="n">
        <v>2025</v>
      </c>
      <c r="B2026" t="inlineStr">
        <is>
          <t>MMXXV</t>
        </is>
      </c>
      <c r="C2026">
        <f>ROMAN(2025)</f>
        <v/>
      </c>
      <c r="D2026">
        <f>IF(B2026=C2026, "YES", "WRONG")</f>
        <v/>
      </c>
    </row>
    <row r="2027">
      <c r="A2027" t="n">
        <v>2026</v>
      </c>
      <c r="B2027" t="inlineStr">
        <is>
          <t>MMXXVI</t>
        </is>
      </c>
      <c r="C2027">
        <f>ROMAN(2026)</f>
        <v/>
      </c>
      <c r="D2027">
        <f>IF(B2027=C2027, "YES", "WRONG")</f>
        <v/>
      </c>
    </row>
    <row r="2028">
      <c r="A2028" t="n">
        <v>2027</v>
      </c>
      <c r="B2028" t="inlineStr">
        <is>
          <t>MMXXVII</t>
        </is>
      </c>
      <c r="C2028">
        <f>ROMAN(2027)</f>
        <v/>
      </c>
      <c r="D2028">
        <f>IF(B2028=C2028, "YES", "WRONG")</f>
        <v/>
      </c>
    </row>
    <row r="2029">
      <c r="A2029" t="n">
        <v>2028</v>
      </c>
      <c r="B2029" t="inlineStr">
        <is>
          <t>MMXXVIII</t>
        </is>
      </c>
      <c r="C2029">
        <f>ROMAN(2028)</f>
        <v/>
      </c>
      <c r="D2029">
        <f>IF(B2029=C2029, "YES", "WRONG")</f>
        <v/>
      </c>
    </row>
    <row r="2030">
      <c r="A2030" t="n">
        <v>2029</v>
      </c>
      <c r="B2030" t="inlineStr">
        <is>
          <t>MMXXIX</t>
        </is>
      </c>
      <c r="C2030">
        <f>ROMAN(2029)</f>
        <v/>
      </c>
      <c r="D2030">
        <f>IF(B2030=C2030, "YES", "WRONG")</f>
        <v/>
      </c>
    </row>
    <row r="2031">
      <c r="A2031" t="n">
        <v>2030</v>
      </c>
      <c r="B2031" t="inlineStr">
        <is>
          <t>MMXXX</t>
        </is>
      </c>
      <c r="C2031">
        <f>ROMAN(2030)</f>
        <v/>
      </c>
      <c r="D2031">
        <f>IF(B2031=C2031, "YES", "WRONG")</f>
        <v/>
      </c>
    </row>
    <row r="2032">
      <c r="A2032" t="n">
        <v>2031</v>
      </c>
      <c r="B2032" t="inlineStr">
        <is>
          <t>MMXXXI</t>
        </is>
      </c>
      <c r="C2032">
        <f>ROMAN(2031)</f>
        <v/>
      </c>
      <c r="D2032">
        <f>IF(B2032=C2032, "YES", "WRONG")</f>
        <v/>
      </c>
    </row>
    <row r="2033">
      <c r="A2033" t="n">
        <v>2032</v>
      </c>
      <c r="B2033" t="inlineStr">
        <is>
          <t>MMXXXII</t>
        </is>
      </c>
      <c r="C2033">
        <f>ROMAN(2032)</f>
        <v/>
      </c>
      <c r="D2033">
        <f>IF(B2033=C2033, "YES", "WRONG")</f>
        <v/>
      </c>
    </row>
    <row r="2034">
      <c r="A2034" t="n">
        <v>2033</v>
      </c>
      <c r="B2034" t="inlineStr">
        <is>
          <t>MMXXXIII</t>
        </is>
      </c>
      <c r="C2034">
        <f>ROMAN(2033)</f>
        <v/>
      </c>
      <c r="D2034">
        <f>IF(B2034=C2034, "YES", "WRONG")</f>
        <v/>
      </c>
    </row>
    <row r="2035">
      <c r="A2035" t="n">
        <v>2034</v>
      </c>
      <c r="B2035" t="inlineStr">
        <is>
          <t>MMXXXIV</t>
        </is>
      </c>
      <c r="C2035">
        <f>ROMAN(2034)</f>
        <v/>
      </c>
      <c r="D2035">
        <f>IF(B2035=C2035, "YES", "WRONG")</f>
        <v/>
      </c>
    </row>
    <row r="2036">
      <c r="A2036" t="n">
        <v>2035</v>
      </c>
      <c r="B2036" t="inlineStr">
        <is>
          <t>MMXXXV</t>
        </is>
      </c>
      <c r="C2036">
        <f>ROMAN(2035)</f>
        <v/>
      </c>
      <c r="D2036">
        <f>IF(B2036=C2036, "YES", "WRONG")</f>
        <v/>
      </c>
    </row>
    <row r="2037">
      <c r="A2037" t="n">
        <v>2036</v>
      </c>
      <c r="B2037" t="inlineStr">
        <is>
          <t>MMXXXVI</t>
        </is>
      </c>
      <c r="C2037">
        <f>ROMAN(2036)</f>
        <v/>
      </c>
      <c r="D2037">
        <f>IF(B2037=C2037, "YES", "WRONG")</f>
        <v/>
      </c>
    </row>
    <row r="2038">
      <c r="A2038" t="n">
        <v>2037</v>
      </c>
      <c r="B2038" t="inlineStr">
        <is>
          <t>MMXXXVII</t>
        </is>
      </c>
      <c r="C2038">
        <f>ROMAN(2037)</f>
        <v/>
      </c>
      <c r="D2038">
        <f>IF(B2038=C2038, "YES", "WRONG")</f>
        <v/>
      </c>
    </row>
    <row r="2039">
      <c r="A2039" t="n">
        <v>2038</v>
      </c>
      <c r="B2039" t="inlineStr">
        <is>
          <t>MMXXXVIII</t>
        </is>
      </c>
      <c r="C2039">
        <f>ROMAN(2038)</f>
        <v/>
      </c>
      <c r="D2039">
        <f>IF(B2039=C2039, "YES", "WRONG")</f>
        <v/>
      </c>
    </row>
    <row r="2040">
      <c r="A2040" t="n">
        <v>2039</v>
      </c>
      <c r="B2040" t="inlineStr">
        <is>
          <t>MMXXXIX</t>
        </is>
      </c>
      <c r="C2040">
        <f>ROMAN(2039)</f>
        <v/>
      </c>
      <c r="D2040">
        <f>IF(B2040=C2040, "YES", "WRONG")</f>
        <v/>
      </c>
    </row>
    <row r="2041">
      <c r="A2041" t="n">
        <v>2040</v>
      </c>
      <c r="B2041" t="inlineStr">
        <is>
          <t>MMXL</t>
        </is>
      </c>
      <c r="C2041">
        <f>ROMAN(2040)</f>
        <v/>
      </c>
      <c r="D2041">
        <f>IF(B2041=C2041, "YES", "WRONG")</f>
        <v/>
      </c>
    </row>
    <row r="2042">
      <c r="A2042" t="n">
        <v>2041</v>
      </c>
      <c r="B2042" t="inlineStr">
        <is>
          <t>MMXLI</t>
        </is>
      </c>
      <c r="C2042">
        <f>ROMAN(2041)</f>
        <v/>
      </c>
      <c r="D2042">
        <f>IF(B2042=C2042, "YES", "WRONG")</f>
        <v/>
      </c>
    </row>
    <row r="2043">
      <c r="A2043" t="n">
        <v>2042</v>
      </c>
      <c r="B2043" t="inlineStr">
        <is>
          <t>MMXLII</t>
        </is>
      </c>
      <c r="C2043">
        <f>ROMAN(2042)</f>
        <v/>
      </c>
      <c r="D2043">
        <f>IF(B2043=C2043, "YES", "WRONG")</f>
        <v/>
      </c>
    </row>
    <row r="2044">
      <c r="A2044" t="n">
        <v>2043</v>
      </c>
      <c r="B2044" t="inlineStr">
        <is>
          <t>MMXLIII</t>
        </is>
      </c>
      <c r="C2044">
        <f>ROMAN(2043)</f>
        <v/>
      </c>
      <c r="D2044">
        <f>IF(B2044=C2044, "YES", "WRONG")</f>
        <v/>
      </c>
    </row>
    <row r="2045">
      <c r="A2045" t="n">
        <v>2044</v>
      </c>
      <c r="B2045" t="inlineStr">
        <is>
          <t>MMXLIV</t>
        </is>
      </c>
      <c r="C2045">
        <f>ROMAN(2044)</f>
        <v/>
      </c>
      <c r="D2045">
        <f>IF(B2045=C2045, "YES", "WRONG")</f>
        <v/>
      </c>
    </row>
    <row r="2046">
      <c r="A2046" t="n">
        <v>2045</v>
      </c>
      <c r="B2046" t="inlineStr">
        <is>
          <t>MMXLV</t>
        </is>
      </c>
      <c r="C2046">
        <f>ROMAN(2045)</f>
        <v/>
      </c>
      <c r="D2046">
        <f>IF(B2046=C2046, "YES", "WRONG")</f>
        <v/>
      </c>
    </row>
    <row r="2047">
      <c r="A2047" t="n">
        <v>2046</v>
      </c>
      <c r="B2047" t="inlineStr">
        <is>
          <t>MMXLVI</t>
        </is>
      </c>
      <c r="C2047">
        <f>ROMAN(2046)</f>
        <v/>
      </c>
      <c r="D2047">
        <f>IF(B2047=C2047, "YES", "WRONG")</f>
        <v/>
      </c>
    </row>
    <row r="2048">
      <c r="A2048" t="n">
        <v>2047</v>
      </c>
      <c r="B2048" t="inlineStr">
        <is>
          <t>MMXLVII</t>
        </is>
      </c>
      <c r="C2048">
        <f>ROMAN(2047)</f>
        <v/>
      </c>
      <c r="D2048">
        <f>IF(B2048=C2048, "YES", "WRONG")</f>
        <v/>
      </c>
    </row>
    <row r="2049">
      <c r="A2049" t="n">
        <v>2048</v>
      </c>
      <c r="B2049" t="inlineStr">
        <is>
          <t>MMXLVIII</t>
        </is>
      </c>
      <c r="C2049">
        <f>ROMAN(2048)</f>
        <v/>
      </c>
      <c r="D2049">
        <f>IF(B2049=C2049, "YES", "WRONG")</f>
        <v/>
      </c>
    </row>
    <row r="2050">
      <c r="A2050" t="n">
        <v>2049</v>
      </c>
      <c r="B2050" t="inlineStr">
        <is>
          <t>MMXLIX</t>
        </is>
      </c>
      <c r="C2050">
        <f>ROMAN(2049)</f>
        <v/>
      </c>
      <c r="D2050">
        <f>IF(B2050=C2050, "YES", "WRONG")</f>
        <v/>
      </c>
    </row>
    <row r="2051">
      <c r="A2051" t="n">
        <v>2050</v>
      </c>
      <c r="B2051" t="inlineStr">
        <is>
          <t>MML</t>
        </is>
      </c>
      <c r="C2051">
        <f>ROMAN(2050)</f>
        <v/>
      </c>
      <c r="D2051">
        <f>IF(B2051=C2051, "YES", "WRONG")</f>
        <v/>
      </c>
    </row>
    <row r="2052">
      <c r="A2052" t="n">
        <v>2051</v>
      </c>
      <c r="B2052" t="inlineStr">
        <is>
          <t>MMLI</t>
        </is>
      </c>
      <c r="C2052">
        <f>ROMAN(2051)</f>
        <v/>
      </c>
      <c r="D2052">
        <f>IF(B2052=C2052, "YES", "WRONG")</f>
        <v/>
      </c>
    </row>
    <row r="2053">
      <c r="A2053" t="n">
        <v>2052</v>
      </c>
      <c r="B2053" t="inlineStr">
        <is>
          <t>MMLII</t>
        </is>
      </c>
      <c r="C2053">
        <f>ROMAN(2052)</f>
        <v/>
      </c>
      <c r="D2053">
        <f>IF(B2053=C2053, "YES", "WRONG")</f>
        <v/>
      </c>
    </row>
    <row r="2054">
      <c r="A2054" t="n">
        <v>2053</v>
      </c>
      <c r="B2054" t="inlineStr">
        <is>
          <t>MMLIII</t>
        </is>
      </c>
      <c r="C2054">
        <f>ROMAN(2053)</f>
        <v/>
      </c>
      <c r="D2054">
        <f>IF(B2054=C2054, "YES", "WRONG")</f>
        <v/>
      </c>
    </row>
    <row r="2055">
      <c r="A2055" t="n">
        <v>2054</v>
      </c>
      <c r="B2055" t="inlineStr">
        <is>
          <t>MMLIV</t>
        </is>
      </c>
      <c r="C2055">
        <f>ROMAN(2054)</f>
        <v/>
      </c>
      <c r="D2055">
        <f>IF(B2055=C2055, "YES", "WRONG")</f>
        <v/>
      </c>
    </row>
    <row r="2056">
      <c r="A2056" t="n">
        <v>2055</v>
      </c>
      <c r="B2056" t="inlineStr">
        <is>
          <t>MMLV</t>
        </is>
      </c>
      <c r="C2056">
        <f>ROMAN(2055)</f>
        <v/>
      </c>
      <c r="D2056">
        <f>IF(B2056=C2056, "YES", "WRONG")</f>
        <v/>
      </c>
    </row>
    <row r="2057">
      <c r="A2057" t="n">
        <v>2056</v>
      </c>
      <c r="B2057" t="inlineStr">
        <is>
          <t>MMLVI</t>
        </is>
      </c>
      <c r="C2057">
        <f>ROMAN(2056)</f>
        <v/>
      </c>
      <c r="D2057">
        <f>IF(B2057=C2057, "YES", "WRONG")</f>
        <v/>
      </c>
    </row>
    <row r="2058">
      <c r="A2058" t="n">
        <v>2057</v>
      </c>
      <c r="B2058" t="inlineStr">
        <is>
          <t>MMLVII</t>
        </is>
      </c>
      <c r="C2058">
        <f>ROMAN(2057)</f>
        <v/>
      </c>
      <c r="D2058">
        <f>IF(B2058=C2058, "YES", "WRONG")</f>
        <v/>
      </c>
    </row>
    <row r="2059">
      <c r="A2059" t="n">
        <v>2058</v>
      </c>
      <c r="B2059" t="inlineStr">
        <is>
          <t>MMLVIII</t>
        </is>
      </c>
      <c r="C2059">
        <f>ROMAN(2058)</f>
        <v/>
      </c>
      <c r="D2059">
        <f>IF(B2059=C2059, "YES", "WRONG")</f>
        <v/>
      </c>
    </row>
    <row r="2060">
      <c r="A2060" t="n">
        <v>2059</v>
      </c>
      <c r="B2060" t="inlineStr">
        <is>
          <t>MMLIX</t>
        </is>
      </c>
      <c r="C2060">
        <f>ROMAN(2059)</f>
        <v/>
      </c>
      <c r="D2060">
        <f>IF(B2060=C2060, "YES", "WRONG")</f>
        <v/>
      </c>
    </row>
    <row r="2061">
      <c r="A2061" t="n">
        <v>2060</v>
      </c>
      <c r="B2061" t="inlineStr">
        <is>
          <t>MMLX</t>
        </is>
      </c>
      <c r="C2061">
        <f>ROMAN(2060)</f>
        <v/>
      </c>
      <c r="D2061">
        <f>IF(B2061=C2061, "YES", "WRONG")</f>
        <v/>
      </c>
    </row>
    <row r="2062">
      <c r="A2062" t="n">
        <v>2061</v>
      </c>
      <c r="B2062" t="inlineStr">
        <is>
          <t>MMLXI</t>
        </is>
      </c>
      <c r="C2062">
        <f>ROMAN(2061)</f>
        <v/>
      </c>
      <c r="D2062">
        <f>IF(B2062=C2062, "YES", "WRONG")</f>
        <v/>
      </c>
    </row>
    <row r="2063">
      <c r="A2063" t="n">
        <v>2062</v>
      </c>
      <c r="B2063" t="inlineStr">
        <is>
          <t>MMLXII</t>
        </is>
      </c>
      <c r="C2063">
        <f>ROMAN(2062)</f>
        <v/>
      </c>
      <c r="D2063">
        <f>IF(B2063=C2063, "YES", "WRONG")</f>
        <v/>
      </c>
    </row>
    <row r="2064">
      <c r="A2064" t="n">
        <v>2063</v>
      </c>
      <c r="B2064" t="inlineStr">
        <is>
          <t>MMLXIII</t>
        </is>
      </c>
      <c r="C2064">
        <f>ROMAN(2063)</f>
        <v/>
      </c>
      <c r="D2064">
        <f>IF(B2064=C2064, "YES", "WRONG")</f>
        <v/>
      </c>
    </row>
    <row r="2065">
      <c r="A2065" t="n">
        <v>2064</v>
      </c>
      <c r="B2065" t="inlineStr">
        <is>
          <t>MMLXIV</t>
        </is>
      </c>
      <c r="C2065">
        <f>ROMAN(2064)</f>
        <v/>
      </c>
      <c r="D2065">
        <f>IF(B2065=C2065, "YES", "WRONG")</f>
        <v/>
      </c>
    </row>
    <row r="2066">
      <c r="A2066" t="n">
        <v>2065</v>
      </c>
      <c r="B2066" t="inlineStr">
        <is>
          <t>MMLXV</t>
        </is>
      </c>
      <c r="C2066">
        <f>ROMAN(2065)</f>
        <v/>
      </c>
      <c r="D2066">
        <f>IF(B2066=C2066, "YES", "WRONG")</f>
        <v/>
      </c>
    </row>
    <row r="2067">
      <c r="A2067" t="n">
        <v>2066</v>
      </c>
      <c r="B2067" t="inlineStr">
        <is>
          <t>MMLXVI</t>
        </is>
      </c>
      <c r="C2067">
        <f>ROMAN(2066)</f>
        <v/>
      </c>
      <c r="D2067">
        <f>IF(B2067=C2067, "YES", "WRONG")</f>
        <v/>
      </c>
    </row>
    <row r="2068">
      <c r="A2068" t="n">
        <v>2067</v>
      </c>
      <c r="B2068" t="inlineStr">
        <is>
          <t>MMLXVII</t>
        </is>
      </c>
      <c r="C2068">
        <f>ROMAN(2067)</f>
        <v/>
      </c>
      <c r="D2068">
        <f>IF(B2068=C2068, "YES", "WRONG")</f>
        <v/>
      </c>
    </row>
    <row r="2069">
      <c r="A2069" t="n">
        <v>2068</v>
      </c>
      <c r="B2069" t="inlineStr">
        <is>
          <t>MMLXVIII</t>
        </is>
      </c>
      <c r="C2069">
        <f>ROMAN(2068)</f>
        <v/>
      </c>
      <c r="D2069">
        <f>IF(B2069=C2069, "YES", "WRONG")</f>
        <v/>
      </c>
    </row>
    <row r="2070">
      <c r="A2070" t="n">
        <v>2069</v>
      </c>
      <c r="B2070" t="inlineStr">
        <is>
          <t>MMLXIX</t>
        </is>
      </c>
      <c r="C2070">
        <f>ROMAN(2069)</f>
        <v/>
      </c>
      <c r="D2070">
        <f>IF(B2070=C2070, "YES", "WRONG")</f>
        <v/>
      </c>
    </row>
    <row r="2071">
      <c r="A2071" t="n">
        <v>2070</v>
      </c>
      <c r="B2071" t="inlineStr">
        <is>
          <t>MMLXX</t>
        </is>
      </c>
      <c r="C2071">
        <f>ROMAN(2070)</f>
        <v/>
      </c>
      <c r="D2071">
        <f>IF(B2071=C2071, "YES", "WRONG")</f>
        <v/>
      </c>
    </row>
    <row r="2072">
      <c r="A2072" t="n">
        <v>2071</v>
      </c>
      <c r="B2072" t="inlineStr">
        <is>
          <t>MMLXXI</t>
        </is>
      </c>
      <c r="C2072">
        <f>ROMAN(2071)</f>
        <v/>
      </c>
      <c r="D2072">
        <f>IF(B2072=C2072, "YES", "WRONG")</f>
        <v/>
      </c>
    </row>
    <row r="2073">
      <c r="A2073" t="n">
        <v>2072</v>
      </c>
      <c r="B2073" t="inlineStr">
        <is>
          <t>MMLXXII</t>
        </is>
      </c>
      <c r="C2073">
        <f>ROMAN(2072)</f>
        <v/>
      </c>
      <c r="D2073">
        <f>IF(B2073=C2073, "YES", "WRONG")</f>
        <v/>
      </c>
    </row>
    <row r="2074">
      <c r="A2074" t="n">
        <v>2073</v>
      </c>
      <c r="B2074" t="inlineStr">
        <is>
          <t>MMLXXIII</t>
        </is>
      </c>
      <c r="C2074">
        <f>ROMAN(2073)</f>
        <v/>
      </c>
      <c r="D2074">
        <f>IF(B2074=C2074, "YES", "WRONG")</f>
        <v/>
      </c>
    </row>
    <row r="2075">
      <c r="A2075" t="n">
        <v>2074</v>
      </c>
      <c r="B2075" t="inlineStr">
        <is>
          <t>MMLXXIV</t>
        </is>
      </c>
      <c r="C2075">
        <f>ROMAN(2074)</f>
        <v/>
      </c>
      <c r="D2075">
        <f>IF(B2075=C2075, "YES", "WRONG")</f>
        <v/>
      </c>
    </row>
    <row r="2076">
      <c r="A2076" t="n">
        <v>2075</v>
      </c>
      <c r="B2076" t="inlineStr">
        <is>
          <t>MMLXXV</t>
        </is>
      </c>
      <c r="C2076">
        <f>ROMAN(2075)</f>
        <v/>
      </c>
      <c r="D2076">
        <f>IF(B2076=C2076, "YES", "WRONG")</f>
        <v/>
      </c>
    </row>
    <row r="2077">
      <c r="A2077" t="n">
        <v>2076</v>
      </c>
      <c r="B2077" t="inlineStr">
        <is>
          <t>MMLXXVI</t>
        </is>
      </c>
      <c r="C2077">
        <f>ROMAN(2076)</f>
        <v/>
      </c>
      <c r="D2077">
        <f>IF(B2077=C2077, "YES", "WRONG")</f>
        <v/>
      </c>
    </row>
    <row r="2078">
      <c r="A2078" t="n">
        <v>2077</v>
      </c>
      <c r="B2078" t="inlineStr">
        <is>
          <t>MMLXXVII</t>
        </is>
      </c>
      <c r="C2078">
        <f>ROMAN(2077)</f>
        <v/>
      </c>
      <c r="D2078">
        <f>IF(B2078=C2078, "YES", "WRONG")</f>
        <v/>
      </c>
    </row>
    <row r="2079">
      <c r="A2079" t="n">
        <v>2078</v>
      </c>
      <c r="B2079" t="inlineStr">
        <is>
          <t>MMLXXVIII</t>
        </is>
      </c>
      <c r="C2079">
        <f>ROMAN(2078)</f>
        <v/>
      </c>
      <c r="D2079">
        <f>IF(B2079=C2079, "YES", "WRONG")</f>
        <v/>
      </c>
    </row>
    <row r="2080">
      <c r="A2080" t="n">
        <v>2079</v>
      </c>
      <c r="B2080" t="inlineStr">
        <is>
          <t>MMLXXIX</t>
        </is>
      </c>
      <c r="C2080">
        <f>ROMAN(2079)</f>
        <v/>
      </c>
      <c r="D2080">
        <f>IF(B2080=C2080, "YES", "WRONG")</f>
        <v/>
      </c>
    </row>
    <row r="2081">
      <c r="A2081" t="n">
        <v>2080</v>
      </c>
      <c r="B2081" t="inlineStr">
        <is>
          <t>MMLXXX</t>
        </is>
      </c>
      <c r="C2081">
        <f>ROMAN(2080)</f>
        <v/>
      </c>
      <c r="D2081">
        <f>IF(B2081=C2081, "YES", "WRONG")</f>
        <v/>
      </c>
    </row>
    <row r="2082">
      <c r="A2082" t="n">
        <v>2081</v>
      </c>
      <c r="B2082" t="inlineStr">
        <is>
          <t>MMLXXXI</t>
        </is>
      </c>
      <c r="C2082">
        <f>ROMAN(2081)</f>
        <v/>
      </c>
      <c r="D2082">
        <f>IF(B2082=C2082, "YES", "WRONG")</f>
        <v/>
      </c>
    </row>
    <row r="2083">
      <c r="A2083" t="n">
        <v>2082</v>
      </c>
      <c r="B2083" t="inlineStr">
        <is>
          <t>MMLXXXII</t>
        </is>
      </c>
      <c r="C2083">
        <f>ROMAN(2082)</f>
        <v/>
      </c>
      <c r="D2083">
        <f>IF(B2083=C2083, "YES", "WRONG")</f>
        <v/>
      </c>
    </row>
    <row r="2084">
      <c r="A2084" t="n">
        <v>2083</v>
      </c>
      <c r="B2084" t="inlineStr">
        <is>
          <t>MMLXXXIII</t>
        </is>
      </c>
      <c r="C2084">
        <f>ROMAN(2083)</f>
        <v/>
      </c>
      <c r="D2084">
        <f>IF(B2084=C2084, "YES", "WRONG")</f>
        <v/>
      </c>
    </row>
    <row r="2085">
      <c r="A2085" t="n">
        <v>2084</v>
      </c>
      <c r="B2085" t="inlineStr">
        <is>
          <t>MMLXXXIV</t>
        </is>
      </c>
      <c r="C2085">
        <f>ROMAN(2084)</f>
        <v/>
      </c>
      <c r="D2085">
        <f>IF(B2085=C2085, "YES", "WRONG")</f>
        <v/>
      </c>
    </row>
    <row r="2086">
      <c r="A2086" t="n">
        <v>2085</v>
      </c>
      <c r="B2086" t="inlineStr">
        <is>
          <t>MMLXXXV</t>
        </is>
      </c>
      <c r="C2086">
        <f>ROMAN(2085)</f>
        <v/>
      </c>
      <c r="D2086">
        <f>IF(B2086=C2086, "YES", "WRONG")</f>
        <v/>
      </c>
    </row>
    <row r="2087">
      <c r="A2087" t="n">
        <v>2086</v>
      </c>
      <c r="B2087" t="inlineStr">
        <is>
          <t>MMLXXXVI</t>
        </is>
      </c>
      <c r="C2087">
        <f>ROMAN(2086)</f>
        <v/>
      </c>
      <c r="D2087">
        <f>IF(B2087=C2087, "YES", "WRONG")</f>
        <v/>
      </c>
    </row>
    <row r="2088">
      <c r="A2088" t="n">
        <v>2087</v>
      </c>
      <c r="B2088" t="inlineStr">
        <is>
          <t>MMLXXXVII</t>
        </is>
      </c>
      <c r="C2088">
        <f>ROMAN(2087)</f>
        <v/>
      </c>
      <c r="D2088">
        <f>IF(B2088=C2088, "YES", "WRONG")</f>
        <v/>
      </c>
    </row>
    <row r="2089">
      <c r="A2089" t="n">
        <v>2088</v>
      </c>
      <c r="B2089" t="inlineStr">
        <is>
          <t>MMLXXXVIII</t>
        </is>
      </c>
      <c r="C2089">
        <f>ROMAN(2088)</f>
        <v/>
      </c>
      <c r="D2089">
        <f>IF(B2089=C2089, "YES", "WRONG")</f>
        <v/>
      </c>
    </row>
    <row r="2090">
      <c r="A2090" t="n">
        <v>2089</v>
      </c>
      <c r="B2090" t="inlineStr">
        <is>
          <t>MMLXXXIX</t>
        </is>
      </c>
      <c r="C2090">
        <f>ROMAN(2089)</f>
        <v/>
      </c>
      <c r="D2090">
        <f>IF(B2090=C2090, "YES", "WRONG")</f>
        <v/>
      </c>
    </row>
    <row r="2091">
      <c r="A2091" t="n">
        <v>2090</v>
      </c>
      <c r="B2091" t="inlineStr">
        <is>
          <t>MMXC</t>
        </is>
      </c>
      <c r="C2091">
        <f>ROMAN(2090)</f>
        <v/>
      </c>
      <c r="D2091">
        <f>IF(B2091=C2091, "YES", "WRONG")</f>
        <v/>
      </c>
    </row>
    <row r="2092">
      <c r="A2092" t="n">
        <v>2091</v>
      </c>
      <c r="B2092" t="inlineStr">
        <is>
          <t>MMXCI</t>
        </is>
      </c>
      <c r="C2092">
        <f>ROMAN(2091)</f>
        <v/>
      </c>
      <c r="D2092">
        <f>IF(B2092=C2092, "YES", "WRONG")</f>
        <v/>
      </c>
    </row>
    <row r="2093">
      <c r="A2093" t="n">
        <v>2092</v>
      </c>
      <c r="B2093" t="inlineStr">
        <is>
          <t>MMXCII</t>
        </is>
      </c>
      <c r="C2093">
        <f>ROMAN(2092)</f>
        <v/>
      </c>
      <c r="D2093">
        <f>IF(B2093=C2093, "YES", "WRONG")</f>
        <v/>
      </c>
    </row>
    <row r="2094">
      <c r="A2094" t="n">
        <v>2093</v>
      </c>
      <c r="B2094" t="inlineStr">
        <is>
          <t>MMXCIII</t>
        </is>
      </c>
      <c r="C2094">
        <f>ROMAN(2093)</f>
        <v/>
      </c>
      <c r="D2094">
        <f>IF(B2094=C2094, "YES", "WRONG")</f>
        <v/>
      </c>
    </row>
    <row r="2095">
      <c r="A2095" t="n">
        <v>2094</v>
      </c>
      <c r="B2095" t="inlineStr">
        <is>
          <t>MMXCIV</t>
        </is>
      </c>
      <c r="C2095">
        <f>ROMAN(2094)</f>
        <v/>
      </c>
      <c r="D2095">
        <f>IF(B2095=C2095, "YES", "WRONG")</f>
        <v/>
      </c>
    </row>
    <row r="2096">
      <c r="A2096" t="n">
        <v>2095</v>
      </c>
      <c r="B2096" t="inlineStr">
        <is>
          <t>MMXCV</t>
        </is>
      </c>
      <c r="C2096">
        <f>ROMAN(2095)</f>
        <v/>
      </c>
      <c r="D2096">
        <f>IF(B2096=C2096, "YES", "WRONG")</f>
        <v/>
      </c>
    </row>
    <row r="2097">
      <c r="A2097" t="n">
        <v>2096</v>
      </c>
      <c r="B2097" t="inlineStr">
        <is>
          <t>MMXCVI</t>
        </is>
      </c>
      <c r="C2097">
        <f>ROMAN(2096)</f>
        <v/>
      </c>
      <c r="D2097">
        <f>IF(B2097=C2097, "YES", "WRONG")</f>
        <v/>
      </c>
    </row>
    <row r="2098">
      <c r="A2098" t="n">
        <v>2097</v>
      </c>
      <c r="B2098" t="inlineStr">
        <is>
          <t>MMXCVII</t>
        </is>
      </c>
      <c r="C2098">
        <f>ROMAN(2097)</f>
        <v/>
      </c>
      <c r="D2098">
        <f>IF(B2098=C2098, "YES", "WRONG")</f>
        <v/>
      </c>
    </row>
    <row r="2099">
      <c r="A2099" t="n">
        <v>2098</v>
      </c>
      <c r="B2099" t="inlineStr">
        <is>
          <t>MMXCVIII</t>
        </is>
      </c>
      <c r="C2099">
        <f>ROMAN(2098)</f>
        <v/>
      </c>
      <c r="D2099">
        <f>IF(B2099=C2099, "YES", "WRONG")</f>
        <v/>
      </c>
    </row>
    <row r="2100">
      <c r="A2100" t="n">
        <v>2099</v>
      </c>
      <c r="B2100" t="inlineStr">
        <is>
          <t>MMXCIX</t>
        </is>
      </c>
      <c r="C2100">
        <f>ROMAN(2099)</f>
        <v/>
      </c>
      <c r="D2100">
        <f>IF(B2100=C2100, "YES", "WRONG")</f>
        <v/>
      </c>
    </row>
    <row r="2101">
      <c r="A2101" t="n">
        <v>2100</v>
      </c>
      <c r="B2101" t="inlineStr">
        <is>
          <t>MMC</t>
        </is>
      </c>
      <c r="C2101">
        <f>ROMAN(2100)</f>
        <v/>
      </c>
      <c r="D2101">
        <f>IF(B2101=C2101, "YES", "WRONG")</f>
        <v/>
      </c>
    </row>
    <row r="2102">
      <c r="A2102" t="n">
        <v>2101</v>
      </c>
      <c r="B2102" t="inlineStr">
        <is>
          <t>MMCI</t>
        </is>
      </c>
      <c r="C2102">
        <f>ROMAN(2101)</f>
        <v/>
      </c>
      <c r="D2102">
        <f>IF(B2102=C2102, "YES", "WRONG")</f>
        <v/>
      </c>
    </row>
    <row r="2103">
      <c r="A2103" t="n">
        <v>2102</v>
      </c>
      <c r="B2103" t="inlineStr">
        <is>
          <t>MMCII</t>
        </is>
      </c>
      <c r="C2103">
        <f>ROMAN(2102)</f>
        <v/>
      </c>
      <c r="D2103">
        <f>IF(B2103=C2103, "YES", "WRONG")</f>
        <v/>
      </c>
    </row>
    <row r="2104">
      <c r="A2104" t="n">
        <v>2103</v>
      </c>
      <c r="B2104" t="inlineStr">
        <is>
          <t>MMCIII</t>
        </is>
      </c>
      <c r="C2104">
        <f>ROMAN(2103)</f>
        <v/>
      </c>
      <c r="D2104">
        <f>IF(B2104=C2104, "YES", "WRONG")</f>
        <v/>
      </c>
    </row>
    <row r="2105">
      <c r="A2105" t="n">
        <v>2104</v>
      </c>
      <c r="B2105" t="inlineStr">
        <is>
          <t>MMCIV</t>
        </is>
      </c>
      <c r="C2105">
        <f>ROMAN(2104)</f>
        <v/>
      </c>
      <c r="D2105">
        <f>IF(B2105=C2105, "YES", "WRONG")</f>
        <v/>
      </c>
    </row>
    <row r="2106">
      <c r="A2106" t="n">
        <v>2105</v>
      </c>
      <c r="B2106" t="inlineStr">
        <is>
          <t>MMCV</t>
        </is>
      </c>
      <c r="C2106">
        <f>ROMAN(2105)</f>
        <v/>
      </c>
      <c r="D2106">
        <f>IF(B2106=C2106, "YES", "WRONG")</f>
        <v/>
      </c>
    </row>
    <row r="2107">
      <c r="A2107" t="n">
        <v>2106</v>
      </c>
      <c r="B2107" t="inlineStr">
        <is>
          <t>MMCVI</t>
        </is>
      </c>
      <c r="C2107">
        <f>ROMAN(2106)</f>
        <v/>
      </c>
      <c r="D2107">
        <f>IF(B2107=C2107, "YES", "WRONG")</f>
        <v/>
      </c>
    </row>
    <row r="2108">
      <c r="A2108" t="n">
        <v>2107</v>
      </c>
      <c r="B2108" t="inlineStr">
        <is>
          <t>MMCVII</t>
        </is>
      </c>
      <c r="C2108">
        <f>ROMAN(2107)</f>
        <v/>
      </c>
      <c r="D2108">
        <f>IF(B2108=C2108, "YES", "WRONG")</f>
        <v/>
      </c>
    </row>
    <row r="2109">
      <c r="A2109" t="n">
        <v>2108</v>
      </c>
      <c r="B2109" t="inlineStr">
        <is>
          <t>MMCVIII</t>
        </is>
      </c>
      <c r="C2109">
        <f>ROMAN(2108)</f>
        <v/>
      </c>
      <c r="D2109">
        <f>IF(B2109=C2109, "YES", "WRONG")</f>
        <v/>
      </c>
    </row>
    <row r="2110">
      <c r="A2110" t="n">
        <v>2109</v>
      </c>
      <c r="B2110" t="inlineStr">
        <is>
          <t>MMCIX</t>
        </is>
      </c>
      <c r="C2110">
        <f>ROMAN(2109)</f>
        <v/>
      </c>
      <c r="D2110">
        <f>IF(B2110=C2110, "YES", "WRONG")</f>
        <v/>
      </c>
    </row>
    <row r="2111">
      <c r="A2111" t="n">
        <v>2110</v>
      </c>
      <c r="B2111" t="inlineStr">
        <is>
          <t>MMCX</t>
        </is>
      </c>
      <c r="C2111">
        <f>ROMAN(2110)</f>
        <v/>
      </c>
      <c r="D2111">
        <f>IF(B2111=C2111, "YES", "WRONG")</f>
        <v/>
      </c>
    </row>
    <row r="2112">
      <c r="A2112" t="n">
        <v>2111</v>
      </c>
      <c r="B2112" t="inlineStr">
        <is>
          <t>MMCXI</t>
        </is>
      </c>
      <c r="C2112">
        <f>ROMAN(2111)</f>
        <v/>
      </c>
      <c r="D2112">
        <f>IF(B2112=C2112, "YES", "WRONG")</f>
        <v/>
      </c>
    </row>
    <row r="2113">
      <c r="A2113" t="n">
        <v>2112</v>
      </c>
      <c r="B2113" t="inlineStr">
        <is>
          <t>MMCXII</t>
        </is>
      </c>
      <c r="C2113">
        <f>ROMAN(2112)</f>
        <v/>
      </c>
      <c r="D2113">
        <f>IF(B2113=C2113, "YES", "WRONG")</f>
        <v/>
      </c>
    </row>
    <row r="2114">
      <c r="A2114" t="n">
        <v>2113</v>
      </c>
      <c r="B2114" t="inlineStr">
        <is>
          <t>MMCXIII</t>
        </is>
      </c>
      <c r="C2114">
        <f>ROMAN(2113)</f>
        <v/>
      </c>
      <c r="D2114">
        <f>IF(B2114=C2114, "YES", "WRONG")</f>
        <v/>
      </c>
    </row>
    <row r="2115">
      <c r="A2115" t="n">
        <v>2114</v>
      </c>
      <c r="B2115" t="inlineStr">
        <is>
          <t>MMCXIV</t>
        </is>
      </c>
      <c r="C2115">
        <f>ROMAN(2114)</f>
        <v/>
      </c>
      <c r="D2115">
        <f>IF(B2115=C2115, "YES", "WRONG")</f>
        <v/>
      </c>
    </row>
    <row r="2116">
      <c r="A2116" t="n">
        <v>2115</v>
      </c>
      <c r="B2116" t="inlineStr">
        <is>
          <t>MMCXV</t>
        </is>
      </c>
      <c r="C2116">
        <f>ROMAN(2115)</f>
        <v/>
      </c>
      <c r="D2116">
        <f>IF(B2116=C2116, "YES", "WRONG")</f>
        <v/>
      </c>
    </row>
    <row r="2117">
      <c r="A2117" t="n">
        <v>2116</v>
      </c>
      <c r="B2117" t="inlineStr">
        <is>
          <t>MMCXVI</t>
        </is>
      </c>
      <c r="C2117">
        <f>ROMAN(2116)</f>
        <v/>
      </c>
      <c r="D2117">
        <f>IF(B2117=C2117, "YES", "WRONG")</f>
        <v/>
      </c>
    </row>
    <row r="2118">
      <c r="A2118" t="n">
        <v>2117</v>
      </c>
      <c r="B2118" t="inlineStr">
        <is>
          <t>MMCXVII</t>
        </is>
      </c>
      <c r="C2118">
        <f>ROMAN(2117)</f>
        <v/>
      </c>
      <c r="D2118">
        <f>IF(B2118=C2118, "YES", "WRONG")</f>
        <v/>
      </c>
    </row>
    <row r="2119">
      <c r="A2119" t="n">
        <v>2118</v>
      </c>
      <c r="B2119" t="inlineStr">
        <is>
          <t>MMCXVIII</t>
        </is>
      </c>
      <c r="C2119">
        <f>ROMAN(2118)</f>
        <v/>
      </c>
      <c r="D2119">
        <f>IF(B2119=C2119, "YES", "WRONG")</f>
        <v/>
      </c>
    </row>
    <row r="2120">
      <c r="A2120" t="n">
        <v>2119</v>
      </c>
      <c r="B2120" t="inlineStr">
        <is>
          <t>MMCXIX</t>
        </is>
      </c>
      <c r="C2120">
        <f>ROMAN(2119)</f>
        <v/>
      </c>
      <c r="D2120">
        <f>IF(B2120=C2120, "YES", "WRONG")</f>
        <v/>
      </c>
    </row>
    <row r="2121">
      <c r="A2121" t="n">
        <v>2120</v>
      </c>
      <c r="B2121" t="inlineStr">
        <is>
          <t>MMCXX</t>
        </is>
      </c>
      <c r="C2121">
        <f>ROMAN(2120)</f>
        <v/>
      </c>
      <c r="D2121">
        <f>IF(B2121=C2121, "YES", "WRONG")</f>
        <v/>
      </c>
    </row>
    <row r="2122">
      <c r="A2122" t="n">
        <v>2121</v>
      </c>
      <c r="B2122" t="inlineStr">
        <is>
          <t>MMCXXI</t>
        </is>
      </c>
      <c r="C2122">
        <f>ROMAN(2121)</f>
        <v/>
      </c>
      <c r="D2122">
        <f>IF(B2122=C2122, "YES", "WRONG")</f>
        <v/>
      </c>
    </row>
    <row r="2123">
      <c r="A2123" t="n">
        <v>2122</v>
      </c>
      <c r="B2123" t="inlineStr">
        <is>
          <t>MMCXXII</t>
        </is>
      </c>
      <c r="C2123">
        <f>ROMAN(2122)</f>
        <v/>
      </c>
      <c r="D2123">
        <f>IF(B2123=C2123, "YES", "WRONG")</f>
        <v/>
      </c>
    </row>
    <row r="2124">
      <c r="A2124" t="n">
        <v>2123</v>
      </c>
      <c r="B2124" t="inlineStr">
        <is>
          <t>MMCXXIII</t>
        </is>
      </c>
      <c r="C2124">
        <f>ROMAN(2123)</f>
        <v/>
      </c>
      <c r="D2124">
        <f>IF(B2124=C2124, "YES", "WRONG")</f>
        <v/>
      </c>
    </row>
    <row r="2125">
      <c r="A2125" t="n">
        <v>2124</v>
      </c>
      <c r="B2125" t="inlineStr">
        <is>
          <t>MMCXXIV</t>
        </is>
      </c>
      <c r="C2125">
        <f>ROMAN(2124)</f>
        <v/>
      </c>
      <c r="D2125">
        <f>IF(B2125=C2125, "YES", "WRONG")</f>
        <v/>
      </c>
    </row>
    <row r="2126">
      <c r="A2126" t="n">
        <v>2125</v>
      </c>
      <c r="B2126" t="inlineStr">
        <is>
          <t>MMCXXV</t>
        </is>
      </c>
      <c r="C2126">
        <f>ROMAN(2125)</f>
        <v/>
      </c>
      <c r="D2126">
        <f>IF(B2126=C2126, "YES", "WRONG")</f>
        <v/>
      </c>
    </row>
    <row r="2127">
      <c r="A2127" t="n">
        <v>2126</v>
      </c>
      <c r="B2127" t="inlineStr">
        <is>
          <t>MMCXXVI</t>
        </is>
      </c>
      <c r="C2127">
        <f>ROMAN(2126)</f>
        <v/>
      </c>
      <c r="D2127">
        <f>IF(B2127=C2127, "YES", "WRONG")</f>
        <v/>
      </c>
    </row>
    <row r="2128">
      <c r="A2128" t="n">
        <v>2127</v>
      </c>
      <c r="B2128" t="inlineStr">
        <is>
          <t>MMCXXVII</t>
        </is>
      </c>
      <c r="C2128">
        <f>ROMAN(2127)</f>
        <v/>
      </c>
      <c r="D2128">
        <f>IF(B2128=C2128, "YES", "WRONG")</f>
        <v/>
      </c>
    </row>
    <row r="2129">
      <c r="A2129" t="n">
        <v>2128</v>
      </c>
      <c r="B2129" t="inlineStr">
        <is>
          <t>MMCXXVIII</t>
        </is>
      </c>
      <c r="C2129">
        <f>ROMAN(2128)</f>
        <v/>
      </c>
      <c r="D2129">
        <f>IF(B2129=C2129, "YES", "WRONG")</f>
        <v/>
      </c>
    </row>
    <row r="2130">
      <c r="A2130" t="n">
        <v>2129</v>
      </c>
      <c r="B2130" t="inlineStr">
        <is>
          <t>MMCXXIX</t>
        </is>
      </c>
      <c r="C2130">
        <f>ROMAN(2129)</f>
        <v/>
      </c>
      <c r="D2130">
        <f>IF(B2130=C2130, "YES", "WRONG")</f>
        <v/>
      </c>
    </row>
    <row r="2131">
      <c r="A2131" t="n">
        <v>2130</v>
      </c>
      <c r="B2131" t="inlineStr">
        <is>
          <t>MMCXXX</t>
        </is>
      </c>
      <c r="C2131">
        <f>ROMAN(2130)</f>
        <v/>
      </c>
      <c r="D2131">
        <f>IF(B2131=C2131, "YES", "WRONG")</f>
        <v/>
      </c>
    </row>
    <row r="2132">
      <c r="A2132" t="n">
        <v>2131</v>
      </c>
      <c r="B2132" t="inlineStr">
        <is>
          <t>MMCXXXI</t>
        </is>
      </c>
      <c r="C2132">
        <f>ROMAN(2131)</f>
        <v/>
      </c>
      <c r="D2132">
        <f>IF(B2132=C2132, "YES", "WRONG")</f>
        <v/>
      </c>
    </row>
    <row r="2133">
      <c r="A2133" t="n">
        <v>2132</v>
      </c>
      <c r="B2133" t="inlineStr">
        <is>
          <t>MMCXXXII</t>
        </is>
      </c>
      <c r="C2133">
        <f>ROMAN(2132)</f>
        <v/>
      </c>
      <c r="D2133">
        <f>IF(B2133=C2133, "YES", "WRONG")</f>
        <v/>
      </c>
    </row>
    <row r="2134">
      <c r="A2134" t="n">
        <v>2133</v>
      </c>
      <c r="B2134" t="inlineStr">
        <is>
          <t>MMCXXXIII</t>
        </is>
      </c>
      <c r="C2134">
        <f>ROMAN(2133)</f>
        <v/>
      </c>
      <c r="D2134">
        <f>IF(B2134=C2134, "YES", "WRONG")</f>
        <v/>
      </c>
    </row>
    <row r="2135">
      <c r="A2135" t="n">
        <v>2134</v>
      </c>
      <c r="B2135" t="inlineStr">
        <is>
          <t>MMCXXXIV</t>
        </is>
      </c>
      <c r="C2135">
        <f>ROMAN(2134)</f>
        <v/>
      </c>
      <c r="D2135">
        <f>IF(B2135=C2135, "YES", "WRONG")</f>
        <v/>
      </c>
    </row>
    <row r="2136">
      <c r="A2136" t="n">
        <v>2135</v>
      </c>
      <c r="B2136" t="inlineStr">
        <is>
          <t>MMCXXXV</t>
        </is>
      </c>
      <c r="C2136">
        <f>ROMAN(2135)</f>
        <v/>
      </c>
      <c r="D2136">
        <f>IF(B2136=C2136, "YES", "WRONG")</f>
        <v/>
      </c>
    </row>
    <row r="2137">
      <c r="A2137" t="n">
        <v>2136</v>
      </c>
      <c r="B2137" t="inlineStr">
        <is>
          <t>MMCXXXVI</t>
        </is>
      </c>
      <c r="C2137">
        <f>ROMAN(2136)</f>
        <v/>
      </c>
      <c r="D2137">
        <f>IF(B2137=C2137, "YES", "WRONG")</f>
        <v/>
      </c>
    </row>
    <row r="2138">
      <c r="A2138" t="n">
        <v>2137</v>
      </c>
      <c r="B2138" t="inlineStr">
        <is>
          <t>MMCXXXVII</t>
        </is>
      </c>
      <c r="C2138">
        <f>ROMAN(2137)</f>
        <v/>
      </c>
      <c r="D2138">
        <f>IF(B2138=C2138, "YES", "WRONG")</f>
        <v/>
      </c>
    </row>
    <row r="2139">
      <c r="A2139" t="n">
        <v>2138</v>
      </c>
      <c r="B2139" t="inlineStr">
        <is>
          <t>MMCXXXVIII</t>
        </is>
      </c>
      <c r="C2139">
        <f>ROMAN(2138)</f>
        <v/>
      </c>
      <c r="D2139">
        <f>IF(B2139=C2139, "YES", "WRONG")</f>
        <v/>
      </c>
    </row>
    <row r="2140">
      <c r="A2140" t="n">
        <v>2139</v>
      </c>
      <c r="B2140" t="inlineStr">
        <is>
          <t>MMCXXXIX</t>
        </is>
      </c>
      <c r="C2140">
        <f>ROMAN(2139)</f>
        <v/>
      </c>
      <c r="D2140">
        <f>IF(B2140=C2140, "YES", "WRONG")</f>
        <v/>
      </c>
    </row>
    <row r="2141">
      <c r="A2141" t="n">
        <v>2140</v>
      </c>
      <c r="B2141" t="inlineStr">
        <is>
          <t>MMCXL</t>
        </is>
      </c>
      <c r="C2141">
        <f>ROMAN(2140)</f>
        <v/>
      </c>
      <c r="D2141">
        <f>IF(B2141=C2141, "YES", "WRONG")</f>
        <v/>
      </c>
    </row>
    <row r="2142">
      <c r="A2142" t="n">
        <v>2141</v>
      </c>
      <c r="B2142" t="inlineStr">
        <is>
          <t>MMCXLI</t>
        </is>
      </c>
      <c r="C2142">
        <f>ROMAN(2141)</f>
        <v/>
      </c>
      <c r="D2142">
        <f>IF(B2142=C2142, "YES", "WRONG")</f>
        <v/>
      </c>
    </row>
    <row r="2143">
      <c r="A2143" t="n">
        <v>2142</v>
      </c>
      <c r="B2143" t="inlineStr">
        <is>
          <t>MMCXLII</t>
        </is>
      </c>
      <c r="C2143">
        <f>ROMAN(2142)</f>
        <v/>
      </c>
      <c r="D2143">
        <f>IF(B2143=C2143, "YES", "WRONG")</f>
        <v/>
      </c>
    </row>
    <row r="2144">
      <c r="A2144" t="n">
        <v>2143</v>
      </c>
      <c r="B2144" t="inlineStr">
        <is>
          <t>MMCXLIII</t>
        </is>
      </c>
      <c r="C2144">
        <f>ROMAN(2143)</f>
        <v/>
      </c>
      <c r="D2144">
        <f>IF(B2144=C2144, "YES", "WRONG")</f>
        <v/>
      </c>
    </row>
    <row r="2145">
      <c r="A2145" t="n">
        <v>2144</v>
      </c>
      <c r="B2145" t="inlineStr">
        <is>
          <t>MMCXLIV</t>
        </is>
      </c>
      <c r="C2145">
        <f>ROMAN(2144)</f>
        <v/>
      </c>
      <c r="D2145">
        <f>IF(B2145=C2145, "YES", "WRONG")</f>
        <v/>
      </c>
    </row>
    <row r="2146">
      <c r="A2146" t="n">
        <v>2145</v>
      </c>
      <c r="B2146" t="inlineStr">
        <is>
          <t>MMCXLV</t>
        </is>
      </c>
      <c r="C2146">
        <f>ROMAN(2145)</f>
        <v/>
      </c>
      <c r="D2146">
        <f>IF(B2146=C2146, "YES", "WRONG")</f>
        <v/>
      </c>
    </row>
    <row r="2147">
      <c r="A2147" t="n">
        <v>2146</v>
      </c>
      <c r="B2147" t="inlineStr">
        <is>
          <t>MMCXLVI</t>
        </is>
      </c>
      <c r="C2147">
        <f>ROMAN(2146)</f>
        <v/>
      </c>
      <c r="D2147">
        <f>IF(B2147=C2147, "YES", "WRONG")</f>
        <v/>
      </c>
    </row>
    <row r="2148">
      <c r="A2148" t="n">
        <v>2147</v>
      </c>
      <c r="B2148" t="inlineStr">
        <is>
          <t>MMCXLVII</t>
        </is>
      </c>
      <c r="C2148">
        <f>ROMAN(2147)</f>
        <v/>
      </c>
      <c r="D2148">
        <f>IF(B2148=C2148, "YES", "WRONG")</f>
        <v/>
      </c>
    </row>
    <row r="2149">
      <c r="A2149" t="n">
        <v>2148</v>
      </c>
      <c r="B2149" t="inlineStr">
        <is>
          <t>MMCXLVIII</t>
        </is>
      </c>
      <c r="C2149">
        <f>ROMAN(2148)</f>
        <v/>
      </c>
      <c r="D2149">
        <f>IF(B2149=C2149, "YES", "WRONG")</f>
        <v/>
      </c>
    </row>
    <row r="2150">
      <c r="A2150" t="n">
        <v>2149</v>
      </c>
      <c r="B2150" t="inlineStr">
        <is>
          <t>MMCXLIX</t>
        </is>
      </c>
      <c r="C2150">
        <f>ROMAN(2149)</f>
        <v/>
      </c>
      <c r="D2150">
        <f>IF(B2150=C2150, "YES", "WRONG")</f>
        <v/>
      </c>
    </row>
    <row r="2151">
      <c r="A2151" t="n">
        <v>2150</v>
      </c>
      <c r="B2151" t="inlineStr">
        <is>
          <t>MMCL</t>
        </is>
      </c>
      <c r="C2151">
        <f>ROMAN(2150)</f>
        <v/>
      </c>
      <c r="D2151">
        <f>IF(B2151=C2151, "YES", "WRONG")</f>
        <v/>
      </c>
    </row>
    <row r="2152">
      <c r="A2152" t="n">
        <v>2151</v>
      </c>
      <c r="B2152" t="inlineStr">
        <is>
          <t>MMCLI</t>
        </is>
      </c>
      <c r="C2152">
        <f>ROMAN(2151)</f>
        <v/>
      </c>
      <c r="D2152">
        <f>IF(B2152=C2152, "YES", "WRONG")</f>
        <v/>
      </c>
    </row>
    <row r="2153">
      <c r="A2153" t="n">
        <v>2152</v>
      </c>
      <c r="B2153" t="inlineStr">
        <is>
          <t>MMCLII</t>
        </is>
      </c>
      <c r="C2153">
        <f>ROMAN(2152)</f>
        <v/>
      </c>
      <c r="D2153">
        <f>IF(B2153=C2153, "YES", "WRONG")</f>
        <v/>
      </c>
    </row>
    <row r="2154">
      <c r="A2154" t="n">
        <v>2153</v>
      </c>
      <c r="B2154" t="inlineStr">
        <is>
          <t>MMCLIII</t>
        </is>
      </c>
      <c r="C2154">
        <f>ROMAN(2153)</f>
        <v/>
      </c>
      <c r="D2154">
        <f>IF(B2154=C2154, "YES", "WRONG")</f>
        <v/>
      </c>
    </row>
    <row r="2155">
      <c r="A2155" t="n">
        <v>2154</v>
      </c>
      <c r="B2155" t="inlineStr">
        <is>
          <t>MMCLIV</t>
        </is>
      </c>
      <c r="C2155">
        <f>ROMAN(2154)</f>
        <v/>
      </c>
      <c r="D2155">
        <f>IF(B2155=C2155, "YES", "WRONG")</f>
        <v/>
      </c>
    </row>
    <row r="2156">
      <c r="A2156" t="n">
        <v>2155</v>
      </c>
      <c r="B2156" t="inlineStr">
        <is>
          <t>MMCLV</t>
        </is>
      </c>
      <c r="C2156">
        <f>ROMAN(2155)</f>
        <v/>
      </c>
      <c r="D2156">
        <f>IF(B2156=C2156, "YES", "WRONG")</f>
        <v/>
      </c>
    </row>
    <row r="2157">
      <c r="A2157" t="n">
        <v>2156</v>
      </c>
      <c r="B2157" t="inlineStr">
        <is>
          <t>MMCLVI</t>
        </is>
      </c>
      <c r="C2157">
        <f>ROMAN(2156)</f>
        <v/>
      </c>
      <c r="D2157">
        <f>IF(B2157=C2157, "YES", "WRONG")</f>
        <v/>
      </c>
    </row>
    <row r="2158">
      <c r="A2158" t="n">
        <v>2157</v>
      </c>
      <c r="B2158" t="inlineStr">
        <is>
          <t>MMCLVII</t>
        </is>
      </c>
      <c r="C2158">
        <f>ROMAN(2157)</f>
        <v/>
      </c>
      <c r="D2158">
        <f>IF(B2158=C2158, "YES", "WRONG")</f>
        <v/>
      </c>
    </row>
    <row r="2159">
      <c r="A2159" t="n">
        <v>2158</v>
      </c>
      <c r="B2159" t="inlineStr">
        <is>
          <t>MMCLVIII</t>
        </is>
      </c>
      <c r="C2159">
        <f>ROMAN(2158)</f>
        <v/>
      </c>
      <c r="D2159">
        <f>IF(B2159=C2159, "YES", "WRONG")</f>
        <v/>
      </c>
    </row>
    <row r="2160">
      <c r="A2160" t="n">
        <v>2159</v>
      </c>
      <c r="B2160" t="inlineStr">
        <is>
          <t>MMCLIX</t>
        </is>
      </c>
      <c r="C2160">
        <f>ROMAN(2159)</f>
        <v/>
      </c>
      <c r="D2160">
        <f>IF(B2160=C2160, "YES", "WRONG")</f>
        <v/>
      </c>
    </row>
    <row r="2161">
      <c r="A2161" t="n">
        <v>2160</v>
      </c>
      <c r="B2161" t="inlineStr">
        <is>
          <t>MMCLX</t>
        </is>
      </c>
      <c r="C2161">
        <f>ROMAN(2160)</f>
        <v/>
      </c>
      <c r="D2161">
        <f>IF(B2161=C2161, "YES", "WRONG")</f>
        <v/>
      </c>
    </row>
    <row r="2162">
      <c r="A2162" t="n">
        <v>2161</v>
      </c>
      <c r="B2162" t="inlineStr">
        <is>
          <t>MMCLXI</t>
        </is>
      </c>
      <c r="C2162">
        <f>ROMAN(2161)</f>
        <v/>
      </c>
      <c r="D2162">
        <f>IF(B2162=C2162, "YES", "WRONG")</f>
        <v/>
      </c>
    </row>
    <row r="2163">
      <c r="A2163" t="n">
        <v>2162</v>
      </c>
      <c r="B2163" t="inlineStr">
        <is>
          <t>MMCLXII</t>
        </is>
      </c>
      <c r="C2163">
        <f>ROMAN(2162)</f>
        <v/>
      </c>
      <c r="D2163">
        <f>IF(B2163=C2163, "YES", "WRONG")</f>
        <v/>
      </c>
    </row>
    <row r="2164">
      <c r="A2164" t="n">
        <v>2163</v>
      </c>
      <c r="B2164" t="inlineStr">
        <is>
          <t>MMCLXIII</t>
        </is>
      </c>
      <c r="C2164">
        <f>ROMAN(2163)</f>
        <v/>
      </c>
      <c r="D2164">
        <f>IF(B2164=C2164, "YES", "WRONG")</f>
        <v/>
      </c>
    </row>
    <row r="2165">
      <c r="A2165" t="n">
        <v>2164</v>
      </c>
      <c r="B2165" t="inlineStr">
        <is>
          <t>MMCLXIV</t>
        </is>
      </c>
      <c r="C2165">
        <f>ROMAN(2164)</f>
        <v/>
      </c>
      <c r="D2165">
        <f>IF(B2165=C2165, "YES", "WRONG")</f>
        <v/>
      </c>
    </row>
    <row r="2166">
      <c r="A2166" t="n">
        <v>2165</v>
      </c>
      <c r="B2166" t="inlineStr">
        <is>
          <t>MMCLXV</t>
        </is>
      </c>
      <c r="C2166">
        <f>ROMAN(2165)</f>
        <v/>
      </c>
      <c r="D2166">
        <f>IF(B2166=C2166, "YES", "WRONG")</f>
        <v/>
      </c>
    </row>
    <row r="2167">
      <c r="A2167" t="n">
        <v>2166</v>
      </c>
      <c r="B2167" t="inlineStr">
        <is>
          <t>MMCLXVI</t>
        </is>
      </c>
      <c r="C2167">
        <f>ROMAN(2166)</f>
        <v/>
      </c>
      <c r="D2167">
        <f>IF(B2167=C2167, "YES", "WRONG")</f>
        <v/>
      </c>
    </row>
    <row r="2168">
      <c r="A2168" t="n">
        <v>2167</v>
      </c>
      <c r="B2168" t="inlineStr">
        <is>
          <t>MMCLXVII</t>
        </is>
      </c>
      <c r="C2168">
        <f>ROMAN(2167)</f>
        <v/>
      </c>
      <c r="D2168">
        <f>IF(B2168=C2168, "YES", "WRONG")</f>
        <v/>
      </c>
    </row>
    <row r="2169">
      <c r="A2169" t="n">
        <v>2168</v>
      </c>
      <c r="B2169" t="inlineStr">
        <is>
          <t>MMCLXVIII</t>
        </is>
      </c>
      <c r="C2169">
        <f>ROMAN(2168)</f>
        <v/>
      </c>
      <c r="D2169">
        <f>IF(B2169=C2169, "YES", "WRONG")</f>
        <v/>
      </c>
    </row>
    <row r="2170">
      <c r="A2170" t="n">
        <v>2169</v>
      </c>
      <c r="B2170" t="inlineStr">
        <is>
          <t>MMCLXIX</t>
        </is>
      </c>
      <c r="C2170">
        <f>ROMAN(2169)</f>
        <v/>
      </c>
      <c r="D2170">
        <f>IF(B2170=C2170, "YES", "WRONG")</f>
        <v/>
      </c>
    </row>
    <row r="2171">
      <c r="A2171" t="n">
        <v>2170</v>
      </c>
      <c r="B2171" t="inlineStr">
        <is>
          <t>MMCLXX</t>
        </is>
      </c>
      <c r="C2171">
        <f>ROMAN(2170)</f>
        <v/>
      </c>
      <c r="D2171">
        <f>IF(B2171=C2171, "YES", "WRONG")</f>
        <v/>
      </c>
    </row>
    <row r="2172">
      <c r="A2172" t="n">
        <v>2171</v>
      </c>
      <c r="B2172" t="inlineStr">
        <is>
          <t>MMCLXXI</t>
        </is>
      </c>
      <c r="C2172">
        <f>ROMAN(2171)</f>
        <v/>
      </c>
      <c r="D2172">
        <f>IF(B2172=C2172, "YES", "WRONG")</f>
        <v/>
      </c>
    </row>
    <row r="2173">
      <c r="A2173" t="n">
        <v>2172</v>
      </c>
      <c r="B2173" t="inlineStr">
        <is>
          <t>MMCLXXII</t>
        </is>
      </c>
      <c r="C2173">
        <f>ROMAN(2172)</f>
        <v/>
      </c>
      <c r="D2173">
        <f>IF(B2173=C2173, "YES", "WRONG")</f>
        <v/>
      </c>
    </row>
    <row r="2174">
      <c r="A2174" t="n">
        <v>2173</v>
      </c>
      <c r="B2174" t="inlineStr">
        <is>
          <t>MMCLXXIII</t>
        </is>
      </c>
      <c r="C2174">
        <f>ROMAN(2173)</f>
        <v/>
      </c>
      <c r="D2174">
        <f>IF(B2174=C2174, "YES", "WRONG")</f>
        <v/>
      </c>
    </row>
    <row r="2175">
      <c r="A2175" t="n">
        <v>2174</v>
      </c>
      <c r="B2175" t="inlineStr">
        <is>
          <t>MMCLXXIV</t>
        </is>
      </c>
      <c r="C2175">
        <f>ROMAN(2174)</f>
        <v/>
      </c>
      <c r="D2175">
        <f>IF(B2175=C2175, "YES", "WRONG")</f>
        <v/>
      </c>
    </row>
    <row r="2176">
      <c r="A2176" t="n">
        <v>2175</v>
      </c>
      <c r="B2176" t="inlineStr">
        <is>
          <t>MMCLXXV</t>
        </is>
      </c>
      <c r="C2176">
        <f>ROMAN(2175)</f>
        <v/>
      </c>
      <c r="D2176">
        <f>IF(B2176=C2176, "YES", "WRONG")</f>
        <v/>
      </c>
    </row>
    <row r="2177">
      <c r="A2177" t="n">
        <v>2176</v>
      </c>
      <c r="B2177" t="inlineStr">
        <is>
          <t>MMCLXXVI</t>
        </is>
      </c>
      <c r="C2177">
        <f>ROMAN(2176)</f>
        <v/>
      </c>
      <c r="D2177">
        <f>IF(B2177=C2177, "YES", "WRONG")</f>
        <v/>
      </c>
    </row>
    <row r="2178">
      <c r="A2178" t="n">
        <v>2177</v>
      </c>
      <c r="B2178" t="inlineStr">
        <is>
          <t>MMCLXXVII</t>
        </is>
      </c>
      <c r="C2178">
        <f>ROMAN(2177)</f>
        <v/>
      </c>
      <c r="D2178">
        <f>IF(B2178=C2178, "YES", "WRONG")</f>
        <v/>
      </c>
    </row>
    <row r="2179">
      <c r="A2179" t="n">
        <v>2178</v>
      </c>
      <c r="B2179" t="inlineStr">
        <is>
          <t>MMCLXXVIII</t>
        </is>
      </c>
      <c r="C2179">
        <f>ROMAN(2178)</f>
        <v/>
      </c>
      <c r="D2179">
        <f>IF(B2179=C2179, "YES", "WRONG")</f>
        <v/>
      </c>
    </row>
    <row r="2180">
      <c r="A2180" t="n">
        <v>2179</v>
      </c>
      <c r="B2180" t="inlineStr">
        <is>
          <t>MMCLXXIX</t>
        </is>
      </c>
      <c r="C2180">
        <f>ROMAN(2179)</f>
        <v/>
      </c>
      <c r="D2180">
        <f>IF(B2180=C2180, "YES", "WRONG")</f>
        <v/>
      </c>
    </row>
    <row r="2181">
      <c r="A2181" t="n">
        <v>2180</v>
      </c>
      <c r="B2181" t="inlineStr">
        <is>
          <t>MMCLXXX</t>
        </is>
      </c>
      <c r="C2181">
        <f>ROMAN(2180)</f>
        <v/>
      </c>
      <c r="D2181">
        <f>IF(B2181=C2181, "YES", "WRONG")</f>
        <v/>
      </c>
    </row>
    <row r="2182">
      <c r="A2182" t="n">
        <v>2181</v>
      </c>
      <c r="B2182" t="inlineStr">
        <is>
          <t>MMCLXXXI</t>
        </is>
      </c>
      <c r="C2182">
        <f>ROMAN(2181)</f>
        <v/>
      </c>
      <c r="D2182">
        <f>IF(B2182=C2182, "YES", "WRONG")</f>
        <v/>
      </c>
    </row>
    <row r="2183">
      <c r="A2183" t="n">
        <v>2182</v>
      </c>
      <c r="B2183" t="inlineStr">
        <is>
          <t>MMCLXXXII</t>
        </is>
      </c>
      <c r="C2183">
        <f>ROMAN(2182)</f>
        <v/>
      </c>
      <c r="D2183">
        <f>IF(B2183=C2183, "YES", "WRONG")</f>
        <v/>
      </c>
    </row>
    <row r="2184">
      <c r="A2184" t="n">
        <v>2183</v>
      </c>
      <c r="B2184" t="inlineStr">
        <is>
          <t>MMCLXXXIII</t>
        </is>
      </c>
      <c r="C2184">
        <f>ROMAN(2183)</f>
        <v/>
      </c>
      <c r="D2184">
        <f>IF(B2184=C2184, "YES", "WRONG")</f>
        <v/>
      </c>
    </row>
    <row r="2185">
      <c r="A2185" t="n">
        <v>2184</v>
      </c>
      <c r="B2185" t="inlineStr">
        <is>
          <t>MMCLXXXIV</t>
        </is>
      </c>
      <c r="C2185">
        <f>ROMAN(2184)</f>
        <v/>
      </c>
      <c r="D2185">
        <f>IF(B2185=C2185, "YES", "WRONG")</f>
        <v/>
      </c>
    </row>
    <row r="2186">
      <c r="A2186" t="n">
        <v>2185</v>
      </c>
      <c r="B2186" t="inlineStr">
        <is>
          <t>MMCLXXXV</t>
        </is>
      </c>
      <c r="C2186">
        <f>ROMAN(2185)</f>
        <v/>
      </c>
      <c r="D2186">
        <f>IF(B2186=C2186, "YES", "WRONG")</f>
        <v/>
      </c>
    </row>
    <row r="2187">
      <c r="A2187" t="n">
        <v>2186</v>
      </c>
      <c r="B2187" t="inlineStr">
        <is>
          <t>MMCLXXXVI</t>
        </is>
      </c>
      <c r="C2187">
        <f>ROMAN(2186)</f>
        <v/>
      </c>
      <c r="D2187">
        <f>IF(B2187=C2187, "YES", "WRONG")</f>
        <v/>
      </c>
    </row>
    <row r="2188">
      <c r="A2188" t="n">
        <v>2187</v>
      </c>
      <c r="B2188" t="inlineStr">
        <is>
          <t>MMCLXXXVII</t>
        </is>
      </c>
      <c r="C2188">
        <f>ROMAN(2187)</f>
        <v/>
      </c>
      <c r="D2188">
        <f>IF(B2188=C2188, "YES", "WRONG")</f>
        <v/>
      </c>
    </row>
    <row r="2189">
      <c r="A2189" t="n">
        <v>2188</v>
      </c>
      <c r="B2189" t="inlineStr">
        <is>
          <t>MMCLXXXVIII</t>
        </is>
      </c>
      <c r="C2189">
        <f>ROMAN(2188)</f>
        <v/>
      </c>
      <c r="D2189">
        <f>IF(B2189=C2189, "YES", "WRONG")</f>
        <v/>
      </c>
    </row>
    <row r="2190">
      <c r="A2190" t="n">
        <v>2189</v>
      </c>
      <c r="B2190" t="inlineStr">
        <is>
          <t>MMCLXXXIX</t>
        </is>
      </c>
      <c r="C2190">
        <f>ROMAN(2189)</f>
        <v/>
      </c>
      <c r="D2190">
        <f>IF(B2190=C2190, "YES", "WRONG")</f>
        <v/>
      </c>
    </row>
    <row r="2191">
      <c r="A2191" t="n">
        <v>2190</v>
      </c>
      <c r="B2191" t="inlineStr">
        <is>
          <t>MMCXC</t>
        </is>
      </c>
      <c r="C2191">
        <f>ROMAN(2190)</f>
        <v/>
      </c>
      <c r="D2191">
        <f>IF(B2191=C2191, "YES", "WRONG")</f>
        <v/>
      </c>
    </row>
    <row r="2192">
      <c r="A2192" t="n">
        <v>2191</v>
      </c>
      <c r="B2192" t="inlineStr">
        <is>
          <t>MMCXCI</t>
        </is>
      </c>
      <c r="C2192">
        <f>ROMAN(2191)</f>
        <v/>
      </c>
      <c r="D2192">
        <f>IF(B2192=C2192, "YES", "WRONG")</f>
        <v/>
      </c>
    </row>
    <row r="2193">
      <c r="A2193" t="n">
        <v>2192</v>
      </c>
      <c r="B2193" t="inlineStr">
        <is>
          <t>MMCXCII</t>
        </is>
      </c>
      <c r="C2193">
        <f>ROMAN(2192)</f>
        <v/>
      </c>
      <c r="D2193">
        <f>IF(B2193=C2193, "YES", "WRONG")</f>
        <v/>
      </c>
    </row>
    <row r="2194">
      <c r="A2194" t="n">
        <v>2193</v>
      </c>
      <c r="B2194" t="inlineStr">
        <is>
          <t>MMCXCIII</t>
        </is>
      </c>
      <c r="C2194">
        <f>ROMAN(2193)</f>
        <v/>
      </c>
      <c r="D2194">
        <f>IF(B2194=C2194, "YES", "WRONG")</f>
        <v/>
      </c>
    </row>
    <row r="2195">
      <c r="A2195" t="n">
        <v>2194</v>
      </c>
      <c r="B2195" t="inlineStr">
        <is>
          <t>MMCXCIV</t>
        </is>
      </c>
      <c r="C2195">
        <f>ROMAN(2194)</f>
        <v/>
      </c>
      <c r="D2195">
        <f>IF(B2195=C2195, "YES", "WRONG")</f>
        <v/>
      </c>
    </row>
    <row r="2196">
      <c r="A2196" t="n">
        <v>2195</v>
      </c>
      <c r="B2196" t="inlineStr">
        <is>
          <t>MMCXCV</t>
        </is>
      </c>
      <c r="C2196">
        <f>ROMAN(2195)</f>
        <v/>
      </c>
      <c r="D2196">
        <f>IF(B2196=C2196, "YES", "WRONG")</f>
        <v/>
      </c>
    </row>
    <row r="2197">
      <c r="A2197" t="n">
        <v>2196</v>
      </c>
      <c r="B2197" t="inlineStr">
        <is>
          <t>MMCXCVI</t>
        </is>
      </c>
      <c r="C2197">
        <f>ROMAN(2196)</f>
        <v/>
      </c>
      <c r="D2197">
        <f>IF(B2197=C2197, "YES", "WRONG")</f>
        <v/>
      </c>
    </row>
    <row r="2198">
      <c r="A2198" t="n">
        <v>2197</v>
      </c>
      <c r="B2198" t="inlineStr">
        <is>
          <t>MMCXCVII</t>
        </is>
      </c>
      <c r="C2198">
        <f>ROMAN(2197)</f>
        <v/>
      </c>
      <c r="D2198">
        <f>IF(B2198=C2198, "YES", "WRONG")</f>
        <v/>
      </c>
    </row>
    <row r="2199">
      <c r="A2199" t="n">
        <v>2198</v>
      </c>
      <c r="B2199" t="inlineStr">
        <is>
          <t>MMCXCVIII</t>
        </is>
      </c>
      <c r="C2199">
        <f>ROMAN(2198)</f>
        <v/>
      </c>
      <c r="D2199">
        <f>IF(B2199=C2199, "YES", "WRONG")</f>
        <v/>
      </c>
    </row>
    <row r="2200">
      <c r="A2200" t="n">
        <v>2199</v>
      </c>
      <c r="B2200" t="inlineStr">
        <is>
          <t>MMCXCIX</t>
        </is>
      </c>
      <c r="C2200">
        <f>ROMAN(2199)</f>
        <v/>
      </c>
      <c r="D2200">
        <f>IF(B2200=C2200, "YES", "WRONG")</f>
        <v/>
      </c>
    </row>
    <row r="2201">
      <c r="A2201" t="n">
        <v>2200</v>
      </c>
      <c r="B2201" t="inlineStr">
        <is>
          <t>MMCC</t>
        </is>
      </c>
      <c r="C2201">
        <f>ROMAN(2200)</f>
        <v/>
      </c>
      <c r="D2201">
        <f>IF(B2201=C2201, "YES", "WRONG")</f>
        <v/>
      </c>
    </row>
    <row r="2202">
      <c r="A2202" t="n">
        <v>2201</v>
      </c>
      <c r="B2202" t="inlineStr">
        <is>
          <t>MMCCI</t>
        </is>
      </c>
      <c r="C2202">
        <f>ROMAN(2201)</f>
        <v/>
      </c>
      <c r="D2202">
        <f>IF(B2202=C2202, "YES", "WRONG")</f>
        <v/>
      </c>
    </row>
    <row r="2203">
      <c r="A2203" t="n">
        <v>2202</v>
      </c>
      <c r="B2203" t="inlineStr">
        <is>
          <t>MMCCII</t>
        </is>
      </c>
      <c r="C2203">
        <f>ROMAN(2202)</f>
        <v/>
      </c>
      <c r="D2203">
        <f>IF(B2203=C2203, "YES", "WRONG")</f>
        <v/>
      </c>
    </row>
    <row r="2204">
      <c r="A2204" t="n">
        <v>2203</v>
      </c>
      <c r="B2204" t="inlineStr">
        <is>
          <t>MMCCIII</t>
        </is>
      </c>
      <c r="C2204">
        <f>ROMAN(2203)</f>
        <v/>
      </c>
      <c r="D2204">
        <f>IF(B2204=C2204, "YES", "WRONG")</f>
        <v/>
      </c>
    </row>
    <row r="2205">
      <c r="A2205" t="n">
        <v>2204</v>
      </c>
      <c r="B2205" t="inlineStr">
        <is>
          <t>MMCCIV</t>
        </is>
      </c>
      <c r="C2205">
        <f>ROMAN(2204)</f>
        <v/>
      </c>
      <c r="D2205">
        <f>IF(B2205=C2205, "YES", "WRONG")</f>
        <v/>
      </c>
    </row>
    <row r="2206">
      <c r="A2206" t="n">
        <v>2205</v>
      </c>
      <c r="B2206" t="inlineStr">
        <is>
          <t>MMCCV</t>
        </is>
      </c>
      <c r="C2206">
        <f>ROMAN(2205)</f>
        <v/>
      </c>
      <c r="D2206">
        <f>IF(B2206=C2206, "YES", "WRONG")</f>
        <v/>
      </c>
    </row>
    <row r="2207">
      <c r="A2207" t="n">
        <v>2206</v>
      </c>
      <c r="B2207" t="inlineStr">
        <is>
          <t>MMCCVI</t>
        </is>
      </c>
      <c r="C2207">
        <f>ROMAN(2206)</f>
        <v/>
      </c>
      <c r="D2207">
        <f>IF(B2207=C2207, "YES", "WRONG")</f>
        <v/>
      </c>
    </row>
    <row r="2208">
      <c r="A2208" t="n">
        <v>2207</v>
      </c>
      <c r="B2208" t="inlineStr">
        <is>
          <t>MMCCVII</t>
        </is>
      </c>
      <c r="C2208">
        <f>ROMAN(2207)</f>
        <v/>
      </c>
      <c r="D2208">
        <f>IF(B2208=C2208, "YES", "WRONG")</f>
        <v/>
      </c>
    </row>
    <row r="2209">
      <c r="A2209" t="n">
        <v>2208</v>
      </c>
      <c r="B2209" t="inlineStr">
        <is>
          <t>MMCCVIII</t>
        </is>
      </c>
      <c r="C2209">
        <f>ROMAN(2208)</f>
        <v/>
      </c>
      <c r="D2209">
        <f>IF(B2209=C2209, "YES", "WRONG")</f>
        <v/>
      </c>
    </row>
    <row r="2210">
      <c r="A2210" t="n">
        <v>2209</v>
      </c>
      <c r="B2210" t="inlineStr">
        <is>
          <t>MMCCIX</t>
        </is>
      </c>
      <c r="C2210">
        <f>ROMAN(2209)</f>
        <v/>
      </c>
      <c r="D2210">
        <f>IF(B2210=C2210, "YES", "WRONG")</f>
        <v/>
      </c>
    </row>
    <row r="2211">
      <c r="A2211" t="n">
        <v>2210</v>
      </c>
      <c r="B2211" t="inlineStr">
        <is>
          <t>MMCCX</t>
        </is>
      </c>
      <c r="C2211">
        <f>ROMAN(2210)</f>
        <v/>
      </c>
      <c r="D2211">
        <f>IF(B2211=C2211, "YES", "WRONG")</f>
        <v/>
      </c>
    </row>
    <row r="2212">
      <c r="A2212" t="n">
        <v>2211</v>
      </c>
      <c r="B2212" t="inlineStr">
        <is>
          <t>MMCCXI</t>
        </is>
      </c>
      <c r="C2212">
        <f>ROMAN(2211)</f>
        <v/>
      </c>
      <c r="D2212">
        <f>IF(B2212=C2212, "YES", "WRONG")</f>
        <v/>
      </c>
    </row>
    <row r="2213">
      <c r="A2213" t="n">
        <v>2212</v>
      </c>
      <c r="B2213" t="inlineStr">
        <is>
          <t>MMCCXII</t>
        </is>
      </c>
      <c r="C2213">
        <f>ROMAN(2212)</f>
        <v/>
      </c>
      <c r="D2213">
        <f>IF(B2213=C2213, "YES", "WRONG")</f>
        <v/>
      </c>
    </row>
    <row r="2214">
      <c r="A2214" t="n">
        <v>2213</v>
      </c>
      <c r="B2214" t="inlineStr">
        <is>
          <t>MMCCXIII</t>
        </is>
      </c>
      <c r="C2214">
        <f>ROMAN(2213)</f>
        <v/>
      </c>
      <c r="D2214">
        <f>IF(B2214=C2214, "YES", "WRONG")</f>
        <v/>
      </c>
    </row>
    <row r="2215">
      <c r="A2215" t="n">
        <v>2214</v>
      </c>
      <c r="B2215" t="inlineStr">
        <is>
          <t>MMCCXIV</t>
        </is>
      </c>
      <c r="C2215">
        <f>ROMAN(2214)</f>
        <v/>
      </c>
      <c r="D2215">
        <f>IF(B2215=C2215, "YES", "WRONG")</f>
        <v/>
      </c>
    </row>
    <row r="2216">
      <c r="A2216" t="n">
        <v>2215</v>
      </c>
      <c r="B2216" t="inlineStr">
        <is>
          <t>MMCCXV</t>
        </is>
      </c>
      <c r="C2216">
        <f>ROMAN(2215)</f>
        <v/>
      </c>
      <c r="D2216">
        <f>IF(B2216=C2216, "YES", "WRONG")</f>
        <v/>
      </c>
    </row>
    <row r="2217">
      <c r="A2217" t="n">
        <v>2216</v>
      </c>
      <c r="B2217" t="inlineStr">
        <is>
          <t>MMCCXVI</t>
        </is>
      </c>
      <c r="C2217">
        <f>ROMAN(2216)</f>
        <v/>
      </c>
      <c r="D2217">
        <f>IF(B2217=C2217, "YES", "WRONG")</f>
        <v/>
      </c>
    </row>
    <row r="2218">
      <c r="A2218" t="n">
        <v>2217</v>
      </c>
      <c r="B2218" t="inlineStr">
        <is>
          <t>MMCCXVII</t>
        </is>
      </c>
      <c r="C2218">
        <f>ROMAN(2217)</f>
        <v/>
      </c>
      <c r="D2218">
        <f>IF(B2218=C2218, "YES", "WRONG")</f>
        <v/>
      </c>
    </row>
    <row r="2219">
      <c r="A2219" t="n">
        <v>2218</v>
      </c>
      <c r="B2219" t="inlineStr">
        <is>
          <t>MMCCXVIII</t>
        </is>
      </c>
      <c r="C2219">
        <f>ROMAN(2218)</f>
        <v/>
      </c>
      <c r="D2219">
        <f>IF(B2219=C2219, "YES", "WRONG")</f>
        <v/>
      </c>
    </row>
    <row r="2220">
      <c r="A2220" t="n">
        <v>2219</v>
      </c>
      <c r="B2220" t="inlineStr">
        <is>
          <t>MMCCXIX</t>
        </is>
      </c>
      <c r="C2220">
        <f>ROMAN(2219)</f>
        <v/>
      </c>
      <c r="D2220">
        <f>IF(B2220=C2220, "YES", "WRONG")</f>
        <v/>
      </c>
    </row>
    <row r="2221">
      <c r="A2221" t="n">
        <v>2220</v>
      </c>
      <c r="B2221" t="inlineStr">
        <is>
          <t>MMCCXX</t>
        </is>
      </c>
      <c r="C2221">
        <f>ROMAN(2220)</f>
        <v/>
      </c>
      <c r="D2221">
        <f>IF(B2221=C2221, "YES", "WRONG")</f>
        <v/>
      </c>
    </row>
    <row r="2222">
      <c r="A2222" t="n">
        <v>2221</v>
      </c>
      <c r="B2222" t="inlineStr">
        <is>
          <t>MMCCXXI</t>
        </is>
      </c>
      <c r="C2222">
        <f>ROMAN(2221)</f>
        <v/>
      </c>
      <c r="D2222">
        <f>IF(B2222=C2222, "YES", "WRONG")</f>
        <v/>
      </c>
    </row>
    <row r="2223">
      <c r="A2223" t="n">
        <v>2222</v>
      </c>
      <c r="B2223" t="inlineStr">
        <is>
          <t>MMCCXXII</t>
        </is>
      </c>
      <c r="C2223">
        <f>ROMAN(2222)</f>
        <v/>
      </c>
      <c r="D2223">
        <f>IF(B2223=C2223, "YES", "WRONG")</f>
        <v/>
      </c>
    </row>
    <row r="2224">
      <c r="A2224" t="n">
        <v>2223</v>
      </c>
      <c r="B2224" t="inlineStr">
        <is>
          <t>MMCCXXIII</t>
        </is>
      </c>
      <c r="C2224">
        <f>ROMAN(2223)</f>
        <v/>
      </c>
      <c r="D2224">
        <f>IF(B2224=C2224, "YES", "WRONG")</f>
        <v/>
      </c>
    </row>
    <row r="2225">
      <c r="A2225" t="n">
        <v>2224</v>
      </c>
      <c r="B2225" t="inlineStr">
        <is>
          <t>MMCCXXIV</t>
        </is>
      </c>
      <c r="C2225">
        <f>ROMAN(2224)</f>
        <v/>
      </c>
      <c r="D2225">
        <f>IF(B2225=C2225, "YES", "WRONG")</f>
        <v/>
      </c>
    </row>
    <row r="2226">
      <c r="A2226" t="n">
        <v>2225</v>
      </c>
      <c r="B2226" t="inlineStr">
        <is>
          <t>MMCCXXV</t>
        </is>
      </c>
      <c r="C2226">
        <f>ROMAN(2225)</f>
        <v/>
      </c>
      <c r="D2226">
        <f>IF(B2226=C2226, "YES", "WRONG")</f>
        <v/>
      </c>
    </row>
    <row r="2227">
      <c r="A2227" t="n">
        <v>2226</v>
      </c>
      <c r="B2227" t="inlineStr">
        <is>
          <t>MMCCXXVI</t>
        </is>
      </c>
      <c r="C2227">
        <f>ROMAN(2226)</f>
        <v/>
      </c>
      <c r="D2227">
        <f>IF(B2227=C2227, "YES", "WRONG")</f>
        <v/>
      </c>
    </row>
    <row r="2228">
      <c r="A2228" t="n">
        <v>2227</v>
      </c>
      <c r="B2228" t="inlineStr">
        <is>
          <t>MMCCXXVII</t>
        </is>
      </c>
      <c r="C2228">
        <f>ROMAN(2227)</f>
        <v/>
      </c>
      <c r="D2228">
        <f>IF(B2228=C2228, "YES", "WRONG")</f>
        <v/>
      </c>
    </row>
    <row r="2229">
      <c r="A2229" t="n">
        <v>2228</v>
      </c>
      <c r="B2229" t="inlineStr">
        <is>
          <t>MMCCXXVIII</t>
        </is>
      </c>
      <c r="C2229">
        <f>ROMAN(2228)</f>
        <v/>
      </c>
      <c r="D2229">
        <f>IF(B2229=C2229, "YES", "WRONG")</f>
        <v/>
      </c>
    </row>
    <row r="2230">
      <c r="A2230" t="n">
        <v>2229</v>
      </c>
      <c r="B2230" t="inlineStr">
        <is>
          <t>MMCCXXIX</t>
        </is>
      </c>
      <c r="C2230">
        <f>ROMAN(2229)</f>
        <v/>
      </c>
      <c r="D2230">
        <f>IF(B2230=C2230, "YES", "WRONG")</f>
        <v/>
      </c>
    </row>
    <row r="2231">
      <c r="A2231" t="n">
        <v>2230</v>
      </c>
      <c r="B2231" t="inlineStr">
        <is>
          <t>MMCCXXX</t>
        </is>
      </c>
      <c r="C2231">
        <f>ROMAN(2230)</f>
        <v/>
      </c>
      <c r="D2231">
        <f>IF(B2231=C2231, "YES", "WRONG")</f>
        <v/>
      </c>
    </row>
    <row r="2232">
      <c r="A2232" t="n">
        <v>2231</v>
      </c>
      <c r="B2232" t="inlineStr">
        <is>
          <t>MMCCXXXI</t>
        </is>
      </c>
      <c r="C2232">
        <f>ROMAN(2231)</f>
        <v/>
      </c>
      <c r="D2232">
        <f>IF(B2232=C2232, "YES", "WRONG")</f>
        <v/>
      </c>
    </row>
    <row r="2233">
      <c r="A2233" t="n">
        <v>2232</v>
      </c>
      <c r="B2233" t="inlineStr">
        <is>
          <t>MMCCXXXII</t>
        </is>
      </c>
      <c r="C2233">
        <f>ROMAN(2232)</f>
        <v/>
      </c>
      <c r="D2233">
        <f>IF(B2233=C2233, "YES", "WRONG")</f>
        <v/>
      </c>
    </row>
    <row r="2234">
      <c r="A2234" t="n">
        <v>2233</v>
      </c>
      <c r="B2234" t="inlineStr">
        <is>
          <t>MMCCXXXIII</t>
        </is>
      </c>
      <c r="C2234">
        <f>ROMAN(2233)</f>
        <v/>
      </c>
      <c r="D2234">
        <f>IF(B2234=C2234, "YES", "WRONG")</f>
        <v/>
      </c>
    </row>
    <row r="2235">
      <c r="A2235" t="n">
        <v>2234</v>
      </c>
      <c r="B2235" t="inlineStr">
        <is>
          <t>MMCCXXXIV</t>
        </is>
      </c>
      <c r="C2235">
        <f>ROMAN(2234)</f>
        <v/>
      </c>
      <c r="D2235">
        <f>IF(B2235=C2235, "YES", "WRONG")</f>
        <v/>
      </c>
    </row>
    <row r="2236">
      <c r="A2236" t="n">
        <v>2235</v>
      </c>
      <c r="B2236" t="inlineStr">
        <is>
          <t>MMCCXXXV</t>
        </is>
      </c>
      <c r="C2236">
        <f>ROMAN(2235)</f>
        <v/>
      </c>
      <c r="D2236">
        <f>IF(B2236=C2236, "YES", "WRONG")</f>
        <v/>
      </c>
    </row>
    <row r="2237">
      <c r="A2237" t="n">
        <v>2236</v>
      </c>
      <c r="B2237" t="inlineStr">
        <is>
          <t>MMCCXXXVI</t>
        </is>
      </c>
      <c r="C2237">
        <f>ROMAN(2236)</f>
        <v/>
      </c>
      <c r="D2237">
        <f>IF(B2237=C2237, "YES", "WRONG")</f>
        <v/>
      </c>
    </row>
    <row r="2238">
      <c r="A2238" t="n">
        <v>2237</v>
      </c>
      <c r="B2238" t="inlineStr">
        <is>
          <t>MMCCXXXVII</t>
        </is>
      </c>
      <c r="C2238">
        <f>ROMAN(2237)</f>
        <v/>
      </c>
      <c r="D2238">
        <f>IF(B2238=C2238, "YES", "WRONG")</f>
        <v/>
      </c>
    </row>
    <row r="2239">
      <c r="A2239" t="n">
        <v>2238</v>
      </c>
      <c r="B2239" t="inlineStr">
        <is>
          <t>MMCCXXXVIII</t>
        </is>
      </c>
      <c r="C2239">
        <f>ROMAN(2238)</f>
        <v/>
      </c>
      <c r="D2239">
        <f>IF(B2239=C2239, "YES", "WRONG")</f>
        <v/>
      </c>
    </row>
    <row r="2240">
      <c r="A2240" t="n">
        <v>2239</v>
      </c>
      <c r="B2240" t="inlineStr">
        <is>
          <t>MMCCXXXIX</t>
        </is>
      </c>
      <c r="C2240">
        <f>ROMAN(2239)</f>
        <v/>
      </c>
      <c r="D2240">
        <f>IF(B2240=C2240, "YES", "WRONG")</f>
        <v/>
      </c>
    </row>
    <row r="2241">
      <c r="A2241" t="n">
        <v>2240</v>
      </c>
      <c r="B2241" t="inlineStr">
        <is>
          <t>MMCCXL</t>
        </is>
      </c>
      <c r="C2241">
        <f>ROMAN(2240)</f>
        <v/>
      </c>
      <c r="D2241">
        <f>IF(B2241=C2241, "YES", "WRONG")</f>
        <v/>
      </c>
    </row>
    <row r="2242">
      <c r="A2242" t="n">
        <v>2241</v>
      </c>
      <c r="B2242" t="inlineStr">
        <is>
          <t>MMCCXLI</t>
        </is>
      </c>
      <c r="C2242">
        <f>ROMAN(2241)</f>
        <v/>
      </c>
      <c r="D2242">
        <f>IF(B2242=C2242, "YES", "WRONG")</f>
        <v/>
      </c>
    </row>
    <row r="2243">
      <c r="A2243" t="n">
        <v>2242</v>
      </c>
      <c r="B2243" t="inlineStr">
        <is>
          <t>MMCCXLII</t>
        </is>
      </c>
      <c r="C2243">
        <f>ROMAN(2242)</f>
        <v/>
      </c>
      <c r="D2243">
        <f>IF(B2243=C2243, "YES", "WRONG")</f>
        <v/>
      </c>
    </row>
    <row r="2244">
      <c r="A2244" t="n">
        <v>2243</v>
      </c>
      <c r="B2244" t="inlineStr">
        <is>
          <t>MMCCXLIII</t>
        </is>
      </c>
      <c r="C2244">
        <f>ROMAN(2243)</f>
        <v/>
      </c>
      <c r="D2244">
        <f>IF(B2244=C2244, "YES", "WRONG")</f>
        <v/>
      </c>
    </row>
    <row r="2245">
      <c r="A2245" t="n">
        <v>2244</v>
      </c>
      <c r="B2245" t="inlineStr">
        <is>
          <t>MMCCXLIV</t>
        </is>
      </c>
      <c r="C2245">
        <f>ROMAN(2244)</f>
        <v/>
      </c>
      <c r="D2245">
        <f>IF(B2245=C2245, "YES", "WRONG")</f>
        <v/>
      </c>
    </row>
    <row r="2246">
      <c r="A2246" t="n">
        <v>2245</v>
      </c>
      <c r="B2246" t="inlineStr">
        <is>
          <t>MMCCXLV</t>
        </is>
      </c>
      <c r="C2246">
        <f>ROMAN(2245)</f>
        <v/>
      </c>
      <c r="D2246">
        <f>IF(B2246=C2246, "YES", "WRONG")</f>
        <v/>
      </c>
    </row>
    <row r="2247">
      <c r="A2247" t="n">
        <v>2246</v>
      </c>
      <c r="B2247" t="inlineStr">
        <is>
          <t>MMCCXLVI</t>
        </is>
      </c>
      <c r="C2247">
        <f>ROMAN(2246)</f>
        <v/>
      </c>
      <c r="D2247">
        <f>IF(B2247=C2247, "YES", "WRONG")</f>
        <v/>
      </c>
    </row>
    <row r="2248">
      <c r="A2248" t="n">
        <v>2247</v>
      </c>
      <c r="B2248" t="inlineStr">
        <is>
          <t>MMCCXLVII</t>
        </is>
      </c>
      <c r="C2248">
        <f>ROMAN(2247)</f>
        <v/>
      </c>
      <c r="D2248">
        <f>IF(B2248=C2248, "YES", "WRONG")</f>
        <v/>
      </c>
    </row>
    <row r="2249">
      <c r="A2249" t="n">
        <v>2248</v>
      </c>
      <c r="B2249" t="inlineStr">
        <is>
          <t>MMCCXLVIII</t>
        </is>
      </c>
      <c r="C2249">
        <f>ROMAN(2248)</f>
        <v/>
      </c>
      <c r="D2249">
        <f>IF(B2249=C2249, "YES", "WRONG")</f>
        <v/>
      </c>
    </row>
    <row r="2250">
      <c r="A2250" t="n">
        <v>2249</v>
      </c>
      <c r="B2250" t="inlineStr">
        <is>
          <t>MMCCXLIX</t>
        </is>
      </c>
      <c r="C2250">
        <f>ROMAN(2249)</f>
        <v/>
      </c>
      <c r="D2250">
        <f>IF(B2250=C2250, "YES", "WRONG")</f>
        <v/>
      </c>
    </row>
    <row r="2251">
      <c r="A2251" t="n">
        <v>2250</v>
      </c>
      <c r="B2251" t="inlineStr">
        <is>
          <t>MMCCL</t>
        </is>
      </c>
      <c r="C2251">
        <f>ROMAN(2250)</f>
        <v/>
      </c>
      <c r="D2251">
        <f>IF(B2251=C2251, "YES", "WRONG")</f>
        <v/>
      </c>
    </row>
    <row r="2252">
      <c r="A2252" t="n">
        <v>2251</v>
      </c>
      <c r="B2252" t="inlineStr">
        <is>
          <t>MMCCLI</t>
        </is>
      </c>
      <c r="C2252">
        <f>ROMAN(2251)</f>
        <v/>
      </c>
      <c r="D2252">
        <f>IF(B2252=C2252, "YES", "WRONG")</f>
        <v/>
      </c>
    </row>
    <row r="2253">
      <c r="A2253" t="n">
        <v>2252</v>
      </c>
      <c r="B2253" t="inlineStr">
        <is>
          <t>MMCCLII</t>
        </is>
      </c>
      <c r="C2253">
        <f>ROMAN(2252)</f>
        <v/>
      </c>
      <c r="D2253">
        <f>IF(B2253=C2253, "YES", "WRONG")</f>
        <v/>
      </c>
    </row>
    <row r="2254">
      <c r="A2254" t="n">
        <v>2253</v>
      </c>
      <c r="B2254" t="inlineStr">
        <is>
          <t>MMCCLIII</t>
        </is>
      </c>
      <c r="C2254">
        <f>ROMAN(2253)</f>
        <v/>
      </c>
      <c r="D2254">
        <f>IF(B2254=C2254, "YES", "WRONG")</f>
        <v/>
      </c>
    </row>
    <row r="2255">
      <c r="A2255" t="n">
        <v>2254</v>
      </c>
      <c r="B2255" t="inlineStr">
        <is>
          <t>MMCCLIV</t>
        </is>
      </c>
      <c r="C2255">
        <f>ROMAN(2254)</f>
        <v/>
      </c>
      <c r="D2255">
        <f>IF(B2255=C2255, "YES", "WRONG")</f>
        <v/>
      </c>
    </row>
    <row r="2256">
      <c r="A2256" t="n">
        <v>2255</v>
      </c>
      <c r="B2256" t="inlineStr">
        <is>
          <t>MMCCLV</t>
        </is>
      </c>
      <c r="C2256">
        <f>ROMAN(2255)</f>
        <v/>
      </c>
      <c r="D2256">
        <f>IF(B2256=C2256, "YES", "WRONG")</f>
        <v/>
      </c>
    </row>
    <row r="2257">
      <c r="A2257" t="n">
        <v>2256</v>
      </c>
      <c r="B2257" t="inlineStr">
        <is>
          <t>MMCCLVI</t>
        </is>
      </c>
      <c r="C2257">
        <f>ROMAN(2256)</f>
        <v/>
      </c>
      <c r="D2257">
        <f>IF(B2257=C2257, "YES", "WRONG")</f>
        <v/>
      </c>
    </row>
    <row r="2258">
      <c r="A2258" t="n">
        <v>2257</v>
      </c>
      <c r="B2258" t="inlineStr">
        <is>
          <t>MMCCLVII</t>
        </is>
      </c>
      <c r="C2258">
        <f>ROMAN(2257)</f>
        <v/>
      </c>
      <c r="D2258">
        <f>IF(B2258=C2258, "YES", "WRONG")</f>
        <v/>
      </c>
    </row>
    <row r="2259">
      <c r="A2259" t="n">
        <v>2258</v>
      </c>
      <c r="B2259" t="inlineStr">
        <is>
          <t>MMCCLVIII</t>
        </is>
      </c>
      <c r="C2259">
        <f>ROMAN(2258)</f>
        <v/>
      </c>
      <c r="D2259">
        <f>IF(B2259=C2259, "YES", "WRONG")</f>
        <v/>
      </c>
    </row>
    <row r="2260">
      <c r="A2260" t="n">
        <v>2259</v>
      </c>
      <c r="B2260" t="inlineStr">
        <is>
          <t>MMCCLIX</t>
        </is>
      </c>
      <c r="C2260">
        <f>ROMAN(2259)</f>
        <v/>
      </c>
      <c r="D2260">
        <f>IF(B2260=C2260, "YES", "WRONG")</f>
        <v/>
      </c>
    </row>
    <row r="2261">
      <c r="A2261" t="n">
        <v>2260</v>
      </c>
      <c r="B2261" t="inlineStr">
        <is>
          <t>MMCCLX</t>
        </is>
      </c>
      <c r="C2261">
        <f>ROMAN(2260)</f>
        <v/>
      </c>
      <c r="D2261">
        <f>IF(B2261=C2261, "YES", "WRONG")</f>
        <v/>
      </c>
    </row>
    <row r="2262">
      <c r="A2262" t="n">
        <v>2261</v>
      </c>
      <c r="B2262" t="inlineStr">
        <is>
          <t>MMCCLXI</t>
        </is>
      </c>
      <c r="C2262">
        <f>ROMAN(2261)</f>
        <v/>
      </c>
      <c r="D2262">
        <f>IF(B2262=C2262, "YES", "WRONG")</f>
        <v/>
      </c>
    </row>
    <row r="2263">
      <c r="A2263" t="n">
        <v>2262</v>
      </c>
      <c r="B2263" t="inlineStr">
        <is>
          <t>MMCCLXII</t>
        </is>
      </c>
      <c r="C2263">
        <f>ROMAN(2262)</f>
        <v/>
      </c>
      <c r="D2263">
        <f>IF(B2263=C2263, "YES", "WRONG")</f>
        <v/>
      </c>
    </row>
    <row r="2264">
      <c r="A2264" t="n">
        <v>2263</v>
      </c>
      <c r="B2264" t="inlineStr">
        <is>
          <t>MMCCLXIII</t>
        </is>
      </c>
      <c r="C2264">
        <f>ROMAN(2263)</f>
        <v/>
      </c>
      <c r="D2264">
        <f>IF(B2264=C2264, "YES", "WRONG")</f>
        <v/>
      </c>
    </row>
    <row r="2265">
      <c r="A2265" t="n">
        <v>2264</v>
      </c>
      <c r="B2265" t="inlineStr">
        <is>
          <t>MMCCLXIV</t>
        </is>
      </c>
      <c r="C2265">
        <f>ROMAN(2264)</f>
        <v/>
      </c>
      <c r="D2265">
        <f>IF(B2265=C2265, "YES", "WRONG")</f>
        <v/>
      </c>
    </row>
    <row r="2266">
      <c r="A2266" t="n">
        <v>2265</v>
      </c>
      <c r="B2266" t="inlineStr">
        <is>
          <t>MMCCLXV</t>
        </is>
      </c>
      <c r="C2266">
        <f>ROMAN(2265)</f>
        <v/>
      </c>
      <c r="D2266">
        <f>IF(B2266=C2266, "YES", "WRONG")</f>
        <v/>
      </c>
    </row>
    <row r="2267">
      <c r="A2267" t="n">
        <v>2266</v>
      </c>
      <c r="B2267" t="inlineStr">
        <is>
          <t>MMCCLXVI</t>
        </is>
      </c>
      <c r="C2267">
        <f>ROMAN(2266)</f>
        <v/>
      </c>
      <c r="D2267">
        <f>IF(B2267=C2267, "YES", "WRONG")</f>
        <v/>
      </c>
    </row>
    <row r="2268">
      <c r="A2268" t="n">
        <v>2267</v>
      </c>
      <c r="B2268" t="inlineStr">
        <is>
          <t>MMCCLXVII</t>
        </is>
      </c>
      <c r="C2268">
        <f>ROMAN(2267)</f>
        <v/>
      </c>
      <c r="D2268">
        <f>IF(B2268=C2268, "YES", "WRONG")</f>
        <v/>
      </c>
    </row>
    <row r="2269">
      <c r="A2269" t="n">
        <v>2268</v>
      </c>
      <c r="B2269" t="inlineStr">
        <is>
          <t>MMCCLXVIII</t>
        </is>
      </c>
      <c r="C2269">
        <f>ROMAN(2268)</f>
        <v/>
      </c>
      <c r="D2269">
        <f>IF(B2269=C2269, "YES", "WRONG")</f>
        <v/>
      </c>
    </row>
    <row r="2270">
      <c r="A2270" t="n">
        <v>2269</v>
      </c>
      <c r="B2270" t="inlineStr">
        <is>
          <t>MMCCLXIX</t>
        </is>
      </c>
      <c r="C2270">
        <f>ROMAN(2269)</f>
        <v/>
      </c>
      <c r="D2270">
        <f>IF(B2270=C2270, "YES", "WRONG")</f>
        <v/>
      </c>
    </row>
    <row r="2271">
      <c r="A2271" t="n">
        <v>2270</v>
      </c>
      <c r="B2271" t="inlineStr">
        <is>
          <t>MMCCLXX</t>
        </is>
      </c>
      <c r="C2271">
        <f>ROMAN(2270)</f>
        <v/>
      </c>
      <c r="D2271">
        <f>IF(B2271=C2271, "YES", "WRONG")</f>
        <v/>
      </c>
    </row>
    <row r="2272">
      <c r="A2272" t="n">
        <v>2271</v>
      </c>
      <c r="B2272" t="inlineStr">
        <is>
          <t>MMCCLXXI</t>
        </is>
      </c>
      <c r="C2272">
        <f>ROMAN(2271)</f>
        <v/>
      </c>
      <c r="D2272">
        <f>IF(B2272=C2272, "YES", "WRONG")</f>
        <v/>
      </c>
    </row>
    <row r="2273">
      <c r="A2273" t="n">
        <v>2272</v>
      </c>
      <c r="B2273" t="inlineStr">
        <is>
          <t>MMCCLXXII</t>
        </is>
      </c>
      <c r="C2273">
        <f>ROMAN(2272)</f>
        <v/>
      </c>
      <c r="D2273">
        <f>IF(B2273=C2273, "YES", "WRONG")</f>
        <v/>
      </c>
    </row>
    <row r="2274">
      <c r="A2274" t="n">
        <v>2273</v>
      </c>
      <c r="B2274" t="inlineStr">
        <is>
          <t>MMCCLXXIII</t>
        </is>
      </c>
      <c r="C2274">
        <f>ROMAN(2273)</f>
        <v/>
      </c>
      <c r="D2274">
        <f>IF(B2274=C2274, "YES", "WRONG")</f>
        <v/>
      </c>
    </row>
    <row r="2275">
      <c r="A2275" t="n">
        <v>2274</v>
      </c>
      <c r="B2275" t="inlineStr">
        <is>
          <t>MMCCLXXIV</t>
        </is>
      </c>
      <c r="C2275">
        <f>ROMAN(2274)</f>
        <v/>
      </c>
      <c r="D2275">
        <f>IF(B2275=C2275, "YES", "WRONG")</f>
        <v/>
      </c>
    </row>
    <row r="2276">
      <c r="A2276" t="n">
        <v>2275</v>
      </c>
      <c r="B2276" t="inlineStr">
        <is>
          <t>MMCCLXXV</t>
        </is>
      </c>
      <c r="C2276">
        <f>ROMAN(2275)</f>
        <v/>
      </c>
      <c r="D2276">
        <f>IF(B2276=C2276, "YES", "WRONG")</f>
        <v/>
      </c>
    </row>
    <row r="2277">
      <c r="A2277" t="n">
        <v>2276</v>
      </c>
      <c r="B2277" t="inlineStr">
        <is>
          <t>MMCCLXXVI</t>
        </is>
      </c>
      <c r="C2277">
        <f>ROMAN(2276)</f>
        <v/>
      </c>
      <c r="D2277">
        <f>IF(B2277=C2277, "YES", "WRONG")</f>
        <v/>
      </c>
    </row>
    <row r="2278">
      <c r="A2278" t="n">
        <v>2277</v>
      </c>
      <c r="B2278" t="inlineStr">
        <is>
          <t>MMCCLXXVII</t>
        </is>
      </c>
      <c r="C2278">
        <f>ROMAN(2277)</f>
        <v/>
      </c>
      <c r="D2278">
        <f>IF(B2278=C2278, "YES", "WRONG")</f>
        <v/>
      </c>
    </row>
    <row r="2279">
      <c r="A2279" t="n">
        <v>2278</v>
      </c>
      <c r="B2279" t="inlineStr">
        <is>
          <t>MMCCLXXVIII</t>
        </is>
      </c>
      <c r="C2279">
        <f>ROMAN(2278)</f>
        <v/>
      </c>
      <c r="D2279">
        <f>IF(B2279=C2279, "YES", "WRONG")</f>
        <v/>
      </c>
    </row>
    <row r="2280">
      <c r="A2280" t="n">
        <v>2279</v>
      </c>
      <c r="B2280" t="inlineStr">
        <is>
          <t>MMCCLXXIX</t>
        </is>
      </c>
      <c r="C2280">
        <f>ROMAN(2279)</f>
        <v/>
      </c>
      <c r="D2280">
        <f>IF(B2280=C2280, "YES", "WRONG")</f>
        <v/>
      </c>
    </row>
    <row r="2281">
      <c r="A2281" t="n">
        <v>2280</v>
      </c>
      <c r="B2281" t="inlineStr">
        <is>
          <t>MMCCLXXX</t>
        </is>
      </c>
      <c r="C2281">
        <f>ROMAN(2280)</f>
        <v/>
      </c>
      <c r="D2281">
        <f>IF(B2281=C2281, "YES", "WRONG")</f>
        <v/>
      </c>
    </row>
    <row r="2282">
      <c r="A2282" t="n">
        <v>2281</v>
      </c>
      <c r="B2282" t="inlineStr">
        <is>
          <t>MMCCLXXXI</t>
        </is>
      </c>
      <c r="C2282">
        <f>ROMAN(2281)</f>
        <v/>
      </c>
      <c r="D2282">
        <f>IF(B2282=C2282, "YES", "WRONG")</f>
        <v/>
      </c>
    </row>
    <row r="2283">
      <c r="A2283" t="n">
        <v>2282</v>
      </c>
      <c r="B2283" t="inlineStr">
        <is>
          <t>MMCCLXXXII</t>
        </is>
      </c>
      <c r="C2283">
        <f>ROMAN(2282)</f>
        <v/>
      </c>
      <c r="D2283">
        <f>IF(B2283=C2283, "YES", "WRONG")</f>
        <v/>
      </c>
    </row>
    <row r="2284">
      <c r="A2284" t="n">
        <v>2283</v>
      </c>
      <c r="B2284" t="inlineStr">
        <is>
          <t>MMCCLXXXIII</t>
        </is>
      </c>
      <c r="C2284">
        <f>ROMAN(2283)</f>
        <v/>
      </c>
      <c r="D2284">
        <f>IF(B2284=C2284, "YES", "WRONG")</f>
        <v/>
      </c>
    </row>
    <row r="2285">
      <c r="A2285" t="n">
        <v>2284</v>
      </c>
      <c r="B2285" t="inlineStr">
        <is>
          <t>MMCCLXXXIV</t>
        </is>
      </c>
      <c r="C2285">
        <f>ROMAN(2284)</f>
        <v/>
      </c>
      <c r="D2285">
        <f>IF(B2285=C2285, "YES", "WRONG")</f>
        <v/>
      </c>
    </row>
    <row r="2286">
      <c r="A2286" t="n">
        <v>2285</v>
      </c>
      <c r="B2286" t="inlineStr">
        <is>
          <t>MMCCLXXXV</t>
        </is>
      </c>
      <c r="C2286">
        <f>ROMAN(2285)</f>
        <v/>
      </c>
      <c r="D2286">
        <f>IF(B2286=C2286, "YES", "WRONG")</f>
        <v/>
      </c>
    </row>
    <row r="2287">
      <c r="A2287" t="n">
        <v>2286</v>
      </c>
      <c r="B2287" t="inlineStr">
        <is>
          <t>MMCCLXXXVI</t>
        </is>
      </c>
      <c r="C2287">
        <f>ROMAN(2286)</f>
        <v/>
      </c>
      <c r="D2287">
        <f>IF(B2287=C2287, "YES", "WRONG")</f>
        <v/>
      </c>
    </row>
    <row r="2288">
      <c r="A2288" t="n">
        <v>2287</v>
      </c>
      <c r="B2288" t="inlineStr">
        <is>
          <t>MMCCLXXXVII</t>
        </is>
      </c>
      <c r="C2288">
        <f>ROMAN(2287)</f>
        <v/>
      </c>
      <c r="D2288">
        <f>IF(B2288=C2288, "YES", "WRONG")</f>
        <v/>
      </c>
    </row>
    <row r="2289">
      <c r="A2289" t="n">
        <v>2288</v>
      </c>
      <c r="B2289" t="inlineStr">
        <is>
          <t>MMCCLXXXVIII</t>
        </is>
      </c>
      <c r="C2289">
        <f>ROMAN(2288)</f>
        <v/>
      </c>
      <c r="D2289">
        <f>IF(B2289=C2289, "YES", "WRONG")</f>
        <v/>
      </c>
    </row>
    <row r="2290">
      <c r="A2290" t="n">
        <v>2289</v>
      </c>
      <c r="B2290" t="inlineStr">
        <is>
          <t>MMCCLXXXIX</t>
        </is>
      </c>
      <c r="C2290">
        <f>ROMAN(2289)</f>
        <v/>
      </c>
      <c r="D2290">
        <f>IF(B2290=C2290, "YES", "WRONG")</f>
        <v/>
      </c>
    </row>
    <row r="2291">
      <c r="A2291" t="n">
        <v>2290</v>
      </c>
      <c r="B2291" t="inlineStr">
        <is>
          <t>MMCCXC</t>
        </is>
      </c>
      <c r="C2291">
        <f>ROMAN(2290)</f>
        <v/>
      </c>
      <c r="D2291">
        <f>IF(B2291=C2291, "YES", "WRONG")</f>
        <v/>
      </c>
    </row>
    <row r="2292">
      <c r="A2292" t="n">
        <v>2291</v>
      </c>
      <c r="B2292" t="inlineStr">
        <is>
          <t>MMCCXCI</t>
        </is>
      </c>
      <c r="C2292">
        <f>ROMAN(2291)</f>
        <v/>
      </c>
      <c r="D2292">
        <f>IF(B2292=C2292, "YES", "WRONG")</f>
        <v/>
      </c>
    </row>
    <row r="2293">
      <c r="A2293" t="n">
        <v>2292</v>
      </c>
      <c r="B2293" t="inlineStr">
        <is>
          <t>MMCCXCII</t>
        </is>
      </c>
      <c r="C2293">
        <f>ROMAN(2292)</f>
        <v/>
      </c>
      <c r="D2293">
        <f>IF(B2293=C2293, "YES", "WRONG")</f>
        <v/>
      </c>
    </row>
    <row r="2294">
      <c r="A2294" t="n">
        <v>2293</v>
      </c>
      <c r="B2294" t="inlineStr">
        <is>
          <t>MMCCXCIII</t>
        </is>
      </c>
      <c r="C2294">
        <f>ROMAN(2293)</f>
        <v/>
      </c>
      <c r="D2294">
        <f>IF(B2294=C2294, "YES", "WRONG")</f>
        <v/>
      </c>
    </row>
    <row r="2295">
      <c r="A2295" t="n">
        <v>2294</v>
      </c>
      <c r="B2295" t="inlineStr">
        <is>
          <t>MMCCXCIV</t>
        </is>
      </c>
      <c r="C2295">
        <f>ROMAN(2294)</f>
        <v/>
      </c>
      <c r="D2295">
        <f>IF(B2295=C2295, "YES", "WRONG")</f>
        <v/>
      </c>
    </row>
    <row r="2296">
      <c r="A2296" t="n">
        <v>2295</v>
      </c>
      <c r="B2296" t="inlineStr">
        <is>
          <t>MMCCXCV</t>
        </is>
      </c>
      <c r="C2296">
        <f>ROMAN(2295)</f>
        <v/>
      </c>
      <c r="D2296">
        <f>IF(B2296=C2296, "YES", "WRONG")</f>
        <v/>
      </c>
    </row>
    <row r="2297">
      <c r="A2297" t="n">
        <v>2296</v>
      </c>
      <c r="B2297" t="inlineStr">
        <is>
          <t>MMCCXCVI</t>
        </is>
      </c>
      <c r="C2297">
        <f>ROMAN(2296)</f>
        <v/>
      </c>
      <c r="D2297">
        <f>IF(B2297=C2297, "YES", "WRONG")</f>
        <v/>
      </c>
    </row>
    <row r="2298">
      <c r="A2298" t="n">
        <v>2297</v>
      </c>
      <c r="B2298" t="inlineStr">
        <is>
          <t>MMCCXCVII</t>
        </is>
      </c>
      <c r="C2298">
        <f>ROMAN(2297)</f>
        <v/>
      </c>
      <c r="D2298">
        <f>IF(B2298=C2298, "YES", "WRONG")</f>
        <v/>
      </c>
    </row>
    <row r="2299">
      <c r="A2299" t="n">
        <v>2298</v>
      </c>
      <c r="B2299" t="inlineStr">
        <is>
          <t>MMCCXCVIII</t>
        </is>
      </c>
      <c r="C2299">
        <f>ROMAN(2298)</f>
        <v/>
      </c>
      <c r="D2299">
        <f>IF(B2299=C2299, "YES", "WRONG")</f>
        <v/>
      </c>
    </row>
    <row r="2300">
      <c r="A2300" t="n">
        <v>2299</v>
      </c>
      <c r="B2300" t="inlineStr">
        <is>
          <t>MMCCXCIX</t>
        </is>
      </c>
      <c r="C2300">
        <f>ROMAN(2299)</f>
        <v/>
      </c>
      <c r="D2300">
        <f>IF(B2300=C2300, "YES", "WRONG")</f>
        <v/>
      </c>
    </row>
    <row r="2301">
      <c r="A2301" t="n">
        <v>2300</v>
      </c>
      <c r="B2301" t="inlineStr">
        <is>
          <t>MMCCC</t>
        </is>
      </c>
      <c r="C2301">
        <f>ROMAN(2300)</f>
        <v/>
      </c>
      <c r="D2301">
        <f>IF(B2301=C2301, "YES", "WRONG")</f>
        <v/>
      </c>
    </row>
    <row r="2302">
      <c r="A2302" t="n">
        <v>2301</v>
      </c>
      <c r="B2302" t="inlineStr">
        <is>
          <t>MMCCCI</t>
        </is>
      </c>
      <c r="C2302">
        <f>ROMAN(2301)</f>
        <v/>
      </c>
      <c r="D2302">
        <f>IF(B2302=C2302, "YES", "WRONG")</f>
        <v/>
      </c>
    </row>
    <row r="2303">
      <c r="A2303" t="n">
        <v>2302</v>
      </c>
      <c r="B2303" t="inlineStr">
        <is>
          <t>MMCCCII</t>
        </is>
      </c>
      <c r="C2303">
        <f>ROMAN(2302)</f>
        <v/>
      </c>
      <c r="D2303">
        <f>IF(B2303=C2303, "YES", "WRONG")</f>
        <v/>
      </c>
    </row>
    <row r="2304">
      <c r="A2304" t="n">
        <v>2303</v>
      </c>
      <c r="B2304" t="inlineStr">
        <is>
          <t>MMCCCIII</t>
        </is>
      </c>
      <c r="C2304">
        <f>ROMAN(2303)</f>
        <v/>
      </c>
      <c r="D2304">
        <f>IF(B2304=C2304, "YES", "WRONG")</f>
        <v/>
      </c>
    </row>
    <row r="2305">
      <c r="A2305" t="n">
        <v>2304</v>
      </c>
      <c r="B2305" t="inlineStr">
        <is>
          <t>MMCCCIV</t>
        </is>
      </c>
      <c r="C2305">
        <f>ROMAN(2304)</f>
        <v/>
      </c>
      <c r="D2305">
        <f>IF(B2305=C2305, "YES", "WRONG")</f>
        <v/>
      </c>
    </row>
    <row r="2306">
      <c r="A2306" t="n">
        <v>2305</v>
      </c>
      <c r="B2306" t="inlineStr">
        <is>
          <t>MMCCCV</t>
        </is>
      </c>
      <c r="C2306">
        <f>ROMAN(2305)</f>
        <v/>
      </c>
      <c r="D2306">
        <f>IF(B2306=C2306, "YES", "WRONG")</f>
        <v/>
      </c>
    </row>
    <row r="2307">
      <c r="A2307" t="n">
        <v>2306</v>
      </c>
      <c r="B2307" t="inlineStr">
        <is>
          <t>MMCCCVI</t>
        </is>
      </c>
      <c r="C2307">
        <f>ROMAN(2306)</f>
        <v/>
      </c>
      <c r="D2307">
        <f>IF(B2307=C2307, "YES", "WRONG")</f>
        <v/>
      </c>
    </row>
    <row r="2308">
      <c r="A2308" t="n">
        <v>2307</v>
      </c>
      <c r="B2308" t="inlineStr">
        <is>
          <t>MMCCCVII</t>
        </is>
      </c>
      <c r="C2308">
        <f>ROMAN(2307)</f>
        <v/>
      </c>
      <c r="D2308">
        <f>IF(B2308=C2308, "YES", "WRONG")</f>
        <v/>
      </c>
    </row>
    <row r="2309">
      <c r="A2309" t="n">
        <v>2308</v>
      </c>
      <c r="B2309" t="inlineStr">
        <is>
          <t>MMCCCVIII</t>
        </is>
      </c>
      <c r="C2309">
        <f>ROMAN(2308)</f>
        <v/>
      </c>
      <c r="D2309">
        <f>IF(B2309=C2309, "YES", "WRONG")</f>
        <v/>
      </c>
    </row>
    <row r="2310">
      <c r="A2310" t="n">
        <v>2309</v>
      </c>
      <c r="B2310" t="inlineStr">
        <is>
          <t>MMCCCIX</t>
        </is>
      </c>
      <c r="C2310">
        <f>ROMAN(2309)</f>
        <v/>
      </c>
      <c r="D2310">
        <f>IF(B2310=C2310, "YES", "WRONG")</f>
        <v/>
      </c>
    </row>
    <row r="2311">
      <c r="A2311" t="n">
        <v>2310</v>
      </c>
      <c r="B2311" t="inlineStr">
        <is>
          <t>MMCCCX</t>
        </is>
      </c>
      <c r="C2311">
        <f>ROMAN(2310)</f>
        <v/>
      </c>
      <c r="D2311">
        <f>IF(B2311=C2311, "YES", "WRONG")</f>
        <v/>
      </c>
    </row>
    <row r="2312">
      <c r="A2312" t="n">
        <v>2311</v>
      </c>
      <c r="B2312" t="inlineStr">
        <is>
          <t>MMCCCXI</t>
        </is>
      </c>
      <c r="C2312">
        <f>ROMAN(2311)</f>
        <v/>
      </c>
      <c r="D2312">
        <f>IF(B2312=C2312, "YES", "WRONG")</f>
        <v/>
      </c>
    </row>
    <row r="2313">
      <c r="A2313" t="n">
        <v>2312</v>
      </c>
      <c r="B2313" t="inlineStr">
        <is>
          <t>MMCCCXII</t>
        </is>
      </c>
      <c r="C2313">
        <f>ROMAN(2312)</f>
        <v/>
      </c>
      <c r="D2313">
        <f>IF(B2313=C2313, "YES", "WRONG")</f>
        <v/>
      </c>
    </row>
    <row r="2314">
      <c r="A2314" t="n">
        <v>2313</v>
      </c>
      <c r="B2314" t="inlineStr">
        <is>
          <t>MMCCCXIII</t>
        </is>
      </c>
      <c r="C2314">
        <f>ROMAN(2313)</f>
        <v/>
      </c>
      <c r="D2314">
        <f>IF(B2314=C2314, "YES", "WRONG")</f>
        <v/>
      </c>
    </row>
    <row r="2315">
      <c r="A2315" t="n">
        <v>2314</v>
      </c>
      <c r="B2315" t="inlineStr">
        <is>
          <t>MMCCCXIV</t>
        </is>
      </c>
      <c r="C2315">
        <f>ROMAN(2314)</f>
        <v/>
      </c>
      <c r="D2315">
        <f>IF(B2315=C2315, "YES", "WRONG")</f>
        <v/>
      </c>
    </row>
    <row r="2316">
      <c r="A2316" t="n">
        <v>2315</v>
      </c>
      <c r="B2316" t="inlineStr">
        <is>
          <t>MMCCCXV</t>
        </is>
      </c>
      <c r="C2316">
        <f>ROMAN(2315)</f>
        <v/>
      </c>
      <c r="D2316">
        <f>IF(B2316=C2316, "YES", "WRONG")</f>
        <v/>
      </c>
    </row>
    <row r="2317">
      <c r="A2317" t="n">
        <v>2316</v>
      </c>
      <c r="B2317" t="inlineStr">
        <is>
          <t>MMCCCXVI</t>
        </is>
      </c>
      <c r="C2317">
        <f>ROMAN(2316)</f>
        <v/>
      </c>
      <c r="D2317">
        <f>IF(B2317=C2317, "YES", "WRONG")</f>
        <v/>
      </c>
    </row>
    <row r="2318">
      <c r="A2318" t="n">
        <v>2317</v>
      </c>
      <c r="B2318" t="inlineStr">
        <is>
          <t>MMCCCXVII</t>
        </is>
      </c>
      <c r="C2318">
        <f>ROMAN(2317)</f>
        <v/>
      </c>
      <c r="D2318">
        <f>IF(B2318=C2318, "YES", "WRONG")</f>
        <v/>
      </c>
    </row>
    <row r="2319">
      <c r="A2319" t="n">
        <v>2318</v>
      </c>
      <c r="B2319" t="inlineStr">
        <is>
          <t>MMCCCXVIII</t>
        </is>
      </c>
      <c r="C2319">
        <f>ROMAN(2318)</f>
        <v/>
      </c>
      <c r="D2319">
        <f>IF(B2319=C2319, "YES", "WRONG")</f>
        <v/>
      </c>
    </row>
    <row r="2320">
      <c r="A2320" t="n">
        <v>2319</v>
      </c>
      <c r="B2320" t="inlineStr">
        <is>
          <t>MMCCCXIX</t>
        </is>
      </c>
      <c r="C2320">
        <f>ROMAN(2319)</f>
        <v/>
      </c>
      <c r="D2320">
        <f>IF(B2320=C2320, "YES", "WRONG")</f>
        <v/>
      </c>
    </row>
    <row r="2321">
      <c r="A2321" t="n">
        <v>2320</v>
      </c>
      <c r="B2321" t="inlineStr">
        <is>
          <t>MMCCCXX</t>
        </is>
      </c>
      <c r="C2321">
        <f>ROMAN(2320)</f>
        <v/>
      </c>
      <c r="D2321">
        <f>IF(B2321=C2321, "YES", "WRONG")</f>
        <v/>
      </c>
    </row>
    <row r="2322">
      <c r="A2322" t="n">
        <v>2321</v>
      </c>
      <c r="B2322" t="inlineStr">
        <is>
          <t>MMCCCXXI</t>
        </is>
      </c>
      <c r="C2322">
        <f>ROMAN(2321)</f>
        <v/>
      </c>
      <c r="D2322">
        <f>IF(B2322=C2322, "YES", "WRONG")</f>
        <v/>
      </c>
    </row>
    <row r="2323">
      <c r="A2323" t="n">
        <v>2322</v>
      </c>
      <c r="B2323" t="inlineStr">
        <is>
          <t>MMCCCXXII</t>
        </is>
      </c>
      <c r="C2323">
        <f>ROMAN(2322)</f>
        <v/>
      </c>
      <c r="D2323">
        <f>IF(B2323=C2323, "YES", "WRONG")</f>
        <v/>
      </c>
    </row>
    <row r="2324">
      <c r="A2324" t="n">
        <v>2323</v>
      </c>
      <c r="B2324" t="inlineStr">
        <is>
          <t>MMCCCXXIII</t>
        </is>
      </c>
      <c r="C2324">
        <f>ROMAN(2323)</f>
        <v/>
      </c>
      <c r="D2324">
        <f>IF(B2324=C2324, "YES", "WRONG")</f>
        <v/>
      </c>
    </row>
    <row r="2325">
      <c r="A2325" t="n">
        <v>2324</v>
      </c>
      <c r="B2325" t="inlineStr">
        <is>
          <t>MMCCCXXIV</t>
        </is>
      </c>
      <c r="C2325">
        <f>ROMAN(2324)</f>
        <v/>
      </c>
      <c r="D2325">
        <f>IF(B2325=C2325, "YES", "WRONG")</f>
        <v/>
      </c>
    </row>
    <row r="2326">
      <c r="A2326" t="n">
        <v>2325</v>
      </c>
      <c r="B2326" t="inlineStr">
        <is>
          <t>MMCCCXXV</t>
        </is>
      </c>
      <c r="C2326">
        <f>ROMAN(2325)</f>
        <v/>
      </c>
      <c r="D2326">
        <f>IF(B2326=C2326, "YES", "WRONG")</f>
        <v/>
      </c>
    </row>
    <row r="2327">
      <c r="A2327" t="n">
        <v>2326</v>
      </c>
      <c r="B2327" t="inlineStr">
        <is>
          <t>MMCCCXXVI</t>
        </is>
      </c>
      <c r="C2327">
        <f>ROMAN(2326)</f>
        <v/>
      </c>
      <c r="D2327">
        <f>IF(B2327=C2327, "YES", "WRONG")</f>
        <v/>
      </c>
    </row>
    <row r="2328">
      <c r="A2328" t="n">
        <v>2327</v>
      </c>
      <c r="B2328" t="inlineStr">
        <is>
          <t>MMCCCXXVII</t>
        </is>
      </c>
      <c r="C2328">
        <f>ROMAN(2327)</f>
        <v/>
      </c>
      <c r="D2328">
        <f>IF(B2328=C2328, "YES", "WRONG")</f>
        <v/>
      </c>
    </row>
    <row r="2329">
      <c r="A2329" t="n">
        <v>2328</v>
      </c>
      <c r="B2329" t="inlineStr">
        <is>
          <t>MMCCCXXVIII</t>
        </is>
      </c>
      <c r="C2329">
        <f>ROMAN(2328)</f>
        <v/>
      </c>
      <c r="D2329">
        <f>IF(B2329=C2329, "YES", "WRONG")</f>
        <v/>
      </c>
    </row>
    <row r="2330">
      <c r="A2330" t="n">
        <v>2329</v>
      </c>
      <c r="B2330" t="inlineStr">
        <is>
          <t>MMCCCXXIX</t>
        </is>
      </c>
      <c r="C2330">
        <f>ROMAN(2329)</f>
        <v/>
      </c>
      <c r="D2330">
        <f>IF(B2330=C2330, "YES", "WRONG")</f>
        <v/>
      </c>
    </row>
    <row r="2331">
      <c r="A2331" t="n">
        <v>2330</v>
      </c>
      <c r="B2331" t="inlineStr">
        <is>
          <t>MMCCCXXX</t>
        </is>
      </c>
      <c r="C2331">
        <f>ROMAN(2330)</f>
        <v/>
      </c>
      <c r="D2331">
        <f>IF(B2331=C2331, "YES", "WRONG")</f>
        <v/>
      </c>
    </row>
    <row r="2332">
      <c r="A2332" t="n">
        <v>2331</v>
      </c>
      <c r="B2332" t="inlineStr">
        <is>
          <t>MMCCCXXXI</t>
        </is>
      </c>
      <c r="C2332">
        <f>ROMAN(2331)</f>
        <v/>
      </c>
      <c r="D2332">
        <f>IF(B2332=C2332, "YES", "WRONG")</f>
        <v/>
      </c>
    </row>
    <row r="2333">
      <c r="A2333" t="n">
        <v>2332</v>
      </c>
      <c r="B2333" t="inlineStr">
        <is>
          <t>MMCCCXXXII</t>
        </is>
      </c>
      <c r="C2333">
        <f>ROMAN(2332)</f>
        <v/>
      </c>
      <c r="D2333">
        <f>IF(B2333=C2333, "YES", "WRONG")</f>
        <v/>
      </c>
    </row>
    <row r="2334">
      <c r="A2334" t="n">
        <v>2333</v>
      </c>
      <c r="B2334" t="inlineStr">
        <is>
          <t>MMCCCXXXIII</t>
        </is>
      </c>
      <c r="C2334">
        <f>ROMAN(2333)</f>
        <v/>
      </c>
      <c r="D2334">
        <f>IF(B2334=C2334, "YES", "WRONG")</f>
        <v/>
      </c>
    </row>
    <row r="2335">
      <c r="A2335" t="n">
        <v>2334</v>
      </c>
      <c r="B2335" t="inlineStr">
        <is>
          <t>MMCCCXXXIV</t>
        </is>
      </c>
      <c r="C2335">
        <f>ROMAN(2334)</f>
        <v/>
      </c>
      <c r="D2335">
        <f>IF(B2335=C2335, "YES", "WRONG")</f>
        <v/>
      </c>
    </row>
    <row r="2336">
      <c r="A2336" t="n">
        <v>2335</v>
      </c>
      <c r="B2336" t="inlineStr">
        <is>
          <t>MMCCCXXXV</t>
        </is>
      </c>
      <c r="C2336">
        <f>ROMAN(2335)</f>
        <v/>
      </c>
      <c r="D2336">
        <f>IF(B2336=C2336, "YES", "WRONG")</f>
        <v/>
      </c>
    </row>
    <row r="2337">
      <c r="A2337" t="n">
        <v>2336</v>
      </c>
      <c r="B2337" t="inlineStr">
        <is>
          <t>MMCCCXXXVI</t>
        </is>
      </c>
      <c r="C2337">
        <f>ROMAN(2336)</f>
        <v/>
      </c>
      <c r="D2337">
        <f>IF(B2337=C2337, "YES", "WRONG")</f>
        <v/>
      </c>
    </row>
    <row r="2338">
      <c r="A2338" t="n">
        <v>2337</v>
      </c>
      <c r="B2338" t="inlineStr">
        <is>
          <t>MMCCCXXXVII</t>
        </is>
      </c>
      <c r="C2338">
        <f>ROMAN(2337)</f>
        <v/>
      </c>
      <c r="D2338">
        <f>IF(B2338=C2338, "YES", "WRONG")</f>
        <v/>
      </c>
    </row>
    <row r="2339">
      <c r="A2339" t="n">
        <v>2338</v>
      </c>
      <c r="B2339" t="inlineStr">
        <is>
          <t>MMCCCXXXVIII</t>
        </is>
      </c>
      <c r="C2339">
        <f>ROMAN(2338)</f>
        <v/>
      </c>
      <c r="D2339">
        <f>IF(B2339=C2339, "YES", "WRONG")</f>
        <v/>
      </c>
    </row>
    <row r="2340">
      <c r="A2340" t="n">
        <v>2339</v>
      </c>
      <c r="B2340" t="inlineStr">
        <is>
          <t>MMCCCXXXIX</t>
        </is>
      </c>
      <c r="C2340">
        <f>ROMAN(2339)</f>
        <v/>
      </c>
      <c r="D2340">
        <f>IF(B2340=C2340, "YES", "WRONG")</f>
        <v/>
      </c>
    </row>
    <row r="2341">
      <c r="A2341" t="n">
        <v>2340</v>
      </c>
      <c r="B2341" t="inlineStr">
        <is>
          <t>MMCCCXL</t>
        </is>
      </c>
      <c r="C2341">
        <f>ROMAN(2340)</f>
        <v/>
      </c>
      <c r="D2341">
        <f>IF(B2341=C2341, "YES", "WRONG")</f>
        <v/>
      </c>
    </row>
    <row r="2342">
      <c r="A2342" t="n">
        <v>2341</v>
      </c>
      <c r="B2342" t="inlineStr">
        <is>
          <t>MMCCCXLI</t>
        </is>
      </c>
      <c r="C2342">
        <f>ROMAN(2341)</f>
        <v/>
      </c>
      <c r="D2342">
        <f>IF(B2342=C2342, "YES", "WRONG")</f>
        <v/>
      </c>
    </row>
    <row r="2343">
      <c r="A2343" t="n">
        <v>2342</v>
      </c>
      <c r="B2343" t="inlineStr">
        <is>
          <t>MMCCCXLII</t>
        </is>
      </c>
      <c r="C2343">
        <f>ROMAN(2342)</f>
        <v/>
      </c>
      <c r="D2343">
        <f>IF(B2343=C2343, "YES", "WRONG")</f>
        <v/>
      </c>
    </row>
    <row r="2344">
      <c r="A2344" t="n">
        <v>2343</v>
      </c>
      <c r="B2344" t="inlineStr">
        <is>
          <t>MMCCCXLIII</t>
        </is>
      </c>
      <c r="C2344">
        <f>ROMAN(2343)</f>
        <v/>
      </c>
      <c r="D2344">
        <f>IF(B2344=C2344, "YES", "WRONG")</f>
        <v/>
      </c>
    </row>
    <row r="2345">
      <c r="A2345" t="n">
        <v>2344</v>
      </c>
      <c r="B2345" t="inlineStr">
        <is>
          <t>MMCCCXLIV</t>
        </is>
      </c>
      <c r="C2345">
        <f>ROMAN(2344)</f>
        <v/>
      </c>
      <c r="D2345">
        <f>IF(B2345=C2345, "YES", "WRONG")</f>
        <v/>
      </c>
    </row>
    <row r="2346">
      <c r="A2346" t="n">
        <v>2345</v>
      </c>
      <c r="B2346" t="inlineStr">
        <is>
          <t>MMCCCXLV</t>
        </is>
      </c>
      <c r="C2346">
        <f>ROMAN(2345)</f>
        <v/>
      </c>
      <c r="D2346">
        <f>IF(B2346=C2346, "YES", "WRONG")</f>
        <v/>
      </c>
    </row>
    <row r="2347">
      <c r="A2347" t="n">
        <v>2346</v>
      </c>
      <c r="B2347" t="inlineStr">
        <is>
          <t>MMCCCXLVI</t>
        </is>
      </c>
      <c r="C2347">
        <f>ROMAN(2346)</f>
        <v/>
      </c>
      <c r="D2347">
        <f>IF(B2347=C2347, "YES", "WRONG")</f>
        <v/>
      </c>
    </row>
    <row r="2348">
      <c r="A2348" t="n">
        <v>2347</v>
      </c>
      <c r="B2348" t="inlineStr">
        <is>
          <t>MMCCCXLVII</t>
        </is>
      </c>
      <c r="C2348">
        <f>ROMAN(2347)</f>
        <v/>
      </c>
      <c r="D2348">
        <f>IF(B2348=C2348, "YES", "WRONG")</f>
        <v/>
      </c>
    </row>
    <row r="2349">
      <c r="A2349" t="n">
        <v>2348</v>
      </c>
      <c r="B2349" t="inlineStr">
        <is>
          <t>MMCCCXLVIII</t>
        </is>
      </c>
      <c r="C2349">
        <f>ROMAN(2348)</f>
        <v/>
      </c>
      <c r="D2349">
        <f>IF(B2349=C2349, "YES", "WRONG")</f>
        <v/>
      </c>
    </row>
    <row r="2350">
      <c r="A2350" t="n">
        <v>2349</v>
      </c>
      <c r="B2350" t="inlineStr">
        <is>
          <t>MMCCCXLIX</t>
        </is>
      </c>
      <c r="C2350">
        <f>ROMAN(2349)</f>
        <v/>
      </c>
      <c r="D2350">
        <f>IF(B2350=C2350, "YES", "WRONG")</f>
        <v/>
      </c>
    </row>
    <row r="2351">
      <c r="A2351" t="n">
        <v>2350</v>
      </c>
      <c r="B2351" t="inlineStr">
        <is>
          <t>MMCCCL</t>
        </is>
      </c>
      <c r="C2351">
        <f>ROMAN(2350)</f>
        <v/>
      </c>
      <c r="D2351">
        <f>IF(B2351=C2351, "YES", "WRONG")</f>
        <v/>
      </c>
    </row>
    <row r="2352">
      <c r="A2352" t="n">
        <v>2351</v>
      </c>
      <c r="B2352" t="inlineStr">
        <is>
          <t>MMCCCLI</t>
        </is>
      </c>
      <c r="C2352">
        <f>ROMAN(2351)</f>
        <v/>
      </c>
      <c r="D2352">
        <f>IF(B2352=C2352, "YES", "WRONG")</f>
        <v/>
      </c>
    </row>
    <row r="2353">
      <c r="A2353" t="n">
        <v>2352</v>
      </c>
      <c r="B2353" t="inlineStr">
        <is>
          <t>MMCCCLII</t>
        </is>
      </c>
      <c r="C2353">
        <f>ROMAN(2352)</f>
        <v/>
      </c>
      <c r="D2353">
        <f>IF(B2353=C2353, "YES", "WRONG")</f>
        <v/>
      </c>
    </row>
    <row r="2354">
      <c r="A2354" t="n">
        <v>2353</v>
      </c>
      <c r="B2354" t="inlineStr">
        <is>
          <t>MMCCCLIII</t>
        </is>
      </c>
      <c r="C2354">
        <f>ROMAN(2353)</f>
        <v/>
      </c>
      <c r="D2354">
        <f>IF(B2354=C2354, "YES", "WRONG")</f>
        <v/>
      </c>
    </row>
    <row r="2355">
      <c r="A2355" t="n">
        <v>2354</v>
      </c>
      <c r="B2355" t="inlineStr">
        <is>
          <t>MMCCCLIV</t>
        </is>
      </c>
      <c r="C2355">
        <f>ROMAN(2354)</f>
        <v/>
      </c>
      <c r="D2355">
        <f>IF(B2355=C2355, "YES", "WRONG")</f>
        <v/>
      </c>
    </row>
    <row r="2356">
      <c r="A2356" t="n">
        <v>2355</v>
      </c>
      <c r="B2356" t="inlineStr">
        <is>
          <t>MMCCCLV</t>
        </is>
      </c>
      <c r="C2356">
        <f>ROMAN(2355)</f>
        <v/>
      </c>
      <c r="D2356">
        <f>IF(B2356=C2356, "YES", "WRONG")</f>
        <v/>
      </c>
    </row>
    <row r="2357">
      <c r="A2357" t="n">
        <v>2356</v>
      </c>
      <c r="B2357" t="inlineStr">
        <is>
          <t>MMCCCLVI</t>
        </is>
      </c>
      <c r="C2357">
        <f>ROMAN(2356)</f>
        <v/>
      </c>
      <c r="D2357">
        <f>IF(B2357=C2357, "YES", "WRONG")</f>
        <v/>
      </c>
    </row>
    <row r="2358">
      <c r="A2358" t="n">
        <v>2357</v>
      </c>
      <c r="B2358" t="inlineStr">
        <is>
          <t>MMCCCLVII</t>
        </is>
      </c>
      <c r="C2358">
        <f>ROMAN(2357)</f>
        <v/>
      </c>
      <c r="D2358">
        <f>IF(B2358=C2358, "YES", "WRONG")</f>
        <v/>
      </c>
    </row>
    <row r="2359">
      <c r="A2359" t="n">
        <v>2358</v>
      </c>
      <c r="B2359" t="inlineStr">
        <is>
          <t>MMCCCLVIII</t>
        </is>
      </c>
      <c r="C2359">
        <f>ROMAN(2358)</f>
        <v/>
      </c>
      <c r="D2359">
        <f>IF(B2359=C2359, "YES", "WRONG")</f>
        <v/>
      </c>
    </row>
    <row r="2360">
      <c r="A2360" t="n">
        <v>2359</v>
      </c>
      <c r="B2360" t="inlineStr">
        <is>
          <t>MMCCCLIX</t>
        </is>
      </c>
      <c r="C2360">
        <f>ROMAN(2359)</f>
        <v/>
      </c>
      <c r="D2360">
        <f>IF(B2360=C2360, "YES", "WRONG")</f>
        <v/>
      </c>
    </row>
    <row r="2361">
      <c r="A2361" t="n">
        <v>2360</v>
      </c>
      <c r="B2361" t="inlineStr">
        <is>
          <t>MMCCCLX</t>
        </is>
      </c>
      <c r="C2361">
        <f>ROMAN(2360)</f>
        <v/>
      </c>
      <c r="D2361">
        <f>IF(B2361=C2361, "YES", "WRONG")</f>
        <v/>
      </c>
    </row>
    <row r="2362">
      <c r="A2362" t="n">
        <v>2361</v>
      </c>
      <c r="B2362" t="inlineStr">
        <is>
          <t>MMCCCLXI</t>
        </is>
      </c>
      <c r="C2362">
        <f>ROMAN(2361)</f>
        <v/>
      </c>
      <c r="D2362">
        <f>IF(B2362=C2362, "YES", "WRONG")</f>
        <v/>
      </c>
    </row>
    <row r="2363">
      <c r="A2363" t="n">
        <v>2362</v>
      </c>
      <c r="B2363" t="inlineStr">
        <is>
          <t>MMCCCLXII</t>
        </is>
      </c>
      <c r="C2363">
        <f>ROMAN(2362)</f>
        <v/>
      </c>
      <c r="D2363">
        <f>IF(B2363=C2363, "YES", "WRONG")</f>
        <v/>
      </c>
    </row>
    <row r="2364">
      <c r="A2364" t="n">
        <v>2363</v>
      </c>
      <c r="B2364" t="inlineStr">
        <is>
          <t>MMCCCLXIII</t>
        </is>
      </c>
      <c r="C2364">
        <f>ROMAN(2363)</f>
        <v/>
      </c>
      <c r="D2364">
        <f>IF(B2364=C2364, "YES", "WRONG")</f>
        <v/>
      </c>
    </row>
    <row r="2365">
      <c r="A2365" t="n">
        <v>2364</v>
      </c>
      <c r="B2365" t="inlineStr">
        <is>
          <t>MMCCCLXIV</t>
        </is>
      </c>
      <c r="C2365">
        <f>ROMAN(2364)</f>
        <v/>
      </c>
      <c r="D2365">
        <f>IF(B2365=C2365, "YES", "WRONG")</f>
        <v/>
      </c>
    </row>
    <row r="2366">
      <c r="A2366" t="n">
        <v>2365</v>
      </c>
      <c r="B2366" t="inlineStr">
        <is>
          <t>MMCCCLXV</t>
        </is>
      </c>
      <c r="C2366">
        <f>ROMAN(2365)</f>
        <v/>
      </c>
      <c r="D2366">
        <f>IF(B2366=C2366, "YES", "WRONG")</f>
        <v/>
      </c>
    </row>
    <row r="2367">
      <c r="A2367" t="n">
        <v>2366</v>
      </c>
      <c r="B2367" t="inlineStr">
        <is>
          <t>MMCCCLXVI</t>
        </is>
      </c>
      <c r="C2367">
        <f>ROMAN(2366)</f>
        <v/>
      </c>
      <c r="D2367">
        <f>IF(B2367=C2367, "YES", "WRONG")</f>
        <v/>
      </c>
    </row>
    <row r="2368">
      <c r="A2368" t="n">
        <v>2367</v>
      </c>
      <c r="B2368" t="inlineStr">
        <is>
          <t>MMCCCLXVII</t>
        </is>
      </c>
      <c r="C2368">
        <f>ROMAN(2367)</f>
        <v/>
      </c>
      <c r="D2368">
        <f>IF(B2368=C2368, "YES", "WRONG")</f>
        <v/>
      </c>
    </row>
    <row r="2369">
      <c r="A2369" t="n">
        <v>2368</v>
      </c>
      <c r="B2369" t="inlineStr">
        <is>
          <t>MMCCCLXVIII</t>
        </is>
      </c>
      <c r="C2369">
        <f>ROMAN(2368)</f>
        <v/>
      </c>
      <c r="D2369">
        <f>IF(B2369=C2369, "YES", "WRONG")</f>
        <v/>
      </c>
    </row>
    <row r="2370">
      <c r="A2370" t="n">
        <v>2369</v>
      </c>
      <c r="B2370" t="inlineStr">
        <is>
          <t>MMCCCLXIX</t>
        </is>
      </c>
      <c r="C2370">
        <f>ROMAN(2369)</f>
        <v/>
      </c>
      <c r="D2370">
        <f>IF(B2370=C2370, "YES", "WRONG")</f>
        <v/>
      </c>
    </row>
    <row r="2371">
      <c r="A2371" t="n">
        <v>2370</v>
      </c>
      <c r="B2371" t="inlineStr">
        <is>
          <t>MMCCCLXX</t>
        </is>
      </c>
      <c r="C2371">
        <f>ROMAN(2370)</f>
        <v/>
      </c>
      <c r="D2371">
        <f>IF(B2371=C2371, "YES", "WRONG")</f>
        <v/>
      </c>
    </row>
    <row r="2372">
      <c r="A2372" t="n">
        <v>2371</v>
      </c>
      <c r="B2372" t="inlineStr">
        <is>
          <t>MMCCCLXXI</t>
        </is>
      </c>
      <c r="C2372">
        <f>ROMAN(2371)</f>
        <v/>
      </c>
      <c r="D2372">
        <f>IF(B2372=C2372, "YES", "WRONG")</f>
        <v/>
      </c>
    </row>
    <row r="2373">
      <c r="A2373" t="n">
        <v>2372</v>
      </c>
      <c r="B2373" t="inlineStr">
        <is>
          <t>MMCCCLXXII</t>
        </is>
      </c>
      <c r="C2373">
        <f>ROMAN(2372)</f>
        <v/>
      </c>
      <c r="D2373">
        <f>IF(B2373=C2373, "YES", "WRONG")</f>
        <v/>
      </c>
    </row>
    <row r="2374">
      <c r="A2374" t="n">
        <v>2373</v>
      </c>
      <c r="B2374" t="inlineStr">
        <is>
          <t>MMCCCLXXIII</t>
        </is>
      </c>
      <c r="C2374">
        <f>ROMAN(2373)</f>
        <v/>
      </c>
      <c r="D2374">
        <f>IF(B2374=C2374, "YES", "WRONG")</f>
        <v/>
      </c>
    </row>
    <row r="2375">
      <c r="A2375" t="n">
        <v>2374</v>
      </c>
      <c r="B2375" t="inlineStr">
        <is>
          <t>MMCCCLXXIV</t>
        </is>
      </c>
      <c r="C2375">
        <f>ROMAN(2374)</f>
        <v/>
      </c>
      <c r="D2375">
        <f>IF(B2375=C2375, "YES", "WRONG")</f>
        <v/>
      </c>
    </row>
    <row r="2376">
      <c r="A2376" t="n">
        <v>2375</v>
      </c>
      <c r="B2376" t="inlineStr">
        <is>
          <t>MMCCCLXXV</t>
        </is>
      </c>
      <c r="C2376">
        <f>ROMAN(2375)</f>
        <v/>
      </c>
      <c r="D2376">
        <f>IF(B2376=C2376, "YES", "WRONG")</f>
        <v/>
      </c>
    </row>
    <row r="2377">
      <c r="A2377" t="n">
        <v>2376</v>
      </c>
      <c r="B2377" t="inlineStr">
        <is>
          <t>MMCCCLXXVI</t>
        </is>
      </c>
      <c r="C2377">
        <f>ROMAN(2376)</f>
        <v/>
      </c>
      <c r="D2377">
        <f>IF(B2377=C2377, "YES", "WRONG")</f>
        <v/>
      </c>
    </row>
    <row r="2378">
      <c r="A2378" t="n">
        <v>2377</v>
      </c>
      <c r="B2378" t="inlineStr">
        <is>
          <t>MMCCCLXXVII</t>
        </is>
      </c>
      <c r="C2378">
        <f>ROMAN(2377)</f>
        <v/>
      </c>
      <c r="D2378">
        <f>IF(B2378=C2378, "YES", "WRONG")</f>
        <v/>
      </c>
    </row>
    <row r="2379">
      <c r="A2379" t="n">
        <v>2378</v>
      </c>
      <c r="B2379" t="inlineStr">
        <is>
          <t>MMCCCLXXVIII</t>
        </is>
      </c>
      <c r="C2379">
        <f>ROMAN(2378)</f>
        <v/>
      </c>
      <c r="D2379">
        <f>IF(B2379=C2379, "YES", "WRONG")</f>
        <v/>
      </c>
    </row>
    <row r="2380">
      <c r="A2380" t="n">
        <v>2379</v>
      </c>
      <c r="B2380" t="inlineStr">
        <is>
          <t>MMCCCLXXIX</t>
        </is>
      </c>
      <c r="C2380">
        <f>ROMAN(2379)</f>
        <v/>
      </c>
      <c r="D2380">
        <f>IF(B2380=C2380, "YES", "WRONG")</f>
        <v/>
      </c>
    </row>
    <row r="2381">
      <c r="A2381" t="n">
        <v>2380</v>
      </c>
      <c r="B2381" t="inlineStr">
        <is>
          <t>MMCCCLXXX</t>
        </is>
      </c>
      <c r="C2381">
        <f>ROMAN(2380)</f>
        <v/>
      </c>
      <c r="D2381">
        <f>IF(B2381=C2381, "YES", "WRONG")</f>
        <v/>
      </c>
    </row>
    <row r="2382">
      <c r="A2382" t="n">
        <v>2381</v>
      </c>
      <c r="B2382" t="inlineStr">
        <is>
          <t>MMCCCLXXXI</t>
        </is>
      </c>
      <c r="C2382">
        <f>ROMAN(2381)</f>
        <v/>
      </c>
      <c r="D2382">
        <f>IF(B2382=C2382, "YES", "WRONG")</f>
        <v/>
      </c>
    </row>
    <row r="2383">
      <c r="A2383" t="n">
        <v>2382</v>
      </c>
      <c r="B2383" t="inlineStr">
        <is>
          <t>MMCCCLXXXII</t>
        </is>
      </c>
      <c r="C2383">
        <f>ROMAN(2382)</f>
        <v/>
      </c>
      <c r="D2383">
        <f>IF(B2383=C2383, "YES", "WRONG")</f>
        <v/>
      </c>
    </row>
    <row r="2384">
      <c r="A2384" t="n">
        <v>2383</v>
      </c>
      <c r="B2384" t="inlineStr">
        <is>
          <t>MMCCCLXXXIII</t>
        </is>
      </c>
      <c r="C2384">
        <f>ROMAN(2383)</f>
        <v/>
      </c>
      <c r="D2384">
        <f>IF(B2384=C2384, "YES", "WRONG")</f>
        <v/>
      </c>
    </row>
    <row r="2385">
      <c r="A2385" t="n">
        <v>2384</v>
      </c>
      <c r="B2385" t="inlineStr">
        <is>
          <t>MMCCCLXXXIV</t>
        </is>
      </c>
      <c r="C2385">
        <f>ROMAN(2384)</f>
        <v/>
      </c>
      <c r="D2385">
        <f>IF(B2385=C2385, "YES", "WRONG")</f>
        <v/>
      </c>
    </row>
    <row r="2386">
      <c r="A2386" t="n">
        <v>2385</v>
      </c>
      <c r="B2386" t="inlineStr">
        <is>
          <t>MMCCCLXXXV</t>
        </is>
      </c>
      <c r="C2386">
        <f>ROMAN(2385)</f>
        <v/>
      </c>
      <c r="D2386">
        <f>IF(B2386=C2386, "YES", "WRONG")</f>
        <v/>
      </c>
    </row>
    <row r="2387">
      <c r="A2387" t="n">
        <v>2386</v>
      </c>
      <c r="B2387" t="inlineStr">
        <is>
          <t>MMCCCLXXXVI</t>
        </is>
      </c>
      <c r="C2387">
        <f>ROMAN(2386)</f>
        <v/>
      </c>
      <c r="D2387">
        <f>IF(B2387=C2387, "YES", "WRONG")</f>
        <v/>
      </c>
    </row>
    <row r="2388">
      <c r="A2388" t="n">
        <v>2387</v>
      </c>
      <c r="B2388" t="inlineStr">
        <is>
          <t>MMCCCLXXXVII</t>
        </is>
      </c>
      <c r="C2388">
        <f>ROMAN(2387)</f>
        <v/>
      </c>
      <c r="D2388">
        <f>IF(B2388=C2388, "YES", "WRONG")</f>
        <v/>
      </c>
    </row>
    <row r="2389">
      <c r="A2389" t="n">
        <v>2388</v>
      </c>
      <c r="B2389" t="inlineStr">
        <is>
          <t>MMCCCLXXXVIII</t>
        </is>
      </c>
      <c r="C2389">
        <f>ROMAN(2388)</f>
        <v/>
      </c>
      <c r="D2389">
        <f>IF(B2389=C2389, "YES", "WRONG")</f>
        <v/>
      </c>
    </row>
    <row r="2390">
      <c r="A2390" t="n">
        <v>2389</v>
      </c>
      <c r="B2390" t="inlineStr">
        <is>
          <t>MMCCCLXXXIX</t>
        </is>
      </c>
      <c r="C2390">
        <f>ROMAN(2389)</f>
        <v/>
      </c>
      <c r="D2390">
        <f>IF(B2390=C2390, "YES", "WRONG")</f>
        <v/>
      </c>
    </row>
    <row r="2391">
      <c r="A2391" t="n">
        <v>2390</v>
      </c>
      <c r="B2391" t="inlineStr">
        <is>
          <t>MMCCCXC</t>
        </is>
      </c>
      <c r="C2391">
        <f>ROMAN(2390)</f>
        <v/>
      </c>
      <c r="D2391">
        <f>IF(B2391=C2391, "YES", "WRONG")</f>
        <v/>
      </c>
    </row>
    <row r="2392">
      <c r="A2392" t="n">
        <v>2391</v>
      </c>
      <c r="B2392" t="inlineStr">
        <is>
          <t>MMCCCXCI</t>
        </is>
      </c>
      <c r="C2392">
        <f>ROMAN(2391)</f>
        <v/>
      </c>
      <c r="D2392">
        <f>IF(B2392=C2392, "YES", "WRONG")</f>
        <v/>
      </c>
    </row>
    <row r="2393">
      <c r="A2393" t="n">
        <v>2392</v>
      </c>
      <c r="B2393" t="inlineStr">
        <is>
          <t>MMCCCXCII</t>
        </is>
      </c>
      <c r="C2393">
        <f>ROMAN(2392)</f>
        <v/>
      </c>
      <c r="D2393">
        <f>IF(B2393=C2393, "YES", "WRONG")</f>
        <v/>
      </c>
    </row>
    <row r="2394">
      <c r="A2394" t="n">
        <v>2393</v>
      </c>
      <c r="B2394" t="inlineStr">
        <is>
          <t>MMCCCXCIII</t>
        </is>
      </c>
      <c r="C2394">
        <f>ROMAN(2393)</f>
        <v/>
      </c>
      <c r="D2394">
        <f>IF(B2394=C2394, "YES", "WRONG")</f>
        <v/>
      </c>
    </row>
    <row r="2395">
      <c r="A2395" t="n">
        <v>2394</v>
      </c>
      <c r="B2395" t="inlineStr">
        <is>
          <t>MMCCCXCIV</t>
        </is>
      </c>
      <c r="C2395">
        <f>ROMAN(2394)</f>
        <v/>
      </c>
      <c r="D2395">
        <f>IF(B2395=C2395, "YES", "WRONG")</f>
        <v/>
      </c>
    </row>
    <row r="2396">
      <c r="A2396" t="n">
        <v>2395</v>
      </c>
      <c r="B2396" t="inlineStr">
        <is>
          <t>MMCCCXCV</t>
        </is>
      </c>
      <c r="C2396">
        <f>ROMAN(2395)</f>
        <v/>
      </c>
      <c r="D2396">
        <f>IF(B2396=C2396, "YES", "WRONG")</f>
        <v/>
      </c>
    </row>
    <row r="2397">
      <c r="A2397" t="n">
        <v>2396</v>
      </c>
      <c r="B2397" t="inlineStr">
        <is>
          <t>MMCCCXCVI</t>
        </is>
      </c>
      <c r="C2397">
        <f>ROMAN(2396)</f>
        <v/>
      </c>
      <c r="D2397">
        <f>IF(B2397=C2397, "YES", "WRONG")</f>
        <v/>
      </c>
    </row>
    <row r="2398">
      <c r="A2398" t="n">
        <v>2397</v>
      </c>
      <c r="B2398" t="inlineStr">
        <is>
          <t>MMCCCXCVII</t>
        </is>
      </c>
      <c r="C2398">
        <f>ROMAN(2397)</f>
        <v/>
      </c>
      <c r="D2398">
        <f>IF(B2398=C2398, "YES", "WRONG")</f>
        <v/>
      </c>
    </row>
    <row r="2399">
      <c r="A2399" t="n">
        <v>2398</v>
      </c>
      <c r="B2399" t="inlineStr">
        <is>
          <t>MMCCCXCVIII</t>
        </is>
      </c>
      <c r="C2399">
        <f>ROMAN(2398)</f>
        <v/>
      </c>
      <c r="D2399">
        <f>IF(B2399=C2399, "YES", "WRONG")</f>
        <v/>
      </c>
    </row>
    <row r="2400">
      <c r="A2400" t="n">
        <v>2399</v>
      </c>
      <c r="B2400" t="inlineStr">
        <is>
          <t>MMCCCXCIX</t>
        </is>
      </c>
      <c r="C2400">
        <f>ROMAN(2399)</f>
        <v/>
      </c>
      <c r="D2400">
        <f>IF(B2400=C2400, "YES", "WRONG")</f>
        <v/>
      </c>
    </row>
    <row r="2401">
      <c r="A2401" t="n">
        <v>2400</v>
      </c>
      <c r="B2401" t="inlineStr">
        <is>
          <t>MMCD</t>
        </is>
      </c>
      <c r="C2401">
        <f>ROMAN(2400)</f>
        <v/>
      </c>
      <c r="D2401">
        <f>IF(B2401=C2401, "YES", "WRONG")</f>
        <v/>
      </c>
    </row>
    <row r="2402">
      <c r="A2402" t="n">
        <v>2401</v>
      </c>
      <c r="B2402" t="inlineStr">
        <is>
          <t>MMCDI</t>
        </is>
      </c>
      <c r="C2402">
        <f>ROMAN(2401)</f>
        <v/>
      </c>
      <c r="D2402">
        <f>IF(B2402=C2402, "YES", "WRONG")</f>
        <v/>
      </c>
    </row>
    <row r="2403">
      <c r="A2403" t="n">
        <v>2402</v>
      </c>
      <c r="B2403" t="inlineStr">
        <is>
          <t>MMCDII</t>
        </is>
      </c>
      <c r="C2403">
        <f>ROMAN(2402)</f>
        <v/>
      </c>
      <c r="D2403">
        <f>IF(B2403=C2403, "YES", "WRONG")</f>
        <v/>
      </c>
    </row>
    <row r="2404">
      <c r="A2404" t="n">
        <v>2403</v>
      </c>
      <c r="B2404" t="inlineStr">
        <is>
          <t>MMCDIII</t>
        </is>
      </c>
      <c r="C2404">
        <f>ROMAN(2403)</f>
        <v/>
      </c>
      <c r="D2404">
        <f>IF(B2404=C2404, "YES", "WRONG")</f>
        <v/>
      </c>
    </row>
    <row r="2405">
      <c r="A2405" t="n">
        <v>2404</v>
      </c>
      <c r="B2405" t="inlineStr">
        <is>
          <t>MMCDIV</t>
        </is>
      </c>
      <c r="C2405">
        <f>ROMAN(2404)</f>
        <v/>
      </c>
      <c r="D2405">
        <f>IF(B2405=C2405, "YES", "WRONG")</f>
        <v/>
      </c>
    </row>
    <row r="2406">
      <c r="A2406" t="n">
        <v>2405</v>
      </c>
      <c r="B2406" t="inlineStr">
        <is>
          <t>MMCDV</t>
        </is>
      </c>
      <c r="C2406">
        <f>ROMAN(2405)</f>
        <v/>
      </c>
      <c r="D2406">
        <f>IF(B2406=C2406, "YES", "WRONG")</f>
        <v/>
      </c>
    </row>
    <row r="2407">
      <c r="A2407" t="n">
        <v>2406</v>
      </c>
      <c r="B2407" t="inlineStr">
        <is>
          <t>MMCDVI</t>
        </is>
      </c>
      <c r="C2407">
        <f>ROMAN(2406)</f>
        <v/>
      </c>
      <c r="D2407">
        <f>IF(B2407=C2407, "YES", "WRONG")</f>
        <v/>
      </c>
    </row>
    <row r="2408">
      <c r="A2408" t="n">
        <v>2407</v>
      </c>
      <c r="B2408" t="inlineStr">
        <is>
          <t>MMCDVII</t>
        </is>
      </c>
      <c r="C2408">
        <f>ROMAN(2407)</f>
        <v/>
      </c>
      <c r="D2408">
        <f>IF(B2408=C2408, "YES", "WRONG")</f>
        <v/>
      </c>
    </row>
    <row r="2409">
      <c r="A2409" t="n">
        <v>2408</v>
      </c>
      <c r="B2409" t="inlineStr">
        <is>
          <t>MMCDVIII</t>
        </is>
      </c>
      <c r="C2409">
        <f>ROMAN(2408)</f>
        <v/>
      </c>
      <c r="D2409">
        <f>IF(B2409=C2409, "YES", "WRONG")</f>
        <v/>
      </c>
    </row>
    <row r="2410">
      <c r="A2410" t="n">
        <v>2409</v>
      </c>
      <c r="B2410" t="inlineStr">
        <is>
          <t>MMCDIX</t>
        </is>
      </c>
      <c r="C2410">
        <f>ROMAN(2409)</f>
        <v/>
      </c>
      <c r="D2410">
        <f>IF(B2410=C2410, "YES", "WRONG")</f>
        <v/>
      </c>
    </row>
    <row r="2411">
      <c r="A2411" t="n">
        <v>2410</v>
      </c>
      <c r="B2411" t="inlineStr">
        <is>
          <t>MMCDX</t>
        </is>
      </c>
      <c r="C2411">
        <f>ROMAN(2410)</f>
        <v/>
      </c>
      <c r="D2411">
        <f>IF(B2411=C2411, "YES", "WRONG")</f>
        <v/>
      </c>
    </row>
    <row r="2412">
      <c r="A2412" t="n">
        <v>2411</v>
      </c>
      <c r="B2412" t="inlineStr">
        <is>
          <t>MMCDXI</t>
        </is>
      </c>
      <c r="C2412">
        <f>ROMAN(2411)</f>
        <v/>
      </c>
      <c r="D2412">
        <f>IF(B2412=C2412, "YES", "WRONG")</f>
        <v/>
      </c>
    </row>
    <row r="2413">
      <c r="A2413" t="n">
        <v>2412</v>
      </c>
      <c r="B2413" t="inlineStr">
        <is>
          <t>MMCDXII</t>
        </is>
      </c>
      <c r="C2413">
        <f>ROMAN(2412)</f>
        <v/>
      </c>
      <c r="D2413">
        <f>IF(B2413=C2413, "YES", "WRONG")</f>
        <v/>
      </c>
    </row>
    <row r="2414">
      <c r="A2414" t="n">
        <v>2413</v>
      </c>
      <c r="B2414" t="inlineStr">
        <is>
          <t>MMCDXIII</t>
        </is>
      </c>
      <c r="C2414">
        <f>ROMAN(2413)</f>
        <v/>
      </c>
      <c r="D2414">
        <f>IF(B2414=C2414, "YES", "WRONG")</f>
        <v/>
      </c>
    </row>
    <row r="2415">
      <c r="A2415" t="n">
        <v>2414</v>
      </c>
      <c r="B2415" t="inlineStr">
        <is>
          <t>MMCDXIV</t>
        </is>
      </c>
      <c r="C2415">
        <f>ROMAN(2414)</f>
        <v/>
      </c>
      <c r="D2415">
        <f>IF(B2415=C2415, "YES", "WRONG")</f>
        <v/>
      </c>
    </row>
    <row r="2416">
      <c r="A2416" t="n">
        <v>2415</v>
      </c>
      <c r="B2416" t="inlineStr">
        <is>
          <t>MMCDXV</t>
        </is>
      </c>
      <c r="C2416">
        <f>ROMAN(2415)</f>
        <v/>
      </c>
      <c r="D2416">
        <f>IF(B2416=C2416, "YES", "WRONG")</f>
        <v/>
      </c>
    </row>
    <row r="2417">
      <c r="A2417" t="n">
        <v>2416</v>
      </c>
      <c r="B2417" t="inlineStr">
        <is>
          <t>MMCDXVI</t>
        </is>
      </c>
      <c r="C2417">
        <f>ROMAN(2416)</f>
        <v/>
      </c>
      <c r="D2417">
        <f>IF(B2417=C2417, "YES", "WRONG")</f>
        <v/>
      </c>
    </row>
    <row r="2418">
      <c r="A2418" t="n">
        <v>2417</v>
      </c>
      <c r="B2418" t="inlineStr">
        <is>
          <t>MMCDXVII</t>
        </is>
      </c>
      <c r="C2418">
        <f>ROMAN(2417)</f>
        <v/>
      </c>
      <c r="D2418">
        <f>IF(B2418=C2418, "YES", "WRONG")</f>
        <v/>
      </c>
    </row>
    <row r="2419">
      <c r="A2419" t="n">
        <v>2418</v>
      </c>
      <c r="B2419" t="inlineStr">
        <is>
          <t>MMCDXVIII</t>
        </is>
      </c>
      <c r="C2419">
        <f>ROMAN(2418)</f>
        <v/>
      </c>
      <c r="D2419">
        <f>IF(B2419=C2419, "YES", "WRONG")</f>
        <v/>
      </c>
    </row>
    <row r="2420">
      <c r="A2420" t="n">
        <v>2419</v>
      </c>
      <c r="B2420" t="inlineStr">
        <is>
          <t>MMCDXIX</t>
        </is>
      </c>
      <c r="C2420">
        <f>ROMAN(2419)</f>
        <v/>
      </c>
      <c r="D2420">
        <f>IF(B2420=C2420, "YES", "WRONG")</f>
        <v/>
      </c>
    </row>
    <row r="2421">
      <c r="A2421" t="n">
        <v>2420</v>
      </c>
      <c r="B2421" t="inlineStr">
        <is>
          <t>MMCDXX</t>
        </is>
      </c>
      <c r="C2421">
        <f>ROMAN(2420)</f>
        <v/>
      </c>
      <c r="D2421">
        <f>IF(B2421=C2421, "YES", "WRONG")</f>
        <v/>
      </c>
    </row>
    <row r="2422">
      <c r="A2422" t="n">
        <v>2421</v>
      </c>
      <c r="B2422" t="inlineStr">
        <is>
          <t>MMCDXXI</t>
        </is>
      </c>
      <c r="C2422">
        <f>ROMAN(2421)</f>
        <v/>
      </c>
      <c r="D2422">
        <f>IF(B2422=C2422, "YES", "WRONG")</f>
        <v/>
      </c>
    </row>
    <row r="2423">
      <c r="A2423" t="n">
        <v>2422</v>
      </c>
      <c r="B2423" t="inlineStr">
        <is>
          <t>MMCDXXII</t>
        </is>
      </c>
      <c r="C2423">
        <f>ROMAN(2422)</f>
        <v/>
      </c>
      <c r="D2423">
        <f>IF(B2423=C2423, "YES", "WRONG")</f>
        <v/>
      </c>
    </row>
    <row r="2424">
      <c r="A2424" t="n">
        <v>2423</v>
      </c>
      <c r="B2424" t="inlineStr">
        <is>
          <t>MMCDXXIII</t>
        </is>
      </c>
      <c r="C2424">
        <f>ROMAN(2423)</f>
        <v/>
      </c>
      <c r="D2424">
        <f>IF(B2424=C2424, "YES", "WRONG")</f>
        <v/>
      </c>
    </row>
    <row r="2425">
      <c r="A2425" t="n">
        <v>2424</v>
      </c>
      <c r="B2425" t="inlineStr">
        <is>
          <t>MMCDXXIV</t>
        </is>
      </c>
      <c r="C2425">
        <f>ROMAN(2424)</f>
        <v/>
      </c>
      <c r="D2425">
        <f>IF(B2425=C2425, "YES", "WRONG")</f>
        <v/>
      </c>
    </row>
    <row r="2426">
      <c r="A2426" t="n">
        <v>2425</v>
      </c>
      <c r="B2426" t="inlineStr">
        <is>
          <t>MMCDXXV</t>
        </is>
      </c>
      <c r="C2426">
        <f>ROMAN(2425)</f>
        <v/>
      </c>
      <c r="D2426">
        <f>IF(B2426=C2426, "YES", "WRONG")</f>
        <v/>
      </c>
    </row>
    <row r="2427">
      <c r="A2427" t="n">
        <v>2426</v>
      </c>
      <c r="B2427" t="inlineStr">
        <is>
          <t>MMCDXXVI</t>
        </is>
      </c>
      <c r="C2427">
        <f>ROMAN(2426)</f>
        <v/>
      </c>
      <c r="D2427">
        <f>IF(B2427=C2427, "YES", "WRONG")</f>
        <v/>
      </c>
    </row>
    <row r="2428">
      <c r="A2428" t="n">
        <v>2427</v>
      </c>
      <c r="B2428" t="inlineStr">
        <is>
          <t>MMCDXXVII</t>
        </is>
      </c>
      <c r="C2428">
        <f>ROMAN(2427)</f>
        <v/>
      </c>
      <c r="D2428">
        <f>IF(B2428=C2428, "YES", "WRONG")</f>
        <v/>
      </c>
    </row>
    <row r="2429">
      <c r="A2429" t="n">
        <v>2428</v>
      </c>
      <c r="B2429" t="inlineStr">
        <is>
          <t>MMCDXXVIII</t>
        </is>
      </c>
      <c r="C2429">
        <f>ROMAN(2428)</f>
        <v/>
      </c>
      <c r="D2429">
        <f>IF(B2429=C2429, "YES", "WRONG")</f>
        <v/>
      </c>
    </row>
    <row r="2430">
      <c r="A2430" t="n">
        <v>2429</v>
      </c>
      <c r="B2430" t="inlineStr">
        <is>
          <t>MMCDXXIX</t>
        </is>
      </c>
      <c r="C2430">
        <f>ROMAN(2429)</f>
        <v/>
      </c>
      <c r="D2430">
        <f>IF(B2430=C2430, "YES", "WRONG")</f>
        <v/>
      </c>
    </row>
    <row r="2431">
      <c r="A2431" t="n">
        <v>2430</v>
      </c>
      <c r="B2431" t="inlineStr">
        <is>
          <t>MMCDXXX</t>
        </is>
      </c>
      <c r="C2431">
        <f>ROMAN(2430)</f>
        <v/>
      </c>
      <c r="D2431">
        <f>IF(B2431=C2431, "YES", "WRONG")</f>
        <v/>
      </c>
    </row>
    <row r="2432">
      <c r="A2432" t="n">
        <v>2431</v>
      </c>
      <c r="B2432" t="inlineStr">
        <is>
          <t>MMCDXXXI</t>
        </is>
      </c>
      <c r="C2432">
        <f>ROMAN(2431)</f>
        <v/>
      </c>
      <c r="D2432">
        <f>IF(B2432=C2432, "YES", "WRONG")</f>
        <v/>
      </c>
    </row>
    <row r="2433">
      <c r="A2433" t="n">
        <v>2432</v>
      </c>
      <c r="B2433" t="inlineStr">
        <is>
          <t>MMCDXXXII</t>
        </is>
      </c>
      <c r="C2433">
        <f>ROMAN(2432)</f>
        <v/>
      </c>
      <c r="D2433">
        <f>IF(B2433=C2433, "YES", "WRONG")</f>
        <v/>
      </c>
    </row>
    <row r="2434">
      <c r="A2434" t="n">
        <v>2433</v>
      </c>
      <c r="B2434" t="inlineStr">
        <is>
          <t>MMCDXXXIII</t>
        </is>
      </c>
      <c r="C2434">
        <f>ROMAN(2433)</f>
        <v/>
      </c>
      <c r="D2434">
        <f>IF(B2434=C2434, "YES", "WRONG")</f>
        <v/>
      </c>
    </row>
    <row r="2435">
      <c r="A2435" t="n">
        <v>2434</v>
      </c>
      <c r="B2435" t="inlineStr">
        <is>
          <t>MMCDXXXIV</t>
        </is>
      </c>
      <c r="C2435">
        <f>ROMAN(2434)</f>
        <v/>
      </c>
      <c r="D2435">
        <f>IF(B2435=C2435, "YES", "WRONG")</f>
        <v/>
      </c>
    </row>
    <row r="2436">
      <c r="A2436" t="n">
        <v>2435</v>
      </c>
      <c r="B2436" t="inlineStr">
        <is>
          <t>MMCDXXXV</t>
        </is>
      </c>
      <c r="C2436">
        <f>ROMAN(2435)</f>
        <v/>
      </c>
      <c r="D2436">
        <f>IF(B2436=C2436, "YES", "WRONG")</f>
        <v/>
      </c>
    </row>
    <row r="2437">
      <c r="A2437" t="n">
        <v>2436</v>
      </c>
      <c r="B2437" t="inlineStr">
        <is>
          <t>MMCDXXXVI</t>
        </is>
      </c>
      <c r="C2437">
        <f>ROMAN(2436)</f>
        <v/>
      </c>
      <c r="D2437">
        <f>IF(B2437=C2437, "YES", "WRONG")</f>
        <v/>
      </c>
    </row>
    <row r="2438">
      <c r="A2438" t="n">
        <v>2437</v>
      </c>
      <c r="B2438" t="inlineStr">
        <is>
          <t>MMCDXXXVII</t>
        </is>
      </c>
      <c r="C2438">
        <f>ROMAN(2437)</f>
        <v/>
      </c>
      <c r="D2438">
        <f>IF(B2438=C2438, "YES", "WRONG")</f>
        <v/>
      </c>
    </row>
    <row r="2439">
      <c r="A2439" t="n">
        <v>2438</v>
      </c>
      <c r="B2439" t="inlineStr">
        <is>
          <t>MMCDXXXVIII</t>
        </is>
      </c>
      <c r="C2439">
        <f>ROMAN(2438)</f>
        <v/>
      </c>
      <c r="D2439">
        <f>IF(B2439=C2439, "YES", "WRONG")</f>
        <v/>
      </c>
    </row>
    <row r="2440">
      <c r="A2440" t="n">
        <v>2439</v>
      </c>
      <c r="B2440" t="inlineStr">
        <is>
          <t>MMCDXXXIX</t>
        </is>
      </c>
      <c r="C2440">
        <f>ROMAN(2439)</f>
        <v/>
      </c>
      <c r="D2440">
        <f>IF(B2440=C2440, "YES", "WRONG")</f>
        <v/>
      </c>
    </row>
    <row r="2441">
      <c r="A2441" t="n">
        <v>2440</v>
      </c>
      <c r="B2441" t="inlineStr">
        <is>
          <t>MMCDXL</t>
        </is>
      </c>
      <c r="C2441">
        <f>ROMAN(2440)</f>
        <v/>
      </c>
      <c r="D2441">
        <f>IF(B2441=C2441, "YES", "WRONG")</f>
        <v/>
      </c>
    </row>
    <row r="2442">
      <c r="A2442" t="n">
        <v>2441</v>
      </c>
      <c r="B2442" t="inlineStr">
        <is>
          <t>MMCDXLI</t>
        </is>
      </c>
      <c r="C2442">
        <f>ROMAN(2441)</f>
        <v/>
      </c>
      <c r="D2442">
        <f>IF(B2442=C2442, "YES", "WRONG")</f>
        <v/>
      </c>
    </row>
    <row r="2443">
      <c r="A2443" t="n">
        <v>2442</v>
      </c>
      <c r="B2443" t="inlineStr">
        <is>
          <t>MMCDXLII</t>
        </is>
      </c>
      <c r="C2443">
        <f>ROMAN(2442)</f>
        <v/>
      </c>
      <c r="D2443">
        <f>IF(B2443=C2443, "YES", "WRONG")</f>
        <v/>
      </c>
    </row>
    <row r="2444">
      <c r="A2444" t="n">
        <v>2443</v>
      </c>
      <c r="B2444" t="inlineStr">
        <is>
          <t>MMCDXLIII</t>
        </is>
      </c>
      <c r="C2444">
        <f>ROMAN(2443)</f>
        <v/>
      </c>
      <c r="D2444">
        <f>IF(B2444=C2444, "YES", "WRONG")</f>
        <v/>
      </c>
    </row>
    <row r="2445">
      <c r="A2445" t="n">
        <v>2444</v>
      </c>
      <c r="B2445" t="inlineStr">
        <is>
          <t>MMCDXLIV</t>
        </is>
      </c>
      <c r="C2445">
        <f>ROMAN(2444)</f>
        <v/>
      </c>
      <c r="D2445">
        <f>IF(B2445=C2445, "YES", "WRONG")</f>
        <v/>
      </c>
    </row>
    <row r="2446">
      <c r="A2446" t="n">
        <v>2445</v>
      </c>
      <c r="B2446" t="inlineStr">
        <is>
          <t>MMCDXLV</t>
        </is>
      </c>
      <c r="C2446">
        <f>ROMAN(2445)</f>
        <v/>
      </c>
      <c r="D2446">
        <f>IF(B2446=C2446, "YES", "WRONG")</f>
        <v/>
      </c>
    </row>
    <row r="2447">
      <c r="A2447" t="n">
        <v>2446</v>
      </c>
      <c r="B2447" t="inlineStr">
        <is>
          <t>MMCDXLVI</t>
        </is>
      </c>
      <c r="C2447">
        <f>ROMAN(2446)</f>
        <v/>
      </c>
      <c r="D2447">
        <f>IF(B2447=C2447, "YES", "WRONG")</f>
        <v/>
      </c>
    </row>
    <row r="2448">
      <c r="A2448" t="n">
        <v>2447</v>
      </c>
      <c r="B2448" t="inlineStr">
        <is>
          <t>MMCDXLVII</t>
        </is>
      </c>
      <c r="C2448">
        <f>ROMAN(2447)</f>
        <v/>
      </c>
      <c r="D2448">
        <f>IF(B2448=C2448, "YES", "WRONG")</f>
        <v/>
      </c>
    </row>
    <row r="2449">
      <c r="A2449" t="n">
        <v>2448</v>
      </c>
      <c r="B2449" t="inlineStr">
        <is>
          <t>MMCDXLVIII</t>
        </is>
      </c>
      <c r="C2449">
        <f>ROMAN(2448)</f>
        <v/>
      </c>
      <c r="D2449">
        <f>IF(B2449=C2449, "YES", "WRONG")</f>
        <v/>
      </c>
    </row>
    <row r="2450">
      <c r="A2450" t="n">
        <v>2449</v>
      </c>
      <c r="B2450" t="inlineStr">
        <is>
          <t>MMCDXLIX</t>
        </is>
      </c>
      <c r="C2450">
        <f>ROMAN(2449)</f>
        <v/>
      </c>
      <c r="D2450">
        <f>IF(B2450=C2450, "YES", "WRONG")</f>
        <v/>
      </c>
    </row>
    <row r="2451">
      <c r="A2451" t="n">
        <v>2450</v>
      </c>
      <c r="B2451" t="inlineStr">
        <is>
          <t>MMCDL</t>
        </is>
      </c>
      <c r="C2451">
        <f>ROMAN(2450)</f>
        <v/>
      </c>
      <c r="D2451">
        <f>IF(B2451=C2451, "YES", "WRONG")</f>
        <v/>
      </c>
    </row>
    <row r="2452">
      <c r="A2452" t="n">
        <v>2451</v>
      </c>
      <c r="B2452" t="inlineStr">
        <is>
          <t>MMCDLI</t>
        </is>
      </c>
      <c r="C2452">
        <f>ROMAN(2451)</f>
        <v/>
      </c>
      <c r="D2452">
        <f>IF(B2452=C2452, "YES", "WRONG")</f>
        <v/>
      </c>
    </row>
    <row r="2453">
      <c r="A2453" t="n">
        <v>2452</v>
      </c>
      <c r="B2453" t="inlineStr">
        <is>
          <t>MMCDLII</t>
        </is>
      </c>
      <c r="C2453">
        <f>ROMAN(2452)</f>
        <v/>
      </c>
      <c r="D2453">
        <f>IF(B2453=C2453, "YES", "WRONG")</f>
        <v/>
      </c>
    </row>
    <row r="2454">
      <c r="A2454" t="n">
        <v>2453</v>
      </c>
      <c r="B2454" t="inlineStr">
        <is>
          <t>MMCDLIII</t>
        </is>
      </c>
      <c r="C2454">
        <f>ROMAN(2453)</f>
        <v/>
      </c>
      <c r="D2454">
        <f>IF(B2454=C2454, "YES", "WRONG")</f>
        <v/>
      </c>
    </row>
    <row r="2455">
      <c r="A2455" t="n">
        <v>2454</v>
      </c>
      <c r="B2455" t="inlineStr">
        <is>
          <t>MMCDLIV</t>
        </is>
      </c>
      <c r="C2455">
        <f>ROMAN(2454)</f>
        <v/>
      </c>
      <c r="D2455">
        <f>IF(B2455=C2455, "YES", "WRONG")</f>
        <v/>
      </c>
    </row>
    <row r="2456">
      <c r="A2456" t="n">
        <v>2455</v>
      </c>
      <c r="B2456" t="inlineStr">
        <is>
          <t>MMCDLV</t>
        </is>
      </c>
      <c r="C2456">
        <f>ROMAN(2455)</f>
        <v/>
      </c>
      <c r="D2456">
        <f>IF(B2456=C2456, "YES", "WRONG")</f>
        <v/>
      </c>
    </row>
    <row r="2457">
      <c r="A2457" t="n">
        <v>2456</v>
      </c>
      <c r="B2457" t="inlineStr">
        <is>
          <t>MMCDLVI</t>
        </is>
      </c>
      <c r="C2457">
        <f>ROMAN(2456)</f>
        <v/>
      </c>
      <c r="D2457">
        <f>IF(B2457=C2457, "YES", "WRONG")</f>
        <v/>
      </c>
    </row>
    <row r="2458">
      <c r="A2458" t="n">
        <v>2457</v>
      </c>
      <c r="B2458" t="inlineStr">
        <is>
          <t>MMCDLVII</t>
        </is>
      </c>
      <c r="C2458">
        <f>ROMAN(2457)</f>
        <v/>
      </c>
      <c r="D2458">
        <f>IF(B2458=C2458, "YES", "WRONG")</f>
        <v/>
      </c>
    </row>
    <row r="2459">
      <c r="A2459" t="n">
        <v>2458</v>
      </c>
      <c r="B2459" t="inlineStr">
        <is>
          <t>MMCDLVIII</t>
        </is>
      </c>
      <c r="C2459">
        <f>ROMAN(2458)</f>
        <v/>
      </c>
      <c r="D2459">
        <f>IF(B2459=C2459, "YES", "WRONG")</f>
        <v/>
      </c>
    </row>
    <row r="2460">
      <c r="A2460" t="n">
        <v>2459</v>
      </c>
      <c r="B2460" t="inlineStr">
        <is>
          <t>MMCDLIX</t>
        </is>
      </c>
      <c r="C2460">
        <f>ROMAN(2459)</f>
        <v/>
      </c>
      <c r="D2460">
        <f>IF(B2460=C2460, "YES", "WRONG")</f>
        <v/>
      </c>
    </row>
    <row r="2461">
      <c r="A2461" t="n">
        <v>2460</v>
      </c>
      <c r="B2461" t="inlineStr">
        <is>
          <t>MMCDLX</t>
        </is>
      </c>
      <c r="C2461">
        <f>ROMAN(2460)</f>
        <v/>
      </c>
      <c r="D2461">
        <f>IF(B2461=C2461, "YES", "WRONG")</f>
        <v/>
      </c>
    </row>
    <row r="2462">
      <c r="A2462" t="n">
        <v>2461</v>
      </c>
      <c r="B2462" t="inlineStr">
        <is>
          <t>MMCDLXI</t>
        </is>
      </c>
      <c r="C2462">
        <f>ROMAN(2461)</f>
        <v/>
      </c>
      <c r="D2462">
        <f>IF(B2462=C2462, "YES", "WRONG")</f>
        <v/>
      </c>
    </row>
    <row r="2463">
      <c r="A2463" t="n">
        <v>2462</v>
      </c>
      <c r="B2463" t="inlineStr">
        <is>
          <t>MMCDLXII</t>
        </is>
      </c>
      <c r="C2463">
        <f>ROMAN(2462)</f>
        <v/>
      </c>
      <c r="D2463">
        <f>IF(B2463=C2463, "YES", "WRONG")</f>
        <v/>
      </c>
    </row>
    <row r="2464">
      <c r="A2464" t="n">
        <v>2463</v>
      </c>
      <c r="B2464" t="inlineStr">
        <is>
          <t>MMCDLXIII</t>
        </is>
      </c>
      <c r="C2464">
        <f>ROMAN(2463)</f>
        <v/>
      </c>
      <c r="D2464">
        <f>IF(B2464=C2464, "YES", "WRONG")</f>
        <v/>
      </c>
    </row>
    <row r="2465">
      <c r="A2465" t="n">
        <v>2464</v>
      </c>
      <c r="B2465" t="inlineStr">
        <is>
          <t>MMCDLXIV</t>
        </is>
      </c>
      <c r="C2465">
        <f>ROMAN(2464)</f>
        <v/>
      </c>
      <c r="D2465">
        <f>IF(B2465=C2465, "YES", "WRONG")</f>
        <v/>
      </c>
    </row>
    <row r="2466">
      <c r="A2466" t="n">
        <v>2465</v>
      </c>
      <c r="B2466" t="inlineStr">
        <is>
          <t>MMCDLXV</t>
        </is>
      </c>
      <c r="C2466">
        <f>ROMAN(2465)</f>
        <v/>
      </c>
      <c r="D2466">
        <f>IF(B2466=C2466, "YES", "WRONG")</f>
        <v/>
      </c>
    </row>
    <row r="2467">
      <c r="A2467" t="n">
        <v>2466</v>
      </c>
      <c r="B2467" t="inlineStr">
        <is>
          <t>MMCDLXVI</t>
        </is>
      </c>
      <c r="C2467">
        <f>ROMAN(2466)</f>
        <v/>
      </c>
      <c r="D2467">
        <f>IF(B2467=C2467, "YES", "WRONG")</f>
        <v/>
      </c>
    </row>
    <row r="2468">
      <c r="A2468" t="n">
        <v>2467</v>
      </c>
      <c r="B2468" t="inlineStr">
        <is>
          <t>MMCDLXVII</t>
        </is>
      </c>
      <c r="C2468">
        <f>ROMAN(2467)</f>
        <v/>
      </c>
      <c r="D2468">
        <f>IF(B2468=C2468, "YES", "WRONG")</f>
        <v/>
      </c>
    </row>
    <row r="2469">
      <c r="A2469" t="n">
        <v>2468</v>
      </c>
      <c r="B2469" t="inlineStr">
        <is>
          <t>MMCDLXVIII</t>
        </is>
      </c>
      <c r="C2469">
        <f>ROMAN(2468)</f>
        <v/>
      </c>
      <c r="D2469">
        <f>IF(B2469=C2469, "YES", "WRONG")</f>
        <v/>
      </c>
    </row>
    <row r="2470">
      <c r="A2470" t="n">
        <v>2469</v>
      </c>
      <c r="B2470" t="inlineStr">
        <is>
          <t>MMCDLXIX</t>
        </is>
      </c>
      <c r="C2470">
        <f>ROMAN(2469)</f>
        <v/>
      </c>
      <c r="D2470">
        <f>IF(B2470=C2470, "YES", "WRONG")</f>
        <v/>
      </c>
    </row>
    <row r="2471">
      <c r="A2471" t="n">
        <v>2470</v>
      </c>
      <c r="B2471" t="inlineStr">
        <is>
          <t>MMCDLXX</t>
        </is>
      </c>
      <c r="C2471">
        <f>ROMAN(2470)</f>
        <v/>
      </c>
      <c r="D2471">
        <f>IF(B2471=C2471, "YES", "WRONG")</f>
        <v/>
      </c>
    </row>
    <row r="2472">
      <c r="A2472" t="n">
        <v>2471</v>
      </c>
      <c r="B2472" t="inlineStr">
        <is>
          <t>MMCDLXXI</t>
        </is>
      </c>
      <c r="C2472">
        <f>ROMAN(2471)</f>
        <v/>
      </c>
      <c r="D2472">
        <f>IF(B2472=C2472, "YES", "WRONG")</f>
        <v/>
      </c>
    </row>
    <row r="2473">
      <c r="A2473" t="n">
        <v>2472</v>
      </c>
      <c r="B2473" t="inlineStr">
        <is>
          <t>MMCDLXXII</t>
        </is>
      </c>
      <c r="C2473">
        <f>ROMAN(2472)</f>
        <v/>
      </c>
      <c r="D2473">
        <f>IF(B2473=C2473, "YES", "WRONG")</f>
        <v/>
      </c>
    </row>
    <row r="2474">
      <c r="A2474" t="n">
        <v>2473</v>
      </c>
      <c r="B2474" t="inlineStr">
        <is>
          <t>MMCDLXXIII</t>
        </is>
      </c>
      <c r="C2474">
        <f>ROMAN(2473)</f>
        <v/>
      </c>
      <c r="D2474">
        <f>IF(B2474=C2474, "YES", "WRONG")</f>
        <v/>
      </c>
    </row>
    <row r="2475">
      <c r="A2475" t="n">
        <v>2474</v>
      </c>
      <c r="B2475" t="inlineStr">
        <is>
          <t>MMCDLXXIV</t>
        </is>
      </c>
      <c r="C2475">
        <f>ROMAN(2474)</f>
        <v/>
      </c>
      <c r="D2475">
        <f>IF(B2475=C2475, "YES", "WRONG")</f>
        <v/>
      </c>
    </row>
    <row r="2476">
      <c r="A2476" t="n">
        <v>2475</v>
      </c>
      <c r="B2476" t="inlineStr">
        <is>
          <t>MMCDLXXV</t>
        </is>
      </c>
      <c r="C2476">
        <f>ROMAN(2475)</f>
        <v/>
      </c>
      <c r="D2476">
        <f>IF(B2476=C2476, "YES", "WRONG")</f>
        <v/>
      </c>
    </row>
    <row r="2477">
      <c r="A2477" t="n">
        <v>2476</v>
      </c>
      <c r="B2477" t="inlineStr">
        <is>
          <t>MMCDLXXVI</t>
        </is>
      </c>
      <c r="C2477">
        <f>ROMAN(2476)</f>
        <v/>
      </c>
      <c r="D2477">
        <f>IF(B2477=C2477, "YES", "WRONG")</f>
        <v/>
      </c>
    </row>
    <row r="2478">
      <c r="A2478" t="n">
        <v>2477</v>
      </c>
      <c r="B2478" t="inlineStr">
        <is>
          <t>MMCDLXXVII</t>
        </is>
      </c>
      <c r="C2478">
        <f>ROMAN(2477)</f>
        <v/>
      </c>
      <c r="D2478">
        <f>IF(B2478=C2478, "YES", "WRONG")</f>
        <v/>
      </c>
    </row>
    <row r="2479">
      <c r="A2479" t="n">
        <v>2478</v>
      </c>
      <c r="B2479" t="inlineStr">
        <is>
          <t>MMCDLXXVIII</t>
        </is>
      </c>
      <c r="C2479">
        <f>ROMAN(2478)</f>
        <v/>
      </c>
      <c r="D2479">
        <f>IF(B2479=C2479, "YES", "WRONG")</f>
        <v/>
      </c>
    </row>
    <row r="2480">
      <c r="A2480" t="n">
        <v>2479</v>
      </c>
      <c r="B2480" t="inlineStr">
        <is>
          <t>MMCDLXXIX</t>
        </is>
      </c>
      <c r="C2480">
        <f>ROMAN(2479)</f>
        <v/>
      </c>
      <c r="D2480">
        <f>IF(B2480=C2480, "YES", "WRONG")</f>
        <v/>
      </c>
    </row>
    <row r="2481">
      <c r="A2481" t="n">
        <v>2480</v>
      </c>
      <c r="B2481" t="inlineStr">
        <is>
          <t>MMCDLXXX</t>
        </is>
      </c>
      <c r="C2481">
        <f>ROMAN(2480)</f>
        <v/>
      </c>
      <c r="D2481">
        <f>IF(B2481=C2481, "YES", "WRONG")</f>
        <v/>
      </c>
    </row>
    <row r="2482">
      <c r="A2482" t="n">
        <v>2481</v>
      </c>
      <c r="B2482" t="inlineStr">
        <is>
          <t>MMCDLXXXI</t>
        </is>
      </c>
      <c r="C2482">
        <f>ROMAN(2481)</f>
        <v/>
      </c>
      <c r="D2482">
        <f>IF(B2482=C2482, "YES", "WRONG")</f>
        <v/>
      </c>
    </row>
    <row r="2483">
      <c r="A2483" t="n">
        <v>2482</v>
      </c>
      <c r="B2483" t="inlineStr">
        <is>
          <t>MMCDLXXXII</t>
        </is>
      </c>
      <c r="C2483">
        <f>ROMAN(2482)</f>
        <v/>
      </c>
      <c r="D2483">
        <f>IF(B2483=C2483, "YES", "WRONG")</f>
        <v/>
      </c>
    </row>
    <row r="2484">
      <c r="A2484" t="n">
        <v>2483</v>
      </c>
      <c r="B2484" t="inlineStr">
        <is>
          <t>MMCDLXXXIII</t>
        </is>
      </c>
      <c r="C2484">
        <f>ROMAN(2483)</f>
        <v/>
      </c>
      <c r="D2484">
        <f>IF(B2484=C2484, "YES", "WRONG")</f>
        <v/>
      </c>
    </row>
    <row r="2485">
      <c r="A2485" t="n">
        <v>2484</v>
      </c>
      <c r="B2485" t="inlineStr">
        <is>
          <t>MMCDLXXXIV</t>
        </is>
      </c>
      <c r="C2485">
        <f>ROMAN(2484)</f>
        <v/>
      </c>
      <c r="D2485">
        <f>IF(B2485=C2485, "YES", "WRONG")</f>
        <v/>
      </c>
    </row>
    <row r="2486">
      <c r="A2486" t="n">
        <v>2485</v>
      </c>
      <c r="B2486" t="inlineStr">
        <is>
          <t>MMCDLXXXV</t>
        </is>
      </c>
      <c r="C2486">
        <f>ROMAN(2485)</f>
        <v/>
      </c>
      <c r="D2486">
        <f>IF(B2486=C2486, "YES", "WRONG")</f>
        <v/>
      </c>
    </row>
    <row r="2487">
      <c r="A2487" t="n">
        <v>2486</v>
      </c>
      <c r="B2487" t="inlineStr">
        <is>
          <t>MMCDLXXXVI</t>
        </is>
      </c>
      <c r="C2487">
        <f>ROMAN(2486)</f>
        <v/>
      </c>
      <c r="D2487">
        <f>IF(B2487=C2487, "YES", "WRONG")</f>
        <v/>
      </c>
    </row>
    <row r="2488">
      <c r="A2488" t="n">
        <v>2487</v>
      </c>
      <c r="B2488" t="inlineStr">
        <is>
          <t>MMCDLXXXVII</t>
        </is>
      </c>
      <c r="C2488">
        <f>ROMAN(2487)</f>
        <v/>
      </c>
      <c r="D2488">
        <f>IF(B2488=C2488, "YES", "WRONG")</f>
        <v/>
      </c>
    </row>
    <row r="2489">
      <c r="A2489" t="n">
        <v>2488</v>
      </c>
      <c r="B2489" t="inlineStr">
        <is>
          <t>MMCDLXXXVIII</t>
        </is>
      </c>
      <c r="C2489">
        <f>ROMAN(2488)</f>
        <v/>
      </c>
      <c r="D2489">
        <f>IF(B2489=C2489, "YES", "WRONG")</f>
        <v/>
      </c>
    </row>
    <row r="2490">
      <c r="A2490" t="n">
        <v>2489</v>
      </c>
      <c r="B2490" t="inlineStr">
        <is>
          <t>MMCDLXXXIX</t>
        </is>
      </c>
      <c r="C2490">
        <f>ROMAN(2489)</f>
        <v/>
      </c>
      <c r="D2490">
        <f>IF(B2490=C2490, "YES", "WRONG")</f>
        <v/>
      </c>
    </row>
    <row r="2491">
      <c r="A2491" t="n">
        <v>2490</v>
      </c>
      <c r="B2491" t="inlineStr">
        <is>
          <t>MMCDXC</t>
        </is>
      </c>
      <c r="C2491">
        <f>ROMAN(2490)</f>
        <v/>
      </c>
      <c r="D2491">
        <f>IF(B2491=C2491, "YES", "WRONG")</f>
        <v/>
      </c>
    </row>
    <row r="2492">
      <c r="A2492" t="n">
        <v>2491</v>
      </c>
      <c r="B2492" t="inlineStr">
        <is>
          <t>MMCDXCI</t>
        </is>
      </c>
      <c r="C2492">
        <f>ROMAN(2491)</f>
        <v/>
      </c>
      <c r="D2492">
        <f>IF(B2492=C2492, "YES", "WRONG")</f>
        <v/>
      </c>
    </row>
    <row r="2493">
      <c r="A2493" t="n">
        <v>2492</v>
      </c>
      <c r="B2493" t="inlineStr">
        <is>
          <t>MMCDXCII</t>
        </is>
      </c>
      <c r="C2493">
        <f>ROMAN(2492)</f>
        <v/>
      </c>
      <c r="D2493">
        <f>IF(B2493=C2493, "YES", "WRONG")</f>
        <v/>
      </c>
    </row>
    <row r="2494">
      <c r="A2494" t="n">
        <v>2493</v>
      </c>
      <c r="B2494" t="inlineStr">
        <is>
          <t>MMCDXCIII</t>
        </is>
      </c>
      <c r="C2494">
        <f>ROMAN(2493)</f>
        <v/>
      </c>
      <c r="D2494">
        <f>IF(B2494=C2494, "YES", "WRONG")</f>
        <v/>
      </c>
    </row>
    <row r="2495">
      <c r="A2495" t="n">
        <v>2494</v>
      </c>
      <c r="B2495" t="inlineStr">
        <is>
          <t>MMCDXCIV</t>
        </is>
      </c>
      <c r="C2495">
        <f>ROMAN(2494)</f>
        <v/>
      </c>
      <c r="D2495">
        <f>IF(B2495=C2495, "YES", "WRONG")</f>
        <v/>
      </c>
    </row>
    <row r="2496">
      <c r="A2496" t="n">
        <v>2495</v>
      </c>
      <c r="B2496" t="inlineStr">
        <is>
          <t>MMCDXCV</t>
        </is>
      </c>
      <c r="C2496">
        <f>ROMAN(2495)</f>
        <v/>
      </c>
      <c r="D2496">
        <f>IF(B2496=C2496, "YES", "WRONG")</f>
        <v/>
      </c>
    </row>
    <row r="2497">
      <c r="A2497" t="n">
        <v>2496</v>
      </c>
      <c r="B2497" t="inlineStr">
        <is>
          <t>MMCDXCVI</t>
        </is>
      </c>
      <c r="C2497">
        <f>ROMAN(2496)</f>
        <v/>
      </c>
      <c r="D2497">
        <f>IF(B2497=C2497, "YES", "WRONG")</f>
        <v/>
      </c>
    </row>
    <row r="2498">
      <c r="A2498" t="n">
        <v>2497</v>
      </c>
      <c r="B2498" t="inlineStr">
        <is>
          <t>MMCDXCVII</t>
        </is>
      </c>
      <c r="C2498">
        <f>ROMAN(2497)</f>
        <v/>
      </c>
      <c r="D2498">
        <f>IF(B2498=C2498, "YES", "WRONG")</f>
        <v/>
      </c>
    </row>
    <row r="2499">
      <c r="A2499" t="n">
        <v>2498</v>
      </c>
      <c r="B2499" t="inlineStr">
        <is>
          <t>MMCDXCVIII</t>
        </is>
      </c>
      <c r="C2499">
        <f>ROMAN(2498)</f>
        <v/>
      </c>
      <c r="D2499">
        <f>IF(B2499=C2499, "YES", "WRONG")</f>
        <v/>
      </c>
    </row>
    <row r="2500">
      <c r="A2500" t="n">
        <v>2499</v>
      </c>
      <c r="B2500" t="inlineStr">
        <is>
          <t>MMCDXCIX</t>
        </is>
      </c>
      <c r="C2500">
        <f>ROMAN(2499)</f>
        <v/>
      </c>
      <c r="D2500">
        <f>IF(B2500=C2500, "YES", "WRONG")</f>
        <v/>
      </c>
    </row>
    <row r="2501">
      <c r="A2501" t="n">
        <v>2500</v>
      </c>
      <c r="B2501" t="inlineStr">
        <is>
          <t>MMD</t>
        </is>
      </c>
      <c r="C2501">
        <f>ROMAN(2500)</f>
        <v/>
      </c>
      <c r="D2501">
        <f>IF(B2501=C2501, "YES", "WRONG")</f>
        <v/>
      </c>
    </row>
    <row r="2502">
      <c r="A2502" t="n">
        <v>2501</v>
      </c>
      <c r="B2502" t="inlineStr">
        <is>
          <t>MMDI</t>
        </is>
      </c>
      <c r="C2502">
        <f>ROMAN(2501)</f>
        <v/>
      </c>
      <c r="D2502">
        <f>IF(B2502=C2502, "YES", "WRONG")</f>
        <v/>
      </c>
    </row>
    <row r="2503">
      <c r="A2503" t="n">
        <v>2502</v>
      </c>
      <c r="B2503" t="inlineStr">
        <is>
          <t>MMDII</t>
        </is>
      </c>
      <c r="C2503">
        <f>ROMAN(2502)</f>
        <v/>
      </c>
      <c r="D2503">
        <f>IF(B2503=C2503, "YES", "WRONG")</f>
        <v/>
      </c>
    </row>
    <row r="2504">
      <c r="A2504" t="n">
        <v>2503</v>
      </c>
      <c r="B2504" t="inlineStr">
        <is>
          <t>MMDIII</t>
        </is>
      </c>
      <c r="C2504">
        <f>ROMAN(2503)</f>
        <v/>
      </c>
      <c r="D2504">
        <f>IF(B2504=C2504, "YES", "WRONG")</f>
        <v/>
      </c>
    </row>
    <row r="2505">
      <c r="A2505" t="n">
        <v>2504</v>
      </c>
      <c r="B2505" t="inlineStr">
        <is>
          <t>MMDIV</t>
        </is>
      </c>
      <c r="C2505">
        <f>ROMAN(2504)</f>
        <v/>
      </c>
      <c r="D2505">
        <f>IF(B2505=C2505, "YES", "WRONG")</f>
        <v/>
      </c>
    </row>
    <row r="2506">
      <c r="A2506" t="n">
        <v>2505</v>
      </c>
      <c r="B2506" t="inlineStr">
        <is>
          <t>MMDV</t>
        </is>
      </c>
      <c r="C2506">
        <f>ROMAN(2505)</f>
        <v/>
      </c>
      <c r="D2506">
        <f>IF(B2506=C2506, "YES", "WRONG")</f>
        <v/>
      </c>
    </row>
    <row r="2507">
      <c r="A2507" t="n">
        <v>2506</v>
      </c>
      <c r="B2507" t="inlineStr">
        <is>
          <t>MMDVI</t>
        </is>
      </c>
      <c r="C2507">
        <f>ROMAN(2506)</f>
        <v/>
      </c>
      <c r="D2507">
        <f>IF(B2507=C2507, "YES", "WRONG")</f>
        <v/>
      </c>
    </row>
    <row r="2508">
      <c r="A2508" t="n">
        <v>2507</v>
      </c>
      <c r="B2508" t="inlineStr">
        <is>
          <t>MMDVII</t>
        </is>
      </c>
      <c r="C2508">
        <f>ROMAN(2507)</f>
        <v/>
      </c>
      <c r="D2508">
        <f>IF(B2508=C2508, "YES", "WRONG")</f>
        <v/>
      </c>
    </row>
    <row r="2509">
      <c r="A2509" t="n">
        <v>2508</v>
      </c>
      <c r="B2509" t="inlineStr">
        <is>
          <t>MMDVIII</t>
        </is>
      </c>
      <c r="C2509">
        <f>ROMAN(2508)</f>
        <v/>
      </c>
      <c r="D2509">
        <f>IF(B2509=C2509, "YES", "WRONG")</f>
        <v/>
      </c>
    </row>
    <row r="2510">
      <c r="A2510" t="n">
        <v>2509</v>
      </c>
      <c r="B2510" t="inlineStr">
        <is>
          <t>MMDIX</t>
        </is>
      </c>
      <c r="C2510">
        <f>ROMAN(2509)</f>
        <v/>
      </c>
      <c r="D2510">
        <f>IF(B2510=C2510, "YES", "WRONG")</f>
        <v/>
      </c>
    </row>
    <row r="2511">
      <c r="A2511" t="n">
        <v>2510</v>
      </c>
      <c r="B2511" t="inlineStr">
        <is>
          <t>MMDX</t>
        </is>
      </c>
      <c r="C2511">
        <f>ROMAN(2510)</f>
        <v/>
      </c>
      <c r="D2511">
        <f>IF(B2511=C2511, "YES", "WRONG")</f>
        <v/>
      </c>
    </row>
    <row r="2512">
      <c r="A2512" t="n">
        <v>2511</v>
      </c>
      <c r="B2512" t="inlineStr">
        <is>
          <t>MMDXI</t>
        </is>
      </c>
      <c r="C2512">
        <f>ROMAN(2511)</f>
        <v/>
      </c>
      <c r="D2512">
        <f>IF(B2512=C2512, "YES", "WRONG")</f>
        <v/>
      </c>
    </row>
    <row r="2513">
      <c r="A2513" t="n">
        <v>2512</v>
      </c>
      <c r="B2513" t="inlineStr">
        <is>
          <t>MMDXII</t>
        </is>
      </c>
      <c r="C2513">
        <f>ROMAN(2512)</f>
        <v/>
      </c>
      <c r="D2513">
        <f>IF(B2513=C2513, "YES", "WRONG")</f>
        <v/>
      </c>
    </row>
    <row r="2514">
      <c r="A2514" t="n">
        <v>2513</v>
      </c>
      <c r="B2514" t="inlineStr">
        <is>
          <t>MMDXIII</t>
        </is>
      </c>
      <c r="C2514">
        <f>ROMAN(2513)</f>
        <v/>
      </c>
      <c r="D2514">
        <f>IF(B2514=C2514, "YES", "WRONG")</f>
        <v/>
      </c>
    </row>
    <row r="2515">
      <c r="A2515" t="n">
        <v>2514</v>
      </c>
      <c r="B2515" t="inlineStr">
        <is>
          <t>MMDXIV</t>
        </is>
      </c>
      <c r="C2515">
        <f>ROMAN(2514)</f>
        <v/>
      </c>
      <c r="D2515">
        <f>IF(B2515=C2515, "YES", "WRONG")</f>
        <v/>
      </c>
    </row>
    <row r="2516">
      <c r="A2516" t="n">
        <v>2515</v>
      </c>
      <c r="B2516" t="inlineStr">
        <is>
          <t>MMDXV</t>
        </is>
      </c>
      <c r="C2516">
        <f>ROMAN(2515)</f>
        <v/>
      </c>
      <c r="D2516">
        <f>IF(B2516=C2516, "YES", "WRONG")</f>
        <v/>
      </c>
    </row>
    <row r="2517">
      <c r="A2517" t="n">
        <v>2516</v>
      </c>
      <c r="B2517" t="inlineStr">
        <is>
          <t>MMDXVI</t>
        </is>
      </c>
      <c r="C2517">
        <f>ROMAN(2516)</f>
        <v/>
      </c>
      <c r="D2517">
        <f>IF(B2517=C2517, "YES", "WRONG")</f>
        <v/>
      </c>
    </row>
    <row r="2518">
      <c r="A2518" t="n">
        <v>2517</v>
      </c>
      <c r="B2518" t="inlineStr">
        <is>
          <t>MMDXVII</t>
        </is>
      </c>
      <c r="C2518">
        <f>ROMAN(2517)</f>
        <v/>
      </c>
      <c r="D2518">
        <f>IF(B2518=C2518, "YES", "WRONG")</f>
        <v/>
      </c>
    </row>
    <row r="2519">
      <c r="A2519" t="n">
        <v>2518</v>
      </c>
      <c r="B2519" t="inlineStr">
        <is>
          <t>MMDXVIII</t>
        </is>
      </c>
      <c r="C2519">
        <f>ROMAN(2518)</f>
        <v/>
      </c>
      <c r="D2519">
        <f>IF(B2519=C2519, "YES", "WRONG")</f>
        <v/>
      </c>
    </row>
    <row r="2520">
      <c r="A2520" t="n">
        <v>2519</v>
      </c>
      <c r="B2520" t="inlineStr">
        <is>
          <t>MMDXIX</t>
        </is>
      </c>
      <c r="C2520">
        <f>ROMAN(2519)</f>
        <v/>
      </c>
      <c r="D2520">
        <f>IF(B2520=C2520, "YES", "WRONG")</f>
        <v/>
      </c>
    </row>
    <row r="2521">
      <c r="A2521" t="n">
        <v>2520</v>
      </c>
      <c r="B2521" t="inlineStr">
        <is>
          <t>MMDXX</t>
        </is>
      </c>
      <c r="C2521">
        <f>ROMAN(2520)</f>
        <v/>
      </c>
      <c r="D2521">
        <f>IF(B2521=C2521, "YES", "WRONG")</f>
        <v/>
      </c>
    </row>
    <row r="2522">
      <c r="A2522" t="n">
        <v>2521</v>
      </c>
      <c r="B2522" t="inlineStr">
        <is>
          <t>MMDXXI</t>
        </is>
      </c>
      <c r="C2522">
        <f>ROMAN(2521)</f>
        <v/>
      </c>
      <c r="D2522">
        <f>IF(B2522=C2522, "YES", "WRONG")</f>
        <v/>
      </c>
    </row>
    <row r="2523">
      <c r="A2523" t="n">
        <v>2522</v>
      </c>
      <c r="B2523" t="inlineStr">
        <is>
          <t>MMDXXII</t>
        </is>
      </c>
      <c r="C2523">
        <f>ROMAN(2522)</f>
        <v/>
      </c>
      <c r="D2523">
        <f>IF(B2523=C2523, "YES", "WRONG")</f>
        <v/>
      </c>
    </row>
    <row r="2524">
      <c r="A2524" t="n">
        <v>2523</v>
      </c>
      <c r="B2524" t="inlineStr">
        <is>
          <t>MMDXXIII</t>
        </is>
      </c>
      <c r="C2524">
        <f>ROMAN(2523)</f>
        <v/>
      </c>
      <c r="D2524">
        <f>IF(B2524=C2524, "YES", "WRONG")</f>
        <v/>
      </c>
    </row>
    <row r="2525">
      <c r="A2525" t="n">
        <v>2524</v>
      </c>
      <c r="B2525" t="inlineStr">
        <is>
          <t>MMDXXIV</t>
        </is>
      </c>
      <c r="C2525">
        <f>ROMAN(2524)</f>
        <v/>
      </c>
      <c r="D2525">
        <f>IF(B2525=C2525, "YES", "WRONG")</f>
        <v/>
      </c>
    </row>
    <row r="2526">
      <c r="A2526" t="n">
        <v>2525</v>
      </c>
      <c r="B2526" t="inlineStr">
        <is>
          <t>MMDXXV</t>
        </is>
      </c>
      <c r="C2526">
        <f>ROMAN(2525)</f>
        <v/>
      </c>
      <c r="D2526">
        <f>IF(B2526=C2526, "YES", "WRONG")</f>
        <v/>
      </c>
    </row>
    <row r="2527">
      <c r="A2527" t="n">
        <v>2526</v>
      </c>
      <c r="B2527" t="inlineStr">
        <is>
          <t>MMDXXVI</t>
        </is>
      </c>
      <c r="C2527">
        <f>ROMAN(2526)</f>
        <v/>
      </c>
      <c r="D2527">
        <f>IF(B2527=C2527, "YES", "WRONG")</f>
        <v/>
      </c>
    </row>
    <row r="2528">
      <c r="A2528" t="n">
        <v>2527</v>
      </c>
      <c r="B2528" t="inlineStr">
        <is>
          <t>MMDXXVII</t>
        </is>
      </c>
      <c r="C2528">
        <f>ROMAN(2527)</f>
        <v/>
      </c>
      <c r="D2528">
        <f>IF(B2528=C2528, "YES", "WRONG")</f>
        <v/>
      </c>
    </row>
    <row r="2529">
      <c r="A2529" t="n">
        <v>2528</v>
      </c>
      <c r="B2529" t="inlineStr">
        <is>
          <t>MMDXXVIII</t>
        </is>
      </c>
      <c r="C2529">
        <f>ROMAN(2528)</f>
        <v/>
      </c>
      <c r="D2529">
        <f>IF(B2529=C2529, "YES", "WRONG")</f>
        <v/>
      </c>
    </row>
    <row r="2530">
      <c r="A2530" t="n">
        <v>2529</v>
      </c>
      <c r="B2530" t="inlineStr">
        <is>
          <t>MMDXXIX</t>
        </is>
      </c>
      <c r="C2530">
        <f>ROMAN(2529)</f>
        <v/>
      </c>
      <c r="D2530">
        <f>IF(B2530=C2530, "YES", "WRONG")</f>
        <v/>
      </c>
    </row>
    <row r="2531">
      <c r="A2531" t="n">
        <v>2530</v>
      </c>
      <c r="B2531" t="inlineStr">
        <is>
          <t>MMDXXX</t>
        </is>
      </c>
      <c r="C2531">
        <f>ROMAN(2530)</f>
        <v/>
      </c>
      <c r="D2531">
        <f>IF(B2531=C2531, "YES", "WRONG")</f>
        <v/>
      </c>
    </row>
    <row r="2532">
      <c r="A2532" t="n">
        <v>2531</v>
      </c>
      <c r="B2532" t="inlineStr">
        <is>
          <t>MMDXXXI</t>
        </is>
      </c>
      <c r="C2532">
        <f>ROMAN(2531)</f>
        <v/>
      </c>
      <c r="D2532">
        <f>IF(B2532=C2532, "YES", "WRONG")</f>
        <v/>
      </c>
    </row>
    <row r="2533">
      <c r="A2533" t="n">
        <v>2532</v>
      </c>
      <c r="B2533" t="inlineStr">
        <is>
          <t>MMDXXXII</t>
        </is>
      </c>
      <c r="C2533">
        <f>ROMAN(2532)</f>
        <v/>
      </c>
      <c r="D2533">
        <f>IF(B2533=C2533, "YES", "WRONG")</f>
        <v/>
      </c>
    </row>
    <row r="2534">
      <c r="A2534" t="n">
        <v>2533</v>
      </c>
      <c r="B2534" t="inlineStr">
        <is>
          <t>MMDXXXIII</t>
        </is>
      </c>
      <c r="C2534">
        <f>ROMAN(2533)</f>
        <v/>
      </c>
      <c r="D2534">
        <f>IF(B2534=C2534, "YES", "WRONG")</f>
        <v/>
      </c>
    </row>
    <row r="2535">
      <c r="A2535" t="n">
        <v>2534</v>
      </c>
      <c r="B2535" t="inlineStr">
        <is>
          <t>MMDXXXIV</t>
        </is>
      </c>
      <c r="C2535">
        <f>ROMAN(2534)</f>
        <v/>
      </c>
      <c r="D2535">
        <f>IF(B2535=C2535, "YES", "WRONG")</f>
        <v/>
      </c>
    </row>
    <row r="2536">
      <c r="A2536" t="n">
        <v>2535</v>
      </c>
      <c r="B2536" t="inlineStr">
        <is>
          <t>MMDXXXV</t>
        </is>
      </c>
      <c r="C2536">
        <f>ROMAN(2535)</f>
        <v/>
      </c>
      <c r="D2536">
        <f>IF(B2536=C2536, "YES", "WRONG")</f>
        <v/>
      </c>
    </row>
    <row r="2537">
      <c r="A2537" t="n">
        <v>2536</v>
      </c>
      <c r="B2537" t="inlineStr">
        <is>
          <t>MMDXXXVI</t>
        </is>
      </c>
      <c r="C2537">
        <f>ROMAN(2536)</f>
        <v/>
      </c>
      <c r="D2537">
        <f>IF(B2537=C2537, "YES", "WRONG")</f>
        <v/>
      </c>
    </row>
    <row r="2538">
      <c r="A2538" t="n">
        <v>2537</v>
      </c>
      <c r="B2538" t="inlineStr">
        <is>
          <t>MMDXXXVII</t>
        </is>
      </c>
      <c r="C2538">
        <f>ROMAN(2537)</f>
        <v/>
      </c>
      <c r="D2538">
        <f>IF(B2538=C2538, "YES", "WRONG")</f>
        <v/>
      </c>
    </row>
    <row r="2539">
      <c r="A2539" t="n">
        <v>2538</v>
      </c>
      <c r="B2539" t="inlineStr">
        <is>
          <t>MMDXXXVIII</t>
        </is>
      </c>
      <c r="C2539">
        <f>ROMAN(2538)</f>
        <v/>
      </c>
      <c r="D2539">
        <f>IF(B2539=C2539, "YES", "WRONG")</f>
        <v/>
      </c>
    </row>
    <row r="2540">
      <c r="A2540" t="n">
        <v>2539</v>
      </c>
      <c r="B2540" t="inlineStr">
        <is>
          <t>MMDXXXIX</t>
        </is>
      </c>
      <c r="C2540">
        <f>ROMAN(2539)</f>
        <v/>
      </c>
      <c r="D2540">
        <f>IF(B2540=C2540, "YES", "WRONG")</f>
        <v/>
      </c>
    </row>
    <row r="2541">
      <c r="A2541" t="n">
        <v>2540</v>
      </c>
      <c r="B2541" t="inlineStr">
        <is>
          <t>MMDXL</t>
        </is>
      </c>
      <c r="C2541">
        <f>ROMAN(2540)</f>
        <v/>
      </c>
      <c r="D2541">
        <f>IF(B2541=C2541, "YES", "WRONG")</f>
        <v/>
      </c>
    </row>
    <row r="2542">
      <c r="A2542" t="n">
        <v>2541</v>
      </c>
      <c r="B2542" t="inlineStr">
        <is>
          <t>MMDXLI</t>
        </is>
      </c>
      <c r="C2542">
        <f>ROMAN(2541)</f>
        <v/>
      </c>
      <c r="D2542">
        <f>IF(B2542=C2542, "YES", "WRONG")</f>
        <v/>
      </c>
    </row>
    <row r="2543">
      <c r="A2543" t="n">
        <v>2542</v>
      </c>
      <c r="B2543" t="inlineStr">
        <is>
          <t>MMDXLII</t>
        </is>
      </c>
      <c r="C2543">
        <f>ROMAN(2542)</f>
        <v/>
      </c>
      <c r="D2543">
        <f>IF(B2543=C2543, "YES", "WRONG")</f>
        <v/>
      </c>
    </row>
    <row r="2544">
      <c r="A2544" t="n">
        <v>2543</v>
      </c>
      <c r="B2544" t="inlineStr">
        <is>
          <t>MMDXLIII</t>
        </is>
      </c>
      <c r="C2544">
        <f>ROMAN(2543)</f>
        <v/>
      </c>
      <c r="D2544">
        <f>IF(B2544=C2544, "YES", "WRONG")</f>
        <v/>
      </c>
    </row>
    <row r="2545">
      <c r="A2545" t="n">
        <v>2544</v>
      </c>
      <c r="B2545" t="inlineStr">
        <is>
          <t>MMDXLIV</t>
        </is>
      </c>
      <c r="C2545">
        <f>ROMAN(2544)</f>
        <v/>
      </c>
      <c r="D2545">
        <f>IF(B2545=C2545, "YES", "WRONG")</f>
        <v/>
      </c>
    </row>
    <row r="2546">
      <c r="A2546" t="n">
        <v>2545</v>
      </c>
      <c r="B2546" t="inlineStr">
        <is>
          <t>MMDXLV</t>
        </is>
      </c>
      <c r="C2546">
        <f>ROMAN(2545)</f>
        <v/>
      </c>
      <c r="D2546">
        <f>IF(B2546=C2546, "YES", "WRONG")</f>
        <v/>
      </c>
    </row>
    <row r="2547">
      <c r="A2547" t="n">
        <v>2546</v>
      </c>
      <c r="B2547" t="inlineStr">
        <is>
          <t>MMDXLVI</t>
        </is>
      </c>
      <c r="C2547">
        <f>ROMAN(2546)</f>
        <v/>
      </c>
      <c r="D2547">
        <f>IF(B2547=C2547, "YES", "WRONG")</f>
        <v/>
      </c>
    </row>
    <row r="2548">
      <c r="A2548" t="n">
        <v>2547</v>
      </c>
      <c r="B2548" t="inlineStr">
        <is>
          <t>MMDXLVII</t>
        </is>
      </c>
      <c r="C2548">
        <f>ROMAN(2547)</f>
        <v/>
      </c>
      <c r="D2548">
        <f>IF(B2548=C2548, "YES", "WRONG")</f>
        <v/>
      </c>
    </row>
    <row r="2549">
      <c r="A2549" t="n">
        <v>2548</v>
      </c>
      <c r="B2549" t="inlineStr">
        <is>
          <t>MMDXLVIII</t>
        </is>
      </c>
      <c r="C2549">
        <f>ROMAN(2548)</f>
        <v/>
      </c>
      <c r="D2549">
        <f>IF(B2549=C2549, "YES", "WRONG")</f>
        <v/>
      </c>
    </row>
    <row r="2550">
      <c r="A2550" t="n">
        <v>2549</v>
      </c>
      <c r="B2550" t="inlineStr">
        <is>
          <t>MMDXLIX</t>
        </is>
      </c>
      <c r="C2550">
        <f>ROMAN(2549)</f>
        <v/>
      </c>
      <c r="D2550">
        <f>IF(B2550=C2550, "YES", "WRONG")</f>
        <v/>
      </c>
    </row>
    <row r="2551">
      <c r="A2551" t="n">
        <v>2550</v>
      </c>
      <c r="B2551" t="inlineStr">
        <is>
          <t>MMDL</t>
        </is>
      </c>
      <c r="C2551">
        <f>ROMAN(2550)</f>
        <v/>
      </c>
      <c r="D2551">
        <f>IF(B2551=C2551, "YES", "WRONG")</f>
        <v/>
      </c>
    </row>
    <row r="2552">
      <c r="A2552" t="n">
        <v>2551</v>
      </c>
      <c r="B2552" t="inlineStr">
        <is>
          <t>MMDLI</t>
        </is>
      </c>
      <c r="C2552">
        <f>ROMAN(2551)</f>
        <v/>
      </c>
      <c r="D2552">
        <f>IF(B2552=C2552, "YES", "WRONG")</f>
        <v/>
      </c>
    </row>
    <row r="2553">
      <c r="A2553" t="n">
        <v>2552</v>
      </c>
      <c r="B2553" t="inlineStr">
        <is>
          <t>MMDLII</t>
        </is>
      </c>
      <c r="C2553">
        <f>ROMAN(2552)</f>
        <v/>
      </c>
      <c r="D2553">
        <f>IF(B2553=C2553, "YES", "WRONG")</f>
        <v/>
      </c>
    </row>
    <row r="2554">
      <c r="A2554" t="n">
        <v>2553</v>
      </c>
      <c r="B2554" t="inlineStr">
        <is>
          <t>MMDLIII</t>
        </is>
      </c>
      <c r="C2554">
        <f>ROMAN(2553)</f>
        <v/>
      </c>
      <c r="D2554">
        <f>IF(B2554=C2554, "YES", "WRONG")</f>
        <v/>
      </c>
    </row>
    <row r="2555">
      <c r="A2555" t="n">
        <v>2554</v>
      </c>
      <c r="B2555" t="inlineStr">
        <is>
          <t>MMDLIV</t>
        </is>
      </c>
      <c r="C2555">
        <f>ROMAN(2554)</f>
        <v/>
      </c>
      <c r="D2555">
        <f>IF(B2555=C2555, "YES", "WRONG")</f>
        <v/>
      </c>
    </row>
    <row r="2556">
      <c r="A2556" t="n">
        <v>2555</v>
      </c>
      <c r="B2556" t="inlineStr">
        <is>
          <t>MMDLV</t>
        </is>
      </c>
      <c r="C2556">
        <f>ROMAN(2555)</f>
        <v/>
      </c>
      <c r="D2556">
        <f>IF(B2556=C2556, "YES", "WRONG")</f>
        <v/>
      </c>
    </row>
    <row r="2557">
      <c r="A2557" t="n">
        <v>2556</v>
      </c>
      <c r="B2557" t="inlineStr">
        <is>
          <t>MMDLVI</t>
        </is>
      </c>
      <c r="C2557">
        <f>ROMAN(2556)</f>
        <v/>
      </c>
      <c r="D2557">
        <f>IF(B2557=C2557, "YES", "WRONG")</f>
        <v/>
      </c>
    </row>
    <row r="2558">
      <c r="A2558" t="n">
        <v>2557</v>
      </c>
      <c r="B2558" t="inlineStr">
        <is>
          <t>MMDLVII</t>
        </is>
      </c>
      <c r="C2558">
        <f>ROMAN(2557)</f>
        <v/>
      </c>
      <c r="D2558">
        <f>IF(B2558=C2558, "YES", "WRONG")</f>
        <v/>
      </c>
    </row>
    <row r="2559">
      <c r="A2559" t="n">
        <v>2558</v>
      </c>
      <c r="B2559" t="inlineStr">
        <is>
          <t>MMDLVIII</t>
        </is>
      </c>
      <c r="C2559">
        <f>ROMAN(2558)</f>
        <v/>
      </c>
      <c r="D2559">
        <f>IF(B2559=C2559, "YES", "WRONG")</f>
        <v/>
      </c>
    </row>
    <row r="2560">
      <c r="A2560" t="n">
        <v>2559</v>
      </c>
      <c r="B2560" t="inlineStr">
        <is>
          <t>MMDLIX</t>
        </is>
      </c>
      <c r="C2560">
        <f>ROMAN(2559)</f>
        <v/>
      </c>
      <c r="D2560">
        <f>IF(B2560=C2560, "YES", "WRONG")</f>
        <v/>
      </c>
    </row>
    <row r="2561">
      <c r="A2561" t="n">
        <v>2560</v>
      </c>
      <c r="B2561" t="inlineStr">
        <is>
          <t>MMDLX</t>
        </is>
      </c>
      <c r="C2561">
        <f>ROMAN(2560)</f>
        <v/>
      </c>
      <c r="D2561">
        <f>IF(B2561=C2561, "YES", "WRONG")</f>
        <v/>
      </c>
    </row>
    <row r="2562">
      <c r="A2562" t="n">
        <v>2561</v>
      </c>
      <c r="B2562" t="inlineStr">
        <is>
          <t>MMDLXI</t>
        </is>
      </c>
      <c r="C2562">
        <f>ROMAN(2561)</f>
        <v/>
      </c>
      <c r="D2562">
        <f>IF(B2562=C2562, "YES", "WRONG")</f>
        <v/>
      </c>
    </row>
    <row r="2563">
      <c r="A2563" t="n">
        <v>2562</v>
      </c>
      <c r="B2563" t="inlineStr">
        <is>
          <t>MMDLXII</t>
        </is>
      </c>
      <c r="C2563">
        <f>ROMAN(2562)</f>
        <v/>
      </c>
      <c r="D2563">
        <f>IF(B2563=C2563, "YES", "WRONG")</f>
        <v/>
      </c>
    </row>
    <row r="2564">
      <c r="A2564" t="n">
        <v>2563</v>
      </c>
      <c r="B2564" t="inlineStr">
        <is>
          <t>MMDLXIII</t>
        </is>
      </c>
      <c r="C2564">
        <f>ROMAN(2563)</f>
        <v/>
      </c>
      <c r="D2564">
        <f>IF(B2564=C2564, "YES", "WRONG")</f>
        <v/>
      </c>
    </row>
    <row r="2565">
      <c r="A2565" t="n">
        <v>2564</v>
      </c>
      <c r="B2565" t="inlineStr">
        <is>
          <t>MMDLXIV</t>
        </is>
      </c>
      <c r="C2565">
        <f>ROMAN(2564)</f>
        <v/>
      </c>
      <c r="D2565">
        <f>IF(B2565=C2565, "YES", "WRONG")</f>
        <v/>
      </c>
    </row>
    <row r="2566">
      <c r="A2566" t="n">
        <v>2565</v>
      </c>
      <c r="B2566" t="inlineStr">
        <is>
          <t>MMDLXV</t>
        </is>
      </c>
      <c r="C2566">
        <f>ROMAN(2565)</f>
        <v/>
      </c>
      <c r="D2566">
        <f>IF(B2566=C2566, "YES", "WRONG")</f>
        <v/>
      </c>
    </row>
    <row r="2567">
      <c r="A2567" t="n">
        <v>2566</v>
      </c>
      <c r="B2567" t="inlineStr">
        <is>
          <t>MMDLXVI</t>
        </is>
      </c>
      <c r="C2567">
        <f>ROMAN(2566)</f>
        <v/>
      </c>
      <c r="D2567">
        <f>IF(B2567=C2567, "YES", "WRONG")</f>
        <v/>
      </c>
    </row>
    <row r="2568">
      <c r="A2568" t="n">
        <v>2567</v>
      </c>
      <c r="B2568" t="inlineStr">
        <is>
          <t>MMDLXVII</t>
        </is>
      </c>
      <c r="C2568">
        <f>ROMAN(2567)</f>
        <v/>
      </c>
      <c r="D2568">
        <f>IF(B2568=C2568, "YES", "WRONG")</f>
        <v/>
      </c>
    </row>
    <row r="2569">
      <c r="A2569" t="n">
        <v>2568</v>
      </c>
      <c r="B2569" t="inlineStr">
        <is>
          <t>MMDLXVIII</t>
        </is>
      </c>
      <c r="C2569">
        <f>ROMAN(2568)</f>
        <v/>
      </c>
      <c r="D2569">
        <f>IF(B2569=C2569, "YES", "WRONG")</f>
        <v/>
      </c>
    </row>
    <row r="2570">
      <c r="A2570" t="n">
        <v>2569</v>
      </c>
      <c r="B2570" t="inlineStr">
        <is>
          <t>MMDLXIX</t>
        </is>
      </c>
      <c r="C2570">
        <f>ROMAN(2569)</f>
        <v/>
      </c>
      <c r="D2570">
        <f>IF(B2570=C2570, "YES", "WRONG")</f>
        <v/>
      </c>
    </row>
    <row r="2571">
      <c r="A2571" t="n">
        <v>2570</v>
      </c>
      <c r="B2571" t="inlineStr">
        <is>
          <t>MMDLXX</t>
        </is>
      </c>
      <c r="C2571">
        <f>ROMAN(2570)</f>
        <v/>
      </c>
      <c r="D2571">
        <f>IF(B2571=C2571, "YES", "WRONG")</f>
        <v/>
      </c>
    </row>
    <row r="2572">
      <c r="A2572" t="n">
        <v>2571</v>
      </c>
      <c r="B2572" t="inlineStr">
        <is>
          <t>MMDLXXI</t>
        </is>
      </c>
      <c r="C2572">
        <f>ROMAN(2571)</f>
        <v/>
      </c>
      <c r="D2572">
        <f>IF(B2572=C2572, "YES", "WRONG")</f>
        <v/>
      </c>
    </row>
    <row r="2573">
      <c r="A2573" t="n">
        <v>2572</v>
      </c>
      <c r="B2573" t="inlineStr">
        <is>
          <t>MMDLXXII</t>
        </is>
      </c>
      <c r="C2573">
        <f>ROMAN(2572)</f>
        <v/>
      </c>
      <c r="D2573">
        <f>IF(B2573=C2573, "YES", "WRONG")</f>
        <v/>
      </c>
    </row>
    <row r="2574">
      <c r="A2574" t="n">
        <v>2573</v>
      </c>
      <c r="B2574" t="inlineStr">
        <is>
          <t>MMDLXXIII</t>
        </is>
      </c>
      <c r="C2574">
        <f>ROMAN(2573)</f>
        <v/>
      </c>
      <c r="D2574">
        <f>IF(B2574=C2574, "YES", "WRONG")</f>
        <v/>
      </c>
    </row>
    <row r="2575">
      <c r="A2575" t="n">
        <v>2574</v>
      </c>
      <c r="B2575" t="inlineStr">
        <is>
          <t>MMDLXXIV</t>
        </is>
      </c>
      <c r="C2575">
        <f>ROMAN(2574)</f>
        <v/>
      </c>
      <c r="D2575">
        <f>IF(B2575=C2575, "YES", "WRONG")</f>
        <v/>
      </c>
    </row>
    <row r="2576">
      <c r="A2576" t="n">
        <v>2575</v>
      </c>
      <c r="B2576" t="inlineStr">
        <is>
          <t>MMDLXXV</t>
        </is>
      </c>
      <c r="C2576">
        <f>ROMAN(2575)</f>
        <v/>
      </c>
      <c r="D2576">
        <f>IF(B2576=C2576, "YES", "WRONG")</f>
        <v/>
      </c>
    </row>
    <row r="2577">
      <c r="A2577" t="n">
        <v>2576</v>
      </c>
      <c r="B2577" t="inlineStr">
        <is>
          <t>MMDLXXVI</t>
        </is>
      </c>
      <c r="C2577">
        <f>ROMAN(2576)</f>
        <v/>
      </c>
      <c r="D2577">
        <f>IF(B2577=C2577, "YES", "WRONG")</f>
        <v/>
      </c>
    </row>
    <row r="2578">
      <c r="A2578" t="n">
        <v>2577</v>
      </c>
      <c r="B2578" t="inlineStr">
        <is>
          <t>MMDLXXVII</t>
        </is>
      </c>
      <c r="C2578">
        <f>ROMAN(2577)</f>
        <v/>
      </c>
      <c r="D2578">
        <f>IF(B2578=C2578, "YES", "WRONG")</f>
        <v/>
      </c>
    </row>
    <row r="2579">
      <c r="A2579" t="n">
        <v>2578</v>
      </c>
      <c r="B2579" t="inlineStr">
        <is>
          <t>MMDLXXVIII</t>
        </is>
      </c>
      <c r="C2579">
        <f>ROMAN(2578)</f>
        <v/>
      </c>
      <c r="D2579">
        <f>IF(B2579=C2579, "YES", "WRONG")</f>
        <v/>
      </c>
    </row>
    <row r="2580">
      <c r="A2580" t="n">
        <v>2579</v>
      </c>
      <c r="B2580" t="inlineStr">
        <is>
          <t>MMDLXXIX</t>
        </is>
      </c>
      <c r="C2580">
        <f>ROMAN(2579)</f>
        <v/>
      </c>
      <c r="D2580">
        <f>IF(B2580=C2580, "YES", "WRONG")</f>
        <v/>
      </c>
    </row>
    <row r="2581">
      <c r="A2581" t="n">
        <v>2580</v>
      </c>
      <c r="B2581" t="inlineStr">
        <is>
          <t>MMDLXXX</t>
        </is>
      </c>
      <c r="C2581">
        <f>ROMAN(2580)</f>
        <v/>
      </c>
      <c r="D2581">
        <f>IF(B2581=C2581, "YES", "WRONG")</f>
        <v/>
      </c>
    </row>
    <row r="2582">
      <c r="A2582" t="n">
        <v>2581</v>
      </c>
      <c r="B2582" t="inlineStr">
        <is>
          <t>MMDLXXXI</t>
        </is>
      </c>
      <c r="C2582">
        <f>ROMAN(2581)</f>
        <v/>
      </c>
      <c r="D2582">
        <f>IF(B2582=C2582, "YES", "WRONG")</f>
        <v/>
      </c>
    </row>
    <row r="2583">
      <c r="A2583" t="n">
        <v>2582</v>
      </c>
      <c r="B2583" t="inlineStr">
        <is>
          <t>MMDLXXXII</t>
        </is>
      </c>
      <c r="C2583">
        <f>ROMAN(2582)</f>
        <v/>
      </c>
      <c r="D2583">
        <f>IF(B2583=C2583, "YES", "WRONG")</f>
        <v/>
      </c>
    </row>
    <row r="2584">
      <c r="A2584" t="n">
        <v>2583</v>
      </c>
      <c r="B2584" t="inlineStr">
        <is>
          <t>MMDLXXXIII</t>
        </is>
      </c>
      <c r="C2584">
        <f>ROMAN(2583)</f>
        <v/>
      </c>
      <c r="D2584">
        <f>IF(B2584=C2584, "YES", "WRONG")</f>
        <v/>
      </c>
    </row>
    <row r="2585">
      <c r="A2585" t="n">
        <v>2584</v>
      </c>
      <c r="B2585" t="inlineStr">
        <is>
          <t>MMDLXXXIV</t>
        </is>
      </c>
      <c r="C2585">
        <f>ROMAN(2584)</f>
        <v/>
      </c>
      <c r="D2585">
        <f>IF(B2585=C2585, "YES", "WRONG")</f>
        <v/>
      </c>
    </row>
    <row r="2586">
      <c r="A2586" t="n">
        <v>2585</v>
      </c>
      <c r="B2586" t="inlineStr">
        <is>
          <t>MMDLXXXV</t>
        </is>
      </c>
      <c r="C2586">
        <f>ROMAN(2585)</f>
        <v/>
      </c>
      <c r="D2586">
        <f>IF(B2586=C2586, "YES", "WRONG")</f>
        <v/>
      </c>
    </row>
    <row r="2587">
      <c r="A2587" t="n">
        <v>2586</v>
      </c>
      <c r="B2587" t="inlineStr">
        <is>
          <t>MMDLXXXVI</t>
        </is>
      </c>
      <c r="C2587">
        <f>ROMAN(2586)</f>
        <v/>
      </c>
      <c r="D2587">
        <f>IF(B2587=C2587, "YES", "WRONG")</f>
        <v/>
      </c>
    </row>
    <row r="2588">
      <c r="A2588" t="n">
        <v>2587</v>
      </c>
      <c r="B2588" t="inlineStr">
        <is>
          <t>MMDLXXXVII</t>
        </is>
      </c>
      <c r="C2588">
        <f>ROMAN(2587)</f>
        <v/>
      </c>
      <c r="D2588">
        <f>IF(B2588=C2588, "YES", "WRONG")</f>
        <v/>
      </c>
    </row>
    <row r="2589">
      <c r="A2589" t="n">
        <v>2588</v>
      </c>
      <c r="B2589" t="inlineStr">
        <is>
          <t>MMDLXXXVIII</t>
        </is>
      </c>
      <c r="C2589">
        <f>ROMAN(2588)</f>
        <v/>
      </c>
      <c r="D2589">
        <f>IF(B2589=C2589, "YES", "WRONG")</f>
        <v/>
      </c>
    </row>
    <row r="2590">
      <c r="A2590" t="n">
        <v>2589</v>
      </c>
      <c r="B2590" t="inlineStr">
        <is>
          <t>MMDLXXXIX</t>
        </is>
      </c>
      <c r="C2590">
        <f>ROMAN(2589)</f>
        <v/>
      </c>
      <c r="D2590">
        <f>IF(B2590=C2590, "YES", "WRONG")</f>
        <v/>
      </c>
    </row>
    <row r="2591">
      <c r="A2591" t="n">
        <v>2590</v>
      </c>
      <c r="B2591" t="inlineStr">
        <is>
          <t>MMDXC</t>
        </is>
      </c>
      <c r="C2591">
        <f>ROMAN(2590)</f>
        <v/>
      </c>
      <c r="D2591">
        <f>IF(B2591=C2591, "YES", "WRONG")</f>
        <v/>
      </c>
    </row>
    <row r="2592">
      <c r="A2592" t="n">
        <v>2591</v>
      </c>
      <c r="B2592" t="inlineStr">
        <is>
          <t>MMDXCI</t>
        </is>
      </c>
      <c r="C2592">
        <f>ROMAN(2591)</f>
        <v/>
      </c>
      <c r="D2592">
        <f>IF(B2592=C2592, "YES", "WRONG")</f>
        <v/>
      </c>
    </row>
    <row r="2593">
      <c r="A2593" t="n">
        <v>2592</v>
      </c>
      <c r="B2593" t="inlineStr">
        <is>
          <t>MMDXCII</t>
        </is>
      </c>
      <c r="C2593">
        <f>ROMAN(2592)</f>
        <v/>
      </c>
      <c r="D2593">
        <f>IF(B2593=C2593, "YES", "WRONG")</f>
        <v/>
      </c>
    </row>
    <row r="2594">
      <c r="A2594" t="n">
        <v>2593</v>
      </c>
      <c r="B2594" t="inlineStr">
        <is>
          <t>MMDXCIII</t>
        </is>
      </c>
      <c r="C2594">
        <f>ROMAN(2593)</f>
        <v/>
      </c>
      <c r="D2594">
        <f>IF(B2594=C2594, "YES", "WRONG")</f>
        <v/>
      </c>
    </row>
    <row r="2595">
      <c r="A2595" t="n">
        <v>2594</v>
      </c>
      <c r="B2595" t="inlineStr">
        <is>
          <t>MMDXCIV</t>
        </is>
      </c>
      <c r="C2595">
        <f>ROMAN(2594)</f>
        <v/>
      </c>
      <c r="D2595">
        <f>IF(B2595=C2595, "YES", "WRONG")</f>
        <v/>
      </c>
    </row>
    <row r="2596">
      <c r="A2596" t="n">
        <v>2595</v>
      </c>
      <c r="B2596" t="inlineStr">
        <is>
          <t>MMDXCV</t>
        </is>
      </c>
      <c r="C2596">
        <f>ROMAN(2595)</f>
        <v/>
      </c>
      <c r="D2596">
        <f>IF(B2596=C2596, "YES", "WRONG")</f>
        <v/>
      </c>
    </row>
    <row r="2597">
      <c r="A2597" t="n">
        <v>2596</v>
      </c>
      <c r="B2597" t="inlineStr">
        <is>
          <t>MMDXCVI</t>
        </is>
      </c>
      <c r="C2597">
        <f>ROMAN(2596)</f>
        <v/>
      </c>
      <c r="D2597">
        <f>IF(B2597=C2597, "YES", "WRONG")</f>
        <v/>
      </c>
    </row>
    <row r="2598">
      <c r="A2598" t="n">
        <v>2597</v>
      </c>
      <c r="B2598" t="inlineStr">
        <is>
          <t>MMDXCVII</t>
        </is>
      </c>
      <c r="C2598">
        <f>ROMAN(2597)</f>
        <v/>
      </c>
      <c r="D2598">
        <f>IF(B2598=C2598, "YES", "WRONG")</f>
        <v/>
      </c>
    </row>
    <row r="2599">
      <c r="A2599" t="n">
        <v>2598</v>
      </c>
      <c r="B2599" t="inlineStr">
        <is>
          <t>MMDXCVIII</t>
        </is>
      </c>
      <c r="C2599">
        <f>ROMAN(2598)</f>
        <v/>
      </c>
      <c r="D2599">
        <f>IF(B2599=C2599, "YES", "WRONG")</f>
        <v/>
      </c>
    </row>
    <row r="2600">
      <c r="A2600" t="n">
        <v>2599</v>
      </c>
      <c r="B2600" t="inlineStr">
        <is>
          <t>MMDXCIX</t>
        </is>
      </c>
      <c r="C2600">
        <f>ROMAN(2599)</f>
        <v/>
      </c>
      <c r="D2600">
        <f>IF(B2600=C2600, "YES", "WRONG")</f>
        <v/>
      </c>
    </row>
    <row r="2601">
      <c r="A2601" t="n">
        <v>2600</v>
      </c>
      <c r="B2601" t="inlineStr">
        <is>
          <t>MMDC</t>
        </is>
      </c>
      <c r="C2601">
        <f>ROMAN(2600)</f>
        <v/>
      </c>
      <c r="D2601">
        <f>IF(B2601=C2601, "YES", "WRONG")</f>
        <v/>
      </c>
    </row>
    <row r="2602">
      <c r="A2602" t="n">
        <v>2601</v>
      </c>
      <c r="B2602" t="inlineStr">
        <is>
          <t>MMDCI</t>
        </is>
      </c>
      <c r="C2602">
        <f>ROMAN(2601)</f>
        <v/>
      </c>
      <c r="D2602">
        <f>IF(B2602=C2602, "YES", "WRONG")</f>
        <v/>
      </c>
    </row>
    <row r="2603">
      <c r="A2603" t="n">
        <v>2602</v>
      </c>
      <c r="B2603" t="inlineStr">
        <is>
          <t>MMDCII</t>
        </is>
      </c>
      <c r="C2603">
        <f>ROMAN(2602)</f>
        <v/>
      </c>
      <c r="D2603">
        <f>IF(B2603=C2603, "YES", "WRONG")</f>
        <v/>
      </c>
    </row>
    <row r="2604">
      <c r="A2604" t="n">
        <v>2603</v>
      </c>
      <c r="B2604" t="inlineStr">
        <is>
          <t>MMDCIII</t>
        </is>
      </c>
      <c r="C2604">
        <f>ROMAN(2603)</f>
        <v/>
      </c>
      <c r="D2604">
        <f>IF(B2604=C2604, "YES", "WRONG")</f>
        <v/>
      </c>
    </row>
    <row r="2605">
      <c r="A2605" t="n">
        <v>2604</v>
      </c>
      <c r="B2605" t="inlineStr">
        <is>
          <t>MMDCIV</t>
        </is>
      </c>
      <c r="C2605">
        <f>ROMAN(2604)</f>
        <v/>
      </c>
      <c r="D2605">
        <f>IF(B2605=C2605, "YES", "WRONG")</f>
        <v/>
      </c>
    </row>
    <row r="2606">
      <c r="A2606" t="n">
        <v>2605</v>
      </c>
      <c r="B2606" t="inlineStr">
        <is>
          <t>MMDCV</t>
        </is>
      </c>
      <c r="C2606">
        <f>ROMAN(2605)</f>
        <v/>
      </c>
      <c r="D2606">
        <f>IF(B2606=C2606, "YES", "WRONG")</f>
        <v/>
      </c>
    </row>
    <row r="2607">
      <c r="A2607" t="n">
        <v>2606</v>
      </c>
      <c r="B2607" t="inlineStr">
        <is>
          <t>MMDCVI</t>
        </is>
      </c>
      <c r="C2607">
        <f>ROMAN(2606)</f>
        <v/>
      </c>
      <c r="D2607">
        <f>IF(B2607=C2607, "YES", "WRONG")</f>
        <v/>
      </c>
    </row>
    <row r="2608">
      <c r="A2608" t="n">
        <v>2607</v>
      </c>
      <c r="B2608" t="inlineStr">
        <is>
          <t>MMDCVII</t>
        </is>
      </c>
      <c r="C2608">
        <f>ROMAN(2607)</f>
        <v/>
      </c>
      <c r="D2608">
        <f>IF(B2608=C2608, "YES", "WRONG")</f>
        <v/>
      </c>
    </row>
    <row r="2609">
      <c r="A2609" t="n">
        <v>2608</v>
      </c>
      <c r="B2609" t="inlineStr">
        <is>
          <t>MMDCVIII</t>
        </is>
      </c>
      <c r="C2609">
        <f>ROMAN(2608)</f>
        <v/>
      </c>
      <c r="D2609">
        <f>IF(B2609=C2609, "YES", "WRONG")</f>
        <v/>
      </c>
    </row>
    <row r="2610">
      <c r="A2610" t="n">
        <v>2609</v>
      </c>
      <c r="B2610" t="inlineStr">
        <is>
          <t>MMDCIX</t>
        </is>
      </c>
      <c r="C2610">
        <f>ROMAN(2609)</f>
        <v/>
      </c>
      <c r="D2610">
        <f>IF(B2610=C2610, "YES", "WRONG")</f>
        <v/>
      </c>
    </row>
    <row r="2611">
      <c r="A2611" t="n">
        <v>2610</v>
      </c>
      <c r="B2611" t="inlineStr">
        <is>
          <t>MMDCX</t>
        </is>
      </c>
      <c r="C2611">
        <f>ROMAN(2610)</f>
        <v/>
      </c>
      <c r="D2611">
        <f>IF(B2611=C2611, "YES", "WRONG")</f>
        <v/>
      </c>
    </row>
    <row r="2612">
      <c r="A2612" t="n">
        <v>2611</v>
      </c>
      <c r="B2612" t="inlineStr">
        <is>
          <t>MMDCXI</t>
        </is>
      </c>
      <c r="C2612">
        <f>ROMAN(2611)</f>
        <v/>
      </c>
      <c r="D2612">
        <f>IF(B2612=C2612, "YES", "WRONG")</f>
        <v/>
      </c>
    </row>
    <row r="2613">
      <c r="A2613" t="n">
        <v>2612</v>
      </c>
      <c r="B2613" t="inlineStr">
        <is>
          <t>MMDCXII</t>
        </is>
      </c>
      <c r="C2613">
        <f>ROMAN(2612)</f>
        <v/>
      </c>
      <c r="D2613">
        <f>IF(B2613=C2613, "YES", "WRONG")</f>
        <v/>
      </c>
    </row>
    <row r="2614">
      <c r="A2614" t="n">
        <v>2613</v>
      </c>
      <c r="B2614" t="inlineStr">
        <is>
          <t>MMDCXIII</t>
        </is>
      </c>
      <c r="C2614">
        <f>ROMAN(2613)</f>
        <v/>
      </c>
      <c r="D2614">
        <f>IF(B2614=C2614, "YES", "WRONG")</f>
        <v/>
      </c>
    </row>
    <row r="2615">
      <c r="A2615" t="n">
        <v>2614</v>
      </c>
      <c r="B2615" t="inlineStr">
        <is>
          <t>MMDCXIV</t>
        </is>
      </c>
      <c r="C2615">
        <f>ROMAN(2614)</f>
        <v/>
      </c>
      <c r="D2615">
        <f>IF(B2615=C2615, "YES", "WRONG")</f>
        <v/>
      </c>
    </row>
    <row r="2616">
      <c r="A2616" t="n">
        <v>2615</v>
      </c>
      <c r="B2616" t="inlineStr">
        <is>
          <t>MMDCXV</t>
        </is>
      </c>
      <c r="C2616">
        <f>ROMAN(2615)</f>
        <v/>
      </c>
      <c r="D2616">
        <f>IF(B2616=C2616, "YES", "WRONG")</f>
        <v/>
      </c>
    </row>
    <row r="2617">
      <c r="A2617" t="n">
        <v>2616</v>
      </c>
      <c r="B2617" t="inlineStr">
        <is>
          <t>MMDCXVI</t>
        </is>
      </c>
      <c r="C2617">
        <f>ROMAN(2616)</f>
        <v/>
      </c>
      <c r="D2617">
        <f>IF(B2617=C2617, "YES", "WRONG")</f>
        <v/>
      </c>
    </row>
    <row r="2618">
      <c r="A2618" t="n">
        <v>2617</v>
      </c>
      <c r="B2618" t="inlineStr">
        <is>
          <t>MMDCXVII</t>
        </is>
      </c>
      <c r="C2618">
        <f>ROMAN(2617)</f>
        <v/>
      </c>
      <c r="D2618">
        <f>IF(B2618=C2618, "YES", "WRONG")</f>
        <v/>
      </c>
    </row>
    <row r="2619">
      <c r="A2619" t="n">
        <v>2618</v>
      </c>
      <c r="B2619" t="inlineStr">
        <is>
          <t>MMDCXVIII</t>
        </is>
      </c>
      <c r="C2619">
        <f>ROMAN(2618)</f>
        <v/>
      </c>
      <c r="D2619">
        <f>IF(B2619=C2619, "YES", "WRONG")</f>
        <v/>
      </c>
    </row>
    <row r="2620">
      <c r="A2620" t="n">
        <v>2619</v>
      </c>
      <c r="B2620" t="inlineStr">
        <is>
          <t>MMDCXIX</t>
        </is>
      </c>
      <c r="C2620">
        <f>ROMAN(2619)</f>
        <v/>
      </c>
      <c r="D2620">
        <f>IF(B2620=C2620, "YES", "WRONG")</f>
        <v/>
      </c>
    </row>
    <row r="2621">
      <c r="A2621" t="n">
        <v>2620</v>
      </c>
      <c r="B2621" t="inlineStr">
        <is>
          <t>MMDCXX</t>
        </is>
      </c>
      <c r="C2621">
        <f>ROMAN(2620)</f>
        <v/>
      </c>
      <c r="D2621">
        <f>IF(B2621=C2621, "YES", "WRONG")</f>
        <v/>
      </c>
    </row>
    <row r="2622">
      <c r="A2622" t="n">
        <v>2621</v>
      </c>
      <c r="B2622" t="inlineStr">
        <is>
          <t>MMDCXXI</t>
        </is>
      </c>
      <c r="C2622">
        <f>ROMAN(2621)</f>
        <v/>
      </c>
      <c r="D2622">
        <f>IF(B2622=C2622, "YES", "WRONG")</f>
        <v/>
      </c>
    </row>
    <row r="2623">
      <c r="A2623" t="n">
        <v>2622</v>
      </c>
      <c r="B2623" t="inlineStr">
        <is>
          <t>MMDCXXII</t>
        </is>
      </c>
      <c r="C2623">
        <f>ROMAN(2622)</f>
        <v/>
      </c>
      <c r="D2623">
        <f>IF(B2623=C2623, "YES", "WRONG")</f>
        <v/>
      </c>
    </row>
    <row r="2624">
      <c r="A2624" t="n">
        <v>2623</v>
      </c>
      <c r="B2624" t="inlineStr">
        <is>
          <t>MMDCXXIII</t>
        </is>
      </c>
      <c r="C2624">
        <f>ROMAN(2623)</f>
        <v/>
      </c>
      <c r="D2624">
        <f>IF(B2624=C2624, "YES", "WRONG")</f>
        <v/>
      </c>
    </row>
    <row r="2625">
      <c r="A2625" t="n">
        <v>2624</v>
      </c>
      <c r="B2625" t="inlineStr">
        <is>
          <t>MMDCXXIV</t>
        </is>
      </c>
      <c r="C2625">
        <f>ROMAN(2624)</f>
        <v/>
      </c>
      <c r="D2625">
        <f>IF(B2625=C2625, "YES", "WRONG")</f>
        <v/>
      </c>
    </row>
    <row r="2626">
      <c r="A2626" t="n">
        <v>2625</v>
      </c>
      <c r="B2626" t="inlineStr">
        <is>
          <t>MMDCXXV</t>
        </is>
      </c>
      <c r="C2626">
        <f>ROMAN(2625)</f>
        <v/>
      </c>
      <c r="D2626">
        <f>IF(B2626=C2626, "YES", "WRONG")</f>
        <v/>
      </c>
    </row>
    <row r="2627">
      <c r="A2627" t="n">
        <v>2626</v>
      </c>
      <c r="B2627" t="inlineStr">
        <is>
          <t>MMDCXXVI</t>
        </is>
      </c>
      <c r="C2627">
        <f>ROMAN(2626)</f>
        <v/>
      </c>
      <c r="D2627">
        <f>IF(B2627=C2627, "YES", "WRONG")</f>
        <v/>
      </c>
    </row>
    <row r="2628">
      <c r="A2628" t="n">
        <v>2627</v>
      </c>
      <c r="B2628" t="inlineStr">
        <is>
          <t>MMDCXXVII</t>
        </is>
      </c>
      <c r="C2628">
        <f>ROMAN(2627)</f>
        <v/>
      </c>
      <c r="D2628">
        <f>IF(B2628=C2628, "YES", "WRONG")</f>
        <v/>
      </c>
    </row>
    <row r="2629">
      <c r="A2629" t="n">
        <v>2628</v>
      </c>
      <c r="B2629" t="inlineStr">
        <is>
          <t>MMDCXXVIII</t>
        </is>
      </c>
      <c r="C2629">
        <f>ROMAN(2628)</f>
        <v/>
      </c>
      <c r="D2629">
        <f>IF(B2629=C2629, "YES", "WRONG")</f>
        <v/>
      </c>
    </row>
    <row r="2630">
      <c r="A2630" t="n">
        <v>2629</v>
      </c>
      <c r="B2630" t="inlineStr">
        <is>
          <t>MMDCXXIX</t>
        </is>
      </c>
      <c r="C2630">
        <f>ROMAN(2629)</f>
        <v/>
      </c>
      <c r="D2630">
        <f>IF(B2630=C2630, "YES", "WRONG")</f>
        <v/>
      </c>
    </row>
    <row r="2631">
      <c r="A2631" t="n">
        <v>2630</v>
      </c>
      <c r="B2631" t="inlineStr">
        <is>
          <t>MMDCXXX</t>
        </is>
      </c>
      <c r="C2631">
        <f>ROMAN(2630)</f>
        <v/>
      </c>
      <c r="D2631">
        <f>IF(B2631=C2631, "YES", "WRONG")</f>
        <v/>
      </c>
    </row>
    <row r="2632">
      <c r="A2632" t="n">
        <v>2631</v>
      </c>
      <c r="B2632" t="inlineStr">
        <is>
          <t>MMDCXXXI</t>
        </is>
      </c>
      <c r="C2632">
        <f>ROMAN(2631)</f>
        <v/>
      </c>
      <c r="D2632">
        <f>IF(B2632=C2632, "YES", "WRONG")</f>
        <v/>
      </c>
    </row>
    <row r="2633">
      <c r="A2633" t="n">
        <v>2632</v>
      </c>
      <c r="B2633" t="inlineStr">
        <is>
          <t>MMDCXXXII</t>
        </is>
      </c>
      <c r="C2633">
        <f>ROMAN(2632)</f>
        <v/>
      </c>
      <c r="D2633">
        <f>IF(B2633=C2633, "YES", "WRONG")</f>
        <v/>
      </c>
    </row>
    <row r="2634">
      <c r="A2634" t="n">
        <v>2633</v>
      </c>
      <c r="B2634" t="inlineStr">
        <is>
          <t>MMDCXXXIII</t>
        </is>
      </c>
      <c r="C2634">
        <f>ROMAN(2633)</f>
        <v/>
      </c>
      <c r="D2634">
        <f>IF(B2634=C2634, "YES", "WRONG")</f>
        <v/>
      </c>
    </row>
    <row r="2635">
      <c r="A2635" t="n">
        <v>2634</v>
      </c>
      <c r="B2635" t="inlineStr">
        <is>
          <t>MMDCXXXIV</t>
        </is>
      </c>
      <c r="C2635">
        <f>ROMAN(2634)</f>
        <v/>
      </c>
      <c r="D2635">
        <f>IF(B2635=C2635, "YES", "WRONG")</f>
        <v/>
      </c>
    </row>
    <row r="2636">
      <c r="A2636" t="n">
        <v>2635</v>
      </c>
      <c r="B2636" t="inlineStr">
        <is>
          <t>MMDCXXXV</t>
        </is>
      </c>
      <c r="C2636">
        <f>ROMAN(2635)</f>
        <v/>
      </c>
      <c r="D2636">
        <f>IF(B2636=C2636, "YES", "WRONG")</f>
        <v/>
      </c>
    </row>
    <row r="2637">
      <c r="A2637" t="n">
        <v>2636</v>
      </c>
      <c r="B2637" t="inlineStr">
        <is>
          <t>MMDCXXXVI</t>
        </is>
      </c>
      <c r="C2637">
        <f>ROMAN(2636)</f>
        <v/>
      </c>
      <c r="D2637">
        <f>IF(B2637=C2637, "YES", "WRONG")</f>
        <v/>
      </c>
    </row>
    <row r="2638">
      <c r="A2638" t="n">
        <v>2637</v>
      </c>
      <c r="B2638" t="inlineStr">
        <is>
          <t>MMDCXXXVII</t>
        </is>
      </c>
      <c r="C2638">
        <f>ROMAN(2637)</f>
        <v/>
      </c>
      <c r="D2638">
        <f>IF(B2638=C2638, "YES", "WRONG")</f>
        <v/>
      </c>
    </row>
    <row r="2639">
      <c r="A2639" t="n">
        <v>2638</v>
      </c>
      <c r="B2639" t="inlineStr">
        <is>
          <t>MMDCXXXVIII</t>
        </is>
      </c>
      <c r="C2639">
        <f>ROMAN(2638)</f>
        <v/>
      </c>
      <c r="D2639">
        <f>IF(B2639=C2639, "YES", "WRONG")</f>
        <v/>
      </c>
    </row>
    <row r="2640">
      <c r="A2640" t="n">
        <v>2639</v>
      </c>
      <c r="B2640" t="inlineStr">
        <is>
          <t>MMDCXXXIX</t>
        </is>
      </c>
      <c r="C2640">
        <f>ROMAN(2639)</f>
        <v/>
      </c>
      <c r="D2640">
        <f>IF(B2640=C2640, "YES", "WRONG")</f>
        <v/>
      </c>
    </row>
    <row r="2641">
      <c r="A2641" t="n">
        <v>2640</v>
      </c>
      <c r="B2641" t="inlineStr">
        <is>
          <t>MMDCXL</t>
        </is>
      </c>
      <c r="C2641">
        <f>ROMAN(2640)</f>
        <v/>
      </c>
      <c r="D2641">
        <f>IF(B2641=C2641, "YES", "WRONG")</f>
        <v/>
      </c>
    </row>
    <row r="2642">
      <c r="A2642" t="n">
        <v>2641</v>
      </c>
      <c r="B2642" t="inlineStr">
        <is>
          <t>MMDCXLI</t>
        </is>
      </c>
      <c r="C2642">
        <f>ROMAN(2641)</f>
        <v/>
      </c>
      <c r="D2642">
        <f>IF(B2642=C2642, "YES", "WRONG")</f>
        <v/>
      </c>
    </row>
    <row r="2643">
      <c r="A2643" t="n">
        <v>2642</v>
      </c>
      <c r="B2643" t="inlineStr">
        <is>
          <t>MMDCXLII</t>
        </is>
      </c>
      <c r="C2643">
        <f>ROMAN(2642)</f>
        <v/>
      </c>
      <c r="D2643">
        <f>IF(B2643=C2643, "YES", "WRONG")</f>
        <v/>
      </c>
    </row>
    <row r="2644">
      <c r="A2644" t="n">
        <v>2643</v>
      </c>
      <c r="B2644" t="inlineStr">
        <is>
          <t>MMDCXLIII</t>
        </is>
      </c>
      <c r="C2644">
        <f>ROMAN(2643)</f>
        <v/>
      </c>
      <c r="D2644">
        <f>IF(B2644=C2644, "YES", "WRONG")</f>
        <v/>
      </c>
    </row>
    <row r="2645">
      <c r="A2645" t="n">
        <v>2644</v>
      </c>
      <c r="B2645" t="inlineStr">
        <is>
          <t>MMDCXLIV</t>
        </is>
      </c>
      <c r="C2645">
        <f>ROMAN(2644)</f>
        <v/>
      </c>
      <c r="D2645">
        <f>IF(B2645=C2645, "YES", "WRONG")</f>
        <v/>
      </c>
    </row>
    <row r="2646">
      <c r="A2646" t="n">
        <v>2645</v>
      </c>
      <c r="B2646" t="inlineStr">
        <is>
          <t>MMDCXLV</t>
        </is>
      </c>
      <c r="C2646">
        <f>ROMAN(2645)</f>
        <v/>
      </c>
      <c r="D2646">
        <f>IF(B2646=C2646, "YES", "WRONG")</f>
        <v/>
      </c>
    </row>
    <row r="2647">
      <c r="A2647" t="n">
        <v>2646</v>
      </c>
      <c r="B2647" t="inlineStr">
        <is>
          <t>MMDCXLVI</t>
        </is>
      </c>
      <c r="C2647">
        <f>ROMAN(2646)</f>
        <v/>
      </c>
      <c r="D2647">
        <f>IF(B2647=C2647, "YES", "WRONG")</f>
        <v/>
      </c>
    </row>
    <row r="2648">
      <c r="A2648" t="n">
        <v>2647</v>
      </c>
      <c r="B2648" t="inlineStr">
        <is>
          <t>MMDCXLVII</t>
        </is>
      </c>
      <c r="C2648">
        <f>ROMAN(2647)</f>
        <v/>
      </c>
      <c r="D2648">
        <f>IF(B2648=C2648, "YES", "WRONG")</f>
        <v/>
      </c>
    </row>
    <row r="2649">
      <c r="A2649" t="n">
        <v>2648</v>
      </c>
      <c r="B2649" t="inlineStr">
        <is>
          <t>MMDCXLVIII</t>
        </is>
      </c>
      <c r="C2649">
        <f>ROMAN(2648)</f>
        <v/>
      </c>
      <c r="D2649">
        <f>IF(B2649=C2649, "YES", "WRONG")</f>
        <v/>
      </c>
    </row>
    <row r="2650">
      <c r="A2650" t="n">
        <v>2649</v>
      </c>
      <c r="B2650" t="inlineStr">
        <is>
          <t>MMDCXLIX</t>
        </is>
      </c>
      <c r="C2650">
        <f>ROMAN(2649)</f>
        <v/>
      </c>
      <c r="D2650">
        <f>IF(B2650=C2650, "YES", "WRONG")</f>
        <v/>
      </c>
    </row>
    <row r="2651">
      <c r="A2651" t="n">
        <v>2650</v>
      </c>
      <c r="B2651" t="inlineStr">
        <is>
          <t>MMDCL</t>
        </is>
      </c>
      <c r="C2651">
        <f>ROMAN(2650)</f>
        <v/>
      </c>
      <c r="D2651">
        <f>IF(B2651=C2651, "YES", "WRONG")</f>
        <v/>
      </c>
    </row>
    <row r="2652">
      <c r="A2652" t="n">
        <v>2651</v>
      </c>
      <c r="B2652" t="inlineStr">
        <is>
          <t>MMDCLI</t>
        </is>
      </c>
      <c r="C2652">
        <f>ROMAN(2651)</f>
        <v/>
      </c>
      <c r="D2652">
        <f>IF(B2652=C2652, "YES", "WRONG")</f>
        <v/>
      </c>
    </row>
    <row r="2653">
      <c r="A2653" t="n">
        <v>2652</v>
      </c>
      <c r="B2653" t="inlineStr">
        <is>
          <t>MMDCLII</t>
        </is>
      </c>
      <c r="C2653">
        <f>ROMAN(2652)</f>
        <v/>
      </c>
      <c r="D2653">
        <f>IF(B2653=C2653, "YES", "WRONG")</f>
        <v/>
      </c>
    </row>
    <row r="2654">
      <c r="A2654" t="n">
        <v>2653</v>
      </c>
      <c r="B2654" t="inlineStr">
        <is>
          <t>MMDCLIII</t>
        </is>
      </c>
      <c r="C2654">
        <f>ROMAN(2653)</f>
        <v/>
      </c>
      <c r="D2654">
        <f>IF(B2654=C2654, "YES", "WRONG")</f>
        <v/>
      </c>
    </row>
    <row r="2655">
      <c r="A2655" t="n">
        <v>2654</v>
      </c>
      <c r="B2655" t="inlineStr">
        <is>
          <t>MMDCLIV</t>
        </is>
      </c>
      <c r="C2655">
        <f>ROMAN(2654)</f>
        <v/>
      </c>
      <c r="D2655">
        <f>IF(B2655=C2655, "YES", "WRONG")</f>
        <v/>
      </c>
    </row>
    <row r="2656">
      <c r="A2656" t="n">
        <v>2655</v>
      </c>
      <c r="B2656" t="inlineStr">
        <is>
          <t>MMDCLV</t>
        </is>
      </c>
      <c r="C2656">
        <f>ROMAN(2655)</f>
        <v/>
      </c>
      <c r="D2656">
        <f>IF(B2656=C2656, "YES", "WRONG")</f>
        <v/>
      </c>
    </row>
    <row r="2657">
      <c r="A2657" t="n">
        <v>2656</v>
      </c>
      <c r="B2657" t="inlineStr">
        <is>
          <t>MMDCLVI</t>
        </is>
      </c>
      <c r="C2657">
        <f>ROMAN(2656)</f>
        <v/>
      </c>
      <c r="D2657">
        <f>IF(B2657=C2657, "YES", "WRONG")</f>
        <v/>
      </c>
    </row>
    <row r="2658">
      <c r="A2658" t="n">
        <v>2657</v>
      </c>
      <c r="B2658" t="inlineStr">
        <is>
          <t>MMDCLVII</t>
        </is>
      </c>
      <c r="C2658">
        <f>ROMAN(2657)</f>
        <v/>
      </c>
      <c r="D2658">
        <f>IF(B2658=C2658, "YES", "WRONG")</f>
        <v/>
      </c>
    </row>
    <row r="2659">
      <c r="A2659" t="n">
        <v>2658</v>
      </c>
      <c r="B2659" t="inlineStr">
        <is>
          <t>MMDCLVIII</t>
        </is>
      </c>
      <c r="C2659">
        <f>ROMAN(2658)</f>
        <v/>
      </c>
      <c r="D2659">
        <f>IF(B2659=C2659, "YES", "WRONG")</f>
        <v/>
      </c>
    </row>
    <row r="2660">
      <c r="A2660" t="n">
        <v>2659</v>
      </c>
      <c r="B2660" t="inlineStr">
        <is>
          <t>MMDCLIX</t>
        </is>
      </c>
      <c r="C2660">
        <f>ROMAN(2659)</f>
        <v/>
      </c>
      <c r="D2660">
        <f>IF(B2660=C2660, "YES", "WRONG")</f>
        <v/>
      </c>
    </row>
    <row r="2661">
      <c r="A2661" t="n">
        <v>2660</v>
      </c>
      <c r="B2661" t="inlineStr">
        <is>
          <t>MMDCLX</t>
        </is>
      </c>
      <c r="C2661">
        <f>ROMAN(2660)</f>
        <v/>
      </c>
      <c r="D2661">
        <f>IF(B2661=C2661, "YES", "WRONG")</f>
        <v/>
      </c>
    </row>
    <row r="2662">
      <c r="A2662" t="n">
        <v>2661</v>
      </c>
      <c r="B2662" t="inlineStr">
        <is>
          <t>MMDCLXI</t>
        </is>
      </c>
      <c r="C2662">
        <f>ROMAN(2661)</f>
        <v/>
      </c>
      <c r="D2662">
        <f>IF(B2662=C2662, "YES", "WRONG")</f>
        <v/>
      </c>
    </row>
    <row r="2663">
      <c r="A2663" t="n">
        <v>2662</v>
      </c>
      <c r="B2663" t="inlineStr">
        <is>
          <t>MMDCLXII</t>
        </is>
      </c>
      <c r="C2663">
        <f>ROMAN(2662)</f>
        <v/>
      </c>
      <c r="D2663">
        <f>IF(B2663=C2663, "YES", "WRONG")</f>
        <v/>
      </c>
    </row>
    <row r="2664">
      <c r="A2664" t="n">
        <v>2663</v>
      </c>
      <c r="B2664" t="inlineStr">
        <is>
          <t>MMDCLXIII</t>
        </is>
      </c>
      <c r="C2664">
        <f>ROMAN(2663)</f>
        <v/>
      </c>
      <c r="D2664">
        <f>IF(B2664=C2664, "YES", "WRONG")</f>
        <v/>
      </c>
    </row>
    <row r="2665">
      <c r="A2665" t="n">
        <v>2664</v>
      </c>
      <c r="B2665" t="inlineStr">
        <is>
          <t>MMDCLXIV</t>
        </is>
      </c>
      <c r="C2665">
        <f>ROMAN(2664)</f>
        <v/>
      </c>
      <c r="D2665">
        <f>IF(B2665=C2665, "YES", "WRONG")</f>
        <v/>
      </c>
    </row>
    <row r="2666">
      <c r="A2666" t="n">
        <v>2665</v>
      </c>
      <c r="B2666" t="inlineStr">
        <is>
          <t>MMDCLXV</t>
        </is>
      </c>
      <c r="C2666">
        <f>ROMAN(2665)</f>
        <v/>
      </c>
      <c r="D2666">
        <f>IF(B2666=C2666, "YES", "WRONG")</f>
        <v/>
      </c>
    </row>
    <row r="2667">
      <c r="A2667" t="n">
        <v>2666</v>
      </c>
      <c r="B2667" t="inlineStr">
        <is>
          <t>MMDCLXVI</t>
        </is>
      </c>
      <c r="C2667">
        <f>ROMAN(2666)</f>
        <v/>
      </c>
      <c r="D2667">
        <f>IF(B2667=C2667, "YES", "WRONG")</f>
        <v/>
      </c>
    </row>
    <row r="2668">
      <c r="A2668" t="n">
        <v>2667</v>
      </c>
      <c r="B2668" t="inlineStr">
        <is>
          <t>MMDCLXVII</t>
        </is>
      </c>
      <c r="C2668">
        <f>ROMAN(2667)</f>
        <v/>
      </c>
      <c r="D2668">
        <f>IF(B2668=C2668, "YES", "WRONG")</f>
        <v/>
      </c>
    </row>
    <row r="2669">
      <c r="A2669" t="n">
        <v>2668</v>
      </c>
      <c r="B2669" t="inlineStr">
        <is>
          <t>MMDCLXVIII</t>
        </is>
      </c>
      <c r="C2669">
        <f>ROMAN(2668)</f>
        <v/>
      </c>
      <c r="D2669">
        <f>IF(B2669=C2669, "YES", "WRONG")</f>
        <v/>
      </c>
    </row>
    <row r="2670">
      <c r="A2670" t="n">
        <v>2669</v>
      </c>
      <c r="B2670" t="inlineStr">
        <is>
          <t>MMDCLXIX</t>
        </is>
      </c>
      <c r="C2670">
        <f>ROMAN(2669)</f>
        <v/>
      </c>
      <c r="D2670">
        <f>IF(B2670=C2670, "YES", "WRONG")</f>
        <v/>
      </c>
    </row>
    <row r="2671">
      <c r="A2671" t="n">
        <v>2670</v>
      </c>
      <c r="B2671" t="inlineStr">
        <is>
          <t>MMDCLXX</t>
        </is>
      </c>
      <c r="C2671">
        <f>ROMAN(2670)</f>
        <v/>
      </c>
      <c r="D2671">
        <f>IF(B2671=C2671, "YES", "WRONG")</f>
        <v/>
      </c>
    </row>
    <row r="2672">
      <c r="A2672" t="n">
        <v>2671</v>
      </c>
      <c r="B2672" t="inlineStr">
        <is>
          <t>MMDCLXXI</t>
        </is>
      </c>
      <c r="C2672">
        <f>ROMAN(2671)</f>
        <v/>
      </c>
      <c r="D2672">
        <f>IF(B2672=C2672, "YES", "WRONG")</f>
        <v/>
      </c>
    </row>
    <row r="2673">
      <c r="A2673" t="n">
        <v>2672</v>
      </c>
      <c r="B2673" t="inlineStr">
        <is>
          <t>MMDCLXXII</t>
        </is>
      </c>
      <c r="C2673">
        <f>ROMAN(2672)</f>
        <v/>
      </c>
      <c r="D2673">
        <f>IF(B2673=C2673, "YES", "WRONG")</f>
        <v/>
      </c>
    </row>
    <row r="2674">
      <c r="A2674" t="n">
        <v>2673</v>
      </c>
      <c r="B2674" t="inlineStr">
        <is>
          <t>MMDCLXXIII</t>
        </is>
      </c>
      <c r="C2674">
        <f>ROMAN(2673)</f>
        <v/>
      </c>
      <c r="D2674">
        <f>IF(B2674=C2674, "YES", "WRONG")</f>
        <v/>
      </c>
    </row>
    <row r="2675">
      <c r="A2675" t="n">
        <v>2674</v>
      </c>
      <c r="B2675" t="inlineStr">
        <is>
          <t>MMDCLXXIV</t>
        </is>
      </c>
      <c r="C2675">
        <f>ROMAN(2674)</f>
        <v/>
      </c>
      <c r="D2675">
        <f>IF(B2675=C2675, "YES", "WRONG")</f>
        <v/>
      </c>
    </row>
    <row r="2676">
      <c r="A2676" t="n">
        <v>2675</v>
      </c>
      <c r="B2676" t="inlineStr">
        <is>
          <t>MMDCLXXV</t>
        </is>
      </c>
      <c r="C2676">
        <f>ROMAN(2675)</f>
        <v/>
      </c>
      <c r="D2676">
        <f>IF(B2676=C2676, "YES", "WRONG")</f>
        <v/>
      </c>
    </row>
    <row r="2677">
      <c r="A2677" t="n">
        <v>2676</v>
      </c>
      <c r="B2677" t="inlineStr">
        <is>
          <t>MMDCLXXVI</t>
        </is>
      </c>
      <c r="C2677">
        <f>ROMAN(2676)</f>
        <v/>
      </c>
      <c r="D2677">
        <f>IF(B2677=C2677, "YES", "WRONG")</f>
        <v/>
      </c>
    </row>
    <row r="2678">
      <c r="A2678" t="n">
        <v>2677</v>
      </c>
      <c r="B2678" t="inlineStr">
        <is>
          <t>MMDCLXXVII</t>
        </is>
      </c>
      <c r="C2678">
        <f>ROMAN(2677)</f>
        <v/>
      </c>
      <c r="D2678">
        <f>IF(B2678=C2678, "YES", "WRONG")</f>
        <v/>
      </c>
    </row>
    <row r="2679">
      <c r="A2679" t="n">
        <v>2678</v>
      </c>
      <c r="B2679" t="inlineStr">
        <is>
          <t>MMDCLXXVIII</t>
        </is>
      </c>
      <c r="C2679">
        <f>ROMAN(2678)</f>
        <v/>
      </c>
      <c r="D2679">
        <f>IF(B2679=C2679, "YES", "WRONG")</f>
        <v/>
      </c>
    </row>
    <row r="2680">
      <c r="A2680" t="n">
        <v>2679</v>
      </c>
      <c r="B2680" t="inlineStr">
        <is>
          <t>MMDCLXXIX</t>
        </is>
      </c>
      <c r="C2680">
        <f>ROMAN(2679)</f>
        <v/>
      </c>
      <c r="D2680">
        <f>IF(B2680=C2680, "YES", "WRONG")</f>
        <v/>
      </c>
    </row>
    <row r="2681">
      <c r="A2681" t="n">
        <v>2680</v>
      </c>
      <c r="B2681" t="inlineStr">
        <is>
          <t>MMDCLXXX</t>
        </is>
      </c>
      <c r="C2681">
        <f>ROMAN(2680)</f>
        <v/>
      </c>
      <c r="D2681">
        <f>IF(B2681=C2681, "YES", "WRONG")</f>
        <v/>
      </c>
    </row>
    <row r="2682">
      <c r="A2682" t="n">
        <v>2681</v>
      </c>
      <c r="B2682" t="inlineStr">
        <is>
          <t>MMDCLXXXI</t>
        </is>
      </c>
      <c r="C2682">
        <f>ROMAN(2681)</f>
        <v/>
      </c>
      <c r="D2682">
        <f>IF(B2682=C2682, "YES", "WRONG")</f>
        <v/>
      </c>
    </row>
    <row r="2683">
      <c r="A2683" t="n">
        <v>2682</v>
      </c>
      <c r="B2683" t="inlineStr">
        <is>
          <t>MMDCLXXXII</t>
        </is>
      </c>
      <c r="C2683">
        <f>ROMAN(2682)</f>
        <v/>
      </c>
      <c r="D2683">
        <f>IF(B2683=C2683, "YES", "WRONG")</f>
        <v/>
      </c>
    </row>
    <row r="2684">
      <c r="A2684" t="n">
        <v>2683</v>
      </c>
      <c r="B2684" t="inlineStr">
        <is>
          <t>MMDCLXXXIII</t>
        </is>
      </c>
      <c r="C2684">
        <f>ROMAN(2683)</f>
        <v/>
      </c>
      <c r="D2684">
        <f>IF(B2684=C2684, "YES", "WRONG")</f>
        <v/>
      </c>
    </row>
    <row r="2685">
      <c r="A2685" t="n">
        <v>2684</v>
      </c>
      <c r="B2685" t="inlineStr">
        <is>
          <t>MMDCLXXXIV</t>
        </is>
      </c>
      <c r="C2685">
        <f>ROMAN(2684)</f>
        <v/>
      </c>
      <c r="D2685">
        <f>IF(B2685=C2685, "YES", "WRONG")</f>
        <v/>
      </c>
    </row>
    <row r="2686">
      <c r="A2686" t="n">
        <v>2685</v>
      </c>
      <c r="B2686" t="inlineStr">
        <is>
          <t>MMDCLXXXV</t>
        </is>
      </c>
      <c r="C2686">
        <f>ROMAN(2685)</f>
        <v/>
      </c>
      <c r="D2686">
        <f>IF(B2686=C2686, "YES", "WRONG")</f>
        <v/>
      </c>
    </row>
    <row r="2687">
      <c r="A2687" t="n">
        <v>2686</v>
      </c>
      <c r="B2687" t="inlineStr">
        <is>
          <t>MMDCLXXXVI</t>
        </is>
      </c>
      <c r="C2687">
        <f>ROMAN(2686)</f>
        <v/>
      </c>
      <c r="D2687">
        <f>IF(B2687=C2687, "YES", "WRONG")</f>
        <v/>
      </c>
    </row>
    <row r="2688">
      <c r="A2688" t="n">
        <v>2687</v>
      </c>
      <c r="B2688" t="inlineStr">
        <is>
          <t>MMDCLXXXVII</t>
        </is>
      </c>
      <c r="C2688">
        <f>ROMAN(2687)</f>
        <v/>
      </c>
      <c r="D2688">
        <f>IF(B2688=C2688, "YES", "WRONG")</f>
        <v/>
      </c>
    </row>
    <row r="2689">
      <c r="A2689" t="n">
        <v>2688</v>
      </c>
      <c r="B2689" t="inlineStr">
        <is>
          <t>MMDCLXXXVIII</t>
        </is>
      </c>
      <c r="C2689">
        <f>ROMAN(2688)</f>
        <v/>
      </c>
      <c r="D2689">
        <f>IF(B2689=C2689, "YES", "WRONG")</f>
        <v/>
      </c>
    </row>
    <row r="2690">
      <c r="A2690" t="n">
        <v>2689</v>
      </c>
      <c r="B2690" t="inlineStr">
        <is>
          <t>MMDCLXXXIX</t>
        </is>
      </c>
      <c r="C2690">
        <f>ROMAN(2689)</f>
        <v/>
      </c>
      <c r="D2690">
        <f>IF(B2690=C2690, "YES", "WRONG")</f>
        <v/>
      </c>
    </row>
    <row r="2691">
      <c r="A2691" t="n">
        <v>2690</v>
      </c>
      <c r="B2691" t="inlineStr">
        <is>
          <t>MMDCXC</t>
        </is>
      </c>
      <c r="C2691">
        <f>ROMAN(2690)</f>
        <v/>
      </c>
      <c r="D2691">
        <f>IF(B2691=C2691, "YES", "WRONG")</f>
        <v/>
      </c>
    </row>
    <row r="2692">
      <c r="A2692" t="n">
        <v>2691</v>
      </c>
      <c r="B2692" t="inlineStr">
        <is>
          <t>MMDCXCI</t>
        </is>
      </c>
      <c r="C2692">
        <f>ROMAN(2691)</f>
        <v/>
      </c>
      <c r="D2692">
        <f>IF(B2692=C2692, "YES", "WRONG")</f>
        <v/>
      </c>
    </row>
    <row r="2693">
      <c r="A2693" t="n">
        <v>2692</v>
      </c>
      <c r="B2693" t="inlineStr">
        <is>
          <t>MMDCXCII</t>
        </is>
      </c>
      <c r="C2693">
        <f>ROMAN(2692)</f>
        <v/>
      </c>
      <c r="D2693">
        <f>IF(B2693=C2693, "YES", "WRONG")</f>
        <v/>
      </c>
    </row>
    <row r="2694">
      <c r="A2694" t="n">
        <v>2693</v>
      </c>
      <c r="B2694" t="inlineStr">
        <is>
          <t>MMDCXCIII</t>
        </is>
      </c>
      <c r="C2694">
        <f>ROMAN(2693)</f>
        <v/>
      </c>
      <c r="D2694">
        <f>IF(B2694=C2694, "YES", "WRONG")</f>
        <v/>
      </c>
    </row>
    <row r="2695">
      <c r="A2695" t="n">
        <v>2694</v>
      </c>
      <c r="B2695" t="inlineStr">
        <is>
          <t>MMDCXCIV</t>
        </is>
      </c>
      <c r="C2695">
        <f>ROMAN(2694)</f>
        <v/>
      </c>
      <c r="D2695">
        <f>IF(B2695=C2695, "YES", "WRONG")</f>
        <v/>
      </c>
    </row>
    <row r="2696">
      <c r="A2696" t="n">
        <v>2695</v>
      </c>
      <c r="B2696" t="inlineStr">
        <is>
          <t>MMDCXCV</t>
        </is>
      </c>
      <c r="C2696">
        <f>ROMAN(2695)</f>
        <v/>
      </c>
      <c r="D2696">
        <f>IF(B2696=C2696, "YES", "WRONG")</f>
        <v/>
      </c>
    </row>
    <row r="2697">
      <c r="A2697" t="n">
        <v>2696</v>
      </c>
      <c r="B2697" t="inlineStr">
        <is>
          <t>MMDCXCVI</t>
        </is>
      </c>
      <c r="C2697">
        <f>ROMAN(2696)</f>
        <v/>
      </c>
      <c r="D2697">
        <f>IF(B2697=C2697, "YES", "WRONG")</f>
        <v/>
      </c>
    </row>
    <row r="2698">
      <c r="A2698" t="n">
        <v>2697</v>
      </c>
      <c r="B2698" t="inlineStr">
        <is>
          <t>MMDCXCVII</t>
        </is>
      </c>
      <c r="C2698">
        <f>ROMAN(2697)</f>
        <v/>
      </c>
      <c r="D2698">
        <f>IF(B2698=C2698, "YES", "WRONG")</f>
        <v/>
      </c>
    </row>
    <row r="2699">
      <c r="A2699" t="n">
        <v>2698</v>
      </c>
      <c r="B2699" t="inlineStr">
        <is>
          <t>MMDCXCVIII</t>
        </is>
      </c>
      <c r="C2699">
        <f>ROMAN(2698)</f>
        <v/>
      </c>
      <c r="D2699">
        <f>IF(B2699=C2699, "YES", "WRONG")</f>
        <v/>
      </c>
    </row>
    <row r="2700">
      <c r="A2700" t="n">
        <v>2699</v>
      </c>
      <c r="B2700" t="inlineStr">
        <is>
          <t>MMDCXCIX</t>
        </is>
      </c>
      <c r="C2700">
        <f>ROMAN(2699)</f>
        <v/>
      </c>
      <c r="D2700">
        <f>IF(B2700=C2700, "YES", "WRONG")</f>
        <v/>
      </c>
    </row>
    <row r="2701">
      <c r="A2701" t="n">
        <v>2700</v>
      </c>
      <c r="B2701" t="inlineStr">
        <is>
          <t>MMDCC</t>
        </is>
      </c>
      <c r="C2701">
        <f>ROMAN(2700)</f>
        <v/>
      </c>
      <c r="D2701">
        <f>IF(B2701=C2701, "YES", "WRONG")</f>
        <v/>
      </c>
    </row>
    <row r="2702">
      <c r="A2702" t="n">
        <v>2701</v>
      </c>
      <c r="B2702" t="inlineStr">
        <is>
          <t>MMDCCI</t>
        </is>
      </c>
      <c r="C2702">
        <f>ROMAN(2701)</f>
        <v/>
      </c>
      <c r="D2702">
        <f>IF(B2702=C2702, "YES", "WRONG")</f>
        <v/>
      </c>
    </row>
    <row r="2703">
      <c r="A2703" t="n">
        <v>2702</v>
      </c>
      <c r="B2703" t="inlineStr">
        <is>
          <t>MMDCCII</t>
        </is>
      </c>
      <c r="C2703">
        <f>ROMAN(2702)</f>
        <v/>
      </c>
      <c r="D2703">
        <f>IF(B2703=C2703, "YES", "WRONG")</f>
        <v/>
      </c>
    </row>
    <row r="2704">
      <c r="A2704" t="n">
        <v>2703</v>
      </c>
      <c r="B2704" t="inlineStr">
        <is>
          <t>MMDCCIII</t>
        </is>
      </c>
      <c r="C2704">
        <f>ROMAN(2703)</f>
        <v/>
      </c>
      <c r="D2704">
        <f>IF(B2704=C2704, "YES", "WRONG")</f>
        <v/>
      </c>
    </row>
    <row r="2705">
      <c r="A2705" t="n">
        <v>2704</v>
      </c>
      <c r="B2705" t="inlineStr">
        <is>
          <t>MMDCCIV</t>
        </is>
      </c>
      <c r="C2705">
        <f>ROMAN(2704)</f>
        <v/>
      </c>
      <c r="D2705">
        <f>IF(B2705=C2705, "YES", "WRONG")</f>
        <v/>
      </c>
    </row>
    <row r="2706">
      <c r="A2706" t="n">
        <v>2705</v>
      </c>
      <c r="B2706" t="inlineStr">
        <is>
          <t>MMDCCV</t>
        </is>
      </c>
      <c r="C2706">
        <f>ROMAN(2705)</f>
        <v/>
      </c>
      <c r="D2706">
        <f>IF(B2706=C2706, "YES", "WRONG")</f>
        <v/>
      </c>
    </row>
    <row r="2707">
      <c r="A2707" t="n">
        <v>2706</v>
      </c>
      <c r="B2707" t="inlineStr">
        <is>
          <t>MMDCCVI</t>
        </is>
      </c>
      <c r="C2707">
        <f>ROMAN(2706)</f>
        <v/>
      </c>
      <c r="D2707">
        <f>IF(B2707=C2707, "YES", "WRONG")</f>
        <v/>
      </c>
    </row>
    <row r="2708">
      <c r="A2708" t="n">
        <v>2707</v>
      </c>
      <c r="B2708" t="inlineStr">
        <is>
          <t>MMDCCVII</t>
        </is>
      </c>
      <c r="C2708">
        <f>ROMAN(2707)</f>
        <v/>
      </c>
      <c r="D2708">
        <f>IF(B2708=C2708, "YES", "WRONG")</f>
        <v/>
      </c>
    </row>
    <row r="2709">
      <c r="A2709" t="n">
        <v>2708</v>
      </c>
      <c r="B2709" t="inlineStr">
        <is>
          <t>MMDCCVIII</t>
        </is>
      </c>
      <c r="C2709">
        <f>ROMAN(2708)</f>
        <v/>
      </c>
      <c r="D2709">
        <f>IF(B2709=C2709, "YES", "WRONG")</f>
        <v/>
      </c>
    </row>
    <row r="2710">
      <c r="A2710" t="n">
        <v>2709</v>
      </c>
      <c r="B2710" t="inlineStr">
        <is>
          <t>MMDCCIX</t>
        </is>
      </c>
      <c r="C2710">
        <f>ROMAN(2709)</f>
        <v/>
      </c>
      <c r="D2710">
        <f>IF(B2710=C2710, "YES", "WRONG")</f>
        <v/>
      </c>
    </row>
    <row r="2711">
      <c r="A2711" t="n">
        <v>2710</v>
      </c>
      <c r="B2711" t="inlineStr">
        <is>
          <t>MMDCCX</t>
        </is>
      </c>
      <c r="C2711">
        <f>ROMAN(2710)</f>
        <v/>
      </c>
      <c r="D2711">
        <f>IF(B2711=C2711, "YES", "WRONG")</f>
        <v/>
      </c>
    </row>
    <row r="2712">
      <c r="A2712" t="n">
        <v>2711</v>
      </c>
      <c r="B2712" t="inlineStr">
        <is>
          <t>MMDCCXI</t>
        </is>
      </c>
      <c r="C2712">
        <f>ROMAN(2711)</f>
        <v/>
      </c>
      <c r="D2712">
        <f>IF(B2712=C2712, "YES", "WRONG")</f>
        <v/>
      </c>
    </row>
    <row r="2713">
      <c r="A2713" t="n">
        <v>2712</v>
      </c>
      <c r="B2713" t="inlineStr">
        <is>
          <t>MMDCCXII</t>
        </is>
      </c>
      <c r="C2713">
        <f>ROMAN(2712)</f>
        <v/>
      </c>
      <c r="D2713">
        <f>IF(B2713=C2713, "YES", "WRONG")</f>
        <v/>
      </c>
    </row>
    <row r="2714">
      <c r="A2714" t="n">
        <v>2713</v>
      </c>
      <c r="B2714" t="inlineStr">
        <is>
          <t>MMDCCXIII</t>
        </is>
      </c>
      <c r="C2714">
        <f>ROMAN(2713)</f>
        <v/>
      </c>
      <c r="D2714">
        <f>IF(B2714=C2714, "YES", "WRONG")</f>
        <v/>
      </c>
    </row>
    <row r="2715">
      <c r="A2715" t="n">
        <v>2714</v>
      </c>
      <c r="B2715" t="inlineStr">
        <is>
          <t>MMDCCXIV</t>
        </is>
      </c>
      <c r="C2715">
        <f>ROMAN(2714)</f>
        <v/>
      </c>
      <c r="D2715">
        <f>IF(B2715=C2715, "YES", "WRONG")</f>
        <v/>
      </c>
    </row>
    <row r="2716">
      <c r="A2716" t="n">
        <v>2715</v>
      </c>
      <c r="B2716" t="inlineStr">
        <is>
          <t>MMDCCXV</t>
        </is>
      </c>
      <c r="C2716">
        <f>ROMAN(2715)</f>
        <v/>
      </c>
      <c r="D2716">
        <f>IF(B2716=C2716, "YES", "WRONG")</f>
        <v/>
      </c>
    </row>
    <row r="2717">
      <c r="A2717" t="n">
        <v>2716</v>
      </c>
      <c r="B2717" t="inlineStr">
        <is>
          <t>MMDCCXVI</t>
        </is>
      </c>
      <c r="C2717">
        <f>ROMAN(2716)</f>
        <v/>
      </c>
      <c r="D2717">
        <f>IF(B2717=C2717, "YES", "WRONG")</f>
        <v/>
      </c>
    </row>
    <row r="2718">
      <c r="A2718" t="n">
        <v>2717</v>
      </c>
      <c r="B2718" t="inlineStr">
        <is>
          <t>MMDCCXVII</t>
        </is>
      </c>
      <c r="C2718">
        <f>ROMAN(2717)</f>
        <v/>
      </c>
      <c r="D2718">
        <f>IF(B2718=C2718, "YES", "WRONG")</f>
        <v/>
      </c>
    </row>
    <row r="2719">
      <c r="A2719" t="n">
        <v>2718</v>
      </c>
      <c r="B2719" t="inlineStr">
        <is>
          <t>MMDCCXVIII</t>
        </is>
      </c>
      <c r="C2719">
        <f>ROMAN(2718)</f>
        <v/>
      </c>
      <c r="D2719">
        <f>IF(B2719=C2719, "YES", "WRONG")</f>
        <v/>
      </c>
    </row>
    <row r="2720">
      <c r="A2720" t="n">
        <v>2719</v>
      </c>
      <c r="B2720" t="inlineStr">
        <is>
          <t>MMDCCXIX</t>
        </is>
      </c>
      <c r="C2720">
        <f>ROMAN(2719)</f>
        <v/>
      </c>
      <c r="D2720">
        <f>IF(B2720=C2720, "YES", "WRONG")</f>
        <v/>
      </c>
    </row>
    <row r="2721">
      <c r="A2721" t="n">
        <v>2720</v>
      </c>
      <c r="B2721" t="inlineStr">
        <is>
          <t>MMDCCXX</t>
        </is>
      </c>
      <c r="C2721">
        <f>ROMAN(2720)</f>
        <v/>
      </c>
      <c r="D2721">
        <f>IF(B2721=C2721, "YES", "WRONG")</f>
        <v/>
      </c>
    </row>
    <row r="2722">
      <c r="A2722" t="n">
        <v>2721</v>
      </c>
      <c r="B2722" t="inlineStr">
        <is>
          <t>MMDCCXXI</t>
        </is>
      </c>
      <c r="C2722">
        <f>ROMAN(2721)</f>
        <v/>
      </c>
      <c r="D2722">
        <f>IF(B2722=C2722, "YES", "WRONG")</f>
        <v/>
      </c>
    </row>
    <row r="2723">
      <c r="A2723" t="n">
        <v>2722</v>
      </c>
      <c r="B2723" t="inlineStr">
        <is>
          <t>MMDCCXXII</t>
        </is>
      </c>
      <c r="C2723">
        <f>ROMAN(2722)</f>
        <v/>
      </c>
      <c r="D2723">
        <f>IF(B2723=C2723, "YES", "WRONG")</f>
        <v/>
      </c>
    </row>
    <row r="2724">
      <c r="A2724" t="n">
        <v>2723</v>
      </c>
      <c r="B2724" t="inlineStr">
        <is>
          <t>MMDCCXXIII</t>
        </is>
      </c>
      <c r="C2724">
        <f>ROMAN(2723)</f>
        <v/>
      </c>
      <c r="D2724">
        <f>IF(B2724=C2724, "YES", "WRONG")</f>
        <v/>
      </c>
    </row>
    <row r="2725">
      <c r="A2725" t="n">
        <v>2724</v>
      </c>
      <c r="B2725" t="inlineStr">
        <is>
          <t>MMDCCXXIV</t>
        </is>
      </c>
      <c r="C2725">
        <f>ROMAN(2724)</f>
        <v/>
      </c>
      <c r="D2725">
        <f>IF(B2725=C2725, "YES", "WRONG")</f>
        <v/>
      </c>
    </row>
    <row r="2726">
      <c r="A2726" t="n">
        <v>2725</v>
      </c>
      <c r="B2726" t="inlineStr">
        <is>
          <t>MMDCCXXV</t>
        </is>
      </c>
      <c r="C2726">
        <f>ROMAN(2725)</f>
        <v/>
      </c>
      <c r="D2726">
        <f>IF(B2726=C2726, "YES", "WRONG")</f>
        <v/>
      </c>
    </row>
    <row r="2727">
      <c r="A2727" t="n">
        <v>2726</v>
      </c>
      <c r="B2727" t="inlineStr">
        <is>
          <t>MMDCCXXVI</t>
        </is>
      </c>
      <c r="C2727">
        <f>ROMAN(2726)</f>
        <v/>
      </c>
      <c r="D2727">
        <f>IF(B2727=C2727, "YES", "WRONG")</f>
        <v/>
      </c>
    </row>
    <row r="2728">
      <c r="A2728" t="n">
        <v>2727</v>
      </c>
      <c r="B2728" t="inlineStr">
        <is>
          <t>MMDCCXXVII</t>
        </is>
      </c>
      <c r="C2728">
        <f>ROMAN(2727)</f>
        <v/>
      </c>
      <c r="D2728">
        <f>IF(B2728=C2728, "YES", "WRONG")</f>
        <v/>
      </c>
    </row>
    <row r="2729">
      <c r="A2729" t="n">
        <v>2728</v>
      </c>
      <c r="B2729" t="inlineStr">
        <is>
          <t>MMDCCXXVIII</t>
        </is>
      </c>
      <c r="C2729">
        <f>ROMAN(2728)</f>
        <v/>
      </c>
      <c r="D2729">
        <f>IF(B2729=C2729, "YES", "WRONG")</f>
        <v/>
      </c>
    </row>
    <row r="2730">
      <c r="A2730" t="n">
        <v>2729</v>
      </c>
      <c r="B2730" t="inlineStr">
        <is>
          <t>MMDCCXXIX</t>
        </is>
      </c>
      <c r="C2730">
        <f>ROMAN(2729)</f>
        <v/>
      </c>
      <c r="D2730">
        <f>IF(B2730=C2730, "YES", "WRONG")</f>
        <v/>
      </c>
    </row>
    <row r="2731">
      <c r="A2731" t="n">
        <v>2730</v>
      </c>
      <c r="B2731" t="inlineStr">
        <is>
          <t>MMDCCXXX</t>
        </is>
      </c>
      <c r="C2731">
        <f>ROMAN(2730)</f>
        <v/>
      </c>
      <c r="D2731">
        <f>IF(B2731=C2731, "YES", "WRONG")</f>
        <v/>
      </c>
    </row>
    <row r="2732">
      <c r="A2732" t="n">
        <v>2731</v>
      </c>
      <c r="B2732" t="inlineStr">
        <is>
          <t>MMDCCXXXI</t>
        </is>
      </c>
      <c r="C2732">
        <f>ROMAN(2731)</f>
        <v/>
      </c>
      <c r="D2732">
        <f>IF(B2732=C2732, "YES", "WRONG")</f>
        <v/>
      </c>
    </row>
    <row r="2733">
      <c r="A2733" t="n">
        <v>2732</v>
      </c>
      <c r="B2733" t="inlineStr">
        <is>
          <t>MMDCCXXXII</t>
        </is>
      </c>
      <c r="C2733">
        <f>ROMAN(2732)</f>
        <v/>
      </c>
      <c r="D2733">
        <f>IF(B2733=C2733, "YES", "WRONG")</f>
        <v/>
      </c>
    </row>
    <row r="2734">
      <c r="A2734" t="n">
        <v>2733</v>
      </c>
      <c r="B2734" t="inlineStr">
        <is>
          <t>MMDCCXXXIII</t>
        </is>
      </c>
      <c r="C2734">
        <f>ROMAN(2733)</f>
        <v/>
      </c>
      <c r="D2734">
        <f>IF(B2734=C2734, "YES", "WRONG")</f>
        <v/>
      </c>
    </row>
    <row r="2735">
      <c r="A2735" t="n">
        <v>2734</v>
      </c>
      <c r="B2735" t="inlineStr">
        <is>
          <t>MMDCCXXXIV</t>
        </is>
      </c>
      <c r="C2735">
        <f>ROMAN(2734)</f>
        <v/>
      </c>
      <c r="D2735">
        <f>IF(B2735=C2735, "YES", "WRONG")</f>
        <v/>
      </c>
    </row>
    <row r="2736">
      <c r="A2736" t="n">
        <v>2735</v>
      </c>
      <c r="B2736" t="inlineStr">
        <is>
          <t>MMDCCXXXV</t>
        </is>
      </c>
      <c r="C2736">
        <f>ROMAN(2735)</f>
        <v/>
      </c>
      <c r="D2736">
        <f>IF(B2736=C2736, "YES", "WRONG")</f>
        <v/>
      </c>
    </row>
    <row r="2737">
      <c r="A2737" t="n">
        <v>2736</v>
      </c>
      <c r="B2737" t="inlineStr">
        <is>
          <t>MMDCCXXXVI</t>
        </is>
      </c>
      <c r="C2737">
        <f>ROMAN(2736)</f>
        <v/>
      </c>
      <c r="D2737">
        <f>IF(B2737=C2737, "YES", "WRONG")</f>
        <v/>
      </c>
    </row>
    <row r="2738">
      <c r="A2738" t="n">
        <v>2737</v>
      </c>
      <c r="B2738" t="inlineStr">
        <is>
          <t>MMDCCXXXVII</t>
        </is>
      </c>
      <c r="C2738">
        <f>ROMAN(2737)</f>
        <v/>
      </c>
      <c r="D2738">
        <f>IF(B2738=C2738, "YES", "WRONG")</f>
        <v/>
      </c>
    </row>
    <row r="2739">
      <c r="A2739" t="n">
        <v>2738</v>
      </c>
      <c r="B2739" t="inlineStr">
        <is>
          <t>MMDCCXXXVIII</t>
        </is>
      </c>
      <c r="C2739">
        <f>ROMAN(2738)</f>
        <v/>
      </c>
      <c r="D2739">
        <f>IF(B2739=C2739, "YES", "WRONG")</f>
        <v/>
      </c>
    </row>
    <row r="2740">
      <c r="A2740" t="n">
        <v>2739</v>
      </c>
      <c r="B2740" t="inlineStr">
        <is>
          <t>MMDCCXXXIX</t>
        </is>
      </c>
      <c r="C2740">
        <f>ROMAN(2739)</f>
        <v/>
      </c>
      <c r="D2740">
        <f>IF(B2740=C2740, "YES", "WRONG")</f>
        <v/>
      </c>
    </row>
    <row r="2741">
      <c r="A2741" t="n">
        <v>2740</v>
      </c>
      <c r="B2741" t="inlineStr">
        <is>
          <t>MMDCCXL</t>
        </is>
      </c>
      <c r="C2741">
        <f>ROMAN(2740)</f>
        <v/>
      </c>
      <c r="D2741">
        <f>IF(B2741=C2741, "YES", "WRONG")</f>
        <v/>
      </c>
    </row>
    <row r="2742">
      <c r="A2742" t="n">
        <v>2741</v>
      </c>
      <c r="B2742" t="inlineStr">
        <is>
          <t>MMDCCXLI</t>
        </is>
      </c>
      <c r="C2742">
        <f>ROMAN(2741)</f>
        <v/>
      </c>
      <c r="D2742">
        <f>IF(B2742=C2742, "YES", "WRONG")</f>
        <v/>
      </c>
    </row>
    <row r="2743">
      <c r="A2743" t="n">
        <v>2742</v>
      </c>
      <c r="B2743" t="inlineStr">
        <is>
          <t>MMDCCXLII</t>
        </is>
      </c>
      <c r="C2743">
        <f>ROMAN(2742)</f>
        <v/>
      </c>
      <c r="D2743">
        <f>IF(B2743=C2743, "YES", "WRONG")</f>
        <v/>
      </c>
    </row>
    <row r="2744">
      <c r="A2744" t="n">
        <v>2743</v>
      </c>
      <c r="B2744" t="inlineStr">
        <is>
          <t>MMDCCXLIII</t>
        </is>
      </c>
      <c r="C2744">
        <f>ROMAN(2743)</f>
        <v/>
      </c>
      <c r="D2744">
        <f>IF(B2744=C2744, "YES", "WRONG")</f>
        <v/>
      </c>
    </row>
    <row r="2745">
      <c r="A2745" t="n">
        <v>2744</v>
      </c>
      <c r="B2745" t="inlineStr">
        <is>
          <t>MMDCCXLIV</t>
        </is>
      </c>
      <c r="C2745">
        <f>ROMAN(2744)</f>
        <v/>
      </c>
      <c r="D2745">
        <f>IF(B2745=C2745, "YES", "WRONG")</f>
        <v/>
      </c>
    </row>
    <row r="2746">
      <c r="A2746" t="n">
        <v>2745</v>
      </c>
      <c r="B2746" t="inlineStr">
        <is>
          <t>MMDCCXLV</t>
        </is>
      </c>
      <c r="C2746">
        <f>ROMAN(2745)</f>
        <v/>
      </c>
      <c r="D2746">
        <f>IF(B2746=C2746, "YES", "WRONG")</f>
        <v/>
      </c>
    </row>
    <row r="2747">
      <c r="A2747" t="n">
        <v>2746</v>
      </c>
      <c r="B2747" t="inlineStr">
        <is>
          <t>MMDCCXLVI</t>
        </is>
      </c>
      <c r="C2747">
        <f>ROMAN(2746)</f>
        <v/>
      </c>
      <c r="D2747">
        <f>IF(B2747=C2747, "YES", "WRONG")</f>
        <v/>
      </c>
    </row>
    <row r="2748">
      <c r="A2748" t="n">
        <v>2747</v>
      </c>
      <c r="B2748" t="inlineStr">
        <is>
          <t>MMDCCXLVII</t>
        </is>
      </c>
      <c r="C2748">
        <f>ROMAN(2747)</f>
        <v/>
      </c>
      <c r="D2748">
        <f>IF(B2748=C2748, "YES", "WRONG")</f>
        <v/>
      </c>
    </row>
    <row r="2749">
      <c r="A2749" t="n">
        <v>2748</v>
      </c>
      <c r="B2749" t="inlineStr">
        <is>
          <t>MMDCCXLVIII</t>
        </is>
      </c>
      <c r="C2749">
        <f>ROMAN(2748)</f>
        <v/>
      </c>
      <c r="D2749">
        <f>IF(B2749=C2749, "YES", "WRONG")</f>
        <v/>
      </c>
    </row>
    <row r="2750">
      <c r="A2750" t="n">
        <v>2749</v>
      </c>
      <c r="B2750" t="inlineStr">
        <is>
          <t>MMDCCXLIX</t>
        </is>
      </c>
      <c r="C2750">
        <f>ROMAN(2749)</f>
        <v/>
      </c>
      <c r="D2750">
        <f>IF(B2750=C2750, "YES", "WRONG")</f>
        <v/>
      </c>
    </row>
    <row r="2751">
      <c r="A2751" t="n">
        <v>2750</v>
      </c>
      <c r="B2751" t="inlineStr">
        <is>
          <t>MMDCCL</t>
        </is>
      </c>
      <c r="C2751">
        <f>ROMAN(2750)</f>
        <v/>
      </c>
      <c r="D2751">
        <f>IF(B2751=C2751, "YES", "WRONG")</f>
        <v/>
      </c>
    </row>
    <row r="2752">
      <c r="A2752" t="n">
        <v>2751</v>
      </c>
      <c r="B2752" t="inlineStr">
        <is>
          <t>MMDCCLI</t>
        </is>
      </c>
      <c r="C2752">
        <f>ROMAN(2751)</f>
        <v/>
      </c>
      <c r="D2752">
        <f>IF(B2752=C2752, "YES", "WRONG")</f>
        <v/>
      </c>
    </row>
    <row r="2753">
      <c r="A2753" t="n">
        <v>2752</v>
      </c>
      <c r="B2753" t="inlineStr">
        <is>
          <t>MMDCCLII</t>
        </is>
      </c>
      <c r="C2753">
        <f>ROMAN(2752)</f>
        <v/>
      </c>
      <c r="D2753">
        <f>IF(B2753=C2753, "YES", "WRONG")</f>
        <v/>
      </c>
    </row>
    <row r="2754">
      <c r="A2754" t="n">
        <v>2753</v>
      </c>
      <c r="B2754" t="inlineStr">
        <is>
          <t>MMDCCLIII</t>
        </is>
      </c>
      <c r="C2754">
        <f>ROMAN(2753)</f>
        <v/>
      </c>
      <c r="D2754">
        <f>IF(B2754=C2754, "YES", "WRONG")</f>
        <v/>
      </c>
    </row>
    <row r="2755">
      <c r="A2755" t="n">
        <v>2754</v>
      </c>
      <c r="B2755" t="inlineStr">
        <is>
          <t>MMDCCLIV</t>
        </is>
      </c>
      <c r="C2755">
        <f>ROMAN(2754)</f>
        <v/>
      </c>
      <c r="D2755">
        <f>IF(B2755=C2755, "YES", "WRONG")</f>
        <v/>
      </c>
    </row>
    <row r="2756">
      <c r="A2756" t="n">
        <v>2755</v>
      </c>
      <c r="B2756" t="inlineStr">
        <is>
          <t>MMDCCLV</t>
        </is>
      </c>
      <c r="C2756">
        <f>ROMAN(2755)</f>
        <v/>
      </c>
      <c r="D2756">
        <f>IF(B2756=C2756, "YES", "WRONG")</f>
        <v/>
      </c>
    </row>
    <row r="2757">
      <c r="A2757" t="n">
        <v>2756</v>
      </c>
      <c r="B2757" t="inlineStr">
        <is>
          <t>MMDCCLVI</t>
        </is>
      </c>
      <c r="C2757">
        <f>ROMAN(2756)</f>
        <v/>
      </c>
      <c r="D2757">
        <f>IF(B2757=C2757, "YES", "WRONG")</f>
        <v/>
      </c>
    </row>
    <row r="2758">
      <c r="A2758" t="n">
        <v>2757</v>
      </c>
      <c r="B2758" t="inlineStr">
        <is>
          <t>MMDCCLVII</t>
        </is>
      </c>
      <c r="C2758">
        <f>ROMAN(2757)</f>
        <v/>
      </c>
      <c r="D2758">
        <f>IF(B2758=C2758, "YES", "WRONG")</f>
        <v/>
      </c>
    </row>
    <row r="2759">
      <c r="A2759" t="n">
        <v>2758</v>
      </c>
      <c r="B2759" t="inlineStr">
        <is>
          <t>MMDCCLVIII</t>
        </is>
      </c>
      <c r="C2759">
        <f>ROMAN(2758)</f>
        <v/>
      </c>
      <c r="D2759">
        <f>IF(B2759=C2759, "YES", "WRONG")</f>
        <v/>
      </c>
    </row>
    <row r="2760">
      <c r="A2760" t="n">
        <v>2759</v>
      </c>
      <c r="B2760" t="inlineStr">
        <is>
          <t>MMDCCLIX</t>
        </is>
      </c>
      <c r="C2760">
        <f>ROMAN(2759)</f>
        <v/>
      </c>
      <c r="D2760">
        <f>IF(B2760=C2760, "YES", "WRONG")</f>
        <v/>
      </c>
    </row>
    <row r="2761">
      <c r="A2761" t="n">
        <v>2760</v>
      </c>
      <c r="B2761" t="inlineStr">
        <is>
          <t>MMDCCLX</t>
        </is>
      </c>
      <c r="C2761">
        <f>ROMAN(2760)</f>
        <v/>
      </c>
      <c r="D2761">
        <f>IF(B2761=C2761, "YES", "WRONG")</f>
        <v/>
      </c>
    </row>
    <row r="2762">
      <c r="A2762" t="n">
        <v>2761</v>
      </c>
      <c r="B2762" t="inlineStr">
        <is>
          <t>MMDCCLXI</t>
        </is>
      </c>
      <c r="C2762">
        <f>ROMAN(2761)</f>
        <v/>
      </c>
      <c r="D2762">
        <f>IF(B2762=C2762, "YES", "WRONG")</f>
        <v/>
      </c>
    </row>
    <row r="2763">
      <c r="A2763" t="n">
        <v>2762</v>
      </c>
      <c r="B2763" t="inlineStr">
        <is>
          <t>MMDCCLXII</t>
        </is>
      </c>
      <c r="C2763">
        <f>ROMAN(2762)</f>
        <v/>
      </c>
      <c r="D2763">
        <f>IF(B2763=C2763, "YES", "WRONG")</f>
        <v/>
      </c>
    </row>
    <row r="2764">
      <c r="A2764" t="n">
        <v>2763</v>
      </c>
      <c r="B2764" t="inlineStr">
        <is>
          <t>MMDCCLXIII</t>
        </is>
      </c>
      <c r="C2764">
        <f>ROMAN(2763)</f>
        <v/>
      </c>
      <c r="D2764">
        <f>IF(B2764=C2764, "YES", "WRONG")</f>
        <v/>
      </c>
    </row>
    <row r="2765">
      <c r="A2765" t="n">
        <v>2764</v>
      </c>
      <c r="B2765" t="inlineStr">
        <is>
          <t>MMDCCLXIV</t>
        </is>
      </c>
      <c r="C2765">
        <f>ROMAN(2764)</f>
        <v/>
      </c>
      <c r="D2765">
        <f>IF(B2765=C2765, "YES", "WRONG")</f>
        <v/>
      </c>
    </row>
    <row r="2766">
      <c r="A2766" t="n">
        <v>2765</v>
      </c>
      <c r="B2766" t="inlineStr">
        <is>
          <t>MMDCCLXV</t>
        </is>
      </c>
      <c r="C2766">
        <f>ROMAN(2765)</f>
        <v/>
      </c>
      <c r="D2766">
        <f>IF(B2766=C2766, "YES", "WRONG")</f>
        <v/>
      </c>
    </row>
    <row r="2767">
      <c r="A2767" t="n">
        <v>2766</v>
      </c>
      <c r="B2767" t="inlineStr">
        <is>
          <t>MMDCCLXVI</t>
        </is>
      </c>
      <c r="C2767">
        <f>ROMAN(2766)</f>
        <v/>
      </c>
      <c r="D2767">
        <f>IF(B2767=C2767, "YES", "WRONG")</f>
        <v/>
      </c>
    </row>
    <row r="2768">
      <c r="A2768" t="n">
        <v>2767</v>
      </c>
      <c r="B2768" t="inlineStr">
        <is>
          <t>MMDCCLXVII</t>
        </is>
      </c>
      <c r="C2768">
        <f>ROMAN(2767)</f>
        <v/>
      </c>
      <c r="D2768">
        <f>IF(B2768=C2768, "YES", "WRONG")</f>
        <v/>
      </c>
    </row>
    <row r="2769">
      <c r="A2769" t="n">
        <v>2768</v>
      </c>
      <c r="B2769" t="inlineStr">
        <is>
          <t>MMDCCLXVIII</t>
        </is>
      </c>
      <c r="C2769">
        <f>ROMAN(2768)</f>
        <v/>
      </c>
      <c r="D2769">
        <f>IF(B2769=C2769, "YES", "WRONG")</f>
        <v/>
      </c>
    </row>
    <row r="2770">
      <c r="A2770" t="n">
        <v>2769</v>
      </c>
      <c r="B2770" t="inlineStr">
        <is>
          <t>MMDCCLXIX</t>
        </is>
      </c>
      <c r="C2770">
        <f>ROMAN(2769)</f>
        <v/>
      </c>
      <c r="D2770">
        <f>IF(B2770=C2770, "YES", "WRONG")</f>
        <v/>
      </c>
    </row>
    <row r="2771">
      <c r="A2771" t="n">
        <v>2770</v>
      </c>
      <c r="B2771" t="inlineStr">
        <is>
          <t>MMDCCLXX</t>
        </is>
      </c>
      <c r="C2771">
        <f>ROMAN(2770)</f>
        <v/>
      </c>
      <c r="D2771">
        <f>IF(B2771=C2771, "YES", "WRONG")</f>
        <v/>
      </c>
    </row>
    <row r="2772">
      <c r="A2772" t="n">
        <v>2771</v>
      </c>
      <c r="B2772" t="inlineStr">
        <is>
          <t>MMDCCLXXI</t>
        </is>
      </c>
      <c r="C2772">
        <f>ROMAN(2771)</f>
        <v/>
      </c>
      <c r="D2772">
        <f>IF(B2772=C2772, "YES", "WRONG")</f>
        <v/>
      </c>
    </row>
    <row r="2773">
      <c r="A2773" t="n">
        <v>2772</v>
      </c>
      <c r="B2773" t="inlineStr">
        <is>
          <t>MMDCCLXXII</t>
        </is>
      </c>
      <c r="C2773">
        <f>ROMAN(2772)</f>
        <v/>
      </c>
      <c r="D2773">
        <f>IF(B2773=C2773, "YES", "WRONG")</f>
        <v/>
      </c>
    </row>
    <row r="2774">
      <c r="A2774" t="n">
        <v>2773</v>
      </c>
      <c r="B2774" t="inlineStr">
        <is>
          <t>MMDCCLXXIII</t>
        </is>
      </c>
      <c r="C2774">
        <f>ROMAN(2773)</f>
        <v/>
      </c>
      <c r="D2774">
        <f>IF(B2774=C2774, "YES", "WRONG")</f>
        <v/>
      </c>
    </row>
    <row r="2775">
      <c r="A2775" t="n">
        <v>2774</v>
      </c>
      <c r="B2775" t="inlineStr">
        <is>
          <t>MMDCCLXXIV</t>
        </is>
      </c>
      <c r="C2775">
        <f>ROMAN(2774)</f>
        <v/>
      </c>
      <c r="D2775">
        <f>IF(B2775=C2775, "YES", "WRONG")</f>
        <v/>
      </c>
    </row>
    <row r="2776">
      <c r="A2776" t="n">
        <v>2775</v>
      </c>
      <c r="B2776" t="inlineStr">
        <is>
          <t>MMDCCLXXV</t>
        </is>
      </c>
      <c r="C2776">
        <f>ROMAN(2775)</f>
        <v/>
      </c>
      <c r="D2776">
        <f>IF(B2776=C2776, "YES", "WRONG")</f>
        <v/>
      </c>
    </row>
    <row r="2777">
      <c r="A2777" t="n">
        <v>2776</v>
      </c>
      <c r="B2777" t="inlineStr">
        <is>
          <t>MMDCCLXXVI</t>
        </is>
      </c>
      <c r="C2777">
        <f>ROMAN(2776)</f>
        <v/>
      </c>
      <c r="D2777">
        <f>IF(B2777=C2777, "YES", "WRONG")</f>
        <v/>
      </c>
    </row>
    <row r="2778">
      <c r="A2778" t="n">
        <v>2777</v>
      </c>
      <c r="B2778" t="inlineStr">
        <is>
          <t>MMDCCLXXVII</t>
        </is>
      </c>
      <c r="C2778">
        <f>ROMAN(2777)</f>
        <v/>
      </c>
      <c r="D2778">
        <f>IF(B2778=C2778, "YES", "WRONG")</f>
        <v/>
      </c>
    </row>
    <row r="2779">
      <c r="A2779" t="n">
        <v>2778</v>
      </c>
      <c r="B2779" t="inlineStr">
        <is>
          <t>MMDCCLXXVIII</t>
        </is>
      </c>
      <c r="C2779">
        <f>ROMAN(2778)</f>
        <v/>
      </c>
      <c r="D2779">
        <f>IF(B2779=C2779, "YES", "WRONG")</f>
        <v/>
      </c>
    </row>
    <row r="2780">
      <c r="A2780" t="n">
        <v>2779</v>
      </c>
      <c r="B2780" t="inlineStr">
        <is>
          <t>MMDCCLXXIX</t>
        </is>
      </c>
      <c r="C2780">
        <f>ROMAN(2779)</f>
        <v/>
      </c>
      <c r="D2780">
        <f>IF(B2780=C2780, "YES", "WRONG")</f>
        <v/>
      </c>
    </row>
    <row r="2781">
      <c r="A2781" t="n">
        <v>2780</v>
      </c>
      <c r="B2781" t="inlineStr">
        <is>
          <t>MMDCCLXXX</t>
        </is>
      </c>
      <c r="C2781">
        <f>ROMAN(2780)</f>
        <v/>
      </c>
      <c r="D2781">
        <f>IF(B2781=C2781, "YES", "WRONG")</f>
        <v/>
      </c>
    </row>
    <row r="2782">
      <c r="A2782" t="n">
        <v>2781</v>
      </c>
      <c r="B2782" t="inlineStr">
        <is>
          <t>MMDCCLXXXI</t>
        </is>
      </c>
      <c r="C2782">
        <f>ROMAN(2781)</f>
        <v/>
      </c>
      <c r="D2782">
        <f>IF(B2782=C2782, "YES", "WRONG")</f>
        <v/>
      </c>
    </row>
    <row r="2783">
      <c r="A2783" t="n">
        <v>2782</v>
      </c>
      <c r="B2783" t="inlineStr">
        <is>
          <t>MMDCCLXXXII</t>
        </is>
      </c>
      <c r="C2783">
        <f>ROMAN(2782)</f>
        <v/>
      </c>
      <c r="D2783">
        <f>IF(B2783=C2783, "YES", "WRONG")</f>
        <v/>
      </c>
    </row>
    <row r="2784">
      <c r="A2784" t="n">
        <v>2783</v>
      </c>
      <c r="B2784" t="inlineStr">
        <is>
          <t>MMDCCLXXXIII</t>
        </is>
      </c>
      <c r="C2784">
        <f>ROMAN(2783)</f>
        <v/>
      </c>
      <c r="D2784">
        <f>IF(B2784=C2784, "YES", "WRONG")</f>
        <v/>
      </c>
    </row>
    <row r="2785">
      <c r="A2785" t="n">
        <v>2784</v>
      </c>
      <c r="B2785" t="inlineStr">
        <is>
          <t>MMDCCLXXXIV</t>
        </is>
      </c>
      <c r="C2785">
        <f>ROMAN(2784)</f>
        <v/>
      </c>
      <c r="D2785">
        <f>IF(B2785=C2785, "YES", "WRONG")</f>
        <v/>
      </c>
    </row>
    <row r="2786">
      <c r="A2786" t="n">
        <v>2785</v>
      </c>
      <c r="B2786" t="inlineStr">
        <is>
          <t>MMDCCLXXXV</t>
        </is>
      </c>
      <c r="C2786">
        <f>ROMAN(2785)</f>
        <v/>
      </c>
      <c r="D2786">
        <f>IF(B2786=C2786, "YES", "WRONG")</f>
        <v/>
      </c>
    </row>
    <row r="2787">
      <c r="A2787" t="n">
        <v>2786</v>
      </c>
      <c r="B2787" t="inlineStr">
        <is>
          <t>MMDCCLXXXVI</t>
        </is>
      </c>
      <c r="C2787">
        <f>ROMAN(2786)</f>
        <v/>
      </c>
      <c r="D2787">
        <f>IF(B2787=C2787, "YES", "WRONG")</f>
        <v/>
      </c>
    </row>
    <row r="2788">
      <c r="A2788" t="n">
        <v>2787</v>
      </c>
      <c r="B2788" t="inlineStr">
        <is>
          <t>MMDCCLXXXVII</t>
        </is>
      </c>
      <c r="C2788">
        <f>ROMAN(2787)</f>
        <v/>
      </c>
      <c r="D2788">
        <f>IF(B2788=C2788, "YES", "WRONG")</f>
        <v/>
      </c>
    </row>
    <row r="2789">
      <c r="A2789" t="n">
        <v>2788</v>
      </c>
      <c r="B2789" t="inlineStr">
        <is>
          <t>MMDCCLXXXVIII</t>
        </is>
      </c>
      <c r="C2789">
        <f>ROMAN(2788)</f>
        <v/>
      </c>
      <c r="D2789">
        <f>IF(B2789=C2789, "YES", "WRONG")</f>
        <v/>
      </c>
    </row>
    <row r="2790">
      <c r="A2790" t="n">
        <v>2789</v>
      </c>
      <c r="B2790" t="inlineStr">
        <is>
          <t>MMDCCLXXXIX</t>
        </is>
      </c>
      <c r="C2790">
        <f>ROMAN(2789)</f>
        <v/>
      </c>
      <c r="D2790">
        <f>IF(B2790=C2790, "YES", "WRONG")</f>
        <v/>
      </c>
    </row>
    <row r="2791">
      <c r="A2791" t="n">
        <v>2790</v>
      </c>
      <c r="B2791" t="inlineStr">
        <is>
          <t>MMDCCXC</t>
        </is>
      </c>
      <c r="C2791">
        <f>ROMAN(2790)</f>
        <v/>
      </c>
      <c r="D2791">
        <f>IF(B2791=C2791, "YES", "WRONG")</f>
        <v/>
      </c>
    </row>
    <row r="2792">
      <c r="A2792" t="n">
        <v>2791</v>
      </c>
      <c r="B2792" t="inlineStr">
        <is>
          <t>MMDCCXCI</t>
        </is>
      </c>
      <c r="C2792">
        <f>ROMAN(2791)</f>
        <v/>
      </c>
      <c r="D2792">
        <f>IF(B2792=C2792, "YES", "WRONG")</f>
        <v/>
      </c>
    </row>
    <row r="2793">
      <c r="A2793" t="n">
        <v>2792</v>
      </c>
      <c r="B2793" t="inlineStr">
        <is>
          <t>MMDCCXCII</t>
        </is>
      </c>
      <c r="C2793">
        <f>ROMAN(2792)</f>
        <v/>
      </c>
      <c r="D2793">
        <f>IF(B2793=C2793, "YES", "WRONG")</f>
        <v/>
      </c>
    </row>
    <row r="2794">
      <c r="A2794" t="n">
        <v>2793</v>
      </c>
      <c r="B2794" t="inlineStr">
        <is>
          <t>MMDCCXCIII</t>
        </is>
      </c>
      <c r="C2794">
        <f>ROMAN(2793)</f>
        <v/>
      </c>
      <c r="D2794">
        <f>IF(B2794=C2794, "YES", "WRONG")</f>
        <v/>
      </c>
    </row>
    <row r="2795">
      <c r="A2795" t="n">
        <v>2794</v>
      </c>
      <c r="B2795" t="inlineStr">
        <is>
          <t>MMDCCXCIV</t>
        </is>
      </c>
      <c r="C2795">
        <f>ROMAN(2794)</f>
        <v/>
      </c>
      <c r="D2795">
        <f>IF(B2795=C2795, "YES", "WRONG")</f>
        <v/>
      </c>
    </row>
    <row r="2796">
      <c r="A2796" t="n">
        <v>2795</v>
      </c>
      <c r="B2796" t="inlineStr">
        <is>
          <t>MMDCCXCV</t>
        </is>
      </c>
      <c r="C2796">
        <f>ROMAN(2795)</f>
        <v/>
      </c>
      <c r="D2796">
        <f>IF(B2796=C2796, "YES", "WRONG")</f>
        <v/>
      </c>
    </row>
    <row r="2797">
      <c r="A2797" t="n">
        <v>2796</v>
      </c>
      <c r="B2797" t="inlineStr">
        <is>
          <t>MMDCCXCVI</t>
        </is>
      </c>
      <c r="C2797">
        <f>ROMAN(2796)</f>
        <v/>
      </c>
      <c r="D2797">
        <f>IF(B2797=C2797, "YES", "WRONG")</f>
        <v/>
      </c>
    </row>
    <row r="2798">
      <c r="A2798" t="n">
        <v>2797</v>
      </c>
      <c r="B2798" t="inlineStr">
        <is>
          <t>MMDCCXCVII</t>
        </is>
      </c>
      <c r="C2798">
        <f>ROMAN(2797)</f>
        <v/>
      </c>
      <c r="D2798">
        <f>IF(B2798=C2798, "YES", "WRONG")</f>
        <v/>
      </c>
    </row>
    <row r="2799">
      <c r="A2799" t="n">
        <v>2798</v>
      </c>
      <c r="B2799" t="inlineStr">
        <is>
          <t>MMDCCXCVIII</t>
        </is>
      </c>
      <c r="C2799">
        <f>ROMAN(2798)</f>
        <v/>
      </c>
      <c r="D2799">
        <f>IF(B2799=C2799, "YES", "WRONG")</f>
        <v/>
      </c>
    </row>
    <row r="2800">
      <c r="A2800" t="n">
        <v>2799</v>
      </c>
      <c r="B2800" t="inlineStr">
        <is>
          <t>MMDCCXCIX</t>
        </is>
      </c>
      <c r="C2800">
        <f>ROMAN(2799)</f>
        <v/>
      </c>
      <c r="D2800">
        <f>IF(B2800=C2800, "YES", "WRONG")</f>
        <v/>
      </c>
    </row>
    <row r="2801">
      <c r="A2801" t="n">
        <v>2800</v>
      </c>
      <c r="B2801" t="inlineStr">
        <is>
          <t>MMDCCC</t>
        </is>
      </c>
      <c r="C2801">
        <f>ROMAN(2800)</f>
        <v/>
      </c>
      <c r="D2801">
        <f>IF(B2801=C2801, "YES", "WRONG")</f>
        <v/>
      </c>
    </row>
    <row r="2802">
      <c r="A2802" t="n">
        <v>2801</v>
      </c>
      <c r="B2802" t="inlineStr">
        <is>
          <t>MMDCCCI</t>
        </is>
      </c>
      <c r="C2802">
        <f>ROMAN(2801)</f>
        <v/>
      </c>
      <c r="D2802">
        <f>IF(B2802=C2802, "YES", "WRONG")</f>
        <v/>
      </c>
    </row>
    <row r="2803">
      <c r="A2803" t="n">
        <v>2802</v>
      </c>
      <c r="B2803" t="inlineStr">
        <is>
          <t>MMDCCCII</t>
        </is>
      </c>
      <c r="C2803">
        <f>ROMAN(2802)</f>
        <v/>
      </c>
      <c r="D2803">
        <f>IF(B2803=C2803, "YES", "WRONG")</f>
        <v/>
      </c>
    </row>
    <row r="2804">
      <c r="A2804" t="n">
        <v>2803</v>
      </c>
      <c r="B2804" t="inlineStr">
        <is>
          <t>MMDCCCIII</t>
        </is>
      </c>
      <c r="C2804">
        <f>ROMAN(2803)</f>
        <v/>
      </c>
      <c r="D2804">
        <f>IF(B2804=C2804, "YES", "WRONG")</f>
        <v/>
      </c>
    </row>
    <row r="2805">
      <c r="A2805" t="n">
        <v>2804</v>
      </c>
      <c r="B2805" t="inlineStr">
        <is>
          <t>MMDCCCIV</t>
        </is>
      </c>
      <c r="C2805">
        <f>ROMAN(2804)</f>
        <v/>
      </c>
      <c r="D2805">
        <f>IF(B2805=C2805, "YES", "WRONG")</f>
        <v/>
      </c>
    </row>
    <row r="2806">
      <c r="A2806" t="n">
        <v>2805</v>
      </c>
      <c r="B2806" t="inlineStr">
        <is>
          <t>MMDCCCV</t>
        </is>
      </c>
      <c r="C2806">
        <f>ROMAN(2805)</f>
        <v/>
      </c>
      <c r="D2806">
        <f>IF(B2806=C2806, "YES", "WRONG")</f>
        <v/>
      </c>
    </row>
    <row r="2807">
      <c r="A2807" t="n">
        <v>2806</v>
      </c>
      <c r="B2807" t="inlineStr">
        <is>
          <t>MMDCCCVI</t>
        </is>
      </c>
      <c r="C2807">
        <f>ROMAN(2806)</f>
        <v/>
      </c>
      <c r="D2807">
        <f>IF(B2807=C2807, "YES", "WRONG")</f>
        <v/>
      </c>
    </row>
    <row r="2808">
      <c r="A2808" t="n">
        <v>2807</v>
      </c>
      <c r="B2808" t="inlineStr">
        <is>
          <t>MMDCCCVII</t>
        </is>
      </c>
      <c r="C2808">
        <f>ROMAN(2807)</f>
        <v/>
      </c>
      <c r="D2808">
        <f>IF(B2808=C2808, "YES", "WRONG")</f>
        <v/>
      </c>
    </row>
    <row r="2809">
      <c r="A2809" t="n">
        <v>2808</v>
      </c>
      <c r="B2809" t="inlineStr">
        <is>
          <t>MMDCCCVIII</t>
        </is>
      </c>
      <c r="C2809">
        <f>ROMAN(2808)</f>
        <v/>
      </c>
      <c r="D2809">
        <f>IF(B2809=C2809, "YES", "WRONG")</f>
        <v/>
      </c>
    </row>
    <row r="2810">
      <c r="A2810" t="n">
        <v>2809</v>
      </c>
      <c r="B2810" t="inlineStr">
        <is>
          <t>MMDCCCIX</t>
        </is>
      </c>
      <c r="C2810">
        <f>ROMAN(2809)</f>
        <v/>
      </c>
      <c r="D2810">
        <f>IF(B2810=C2810, "YES", "WRONG")</f>
        <v/>
      </c>
    </row>
    <row r="2811">
      <c r="A2811" t="n">
        <v>2810</v>
      </c>
      <c r="B2811" t="inlineStr">
        <is>
          <t>MMDCCCX</t>
        </is>
      </c>
      <c r="C2811">
        <f>ROMAN(2810)</f>
        <v/>
      </c>
      <c r="D2811">
        <f>IF(B2811=C2811, "YES", "WRONG")</f>
        <v/>
      </c>
    </row>
    <row r="2812">
      <c r="A2812" t="n">
        <v>2811</v>
      </c>
      <c r="B2812" t="inlineStr">
        <is>
          <t>MMDCCCXI</t>
        </is>
      </c>
      <c r="C2812">
        <f>ROMAN(2811)</f>
        <v/>
      </c>
      <c r="D2812">
        <f>IF(B2812=C2812, "YES", "WRONG")</f>
        <v/>
      </c>
    </row>
    <row r="2813">
      <c r="A2813" t="n">
        <v>2812</v>
      </c>
      <c r="B2813" t="inlineStr">
        <is>
          <t>MMDCCCXII</t>
        </is>
      </c>
      <c r="C2813">
        <f>ROMAN(2812)</f>
        <v/>
      </c>
      <c r="D2813">
        <f>IF(B2813=C2813, "YES", "WRONG")</f>
        <v/>
      </c>
    </row>
    <row r="2814">
      <c r="A2814" t="n">
        <v>2813</v>
      </c>
      <c r="B2814" t="inlineStr">
        <is>
          <t>MMDCCCXIII</t>
        </is>
      </c>
      <c r="C2814">
        <f>ROMAN(2813)</f>
        <v/>
      </c>
      <c r="D2814">
        <f>IF(B2814=C2814, "YES", "WRONG")</f>
        <v/>
      </c>
    </row>
    <row r="2815">
      <c r="A2815" t="n">
        <v>2814</v>
      </c>
      <c r="B2815" t="inlineStr">
        <is>
          <t>MMDCCCXIV</t>
        </is>
      </c>
      <c r="C2815">
        <f>ROMAN(2814)</f>
        <v/>
      </c>
      <c r="D2815">
        <f>IF(B2815=C2815, "YES", "WRONG")</f>
        <v/>
      </c>
    </row>
    <row r="2816">
      <c r="A2816" t="n">
        <v>2815</v>
      </c>
      <c r="B2816" t="inlineStr">
        <is>
          <t>MMDCCCXV</t>
        </is>
      </c>
      <c r="C2816">
        <f>ROMAN(2815)</f>
        <v/>
      </c>
      <c r="D2816">
        <f>IF(B2816=C2816, "YES", "WRONG")</f>
        <v/>
      </c>
    </row>
    <row r="2817">
      <c r="A2817" t="n">
        <v>2816</v>
      </c>
      <c r="B2817" t="inlineStr">
        <is>
          <t>MMDCCCXVI</t>
        </is>
      </c>
      <c r="C2817">
        <f>ROMAN(2816)</f>
        <v/>
      </c>
      <c r="D2817">
        <f>IF(B2817=C2817, "YES", "WRONG")</f>
        <v/>
      </c>
    </row>
    <row r="2818">
      <c r="A2818" t="n">
        <v>2817</v>
      </c>
      <c r="B2818" t="inlineStr">
        <is>
          <t>MMDCCCXVII</t>
        </is>
      </c>
      <c r="C2818">
        <f>ROMAN(2817)</f>
        <v/>
      </c>
      <c r="D2818">
        <f>IF(B2818=C2818, "YES", "WRONG")</f>
        <v/>
      </c>
    </row>
    <row r="2819">
      <c r="A2819" t="n">
        <v>2818</v>
      </c>
      <c r="B2819" t="inlineStr">
        <is>
          <t>MMDCCCXVIII</t>
        </is>
      </c>
      <c r="C2819">
        <f>ROMAN(2818)</f>
        <v/>
      </c>
      <c r="D2819">
        <f>IF(B2819=C2819, "YES", "WRONG")</f>
        <v/>
      </c>
    </row>
    <row r="2820">
      <c r="A2820" t="n">
        <v>2819</v>
      </c>
      <c r="B2820" t="inlineStr">
        <is>
          <t>MMDCCCXIX</t>
        </is>
      </c>
      <c r="C2820">
        <f>ROMAN(2819)</f>
        <v/>
      </c>
      <c r="D2820">
        <f>IF(B2820=C2820, "YES", "WRONG")</f>
        <v/>
      </c>
    </row>
    <row r="2821">
      <c r="A2821" t="n">
        <v>2820</v>
      </c>
      <c r="B2821" t="inlineStr">
        <is>
          <t>MMDCCCXX</t>
        </is>
      </c>
      <c r="C2821">
        <f>ROMAN(2820)</f>
        <v/>
      </c>
      <c r="D2821">
        <f>IF(B2821=C2821, "YES", "WRONG")</f>
        <v/>
      </c>
    </row>
    <row r="2822">
      <c r="A2822" t="n">
        <v>2821</v>
      </c>
      <c r="B2822" t="inlineStr">
        <is>
          <t>MMDCCCXXI</t>
        </is>
      </c>
      <c r="C2822">
        <f>ROMAN(2821)</f>
        <v/>
      </c>
      <c r="D2822">
        <f>IF(B2822=C2822, "YES", "WRONG")</f>
        <v/>
      </c>
    </row>
    <row r="2823">
      <c r="A2823" t="n">
        <v>2822</v>
      </c>
      <c r="B2823" t="inlineStr">
        <is>
          <t>MMDCCCXXII</t>
        </is>
      </c>
      <c r="C2823">
        <f>ROMAN(2822)</f>
        <v/>
      </c>
      <c r="D2823">
        <f>IF(B2823=C2823, "YES", "WRONG")</f>
        <v/>
      </c>
    </row>
    <row r="2824">
      <c r="A2824" t="n">
        <v>2823</v>
      </c>
      <c r="B2824" t="inlineStr">
        <is>
          <t>MMDCCCXXIII</t>
        </is>
      </c>
      <c r="C2824">
        <f>ROMAN(2823)</f>
        <v/>
      </c>
      <c r="D2824">
        <f>IF(B2824=C2824, "YES", "WRONG")</f>
        <v/>
      </c>
    </row>
    <row r="2825">
      <c r="A2825" t="n">
        <v>2824</v>
      </c>
      <c r="B2825" t="inlineStr">
        <is>
          <t>MMDCCCXXIV</t>
        </is>
      </c>
      <c r="C2825">
        <f>ROMAN(2824)</f>
        <v/>
      </c>
      <c r="D2825">
        <f>IF(B2825=C2825, "YES", "WRONG")</f>
        <v/>
      </c>
    </row>
    <row r="2826">
      <c r="A2826" t="n">
        <v>2825</v>
      </c>
      <c r="B2826" t="inlineStr">
        <is>
          <t>MMDCCCXXV</t>
        </is>
      </c>
      <c r="C2826">
        <f>ROMAN(2825)</f>
        <v/>
      </c>
      <c r="D2826">
        <f>IF(B2826=C2826, "YES", "WRONG")</f>
        <v/>
      </c>
    </row>
    <row r="2827">
      <c r="A2827" t="n">
        <v>2826</v>
      </c>
      <c r="B2827" t="inlineStr">
        <is>
          <t>MMDCCCXXVI</t>
        </is>
      </c>
      <c r="C2827">
        <f>ROMAN(2826)</f>
        <v/>
      </c>
      <c r="D2827">
        <f>IF(B2827=C2827, "YES", "WRONG")</f>
        <v/>
      </c>
    </row>
    <row r="2828">
      <c r="A2828" t="n">
        <v>2827</v>
      </c>
      <c r="B2828" t="inlineStr">
        <is>
          <t>MMDCCCXXVII</t>
        </is>
      </c>
      <c r="C2828">
        <f>ROMAN(2827)</f>
        <v/>
      </c>
      <c r="D2828">
        <f>IF(B2828=C2828, "YES", "WRONG")</f>
        <v/>
      </c>
    </row>
    <row r="2829">
      <c r="A2829" t="n">
        <v>2828</v>
      </c>
      <c r="B2829" t="inlineStr">
        <is>
          <t>MMDCCCXXVIII</t>
        </is>
      </c>
      <c r="C2829">
        <f>ROMAN(2828)</f>
        <v/>
      </c>
      <c r="D2829">
        <f>IF(B2829=C2829, "YES", "WRONG")</f>
        <v/>
      </c>
    </row>
    <row r="2830">
      <c r="A2830" t="n">
        <v>2829</v>
      </c>
      <c r="B2830" t="inlineStr">
        <is>
          <t>MMDCCCXXIX</t>
        </is>
      </c>
      <c r="C2830">
        <f>ROMAN(2829)</f>
        <v/>
      </c>
      <c r="D2830">
        <f>IF(B2830=C2830, "YES", "WRONG")</f>
        <v/>
      </c>
    </row>
    <row r="2831">
      <c r="A2831" t="n">
        <v>2830</v>
      </c>
      <c r="B2831" t="inlineStr">
        <is>
          <t>MMDCCCXXX</t>
        </is>
      </c>
      <c r="C2831">
        <f>ROMAN(2830)</f>
        <v/>
      </c>
      <c r="D2831">
        <f>IF(B2831=C2831, "YES", "WRONG")</f>
        <v/>
      </c>
    </row>
    <row r="2832">
      <c r="A2832" t="n">
        <v>2831</v>
      </c>
      <c r="B2832" t="inlineStr">
        <is>
          <t>MMDCCCXXXI</t>
        </is>
      </c>
      <c r="C2832">
        <f>ROMAN(2831)</f>
        <v/>
      </c>
      <c r="D2832">
        <f>IF(B2832=C2832, "YES", "WRONG")</f>
        <v/>
      </c>
    </row>
    <row r="2833">
      <c r="A2833" t="n">
        <v>2832</v>
      </c>
      <c r="B2833" t="inlineStr">
        <is>
          <t>MMDCCCXXXII</t>
        </is>
      </c>
      <c r="C2833">
        <f>ROMAN(2832)</f>
        <v/>
      </c>
      <c r="D2833">
        <f>IF(B2833=C2833, "YES", "WRONG")</f>
        <v/>
      </c>
    </row>
    <row r="2834">
      <c r="A2834" t="n">
        <v>2833</v>
      </c>
      <c r="B2834" t="inlineStr">
        <is>
          <t>MMDCCCXXXIII</t>
        </is>
      </c>
      <c r="C2834">
        <f>ROMAN(2833)</f>
        <v/>
      </c>
      <c r="D2834">
        <f>IF(B2834=C2834, "YES", "WRONG")</f>
        <v/>
      </c>
    </row>
    <row r="2835">
      <c r="A2835" t="n">
        <v>2834</v>
      </c>
      <c r="B2835" t="inlineStr">
        <is>
          <t>MMDCCCXXXIV</t>
        </is>
      </c>
      <c r="C2835">
        <f>ROMAN(2834)</f>
        <v/>
      </c>
      <c r="D2835">
        <f>IF(B2835=C2835, "YES", "WRONG")</f>
        <v/>
      </c>
    </row>
    <row r="2836">
      <c r="A2836" t="n">
        <v>2835</v>
      </c>
      <c r="B2836" t="inlineStr">
        <is>
          <t>MMDCCCXXXV</t>
        </is>
      </c>
      <c r="C2836">
        <f>ROMAN(2835)</f>
        <v/>
      </c>
      <c r="D2836">
        <f>IF(B2836=C2836, "YES", "WRONG")</f>
        <v/>
      </c>
    </row>
    <row r="2837">
      <c r="A2837" t="n">
        <v>2836</v>
      </c>
      <c r="B2837" t="inlineStr">
        <is>
          <t>MMDCCCXXXVI</t>
        </is>
      </c>
      <c r="C2837">
        <f>ROMAN(2836)</f>
        <v/>
      </c>
      <c r="D2837">
        <f>IF(B2837=C2837, "YES", "WRONG")</f>
        <v/>
      </c>
    </row>
    <row r="2838">
      <c r="A2838" t="n">
        <v>2837</v>
      </c>
      <c r="B2838" t="inlineStr">
        <is>
          <t>MMDCCCXXXVII</t>
        </is>
      </c>
      <c r="C2838">
        <f>ROMAN(2837)</f>
        <v/>
      </c>
      <c r="D2838">
        <f>IF(B2838=C2838, "YES", "WRONG")</f>
        <v/>
      </c>
    </row>
    <row r="2839">
      <c r="A2839" t="n">
        <v>2838</v>
      </c>
      <c r="B2839" t="inlineStr">
        <is>
          <t>MMDCCCXXXVIII</t>
        </is>
      </c>
      <c r="C2839">
        <f>ROMAN(2838)</f>
        <v/>
      </c>
      <c r="D2839">
        <f>IF(B2839=C2839, "YES", "WRONG")</f>
        <v/>
      </c>
    </row>
    <row r="2840">
      <c r="A2840" t="n">
        <v>2839</v>
      </c>
      <c r="B2840" t="inlineStr">
        <is>
          <t>MMDCCCXXXIX</t>
        </is>
      </c>
      <c r="C2840">
        <f>ROMAN(2839)</f>
        <v/>
      </c>
      <c r="D2840">
        <f>IF(B2840=C2840, "YES", "WRONG")</f>
        <v/>
      </c>
    </row>
    <row r="2841">
      <c r="A2841" t="n">
        <v>2840</v>
      </c>
      <c r="B2841" t="inlineStr">
        <is>
          <t>MMDCCCXL</t>
        </is>
      </c>
      <c r="C2841">
        <f>ROMAN(2840)</f>
        <v/>
      </c>
      <c r="D2841">
        <f>IF(B2841=C2841, "YES", "WRONG")</f>
        <v/>
      </c>
    </row>
    <row r="2842">
      <c r="A2842" t="n">
        <v>2841</v>
      </c>
      <c r="B2842" t="inlineStr">
        <is>
          <t>MMDCCCXLI</t>
        </is>
      </c>
      <c r="C2842">
        <f>ROMAN(2841)</f>
        <v/>
      </c>
      <c r="D2842">
        <f>IF(B2842=C2842, "YES", "WRONG")</f>
        <v/>
      </c>
    </row>
    <row r="2843">
      <c r="A2843" t="n">
        <v>2842</v>
      </c>
      <c r="B2843" t="inlineStr">
        <is>
          <t>MMDCCCXLII</t>
        </is>
      </c>
      <c r="C2843">
        <f>ROMAN(2842)</f>
        <v/>
      </c>
      <c r="D2843">
        <f>IF(B2843=C2843, "YES", "WRONG")</f>
        <v/>
      </c>
    </row>
    <row r="2844">
      <c r="A2844" t="n">
        <v>2843</v>
      </c>
      <c r="B2844" t="inlineStr">
        <is>
          <t>MMDCCCXLIII</t>
        </is>
      </c>
      <c r="C2844">
        <f>ROMAN(2843)</f>
        <v/>
      </c>
      <c r="D2844">
        <f>IF(B2844=C2844, "YES", "WRONG")</f>
        <v/>
      </c>
    </row>
    <row r="2845">
      <c r="A2845" t="n">
        <v>2844</v>
      </c>
      <c r="B2845" t="inlineStr">
        <is>
          <t>MMDCCCXLIV</t>
        </is>
      </c>
      <c r="C2845">
        <f>ROMAN(2844)</f>
        <v/>
      </c>
      <c r="D2845">
        <f>IF(B2845=C2845, "YES", "WRONG")</f>
        <v/>
      </c>
    </row>
    <row r="2846">
      <c r="A2846" t="n">
        <v>2845</v>
      </c>
      <c r="B2846" t="inlineStr">
        <is>
          <t>MMDCCCXLV</t>
        </is>
      </c>
      <c r="C2846">
        <f>ROMAN(2845)</f>
        <v/>
      </c>
      <c r="D2846">
        <f>IF(B2846=C2846, "YES", "WRONG")</f>
        <v/>
      </c>
    </row>
    <row r="2847">
      <c r="A2847" t="n">
        <v>2846</v>
      </c>
      <c r="B2847" t="inlineStr">
        <is>
          <t>MMDCCCXLVI</t>
        </is>
      </c>
      <c r="C2847">
        <f>ROMAN(2846)</f>
        <v/>
      </c>
      <c r="D2847">
        <f>IF(B2847=C2847, "YES", "WRONG")</f>
        <v/>
      </c>
    </row>
    <row r="2848">
      <c r="A2848" t="n">
        <v>2847</v>
      </c>
      <c r="B2848" t="inlineStr">
        <is>
          <t>MMDCCCXLVII</t>
        </is>
      </c>
      <c r="C2848">
        <f>ROMAN(2847)</f>
        <v/>
      </c>
      <c r="D2848">
        <f>IF(B2848=C2848, "YES", "WRONG")</f>
        <v/>
      </c>
    </row>
    <row r="2849">
      <c r="A2849" t="n">
        <v>2848</v>
      </c>
      <c r="B2849" t="inlineStr">
        <is>
          <t>MMDCCCXLVIII</t>
        </is>
      </c>
      <c r="C2849">
        <f>ROMAN(2848)</f>
        <v/>
      </c>
      <c r="D2849">
        <f>IF(B2849=C2849, "YES", "WRONG")</f>
        <v/>
      </c>
    </row>
    <row r="2850">
      <c r="A2850" t="n">
        <v>2849</v>
      </c>
      <c r="B2850" t="inlineStr">
        <is>
          <t>MMDCCCXLIX</t>
        </is>
      </c>
      <c r="C2850">
        <f>ROMAN(2849)</f>
        <v/>
      </c>
      <c r="D2850">
        <f>IF(B2850=C2850, "YES", "WRONG")</f>
        <v/>
      </c>
    </row>
    <row r="2851">
      <c r="A2851" t="n">
        <v>2850</v>
      </c>
      <c r="B2851" t="inlineStr">
        <is>
          <t>MMDCCCL</t>
        </is>
      </c>
      <c r="C2851">
        <f>ROMAN(2850)</f>
        <v/>
      </c>
      <c r="D2851">
        <f>IF(B2851=C2851, "YES", "WRONG")</f>
        <v/>
      </c>
    </row>
    <row r="2852">
      <c r="A2852" t="n">
        <v>2851</v>
      </c>
      <c r="B2852" t="inlineStr">
        <is>
          <t>MMDCCCLI</t>
        </is>
      </c>
      <c r="C2852">
        <f>ROMAN(2851)</f>
        <v/>
      </c>
      <c r="D2852">
        <f>IF(B2852=C2852, "YES", "WRONG")</f>
        <v/>
      </c>
    </row>
    <row r="2853">
      <c r="A2853" t="n">
        <v>2852</v>
      </c>
      <c r="B2853" t="inlineStr">
        <is>
          <t>MMDCCCLII</t>
        </is>
      </c>
      <c r="C2853">
        <f>ROMAN(2852)</f>
        <v/>
      </c>
      <c r="D2853">
        <f>IF(B2853=C2853, "YES", "WRONG")</f>
        <v/>
      </c>
    </row>
    <row r="2854">
      <c r="A2854" t="n">
        <v>2853</v>
      </c>
      <c r="B2854" t="inlineStr">
        <is>
          <t>MMDCCCLIII</t>
        </is>
      </c>
      <c r="C2854">
        <f>ROMAN(2853)</f>
        <v/>
      </c>
      <c r="D2854">
        <f>IF(B2854=C2854, "YES", "WRONG")</f>
        <v/>
      </c>
    </row>
    <row r="2855">
      <c r="A2855" t="n">
        <v>2854</v>
      </c>
      <c r="B2855" t="inlineStr">
        <is>
          <t>MMDCCCLIV</t>
        </is>
      </c>
      <c r="C2855">
        <f>ROMAN(2854)</f>
        <v/>
      </c>
      <c r="D2855">
        <f>IF(B2855=C2855, "YES", "WRONG")</f>
        <v/>
      </c>
    </row>
    <row r="2856">
      <c r="A2856" t="n">
        <v>2855</v>
      </c>
      <c r="B2856" t="inlineStr">
        <is>
          <t>MMDCCCLV</t>
        </is>
      </c>
      <c r="C2856">
        <f>ROMAN(2855)</f>
        <v/>
      </c>
      <c r="D2856">
        <f>IF(B2856=C2856, "YES", "WRONG")</f>
        <v/>
      </c>
    </row>
    <row r="2857">
      <c r="A2857" t="n">
        <v>2856</v>
      </c>
      <c r="B2857" t="inlineStr">
        <is>
          <t>MMDCCCLVI</t>
        </is>
      </c>
      <c r="C2857">
        <f>ROMAN(2856)</f>
        <v/>
      </c>
      <c r="D2857">
        <f>IF(B2857=C2857, "YES", "WRONG")</f>
        <v/>
      </c>
    </row>
    <row r="2858">
      <c r="A2858" t="n">
        <v>2857</v>
      </c>
      <c r="B2858" t="inlineStr">
        <is>
          <t>MMDCCCLVII</t>
        </is>
      </c>
      <c r="C2858">
        <f>ROMAN(2857)</f>
        <v/>
      </c>
      <c r="D2858">
        <f>IF(B2858=C2858, "YES", "WRONG")</f>
        <v/>
      </c>
    </row>
    <row r="2859">
      <c r="A2859" t="n">
        <v>2858</v>
      </c>
      <c r="B2859" t="inlineStr">
        <is>
          <t>MMDCCCLVIII</t>
        </is>
      </c>
      <c r="C2859">
        <f>ROMAN(2858)</f>
        <v/>
      </c>
      <c r="D2859">
        <f>IF(B2859=C2859, "YES", "WRONG")</f>
        <v/>
      </c>
    </row>
    <row r="2860">
      <c r="A2860" t="n">
        <v>2859</v>
      </c>
      <c r="B2860" t="inlineStr">
        <is>
          <t>MMDCCCLIX</t>
        </is>
      </c>
      <c r="C2860">
        <f>ROMAN(2859)</f>
        <v/>
      </c>
      <c r="D2860">
        <f>IF(B2860=C2860, "YES", "WRONG")</f>
        <v/>
      </c>
    </row>
    <row r="2861">
      <c r="A2861" t="n">
        <v>2860</v>
      </c>
      <c r="B2861" t="inlineStr">
        <is>
          <t>MMDCCCLX</t>
        </is>
      </c>
      <c r="C2861">
        <f>ROMAN(2860)</f>
        <v/>
      </c>
      <c r="D2861">
        <f>IF(B2861=C2861, "YES", "WRONG")</f>
        <v/>
      </c>
    </row>
    <row r="2862">
      <c r="A2862" t="n">
        <v>2861</v>
      </c>
      <c r="B2862" t="inlineStr">
        <is>
          <t>MMDCCCLXI</t>
        </is>
      </c>
      <c r="C2862">
        <f>ROMAN(2861)</f>
        <v/>
      </c>
      <c r="D2862">
        <f>IF(B2862=C2862, "YES", "WRONG")</f>
        <v/>
      </c>
    </row>
    <row r="2863">
      <c r="A2863" t="n">
        <v>2862</v>
      </c>
      <c r="B2863" t="inlineStr">
        <is>
          <t>MMDCCCLXII</t>
        </is>
      </c>
      <c r="C2863">
        <f>ROMAN(2862)</f>
        <v/>
      </c>
      <c r="D2863">
        <f>IF(B2863=C2863, "YES", "WRONG")</f>
        <v/>
      </c>
    </row>
    <row r="2864">
      <c r="A2864" t="n">
        <v>2863</v>
      </c>
      <c r="B2864" t="inlineStr">
        <is>
          <t>MMDCCCLXIII</t>
        </is>
      </c>
      <c r="C2864">
        <f>ROMAN(2863)</f>
        <v/>
      </c>
      <c r="D2864">
        <f>IF(B2864=C2864, "YES", "WRONG")</f>
        <v/>
      </c>
    </row>
    <row r="2865">
      <c r="A2865" t="n">
        <v>2864</v>
      </c>
      <c r="B2865" t="inlineStr">
        <is>
          <t>MMDCCCLXIV</t>
        </is>
      </c>
      <c r="C2865">
        <f>ROMAN(2864)</f>
        <v/>
      </c>
      <c r="D2865">
        <f>IF(B2865=C2865, "YES", "WRONG")</f>
        <v/>
      </c>
    </row>
    <row r="2866">
      <c r="A2866" t="n">
        <v>2865</v>
      </c>
      <c r="B2866" t="inlineStr">
        <is>
          <t>MMDCCCLXV</t>
        </is>
      </c>
      <c r="C2866">
        <f>ROMAN(2865)</f>
        <v/>
      </c>
      <c r="D2866">
        <f>IF(B2866=C2866, "YES", "WRONG")</f>
        <v/>
      </c>
    </row>
    <row r="2867">
      <c r="A2867" t="n">
        <v>2866</v>
      </c>
      <c r="B2867" t="inlineStr">
        <is>
          <t>MMDCCCLXVI</t>
        </is>
      </c>
      <c r="C2867">
        <f>ROMAN(2866)</f>
        <v/>
      </c>
      <c r="D2867">
        <f>IF(B2867=C2867, "YES", "WRONG")</f>
        <v/>
      </c>
    </row>
    <row r="2868">
      <c r="A2868" t="n">
        <v>2867</v>
      </c>
      <c r="B2868" t="inlineStr">
        <is>
          <t>MMDCCCLXVII</t>
        </is>
      </c>
      <c r="C2868">
        <f>ROMAN(2867)</f>
        <v/>
      </c>
      <c r="D2868">
        <f>IF(B2868=C2868, "YES", "WRONG")</f>
        <v/>
      </c>
    </row>
    <row r="2869">
      <c r="A2869" t="n">
        <v>2868</v>
      </c>
      <c r="B2869" t="inlineStr">
        <is>
          <t>MMDCCCLXVIII</t>
        </is>
      </c>
      <c r="C2869">
        <f>ROMAN(2868)</f>
        <v/>
      </c>
      <c r="D2869">
        <f>IF(B2869=C2869, "YES", "WRONG")</f>
        <v/>
      </c>
    </row>
    <row r="2870">
      <c r="A2870" t="n">
        <v>2869</v>
      </c>
      <c r="B2870" t="inlineStr">
        <is>
          <t>MMDCCCLXIX</t>
        </is>
      </c>
      <c r="C2870">
        <f>ROMAN(2869)</f>
        <v/>
      </c>
      <c r="D2870">
        <f>IF(B2870=C2870, "YES", "WRONG")</f>
        <v/>
      </c>
    </row>
    <row r="2871">
      <c r="A2871" t="n">
        <v>2870</v>
      </c>
      <c r="B2871" t="inlineStr">
        <is>
          <t>MMDCCCLXX</t>
        </is>
      </c>
      <c r="C2871">
        <f>ROMAN(2870)</f>
        <v/>
      </c>
      <c r="D2871">
        <f>IF(B2871=C2871, "YES", "WRONG")</f>
        <v/>
      </c>
    </row>
    <row r="2872">
      <c r="A2872" t="n">
        <v>2871</v>
      </c>
      <c r="B2872" t="inlineStr">
        <is>
          <t>MMDCCCLXXI</t>
        </is>
      </c>
      <c r="C2872">
        <f>ROMAN(2871)</f>
        <v/>
      </c>
      <c r="D2872">
        <f>IF(B2872=C2872, "YES", "WRONG")</f>
        <v/>
      </c>
    </row>
    <row r="2873">
      <c r="A2873" t="n">
        <v>2872</v>
      </c>
      <c r="B2873" t="inlineStr">
        <is>
          <t>MMDCCCLXXII</t>
        </is>
      </c>
      <c r="C2873">
        <f>ROMAN(2872)</f>
        <v/>
      </c>
      <c r="D2873">
        <f>IF(B2873=C2873, "YES", "WRONG")</f>
        <v/>
      </c>
    </row>
    <row r="2874">
      <c r="A2874" t="n">
        <v>2873</v>
      </c>
      <c r="B2874" t="inlineStr">
        <is>
          <t>MMDCCCLXXIII</t>
        </is>
      </c>
      <c r="C2874">
        <f>ROMAN(2873)</f>
        <v/>
      </c>
      <c r="D2874">
        <f>IF(B2874=C2874, "YES", "WRONG")</f>
        <v/>
      </c>
    </row>
    <row r="2875">
      <c r="A2875" t="n">
        <v>2874</v>
      </c>
      <c r="B2875" t="inlineStr">
        <is>
          <t>MMDCCCLXXIV</t>
        </is>
      </c>
      <c r="C2875">
        <f>ROMAN(2874)</f>
        <v/>
      </c>
      <c r="D2875">
        <f>IF(B2875=C2875, "YES", "WRONG")</f>
        <v/>
      </c>
    </row>
    <row r="2876">
      <c r="A2876" t="n">
        <v>2875</v>
      </c>
      <c r="B2876" t="inlineStr">
        <is>
          <t>MMDCCCLXXV</t>
        </is>
      </c>
      <c r="C2876">
        <f>ROMAN(2875)</f>
        <v/>
      </c>
      <c r="D2876">
        <f>IF(B2876=C2876, "YES", "WRONG")</f>
        <v/>
      </c>
    </row>
    <row r="2877">
      <c r="A2877" t="n">
        <v>2876</v>
      </c>
      <c r="B2877" t="inlineStr">
        <is>
          <t>MMDCCCLXXVI</t>
        </is>
      </c>
      <c r="C2877">
        <f>ROMAN(2876)</f>
        <v/>
      </c>
      <c r="D2877">
        <f>IF(B2877=C2877, "YES", "WRONG")</f>
        <v/>
      </c>
    </row>
    <row r="2878">
      <c r="A2878" t="n">
        <v>2877</v>
      </c>
      <c r="B2878" t="inlineStr">
        <is>
          <t>MMDCCCLXXVII</t>
        </is>
      </c>
      <c r="C2878">
        <f>ROMAN(2877)</f>
        <v/>
      </c>
      <c r="D2878">
        <f>IF(B2878=C2878, "YES", "WRONG")</f>
        <v/>
      </c>
    </row>
    <row r="2879">
      <c r="A2879" t="n">
        <v>2878</v>
      </c>
      <c r="B2879" t="inlineStr">
        <is>
          <t>MMDCCCLXXVIII</t>
        </is>
      </c>
      <c r="C2879">
        <f>ROMAN(2878)</f>
        <v/>
      </c>
      <c r="D2879">
        <f>IF(B2879=C2879, "YES", "WRONG")</f>
        <v/>
      </c>
    </row>
    <row r="2880">
      <c r="A2880" t="n">
        <v>2879</v>
      </c>
      <c r="B2880" t="inlineStr">
        <is>
          <t>MMDCCCLXXIX</t>
        </is>
      </c>
      <c r="C2880">
        <f>ROMAN(2879)</f>
        <v/>
      </c>
      <c r="D2880">
        <f>IF(B2880=C2880, "YES", "WRONG")</f>
        <v/>
      </c>
    </row>
    <row r="2881">
      <c r="A2881" t="n">
        <v>2880</v>
      </c>
      <c r="B2881" t="inlineStr">
        <is>
          <t>MMDCCCLXXX</t>
        </is>
      </c>
      <c r="C2881">
        <f>ROMAN(2880)</f>
        <v/>
      </c>
      <c r="D2881">
        <f>IF(B2881=C2881, "YES", "WRONG")</f>
        <v/>
      </c>
    </row>
    <row r="2882">
      <c r="A2882" t="n">
        <v>2881</v>
      </c>
      <c r="B2882" t="inlineStr">
        <is>
          <t>MMDCCCLXXXI</t>
        </is>
      </c>
      <c r="C2882">
        <f>ROMAN(2881)</f>
        <v/>
      </c>
      <c r="D2882">
        <f>IF(B2882=C2882, "YES", "WRONG")</f>
        <v/>
      </c>
    </row>
    <row r="2883">
      <c r="A2883" t="n">
        <v>2882</v>
      </c>
      <c r="B2883" t="inlineStr">
        <is>
          <t>MMDCCCLXXXII</t>
        </is>
      </c>
      <c r="C2883">
        <f>ROMAN(2882)</f>
        <v/>
      </c>
      <c r="D2883">
        <f>IF(B2883=C2883, "YES", "WRONG")</f>
        <v/>
      </c>
    </row>
    <row r="2884">
      <c r="A2884" t="n">
        <v>2883</v>
      </c>
      <c r="B2884" t="inlineStr">
        <is>
          <t>MMDCCCLXXXIII</t>
        </is>
      </c>
      <c r="C2884">
        <f>ROMAN(2883)</f>
        <v/>
      </c>
      <c r="D2884">
        <f>IF(B2884=C2884, "YES", "WRONG")</f>
        <v/>
      </c>
    </row>
    <row r="2885">
      <c r="A2885" t="n">
        <v>2884</v>
      </c>
      <c r="B2885" t="inlineStr">
        <is>
          <t>MMDCCCLXXXIV</t>
        </is>
      </c>
      <c r="C2885">
        <f>ROMAN(2884)</f>
        <v/>
      </c>
      <c r="D2885">
        <f>IF(B2885=C2885, "YES", "WRONG")</f>
        <v/>
      </c>
    </row>
    <row r="2886">
      <c r="A2886" t="n">
        <v>2885</v>
      </c>
      <c r="B2886" t="inlineStr">
        <is>
          <t>MMDCCCLXXXV</t>
        </is>
      </c>
      <c r="C2886">
        <f>ROMAN(2885)</f>
        <v/>
      </c>
      <c r="D2886">
        <f>IF(B2886=C2886, "YES", "WRONG")</f>
        <v/>
      </c>
    </row>
    <row r="2887">
      <c r="A2887" t="n">
        <v>2886</v>
      </c>
      <c r="B2887" t="inlineStr">
        <is>
          <t>MMDCCCLXXXVI</t>
        </is>
      </c>
      <c r="C2887">
        <f>ROMAN(2886)</f>
        <v/>
      </c>
      <c r="D2887">
        <f>IF(B2887=C2887, "YES", "WRONG")</f>
        <v/>
      </c>
    </row>
    <row r="2888">
      <c r="A2888" t="n">
        <v>2887</v>
      </c>
      <c r="B2888" t="inlineStr">
        <is>
          <t>MMDCCCLXXXVII</t>
        </is>
      </c>
      <c r="C2888">
        <f>ROMAN(2887)</f>
        <v/>
      </c>
      <c r="D2888">
        <f>IF(B2888=C2888, "YES", "WRONG")</f>
        <v/>
      </c>
    </row>
    <row r="2889">
      <c r="A2889" t="n">
        <v>2888</v>
      </c>
      <c r="B2889" t="inlineStr">
        <is>
          <t>MMDCCCLXXXVIII</t>
        </is>
      </c>
      <c r="C2889">
        <f>ROMAN(2888)</f>
        <v/>
      </c>
      <c r="D2889">
        <f>IF(B2889=C2889, "YES", "WRONG")</f>
        <v/>
      </c>
    </row>
    <row r="2890">
      <c r="A2890" t="n">
        <v>2889</v>
      </c>
      <c r="B2890" t="inlineStr">
        <is>
          <t>MMDCCCLXXXIX</t>
        </is>
      </c>
      <c r="C2890">
        <f>ROMAN(2889)</f>
        <v/>
      </c>
      <c r="D2890">
        <f>IF(B2890=C2890, "YES", "WRONG")</f>
        <v/>
      </c>
    </row>
    <row r="2891">
      <c r="A2891" t="n">
        <v>2890</v>
      </c>
      <c r="B2891" t="inlineStr">
        <is>
          <t>MMDCCCXC</t>
        </is>
      </c>
      <c r="C2891">
        <f>ROMAN(2890)</f>
        <v/>
      </c>
      <c r="D2891">
        <f>IF(B2891=C2891, "YES", "WRONG")</f>
        <v/>
      </c>
    </row>
    <row r="2892">
      <c r="A2892" t="n">
        <v>2891</v>
      </c>
      <c r="B2892" t="inlineStr">
        <is>
          <t>MMDCCCXCI</t>
        </is>
      </c>
      <c r="C2892">
        <f>ROMAN(2891)</f>
        <v/>
      </c>
      <c r="D2892">
        <f>IF(B2892=C2892, "YES", "WRONG")</f>
        <v/>
      </c>
    </row>
    <row r="2893">
      <c r="A2893" t="n">
        <v>2892</v>
      </c>
      <c r="B2893" t="inlineStr">
        <is>
          <t>MMDCCCXCII</t>
        </is>
      </c>
      <c r="C2893">
        <f>ROMAN(2892)</f>
        <v/>
      </c>
      <c r="D2893">
        <f>IF(B2893=C2893, "YES", "WRONG")</f>
        <v/>
      </c>
    </row>
    <row r="2894">
      <c r="A2894" t="n">
        <v>2893</v>
      </c>
      <c r="B2894" t="inlineStr">
        <is>
          <t>MMDCCCXCIII</t>
        </is>
      </c>
      <c r="C2894">
        <f>ROMAN(2893)</f>
        <v/>
      </c>
      <c r="D2894">
        <f>IF(B2894=C2894, "YES", "WRONG")</f>
        <v/>
      </c>
    </row>
    <row r="2895">
      <c r="A2895" t="n">
        <v>2894</v>
      </c>
      <c r="B2895" t="inlineStr">
        <is>
          <t>MMDCCCXCIV</t>
        </is>
      </c>
      <c r="C2895">
        <f>ROMAN(2894)</f>
        <v/>
      </c>
      <c r="D2895">
        <f>IF(B2895=C2895, "YES", "WRONG")</f>
        <v/>
      </c>
    </row>
    <row r="2896">
      <c r="A2896" t="n">
        <v>2895</v>
      </c>
      <c r="B2896" t="inlineStr">
        <is>
          <t>MMDCCCXCV</t>
        </is>
      </c>
      <c r="C2896">
        <f>ROMAN(2895)</f>
        <v/>
      </c>
      <c r="D2896">
        <f>IF(B2896=C2896, "YES", "WRONG")</f>
        <v/>
      </c>
    </row>
    <row r="2897">
      <c r="A2897" t="n">
        <v>2896</v>
      </c>
      <c r="B2897" t="inlineStr">
        <is>
          <t>MMDCCCXCVI</t>
        </is>
      </c>
      <c r="C2897">
        <f>ROMAN(2896)</f>
        <v/>
      </c>
      <c r="D2897">
        <f>IF(B2897=C2897, "YES", "WRONG")</f>
        <v/>
      </c>
    </row>
    <row r="2898">
      <c r="A2898" t="n">
        <v>2897</v>
      </c>
      <c r="B2898" t="inlineStr">
        <is>
          <t>MMDCCCXCVII</t>
        </is>
      </c>
      <c r="C2898">
        <f>ROMAN(2897)</f>
        <v/>
      </c>
      <c r="D2898">
        <f>IF(B2898=C2898, "YES", "WRONG")</f>
        <v/>
      </c>
    </row>
    <row r="2899">
      <c r="A2899" t="n">
        <v>2898</v>
      </c>
      <c r="B2899" t="inlineStr">
        <is>
          <t>MMDCCCXCVIII</t>
        </is>
      </c>
      <c r="C2899">
        <f>ROMAN(2898)</f>
        <v/>
      </c>
      <c r="D2899">
        <f>IF(B2899=C2899, "YES", "WRONG")</f>
        <v/>
      </c>
    </row>
    <row r="2900">
      <c r="A2900" t="n">
        <v>2899</v>
      </c>
      <c r="B2900" t="inlineStr">
        <is>
          <t>MMDCCCXCIX</t>
        </is>
      </c>
      <c r="C2900">
        <f>ROMAN(2899)</f>
        <v/>
      </c>
      <c r="D2900">
        <f>IF(B2900=C2900, "YES", "WRONG")</f>
        <v/>
      </c>
    </row>
    <row r="2901">
      <c r="A2901" t="n">
        <v>2900</v>
      </c>
      <c r="B2901" t="inlineStr">
        <is>
          <t>MMCM</t>
        </is>
      </c>
      <c r="C2901">
        <f>ROMAN(2900)</f>
        <v/>
      </c>
      <c r="D2901">
        <f>IF(B2901=C2901, "YES", "WRONG")</f>
        <v/>
      </c>
    </row>
    <row r="2902">
      <c r="A2902" t="n">
        <v>2901</v>
      </c>
      <c r="B2902" t="inlineStr">
        <is>
          <t>MMCMI</t>
        </is>
      </c>
      <c r="C2902">
        <f>ROMAN(2901)</f>
        <v/>
      </c>
      <c r="D2902">
        <f>IF(B2902=C2902, "YES", "WRONG")</f>
        <v/>
      </c>
    </row>
    <row r="2903">
      <c r="A2903" t="n">
        <v>2902</v>
      </c>
      <c r="B2903" t="inlineStr">
        <is>
          <t>MMCMII</t>
        </is>
      </c>
      <c r="C2903">
        <f>ROMAN(2902)</f>
        <v/>
      </c>
      <c r="D2903">
        <f>IF(B2903=C2903, "YES", "WRONG")</f>
        <v/>
      </c>
    </row>
    <row r="2904">
      <c r="A2904" t="n">
        <v>2903</v>
      </c>
      <c r="B2904" t="inlineStr">
        <is>
          <t>MMCMIII</t>
        </is>
      </c>
      <c r="C2904">
        <f>ROMAN(2903)</f>
        <v/>
      </c>
      <c r="D2904">
        <f>IF(B2904=C2904, "YES", "WRONG")</f>
        <v/>
      </c>
    </row>
    <row r="2905">
      <c r="A2905" t="n">
        <v>2904</v>
      </c>
      <c r="B2905" t="inlineStr">
        <is>
          <t>MMCMIV</t>
        </is>
      </c>
      <c r="C2905">
        <f>ROMAN(2904)</f>
        <v/>
      </c>
      <c r="D2905">
        <f>IF(B2905=C2905, "YES", "WRONG")</f>
        <v/>
      </c>
    </row>
    <row r="2906">
      <c r="A2906" t="n">
        <v>2905</v>
      </c>
      <c r="B2906" t="inlineStr">
        <is>
          <t>MMCMV</t>
        </is>
      </c>
      <c r="C2906">
        <f>ROMAN(2905)</f>
        <v/>
      </c>
      <c r="D2906">
        <f>IF(B2906=C2906, "YES", "WRONG")</f>
        <v/>
      </c>
    </row>
    <row r="2907">
      <c r="A2907" t="n">
        <v>2906</v>
      </c>
      <c r="B2907" t="inlineStr">
        <is>
          <t>MMCMVI</t>
        </is>
      </c>
      <c r="C2907">
        <f>ROMAN(2906)</f>
        <v/>
      </c>
      <c r="D2907">
        <f>IF(B2907=C2907, "YES", "WRONG")</f>
        <v/>
      </c>
    </row>
    <row r="2908">
      <c r="A2908" t="n">
        <v>2907</v>
      </c>
      <c r="B2908" t="inlineStr">
        <is>
          <t>MMCMVII</t>
        </is>
      </c>
      <c r="C2908">
        <f>ROMAN(2907)</f>
        <v/>
      </c>
      <c r="D2908">
        <f>IF(B2908=C2908, "YES", "WRONG")</f>
        <v/>
      </c>
    </row>
    <row r="2909">
      <c r="A2909" t="n">
        <v>2908</v>
      </c>
      <c r="B2909" t="inlineStr">
        <is>
          <t>MMCMVIII</t>
        </is>
      </c>
      <c r="C2909">
        <f>ROMAN(2908)</f>
        <v/>
      </c>
      <c r="D2909">
        <f>IF(B2909=C2909, "YES", "WRONG")</f>
        <v/>
      </c>
    </row>
    <row r="2910">
      <c r="A2910" t="n">
        <v>2909</v>
      </c>
      <c r="B2910" t="inlineStr">
        <is>
          <t>MMCMIX</t>
        </is>
      </c>
      <c r="C2910">
        <f>ROMAN(2909)</f>
        <v/>
      </c>
      <c r="D2910">
        <f>IF(B2910=C2910, "YES", "WRONG")</f>
        <v/>
      </c>
    </row>
    <row r="2911">
      <c r="A2911" t="n">
        <v>2910</v>
      </c>
      <c r="B2911" t="inlineStr">
        <is>
          <t>MMCMX</t>
        </is>
      </c>
      <c r="C2911">
        <f>ROMAN(2910)</f>
        <v/>
      </c>
      <c r="D2911">
        <f>IF(B2911=C2911, "YES", "WRONG")</f>
        <v/>
      </c>
    </row>
    <row r="2912">
      <c r="A2912" t="n">
        <v>2911</v>
      </c>
      <c r="B2912" t="inlineStr">
        <is>
          <t>MMCMXI</t>
        </is>
      </c>
      <c r="C2912">
        <f>ROMAN(2911)</f>
        <v/>
      </c>
      <c r="D2912">
        <f>IF(B2912=C2912, "YES", "WRONG")</f>
        <v/>
      </c>
    </row>
    <row r="2913">
      <c r="A2913" t="n">
        <v>2912</v>
      </c>
      <c r="B2913" t="inlineStr">
        <is>
          <t>MMCMXII</t>
        </is>
      </c>
      <c r="C2913">
        <f>ROMAN(2912)</f>
        <v/>
      </c>
      <c r="D2913">
        <f>IF(B2913=C2913, "YES", "WRONG")</f>
        <v/>
      </c>
    </row>
    <row r="2914">
      <c r="A2914" t="n">
        <v>2913</v>
      </c>
      <c r="B2914" t="inlineStr">
        <is>
          <t>MMCMXIII</t>
        </is>
      </c>
      <c r="C2914">
        <f>ROMAN(2913)</f>
        <v/>
      </c>
      <c r="D2914">
        <f>IF(B2914=C2914, "YES", "WRONG")</f>
        <v/>
      </c>
    </row>
    <row r="2915">
      <c r="A2915" t="n">
        <v>2914</v>
      </c>
      <c r="B2915" t="inlineStr">
        <is>
          <t>MMCMXIV</t>
        </is>
      </c>
      <c r="C2915">
        <f>ROMAN(2914)</f>
        <v/>
      </c>
      <c r="D2915">
        <f>IF(B2915=C2915, "YES", "WRONG")</f>
        <v/>
      </c>
    </row>
    <row r="2916">
      <c r="A2916" t="n">
        <v>2915</v>
      </c>
      <c r="B2916" t="inlineStr">
        <is>
          <t>MMCMXV</t>
        </is>
      </c>
      <c r="C2916">
        <f>ROMAN(2915)</f>
        <v/>
      </c>
      <c r="D2916">
        <f>IF(B2916=C2916, "YES", "WRONG")</f>
        <v/>
      </c>
    </row>
    <row r="2917">
      <c r="A2917" t="n">
        <v>2916</v>
      </c>
      <c r="B2917" t="inlineStr">
        <is>
          <t>MMCMXVI</t>
        </is>
      </c>
      <c r="C2917">
        <f>ROMAN(2916)</f>
        <v/>
      </c>
      <c r="D2917">
        <f>IF(B2917=C2917, "YES", "WRONG")</f>
        <v/>
      </c>
    </row>
    <row r="2918">
      <c r="A2918" t="n">
        <v>2917</v>
      </c>
      <c r="B2918" t="inlineStr">
        <is>
          <t>MMCMXVII</t>
        </is>
      </c>
      <c r="C2918">
        <f>ROMAN(2917)</f>
        <v/>
      </c>
      <c r="D2918">
        <f>IF(B2918=C2918, "YES", "WRONG")</f>
        <v/>
      </c>
    </row>
    <row r="2919">
      <c r="A2919" t="n">
        <v>2918</v>
      </c>
      <c r="B2919" t="inlineStr">
        <is>
          <t>MMCMXVIII</t>
        </is>
      </c>
      <c r="C2919">
        <f>ROMAN(2918)</f>
        <v/>
      </c>
      <c r="D2919">
        <f>IF(B2919=C2919, "YES", "WRONG")</f>
        <v/>
      </c>
    </row>
    <row r="2920">
      <c r="A2920" t="n">
        <v>2919</v>
      </c>
      <c r="B2920" t="inlineStr">
        <is>
          <t>MMCMXIX</t>
        </is>
      </c>
      <c r="C2920">
        <f>ROMAN(2919)</f>
        <v/>
      </c>
      <c r="D2920">
        <f>IF(B2920=C2920, "YES", "WRONG")</f>
        <v/>
      </c>
    </row>
    <row r="2921">
      <c r="A2921" t="n">
        <v>2920</v>
      </c>
      <c r="B2921" t="inlineStr">
        <is>
          <t>MMCMXX</t>
        </is>
      </c>
      <c r="C2921">
        <f>ROMAN(2920)</f>
        <v/>
      </c>
      <c r="D2921">
        <f>IF(B2921=C2921, "YES", "WRONG")</f>
        <v/>
      </c>
    </row>
    <row r="2922">
      <c r="A2922" t="n">
        <v>2921</v>
      </c>
      <c r="B2922" t="inlineStr">
        <is>
          <t>MMCMXXI</t>
        </is>
      </c>
      <c r="C2922">
        <f>ROMAN(2921)</f>
        <v/>
      </c>
      <c r="D2922">
        <f>IF(B2922=C2922, "YES", "WRONG")</f>
        <v/>
      </c>
    </row>
    <row r="2923">
      <c r="A2923" t="n">
        <v>2922</v>
      </c>
      <c r="B2923" t="inlineStr">
        <is>
          <t>MMCMXXII</t>
        </is>
      </c>
      <c r="C2923">
        <f>ROMAN(2922)</f>
        <v/>
      </c>
      <c r="D2923">
        <f>IF(B2923=C2923, "YES", "WRONG")</f>
        <v/>
      </c>
    </row>
    <row r="2924">
      <c r="A2924" t="n">
        <v>2923</v>
      </c>
      <c r="B2924" t="inlineStr">
        <is>
          <t>MMCMXXIII</t>
        </is>
      </c>
      <c r="C2924">
        <f>ROMAN(2923)</f>
        <v/>
      </c>
      <c r="D2924">
        <f>IF(B2924=C2924, "YES", "WRONG")</f>
        <v/>
      </c>
    </row>
    <row r="2925">
      <c r="A2925" t="n">
        <v>2924</v>
      </c>
      <c r="B2925" t="inlineStr">
        <is>
          <t>MMCMXXIV</t>
        </is>
      </c>
      <c r="C2925">
        <f>ROMAN(2924)</f>
        <v/>
      </c>
      <c r="D2925">
        <f>IF(B2925=C2925, "YES", "WRONG")</f>
        <v/>
      </c>
    </row>
    <row r="2926">
      <c r="A2926" t="n">
        <v>2925</v>
      </c>
      <c r="B2926" t="inlineStr">
        <is>
          <t>MMCMXXV</t>
        </is>
      </c>
      <c r="C2926">
        <f>ROMAN(2925)</f>
        <v/>
      </c>
      <c r="D2926">
        <f>IF(B2926=C2926, "YES", "WRONG")</f>
        <v/>
      </c>
    </row>
    <row r="2927">
      <c r="A2927" t="n">
        <v>2926</v>
      </c>
      <c r="B2927" t="inlineStr">
        <is>
          <t>MMCMXXVI</t>
        </is>
      </c>
      <c r="C2927">
        <f>ROMAN(2926)</f>
        <v/>
      </c>
      <c r="D2927">
        <f>IF(B2927=C2927, "YES", "WRONG")</f>
        <v/>
      </c>
    </row>
    <row r="2928">
      <c r="A2928" t="n">
        <v>2927</v>
      </c>
      <c r="B2928" t="inlineStr">
        <is>
          <t>MMCMXXVII</t>
        </is>
      </c>
      <c r="C2928">
        <f>ROMAN(2927)</f>
        <v/>
      </c>
      <c r="D2928">
        <f>IF(B2928=C2928, "YES", "WRONG")</f>
        <v/>
      </c>
    </row>
    <row r="2929">
      <c r="A2929" t="n">
        <v>2928</v>
      </c>
      <c r="B2929" t="inlineStr">
        <is>
          <t>MMCMXXVIII</t>
        </is>
      </c>
      <c r="C2929">
        <f>ROMAN(2928)</f>
        <v/>
      </c>
      <c r="D2929">
        <f>IF(B2929=C2929, "YES", "WRONG")</f>
        <v/>
      </c>
    </row>
    <row r="2930">
      <c r="A2930" t="n">
        <v>2929</v>
      </c>
      <c r="B2930" t="inlineStr">
        <is>
          <t>MMCMXXIX</t>
        </is>
      </c>
      <c r="C2930">
        <f>ROMAN(2929)</f>
        <v/>
      </c>
      <c r="D2930">
        <f>IF(B2930=C2930, "YES", "WRONG")</f>
        <v/>
      </c>
    </row>
    <row r="2931">
      <c r="A2931" t="n">
        <v>2930</v>
      </c>
      <c r="B2931" t="inlineStr">
        <is>
          <t>MMCMXXX</t>
        </is>
      </c>
      <c r="C2931">
        <f>ROMAN(2930)</f>
        <v/>
      </c>
      <c r="D2931">
        <f>IF(B2931=C2931, "YES", "WRONG")</f>
        <v/>
      </c>
    </row>
    <row r="2932">
      <c r="A2932" t="n">
        <v>2931</v>
      </c>
      <c r="B2932" t="inlineStr">
        <is>
          <t>MMCMXXXI</t>
        </is>
      </c>
      <c r="C2932">
        <f>ROMAN(2931)</f>
        <v/>
      </c>
      <c r="D2932">
        <f>IF(B2932=C2932, "YES", "WRONG")</f>
        <v/>
      </c>
    </row>
    <row r="2933">
      <c r="A2933" t="n">
        <v>2932</v>
      </c>
      <c r="B2933" t="inlineStr">
        <is>
          <t>MMCMXXXII</t>
        </is>
      </c>
      <c r="C2933">
        <f>ROMAN(2932)</f>
        <v/>
      </c>
      <c r="D2933">
        <f>IF(B2933=C2933, "YES", "WRONG")</f>
        <v/>
      </c>
    </row>
    <row r="2934">
      <c r="A2934" t="n">
        <v>2933</v>
      </c>
      <c r="B2934" t="inlineStr">
        <is>
          <t>MMCMXXXIII</t>
        </is>
      </c>
      <c r="C2934">
        <f>ROMAN(2933)</f>
        <v/>
      </c>
      <c r="D2934">
        <f>IF(B2934=C2934, "YES", "WRONG")</f>
        <v/>
      </c>
    </row>
    <row r="2935">
      <c r="A2935" t="n">
        <v>2934</v>
      </c>
      <c r="B2935" t="inlineStr">
        <is>
          <t>MMCMXXXIV</t>
        </is>
      </c>
      <c r="C2935">
        <f>ROMAN(2934)</f>
        <v/>
      </c>
      <c r="D2935">
        <f>IF(B2935=C2935, "YES", "WRONG")</f>
        <v/>
      </c>
    </row>
    <row r="2936">
      <c r="A2936" t="n">
        <v>2935</v>
      </c>
      <c r="B2936" t="inlineStr">
        <is>
          <t>MMCMXXXV</t>
        </is>
      </c>
      <c r="C2936">
        <f>ROMAN(2935)</f>
        <v/>
      </c>
      <c r="D2936">
        <f>IF(B2936=C2936, "YES", "WRONG")</f>
        <v/>
      </c>
    </row>
    <row r="2937">
      <c r="A2937" t="n">
        <v>2936</v>
      </c>
      <c r="B2937" t="inlineStr">
        <is>
          <t>MMCMXXXVI</t>
        </is>
      </c>
      <c r="C2937">
        <f>ROMAN(2936)</f>
        <v/>
      </c>
      <c r="D2937">
        <f>IF(B2937=C2937, "YES", "WRONG")</f>
        <v/>
      </c>
    </row>
    <row r="2938">
      <c r="A2938" t="n">
        <v>2937</v>
      </c>
      <c r="B2938" t="inlineStr">
        <is>
          <t>MMCMXXXVII</t>
        </is>
      </c>
      <c r="C2938">
        <f>ROMAN(2937)</f>
        <v/>
      </c>
      <c r="D2938">
        <f>IF(B2938=C2938, "YES", "WRONG")</f>
        <v/>
      </c>
    </row>
    <row r="2939">
      <c r="A2939" t="n">
        <v>2938</v>
      </c>
      <c r="B2939" t="inlineStr">
        <is>
          <t>MMCMXXXVIII</t>
        </is>
      </c>
      <c r="C2939">
        <f>ROMAN(2938)</f>
        <v/>
      </c>
      <c r="D2939">
        <f>IF(B2939=C2939, "YES", "WRONG")</f>
        <v/>
      </c>
    </row>
    <row r="2940">
      <c r="A2940" t="n">
        <v>2939</v>
      </c>
      <c r="B2940" t="inlineStr">
        <is>
          <t>MMCMXXXIX</t>
        </is>
      </c>
      <c r="C2940">
        <f>ROMAN(2939)</f>
        <v/>
      </c>
      <c r="D2940">
        <f>IF(B2940=C2940, "YES", "WRONG")</f>
        <v/>
      </c>
    </row>
    <row r="2941">
      <c r="A2941" t="n">
        <v>2940</v>
      </c>
      <c r="B2941" t="inlineStr">
        <is>
          <t>MMCMXL</t>
        </is>
      </c>
      <c r="C2941">
        <f>ROMAN(2940)</f>
        <v/>
      </c>
      <c r="D2941">
        <f>IF(B2941=C2941, "YES", "WRONG")</f>
        <v/>
      </c>
    </row>
    <row r="2942">
      <c r="A2942" t="n">
        <v>2941</v>
      </c>
      <c r="B2942" t="inlineStr">
        <is>
          <t>MMCMXLI</t>
        </is>
      </c>
      <c r="C2942">
        <f>ROMAN(2941)</f>
        <v/>
      </c>
      <c r="D2942">
        <f>IF(B2942=C2942, "YES", "WRONG")</f>
        <v/>
      </c>
    </row>
    <row r="2943">
      <c r="A2943" t="n">
        <v>2942</v>
      </c>
      <c r="B2943" t="inlineStr">
        <is>
          <t>MMCMXLII</t>
        </is>
      </c>
      <c r="C2943">
        <f>ROMAN(2942)</f>
        <v/>
      </c>
      <c r="D2943">
        <f>IF(B2943=C2943, "YES", "WRONG")</f>
        <v/>
      </c>
    </row>
    <row r="2944">
      <c r="A2944" t="n">
        <v>2943</v>
      </c>
      <c r="B2944" t="inlineStr">
        <is>
          <t>MMCMXLIII</t>
        </is>
      </c>
      <c r="C2944">
        <f>ROMAN(2943)</f>
        <v/>
      </c>
      <c r="D2944">
        <f>IF(B2944=C2944, "YES", "WRONG")</f>
        <v/>
      </c>
    </row>
    <row r="2945">
      <c r="A2945" t="n">
        <v>2944</v>
      </c>
      <c r="B2945" t="inlineStr">
        <is>
          <t>MMCMXLIV</t>
        </is>
      </c>
      <c r="C2945">
        <f>ROMAN(2944)</f>
        <v/>
      </c>
      <c r="D2945">
        <f>IF(B2945=C2945, "YES", "WRONG")</f>
        <v/>
      </c>
    </row>
    <row r="2946">
      <c r="A2946" t="n">
        <v>2945</v>
      </c>
      <c r="B2946" t="inlineStr">
        <is>
          <t>MMCMXLV</t>
        </is>
      </c>
      <c r="C2946">
        <f>ROMAN(2945)</f>
        <v/>
      </c>
      <c r="D2946">
        <f>IF(B2946=C2946, "YES", "WRONG")</f>
        <v/>
      </c>
    </row>
    <row r="2947">
      <c r="A2947" t="n">
        <v>2946</v>
      </c>
      <c r="B2947" t="inlineStr">
        <is>
          <t>MMCMXLVI</t>
        </is>
      </c>
      <c r="C2947">
        <f>ROMAN(2946)</f>
        <v/>
      </c>
      <c r="D2947">
        <f>IF(B2947=C2947, "YES", "WRONG")</f>
        <v/>
      </c>
    </row>
    <row r="2948">
      <c r="A2948" t="n">
        <v>2947</v>
      </c>
      <c r="B2948" t="inlineStr">
        <is>
          <t>MMCMXLVII</t>
        </is>
      </c>
      <c r="C2948">
        <f>ROMAN(2947)</f>
        <v/>
      </c>
      <c r="D2948">
        <f>IF(B2948=C2948, "YES", "WRONG")</f>
        <v/>
      </c>
    </row>
    <row r="2949">
      <c r="A2949" t="n">
        <v>2948</v>
      </c>
      <c r="B2949" t="inlineStr">
        <is>
          <t>MMCMXLVIII</t>
        </is>
      </c>
      <c r="C2949">
        <f>ROMAN(2948)</f>
        <v/>
      </c>
      <c r="D2949">
        <f>IF(B2949=C2949, "YES", "WRONG")</f>
        <v/>
      </c>
    </row>
    <row r="2950">
      <c r="A2950" t="n">
        <v>2949</v>
      </c>
      <c r="B2950" t="inlineStr">
        <is>
          <t>MMCMXLIX</t>
        </is>
      </c>
      <c r="C2950">
        <f>ROMAN(2949)</f>
        <v/>
      </c>
      <c r="D2950">
        <f>IF(B2950=C2950, "YES", "WRONG")</f>
        <v/>
      </c>
    </row>
    <row r="2951">
      <c r="A2951" t="n">
        <v>2950</v>
      </c>
      <c r="B2951" t="inlineStr">
        <is>
          <t>MMCML</t>
        </is>
      </c>
      <c r="C2951">
        <f>ROMAN(2950)</f>
        <v/>
      </c>
      <c r="D2951">
        <f>IF(B2951=C2951, "YES", "WRONG")</f>
        <v/>
      </c>
    </row>
    <row r="2952">
      <c r="A2952" t="n">
        <v>2951</v>
      </c>
      <c r="B2952" t="inlineStr">
        <is>
          <t>MMCMLI</t>
        </is>
      </c>
      <c r="C2952">
        <f>ROMAN(2951)</f>
        <v/>
      </c>
      <c r="D2952">
        <f>IF(B2952=C2952, "YES", "WRONG")</f>
        <v/>
      </c>
    </row>
    <row r="2953">
      <c r="A2953" t="n">
        <v>2952</v>
      </c>
      <c r="B2953" t="inlineStr">
        <is>
          <t>MMCMLII</t>
        </is>
      </c>
      <c r="C2953">
        <f>ROMAN(2952)</f>
        <v/>
      </c>
      <c r="D2953">
        <f>IF(B2953=C2953, "YES", "WRONG")</f>
        <v/>
      </c>
    </row>
    <row r="2954">
      <c r="A2954" t="n">
        <v>2953</v>
      </c>
      <c r="B2954" t="inlineStr">
        <is>
          <t>MMCMLIII</t>
        </is>
      </c>
      <c r="C2954">
        <f>ROMAN(2953)</f>
        <v/>
      </c>
      <c r="D2954">
        <f>IF(B2954=C2954, "YES", "WRONG")</f>
        <v/>
      </c>
    </row>
    <row r="2955">
      <c r="A2955" t="n">
        <v>2954</v>
      </c>
      <c r="B2955" t="inlineStr">
        <is>
          <t>MMCMLIV</t>
        </is>
      </c>
      <c r="C2955">
        <f>ROMAN(2954)</f>
        <v/>
      </c>
      <c r="D2955">
        <f>IF(B2955=C2955, "YES", "WRONG")</f>
        <v/>
      </c>
    </row>
    <row r="2956">
      <c r="A2956" t="n">
        <v>2955</v>
      </c>
      <c r="B2956" t="inlineStr">
        <is>
          <t>MMCMLV</t>
        </is>
      </c>
      <c r="C2956">
        <f>ROMAN(2955)</f>
        <v/>
      </c>
      <c r="D2956">
        <f>IF(B2956=C2956, "YES", "WRONG")</f>
        <v/>
      </c>
    </row>
    <row r="2957">
      <c r="A2957" t="n">
        <v>2956</v>
      </c>
      <c r="B2957" t="inlineStr">
        <is>
          <t>MMCMLVI</t>
        </is>
      </c>
      <c r="C2957">
        <f>ROMAN(2956)</f>
        <v/>
      </c>
      <c r="D2957">
        <f>IF(B2957=C2957, "YES", "WRONG")</f>
        <v/>
      </c>
    </row>
    <row r="2958">
      <c r="A2958" t="n">
        <v>2957</v>
      </c>
      <c r="B2958" t="inlineStr">
        <is>
          <t>MMCMLVII</t>
        </is>
      </c>
      <c r="C2958">
        <f>ROMAN(2957)</f>
        <v/>
      </c>
      <c r="D2958">
        <f>IF(B2958=C2958, "YES", "WRONG")</f>
        <v/>
      </c>
    </row>
    <row r="2959">
      <c r="A2959" t="n">
        <v>2958</v>
      </c>
      <c r="B2959" t="inlineStr">
        <is>
          <t>MMCMLVIII</t>
        </is>
      </c>
      <c r="C2959">
        <f>ROMAN(2958)</f>
        <v/>
      </c>
      <c r="D2959">
        <f>IF(B2959=C2959, "YES", "WRONG")</f>
        <v/>
      </c>
    </row>
    <row r="2960">
      <c r="A2960" t="n">
        <v>2959</v>
      </c>
      <c r="B2960" t="inlineStr">
        <is>
          <t>MMCMLIX</t>
        </is>
      </c>
      <c r="C2960">
        <f>ROMAN(2959)</f>
        <v/>
      </c>
      <c r="D2960">
        <f>IF(B2960=C2960, "YES", "WRONG")</f>
        <v/>
      </c>
    </row>
    <row r="2961">
      <c r="A2961" t="n">
        <v>2960</v>
      </c>
      <c r="B2961" t="inlineStr">
        <is>
          <t>MMCMLX</t>
        </is>
      </c>
      <c r="C2961">
        <f>ROMAN(2960)</f>
        <v/>
      </c>
      <c r="D2961">
        <f>IF(B2961=C2961, "YES", "WRONG")</f>
        <v/>
      </c>
    </row>
    <row r="2962">
      <c r="A2962" t="n">
        <v>2961</v>
      </c>
      <c r="B2962" t="inlineStr">
        <is>
          <t>MMCMLXI</t>
        </is>
      </c>
      <c r="C2962">
        <f>ROMAN(2961)</f>
        <v/>
      </c>
      <c r="D2962">
        <f>IF(B2962=C2962, "YES", "WRONG")</f>
        <v/>
      </c>
    </row>
    <row r="2963">
      <c r="A2963" t="n">
        <v>2962</v>
      </c>
      <c r="B2963" t="inlineStr">
        <is>
          <t>MMCMLXII</t>
        </is>
      </c>
      <c r="C2963">
        <f>ROMAN(2962)</f>
        <v/>
      </c>
      <c r="D2963">
        <f>IF(B2963=C2963, "YES", "WRONG")</f>
        <v/>
      </c>
    </row>
    <row r="2964">
      <c r="A2964" t="n">
        <v>2963</v>
      </c>
      <c r="B2964" t="inlineStr">
        <is>
          <t>MMCMLXIII</t>
        </is>
      </c>
      <c r="C2964">
        <f>ROMAN(2963)</f>
        <v/>
      </c>
      <c r="D2964">
        <f>IF(B2964=C2964, "YES", "WRONG")</f>
        <v/>
      </c>
    </row>
    <row r="2965">
      <c r="A2965" t="n">
        <v>2964</v>
      </c>
      <c r="B2965" t="inlineStr">
        <is>
          <t>MMCMLXIV</t>
        </is>
      </c>
      <c r="C2965">
        <f>ROMAN(2964)</f>
        <v/>
      </c>
      <c r="D2965">
        <f>IF(B2965=C2965, "YES", "WRONG")</f>
        <v/>
      </c>
    </row>
    <row r="2966">
      <c r="A2966" t="n">
        <v>2965</v>
      </c>
      <c r="B2966" t="inlineStr">
        <is>
          <t>MMCMLXV</t>
        </is>
      </c>
      <c r="C2966">
        <f>ROMAN(2965)</f>
        <v/>
      </c>
      <c r="D2966">
        <f>IF(B2966=C2966, "YES", "WRONG")</f>
        <v/>
      </c>
    </row>
    <row r="2967">
      <c r="A2967" t="n">
        <v>2966</v>
      </c>
      <c r="B2967" t="inlineStr">
        <is>
          <t>MMCMLXVI</t>
        </is>
      </c>
      <c r="C2967">
        <f>ROMAN(2966)</f>
        <v/>
      </c>
      <c r="D2967">
        <f>IF(B2967=C2967, "YES", "WRONG")</f>
        <v/>
      </c>
    </row>
    <row r="2968">
      <c r="A2968" t="n">
        <v>2967</v>
      </c>
      <c r="B2968" t="inlineStr">
        <is>
          <t>MMCMLXVII</t>
        </is>
      </c>
      <c r="C2968">
        <f>ROMAN(2967)</f>
        <v/>
      </c>
      <c r="D2968">
        <f>IF(B2968=C2968, "YES", "WRONG")</f>
        <v/>
      </c>
    </row>
    <row r="2969">
      <c r="A2969" t="n">
        <v>2968</v>
      </c>
      <c r="B2969" t="inlineStr">
        <is>
          <t>MMCMLXVIII</t>
        </is>
      </c>
      <c r="C2969">
        <f>ROMAN(2968)</f>
        <v/>
      </c>
      <c r="D2969">
        <f>IF(B2969=C2969, "YES", "WRONG")</f>
        <v/>
      </c>
    </row>
    <row r="2970">
      <c r="A2970" t="n">
        <v>2969</v>
      </c>
      <c r="B2970" t="inlineStr">
        <is>
          <t>MMCMLXIX</t>
        </is>
      </c>
      <c r="C2970">
        <f>ROMAN(2969)</f>
        <v/>
      </c>
      <c r="D2970">
        <f>IF(B2970=C2970, "YES", "WRONG")</f>
        <v/>
      </c>
    </row>
    <row r="2971">
      <c r="A2971" t="n">
        <v>2970</v>
      </c>
      <c r="B2971" t="inlineStr">
        <is>
          <t>MMCMLXX</t>
        </is>
      </c>
      <c r="C2971">
        <f>ROMAN(2970)</f>
        <v/>
      </c>
      <c r="D2971">
        <f>IF(B2971=C2971, "YES", "WRONG")</f>
        <v/>
      </c>
    </row>
    <row r="2972">
      <c r="A2972" t="n">
        <v>2971</v>
      </c>
      <c r="B2972" t="inlineStr">
        <is>
          <t>MMCMLXXI</t>
        </is>
      </c>
      <c r="C2972">
        <f>ROMAN(2971)</f>
        <v/>
      </c>
      <c r="D2972">
        <f>IF(B2972=C2972, "YES", "WRONG")</f>
        <v/>
      </c>
    </row>
    <row r="2973">
      <c r="A2973" t="n">
        <v>2972</v>
      </c>
      <c r="B2973" t="inlineStr">
        <is>
          <t>MMCMLXXII</t>
        </is>
      </c>
      <c r="C2973">
        <f>ROMAN(2972)</f>
        <v/>
      </c>
      <c r="D2973">
        <f>IF(B2973=C2973, "YES", "WRONG")</f>
        <v/>
      </c>
    </row>
    <row r="2974">
      <c r="A2974" t="n">
        <v>2973</v>
      </c>
      <c r="B2974" t="inlineStr">
        <is>
          <t>MMCMLXXIII</t>
        </is>
      </c>
      <c r="C2974">
        <f>ROMAN(2973)</f>
        <v/>
      </c>
      <c r="D2974">
        <f>IF(B2974=C2974, "YES", "WRONG")</f>
        <v/>
      </c>
    </row>
    <row r="2975">
      <c r="A2975" t="n">
        <v>2974</v>
      </c>
      <c r="B2975" t="inlineStr">
        <is>
          <t>MMCMLXXIV</t>
        </is>
      </c>
      <c r="C2975">
        <f>ROMAN(2974)</f>
        <v/>
      </c>
      <c r="D2975">
        <f>IF(B2975=C2975, "YES", "WRONG")</f>
        <v/>
      </c>
    </row>
    <row r="2976">
      <c r="A2976" t="n">
        <v>2975</v>
      </c>
      <c r="B2976" t="inlineStr">
        <is>
          <t>MMCMLXXV</t>
        </is>
      </c>
      <c r="C2976">
        <f>ROMAN(2975)</f>
        <v/>
      </c>
      <c r="D2976">
        <f>IF(B2976=C2976, "YES", "WRONG")</f>
        <v/>
      </c>
    </row>
    <row r="2977">
      <c r="A2977" t="n">
        <v>2976</v>
      </c>
      <c r="B2977" t="inlineStr">
        <is>
          <t>MMCMLXXVI</t>
        </is>
      </c>
      <c r="C2977">
        <f>ROMAN(2976)</f>
        <v/>
      </c>
      <c r="D2977">
        <f>IF(B2977=C2977, "YES", "WRONG")</f>
        <v/>
      </c>
    </row>
    <row r="2978">
      <c r="A2978" t="n">
        <v>2977</v>
      </c>
      <c r="B2978" t="inlineStr">
        <is>
          <t>MMCMLXXVII</t>
        </is>
      </c>
      <c r="C2978">
        <f>ROMAN(2977)</f>
        <v/>
      </c>
      <c r="D2978">
        <f>IF(B2978=C2978, "YES", "WRONG")</f>
        <v/>
      </c>
    </row>
    <row r="2979">
      <c r="A2979" t="n">
        <v>2978</v>
      </c>
      <c r="B2979" t="inlineStr">
        <is>
          <t>MMCMLXXVIII</t>
        </is>
      </c>
      <c r="C2979">
        <f>ROMAN(2978)</f>
        <v/>
      </c>
      <c r="D2979">
        <f>IF(B2979=C2979, "YES", "WRONG")</f>
        <v/>
      </c>
    </row>
    <row r="2980">
      <c r="A2980" t="n">
        <v>2979</v>
      </c>
      <c r="B2980" t="inlineStr">
        <is>
          <t>MMCMLXXIX</t>
        </is>
      </c>
      <c r="C2980">
        <f>ROMAN(2979)</f>
        <v/>
      </c>
      <c r="D2980">
        <f>IF(B2980=C2980, "YES", "WRONG")</f>
        <v/>
      </c>
    </row>
    <row r="2981">
      <c r="A2981" t="n">
        <v>2980</v>
      </c>
      <c r="B2981" t="inlineStr">
        <is>
          <t>MMCMLXXX</t>
        </is>
      </c>
      <c r="C2981">
        <f>ROMAN(2980)</f>
        <v/>
      </c>
      <c r="D2981">
        <f>IF(B2981=C2981, "YES", "WRONG")</f>
        <v/>
      </c>
    </row>
    <row r="2982">
      <c r="A2982" t="n">
        <v>2981</v>
      </c>
      <c r="B2982" t="inlineStr">
        <is>
          <t>MMCMLXXXI</t>
        </is>
      </c>
      <c r="C2982">
        <f>ROMAN(2981)</f>
        <v/>
      </c>
      <c r="D2982">
        <f>IF(B2982=C2982, "YES", "WRONG")</f>
        <v/>
      </c>
    </row>
    <row r="2983">
      <c r="A2983" t="n">
        <v>2982</v>
      </c>
      <c r="B2983" t="inlineStr">
        <is>
          <t>MMCMLXXXII</t>
        </is>
      </c>
      <c r="C2983">
        <f>ROMAN(2982)</f>
        <v/>
      </c>
      <c r="D2983">
        <f>IF(B2983=C2983, "YES", "WRONG")</f>
        <v/>
      </c>
    </row>
    <row r="2984">
      <c r="A2984" t="n">
        <v>2983</v>
      </c>
      <c r="B2984" t="inlineStr">
        <is>
          <t>MMCMLXXXIII</t>
        </is>
      </c>
      <c r="C2984">
        <f>ROMAN(2983)</f>
        <v/>
      </c>
      <c r="D2984">
        <f>IF(B2984=C2984, "YES", "WRONG")</f>
        <v/>
      </c>
    </row>
    <row r="2985">
      <c r="A2985" t="n">
        <v>2984</v>
      </c>
      <c r="B2985" t="inlineStr">
        <is>
          <t>MMCMLXXXIV</t>
        </is>
      </c>
      <c r="C2985">
        <f>ROMAN(2984)</f>
        <v/>
      </c>
      <c r="D2985">
        <f>IF(B2985=C2985, "YES", "WRONG")</f>
        <v/>
      </c>
    </row>
    <row r="2986">
      <c r="A2986" t="n">
        <v>2985</v>
      </c>
      <c r="B2986" t="inlineStr">
        <is>
          <t>MMCMLXXXV</t>
        </is>
      </c>
      <c r="C2986">
        <f>ROMAN(2985)</f>
        <v/>
      </c>
      <c r="D2986">
        <f>IF(B2986=C2986, "YES", "WRONG")</f>
        <v/>
      </c>
    </row>
    <row r="2987">
      <c r="A2987" t="n">
        <v>2986</v>
      </c>
      <c r="B2987" t="inlineStr">
        <is>
          <t>MMCMLXXXVI</t>
        </is>
      </c>
      <c r="C2987">
        <f>ROMAN(2986)</f>
        <v/>
      </c>
      <c r="D2987">
        <f>IF(B2987=C2987, "YES", "WRONG")</f>
        <v/>
      </c>
    </row>
    <row r="2988">
      <c r="A2988" t="n">
        <v>2987</v>
      </c>
      <c r="B2988" t="inlineStr">
        <is>
          <t>MMCMLXXXVII</t>
        </is>
      </c>
      <c r="C2988">
        <f>ROMAN(2987)</f>
        <v/>
      </c>
      <c r="D2988">
        <f>IF(B2988=C2988, "YES", "WRONG")</f>
        <v/>
      </c>
    </row>
    <row r="2989">
      <c r="A2989" t="n">
        <v>2988</v>
      </c>
      <c r="B2989" t="inlineStr">
        <is>
          <t>MMCMLXXXVIII</t>
        </is>
      </c>
      <c r="C2989">
        <f>ROMAN(2988)</f>
        <v/>
      </c>
      <c r="D2989">
        <f>IF(B2989=C2989, "YES", "WRONG")</f>
        <v/>
      </c>
    </row>
    <row r="2990">
      <c r="A2990" t="n">
        <v>2989</v>
      </c>
      <c r="B2990" t="inlineStr">
        <is>
          <t>MMCMLXXXIX</t>
        </is>
      </c>
      <c r="C2990">
        <f>ROMAN(2989)</f>
        <v/>
      </c>
      <c r="D2990">
        <f>IF(B2990=C2990, "YES", "WRONG")</f>
        <v/>
      </c>
    </row>
    <row r="2991">
      <c r="A2991" t="n">
        <v>2990</v>
      </c>
      <c r="B2991" t="inlineStr">
        <is>
          <t>MMCMXC</t>
        </is>
      </c>
      <c r="C2991">
        <f>ROMAN(2990)</f>
        <v/>
      </c>
      <c r="D2991">
        <f>IF(B2991=C2991, "YES", "WRONG")</f>
        <v/>
      </c>
    </row>
    <row r="2992">
      <c r="A2992" t="n">
        <v>2991</v>
      </c>
      <c r="B2992" t="inlineStr">
        <is>
          <t>MMCMXCI</t>
        </is>
      </c>
      <c r="C2992">
        <f>ROMAN(2991)</f>
        <v/>
      </c>
      <c r="D2992">
        <f>IF(B2992=C2992, "YES", "WRONG")</f>
        <v/>
      </c>
    </row>
    <row r="2993">
      <c r="A2993" t="n">
        <v>2992</v>
      </c>
      <c r="B2993" t="inlineStr">
        <is>
          <t>MMCMXCII</t>
        </is>
      </c>
      <c r="C2993">
        <f>ROMAN(2992)</f>
        <v/>
      </c>
      <c r="D2993">
        <f>IF(B2993=C2993, "YES", "WRONG")</f>
        <v/>
      </c>
    </row>
    <row r="2994">
      <c r="A2994" t="n">
        <v>2993</v>
      </c>
      <c r="B2994" t="inlineStr">
        <is>
          <t>MMCMXCIII</t>
        </is>
      </c>
      <c r="C2994">
        <f>ROMAN(2993)</f>
        <v/>
      </c>
      <c r="D2994">
        <f>IF(B2994=C2994, "YES", "WRONG")</f>
        <v/>
      </c>
    </row>
    <row r="2995">
      <c r="A2995" t="n">
        <v>2994</v>
      </c>
      <c r="B2995" t="inlineStr">
        <is>
          <t>MMCMXCIV</t>
        </is>
      </c>
      <c r="C2995">
        <f>ROMAN(2994)</f>
        <v/>
      </c>
      <c r="D2995">
        <f>IF(B2995=C2995, "YES", "WRONG")</f>
        <v/>
      </c>
    </row>
    <row r="2996">
      <c r="A2996" t="n">
        <v>2995</v>
      </c>
      <c r="B2996" t="inlineStr">
        <is>
          <t>MMCMXCV</t>
        </is>
      </c>
      <c r="C2996">
        <f>ROMAN(2995)</f>
        <v/>
      </c>
      <c r="D2996">
        <f>IF(B2996=C2996, "YES", "WRONG")</f>
        <v/>
      </c>
    </row>
    <row r="2997">
      <c r="A2997" t="n">
        <v>2996</v>
      </c>
      <c r="B2997" t="inlineStr">
        <is>
          <t>MMCMXCVI</t>
        </is>
      </c>
      <c r="C2997">
        <f>ROMAN(2996)</f>
        <v/>
      </c>
      <c r="D2997">
        <f>IF(B2997=C2997, "YES", "WRONG")</f>
        <v/>
      </c>
    </row>
    <row r="2998">
      <c r="A2998" t="n">
        <v>2997</v>
      </c>
      <c r="B2998" t="inlineStr">
        <is>
          <t>MMCMXCVII</t>
        </is>
      </c>
      <c r="C2998">
        <f>ROMAN(2997)</f>
        <v/>
      </c>
      <c r="D2998">
        <f>IF(B2998=C2998, "YES", "WRONG")</f>
        <v/>
      </c>
    </row>
    <row r="2999">
      <c r="A2999" t="n">
        <v>2998</v>
      </c>
      <c r="B2999" t="inlineStr">
        <is>
          <t>MMCMXCVIII</t>
        </is>
      </c>
      <c r="C2999">
        <f>ROMAN(2998)</f>
        <v/>
      </c>
      <c r="D2999">
        <f>IF(B2999=C2999, "YES", "WRONG")</f>
        <v/>
      </c>
    </row>
    <row r="3000">
      <c r="A3000" t="n">
        <v>2999</v>
      </c>
      <c r="B3000" t="inlineStr">
        <is>
          <t>MMCMXCIX</t>
        </is>
      </c>
      <c r="C3000">
        <f>ROMAN(2999)</f>
        <v/>
      </c>
      <c r="D3000">
        <f>IF(B3000=C3000, "YES", "WRONG")</f>
        <v/>
      </c>
    </row>
    <row r="3001">
      <c r="A3001" t="n">
        <v>3000</v>
      </c>
      <c r="B3001" t="inlineStr">
        <is>
          <t>MMM</t>
        </is>
      </c>
      <c r="C3001">
        <f>ROMAN(3000)</f>
        <v/>
      </c>
      <c r="D3001">
        <f>IF(B3001=C3001, "YES", "WRONG")</f>
        <v/>
      </c>
    </row>
    <row r="3002">
      <c r="A3002" t="n">
        <v>3001</v>
      </c>
      <c r="B3002" t="inlineStr">
        <is>
          <t>MMMI</t>
        </is>
      </c>
      <c r="C3002">
        <f>ROMAN(3001)</f>
        <v/>
      </c>
      <c r="D3002">
        <f>IF(B3002=C3002, "YES", "WRONG")</f>
        <v/>
      </c>
    </row>
    <row r="3003">
      <c r="A3003" t="n">
        <v>3002</v>
      </c>
      <c r="B3003" t="inlineStr">
        <is>
          <t>MMMII</t>
        </is>
      </c>
      <c r="C3003">
        <f>ROMAN(3002)</f>
        <v/>
      </c>
      <c r="D3003">
        <f>IF(B3003=C3003, "YES", "WRONG")</f>
        <v/>
      </c>
    </row>
    <row r="3004">
      <c r="A3004" t="n">
        <v>3003</v>
      </c>
      <c r="B3004" t="inlineStr">
        <is>
          <t>MMMIII</t>
        </is>
      </c>
      <c r="C3004">
        <f>ROMAN(3003)</f>
        <v/>
      </c>
      <c r="D3004">
        <f>IF(B3004=C3004, "YES", "WRONG")</f>
        <v/>
      </c>
    </row>
    <row r="3005">
      <c r="A3005" t="n">
        <v>3004</v>
      </c>
      <c r="B3005" t="inlineStr">
        <is>
          <t>MMMIV</t>
        </is>
      </c>
      <c r="C3005">
        <f>ROMAN(3004)</f>
        <v/>
      </c>
      <c r="D3005">
        <f>IF(B3005=C3005, "YES", "WRONG")</f>
        <v/>
      </c>
    </row>
    <row r="3006">
      <c r="A3006" t="n">
        <v>3005</v>
      </c>
      <c r="B3006" t="inlineStr">
        <is>
          <t>MMMV</t>
        </is>
      </c>
      <c r="C3006">
        <f>ROMAN(3005)</f>
        <v/>
      </c>
      <c r="D3006">
        <f>IF(B3006=C3006, "YES", "WRONG")</f>
        <v/>
      </c>
    </row>
    <row r="3007">
      <c r="A3007" t="n">
        <v>3006</v>
      </c>
      <c r="B3007" t="inlineStr">
        <is>
          <t>MMMVI</t>
        </is>
      </c>
      <c r="C3007">
        <f>ROMAN(3006)</f>
        <v/>
      </c>
      <c r="D3007">
        <f>IF(B3007=C3007, "YES", "WRONG")</f>
        <v/>
      </c>
    </row>
    <row r="3008">
      <c r="A3008" t="n">
        <v>3007</v>
      </c>
      <c r="B3008" t="inlineStr">
        <is>
          <t>MMMVII</t>
        </is>
      </c>
      <c r="C3008">
        <f>ROMAN(3007)</f>
        <v/>
      </c>
      <c r="D3008">
        <f>IF(B3008=C3008, "YES", "WRONG")</f>
        <v/>
      </c>
    </row>
    <row r="3009">
      <c r="A3009" t="n">
        <v>3008</v>
      </c>
      <c r="B3009" t="inlineStr">
        <is>
          <t>MMMVIII</t>
        </is>
      </c>
      <c r="C3009">
        <f>ROMAN(3008)</f>
        <v/>
      </c>
      <c r="D3009">
        <f>IF(B3009=C3009, "YES", "WRONG")</f>
        <v/>
      </c>
    </row>
    <row r="3010">
      <c r="A3010" t="n">
        <v>3009</v>
      </c>
      <c r="B3010" t="inlineStr">
        <is>
          <t>MMMIX</t>
        </is>
      </c>
      <c r="C3010">
        <f>ROMAN(3009)</f>
        <v/>
      </c>
      <c r="D3010">
        <f>IF(B3010=C3010, "YES", "WRONG")</f>
        <v/>
      </c>
    </row>
    <row r="3011">
      <c r="A3011" t="n">
        <v>3010</v>
      </c>
      <c r="B3011" t="inlineStr">
        <is>
          <t>MMMX</t>
        </is>
      </c>
      <c r="C3011">
        <f>ROMAN(3010)</f>
        <v/>
      </c>
      <c r="D3011">
        <f>IF(B3011=C3011, "YES", "WRONG")</f>
        <v/>
      </c>
    </row>
    <row r="3012">
      <c r="A3012" t="n">
        <v>3011</v>
      </c>
      <c r="B3012" t="inlineStr">
        <is>
          <t>MMMXI</t>
        </is>
      </c>
      <c r="C3012">
        <f>ROMAN(3011)</f>
        <v/>
      </c>
      <c r="D3012">
        <f>IF(B3012=C3012, "YES", "WRONG")</f>
        <v/>
      </c>
    </row>
    <row r="3013">
      <c r="A3013" t="n">
        <v>3012</v>
      </c>
      <c r="B3013" t="inlineStr">
        <is>
          <t>MMMXII</t>
        </is>
      </c>
      <c r="C3013">
        <f>ROMAN(3012)</f>
        <v/>
      </c>
      <c r="D3013">
        <f>IF(B3013=C3013, "YES", "WRONG")</f>
        <v/>
      </c>
    </row>
    <row r="3014">
      <c r="A3014" t="n">
        <v>3013</v>
      </c>
      <c r="B3014" t="inlineStr">
        <is>
          <t>MMMXIII</t>
        </is>
      </c>
      <c r="C3014">
        <f>ROMAN(3013)</f>
        <v/>
      </c>
      <c r="D3014">
        <f>IF(B3014=C3014, "YES", "WRONG")</f>
        <v/>
      </c>
    </row>
    <row r="3015">
      <c r="A3015" t="n">
        <v>3014</v>
      </c>
      <c r="B3015" t="inlineStr">
        <is>
          <t>MMMXIV</t>
        </is>
      </c>
      <c r="C3015">
        <f>ROMAN(3014)</f>
        <v/>
      </c>
      <c r="D3015">
        <f>IF(B3015=C3015, "YES", "WRONG")</f>
        <v/>
      </c>
    </row>
    <row r="3016">
      <c r="A3016" t="n">
        <v>3015</v>
      </c>
      <c r="B3016" t="inlineStr">
        <is>
          <t>MMMXV</t>
        </is>
      </c>
      <c r="C3016">
        <f>ROMAN(3015)</f>
        <v/>
      </c>
      <c r="D3016">
        <f>IF(B3016=C3016, "YES", "WRONG")</f>
        <v/>
      </c>
    </row>
    <row r="3017">
      <c r="A3017" t="n">
        <v>3016</v>
      </c>
      <c r="B3017" t="inlineStr">
        <is>
          <t>MMMXVI</t>
        </is>
      </c>
      <c r="C3017">
        <f>ROMAN(3016)</f>
        <v/>
      </c>
      <c r="D3017">
        <f>IF(B3017=C3017, "YES", "WRONG")</f>
        <v/>
      </c>
    </row>
    <row r="3018">
      <c r="A3018" t="n">
        <v>3017</v>
      </c>
      <c r="B3018" t="inlineStr">
        <is>
          <t>MMMXVII</t>
        </is>
      </c>
      <c r="C3018">
        <f>ROMAN(3017)</f>
        <v/>
      </c>
      <c r="D3018">
        <f>IF(B3018=C3018, "YES", "WRONG")</f>
        <v/>
      </c>
    </row>
    <row r="3019">
      <c r="A3019" t="n">
        <v>3018</v>
      </c>
      <c r="B3019" t="inlineStr">
        <is>
          <t>MMMXVIII</t>
        </is>
      </c>
      <c r="C3019">
        <f>ROMAN(3018)</f>
        <v/>
      </c>
      <c r="D3019">
        <f>IF(B3019=C3019, "YES", "WRONG")</f>
        <v/>
      </c>
    </row>
    <row r="3020">
      <c r="A3020" t="n">
        <v>3019</v>
      </c>
      <c r="B3020" t="inlineStr">
        <is>
          <t>MMMXIX</t>
        </is>
      </c>
      <c r="C3020">
        <f>ROMAN(3019)</f>
        <v/>
      </c>
      <c r="D3020">
        <f>IF(B3020=C3020, "YES", "WRONG")</f>
        <v/>
      </c>
    </row>
    <row r="3021">
      <c r="A3021" t="n">
        <v>3020</v>
      </c>
      <c r="B3021" t="inlineStr">
        <is>
          <t>MMMXX</t>
        </is>
      </c>
      <c r="C3021">
        <f>ROMAN(3020)</f>
        <v/>
      </c>
      <c r="D3021">
        <f>IF(B3021=C3021, "YES", "WRONG")</f>
        <v/>
      </c>
    </row>
    <row r="3022">
      <c r="A3022" t="n">
        <v>3021</v>
      </c>
      <c r="B3022" t="inlineStr">
        <is>
          <t>MMMXXI</t>
        </is>
      </c>
      <c r="C3022">
        <f>ROMAN(3021)</f>
        <v/>
      </c>
      <c r="D3022">
        <f>IF(B3022=C3022, "YES", "WRONG")</f>
        <v/>
      </c>
    </row>
    <row r="3023">
      <c r="A3023" t="n">
        <v>3022</v>
      </c>
      <c r="B3023" t="inlineStr">
        <is>
          <t>MMMXXII</t>
        </is>
      </c>
      <c r="C3023">
        <f>ROMAN(3022)</f>
        <v/>
      </c>
      <c r="D3023">
        <f>IF(B3023=C3023, "YES", "WRONG")</f>
        <v/>
      </c>
    </row>
    <row r="3024">
      <c r="A3024" t="n">
        <v>3023</v>
      </c>
      <c r="B3024" t="inlineStr">
        <is>
          <t>MMMXXIII</t>
        </is>
      </c>
      <c r="C3024">
        <f>ROMAN(3023)</f>
        <v/>
      </c>
      <c r="D3024">
        <f>IF(B3024=C3024, "YES", "WRONG")</f>
        <v/>
      </c>
    </row>
    <row r="3025">
      <c r="A3025" t="n">
        <v>3024</v>
      </c>
      <c r="B3025" t="inlineStr">
        <is>
          <t>MMMXXIV</t>
        </is>
      </c>
      <c r="C3025">
        <f>ROMAN(3024)</f>
        <v/>
      </c>
      <c r="D3025">
        <f>IF(B3025=C3025, "YES", "WRONG")</f>
        <v/>
      </c>
    </row>
    <row r="3026">
      <c r="A3026" t="n">
        <v>3025</v>
      </c>
      <c r="B3026" t="inlineStr">
        <is>
          <t>MMMXXV</t>
        </is>
      </c>
      <c r="C3026">
        <f>ROMAN(3025)</f>
        <v/>
      </c>
      <c r="D3026">
        <f>IF(B3026=C3026, "YES", "WRONG")</f>
        <v/>
      </c>
    </row>
    <row r="3027">
      <c r="A3027" t="n">
        <v>3026</v>
      </c>
      <c r="B3027" t="inlineStr">
        <is>
          <t>MMMXXVI</t>
        </is>
      </c>
      <c r="C3027">
        <f>ROMAN(3026)</f>
        <v/>
      </c>
      <c r="D3027">
        <f>IF(B3027=C3027, "YES", "WRONG")</f>
        <v/>
      </c>
    </row>
    <row r="3028">
      <c r="A3028" t="n">
        <v>3027</v>
      </c>
      <c r="B3028" t="inlineStr">
        <is>
          <t>MMMXXVII</t>
        </is>
      </c>
      <c r="C3028">
        <f>ROMAN(3027)</f>
        <v/>
      </c>
      <c r="D3028">
        <f>IF(B3028=C3028, "YES", "WRONG")</f>
        <v/>
      </c>
    </row>
    <row r="3029">
      <c r="A3029" t="n">
        <v>3028</v>
      </c>
      <c r="B3029" t="inlineStr">
        <is>
          <t>MMMXXVIII</t>
        </is>
      </c>
      <c r="C3029">
        <f>ROMAN(3028)</f>
        <v/>
      </c>
      <c r="D3029">
        <f>IF(B3029=C3029, "YES", "WRONG")</f>
        <v/>
      </c>
    </row>
    <row r="3030">
      <c r="A3030" t="n">
        <v>3029</v>
      </c>
      <c r="B3030" t="inlineStr">
        <is>
          <t>MMMXXIX</t>
        </is>
      </c>
      <c r="C3030">
        <f>ROMAN(3029)</f>
        <v/>
      </c>
      <c r="D3030">
        <f>IF(B3030=C3030, "YES", "WRONG")</f>
        <v/>
      </c>
    </row>
    <row r="3031">
      <c r="A3031" t="n">
        <v>3030</v>
      </c>
      <c r="B3031" t="inlineStr">
        <is>
          <t>MMMXXX</t>
        </is>
      </c>
      <c r="C3031">
        <f>ROMAN(3030)</f>
        <v/>
      </c>
      <c r="D3031">
        <f>IF(B3031=C3031, "YES", "WRONG")</f>
        <v/>
      </c>
    </row>
    <row r="3032">
      <c r="A3032" t="n">
        <v>3031</v>
      </c>
      <c r="B3032" t="inlineStr">
        <is>
          <t>MMMXXXI</t>
        </is>
      </c>
      <c r="C3032">
        <f>ROMAN(3031)</f>
        <v/>
      </c>
      <c r="D3032">
        <f>IF(B3032=C3032, "YES", "WRONG")</f>
        <v/>
      </c>
    </row>
    <row r="3033">
      <c r="A3033" t="n">
        <v>3032</v>
      </c>
      <c r="B3033" t="inlineStr">
        <is>
          <t>MMMXXXII</t>
        </is>
      </c>
      <c r="C3033">
        <f>ROMAN(3032)</f>
        <v/>
      </c>
      <c r="D3033">
        <f>IF(B3033=C3033, "YES", "WRONG")</f>
        <v/>
      </c>
    </row>
    <row r="3034">
      <c r="A3034" t="n">
        <v>3033</v>
      </c>
      <c r="B3034" t="inlineStr">
        <is>
          <t>MMMXXXIII</t>
        </is>
      </c>
      <c r="C3034">
        <f>ROMAN(3033)</f>
        <v/>
      </c>
      <c r="D3034">
        <f>IF(B3034=C3034, "YES", "WRONG")</f>
        <v/>
      </c>
    </row>
    <row r="3035">
      <c r="A3035" t="n">
        <v>3034</v>
      </c>
      <c r="B3035" t="inlineStr">
        <is>
          <t>MMMXXXIV</t>
        </is>
      </c>
      <c r="C3035">
        <f>ROMAN(3034)</f>
        <v/>
      </c>
      <c r="D3035">
        <f>IF(B3035=C3035, "YES", "WRONG")</f>
        <v/>
      </c>
    </row>
    <row r="3036">
      <c r="A3036" t="n">
        <v>3035</v>
      </c>
      <c r="B3036" t="inlineStr">
        <is>
          <t>MMMXXXV</t>
        </is>
      </c>
      <c r="C3036">
        <f>ROMAN(3035)</f>
        <v/>
      </c>
      <c r="D3036">
        <f>IF(B3036=C3036, "YES", "WRONG")</f>
        <v/>
      </c>
    </row>
    <row r="3037">
      <c r="A3037" t="n">
        <v>3036</v>
      </c>
      <c r="B3037" t="inlineStr">
        <is>
          <t>MMMXXXVI</t>
        </is>
      </c>
      <c r="C3037">
        <f>ROMAN(3036)</f>
        <v/>
      </c>
      <c r="D3037">
        <f>IF(B3037=C3037, "YES", "WRONG")</f>
        <v/>
      </c>
    </row>
    <row r="3038">
      <c r="A3038" t="n">
        <v>3037</v>
      </c>
      <c r="B3038" t="inlineStr">
        <is>
          <t>MMMXXXVII</t>
        </is>
      </c>
      <c r="C3038">
        <f>ROMAN(3037)</f>
        <v/>
      </c>
      <c r="D3038">
        <f>IF(B3038=C3038, "YES", "WRONG")</f>
        <v/>
      </c>
    </row>
    <row r="3039">
      <c r="A3039" t="n">
        <v>3038</v>
      </c>
      <c r="B3039" t="inlineStr">
        <is>
          <t>MMMXXXVIII</t>
        </is>
      </c>
      <c r="C3039">
        <f>ROMAN(3038)</f>
        <v/>
      </c>
      <c r="D3039">
        <f>IF(B3039=C3039, "YES", "WRONG")</f>
        <v/>
      </c>
    </row>
    <row r="3040">
      <c r="A3040" t="n">
        <v>3039</v>
      </c>
      <c r="B3040" t="inlineStr">
        <is>
          <t>MMMXXXIX</t>
        </is>
      </c>
      <c r="C3040">
        <f>ROMAN(3039)</f>
        <v/>
      </c>
      <c r="D3040">
        <f>IF(B3040=C3040, "YES", "WRONG")</f>
        <v/>
      </c>
    </row>
    <row r="3041">
      <c r="A3041" t="n">
        <v>3040</v>
      </c>
      <c r="B3041" t="inlineStr">
        <is>
          <t>MMMXL</t>
        </is>
      </c>
      <c r="C3041">
        <f>ROMAN(3040)</f>
        <v/>
      </c>
      <c r="D3041">
        <f>IF(B3041=C3041, "YES", "WRONG")</f>
        <v/>
      </c>
    </row>
    <row r="3042">
      <c r="A3042" t="n">
        <v>3041</v>
      </c>
      <c r="B3042" t="inlineStr">
        <is>
          <t>MMMXLI</t>
        </is>
      </c>
      <c r="C3042">
        <f>ROMAN(3041)</f>
        <v/>
      </c>
      <c r="D3042">
        <f>IF(B3042=C3042, "YES", "WRONG")</f>
        <v/>
      </c>
    </row>
    <row r="3043">
      <c r="A3043" t="n">
        <v>3042</v>
      </c>
      <c r="B3043" t="inlineStr">
        <is>
          <t>MMMXLII</t>
        </is>
      </c>
      <c r="C3043">
        <f>ROMAN(3042)</f>
        <v/>
      </c>
      <c r="D3043">
        <f>IF(B3043=C3043, "YES", "WRONG")</f>
        <v/>
      </c>
    </row>
    <row r="3044">
      <c r="A3044" t="n">
        <v>3043</v>
      </c>
      <c r="B3044" t="inlineStr">
        <is>
          <t>MMMXLIII</t>
        </is>
      </c>
      <c r="C3044">
        <f>ROMAN(3043)</f>
        <v/>
      </c>
      <c r="D3044">
        <f>IF(B3044=C3044, "YES", "WRONG")</f>
        <v/>
      </c>
    </row>
    <row r="3045">
      <c r="A3045" t="n">
        <v>3044</v>
      </c>
      <c r="B3045" t="inlineStr">
        <is>
          <t>MMMXLIV</t>
        </is>
      </c>
      <c r="C3045">
        <f>ROMAN(3044)</f>
        <v/>
      </c>
      <c r="D3045">
        <f>IF(B3045=C3045, "YES", "WRONG")</f>
        <v/>
      </c>
    </row>
    <row r="3046">
      <c r="A3046" t="n">
        <v>3045</v>
      </c>
      <c r="B3046" t="inlineStr">
        <is>
          <t>MMMXLV</t>
        </is>
      </c>
      <c r="C3046">
        <f>ROMAN(3045)</f>
        <v/>
      </c>
      <c r="D3046">
        <f>IF(B3046=C3046, "YES", "WRONG")</f>
        <v/>
      </c>
    </row>
    <row r="3047">
      <c r="A3047" t="n">
        <v>3046</v>
      </c>
      <c r="B3047" t="inlineStr">
        <is>
          <t>MMMXLVI</t>
        </is>
      </c>
      <c r="C3047">
        <f>ROMAN(3046)</f>
        <v/>
      </c>
      <c r="D3047">
        <f>IF(B3047=C3047, "YES", "WRONG")</f>
        <v/>
      </c>
    </row>
    <row r="3048">
      <c r="A3048" t="n">
        <v>3047</v>
      </c>
      <c r="B3048" t="inlineStr">
        <is>
          <t>MMMXLVII</t>
        </is>
      </c>
      <c r="C3048">
        <f>ROMAN(3047)</f>
        <v/>
      </c>
      <c r="D3048">
        <f>IF(B3048=C3048, "YES", "WRONG")</f>
        <v/>
      </c>
    </row>
    <row r="3049">
      <c r="A3049" t="n">
        <v>3048</v>
      </c>
      <c r="B3049" t="inlineStr">
        <is>
          <t>MMMXLVIII</t>
        </is>
      </c>
      <c r="C3049">
        <f>ROMAN(3048)</f>
        <v/>
      </c>
      <c r="D3049">
        <f>IF(B3049=C3049, "YES", "WRONG")</f>
        <v/>
      </c>
    </row>
    <row r="3050">
      <c r="A3050" t="n">
        <v>3049</v>
      </c>
      <c r="B3050" t="inlineStr">
        <is>
          <t>MMMXLIX</t>
        </is>
      </c>
      <c r="C3050">
        <f>ROMAN(3049)</f>
        <v/>
      </c>
      <c r="D3050">
        <f>IF(B3050=C3050, "YES", "WRONG")</f>
        <v/>
      </c>
    </row>
    <row r="3051">
      <c r="A3051" t="n">
        <v>3050</v>
      </c>
      <c r="B3051" t="inlineStr">
        <is>
          <t>MMML</t>
        </is>
      </c>
      <c r="C3051">
        <f>ROMAN(3050)</f>
        <v/>
      </c>
      <c r="D3051">
        <f>IF(B3051=C3051, "YES", "WRONG")</f>
        <v/>
      </c>
    </row>
    <row r="3052">
      <c r="A3052" t="n">
        <v>3051</v>
      </c>
      <c r="B3052" t="inlineStr">
        <is>
          <t>MMMLI</t>
        </is>
      </c>
      <c r="C3052">
        <f>ROMAN(3051)</f>
        <v/>
      </c>
      <c r="D3052">
        <f>IF(B3052=C3052, "YES", "WRONG")</f>
        <v/>
      </c>
    </row>
    <row r="3053">
      <c r="A3053" t="n">
        <v>3052</v>
      </c>
      <c r="B3053" t="inlineStr">
        <is>
          <t>MMMLII</t>
        </is>
      </c>
      <c r="C3053">
        <f>ROMAN(3052)</f>
        <v/>
      </c>
      <c r="D3053">
        <f>IF(B3053=C3053, "YES", "WRONG")</f>
        <v/>
      </c>
    </row>
    <row r="3054">
      <c r="A3054" t="n">
        <v>3053</v>
      </c>
      <c r="B3054" t="inlineStr">
        <is>
          <t>MMMLIII</t>
        </is>
      </c>
      <c r="C3054">
        <f>ROMAN(3053)</f>
        <v/>
      </c>
      <c r="D3054">
        <f>IF(B3054=C3054, "YES", "WRONG")</f>
        <v/>
      </c>
    </row>
    <row r="3055">
      <c r="A3055" t="n">
        <v>3054</v>
      </c>
      <c r="B3055" t="inlineStr">
        <is>
          <t>MMMLIV</t>
        </is>
      </c>
      <c r="C3055">
        <f>ROMAN(3054)</f>
        <v/>
      </c>
      <c r="D3055">
        <f>IF(B3055=C3055, "YES", "WRONG")</f>
        <v/>
      </c>
    </row>
    <row r="3056">
      <c r="A3056" t="n">
        <v>3055</v>
      </c>
      <c r="B3056" t="inlineStr">
        <is>
          <t>MMMLV</t>
        </is>
      </c>
      <c r="C3056">
        <f>ROMAN(3055)</f>
        <v/>
      </c>
      <c r="D3056">
        <f>IF(B3056=C3056, "YES", "WRONG")</f>
        <v/>
      </c>
    </row>
    <row r="3057">
      <c r="A3057" t="n">
        <v>3056</v>
      </c>
      <c r="B3057" t="inlineStr">
        <is>
          <t>MMMLVI</t>
        </is>
      </c>
      <c r="C3057">
        <f>ROMAN(3056)</f>
        <v/>
      </c>
      <c r="D3057">
        <f>IF(B3057=C3057, "YES", "WRONG")</f>
        <v/>
      </c>
    </row>
    <row r="3058">
      <c r="A3058" t="n">
        <v>3057</v>
      </c>
      <c r="B3058" t="inlineStr">
        <is>
          <t>MMMLVII</t>
        </is>
      </c>
      <c r="C3058">
        <f>ROMAN(3057)</f>
        <v/>
      </c>
      <c r="D3058">
        <f>IF(B3058=C3058, "YES", "WRONG")</f>
        <v/>
      </c>
    </row>
    <row r="3059">
      <c r="A3059" t="n">
        <v>3058</v>
      </c>
      <c r="B3059" t="inlineStr">
        <is>
          <t>MMMLVIII</t>
        </is>
      </c>
      <c r="C3059">
        <f>ROMAN(3058)</f>
        <v/>
      </c>
      <c r="D3059">
        <f>IF(B3059=C3059, "YES", "WRONG")</f>
        <v/>
      </c>
    </row>
    <row r="3060">
      <c r="A3060" t="n">
        <v>3059</v>
      </c>
      <c r="B3060" t="inlineStr">
        <is>
          <t>MMMLIX</t>
        </is>
      </c>
      <c r="C3060">
        <f>ROMAN(3059)</f>
        <v/>
      </c>
      <c r="D3060">
        <f>IF(B3060=C3060, "YES", "WRONG")</f>
        <v/>
      </c>
    </row>
    <row r="3061">
      <c r="A3061" t="n">
        <v>3060</v>
      </c>
      <c r="B3061" t="inlineStr">
        <is>
          <t>MMMLX</t>
        </is>
      </c>
      <c r="C3061">
        <f>ROMAN(3060)</f>
        <v/>
      </c>
      <c r="D3061">
        <f>IF(B3061=C3061, "YES", "WRONG")</f>
        <v/>
      </c>
    </row>
    <row r="3062">
      <c r="A3062" t="n">
        <v>3061</v>
      </c>
      <c r="B3062" t="inlineStr">
        <is>
          <t>MMMLXI</t>
        </is>
      </c>
      <c r="C3062">
        <f>ROMAN(3061)</f>
        <v/>
      </c>
      <c r="D3062">
        <f>IF(B3062=C3062, "YES", "WRONG")</f>
        <v/>
      </c>
    </row>
    <row r="3063">
      <c r="A3063" t="n">
        <v>3062</v>
      </c>
      <c r="B3063" t="inlineStr">
        <is>
          <t>MMMLXII</t>
        </is>
      </c>
      <c r="C3063">
        <f>ROMAN(3062)</f>
        <v/>
      </c>
      <c r="D3063">
        <f>IF(B3063=C3063, "YES", "WRONG")</f>
        <v/>
      </c>
    </row>
    <row r="3064">
      <c r="A3064" t="n">
        <v>3063</v>
      </c>
      <c r="B3064" t="inlineStr">
        <is>
          <t>MMMLXIII</t>
        </is>
      </c>
      <c r="C3064">
        <f>ROMAN(3063)</f>
        <v/>
      </c>
      <c r="D3064">
        <f>IF(B3064=C3064, "YES", "WRONG")</f>
        <v/>
      </c>
    </row>
    <row r="3065">
      <c r="A3065" t="n">
        <v>3064</v>
      </c>
      <c r="B3065" t="inlineStr">
        <is>
          <t>MMMLXIV</t>
        </is>
      </c>
      <c r="C3065">
        <f>ROMAN(3064)</f>
        <v/>
      </c>
      <c r="D3065">
        <f>IF(B3065=C3065, "YES", "WRONG")</f>
        <v/>
      </c>
    </row>
    <row r="3066">
      <c r="A3066" t="n">
        <v>3065</v>
      </c>
      <c r="B3066" t="inlineStr">
        <is>
          <t>MMMLXV</t>
        </is>
      </c>
      <c r="C3066">
        <f>ROMAN(3065)</f>
        <v/>
      </c>
      <c r="D3066">
        <f>IF(B3066=C3066, "YES", "WRONG")</f>
        <v/>
      </c>
    </row>
    <row r="3067">
      <c r="A3067" t="n">
        <v>3066</v>
      </c>
      <c r="B3067" t="inlineStr">
        <is>
          <t>MMMLXVI</t>
        </is>
      </c>
      <c r="C3067">
        <f>ROMAN(3066)</f>
        <v/>
      </c>
      <c r="D3067">
        <f>IF(B3067=C3067, "YES", "WRONG")</f>
        <v/>
      </c>
    </row>
    <row r="3068">
      <c r="A3068" t="n">
        <v>3067</v>
      </c>
      <c r="B3068" t="inlineStr">
        <is>
          <t>MMMLXVII</t>
        </is>
      </c>
      <c r="C3068">
        <f>ROMAN(3067)</f>
        <v/>
      </c>
      <c r="D3068">
        <f>IF(B3068=C3068, "YES", "WRONG")</f>
        <v/>
      </c>
    </row>
    <row r="3069">
      <c r="A3069" t="n">
        <v>3068</v>
      </c>
      <c r="B3069" t="inlineStr">
        <is>
          <t>MMMLXVIII</t>
        </is>
      </c>
      <c r="C3069">
        <f>ROMAN(3068)</f>
        <v/>
      </c>
      <c r="D3069">
        <f>IF(B3069=C3069, "YES", "WRONG")</f>
        <v/>
      </c>
    </row>
    <row r="3070">
      <c r="A3070" t="n">
        <v>3069</v>
      </c>
      <c r="B3070" t="inlineStr">
        <is>
          <t>MMMLXIX</t>
        </is>
      </c>
      <c r="C3070">
        <f>ROMAN(3069)</f>
        <v/>
      </c>
      <c r="D3070">
        <f>IF(B3070=C3070, "YES", "WRONG")</f>
        <v/>
      </c>
    </row>
    <row r="3071">
      <c r="A3071" t="n">
        <v>3070</v>
      </c>
      <c r="B3071" t="inlineStr">
        <is>
          <t>MMMLXX</t>
        </is>
      </c>
      <c r="C3071">
        <f>ROMAN(3070)</f>
        <v/>
      </c>
      <c r="D3071">
        <f>IF(B3071=C3071, "YES", "WRONG")</f>
        <v/>
      </c>
    </row>
    <row r="3072">
      <c r="A3072" t="n">
        <v>3071</v>
      </c>
      <c r="B3072" t="inlineStr">
        <is>
          <t>MMMLXXI</t>
        </is>
      </c>
      <c r="C3072">
        <f>ROMAN(3071)</f>
        <v/>
      </c>
      <c r="D3072">
        <f>IF(B3072=C3072, "YES", "WRONG")</f>
        <v/>
      </c>
    </row>
    <row r="3073">
      <c r="A3073" t="n">
        <v>3072</v>
      </c>
      <c r="B3073" t="inlineStr">
        <is>
          <t>MMMLXXII</t>
        </is>
      </c>
      <c r="C3073">
        <f>ROMAN(3072)</f>
        <v/>
      </c>
      <c r="D3073">
        <f>IF(B3073=C3073, "YES", "WRONG")</f>
        <v/>
      </c>
    </row>
    <row r="3074">
      <c r="A3074" t="n">
        <v>3073</v>
      </c>
      <c r="B3074" t="inlineStr">
        <is>
          <t>MMMLXXIII</t>
        </is>
      </c>
      <c r="C3074">
        <f>ROMAN(3073)</f>
        <v/>
      </c>
      <c r="D3074">
        <f>IF(B3074=C3074, "YES", "WRONG")</f>
        <v/>
      </c>
    </row>
    <row r="3075">
      <c r="A3075" t="n">
        <v>3074</v>
      </c>
      <c r="B3075" t="inlineStr">
        <is>
          <t>MMMLXXIV</t>
        </is>
      </c>
      <c r="C3075">
        <f>ROMAN(3074)</f>
        <v/>
      </c>
      <c r="D3075">
        <f>IF(B3075=C3075, "YES", "WRONG")</f>
        <v/>
      </c>
    </row>
    <row r="3076">
      <c r="A3076" t="n">
        <v>3075</v>
      </c>
      <c r="B3076" t="inlineStr">
        <is>
          <t>MMMLXXV</t>
        </is>
      </c>
      <c r="C3076">
        <f>ROMAN(3075)</f>
        <v/>
      </c>
      <c r="D3076">
        <f>IF(B3076=C3076, "YES", "WRONG")</f>
        <v/>
      </c>
    </row>
    <row r="3077">
      <c r="A3077" t="n">
        <v>3076</v>
      </c>
      <c r="B3077" t="inlineStr">
        <is>
          <t>MMMLXXVI</t>
        </is>
      </c>
      <c r="C3077">
        <f>ROMAN(3076)</f>
        <v/>
      </c>
      <c r="D3077">
        <f>IF(B3077=C3077, "YES", "WRONG")</f>
        <v/>
      </c>
    </row>
    <row r="3078">
      <c r="A3078" t="n">
        <v>3077</v>
      </c>
      <c r="B3078" t="inlineStr">
        <is>
          <t>MMMLXXVII</t>
        </is>
      </c>
      <c r="C3078">
        <f>ROMAN(3077)</f>
        <v/>
      </c>
      <c r="D3078">
        <f>IF(B3078=C3078, "YES", "WRONG")</f>
        <v/>
      </c>
    </row>
    <row r="3079">
      <c r="A3079" t="n">
        <v>3078</v>
      </c>
      <c r="B3079" t="inlineStr">
        <is>
          <t>MMMLXXVIII</t>
        </is>
      </c>
      <c r="C3079">
        <f>ROMAN(3078)</f>
        <v/>
      </c>
      <c r="D3079">
        <f>IF(B3079=C3079, "YES", "WRONG")</f>
        <v/>
      </c>
    </row>
    <row r="3080">
      <c r="A3080" t="n">
        <v>3079</v>
      </c>
      <c r="B3080" t="inlineStr">
        <is>
          <t>MMMLXXIX</t>
        </is>
      </c>
      <c r="C3080">
        <f>ROMAN(3079)</f>
        <v/>
      </c>
      <c r="D3080">
        <f>IF(B3080=C3080, "YES", "WRONG")</f>
        <v/>
      </c>
    </row>
    <row r="3081">
      <c r="A3081" t="n">
        <v>3080</v>
      </c>
      <c r="B3081" t="inlineStr">
        <is>
          <t>MMMLXXX</t>
        </is>
      </c>
      <c r="C3081">
        <f>ROMAN(3080)</f>
        <v/>
      </c>
      <c r="D3081">
        <f>IF(B3081=C3081, "YES", "WRONG")</f>
        <v/>
      </c>
    </row>
    <row r="3082">
      <c r="A3082" t="n">
        <v>3081</v>
      </c>
      <c r="B3082" t="inlineStr">
        <is>
          <t>MMMLXXXI</t>
        </is>
      </c>
      <c r="C3082">
        <f>ROMAN(3081)</f>
        <v/>
      </c>
      <c r="D3082">
        <f>IF(B3082=C3082, "YES", "WRONG")</f>
        <v/>
      </c>
    </row>
    <row r="3083">
      <c r="A3083" t="n">
        <v>3082</v>
      </c>
      <c r="B3083" t="inlineStr">
        <is>
          <t>MMMLXXXII</t>
        </is>
      </c>
      <c r="C3083">
        <f>ROMAN(3082)</f>
        <v/>
      </c>
      <c r="D3083">
        <f>IF(B3083=C3083, "YES", "WRONG")</f>
        <v/>
      </c>
    </row>
    <row r="3084">
      <c r="A3084" t="n">
        <v>3083</v>
      </c>
      <c r="B3084" t="inlineStr">
        <is>
          <t>MMMLXXXIII</t>
        </is>
      </c>
      <c r="C3084">
        <f>ROMAN(3083)</f>
        <v/>
      </c>
      <c r="D3084">
        <f>IF(B3084=C3084, "YES", "WRONG")</f>
        <v/>
      </c>
    </row>
    <row r="3085">
      <c r="A3085" t="n">
        <v>3084</v>
      </c>
      <c r="B3085" t="inlineStr">
        <is>
          <t>MMMLXXXIV</t>
        </is>
      </c>
      <c r="C3085">
        <f>ROMAN(3084)</f>
        <v/>
      </c>
      <c r="D3085">
        <f>IF(B3085=C3085, "YES", "WRONG")</f>
        <v/>
      </c>
    </row>
    <row r="3086">
      <c r="A3086" t="n">
        <v>3085</v>
      </c>
      <c r="B3086" t="inlineStr">
        <is>
          <t>MMMLXXXV</t>
        </is>
      </c>
      <c r="C3086">
        <f>ROMAN(3085)</f>
        <v/>
      </c>
      <c r="D3086">
        <f>IF(B3086=C3086, "YES", "WRONG")</f>
        <v/>
      </c>
    </row>
    <row r="3087">
      <c r="A3087" t="n">
        <v>3086</v>
      </c>
      <c r="B3087" t="inlineStr">
        <is>
          <t>MMMLXXXVI</t>
        </is>
      </c>
      <c r="C3087">
        <f>ROMAN(3086)</f>
        <v/>
      </c>
      <c r="D3087">
        <f>IF(B3087=C3087, "YES", "WRONG")</f>
        <v/>
      </c>
    </row>
    <row r="3088">
      <c r="A3088" t="n">
        <v>3087</v>
      </c>
      <c r="B3088" t="inlineStr">
        <is>
          <t>MMMLXXXVII</t>
        </is>
      </c>
      <c r="C3088">
        <f>ROMAN(3087)</f>
        <v/>
      </c>
      <c r="D3088">
        <f>IF(B3088=C3088, "YES", "WRONG")</f>
        <v/>
      </c>
    </row>
    <row r="3089">
      <c r="A3089" t="n">
        <v>3088</v>
      </c>
      <c r="B3089" t="inlineStr">
        <is>
          <t>MMMLXXXVIII</t>
        </is>
      </c>
      <c r="C3089">
        <f>ROMAN(3088)</f>
        <v/>
      </c>
      <c r="D3089">
        <f>IF(B3089=C3089, "YES", "WRONG")</f>
        <v/>
      </c>
    </row>
    <row r="3090">
      <c r="A3090" t="n">
        <v>3089</v>
      </c>
      <c r="B3090" t="inlineStr">
        <is>
          <t>MMMLXXXIX</t>
        </is>
      </c>
      <c r="C3090">
        <f>ROMAN(3089)</f>
        <v/>
      </c>
      <c r="D3090">
        <f>IF(B3090=C3090, "YES", "WRONG")</f>
        <v/>
      </c>
    </row>
    <row r="3091">
      <c r="A3091" t="n">
        <v>3090</v>
      </c>
      <c r="B3091" t="inlineStr">
        <is>
          <t>MMMXC</t>
        </is>
      </c>
      <c r="C3091">
        <f>ROMAN(3090)</f>
        <v/>
      </c>
      <c r="D3091">
        <f>IF(B3091=C3091, "YES", "WRONG")</f>
        <v/>
      </c>
    </row>
    <row r="3092">
      <c r="A3092" t="n">
        <v>3091</v>
      </c>
      <c r="B3092" t="inlineStr">
        <is>
          <t>MMMXCI</t>
        </is>
      </c>
      <c r="C3092">
        <f>ROMAN(3091)</f>
        <v/>
      </c>
      <c r="D3092">
        <f>IF(B3092=C3092, "YES", "WRONG")</f>
        <v/>
      </c>
    </row>
    <row r="3093">
      <c r="A3093" t="n">
        <v>3092</v>
      </c>
      <c r="B3093" t="inlineStr">
        <is>
          <t>MMMXCII</t>
        </is>
      </c>
      <c r="C3093">
        <f>ROMAN(3092)</f>
        <v/>
      </c>
      <c r="D3093">
        <f>IF(B3093=C3093, "YES", "WRONG")</f>
        <v/>
      </c>
    </row>
    <row r="3094">
      <c r="A3094" t="n">
        <v>3093</v>
      </c>
      <c r="B3094" t="inlineStr">
        <is>
          <t>MMMXCIII</t>
        </is>
      </c>
      <c r="C3094">
        <f>ROMAN(3093)</f>
        <v/>
      </c>
      <c r="D3094">
        <f>IF(B3094=C3094, "YES", "WRONG")</f>
        <v/>
      </c>
    </row>
    <row r="3095">
      <c r="A3095" t="n">
        <v>3094</v>
      </c>
      <c r="B3095" t="inlineStr">
        <is>
          <t>MMMXCIV</t>
        </is>
      </c>
      <c r="C3095">
        <f>ROMAN(3094)</f>
        <v/>
      </c>
      <c r="D3095">
        <f>IF(B3095=C3095, "YES", "WRONG")</f>
        <v/>
      </c>
    </row>
    <row r="3096">
      <c r="A3096" t="n">
        <v>3095</v>
      </c>
      <c r="B3096" t="inlineStr">
        <is>
          <t>MMMXCV</t>
        </is>
      </c>
      <c r="C3096">
        <f>ROMAN(3095)</f>
        <v/>
      </c>
      <c r="D3096">
        <f>IF(B3096=C3096, "YES", "WRONG")</f>
        <v/>
      </c>
    </row>
    <row r="3097">
      <c r="A3097" t="n">
        <v>3096</v>
      </c>
      <c r="B3097" t="inlineStr">
        <is>
          <t>MMMXCVI</t>
        </is>
      </c>
      <c r="C3097">
        <f>ROMAN(3096)</f>
        <v/>
      </c>
      <c r="D3097">
        <f>IF(B3097=C3097, "YES", "WRONG")</f>
        <v/>
      </c>
    </row>
    <row r="3098">
      <c r="A3098" t="n">
        <v>3097</v>
      </c>
      <c r="B3098" t="inlineStr">
        <is>
          <t>MMMXCVII</t>
        </is>
      </c>
      <c r="C3098">
        <f>ROMAN(3097)</f>
        <v/>
      </c>
      <c r="D3098">
        <f>IF(B3098=C3098, "YES", "WRONG")</f>
        <v/>
      </c>
    </row>
    <row r="3099">
      <c r="A3099" t="n">
        <v>3098</v>
      </c>
      <c r="B3099" t="inlineStr">
        <is>
          <t>MMMXCVIII</t>
        </is>
      </c>
      <c r="C3099">
        <f>ROMAN(3098)</f>
        <v/>
      </c>
      <c r="D3099">
        <f>IF(B3099=C3099, "YES", "WRONG")</f>
        <v/>
      </c>
    </row>
    <row r="3100">
      <c r="A3100" t="n">
        <v>3099</v>
      </c>
      <c r="B3100" t="inlineStr">
        <is>
          <t>MMMXCIX</t>
        </is>
      </c>
      <c r="C3100">
        <f>ROMAN(3099)</f>
        <v/>
      </c>
      <c r="D3100">
        <f>IF(B3100=C3100, "YES", "WRONG")</f>
        <v/>
      </c>
    </row>
    <row r="3101">
      <c r="A3101" t="n">
        <v>3100</v>
      </c>
      <c r="B3101" t="inlineStr">
        <is>
          <t>MMMC</t>
        </is>
      </c>
      <c r="C3101">
        <f>ROMAN(3100)</f>
        <v/>
      </c>
      <c r="D3101">
        <f>IF(B3101=C3101, "YES", "WRONG")</f>
        <v/>
      </c>
    </row>
    <row r="3102">
      <c r="A3102" t="n">
        <v>3101</v>
      </c>
      <c r="B3102" t="inlineStr">
        <is>
          <t>MMMCI</t>
        </is>
      </c>
      <c r="C3102">
        <f>ROMAN(3101)</f>
        <v/>
      </c>
      <c r="D3102">
        <f>IF(B3102=C3102, "YES", "WRONG")</f>
        <v/>
      </c>
    </row>
    <row r="3103">
      <c r="A3103" t="n">
        <v>3102</v>
      </c>
      <c r="B3103" t="inlineStr">
        <is>
          <t>MMMCII</t>
        </is>
      </c>
      <c r="C3103">
        <f>ROMAN(3102)</f>
        <v/>
      </c>
      <c r="D3103">
        <f>IF(B3103=C3103, "YES", "WRONG")</f>
        <v/>
      </c>
    </row>
    <row r="3104">
      <c r="A3104" t="n">
        <v>3103</v>
      </c>
      <c r="B3104" t="inlineStr">
        <is>
          <t>MMMCIII</t>
        </is>
      </c>
      <c r="C3104">
        <f>ROMAN(3103)</f>
        <v/>
      </c>
      <c r="D3104">
        <f>IF(B3104=C3104, "YES", "WRONG")</f>
        <v/>
      </c>
    </row>
    <row r="3105">
      <c r="A3105" t="n">
        <v>3104</v>
      </c>
      <c r="B3105" t="inlineStr">
        <is>
          <t>MMMCIV</t>
        </is>
      </c>
      <c r="C3105">
        <f>ROMAN(3104)</f>
        <v/>
      </c>
      <c r="D3105">
        <f>IF(B3105=C3105, "YES", "WRONG")</f>
        <v/>
      </c>
    </row>
    <row r="3106">
      <c r="A3106" t="n">
        <v>3105</v>
      </c>
      <c r="B3106" t="inlineStr">
        <is>
          <t>MMMCV</t>
        </is>
      </c>
      <c r="C3106">
        <f>ROMAN(3105)</f>
        <v/>
      </c>
      <c r="D3106">
        <f>IF(B3106=C3106, "YES", "WRONG")</f>
        <v/>
      </c>
    </row>
    <row r="3107">
      <c r="A3107" t="n">
        <v>3106</v>
      </c>
      <c r="B3107" t="inlineStr">
        <is>
          <t>MMMCVI</t>
        </is>
      </c>
      <c r="C3107">
        <f>ROMAN(3106)</f>
        <v/>
      </c>
      <c r="D3107">
        <f>IF(B3107=C3107, "YES", "WRONG")</f>
        <v/>
      </c>
    </row>
    <row r="3108">
      <c r="A3108" t="n">
        <v>3107</v>
      </c>
      <c r="B3108" t="inlineStr">
        <is>
          <t>MMMCVII</t>
        </is>
      </c>
      <c r="C3108">
        <f>ROMAN(3107)</f>
        <v/>
      </c>
      <c r="D3108">
        <f>IF(B3108=C3108, "YES", "WRONG")</f>
        <v/>
      </c>
    </row>
    <row r="3109">
      <c r="A3109" t="n">
        <v>3108</v>
      </c>
      <c r="B3109" t="inlineStr">
        <is>
          <t>MMMCVIII</t>
        </is>
      </c>
      <c r="C3109">
        <f>ROMAN(3108)</f>
        <v/>
      </c>
      <c r="D3109">
        <f>IF(B3109=C3109, "YES", "WRONG")</f>
        <v/>
      </c>
    </row>
    <row r="3110">
      <c r="A3110" t="n">
        <v>3109</v>
      </c>
      <c r="B3110" t="inlineStr">
        <is>
          <t>MMMCIX</t>
        </is>
      </c>
      <c r="C3110">
        <f>ROMAN(3109)</f>
        <v/>
      </c>
      <c r="D3110">
        <f>IF(B3110=C3110, "YES", "WRONG")</f>
        <v/>
      </c>
    </row>
    <row r="3111">
      <c r="A3111" t="n">
        <v>3110</v>
      </c>
      <c r="B3111" t="inlineStr">
        <is>
          <t>MMMCX</t>
        </is>
      </c>
      <c r="C3111">
        <f>ROMAN(3110)</f>
        <v/>
      </c>
      <c r="D3111">
        <f>IF(B3111=C3111, "YES", "WRONG")</f>
        <v/>
      </c>
    </row>
    <row r="3112">
      <c r="A3112" t="n">
        <v>3111</v>
      </c>
      <c r="B3112" t="inlineStr">
        <is>
          <t>MMMCXI</t>
        </is>
      </c>
      <c r="C3112">
        <f>ROMAN(3111)</f>
        <v/>
      </c>
      <c r="D3112">
        <f>IF(B3112=C3112, "YES", "WRONG")</f>
        <v/>
      </c>
    </row>
    <row r="3113">
      <c r="A3113" t="n">
        <v>3112</v>
      </c>
      <c r="B3113" t="inlineStr">
        <is>
          <t>MMMCXII</t>
        </is>
      </c>
      <c r="C3113">
        <f>ROMAN(3112)</f>
        <v/>
      </c>
      <c r="D3113">
        <f>IF(B3113=C3113, "YES", "WRONG")</f>
        <v/>
      </c>
    </row>
    <row r="3114">
      <c r="A3114" t="n">
        <v>3113</v>
      </c>
      <c r="B3114" t="inlineStr">
        <is>
          <t>MMMCXIII</t>
        </is>
      </c>
      <c r="C3114">
        <f>ROMAN(3113)</f>
        <v/>
      </c>
      <c r="D3114">
        <f>IF(B3114=C3114, "YES", "WRONG")</f>
        <v/>
      </c>
    </row>
    <row r="3115">
      <c r="A3115" t="n">
        <v>3114</v>
      </c>
      <c r="B3115" t="inlineStr">
        <is>
          <t>MMMCXIV</t>
        </is>
      </c>
      <c r="C3115">
        <f>ROMAN(3114)</f>
        <v/>
      </c>
      <c r="D3115">
        <f>IF(B3115=C3115, "YES", "WRONG")</f>
        <v/>
      </c>
    </row>
    <row r="3116">
      <c r="A3116" t="n">
        <v>3115</v>
      </c>
      <c r="B3116" t="inlineStr">
        <is>
          <t>MMMCXV</t>
        </is>
      </c>
      <c r="C3116">
        <f>ROMAN(3115)</f>
        <v/>
      </c>
      <c r="D3116">
        <f>IF(B3116=C3116, "YES", "WRONG")</f>
        <v/>
      </c>
    </row>
    <row r="3117">
      <c r="A3117" t="n">
        <v>3116</v>
      </c>
      <c r="B3117" t="inlineStr">
        <is>
          <t>MMMCXVI</t>
        </is>
      </c>
      <c r="C3117">
        <f>ROMAN(3116)</f>
        <v/>
      </c>
      <c r="D3117">
        <f>IF(B3117=C3117, "YES", "WRONG")</f>
        <v/>
      </c>
    </row>
    <row r="3118">
      <c r="A3118" t="n">
        <v>3117</v>
      </c>
      <c r="B3118" t="inlineStr">
        <is>
          <t>MMMCXVII</t>
        </is>
      </c>
      <c r="C3118">
        <f>ROMAN(3117)</f>
        <v/>
      </c>
      <c r="D3118">
        <f>IF(B3118=C3118, "YES", "WRONG")</f>
        <v/>
      </c>
    </row>
    <row r="3119">
      <c r="A3119" t="n">
        <v>3118</v>
      </c>
      <c r="B3119" t="inlineStr">
        <is>
          <t>MMMCXVIII</t>
        </is>
      </c>
      <c r="C3119">
        <f>ROMAN(3118)</f>
        <v/>
      </c>
      <c r="D3119">
        <f>IF(B3119=C3119, "YES", "WRONG")</f>
        <v/>
      </c>
    </row>
    <row r="3120">
      <c r="A3120" t="n">
        <v>3119</v>
      </c>
      <c r="B3120" t="inlineStr">
        <is>
          <t>MMMCXIX</t>
        </is>
      </c>
      <c r="C3120">
        <f>ROMAN(3119)</f>
        <v/>
      </c>
      <c r="D3120">
        <f>IF(B3120=C3120, "YES", "WRONG")</f>
        <v/>
      </c>
    </row>
    <row r="3121">
      <c r="A3121" t="n">
        <v>3120</v>
      </c>
      <c r="B3121" t="inlineStr">
        <is>
          <t>MMMCXX</t>
        </is>
      </c>
      <c r="C3121">
        <f>ROMAN(3120)</f>
        <v/>
      </c>
      <c r="D3121">
        <f>IF(B3121=C3121, "YES", "WRONG")</f>
        <v/>
      </c>
    </row>
    <row r="3122">
      <c r="A3122" t="n">
        <v>3121</v>
      </c>
      <c r="B3122" t="inlineStr">
        <is>
          <t>MMMCXXI</t>
        </is>
      </c>
      <c r="C3122">
        <f>ROMAN(3121)</f>
        <v/>
      </c>
      <c r="D3122">
        <f>IF(B3122=C3122, "YES", "WRONG")</f>
        <v/>
      </c>
    </row>
    <row r="3123">
      <c r="A3123" t="n">
        <v>3122</v>
      </c>
      <c r="B3123" t="inlineStr">
        <is>
          <t>MMMCXXII</t>
        </is>
      </c>
      <c r="C3123">
        <f>ROMAN(3122)</f>
        <v/>
      </c>
      <c r="D3123">
        <f>IF(B3123=C3123, "YES", "WRONG")</f>
        <v/>
      </c>
    </row>
    <row r="3124">
      <c r="A3124" t="n">
        <v>3123</v>
      </c>
      <c r="B3124" t="inlineStr">
        <is>
          <t>MMMCXXIII</t>
        </is>
      </c>
      <c r="C3124">
        <f>ROMAN(3123)</f>
        <v/>
      </c>
      <c r="D3124">
        <f>IF(B3124=C3124, "YES", "WRONG")</f>
        <v/>
      </c>
    </row>
    <row r="3125">
      <c r="A3125" t="n">
        <v>3124</v>
      </c>
      <c r="B3125" t="inlineStr">
        <is>
          <t>MMMCXXIV</t>
        </is>
      </c>
      <c r="C3125">
        <f>ROMAN(3124)</f>
        <v/>
      </c>
      <c r="D3125">
        <f>IF(B3125=C3125, "YES", "WRONG")</f>
        <v/>
      </c>
    </row>
    <row r="3126">
      <c r="A3126" t="n">
        <v>3125</v>
      </c>
      <c r="B3126" t="inlineStr">
        <is>
          <t>MMMCXXV</t>
        </is>
      </c>
      <c r="C3126">
        <f>ROMAN(3125)</f>
        <v/>
      </c>
      <c r="D3126">
        <f>IF(B3126=C3126, "YES", "WRONG")</f>
        <v/>
      </c>
    </row>
    <row r="3127">
      <c r="A3127" t="n">
        <v>3126</v>
      </c>
      <c r="B3127" t="inlineStr">
        <is>
          <t>MMMCXXVI</t>
        </is>
      </c>
      <c r="C3127">
        <f>ROMAN(3126)</f>
        <v/>
      </c>
      <c r="D3127">
        <f>IF(B3127=C3127, "YES", "WRONG")</f>
        <v/>
      </c>
    </row>
    <row r="3128">
      <c r="A3128" t="n">
        <v>3127</v>
      </c>
      <c r="B3128" t="inlineStr">
        <is>
          <t>MMMCXXVII</t>
        </is>
      </c>
      <c r="C3128">
        <f>ROMAN(3127)</f>
        <v/>
      </c>
      <c r="D3128">
        <f>IF(B3128=C3128, "YES", "WRONG")</f>
        <v/>
      </c>
    </row>
    <row r="3129">
      <c r="A3129" t="n">
        <v>3128</v>
      </c>
      <c r="B3129" t="inlineStr">
        <is>
          <t>MMMCXXVIII</t>
        </is>
      </c>
      <c r="C3129">
        <f>ROMAN(3128)</f>
        <v/>
      </c>
      <c r="D3129">
        <f>IF(B3129=C3129, "YES", "WRONG")</f>
        <v/>
      </c>
    </row>
    <row r="3130">
      <c r="A3130" t="n">
        <v>3129</v>
      </c>
      <c r="B3130" t="inlineStr">
        <is>
          <t>MMMCXXIX</t>
        </is>
      </c>
      <c r="C3130">
        <f>ROMAN(3129)</f>
        <v/>
      </c>
      <c r="D3130">
        <f>IF(B3130=C3130, "YES", "WRONG")</f>
        <v/>
      </c>
    </row>
    <row r="3131">
      <c r="A3131" t="n">
        <v>3130</v>
      </c>
      <c r="B3131" t="inlineStr">
        <is>
          <t>MMMCXXX</t>
        </is>
      </c>
      <c r="C3131">
        <f>ROMAN(3130)</f>
        <v/>
      </c>
      <c r="D3131">
        <f>IF(B3131=C3131, "YES", "WRONG")</f>
        <v/>
      </c>
    </row>
    <row r="3132">
      <c r="A3132" t="n">
        <v>3131</v>
      </c>
      <c r="B3132" t="inlineStr">
        <is>
          <t>MMMCXXXI</t>
        </is>
      </c>
      <c r="C3132">
        <f>ROMAN(3131)</f>
        <v/>
      </c>
      <c r="D3132">
        <f>IF(B3132=C3132, "YES", "WRONG")</f>
        <v/>
      </c>
    </row>
    <row r="3133">
      <c r="A3133" t="n">
        <v>3132</v>
      </c>
      <c r="B3133" t="inlineStr">
        <is>
          <t>MMMCXXXII</t>
        </is>
      </c>
      <c r="C3133">
        <f>ROMAN(3132)</f>
        <v/>
      </c>
      <c r="D3133">
        <f>IF(B3133=C3133, "YES", "WRONG")</f>
        <v/>
      </c>
    </row>
    <row r="3134">
      <c r="A3134" t="n">
        <v>3133</v>
      </c>
      <c r="B3134" t="inlineStr">
        <is>
          <t>MMMCXXXIII</t>
        </is>
      </c>
      <c r="C3134">
        <f>ROMAN(3133)</f>
        <v/>
      </c>
      <c r="D3134">
        <f>IF(B3134=C3134, "YES", "WRONG")</f>
        <v/>
      </c>
    </row>
    <row r="3135">
      <c r="A3135" t="n">
        <v>3134</v>
      </c>
      <c r="B3135" t="inlineStr">
        <is>
          <t>MMMCXXXIV</t>
        </is>
      </c>
      <c r="C3135">
        <f>ROMAN(3134)</f>
        <v/>
      </c>
      <c r="D3135">
        <f>IF(B3135=C3135, "YES", "WRONG")</f>
        <v/>
      </c>
    </row>
    <row r="3136">
      <c r="A3136" t="n">
        <v>3135</v>
      </c>
      <c r="B3136" t="inlineStr">
        <is>
          <t>MMMCXXXV</t>
        </is>
      </c>
      <c r="C3136">
        <f>ROMAN(3135)</f>
        <v/>
      </c>
      <c r="D3136">
        <f>IF(B3136=C3136, "YES", "WRONG")</f>
        <v/>
      </c>
    </row>
    <row r="3137">
      <c r="A3137" t="n">
        <v>3136</v>
      </c>
      <c r="B3137" t="inlineStr">
        <is>
          <t>MMMCXXXVI</t>
        </is>
      </c>
      <c r="C3137">
        <f>ROMAN(3136)</f>
        <v/>
      </c>
      <c r="D3137">
        <f>IF(B3137=C3137, "YES", "WRONG")</f>
        <v/>
      </c>
    </row>
    <row r="3138">
      <c r="A3138" t="n">
        <v>3137</v>
      </c>
      <c r="B3138" t="inlineStr">
        <is>
          <t>MMMCXXXVII</t>
        </is>
      </c>
      <c r="C3138">
        <f>ROMAN(3137)</f>
        <v/>
      </c>
      <c r="D3138">
        <f>IF(B3138=C3138, "YES", "WRONG")</f>
        <v/>
      </c>
    </row>
    <row r="3139">
      <c r="A3139" t="n">
        <v>3138</v>
      </c>
      <c r="B3139" t="inlineStr">
        <is>
          <t>MMMCXXXVIII</t>
        </is>
      </c>
      <c r="C3139">
        <f>ROMAN(3138)</f>
        <v/>
      </c>
      <c r="D3139">
        <f>IF(B3139=C3139, "YES", "WRONG")</f>
        <v/>
      </c>
    </row>
    <row r="3140">
      <c r="A3140" t="n">
        <v>3139</v>
      </c>
      <c r="B3140" t="inlineStr">
        <is>
          <t>MMMCXXXIX</t>
        </is>
      </c>
      <c r="C3140">
        <f>ROMAN(3139)</f>
        <v/>
      </c>
      <c r="D3140">
        <f>IF(B3140=C3140, "YES", "WRONG")</f>
        <v/>
      </c>
    </row>
    <row r="3141">
      <c r="A3141" t="n">
        <v>3140</v>
      </c>
      <c r="B3141" t="inlineStr">
        <is>
          <t>MMMCXL</t>
        </is>
      </c>
      <c r="C3141">
        <f>ROMAN(3140)</f>
        <v/>
      </c>
      <c r="D3141">
        <f>IF(B3141=C3141, "YES", "WRONG")</f>
        <v/>
      </c>
    </row>
    <row r="3142">
      <c r="A3142" t="n">
        <v>3141</v>
      </c>
      <c r="B3142" t="inlineStr">
        <is>
          <t>MMMCXLI</t>
        </is>
      </c>
      <c r="C3142">
        <f>ROMAN(3141)</f>
        <v/>
      </c>
      <c r="D3142">
        <f>IF(B3142=C3142, "YES", "WRONG")</f>
        <v/>
      </c>
    </row>
    <row r="3143">
      <c r="A3143" t="n">
        <v>3142</v>
      </c>
      <c r="B3143" t="inlineStr">
        <is>
          <t>MMMCXLII</t>
        </is>
      </c>
      <c r="C3143">
        <f>ROMAN(3142)</f>
        <v/>
      </c>
      <c r="D3143">
        <f>IF(B3143=C3143, "YES", "WRONG")</f>
        <v/>
      </c>
    </row>
    <row r="3144">
      <c r="A3144" t="n">
        <v>3143</v>
      </c>
      <c r="B3144" t="inlineStr">
        <is>
          <t>MMMCXLIII</t>
        </is>
      </c>
      <c r="C3144">
        <f>ROMAN(3143)</f>
        <v/>
      </c>
      <c r="D3144">
        <f>IF(B3144=C3144, "YES", "WRONG")</f>
        <v/>
      </c>
    </row>
    <row r="3145">
      <c r="A3145" t="n">
        <v>3144</v>
      </c>
      <c r="B3145" t="inlineStr">
        <is>
          <t>MMMCXLIV</t>
        </is>
      </c>
      <c r="C3145">
        <f>ROMAN(3144)</f>
        <v/>
      </c>
      <c r="D3145">
        <f>IF(B3145=C3145, "YES", "WRONG")</f>
        <v/>
      </c>
    </row>
    <row r="3146">
      <c r="A3146" t="n">
        <v>3145</v>
      </c>
      <c r="B3146" t="inlineStr">
        <is>
          <t>MMMCXLV</t>
        </is>
      </c>
      <c r="C3146">
        <f>ROMAN(3145)</f>
        <v/>
      </c>
      <c r="D3146">
        <f>IF(B3146=C3146, "YES", "WRONG")</f>
        <v/>
      </c>
    </row>
    <row r="3147">
      <c r="A3147" t="n">
        <v>3146</v>
      </c>
      <c r="B3147" t="inlineStr">
        <is>
          <t>MMMCXLVI</t>
        </is>
      </c>
      <c r="C3147">
        <f>ROMAN(3146)</f>
        <v/>
      </c>
      <c r="D3147">
        <f>IF(B3147=C3147, "YES", "WRONG")</f>
        <v/>
      </c>
    </row>
    <row r="3148">
      <c r="A3148" t="n">
        <v>3147</v>
      </c>
      <c r="B3148" t="inlineStr">
        <is>
          <t>MMMCXLVII</t>
        </is>
      </c>
      <c r="C3148">
        <f>ROMAN(3147)</f>
        <v/>
      </c>
      <c r="D3148">
        <f>IF(B3148=C3148, "YES", "WRONG")</f>
        <v/>
      </c>
    </row>
    <row r="3149">
      <c r="A3149" t="n">
        <v>3148</v>
      </c>
      <c r="B3149" t="inlineStr">
        <is>
          <t>MMMCXLVIII</t>
        </is>
      </c>
      <c r="C3149">
        <f>ROMAN(3148)</f>
        <v/>
      </c>
      <c r="D3149">
        <f>IF(B3149=C3149, "YES", "WRONG")</f>
        <v/>
      </c>
    </row>
    <row r="3150">
      <c r="A3150" t="n">
        <v>3149</v>
      </c>
      <c r="B3150" t="inlineStr">
        <is>
          <t>MMMCXLIX</t>
        </is>
      </c>
      <c r="C3150">
        <f>ROMAN(3149)</f>
        <v/>
      </c>
      <c r="D3150">
        <f>IF(B3150=C3150, "YES", "WRONG")</f>
        <v/>
      </c>
    </row>
    <row r="3151">
      <c r="A3151" t="n">
        <v>3150</v>
      </c>
      <c r="B3151" t="inlineStr">
        <is>
          <t>MMMCL</t>
        </is>
      </c>
      <c r="C3151">
        <f>ROMAN(3150)</f>
        <v/>
      </c>
      <c r="D3151">
        <f>IF(B3151=C3151, "YES", "WRONG")</f>
        <v/>
      </c>
    </row>
    <row r="3152">
      <c r="A3152" t="n">
        <v>3151</v>
      </c>
      <c r="B3152" t="inlineStr">
        <is>
          <t>MMMCLI</t>
        </is>
      </c>
      <c r="C3152">
        <f>ROMAN(3151)</f>
        <v/>
      </c>
      <c r="D3152">
        <f>IF(B3152=C3152, "YES", "WRONG")</f>
        <v/>
      </c>
    </row>
    <row r="3153">
      <c r="A3153" t="n">
        <v>3152</v>
      </c>
      <c r="B3153" t="inlineStr">
        <is>
          <t>MMMCLII</t>
        </is>
      </c>
      <c r="C3153">
        <f>ROMAN(3152)</f>
        <v/>
      </c>
      <c r="D3153">
        <f>IF(B3153=C3153, "YES", "WRONG")</f>
        <v/>
      </c>
    </row>
    <row r="3154">
      <c r="A3154" t="n">
        <v>3153</v>
      </c>
      <c r="B3154" t="inlineStr">
        <is>
          <t>MMMCLIII</t>
        </is>
      </c>
      <c r="C3154">
        <f>ROMAN(3153)</f>
        <v/>
      </c>
      <c r="D3154">
        <f>IF(B3154=C3154, "YES", "WRONG")</f>
        <v/>
      </c>
    </row>
    <row r="3155">
      <c r="A3155" t="n">
        <v>3154</v>
      </c>
      <c r="B3155" t="inlineStr">
        <is>
          <t>MMMCLIV</t>
        </is>
      </c>
      <c r="C3155">
        <f>ROMAN(3154)</f>
        <v/>
      </c>
      <c r="D3155">
        <f>IF(B3155=C3155, "YES", "WRONG")</f>
        <v/>
      </c>
    </row>
    <row r="3156">
      <c r="A3156" t="n">
        <v>3155</v>
      </c>
      <c r="B3156" t="inlineStr">
        <is>
          <t>MMMCLV</t>
        </is>
      </c>
      <c r="C3156">
        <f>ROMAN(3155)</f>
        <v/>
      </c>
      <c r="D3156">
        <f>IF(B3156=C3156, "YES", "WRONG")</f>
        <v/>
      </c>
    </row>
    <row r="3157">
      <c r="A3157" t="n">
        <v>3156</v>
      </c>
      <c r="B3157" t="inlineStr">
        <is>
          <t>MMMCLVI</t>
        </is>
      </c>
      <c r="C3157">
        <f>ROMAN(3156)</f>
        <v/>
      </c>
      <c r="D3157">
        <f>IF(B3157=C3157, "YES", "WRONG")</f>
        <v/>
      </c>
    </row>
    <row r="3158">
      <c r="A3158" t="n">
        <v>3157</v>
      </c>
      <c r="B3158" t="inlineStr">
        <is>
          <t>MMMCLVII</t>
        </is>
      </c>
      <c r="C3158">
        <f>ROMAN(3157)</f>
        <v/>
      </c>
      <c r="D3158">
        <f>IF(B3158=C3158, "YES", "WRONG")</f>
        <v/>
      </c>
    </row>
    <row r="3159">
      <c r="A3159" t="n">
        <v>3158</v>
      </c>
      <c r="B3159" t="inlineStr">
        <is>
          <t>MMMCLVIII</t>
        </is>
      </c>
      <c r="C3159">
        <f>ROMAN(3158)</f>
        <v/>
      </c>
      <c r="D3159">
        <f>IF(B3159=C3159, "YES", "WRONG")</f>
        <v/>
      </c>
    </row>
    <row r="3160">
      <c r="A3160" t="n">
        <v>3159</v>
      </c>
      <c r="B3160" t="inlineStr">
        <is>
          <t>MMMCLIX</t>
        </is>
      </c>
      <c r="C3160">
        <f>ROMAN(3159)</f>
        <v/>
      </c>
      <c r="D3160">
        <f>IF(B3160=C3160, "YES", "WRONG")</f>
        <v/>
      </c>
    </row>
    <row r="3161">
      <c r="A3161" t="n">
        <v>3160</v>
      </c>
      <c r="B3161" t="inlineStr">
        <is>
          <t>MMMCLX</t>
        </is>
      </c>
      <c r="C3161">
        <f>ROMAN(3160)</f>
        <v/>
      </c>
      <c r="D3161">
        <f>IF(B3161=C3161, "YES", "WRONG")</f>
        <v/>
      </c>
    </row>
    <row r="3162">
      <c r="A3162" t="n">
        <v>3161</v>
      </c>
      <c r="B3162" t="inlineStr">
        <is>
          <t>MMMCLXI</t>
        </is>
      </c>
      <c r="C3162">
        <f>ROMAN(3161)</f>
        <v/>
      </c>
      <c r="D3162">
        <f>IF(B3162=C3162, "YES", "WRONG")</f>
        <v/>
      </c>
    </row>
    <row r="3163">
      <c r="A3163" t="n">
        <v>3162</v>
      </c>
      <c r="B3163" t="inlineStr">
        <is>
          <t>MMMCLXII</t>
        </is>
      </c>
      <c r="C3163">
        <f>ROMAN(3162)</f>
        <v/>
      </c>
      <c r="D3163">
        <f>IF(B3163=C3163, "YES", "WRONG")</f>
        <v/>
      </c>
    </row>
    <row r="3164">
      <c r="A3164" t="n">
        <v>3163</v>
      </c>
      <c r="B3164" t="inlineStr">
        <is>
          <t>MMMCLXIII</t>
        </is>
      </c>
      <c r="C3164">
        <f>ROMAN(3163)</f>
        <v/>
      </c>
      <c r="D3164">
        <f>IF(B3164=C3164, "YES", "WRONG")</f>
        <v/>
      </c>
    </row>
    <row r="3165">
      <c r="A3165" t="n">
        <v>3164</v>
      </c>
      <c r="B3165" t="inlineStr">
        <is>
          <t>MMMCLXIV</t>
        </is>
      </c>
      <c r="C3165">
        <f>ROMAN(3164)</f>
        <v/>
      </c>
      <c r="D3165">
        <f>IF(B3165=C3165, "YES", "WRONG")</f>
        <v/>
      </c>
    </row>
    <row r="3166">
      <c r="A3166" t="n">
        <v>3165</v>
      </c>
      <c r="B3166" t="inlineStr">
        <is>
          <t>MMMCLXV</t>
        </is>
      </c>
      <c r="C3166">
        <f>ROMAN(3165)</f>
        <v/>
      </c>
      <c r="D3166">
        <f>IF(B3166=C3166, "YES", "WRONG")</f>
        <v/>
      </c>
    </row>
    <row r="3167">
      <c r="A3167" t="n">
        <v>3166</v>
      </c>
      <c r="B3167" t="inlineStr">
        <is>
          <t>MMMCLXVI</t>
        </is>
      </c>
      <c r="C3167">
        <f>ROMAN(3166)</f>
        <v/>
      </c>
      <c r="D3167">
        <f>IF(B3167=C3167, "YES", "WRONG")</f>
        <v/>
      </c>
    </row>
    <row r="3168">
      <c r="A3168" t="n">
        <v>3167</v>
      </c>
      <c r="B3168" t="inlineStr">
        <is>
          <t>MMMCLXVII</t>
        </is>
      </c>
      <c r="C3168">
        <f>ROMAN(3167)</f>
        <v/>
      </c>
      <c r="D3168">
        <f>IF(B3168=C3168, "YES", "WRONG")</f>
        <v/>
      </c>
    </row>
    <row r="3169">
      <c r="A3169" t="n">
        <v>3168</v>
      </c>
      <c r="B3169" t="inlineStr">
        <is>
          <t>MMMCLXVIII</t>
        </is>
      </c>
      <c r="C3169">
        <f>ROMAN(3168)</f>
        <v/>
      </c>
      <c r="D3169">
        <f>IF(B3169=C3169, "YES", "WRONG")</f>
        <v/>
      </c>
    </row>
    <row r="3170">
      <c r="A3170" t="n">
        <v>3169</v>
      </c>
      <c r="B3170" t="inlineStr">
        <is>
          <t>MMMCLXIX</t>
        </is>
      </c>
      <c r="C3170">
        <f>ROMAN(3169)</f>
        <v/>
      </c>
      <c r="D3170">
        <f>IF(B3170=C3170, "YES", "WRONG")</f>
        <v/>
      </c>
    </row>
    <row r="3171">
      <c r="A3171" t="n">
        <v>3170</v>
      </c>
      <c r="B3171" t="inlineStr">
        <is>
          <t>MMMCLXX</t>
        </is>
      </c>
      <c r="C3171">
        <f>ROMAN(3170)</f>
        <v/>
      </c>
      <c r="D3171">
        <f>IF(B3171=C3171, "YES", "WRONG")</f>
        <v/>
      </c>
    </row>
    <row r="3172">
      <c r="A3172" t="n">
        <v>3171</v>
      </c>
      <c r="B3172" t="inlineStr">
        <is>
          <t>MMMCLXXI</t>
        </is>
      </c>
      <c r="C3172">
        <f>ROMAN(3171)</f>
        <v/>
      </c>
      <c r="D3172">
        <f>IF(B3172=C3172, "YES", "WRONG")</f>
        <v/>
      </c>
    </row>
    <row r="3173">
      <c r="A3173" t="n">
        <v>3172</v>
      </c>
      <c r="B3173" t="inlineStr">
        <is>
          <t>MMMCLXXII</t>
        </is>
      </c>
      <c r="C3173">
        <f>ROMAN(3172)</f>
        <v/>
      </c>
      <c r="D3173">
        <f>IF(B3173=C3173, "YES", "WRONG")</f>
        <v/>
      </c>
    </row>
    <row r="3174">
      <c r="A3174" t="n">
        <v>3173</v>
      </c>
      <c r="B3174" t="inlineStr">
        <is>
          <t>MMMCLXXIII</t>
        </is>
      </c>
      <c r="C3174">
        <f>ROMAN(3173)</f>
        <v/>
      </c>
      <c r="D3174">
        <f>IF(B3174=C3174, "YES", "WRONG")</f>
        <v/>
      </c>
    </row>
    <row r="3175">
      <c r="A3175" t="n">
        <v>3174</v>
      </c>
      <c r="B3175" t="inlineStr">
        <is>
          <t>MMMCLXXIV</t>
        </is>
      </c>
      <c r="C3175">
        <f>ROMAN(3174)</f>
        <v/>
      </c>
      <c r="D3175">
        <f>IF(B3175=C3175, "YES", "WRONG")</f>
        <v/>
      </c>
    </row>
    <row r="3176">
      <c r="A3176" t="n">
        <v>3175</v>
      </c>
      <c r="B3176" t="inlineStr">
        <is>
          <t>MMMCLXXV</t>
        </is>
      </c>
      <c r="C3176">
        <f>ROMAN(3175)</f>
        <v/>
      </c>
      <c r="D3176">
        <f>IF(B3176=C3176, "YES", "WRONG")</f>
        <v/>
      </c>
    </row>
    <row r="3177">
      <c r="A3177" t="n">
        <v>3176</v>
      </c>
      <c r="B3177" t="inlineStr">
        <is>
          <t>MMMCLXXVI</t>
        </is>
      </c>
      <c r="C3177">
        <f>ROMAN(3176)</f>
        <v/>
      </c>
      <c r="D3177">
        <f>IF(B3177=C3177, "YES", "WRONG")</f>
        <v/>
      </c>
    </row>
    <row r="3178">
      <c r="A3178" t="n">
        <v>3177</v>
      </c>
      <c r="B3178" t="inlineStr">
        <is>
          <t>MMMCLXXVII</t>
        </is>
      </c>
      <c r="C3178">
        <f>ROMAN(3177)</f>
        <v/>
      </c>
      <c r="D3178">
        <f>IF(B3178=C3178, "YES", "WRONG")</f>
        <v/>
      </c>
    </row>
    <row r="3179">
      <c r="A3179" t="n">
        <v>3178</v>
      </c>
      <c r="B3179" t="inlineStr">
        <is>
          <t>MMMCLXXVIII</t>
        </is>
      </c>
      <c r="C3179">
        <f>ROMAN(3178)</f>
        <v/>
      </c>
      <c r="D3179">
        <f>IF(B3179=C3179, "YES", "WRONG")</f>
        <v/>
      </c>
    </row>
    <row r="3180">
      <c r="A3180" t="n">
        <v>3179</v>
      </c>
      <c r="B3180" t="inlineStr">
        <is>
          <t>MMMCLXXIX</t>
        </is>
      </c>
      <c r="C3180">
        <f>ROMAN(3179)</f>
        <v/>
      </c>
      <c r="D3180">
        <f>IF(B3180=C3180, "YES", "WRONG")</f>
        <v/>
      </c>
    </row>
    <row r="3181">
      <c r="A3181" t="n">
        <v>3180</v>
      </c>
      <c r="B3181" t="inlineStr">
        <is>
          <t>MMMCLXXX</t>
        </is>
      </c>
      <c r="C3181">
        <f>ROMAN(3180)</f>
        <v/>
      </c>
      <c r="D3181">
        <f>IF(B3181=C3181, "YES", "WRONG")</f>
        <v/>
      </c>
    </row>
    <row r="3182">
      <c r="A3182" t="n">
        <v>3181</v>
      </c>
      <c r="B3182" t="inlineStr">
        <is>
          <t>MMMCLXXXI</t>
        </is>
      </c>
      <c r="C3182">
        <f>ROMAN(3181)</f>
        <v/>
      </c>
      <c r="D3182">
        <f>IF(B3182=C3182, "YES", "WRONG")</f>
        <v/>
      </c>
    </row>
    <row r="3183">
      <c r="A3183" t="n">
        <v>3182</v>
      </c>
      <c r="B3183" t="inlineStr">
        <is>
          <t>MMMCLXXXII</t>
        </is>
      </c>
      <c r="C3183">
        <f>ROMAN(3182)</f>
        <v/>
      </c>
      <c r="D3183">
        <f>IF(B3183=C3183, "YES", "WRONG")</f>
        <v/>
      </c>
    </row>
    <row r="3184">
      <c r="A3184" t="n">
        <v>3183</v>
      </c>
      <c r="B3184" t="inlineStr">
        <is>
          <t>MMMCLXXXIII</t>
        </is>
      </c>
      <c r="C3184">
        <f>ROMAN(3183)</f>
        <v/>
      </c>
      <c r="D3184">
        <f>IF(B3184=C3184, "YES", "WRONG")</f>
        <v/>
      </c>
    </row>
    <row r="3185">
      <c r="A3185" t="n">
        <v>3184</v>
      </c>
      <c r="B3185" t="inlineStr">
        <is>
          <t>MMMCLXXXIV</t>
        </is>
      </c>
      <c r="C3185">
        <f>ROMAN(3184)</f>
        <v/>
      </c>
      <c r="D3185">
        <f>IF(B3185=C3185, "YES", "WRONG")</f>
        <v/>
      </c>
    </row>
    <row r="3186">
      <c r="A3186" t="n">
        <v>3185</v>
      </c>
      <c r="B3186" t="inlineStr">
        <is>
          <t>MMMCLXXXV</t>
        </is>
      </c>
      <c r="C3186">
        <f>ROMAN(3185)</f>
        <v/>
      </c>
      <c r="D3186">
        <f>IF(B3186=C3186, "YES", "WRONG")</f>
        <v/>
      </c>
    </row>
    <row r="3187">
      <c r="A3187" t="n">
        <v>3186</v>
      </c>
      <c r="B3187" t="inlineStr">
        <is>
          <t>MMMCLXXXVI</t>
        </is>
      </c>
      <c r="C3187">
        <f>ROMAN(3186)</f>
        <v/>
      </c>
      <c r="D3187">
        <f>IF(B3187=C3187, "YES", "WRONG")</f>
        <v/>
      </c>
    </row>
    <row r="3188">
      <c r="A3188" t="n">
        <v>3187</v>
      </c>
      <c r="B3188" t="inlineStr">
        <is>
          <t>MMMCLXXXVII</t>
        </is>
      </c>
      <c r="C3188">
        <f>ROMAN(3187)</f>
        <v/>
      </c>
      <c r="D3188">
        <f>IF(B3188=C3188, "YES", "WRONG")</f>
        <v/>
      </c>
    </row>
    <row r="3189">
      <c r="A3189" t="n">
        <v>3188</v>
      </c>
      <c r="B3189" t="inlineStr">
        <is>
          <t>MMMCLXXXVIII</t>
        </is>
      </c>
      <c r="C3189">
        <f>ROMAN(3188)</f>
        <v/>
      </c>
      <c r="D3189">
        <f>IF(B3189=C3189, "YES", "WRONG")</f>
        <v/>
      </c>
    </row>
    <row r="3190">
      <c r="A3190" t="n">
        <v>3189</v>
      </c>
      <c r="B3190" t="inlineStr">
        <is>
          <t>MMMCLXXXIX</t>
        </is>
      </c>
      <c r="C3190">
        <f>ROMAN(3189)</f>
        <v/>
      </c>
      <c r="D3190">
        <f>IF(B3190=C3190, "YES", "WRONG")</f>
        <v/>
      </c>
    </row>
    <row r="3191">
      <c r="A3191" t="n">
        <v>3190</v>
      </c>
      <c r="B3191" t="inlineStr">
        <is>
          <t>MMMCXC</t>
        </is>
      </c>
      <c r="C3191">
        <f>ROMAN(3190)</f>
        <v/>
      </c>
      <c r="D3191">
        <f>IF(B3191=C3191, "YES", "WRONG")</f>
        <v/>
      </c>
    </row>
    <row r="3192">
      <c r="A3192" t="n">
        <v>3191</v>
      </c>
      <c r="B3192" t="inlineStr">
        <is>
          <t>MMMCXCI</t>
        </is>
      </c>
      <c r="C3192">
        <f>ROMAN(3191)</f>
        <v/>
      </c>
      <c r="D3192">
        <f>IF(B3192=C3192, "YES", "WRONG")</f>
        <v/>
      </c>
    </row>
    <row r="3193">
      <c r="A3193" t="n">
        <v>3192</v>
      </c>
      <c r="B3193" t="inlineStr">
        <is>
          <t>MMMCXCII</t>
        </is>
      </c>
      <c r="C3193">
        <f>ROMAN(3192)</f>
        <v/>
      </c>
      <c r="D3193">
        <f>IF(B3193=C3193, "YES", "WRONG")</f>
        <v/>
      </c>
    </row>
    <row r="3194">
      <c r="A3194" t="n">
        <v>3193</v>
      </c>
      <c r="B3194" t="inlineStr">
        <is>
          <t>MMMCXCIII</t>
        </is>
      </c>
      <c r="C3194">
        <f>ROMAN(3193)</f>
        <v/>
      </c>
      <c r="D3194">
        <f>IF(B3194=C3194, "YES", "WRONG")</f>
        <v/>
      </c>
    </row>
    <row r="3195">
      <c r="A3195" t="n">
        <v>3194</v>
      </c>
      <c r="B3195" t="inlineStr">
        <is>
          <t>MMMCXCIV</t>
        </is>
      </c>
      <c r="C3195">
        <f>ROMAN(3194)</f>
        <v/>
      </c>
      <c r="D3195">
        <f>IF(B3195=C3195, "YES", "WRONG")</f>
        <v/>
      </c>
    </row>
    <row r="3196">
      <c r="A3196" t="n">
        <v>3195</v>
      </c>
      <c r="B3196" t="inlineStr">
        <is>
          <t>MMMCXCV</t>
        </is>
      </c>
      <c r="C3196">
        <f>ROMAN(3195)</f>
        <v/>
      </c>
      <c r="D3196">
        <f>IF(B3196=C3196, "YES", "WRONG")</f>
        <v/>
      </c>
    </row>
    <row r="3197">
      <c r="A3197" t="n">
        <v>3196</v>
      </c>
      <c r="B3197" t="inlineStr">
        <is>
          <t>MMMCXCVI</t>
        </is>
      </c>
      <c r="C3197">
        <f>ROMAN(3196)</f>
        <v/>
      </c>
      <c r="D3197">
        <f>IF(B3197=C3197, "YES", "WRONG")</f>
        <v/>
      </c>
    </row>
    <row r="3198">
      <c r="A3198" t="n">
        <v>3197</v>
      </c>
      <c r="B3198" t="inlineStr">
        <is>
          <t>MMMCXCVII</t>
        </is>
      </c>
      <c r="C3198">
        <f>ROMAN(3197)</f>
        <v/>
      </c>
      <c r="D3198">
        <f>IF(B3198=C3198, "YES", "WRONG")</f>
        <v/>
      </c>
    </row>
    <row r="3199">
      <c r="A3199" t="n">
        <v>3198</v>
      </c>
      <c r="B3199" t="inlineStr">
        <is>
          <t>MMMCXCVIII</t>
        </is>
      </c>
      <c r="C3199">
        <f>ROMAN(3198)</f>
        <v/>
      </c>
      <c r="D3199">
        <f>IF(B3199=C3199, "YES", "WRONG")</f>
        <v/>
      </c>
    </row>
    <row r="3200">
      <c r="A3200" t="n">
        <v>3199</v>
      </c>
      <c r="B3200" t="inlineStr">
        <is>
          <t>MMMCXCIX</t>
        </is>
      </c>
      <c r="C3200">
        <f>ROMAN(3199)</f>
        <v/>
      </c>
      <c r="D3200">
        <f>IF(B3200=C3200, "YES", "WRONG")</f>
        <v/>
      </c>
    </row>
    <row r="3201">
      <c r="A3201" t="n">
        <v>3200</v>
      </c>
      <c r="B3201" t="inlineStr">
        <is>
          <t>MMMCC</t>
        </is>
      </c>
      <c r="C3201">
        <f>ROMAN(3200)</f>
        <v/>
      </c>
      <c r="D3201">
        <f>IF(B3201=C3201, "YES", "WRONG")</f>
        <v/>
      </c>
    </row>
    <row r="3202">
      <c r="A3202" t="n">
        <v>3201</v>
      </c>
      <c r="B3202" t="inlineStr">
        <is>
          <t>MMMCCI</t>
        </is>
      </c>
      <c r="C3202">
        <f>ROMAN(3201)</f>
        <v/>
      </c>
      <c r="D3202">
        <f>IF(B3202=C3202, "YES", "WRONG")</f>
        <v/>
      </c>
    </row>
    <row r="3203">
      <c r="A3203" t="n">
        <v>3202</v>
      </c>
      <c r="B3203" t="inlineStr">
        <is>
          <t>MMMCCII</t>
        </is>
      </c>
      <c r="C3203">
        <f>ROMAN(3202)</f>
        <v/>
      </c>
      <c r="D3203">
        <f>IF(B3203=C3203, "YES", "WRONG")</f>
        <v/>
      </c>
    </row>
    <row r="3204">
      <c r="A3204" t="n">
        <v>3203</v>
      </c>
      <c r="B3204" t="inlineStr">
        <is>
          <t>MMMCCIII</t>
        </is>
      </c>
      <c r="C3204">
        <f>ROMAN(3203)</f>
        <v/>
      </c>
      <c r="D3204">
        <f>IF(B3204=C3204, "YES", "WRONG")</f>
        <v/>
      </c>
    </row>
    <row r="3205">
      <c r="A3205" t="n">
        <v>3204</v>
      </c>
      <c r="B3205" t="inlineStr">
        <is>
          <t>MMMCCIV</t>
        </is>
      </c>
      <c r="C3205">
        <f>ROMAN(3204)</f>
        <v/>
      </c>
      <c r="D3205">
        <f>IF(B3205=C3205, "YES", "WRONG")</f>
        <v/>
      </c>
    </row>
    <row r="3206">
      <c r="A3206" t="n">
        <v>3205</v>
      </c>
      <c r="B3206" t="inlineStr">
        <is>
          <t>MMMCCV</t>
        </is>
      </c>
      <c r="C3206">
        <f>ROMAN(3205)</f>
        <v/>
      </c>
      <c r="D3206">
        <f>IF(B3206=C3206, "YES", "WRONG")</f>
        <v/>
      </c>
    </row>
    <row r="3207">
      <c r="A3207" t="n">
        <v>3206</v>
      </c>
      <c r="B3207" t="inlineStr">
        <is>
          <t>MMMCCVI</t>
        </is>
      </c>
      <c r="C3207">
        <f>ROMAN(3206)</f>
        <v/>
      </c>
      <c r="D3207">
        <f>IF(B3207=C3207, "YES", "WRONG")</f>
        <v/>
      </c>
    </row>
    <row r="3208">
      <c r="A3208" t="n">
        <v>3207</v>
      </c>
      <c r="B3208" t="inlineStr">
        <is>
          <t>MMMCCVII</t>
        </is>
      </c>
      <c r="C3208">
        <f>ROMAN(3207)</f>
        <v/>
      </c>
      <c r="D3208">
        <f>IF(B3208=C3208, "YES", "WRONG")</f>
        <v/>
      </c>
    </row>
    <row r="3209">
      <c r="A3209" t="n">
        <v>3208</v>
      </c>
      <c r="B3209" t="inlineStr">
        <is>
          <t>MMMCCVIII</t>
        </is>
      </c>
      <c r="C3209">
        <f>ROMAN(3208)</f>
        <v/>
      </c>
      <c r="D3209">
        <f>IF(B3209=C3209, "YES", "WRONG")</f>
        <v/>
      </c>
    </row>
    <row r="3210">
      <c r="A3210" t="n">
        <v>3209</v>
      </c>
      <c r="B3210" t="inlineStr">
        <is>
          <t>MMMCCIX</t>
        </is>
      </c>
      <c r="C3210">
        <f>ROMAN(3209)</f>
        <v/>
      </c>
      <c r="D3210">
        <f>IF(B3210=C3210, "YES", "WRONG")</f>
        <v/>
      </c>
    </row>
    <row r="3211">
      <c r="A3211" t="n">
        <v>3210</v>
      </c>
      <c r="B3211" t="inlineStr">
        <is>
          <t>MMMCCX</t>
        </is>
      </c>
      <c r="C3211">
        <f>ROMAN(3210)</f>
        <v/>
      </c>
      <c r="D3211">
        <f>IF(B3211=C3211, "YES", "WRONG")</f>
        <v/>
      </c>
    </row>
    <row r="3212">
      <c r="A3212" t="n">
        <v>3211</v>
      </c>
      <c r="B3212" t="inlineStr">
        <is>
          <t>MMMCCXI</t>
        </is>
      </c>
      <c r="C3212">
        <f>ROMAN(3211)</f>
        <v/>
      </c>
      <c r="D3212">
        <f>IF(B3212=C3212, "YES", "WRONG")</f>
        <v/>
      </c>
    </row>
    <row r="3213">
      <c r="A3213" t="n">
        <v>3212</v>
      </c>
      <c r="B3213" t="inlineStr">
        <is>
          <t>MMMCCXII</t>
        </is>
      </c>
      <c r="C3213">
        <f>ROMAN(3212)</f>
        <v/>
      </c>
      <c r="D3213">
        <f>IF(B3213=C3213, "YES", "WRONG")</f>
        <v/>
      </c>
    </row>
    <row r="3214">
      <c r="A3214" t="n">
        <v>3213</v>
      </c>
      <c r="B3214" t="inlineStr">
        <is>
          <t>MMMCCXIII</t>
        </is>
      </c>
      <c r="C3214">
        <f>ROMAN(3213)</f>
        <v/>
      </c>
      <c r="D3214">
        <f>IF(B3214=C3214, "YES", "WRONG")</f>
        <v/>
      </c>
    </row>
    <row r="3215">
      <c r="A3215" t="n">
        <v>3214</v>
      </c>
      <c r="B3215" t="inlineStr">
        <is>
          <t>MMMCCXIV</t>
        </is>
      </c>
      <c r="C3215">
        <f>ROMAN(3214)</f>
        <v/>
      </c>
      <c r="D3215">
        <f>IF(B3215=C3215, "YES", "WRONG")</f>
        <v/>
      </c>
    </row>
    <row r="3216">
      <c r="A3216" t="n">
        <v>3215</v>
      </c>
      <c r="B3216" t="inlineStr">
        <is>
          <t>MMMCCXV</t>
        </is>
      </c>
      <c r="C3216">
        <f>ROMAN(3215)</f>
        <v/>
      </c>
      <c r="D3216">
        <f>IF(B3216=C3216, "YES", "WRONG")</f>
        <v/>
      </c>
    </row>
    <row r="3217">
      <c r="A3217" t="n">
        <v>3216</v>
      </c>
      <c r="B3217" t="inlineStr">
        <is>
          <t>MMMCCXVI</t>
        </is>
      </c>
      <c r="C3217">
        <f>ROMAN(3216)</f>
        <v/>
      </c>
      <c r="D3217">
        <f>IF(B3217=C3217, "YES", "WRONG")</f>
        <v/>
      </c>
    </row>
    <row r="3218">
      <c r="A3218" t="n">
        <v>3217</v>
      </c>
      <c r="B3218" t="inlineStr">
        <is>
          <t>MMMCCXVII</t>
        </is>
      </c>
      <c r="C3218">
        <f>ROMAN(3217)</f>
        <v/>
      </c>
      <c r="D3218">
        <f>IF(B3218=C3218, "YES", "WRONG")</f>
        <v/>
      </c>
    </row>
    <row r="3219">
      <c r="A3219" t="n">
        <v>3218</v>
      </c>
      <c r="B3219" t="inlineStr">
        <is>
          <t>MMMCCXVIII</t>
        </is>
      </c>
      <c r="C3219">
        <f>ROMAN(3218)</f>
        <v/>
      </c>
      <c r="D3219">
        <f>IF(B3219=C3219, "YES", "WRONG")</f>
        <v/>
      </c>
    </row>
    <row r="3220">
      <c r="A3220" t="n">
        <v>3219</v>
      </c>
      <c r="B3220" t="inlineStr">
        <is>
          <t>MMMCCXIX</t>
        </is>
      </c>
      <c r="C3220">
        <f>ROMAN(3219)</f>
        <v/>
      </c>
      <c r="D3220">
        <f>IF(B3220=C3220, "YES", "WRONG")</f>
        <v/>
      </c>
    </row>
    <row r="3221">
      <c r="A3221" t="n">
        <v>3220</v>
      </c>
      <c r="B3221" t="inlineStr">
        <is>
          <t>MMMCCXX</t>
        </is>
      </c>
      <c r="C3221">
        <f>ROMAN(3220)</f>
        <v/>
      </c>
      <c r="D3221">
        <f>IF(B3221=C3221, "YES", "WRONG")</f>
        <v/>
      </c>
    </row>
    <row r="3222">
      <c r="A3222" t="n">
        <v>3221</v>
      </c>
      <c r="B3222" t="inlineStr">
        <is>
          <t>MMMCCXXI</t>
        </is>
      </c>
      <c r="C3222">
        <f>ROMAN(3221)</f>
        <v/>
      </c>
      <c r="D3222">
        <f>IF(B3222=C3222, "YES", "WRONG")</f>
        <v/>
      </c>
    </row>
    <row r="3223">
      <c r="A3223" t="n">
        <v>3222</v>
      </c>
      <c r="B3223" t="inlineStr">
        <is>
          <t>MMMCCXXII</t>
        </is>
      </c>
      <c r="C3223">
        <f>ROMAN(3222)</f>
        <v/>
      </c>
      <c r="D3223">
        <f>IF(B3223=C3223, "YES", "WRONG")</f>
        <v/>
      </c>
    </row>
    <row r="3224">
      <c r="A3224" t="n">
        <v>3223</v>
      </c>
      <c r="B3224" t="inlineStr">
        <is>
          <t>MMMCCXXIII</t>
        </is>
      </c>
      <c r="C3224">
        <f>ROMAN(3223)</f>
        <v/>
      </c>
      <c r="D3224">
        <f>IF(B3224=C3224, "YES", "WRONG")</f>
        <v/>
      </c>
    </row>
    <row r="3225">
      <c r="A3225" t="n">
        <v>3224</v>
      </c>
      <c r="B3225" t="inlineStr">
        <is>
          <t>MMMCCXXIV</t>
        </is>
      </c>
      <c r="C3225">
        <f>ROMAN(3224)</f>
        <v/>
      </c>
      <c r="D3225">
        <f>IF(B3225=C3225, "YES", "WRONG")</f>
        <v/>
      </c>
    </row>
    <row r="3226">
      <c r="A3226" t="n">
        <v>3225</v>
      </c>
      <c r="B3226" t="inlineStr">
        <is>
          <t>MMMCCXXV</t>
        </is>
      </c>
      <c r="C3226">
        <f>ROMAN(3225)</f>
        <v/>
      </c>
      <c r="D3226">
        <f>IF(B3226=C3226, "YES", "WRONG")</f>
        <v/>
      </c>
    </row>
    <row r="3227">
      <c r="A3227" t="n">
        <v>3226</v>
      </c>
      <c r="B3227" t="inlineStr">
        <is>
          <t>MMMCCXXVI</t>
        </is>
      </c>
      <c r="C3227">
        <f>ROMAN(3226)</f>
        <v/>
      </c>
      <c r="D3227">
        <f>IF(B3227=C3227, "YES", "WRONG")</f>
        <v/>
      </c>
    </row>
    <row r="3228">
      <c r="A3228" t="n">
        <v>3227</v>
      </c>
      <c r="B3228" t="inlineStr">
        <is>
          <t>MMMCCXXVII</t>
        </is>
      </c>
      <c r="C3228">
        <f>ROMAN(3227)</f>
        <v/>
      </c>
      <c r="D3228">
        <f>IF(B3228=C3228, "YES", "WRONG")</f>
        <v/>
      </c>
    </row>
    <row r="3229">
      <c r="A3229" t="n">
        <v>3228</v>
      </c>
      <c r="B3229" t="inlineStr">
        <is>
          <t>MMMCCXXVIII</t>
        </is>
      </c>
      <c r="C3229">
        <f>ROMAN(3228)</f>
        <v/>
      </c>
      <c r="D3229">
        <f>IF(B3229=C3229, "YES", "WRONG")</f>
        <v/>
      </c>
    </row>
    <row r="3230">
      <c r="A3230" t="n">
        <v>3229</v>
      </c>
      <c r="B3230" t="inlineStr">
        <is>
          <t>MMMCCXXIX</t>
        </is>
      </c>
      <c r="C3230">
        <f>ROMAN(3229)</f>
        <v/>
      </c>
      <c r="D3230">
        <f>IF(B3230=C3230, "YES", "WRONG")</f>
        <v/>
      </c>
    </row>
    <row r="3231">
      <c r="A3231" t="n">
        <v>3230</v>
      </c>
      <c r="B3231" t="inlineStr">
        <is>
          <t>MMMCCXXX</t>
        </is>
      </c>
      <c r="C3231">
        <f>ROMAN(3230)</f>
        <v/>
      </c>
      <c r="D3231">
        <f>IF(B3231=C3231, "YES", "WRONG")</f>
        <v/>
      </c>
    </row>
    <row r="3232">
      <c r="A3232" t="n">
        <v>3231</v>
      </c>
      <c r="B3232" t="inlineStr">
        <is>
          <t>MMMCCXXXI</t>
        </is>
      </c>
      <c r="C3232">
        <f>ROMAN(3231)</f>
        <v/>
      </c>
      <c r="D3232">
        <f>IF(B3232=C3232, "YES", "WRONG")</f>
        <v/>
      </c>
    </row>
    <row r="3233">
      <c r="A3233" t="n">
        <v>3232</v>
      </c>
      <c r="B3233" t="inlineStr">
        <is>
          <t>MMMCCXXXII</t>
        </is>
      </c>
      <c r="C3233">
        <f>ROMAN(3232)</f>
        <v/>
      </c>
      <c r="D3233">
        <f>IF(B3233=C3233, "YES", "WRONG")</f>
        <v/>
      </c>
    </row>
    <row r="3234">
      <c r="A3234" t="n">
        <v>3233</v>
      </c>
      <c r="B3234" t="inlineStr">
        <is>
          <t>MMMCCXXXIII</t>
        </is>
      </c>
      <c r="C3234">
        <f>ROMAN(3233)</f>
        <v/>
      </c>
      <c r="D3234">
        <f>IF(B3234=C3234, "YES", "WRONG")</f>
        <v/>
      </c>
    </row>
    <row r="3235">
      <c r="A3235" t="n">
        <v>3234</v>
      </c>
      <c r="B3235" t="inlineStr">
        <is>
          <t>MMMCCXXXIV</t>
        </is>
      </c>
      <c r="C3235">
        <f>ROMAN(3234)</f>
        <v/>
      </c>
      <c r="D3235">
        <f>IF(B3235=C3235, "YES", "WRONG")</f>
        <v/>
      </c>
    </row>
    <row r="3236">
      <c r="A3236" t="n">
        <v>3235</v>
      </c>
      <c r="B3236" t="inlineStr">
        <is>
          <t>MMMCCXXXV</t>
        </is>
      </c>
      <c r="C3236">
        <f>ROMAN(3235)</f>
        <v/>
      </c>
      <c r="D3236">
        <f>IF(B3236=C3236, "YES", "WRONG")</f>
        <v/>
      </c>
    </row>
    <row r="3237">
      <c r="A3237" t="n">
        <v>3236</v>
      </c>
      <c r="B3237" t="inlineStr">
        <is>
          <t>MMMCCXXXVI</t>
        </is>
      </c>
      <c r="C3237">
        <f>ROMAN(3236)</f>
        <v/>
      </c>
      <c r="D3237">
        <f>IF(B3237=C3237, "YES", "WRONG")</f>
        <v/>
      </c>
    </row>
    <row r="3238">
      <c r="A3238" t="n">
        <v>3237</v>
      </c>
      <c r="B3238" t="inlineStr">
        <is>
          <t>MMMCCXXXVII</t>
        </is>
      </c>
      <c r="C3238">
        <f>ROMAN(3237)</f>
        <v/>
      </c>
      <c r="D3238">
        <f>IF(B3238=C3238, "YES", "WRONG")</f>
        <v/>
      </c>
    </row>
    <row r="3239">
      <c r="A3239" t="n">
        <v>3238</v>
      </c>
      <c r="B3239" t="inlineStr">
        <is>
          <t>MMMCCXXXVIII</t>
        </is>
      </c>
      <c r="C3239">
        <f>ROMAN(3238)</f>
        <v/>
      </c>
      <c r="D3239">
        <f>IF(B3239=C3239, "YES", "WRONG")</f>
        <v/>
      </c>
    </row>
    <row r="3240">
      <c r="A3240" t="n">
        <v>3239</v>
      </c>
      <c r="B3240" t="inlineStr">
        <is>
          <t>MMMCCXXXIX</t>
        </is>
      </c>
      <c r="C3240">
        <f>ROMAN(3239)</f>
        <v/>
      </c>
      <c r="D3240">
        <f>IF(B3240=C3240, "YES", "WRONG")</f>
        <v/>
      </c>
    </row>
    <row r="3241">
      <c r="A3241" t="n">
        <v>3240</v>
      </c>
      <c r="B3241" t="inlineStr">
        <is>
          <t>MMMCCXL</t>
        </is>
      </c>
      <c r="C3241">
        <f>ROMAN(3240)</f>
        <v/>
      </c>
      <c r="D3241">
        <f>IF(B3241=C3241, "YES", "WRONG")</f>
        <v/>
      </c>
    </row>
    <row r="3242">
      <c r="A3242" t="n">
        <v>3241</v>
      </c>
      <c r="B3242" t="inlineStr">
        <is>
          <t>MMMCCXLI</t>
        </is>
      </c>
      <c r="C3242">
        <f>ROMAN(3241)</f>
        <v/>
      </c>
      <c r="D3242">
        <f>IF(B3242=C3242, "YES", "WRONG")</f>
        <v/>
      </c>
    </row>
    <row r="3243">
      <c r="A3243" t="n">
        <v>3242</v>
      </c>
      <c r="B3243" t="inlineStr">
        <is>
          <t>MMMCCXLII</t>
        </is>
      </c>
      <c r="C3243">
        <f>ROMAN(3242)</f>
        <v/>
      </c>
      <c r="D3243">
        <f>IF(B3243=C3243, "YES", "WRONG")</f>
        <v/>
      </c>
    </row>
    <row r="3244">
      <c r="A3244" t="n">
        <v>3243</v>
      </c>
      <c r="B3244" t="inlineStr">
        <is>
          <t>MMMCCXLIII</t>
        </is>
      </c>
      <c r="C3244">
        <f>ROMAN(3243)</f>
        <v/>
      </c>
      <c r="D3244">
        <f>IF(B3244=C3244, "YES", "WRONG")</f>
        <v/>
      </c>
    </row>
    <row r="3245">
      <c r="A3245" t="n">
        <v>3244</v>
      </c>
      <c r="B3245" t="inlineStr">
        <is>
          <t>MMMCCXLIV</t>
        </is>
      </c>
      <c r="C3245">
        <f>ROMAN(3244)</f>
        <v/>
      </c>
      <c r="D3245">
        <f>IF(B3245=C3245, "YES", "WRONG")</f>
        <v/>
      </c>
    </row>
    <row r="3246">
      <c r="A3246" t="n">
        <v>3245</v>
      </c>
      <c r="B3246" t="inlineStr">
        <is>
          <t>MMMCCXLV</t>
        </is>
      </c>
      <c r="C3246">
        <f>ROMAN(3245)</f>
        <v/>
      </c>
      <c r="D3246">
        <f>IF(B3246=C3246, "YES", "WRONG")</f>
        <v/>
      </c>
    </row>
    <row r="3247">
      <c r="A3247" t="n">
        <v>3246</v>
      </c>
      <c r="B3247" t="inlineStr">
        <is>
          <t>MMMCCXLVI</t>
        </is>
      </c>
      <c r="C3247">
        <f>ROMAN(3246)</f>
        <v/>
      </c>
      <c r="D3247">
        <f>IF(B3247=C3247, "YES", "WRONG")</f>
        <v/>
      </c>
    </row>
    <row r="3248">
      <c r="A3248" t="n">
        <v>3247</v>
      </c>
      <c r="B3248" t="inlineStr">
        <is>
          <t>MMMCCXLVII</t>
        </is>
      </c>
      <c r="C3248">
        <f>ROMAN(3247)</f>
        <v/>
      </c>
      <c r="D3248">
        <f>IF(B3248=C3248, "YES", "WRONG")</f>
        <v/>
      </c>
    </row>
    <row r="3249">
      <c r="A3249" t="n">
        <v>3248</v>
      </c>
      <c r="B3249" t="inlineStr">
        <is>
          <t>MMMCCXLVIII</t>
        </is>
      </c>
      <c r="C3249">
        <f>ROMAN(3248)</f>
        <v/>
      </c>
      <c r="D3249">
        <f>IF(B3249=C3249, "YES", "WRONG")</f>
        <v/>
      </c>
    </row>
    <row r="3250">
      <c r="A3250" t="n">
        <v>3249</v>
      </c>
      <c r="B3250" t="inlineStr">
        <is>
          <t>MMMCCXLIX</t>
        </is>
      </c>
      <c r="C3250">
        <f>ROMAN(3249)</f>
        <v/>
      </c>
      <c r="D3250">
        <f>IF(B3250=C3250, "YES", "WRONG")</f>
        <v/>
      </c>
    </row>
    <row r="3251">
      <c r="A3251" t="n">
        <v>3250</v>
      </c>
      <c r="B3251" t="inlineStr">
        <is>
          <t>MMMCCL</t>
        </is>
      </c>
      <c r="C3251">
        <f>ROMAN(3250)</f>
        <v/>
      </c>
      <c r="D3251">
        <f>IF(B3251=C3251, "YES", "WRONG")</f>
        <v/>
      </c>
    </row>
    <row r="3252">
      <c r="A3252" t="n">
        <v>3251</v>
      </c>
      <c r="B3252" t="inlineStr">
        <is>
          <t>MMMCCLI</t>
        </is>
      </c>
      <c r="C3252">
        <f>ROMAN(3251)</f>
        <v/>
      </c>
      <c r="D3252">
        <f>IF(B3252=C3252, "YES", "WRONG")</f>
        <v/>
      </c>
    </row>
    <row r="3253">
      <c r="A3253" t="n">
        <v>3252</v>
      </c>
      <c r="B3253" t="inlineStr">
        <is>
          <t>MMMCCLII</t>
        </is>
      </c>
      <c r="C3253">
        <f>ROMAN(3252)</f>
        <v/>
      </c>
      <c r="D3253">
        <f>IF(B3253=C3253, "YES", "WRONG")</f>
        <v/>
      </c>
    </row>
    <row r="3254">
      <c r="A3254" t="n">
        <v>3253</v>
      </c>
      <c r="B3254" t="inlineStr">
        <is>
          <t>MMMCCLIII</t>
        </is>
      </c>
      <c r="C3254">
        <f>ROMAN(3253)</f>
        <v/>
      </c>
      <c r="D3254">
        <f>IF(B3254=C3254, "YES", "WRONG")</f>
        <v/>
      </c>
    </row>
    <row r="3255">
      <c r="A3255" t="n">
        <v>3254</v>
      </c>
      <c r="B3255" t="inlineStr">
        <is>
          <t>MMMCCLIV</t>
        </is>
      </c>
      <c r="C3255">
        <f>ROMAN(3254)</f>
        <v/>
      </c>
      <c r="D3255">
        <f>IF(B3255=C3255, "YES", "WRONG")</f>
        <v/>
      </c>
    </row>
    <row r="3256">
      <c r="A3256" t="n">
        <v>3255</v>
      </c>
      <c r="B3256" t="inlineStr">
        <is>
          <t>MMMCCLV</t>
        </is>
      </c>
      <c r="C3256">
        <f>ROMAN(3255)</f>
        <v/>
      </c>
      <c r="D3256">
        <f>IF(B3256=C3256, "YES", "WRONG")</f>
        <v/>
      </c>
    </row>
    <row r="3257">
      <c r="A3257" t="n">
        <v>3256</v>
      </c>
      <c r="B3257" t="inlineStr">
        <is>
          <t>MMMCCLVI</t>
        </is>
      </c>
      <c r="C3257">
        <f>ROMAN(3256)</f>
        <v/>
      </c>
      <c r="D3257">
        <f>IF(B3257=C3257, "YES", "WRONG")</f>
        <v/>
      </c>
    </row>
    <row r="3258">
      <c r="A3258" t="n">
        <v>3257</v>
      </c>
      <c r="B3258" t="inlineStr">
        <is>
          <t>MMMCCLVII</t>
        </is>
      </c>
      <c r="C3258">
        <f>ROMAN(3257)</f>
        <v/>
      </c>
      <c r="D3258">
        <f>IF(B3258=C3258, "YES", "WRONG")</f>
        <v/>
      </c>
    </row>
    <row r="3259">
      <c r="A3259" t="n">
        <v>3258</v>
      </c>
      <c r="B3259" t="inlineStr">
        <is>
          <t>MMMCCLVIII</t>
        </is>
      </c>
      <c r="C3259">
        <f>ROMAN(3258)</f>
        <v/>
      </c>
      <c r="D3259">
        <f>IF(B3259=C3259, "YES", "WRONG")</f>
        <v/>
      </c>
    </row>
    <row r="3260">
      <c r="A3260" t="n">
        <v>3259</v>
      </c>
      <c r="B3260" t="inlineStr">
        <is>
          <t>MMMCCLIX</t>
        </is>
      </c>
      <c r="C3260">
        <f>ROMAN(3259)</f>
        <v/>
      </c>
      <c r="D3260">
        <f>IF(B3260=C3260, "YES", "WRONG")</f>
        <v/>
      </c>
    </row>
    <row r="3261">
      <c r="A3261" t="n">
        <v>3260</v>
      </c>
      <c r="B3261" t="inlineStr">
        <is>
          <t>MMMCCLX</t>
        </is>
      </c>
      <c r="C3261">
        <f>ROMAN(3260)</f>
        <v/>
      </c>
      <c r="D3261">
        <f>IF(B3261=C3261, "YES", "WRONG")</f>
        <v/>
      </c>
    </row>
    <row r="3262">
      <c r="A3262" t="n">
        <v>3261</v>
      </c>
      <c r="B3262" t="inlineStr">
        <is>
          <t>MMMCCLXI</t>
        </is>
      </c>
      <c r="C3262">
        <f>ROMAN(3261)</f>
        <v/>
      </c>
      <c r="D3262">
        <f>IF(B3262=C3262, "YES", "WRONG")</f>
        <v/>
      </c>
    </row>
    <row r="3263">
      <c r="A3263" t="n">
        <v>3262</v>
      </c>
      <c r="B3263" t="inlineStr">
        <is>
          <t>MMMCCLXII</t>
        </is>
      </c>
      <c r="C3263">
        <f>ROMAN(3262)</f>
        <v/>
      </c>
      <c r="D3263">
        <f>IF(B3263=C3263, "YES", "WRONG")</f>
        <v/>
      </c>
    </row>
    <row r="3264">
      <c r="A3264" t="n">
        <v>3263</v>
      </c>
      <c r="B3264" t="inlineStr">
        <is>
          <t>MMMCCLXIII</t>
        </is>
      </c>
      <c r="C3264">
        <f>ROMAN(3263)</f>
        <v/>
      </c>
      <c r="D3264">
        <f>IF(B3264=C3264, "YES", "WRONG")</f>
        <v/>
      </c>
    </row>
    <row r="3265">
      <c r="A3265" t="n">
        <v>3264</v>
      </c>
      <c r="B3265" t="inlineStr">
        <is>
          <t>MMMCCLXIV</t>
        </is>
      </c>
      <c r="C3265">
        <f>ROMAN(3264)</f>
        <v/>
      </c>
      <c r="D3265">
        <f>IF(B3265=C3265, "YES", "WRONG")</f>
        <v/>
      </c>
    </row>
    <row r="3266">
      <c r="A3266" t="n">
        <v>3265</v>
      </c>
      <c r="B3266" t="inlineStr">
        <is>
          <t>MMMCCLXV</t>
        </is>
      </c>
      <c r="C3266">
        <f>ROMAN(3265)</f>
        <v/>
      </c>
      <c r="D3266">
        <f>IF(B3266=C3266, "YES", "WRONG")</f>
        <v/>
      </c>
    </row>
    <row r="3267">
      <c r="A3267" t="n">
        <v>3266</v>
      </c>
      <c r="B3267" t="inlineStr">
        <is>
          <t>MMMCCLXVI</t>
        </is>
      </c>
      <c r="C3267">
        <f>ROMAN(3266)</f>
        <v/>
      </c>
      <c r="D3267">
        <f>IF(B3267=C3267, "YES", "WRONG")</f>
        <v/>
      </c>
    </row>
    <row r="3268">
      <c r="A3268" t="n">
        <v>3267</v>
      </c>
      <c r="B3268" t="inlineStr">
        <is>
          <t>MMMCCLXVII</t>
        </is>
      </c>
      <c r="C3268">
        <f>ROMAN(3267)</f>
        <v/>
      </c>
      <c r="D3268">
        <f>IF(B3268=C3268, "YES", "WRONG")</f>
        <v/>
      </c>
    </row>
    <row r="3269">
      <c r="A3269" t="n">
        <v>3268</v>
      </c>
      <c r="B3269" t="inlineStr">
        <is>
          <t>MMMCCLXVIII</t>
        </is>
      </c>
      <c r="C3269">
        <f>ROMAN(3268)</f>
        <v/>
      </c>
      <c r="D3269">
        <f>IF(B3269=C3269, "YES", "WRONG")</f>
        <v/>
      </c>
    </row>
    <row r="3270">
      <c r="A3270" t="n">
        <v>3269</v>
      </c>
      <c r="B3270" t="inlineStr">
        <is>
          <t>MMMCCLXIX</t>
        </is>
      </c>
      <c r="C3270">
        <f>ROMAN(3269)</f>
        <v/>
      </c>
      <c r="D3270">
        <f>IF(B3270=C3270, "YES", "WRONG")</f>
        <v/>
      </c>
    </row>
    <row r="3271">
      <c r="A3271" t="n">
        <v>3270</v>
      </c>
      <c r="B3271" t="inlineStr">
        <is>
          <t>MMMCCLXX</t>
        </is>
      </c>
      <c r="C3271">
        <f>ROMAN(3270)</f>
        <v/>
      </c>
      <c r="D3271">
        <f>IF(B3271=C3271, "YES", "WRONG")</f>
        <v/>
      </c>
    </row>
    <row r="3272">
      <c r="A3272" t="n">
        <v>3271</v>
      </c>
      <c r="B3272" t="inlineStr">
        <is>
          <t>MMMCCLXXI</t>
        </is>
      </c>
      <c r="C3272">
        <f>ROMAN(3271)</f>
        <v/>
      </c>
      <c r="D3272">
        <f>IF(B3272=C3272, "YES", "WRONG")</f>
        <v/>
      </c>
    </row>
    <row r="3273">
      <c r="A3273" t="n">
        <v>3272</v>
      </c>
      <c r="B3273" t="inlineStr">
        <is>
          <t>MMMCCLXXII</t>
        </is>
      </c>
      <c r="C3273">
        <f>ROMAN(3272)</f>
        <v/>
      </c>
      <c r="D3273">
        <f>IF(B3273=C3273, "YES", "WRONG")</f>
        <v/>
      </c>
    </row>
    <row r="3274">
      <c r="A3274" t="n">
        <v>3273</v>
      </c>
      <c r="B3274" t="inlineStr">
        <is>
          <t>MMMCCLXXIII</t>
        </is>
      </c>
      <c r="C3274">
        <f>ROMAN(3273)</f>
        <v/>
      </c>
      <c r="D3274">
        <f>IF(B3274=C3274, "YES", "WRONG")</f>
        <v/>
      </c>
    </row>
    <row r="3275">
      <c r="A3275" t="n">
        <v>3274</v>
      </c>
      <c r="B3275" t="inlineStr">
        <is>
          <t>MMMCCLXXIV</t>
        </is>
      </c>
      <c r="C3275">
        <f>ROMAN(3274)</f>
        <v/>
      </c>
      <c r="D3275">
        <f>IF(B3275=C3275, "YES", "WRONG")</f>
        <v/>
      </c>
    </row>
    <row r="3276">
      <c r="A3276" t="n">
        <v>3275</v>
      </c>
      <c r="B3276" t="inlineStr">
        <is>
          <t>MMMCCLXXV</t>
        </is>
      </c>
      <c r="C3276">
        <f>ROMAN(3275)</f>
        <v/>
      </c>
      <c r="D3276">
        <f>IF(B3276=C3276, "YES", "WRONG")</f>
        <v/>
      </c>
    </row>
    <row r="3277">
      <c r="A3277" t="n">
        <v>3276</v>
      </c>
      <c r="B3277" t="inlineStr">
        <is>
          <t>MMMCCLXXVI</t>
        </is>
      </c>
      <c r="C3277">
        <f>ROMAN(3276)</f>
        <v/>
      </c>
      <c r="D3277">
        <f>IF(B3277=C3277, "YES", "WRONG")</f>
        <v/>
      </c>
    </row>
    <row r="3278">
      <c r="A3278" t="n">
        <v>3277</v>
      </c>
      <c r="B3278" t="inlineStr">
        <is>
          <t>MMMCCLXXVII</t>
        </is>
      </c>
      <c r="C3278">
        <f>ROMAN(3277)</f>
        <v/>
      </c>
      <c r="D3278">
        <f>IF(B3278=C3278, "YES", "WRONG")</f>
        <v/>
      </c>
    </row>
    <row r="3279">
      <c r="A3279" t="n">
        <v>3278</v>
      </c>
      <c r="B3279" t="inlineStr">
        <is>
          <t>MMMCCLXXVIII</t>
        </is>
      </c>
      <c r="C3279">
        <f>ROMAN(3278)</f>
        <v/>
      </c>
      <c r="D3279">
        <f>IF(B3279=C3279, "YES", "WRONG")</f>
        <v/>
      </c>
    </row>
    <row r="3280">
      <c r="A3280" t="n">
        <v>3279</v>
      </c>
      <c r="B3280" t="inlineStr">
        <is>
          <t>MMMCCLXXIX</t>
        </is>
      </c>
      <c r="C3280">
        <f>ROMAN(3279)</f>
        <v/>
      </c>
      <c r="D3280">
        <f>IF(B3280=C3280, "YES", "WRONG")</f>
        <v/>
      </c>
    </row>
    <row r="3281">
      <c r="A3281" t="n">
        <v>3280</v>
      </c>
      <c r="B3281" t="inlineStr">
        <is>
          <t>MMMCCLXXX</t>
        </is>
      </c>
      <c r="C3281">
        <f>ROMAN(3280)</f>
        <v/>
      </c>
      <c r="D3281">
        <f>IF(B3281=C3281, "YES", "WRONG")</f>
        <v/>
      </c>
    </row>
    <row r="3282">
      <c r="A3282" t="n">
        <v>3281</v>
      </c>
      <c r="B3282" t="inlineStr">
        <is>
          <t>MMMCCLXXXI</t>
        </is>
      </c>
      <c r="C3282">
        <f>ROMAN(3281)</f>
        <v/>
      </c>
      <c r="D3282">
        <f>IF(B3282=C3282, "YES", "WRONG")</f>
        <v/>
      </c>
    </row>
    <row r="3283">
      <c r="A3283" t="n">
        <v>3282</v>
      </c>
      <c r="B3283" t="inlineStr">
        <is>
          <t>MMMCCLXXXII</t>
        </is>
      </c>
      <c r="C3283">
        <f>ROMAN(3282)</f>
        <v/>
      </c>
      <c r="D3283">
        <f>IF(B3283=C3283, "YES", "WRONG")</f>
        <v/>
      </c>
    </row>
    <row r="3284">
      <c r="A3284" t="n">
        <v>3283</v>
      </c>
      <c r="B3284" t="inlineStr">
        <is>
          <t>MMMCCLXXXIII</t>
        </is>
      </c>
      <c r="C3284">
        <f>ROMAN(3283)</f>
        <v/>
      </c>
      <c r="D3284">
        <f>IF(B3284=C3284, "YES", "WRONG")</f>
        <v/>
      </c>
    </row>
    <row r="3285">
      <c r="A3285" t="n">
        <v>3284</v>
      </c>
      <c r="B3285" t="inlineStr">
        <is>
          <t>MMMCCLXXXIV</t>
        </is>
      </c>
      <c r="C3285">
        <f>ROMAN(3284)</f>
        <v/>
      </c>
      <c r="D3285">
        <f>IF(B3285=C3285, "YES", "WRONG")</f>
        <v/>
      </c>
    </row>
    <row r="3286">
      <c r="A3286" t="n">
        <v>3285</v>
      </c>
      <c r="B3286" t="inlineStr">
        <is>
          <t>MMMCCLXXXV</t>
        </is>
      </c>
      <c r="C3286">
        <f>ROMAN(3285)</f>
        <v/>
      </c>
      <c r="D3286">
        <f>IF(B3286=C3286, "YES", "WRONG")</f>
        <v/>
      </c>
    </row>
    <row r="3287">
      <c r="A3287" t="n">
        <v>3286</v>
      </c>
      <c r="B3287" t="inlineStr">
        <is>
          <t>MMMCCLXXXVI</t>
        </is>
      </c>
      <c r="C3287">
        <f>ROMAN(3286)</f>
        <v/>
      </c>
      <c r="D3287">
        <f>IF(B3287=C3287, "YES", "WRONG")</f>
        <v/>
      </c>
    </row>
    <row r="3288">
      <c r="A3288" t="n">
        <v>3287</v>
      </c>
      <c r="B3288" t="inlineStr">
        <is>
          <t>MMMCCLXXXVII</t>
        </is>
      </c>
      <c r="C3288">
        <f>ROMAN(3287)</f>
        <v/>
      </c>
      <c r="D3288">
        <f>IF(B3288=C3288, "YES", "WRONG")</f>
        <v/>
      </c>
    </row>
    <row r="3289">
      <c r="A3289" t="n">
        <v>3288</v>
      </c>
      <c r="B3289" t="inlineStr">
        <is>
          <t>MMMCCLXXXVIII</t>
        </is>
      </c>
      <c r="C3289">
        <f>ROMAN(3288)</f>
        <v/>
      </c>
      <c r="D3289">
        <f>IF(B3289=C3289, "YES", "WRONG")</f>
        <v/>
      </c>
    </row>
    <row r="3290">
      <c r="A3290" t="n">
        <v>3289</v>
      </c>
      <c r="B3290" t="inlineStr">
        <is>
          <t>MMMCCLXXXIX</t>
        </is>
      </c>
      <c r="C3290">
        <f>ROMAN(3289)</f>
        <v/>
      </c>
      <c r="D3290">
        <f>IF(B3290=C3290, "YES", "WRONG")</f>
        <v/>
      </c>
    </row>
    <row r="3291">
      <c r="A3291" t="n">
        <v>3290</v>
      </c>
      <c r="B3291" t="inlineStr">
        <is>
          <t>MMMCCXC</t>
        </is>
      </c>
      <c r="C3291">
        <f>ROMAN(3290)</f>
        <v/>
      </c>
      <c r="D3291">
        <f>IF(B3291=C3291, "YES", "WRONG")</f>
        <v/>
      </c>
    </row>
    <row r="3292">
      <c r="A3292" t="n">
        <v>3291</v>
      </c>
      <c r="B3292" t="inlineStr">
        <is>
          <t>MMMCCXCI</t>
        </is>
      </c>
      <c r="C3292">
        <f>ROMAN(3291)</f>
        <v/>
      </c>
      <c r="D3292">
        <f>IF(B3292=C3292, "YES", "WRONG")</f>
        <v/>
      </c>
    </row>
    <row r="3293">
      <c r="A3293" t="n">
        <v>3292</v>
      </c>
      <c r="B3293" t="inlineStr">
        <is>
          <t>MMMCCXCII</t>
        </is>
      </c>
      <c r="C3293">
        <f>ROMAN(3292)</f>
        <v/>
      </c>
      <c r="D3293">
        <f>IF(B3293=C3293, "YES", "WRONG")</f>
        <v/>
      </c>
    </row>
    <row r="3294">
      <c r="A3294" t="n">
        <v>3293</v>
      </c>
      <c r="B3294" t="inlineStr">
        <is>
          <t>MMMCCXCIII</t>
        </is>
      </c>
      <c r="C3294">
        <f>ROMAN(3293)</f>
        <v/>
      </c>
      <c r="D3294">
        <f>IF(B3294=C3294, "YES", "WRONG")</f>
        <v/>
      </c>
    </row>
    <row r="3295">
      <c r="A3295" t="n">
        <v>3294</v>
      </c>
      <c r="B3295" t="inlineStr">
        <is>
          <t>MMMCCXCIV</t>
        </is>
      </c>
      <c r="C3295">
        <f>ROMAN(3294)</f>
        <v/>
      </c>
      <c r="D3295">
        <f>IF(B3295=C3295, "YES", "WRONG")</f>
        <v/>
      </c>
    </row>
    <row r="3296">
      <c r="A3296" t="n">
        <v>3295</v>
      </c>
      <c r="B3296" t="inlineStr">
        <is>
          <t>MMMCCXCV</t>
        </is>
      </c>
      <c r="C3296">
        <f>ROMAN(3295)</f>
        <v/>
      </c>
      <c r="D3296">
        <f>IF(B3296=C3296, "YES", "WRONG")</f>
        <v/>
      </c>
    </row>
    <row r="3297">
      <c r="A3297" t="n">
        <v>3296</v>
      </c>
      <c r="B3297" t="inlineStr">
        <is>
          <t>MMMCCXCVI</t>
        </is>
      </c>
      <c r="C3297">
        <f>ROMAN(3296)</f>
        <v/>
      </c>
      <c r="D3297">
        <f>IF(B3297=C3297, "YES", "WRONG")</f>
        <v/>
      </c>
    </row>
    <row r="3298">
      <c r="A3298" t="n">
        <v>3297</v>
      </c>
      <c r="B3298" t="inlineStr">
        <is>
          <t>MMMCCXCVII</t>
        </is>
      </c>
      <c r="C3298">
        <f>ROMAN(3297)</f>
        <v/>
      </c>
      <c r="D3298">
        <f>IF(B3298=C3298, "YES", "WRONG")</f>
        <v/>
      </c>
    </row>
    <row r="3299">
      <c r="A3299" t="n">
        <v>3298</v>
      </c>
      <c r="B3299" t="inlineStr">
        <is>
          <t>MMMCCXCVIII</t>
        </is>
      </c>
      <c r="C3299">
        <f>ROMAN(3298)</f>
        <v/>
      </c>
      <c r="D3299">
        <f>IF(B3299=C3299, "YES", "WRONG")</f>
        <v/>
      </c>
    </row>
    <row r="3300">
      <c r="A3300" t="n">
        <v>3299</v>
      </c>
      <c r="B3300" t="inlineStr">
        <is>
          <t>MMMCCXCIX</t>
        </is>
      </c>
      <c r="C3300">
        <f>ROMAN(3299)</f>
        <v/>
      </c>
      <c r="D3300">
        <f>IF(B3300=C3300, "YES", "WRONG")</f>
        <v/>
      </c>
    </row>
    <row r="3301">
      <c r="A3301" t="n">
        <v>3300</v>
      </c>
      <c r="B3301" t="inlineStr">
        <is>
          <t>MMMCCC</t>
        </is>
      </c>
      <c r="C3301">
        <f>ROMAN(3300)</f>
        <v/>
      </c>
      <c r="D3301">
        <f>IF(B3301=C3301, "YES", "WRONG")</f>
        <v/>
      </c>
    </row>
    <row r="3302">
      <c r="A3302" t="n">
        <v>3301</v>
      </c>
      <c r="B3302" t="inlineStr">
        <is>
          <t>MMMCCCI</t>
        </is>
      </c>
      <c r="C3302">
        <f>ROMAN(3301)</f>
        <v/>
      </c>
      <c r="D3302">
        <f>IF(B3302=C3302, "YES", "WRONG")</f>
        <v/>
      </c>
    </row>
    <row r="3303">
      <c r="A3303" t="n">
        <v>3302</v>
      </c>
      <c r="B3303" t="inlineStr">
        <is>
          <t>MMMCCCII</t>
        </is>
      </c>
      <c r="C3303">
        <f>ROMAN(3302)</f>
        <v/>
      </c>
      <c r="D3303">
        <f>IF(B3303=C3303, "YES", "WRONG")</f>
        <v/>
      </c>
    </row>
    <row r="3304">
      <c r="A3304" t="n">
        <v>3303</v>
      </c>
      <c r="B3304" t="inlineStr">
        <is>
          <t>MMMCCCIII</t>
        </is>
      </c>
      <c r="C3304">
        <f>ROMAN(3303)</f>
        <v/>
      </c>
      <c r="D3304">
        <f>IF(B3304=C3304, "YES", "WRONG")</f>
        <v/>
      </c>
    </row>
    <row r="3305">
      <c r="A3305" t="n">
        <v>3304</v>
      </c>
      <c r="B3305" t="inlineStr">
        <is>
          <t>MMMCCCIV</t>
        </is>
      </c>
      <c r="C3305">
        <f>ROMAN(3304)</f>
        <v/>
      </c>
      <c r="D3305">
        <f>IF(B3305=C3305, "YES", "WRONG")</f>
        <v/>
      </c>
    </row>
    <row r="3306">
      <c r="A3306" t="n">
        <v>3305</v>
      </c>
      <c r="B3306" t="inlineStr">
        <is>
          <t>MMMCCCV</t>
        </is>
      </c>
      <c r="C3306">
        <f>ROMAN(3305)</f>
        <v/>
      </c>
      <c r="D3306">
        <f>IF(B3306=C3306, "YES", "WRONG")</f>
        <v/>
      </c>
    </row>
    <row r="3307">
      <c r="A3307" t="n">
        <v>3306</v>
      </c>
      <c r="B3307" t="inlineStr">
        <is>
          <t>MMMCCCVI</t>
        </is>
      </c>
      <c r="C3307">
        <f>ROMAN(3306)</f>
        <v/>
      </c>
      <c r="D3307">
        <f>IF(B3307=C3307, "YES", "WRONG")</f>
        <v/>
      </c>
    </row>
    <row r="3308">
      <c r="A3308" t="n">
        <v>3307</v>
      </c>
      <c r="B3308" t="inlineStr">
        <is>
          <t>MMMCCCVII</t>
        </is>
      </c>
      <c r="C3308">
        <f>ROMAN(3307)</f>
        <v/>
      </c>
      <c r="D3308">
        <f>IF(B3308=C3308, "YES", "WRONG")</f>
        <v/>
      </c>
    </row>
    <row r="3309">
      <c r="A3309" t="n">
        <v>3308</v>
      </c>
      <c r="B3309" t="inlineStr">
        <is>
          <t>MMMCCCVIII</t>
        </is>
      </c>
      <c r="C3309">
        <f>ROMAN(3308)</f>
        <v/>
      </c>
      <c r="D3309">
        <f>IF(B3309=C3309, "YES", "WRONG")</f>
        <v/>
      </c>
    </row>
    <row r="3310">
      <c r="A3310" t="n">
        <v>3309</v>
      </c>
      <c r="B3310" t="inlineStr">
        <is>
          <t>MMMCCCIX</t>
        </is>
      </c>
      <c r="C3310">
        <f>ROMAN(3309)</f>
        <v/>
      </c>
      <c r="D3310">
        <f>IF(B3310=C3310, "YES", "WRONG")</f>
        <v/>
      </c>
    </row>
    <row r="3311">
      <c r="A3311" t="n">
        <v>3310</v>
      </c>
      <c r="B3311" t="inlineStr">
        <is>
          <t>MMMCCCX</t>
        </is>
      </c>
      <c r="C3311">
        <f>ROMAN(3310)</f>
        <v/>
      </c>
      <c r="D3311">
        <f>IF(B3311=C3311, "YES", "WRONG")</f>
        <v/>
      </c>
    </row>
    <row r="3312">
      <c r="A3312" t="n">
        <v>3311</v>
      </c>
      <c r="B3312" t="inlineStr">
        <is>
          <t>MMMCCCXI</t>
        </is>
      </c>
      <c r="C3312">
        <f>ROMAN(3311)</f>
        <v/>
      </c>
      <c r="D3312">
        <f>IF(B3312=C3312, "YES", "WRONG")</f>
        <v/>
      </c>
    </row>
    <row r="3313">
      <c r="A3313" t="n">
        <v>3312</v>
      </c>
      <c r="B3313" t="inlineStr">
        <is>
          <t>MMMCCCXII</t>
        </is>
      </c>
      <c r="C3313">
        <f>ROMAN(3312)</f>
        <v/>
      </c>
      <c r="D3313">
        <f>IF(B3313=C3313, "YES", "WRONG")</f>
        <v/>
      </c>
    </row>
    <row r="3314">
      <c r="A3314" t="n">
        <v>3313</v>
      </c>
      <c r="B3314" t="inlineStr">
        <is>
          <t>MMMCCCXIII</t>
        </is>
      </c>
      <c r="C3314">
        <f>ROMAN(3313)</f>
        <v/>
      </c>
      <c r="D3314">
        <f>IF(B3314=C3314, "YES", "WRONG")</f>
        <v/>
      </c>
    </row>
    <row r="3315">
      <c r="A3315" t="n">
        <v>3314</v>
      </c>
      <c r="B3315" t="inlineStr">
        <is>
          <t>MMMCCCXIV</t>
        </is>
      </c>
      <c r="C3315">
        <f>ROMAN(3314)</f>
        <v/>
      </c>
      <c r="D3315">
        <f>IF(B3315=C3315, "YES", "WRONG")</f>
        <v/>
      </c>
    </row>
    <row r="3316">
      <c r="A3316" t="n">
        <v>3315</v>
      </c>
      <c r="B3316" t="inlineStr">
        <is>
          <t>MMMCCCXV</t>
        </is>
      </c>
      <c r="C3316">
        <f>ROMAN(3315)</f>
        <v/>
      </c>
      <c r="D3316">
        <f>IF(B3316=C3316, "YES", "WRONG")</f>
        <v/>
      </c>
    </row>
    <row r="3317">
      <c r="A3317" t="n">
        <v>3316</v>
      </c>
      <c r="B3317" t="inlineStr">
        <is>
          <t>MMMCCCXVI</t>
        </is>
      </c>
      <c r="C3317">
        <f>ROMAN(3316)</f>
        <v/>
      </c>
      <c r="D3317">
        <f>IF(B3317=C3317, "YES", "WRONG")</f>
        <v/>
      </c>
    </row>
    <row r="3318">
      <c r="A3318" t="n">
        <v>3317</v>
      </c>
      <c r="B3318" t="inlineStr">
        <is>
          <t>MMMCCCXVII</t>
        </is>
      </c>
      <c r="C3318">
        <f>ROMAN(3317)</f>
        <v/>
      </c>
      <c r="D3318">
        <f>IF(B3318=C3318, "YES", "WRONG")</f>
        <v/>
      </c>
    </row>
    <row r="3319">
      <c r="A3319" t="n">
        <v>3318</v>
      </c>
      <c r="B3319" t="inlineStr">
        <is>
          <t>MMMCCCXVIII</t>
        </is>
      </c>
      <c r="C3319">
        <f>ROMAN(3318)</f>
        <v/>
      </c>
      <c r="D3319">
        <f>IF(B3319=C3319, "YES", "WRONG")</f>
        <v/>
      </c>
    </row>
    <row r="3320">
      <c r="A3320" t="n">
        <v>3319</v>
      </c>
      <c r="B3320" t="inlineStr">
        <is>
          <t>MMMCCCXIX</t>
        </is>
      </c>
      <c r="C3320">
        <f>ROMAN(3319)</f>
        <v/>
      </c>
      <c r="D3320">
        <f>IF(B3320=C3320, "YES", "WRONG")</f>
        <v/>
      </c>
    </row>
    <row r="3321">
      <c r="A3321" t="n">
        <v>3320</v>
      </c>
      <c r="B3321" t="inlineStr">
        <is>
          <t>MMMCCCXX</t>
        </is>
      </c>
      <c r="C3321">
        <f>ROMAN(3320)</f>
        <v/>
      </c>
      <c r="D3321">
        <f>IF(B3321=C3321, "YES", "WRONG")</f>
        <v/>
      </c>
    </row>
    <row r="3322">
      <c r="A3322" t="n">
        <v>3321</v>
      </c>
      <c r="B3322" t="inlineStr">
        <is>
          <t>MMMCCCXXI</t>
        </is>
      </c>
      <c r="C3322">
        <f>ROMAN(3321)</f>
        <v/>
      </c>
      <c r="D3322">
        <f>IF(B3322=C3322, "YES", "WRONG")</f>
        <v/>
      </c>
    </row>
    <row r="3323">
      <c r="A3323" t="n">
        <v>3322</v>
      </c>
      <c r="B3323" t="inlineStr">
        <is>
          <t>MMMCCCXXII</t>
        </is>
      </c>
      <c r="C3323">
        <f>ROMAN(3322)</f>
        <v/>
      </c>
      <c r="D3323">
        <f>IF(B3323=C3323, "YES", "WRONG")</f>
        <v/>
      </c>
    </row>
    <row r="3324">
      <c r="A3324" t="n">
        <v>3323</v>
      </c>
      <c r="B3324" t="inlineStr">
        <is>
          <t>MMMCCCXXIII</t>
        </is>
      </c>
      <c r="C3324">
        <f>ROMAN(3323)</f>
        <v/>
      </c>
      <c r="D3324">
        <f>IF(B3324=C3324, "YES", "WRONG")</f>
        <v/>
      </c>
    </row>
    <row r="3325">
      <c r="A3325" t="n">
        <v>3324</v>
      </c>
      <c r="B3325" t="inlineStr">
        <is>
          <t>MMMCCCXXIV</t>
        </is>
      </c>
      <c r="C3325">
        <f>ROMAN(3324)</f>
        <v/>
      </c>
      <c r="D3325">
        <f>IF(B3325=C3325, "YES", "WRONG")</f>
        <v/>
      </c>
    </row>
    <row r="3326">
      <c r="A3326" t="n">
        <v>3325</v>
      </c>
      <c r="B3326" t="inlineStr">
        <is>
          <t>MMMCCCXXV</t>
        </is>
      </c>
      <c r="C3326">
        <f>ROMAN(3325)</f>
        <v/>
      </c>
      <c r="D3326">
        <f>IF(B3326=C3326, "YES", "WRONG")</f>
        <v/>
      </c>
    </row>
    <row r="3327">
      <c r="A3327" t="n">
        <v>3326</v>
      </c>
      <c r="B3327" t="inlineStr">
        <is>
          <t>MMMCCCXXVI</t>
        </is>
      </c>
      <c r="C3327">
        <f>ROMAN(3326)</f>
        <v/>
      </c>
      <c r="D3327">
        <f>IF(B3327=C3327, "YES", "WRONG")</f>
        <v/>
      </c>
    </row>
    <row r="3328">
      <c r="A3328" t="n">
        <v>3327</v>
      </c>
      <c r="B3328" t="inlineStr">
        <is>
          <t>MMMCCCXXVII</t>
        </is>
      </c>
      <c r="C3328">
        <f>ROMAN(3327)</f>
        <v/>
      </c>
      <c r="D3328">
        <f>IF(B3328=C3328, "YES", "WRONG")</f>
        <v/>
      </c>
    </row>
    <row r="3329">
      <c r="A3329" t="n">
        <v>3328</v>
      </c>
      <c r="B3329" t="inlineStr">
        <is>
          <t>MMMCCCXXVIII</t>
        </is>
      </c>
      <c r="C3329">
        <f>ROMAN(3328)</f>
        <v/>
      </c>
      <c r="D3329">
        <f>IF(B3329=C3329, "YES", "WRONG")</f>
        <v/>
      </c>
    </row>
    <row r="3330">
      <c r="A3330" t="n">
        <v>3329</v>
      </c>
      <c r="B3330" t="inlineStr">
        <is>
          <t>MMMCCCXXIX</t>
        </is>
      </c>
      <c r="C3330">
        <f>ROMAN(3329)</f>
        <v/>
      </c>
      <c r="D3330">
        <f>IF(B3330=C3330, "YES", "WRONG")</f>
        <v/>
      </c>
    </row>
    <row r="3331">
      <c r="A3331" t="n">
        <v>3330</v>
      </c>
      <c r="B3331" t="inlineStr">
        <is>
          <t>MMMCCCXXX</t>
        </is>
      </c>
      <c r="C3331">
        <f>ROMAN(3330)</f>
        <v/>
      </c>
      <c r="D3331">
        <f>IF(B3331=C3331, "YES", "WRONG")</f>
        <v/>
      </c>
    </row>
    <row r="3332">
      <c r="A3332" t="n">
        <v>3331</v>
      </c>
      <c r="B3332" t="inlineStr">
        <is>
          <t>MMMCCCXXXI</t>
        </is>
      </c>
      <c r="C3332">
        <f>ROMAN(3331)</f>
        <v/>
      </c>
      <c r="D3332">
        <f>IF(B3332=C3332, "YES", "WRONG")</f>
        <v/>
      </c>
    </row>
    <row r="3333">
      <c r="A3333" t="n">
        <v>3332</v>
      </c>
      <c r="B3333" t="inlineStr">
        <is>
          <t>MMMCCCXXXII</t>
        </is>
      </c>
      <c r="C3333">
        <f>ROMAN(3332)</f>
        <v/>
      </c>
      <c r="D3333">
        <f>IF(B3333=C3333, "YES", "WRONG")</f>
        <v/>
      </c>
    </row>
    <row r="3334">
      <c r="A3334" t="n">
        <v>3333</v>
      </c>
      <c r="B3334" t="inlineStr">
        <is>
          <t>MMMCCCXXXIII</t>
        </is>
      </c>
      <c r="C3334">
        <f>ROMAN(3333)</f>
        <v/>
      </c>
      <c r="D3334">
        <f>IF(B3334=C3334, "YES", "WRONG")</f>
        <v/>
      </c>
    </row>
    <row r="3335">
      <c r="A3335" t="n">
        <v>3334</v>
      </c>
      <c r="B3335" t="inlineStr">
        <is>
          <t>MMMCCCXXXIV</t>
        </is>
      </c>
      <c r="C3335">
        <f>ROMAN(3334)</f>
        <v/>
      </c>
      <c r="D3335">
        <f>IF(B3335=C3335, "YES", "WRONG")</f>
        <v/>
      </c>
    </row>
    <row r="3336">
      <c r="A3336" t="n">
        <v>3335</v>
      </c>
      <c r="B3336" t="inlineStr">
        <is>
          <t>MMMCCCXXXV</t>
        </is>
      </c>
      <c r="C3336">
        <f>ROMAN(3335)</f>
        <v/>
      </c>
      <c r="D3336">
        <f>IF(B3336=C3336, "YES", "WRONG")</f>
        <v/>
      </c>
    </row>
    <row r="3337">
      <c r="A3337" t="n">
        <v>3336</v>
      </c>
      <c r="B3337" t="inlineStr">
        <is>
          <t>MMMCCCXXXVI</t>
        </is>
      </c>
      <c r="C3337">
        <f>ROMAN(3336)</f>
        <v/>
      </c>
      <c r="D3337">
        <f>IF(B3337=C3337, "YES", "WRONG")</f>
        <v/>
      </c>
    </row>
    <row r="3338">
      <c r="A3338" t="n">
        <v>3337</v>
      </c>
      <c r="B3338" t="inlineStr">
        <is>
          <t>MMMCCCXXXVII</t>
        </is>
      </c>
      <c r="C3338">
        <f>ROMAN(3337)</f>
        <v/>
      </c>
      <c r="D3338">
        <f>IF(B3338=C3338, "YES", "WRONG")</f>
        <v/>
      </c>
    </row>
    <row r="3339">
      <c r="A3339" t="n">
        <v>3338</v>
      </c>
      <c r="B3339" t="inlineStr">
        <is>
          <t>MMMCCCXXXVIII</t>
        </is>
      </c>
      <c r="C3339">
        <f>ROMAN(3338)</f>
        <v/>
      </c>
      <c r="D3339">
        <f>IF(B3339=C3339, "YES", "WRONG")</f>
        <v/>
      </c>
    </row>
    <row r="3340">
      <c r="A3340" t="n">
        <v>3339</v>
      </c>
      <c r="B3340" t="inlineStr">
        <is>
          <t>MMMCCCXXXIX</t>
        </is>
      </c>
      <c r="C3340">
        <f>ROMAN(3339)</f>
        <v/>
      </c>
      <c r="D3340">
        <f>IF(B3340=C3340, "YES", "WRONG")</f>
        <v/>
      </c>
    </row>
    <row r="3341">
      <c r="A3341" t="n">
        <v>3340</v>
      </c>
      <c r="B3341" t="inlineStr">
        <is>
          <t>MMMCCCXL</t>
        </is>
      </c>
      <c r="C3341">
        <f>ROMAN(3340)</f>
        <v/>
      </c>
      <c r="D3341">
        <f>IF(B3341=C3341, "YES", "WRONG")</f>
        <v/>
      </c>
    </row>
    <row r="3342">
      <c r="A3342" t="n">
        <v>3341</v>
      </c>
      <c r="B3342" t="inlineStr">
        <is>
          <t>MMMCCCXLI</t>
        </is>
      </c>
      <c r="C3342">
        <f>ROMAN(3341)</f>
        <v/>
      </c>
      <c r="D3342">
        <f>IF(B3342=C3342, "YES", "WRONG")</f>
        <v/>
      </c>
    </row>
    <row r="3343">
      <c r="A3343" t="n">
        <v>3342</v>
      </c>
      <c r="B3343" t="inlineStr">
        <is>
          <t>MMMCCCXLII</t>
        </is>
      </c>
      <c r="C3343">
        <f>ROMAN(3342)</f>
        <v/>
      </c>
      <c r="D3343">
        <f>IF(B3343=C3343, "YES", "WRONG")</f>
        <v/>
      </c>
    </row>
    <row r="3344">
      <c r="A3344" t="n">
        <v>3343</v>
      </c>
      <c r="B3344" t="inlineStr">
        <is>
          <t>MMMCCCXLIII</t>
        </is>
      </c>
      <c r="C3344">
        <f>ROMAN(3343)</f>
        <v/>
      </c>
      <c r="D3344">
        <f>IF(B3344=C3344, "YES", "WRONG")</f>
        <v/>
      </c>
    </row>
    <row r="3345">
      <c r="A3345" t="n">
        <v>3344</v>
      </c>
      <c r="B3345" t="inlineStr">
        <is>
          <t>MMMCCCXLIV</t>
        </is>
      </c>
      <c r="C3345">
        <f>ROMAN(3344)</f>
        <v/>
      </c>
      <c r="D3345">
        <f>IF(B3345=C3345, "YES", "WRONG")</f>
        <v/>
      </c>
    </row>
    <row r="3346">
      <c r="A3346" t="n">
        <v>3345</v>
      </c>
      <c r="B3346" t="inlineStr">
        <is>
          <t>MMMCCCXLV</t>
        </is>
      </c>
      <c r="C3346">
        <f>ROMAN(3345)</f>
        <v/>
      </c>
      <c r="D3346">
        <f>IF(B3346=C3346, "YES", "WRONG")</f>
        <v/>
      </c>
    </row>
    <row r="3347">
      <c r="A3347" t="n">
        <v>3346</v>
      </c>
      <c r="B3347" t="inlineStr">
        <is>
          <t>MMMCCCXLVI</t>
        </is>
      </c>
      <c r="C3347">
        <f>ROMAN(3346)</f>
        <v/>
      </c>
      <c r="D3347">
        <f>IF(B3347=C3347, "YES", "WRONG")</f>
        <v/>
      </c>
    </row>
    <row r="3348">
      <c r="A3348" t="n">
        <v>3347</v>
      </c>
      <c r="B3348" t="inlineStr">
        <is>
          <t>MMMCCCXLVII</t>
        </is>
      </c>
      <c r="C3348">
        <f>ROMAN(3347)</f>
        <v/>
      </c>
      <c r="D3348">
        <f>IF(B3348=C3348, "YES", "WRONG")</f>
        <v/>
      </c>
    </row>
    <row r="3349">
      <c r="A3349" t="n">
        <v>3348</v>
      </c>
      <c r="B3349" t="inlineStr">
        <is>
          <t>MMMCCCXLVIII</t>
        </is>
      </c>
      <c r="C3349">
        <f>ROMAN(3348)</f>
        <v/>
      </c>
      <c r="D3349">
        <f>IF(B3349=C3349, "YES", "WRONG")</f>
        <v/>
      </c>
    </row>
    <row r="3350">
      <c r="A3350" t="n">
        <v>3349</v>
      </c>
      <c r="B3350" t="inlineStr">
        <is>
          <t>MMMCCCXLIX</t>
        </is>
      </c>
      <c r="C3350">
        <f>ROMAN(3349)</f>
        <v/>
      </c>
      <c r="D3350">
        <f>IF(B3350=C3350, "YES", "WRONG")</f>
        <v/>
      </c>
    </row>
    <row r="3351">
      <c r="A3351" t="n">
        <v>3350</v>
      </c>
      <c r="B3351" t="inlineStr">
        <is>
          <t>MMMCCCL</t>
        </is>
      </c>
      <c r="C3351">
        <f>ROMAN(3350)</f>
        <v/>
      </c>
      <c r="D3351">
        <f>IF(B3351=C3351, "YES", "WRONG")</f>
        <v/>
      </c>
    </row>
    <row r="3352">
      <c r="A3352" t="n">
        <v>3351</v>
      </c>
      <c r="B3352" t="inlineStr">
        <is>
          <t>MMMCCCLI</t>
        </is>
      </c>
      <c r="C3352">
        <f>ROMAN(3351)</f>
        <v/>
      </c>
      <c r="D3352">
        <f>IF(B3352=C3352, "YES", "WRONG")</f>
        <v/>
      </c>
    </row>
    <row r="3353">
      <c r="A3353" t="n">
        <v>3352</v>
      </c>
      <c r="B3353" t="inlineStr">
        <is>
          <t>MMMCCCLII</t>
        </is>
      </c>
      <c r="C3353">
        <f>ROMAN(3352)</f>
        <v/>
      </c>
      <c r="D3353">
        <f>IF(B3353=C3353, "YES", "WRONG")</f>
        <v/>
      </c>
    </row>
    <row r="3354">
      <c r="A3354" t="n">
        <v>3353</v>
      </c>
      <c r="B3354" t="inlineStr">
        <is>
          <t>MMMCCCLIII</t>
        </is>
      </c>
      <c r="C3354">
        <f>ROMAN(3353)</f>
        <v/>
      </c>
      <c r="D3354">
        <f>IF(B3354=C3354, "YES", "WRONG")</f>
        <v/>
      </c>
    </row>
    <row r="3355">
      <c r="A3355" t="n">
        <v>3354</v>
      </c>
      <c r="B3355" t="inlineStr">
        <is>
          <t>MMMCCCLIV</t>
        </is>
      </c>
      <c r="C3355">
        <f>ROMAN(3354)</f>
        <v/>
      </c>
      <c r="D3355">
        <f>IF(B3355=C3355, "YES", "WRONG")</f>
        <v/>
      </c>
    </row>
    <row r="3356">
      <c r="A3356" t="n">
        <v>3355</v>
      </c>
      <c r="B3356" t="inlineStr">
        <is>
          <t>MMMCCCLV</t>
        </is>
      </c>
      <c r="C3356">
        <f>ROMAN(3355)</f>
        <v/>
      </c>
      <c r="D3356">
        <f>IF(B3356=C3356, "YES", "WRONG")</f>
        <v/>
      </c>
    </row>
    <row r="3357">
      <c r="A3357" t="n">
        <v>3356</v>
      </c>
      <c r="B3357" t="inlineStr">
        <is>
          <t>MMMCCCLVI</t>
        </is>
      </c>
      <c r="C3357">
        <f>ROMAN(3356)</f>
        <v/>
      </c>
      <c r="D3357">
        <f>IF(B3357=C3357, "YES", "WRONG")</f>
        <v/>
      </c>
    </row>
    <row r="3358">
      <c r="A3358" t="n">
        <v>3357</v>
      </c>
      <c r="B3358" t="inlineStr">
        <is>
          <t>MMMCCCLVII</t>
        </is>
      </c>
      <c r="C3358">
        <f>ROMAN(3357)</f>
        <v/>
      </c>
      <c r="D3358">
        <f>IF(B3358=C3358, "YES", "WRONG")</f>
        <v/>
      </c>
    </row>
    <row r="3359">
      <c r="A3359" t="n">
        <v>3358</v>
      </c>
      <c r="B3359" t="inlineStr">
        <is>
          <t>MMMCCCLVIII</t>
        </is>
      </c>
      <c r="C3359">
        <f>ROMAN(3358)</f>
        <v/>
      </c>
      <c r="D3359">
        <f>IF(B3359=C3359, "YES", "WRONG")</f>
        <v/>
      </c>
    </row>
    <row r="3360">
      <c r="A3360" t="n">
        <v>3359</v>
      </c>
      <c r="B3360" t="inlineStr">
        <is>
          <t>MMMCCCLIX</t>
        </is>
      </c>
      <c r="C3360">
        <f>ROMAN(3359)</f>
        <v/>
      </c>
      <c r="D3360">
        <f>IF(B3360=C3360, "YES", "WRONG")</f>
        <v/>
      </c>
    </row>
    <row r="3361">
      <c r="A3361" t="n">
        <v>3360</v>
      </c>
      <c r="B3361" t="inlineStr">
        <is>
          <t>MMMCCCLX</t>
        </is>
      </c>
      <c r="C3361">
        <f>ROMAN(3360)</f>
        <v/>
      </c>
      <c r="D3361">
        <f>IF(B3361=C3361, "YES", "WRONG")</f>
        <v/>
      </c>
    </row>
    <row r="3362">
      <c r="A3362" t="n">
        <v>3361</v>
      </c>
      <c r="B3362" t="inlineStr">
        <is>
          <t>MMMCCCLXI</t>
        </is>
      </c>
      <c r="C3362">
        <f>ROMAN(3361)</f>
        <v/>
      </c>
      <c r="D3362">
        <f>IF(B3362=C3362, "YES", "WRONG")</f>
        <v/>
      </c>
    </row>
    <row r="3363">
      <c r="A3363" t="n">
        <v>3362</v>
      </c>
      <c r="B3363" t="inlineStr">
        <is>
          <t>MMMCCCLXII</t>
        </is>
      </c>
      <c r="C3363">
        <f>ROMAN(3362)</f>
        <v/>
      </c>
      <c r="D3363">
        <f>IF(B3363=C3363, "YES", "WRONG")</f>
        <v/>
      </c>
    </row>
    <row r="3364">
      <c r="A3364" t="n">
        <v>3363</v>
      </c>
      <c r="B3364" t="inlineStr">
        <is>
          <t>MMMCCCLXIII</t>
        </is>
      </c>
      <c r="C3364">
        <f>ROMAN(3363)</f>
        <v/>
      </c>
      <c r="D3364">
        <f>IF(B3364=C3364, "YES", "WRONG")</f>
        <v/>
      </c>
    </row>
    <row r="3365">
      <c r="A3365" t="n">
        <v>3364</v>
      </c>
      <c r="B3365" t="inlineStr">
        <is>
          <t>MMMCCCLXIV</t>
        </is>
      </c>
      <c r="C3365">
        <f>ROMAN(3364)</f>
        <v/>
      </c>
      <c r="D3365">
        <f>IF(B3365=C3365, "YES", "WRONG")</f>
        <v/>
      </c>
    </row>
    <row r="3366">
      <c r="A3366" t="n">
        <v>3365</v>
      </c>
      <c r="B3366" t="inlineStr">
        <is>
          <t>MMMCCCLXV</t>
        </is>
      </c>
      <c r="C3366">
        <f>ROMAN(3365)</f>
        <v/>
      </c>
      <c r="D3366">
        <f>IF(B3366=C3366, "YES", "WRONG")</f>
        <v/>
      </c>
    </row>
    <row r="3367">
      <c r="A3367" t="n">
        <v>3366</v>
      </c>
      <c r="B3367" t="inlineStr">
        <is>
          <t>MMMCCCLXVI</t>
        </is>
      </c>
      <c r="C3367">
        <f>ROMAN(3366)</f>
        <v/>
      </c>
      <c r="D3367">
        <f>IF(B3367=C3367, "YES", "WRONG")</f>
        <v/>
      </c>
    </row>
    <row r="3368">
      <c r="A3368" t="n">
        <v>3367</v>
      </c>
      <c r="B3368" t="inlineStr">
        <is>
          <t>MMMCCCLXVII</t>
        </is>
      </c>
      <c r="C3368">
        <f>ROMAN(3367)</f>
        <v/>
      </c>
      <c r="D3368">
        <f>IF(B3368=C3368, "YES", "WRONG")</f>
        <v/>
      </c>
    </row>
    <row r="3369">
      <c r="A3369" t="n">
        <v>3368</v>
      </c>
      <c r="B3369" t="inlineStr">
        <is>
          <t>MMMCCCLXVIII</t>
        </is>
      </c>
      <c r="C3369">
        <f>ROMAN(3368)</f>
        <v/>
      </c>
      <c r="D3369">
        <f>IF(B3369=C3369, "YES", "WRONG")</f>
        <v/>
      </c>
    </row>
    <row r="3370">
      <c r="A3370" t="n">
        <v>3369</v>
      </c>
      <c r="B3370" t="inlineStr">
        <is>
          <t>MMMCCCLXIX</t>
        </is>
      </c>
      <c r="C3370">
        <f>ROMAN(3369)</f>
        <v/>
      </c>
      <c r="D3370">
        <f>IF(B3370=C3370, "YES", "WRONG")</f>
        <v/>
      </c>
    </row>
    <row r="3371">
      <c r="A3371" t="n">
        <v>3370</v>
      </c>
      <c r="B3371" t="inlineStr">
        <is>
          <t>MMMCCCLXX</t>
        </is>
      </c>
      <c r="C3371">
        <f>ROMAN(3370)</f>
        <v/>
      </c>
      <c r="D3371">
        <f>IF(B3371=C3371, "YES", "WRONG")</f>
        <v/>
      </c>
    </row>
    <row r="3372">
      <c r="A3372" t="n">
        <v>3371</v>
      </c>
      <c r="B3372" t="inlineStr">
        <is>
          <t>MMMCCCLXXI</t>
        </is>
      </c>
      <c r="C3372">
        <f>ROMAN(3371)</f>
        <v/>
      </c>
      <c r="D3372">
        <f>IF(B3372=C3372, "YES", "WRONG")</f>
        <v/>
      </c>
    </row>
    <row r="3373">
      <c r="A3373" t="n">
        <v>3372</v>
      </c>
      <c r="B3373" t="inlineStr">
        <is>
          <t>MMMCCCLXXII</t>
        </is>
      </c>
      <c r="C3373">
        <f>ROMAN(3372)</f>
        <v/>
      </c>
      <c r="D3373">
        <f>IF(B3373=C3373, "YES", "WRONG")</f>
        <v/>
      </c>
    </row>
    <row r="3374">
      <c r="A3374" t="n">
        <v>3373</v>
      </c>
      <c r="B3374" t="inlineStr">
        <is>
          <t>MMMCCCLXXIII</t>
        </is>
      </c>
      <c r="C3374">
        <f>ROMAN(3373)</f>
        <v/>
      </c>
      <c r="D3374">
        <f>IF(B3374=C3374, "YES", "WRONG")</f>
        <v/>
      </c>
    </row>
    <row r="3375">
      <c r="A3375" t="n">
        <v>3374</v>
      </c>
      <c r="B3375" t="inlineStr">
        <is>
          <t>MMMCCCLXXIV</t>
        </is>
      </c>
      <c r="C3375">
        <f>ROMAN(3374)</f>
        <v/>
      </c>
      <c r="D3375">
        <f>IF(B3375=C3375, "YES", "WRONG")</f>
        <v/>
      </c>
    </row>
    <row r="3376">
      <c r="A3376" t="n">
        <v>3375</v>
      </c>
      <c r="B3376" t="inlineStr">
        <is>
          <t>MMMCCCLXXV</t>
        </is>
      </c>
      <c r="C3376">
        <f>ROMAN(3375)</f>
        <v/>
      </c>
      <c r="D3376">
        <f>IF(B3376=C3376, "YES", "WRONG")</f>
        <v/>
      </c>
    </row>
    <row r="3377">
      <c r="A3377" t="n">
        <v>3376</v>
      </c>
      <c r="B3377" t="inlineStr">
        <is>
          <t>MMMCCCLXXVI</t>
        </is>
      </c>
      <c r="C3377">
        <f>ROMAN(3376)</f>
        <v/>
      </c>
      <c r="D3377">
        <f>IF(B3377=C3377, "YES", "WRONG")</f>
        <v/>
      </c>
    </row>
    <row r="3378">
      <c r="A3378" t="n">
        <v>3377</v>
      </c>
      <c r="B3378" t="inlineStr">
        <is>
          <t>MMMCCCLXXVII</t>
        </is>
      </c>
      <c r="C3378">
        <f>ROMAN(3377)</f>
        <v/>
      </c>
      <c r="D3378">
        <f>IF(B3378=C3378, "YES", "WRONG")</f>
        <v/>
      </c>
    </row>
    <row r="3379">
      <c r="A3379" t="n">
        <v>3378</v>
      </c>
      <c r="B3379" t="inlineStr">
        <is>
          <t>MMMCCCLXXVIII</t>
        </is>
      </c>
      <c r="C3379">
        <f>ROMAN(3378)</f>
        <v/>
      </c>
      <c r="D3379">
        <f>IF(B3379=C3379, "YES", "WRONG")</f>
        <v/>
      </c>
    </row>
    <row r="3380">
      <c r="A3380" t="n">
        <v>3379</v>
      </c>
      <c r="B3380" t="inlineStr">
        <is>
          <t>MMMCCCLXXIX</t>
        </is>
      </c>
      <c r="C3380">
        <f>ROMAN(3379)</f>
        <v/>
      </c>
      <c r="D3380">
        <f>IF(B3380=C3380, "YES", "WRONG")</f>
        <v/>
      </c>
    </row>
    <row r="3381">
      <c r="A3381" t="n">
        <v>3380</v>
      </c>
      <c r="B3381" t="inlineStr">
        <is>
          <t>MMMCCCLXXX</t>
        </is>
      </c>
      <c r="C3381">
        <f>ROMAN(3380)</f>
        <v/>
      </c>
      <c r="D3381">
        <f>IF(B3381=C3381, "YES", "WRONG")</f>
        <v/>
      </c>
    </row>
    <row r="3382">
      <c r="A3382" t="n">
        <v>3381</v>
      </c>
      <c r="B3382" t="inlineStr">
        <is>
          <t>MMMCCCLXXXI</t>
        </is>
      </c>
      <c r="C3382">
        <f>ROMAN(3381)</f>
        <v/>
      </c>
      <c r="D3382">
        <f>IF(B3382=C3382, "YES", "WRONG")</f>
        <v/>
      </c>
    </row>
    <row r="3383">
      <c r="A3383" t="n">
        <v>3382</v>
      </c>
      <c r="B3383" t="inlineStr">
        <is>
          <t>MMMCCCLXXXII</t>
        </is>
      </c>
      <c r="C3383">
        <f>ROMAN(3382)</f>
        <v/>
      </c>
      <c r="D3383">
        <f>IF(B3383=C3383, "YES", "WRONG")</f>
        <v/>
      </c>
    </row>
    <row r="3384">
      <c r="A3384" t="n">
        <v>3383</v>
      </c>
      <c r="B3384" t="inlineStr">
        <is>
          <t>MMMCCCLXXXIII</t>
        </is>
      </c>
      <c r="C3384">
        <f>ROMAN(3383)</f>
        <v/>
      </c>
      <c r="D3384">
        <f>IF(B3384=C3384, "YES", "WRONG")</f>
        <v/>
      </c>
    </row>
    <row r="3385">
      <c r="A3385" t="n">
        <v>3384</v>
      </c>
      <c r="B3385" t="inlineStr">
        <is>
          <t>MMMCCCLXXXIV</t>
        </is>
      </c>
      <c r="C3385">
        <f>ROMAN(3384)</f>
        <v/>
      </c>
      <c r="D3385">
        <f>IF(B3385=C3385, "YES", "WRONG")</f>
        <v/>
      </c>
    </row>
    <row r="3386">
      <c r="A3386" t="n">
        <v>3385</v>
      </c>
      <c r="B3386" t="inlineStr">
        <is>
          <t>MMMCCCLXXXV</t>
        </is>
      </c>
      <c r="C3386">
        <f>ROMAN(3385)</f>
        <v/>
      </c>
      <c r="D3386">
        <f>IF(B3386=C3386, "YES", "WRONG")</f>
        <v/>
      </c>
    </row>
    <row r="3387">
      <c r="A3387" t="n">
        <v>3386</v>
      </c>
      <c r="B3387" t="inlineStr">
        <is>
          <t>MMMCCCLXXXVI</t>
        </is>
      </c>
      <c r="C3387">
        <f>ROMAN(3386)</f>
        <v/>
      </c>
      <c r="D3387">
        <f>IF(B3387=C3387, "YES", "WRONG")</f>
        <v/>
      </c>
    </row>
    <row r="3388">
      <c r="A3388" t="n">
        <v>3387</v>
      </c>
      <c r="B3388" t="inlineStr">
        <is>
          <t>MMMCCCLXXXVII</t>
        </is>
      </c>
      <c r="C3388">
        <f>ROMAN(3387)</f>
        <v/>
      </c>
      <c r="D3388">
        <f>IF(B3388=C3388, "YES", "WRONG")</f>
        <v/>
      </c>
    </row>
    <row r="3389">
      <c r="A3389" t="n">
        <v>3388</v>
      </c>
      <c r="B3389" t="inlineStr">
        <is>
          <t>MMMCCCLXXXVIII</t>
        </is>
      </c>
      <c r="C3389">
        <f>ROMAN(3388)</f>
        <v/>
      </c>
      <c r="D3389">
        <f>IF(B3389=C3389, "YES", "WRONG")</f>
        <v/>
      </c>
    </row>
    <row r="3390">
      <c r="A3390" t="n">
        <v>3389</v>
      </c>
      <c r="B3390" t="inlineStr">
        <is>
          <t>MMMCCCLXXXIX</t>
        </is>
      </c>
      <c r="C3390">
        <f>ROMAN(3389)</f>
        <v/>
      </c>
      <c r="D3390">
        <f>IF(B3390=C3390, "YES", "WRONG")</f>
        <v/>
      </c>
    </row>
    <row r="3391">
      <c r="A3391" t="n">
        <v>3390</v>
      </c>
      <c r="B3391" t="inlineStr">
        <is>
          <t>MMMCCCXC</t>
        </is>
      </c>
      <c r="C3391">
        <f>ROMAN(3390)</f>
        <v/>
      </c>
      <c r="D3391">
        <f>IF(B3391=C3391, "YES", "WRONG")</f>
        <v/>
      </c>
    </row>
    <row r="3392">
      <c r="A3392" t="n">
        <v>3391</v>
      </c>
      <c r="B3392" t="inlineStr">
        <is>
          <t>MMMCCCXCI</t>
        </is>
      </c>
      <c r="C3392">
        <f>ROMAN(3391)</f>
        <v/>
      </c>
      <c r="D3392">
        <f>IF(B3392=C3392, "YES", "WRONG")</f>
        <v/>
      </c>
    </row>
    <row r="3393">
      <c r="A3393" t="n">
        <v>3392</v>
      </c>
      <c r="B3393" t="inlineStr">
        <is>
          <t>MMMCCCXCII</t>
        </is>
      </c>
      <c r="C3393">
        <f>ROMAN(3392)</f>
        <v/>
      </c>
      <c r="D3393">
        <f>IF(B3393=C3393, "YES", "WRONG")</f>
        <v/>
      </c>
    </row>
    <row r="3394">
      <c r="A3394" t="n">
        <v>3393</v>
      </c>
      <c r="B3394" t="inlineStr">
        <is>
          <t>MMMCCCXCIII</t>
        </is>
      </c>
      <c r="C3394">
        <f>ROMAN(3393)</f>
        <v/>
      </c>
      <c r="D3394">
        <f>IF(B3394=C3394, "YES", "WRONG")</f>
        <v/>
      </c>
    </row>
    <row r="3395">
      <c r="A3395" t="n">
        <v>3394</v>
      </c>
      <c r="B3395" t="inlineStr">
        <is>
          <t>MMMCCCXCIV</t>
        </is>
      </c>
      <c r="C3395">
        <f>ROMAN(3394)</f>
        <v/>
      </c>
      <c r="D3395">
        <f>IF(B3395=C3395, "YES", "WRONG")</f>
        <v/>
      </c>
    </row>
    <row r="3396">
      <c r="A3396" t="n">
        <v>3395</v>
      </c>
      <c r="B3396" t="inlineStr">
        <is>
          <t>MMMCCCXCV</t>
        </is>
      </c>
      <c r="C3396">
        <f>ROMAN(3395)</f>
        <v/>
      </c>
      <c r="D3396">
        <f>IF(B3396=C3396, "YES", "WRONG")</f>
        <v/>
      </c>
    </row>
    <row r="3397">
      <c r="A3397" t="n">
        <v>3396</v>
      </c>
      <c r="B3397" t="inlineStr">
        <is>
          <t>MMMCCCXCVI</t>
        </is>
      </c>
      <c r="C3397">
        <f>ROMAN(3396)</f>
        <v/>
      </c>
      <c r="D3397">
        <f>IF(B3397=C3397, "YES", "WRONG")</f>
        <v/>
      </c>
    </row>
    <row r="3398">
      <c r="A3398" t="n">
        <v>3397</v>
      </c>
      <c r="B3398" t="inlineStr">
        <is>
          <t>MMMCCCXCVII</t>
        </is>
      </c>
      <c r="C3398">
        <f>ROMAN(3397)</f>
        <v/>
      </c>
      <c r="D3398">
        <f>IF(B3398=C3398, "YES", "WRONG")</f>
        <v/>
      </c>
    </row>
    <row r="3399">
      <c r="A3399" t="n">
        <v>3398</v>
      </c>
      <c r="B3399" t="inlineStr">
        <is>
          <t>MMMCCCXCVIII</t>
        </is>
      </c>
      <c r="C3399">
        <f>ROMAN(3398)</f>
        <v/>
      </c>
      <c r="D3399">
        <f>IF(B3399=C3399, "YES", "WRONG")</f>
        <v/>
      </c>
    </row>
    <row r="3400">
      <c r="A3400" t="n">
        <v>3399</v>
      </c>
      <c r="B3400" t="inlineStr">
        <is>
          <t>MMMCCCXCIX</t>
        </is>
      </c>
      <c r="C3400">
        <f>ROMAN(3399)</f>
        <v/>
      </c>
      <c r="D3400">
        <f>IF(B3400=C3400, "YES", "WRONG")</f>
        <v/>
      </c>
    </row>
    <row r="3401">
      <c r="A3401" t="n">
        <v>3400</v>
      </c>
      <c r="B3401" t="inlineStr">
        <is>
          <t>MMMCD</t>
        </is>
      </c>
      <c r="C3401">
        <f>ROMAN(3400)</f>
        <v/>
      </c>
      <c r="D3401">
        <f>IF(B3401=C3401, "YES", "WRONG")</f>
        <v/>
      </c>
    </row>
    <row r="3402">
      <c r="A3402" t="n">
        <v>3401</v>
      </c>
      <c r="B3402" t="inlineStr">
        <is>
          <t>MMMCDI</t>
        </is>
      </c>
      <c r="C3402">
        <f>ROMAN(3401)</f>
        <v/>
      </c>
      <c r="D3402">
        <f>IF(B3402=C3402, "YES", "WRONG")</f>
        <v/>
      </c>
    </row>
    <row r="3403">
      <c r="A3403" t="n">
        <v>3402</v>
      </c>
      <c r="B3403" t="inlineStr">
        <is>
          <t>MMMCDII</t>
        </is>
      </c>
      <c r="C3403">
        <f>ROMAN(3402)</f>
        <v/>
      </c>
      <c r="D3403">
        <f>IF(B3403=C3403, "YES", "WRONG")</f>
        <v/>
      </c>
    </row>
    <row r="3404">
      <c r="A3404" t="n">
        <v>3403</v>
      </c>
      <c r="B3404" t="inlineStr">
        <is>
          <t>MMMCDIII</t>
        </is>
      </c>
      <c r="C3404">
        <f>ROMAN(3403)</f>
        <v/>
      </c>
      <c r="D3404">
        <f>IF(B3404=C3404, "YES", "WRONG")</f>
        <v/>
      </c>
    </row>
    <row r="3405">
      <c r="A3405" t="n">
        <v>3404</v>
      </c>
      <c r="B3405" t="inlineStr">
        <is>
          <t>MMMCDIV</t>
        </is>
      </c>
      <c r="C3405">
        <f>ROMAN(3404)</f>
        <v/>
      </c>
      <c r="D3405">
        <f>IF(B3405=C3405, "YES", "WRONG")</f>
        <v/>
      </c>
    </row>
    <row r="3406">
      <c r="A3406" t="n">
        <v>3405</v>
      </c>
      <c r="B3406" t="inlineStr">
        <is>
          <t>MMMCDV</t>
        </is>
      </c>
      <c r="C3406">
        <f>ROMAN(3405)</f>
        <v/>
      </c>
      <c r="D3406">
        <f>IF(B3406=C3406, "YES", "WRONG")</f>
        <v/>
      </c>
    </row>
    <row r="3407">
      <c r="A3407" t="n">
        <v>3406</v>
      </c>
      <c r="B3407" t="inlineStr">
        <is>
          <t>MMMCDVI</t>
        </is>
      </c>
      <c r="C3407">
        <f>ROMAN(3406)</f>
        <v/>
      </c>
      <c r="D3407">
        <f>IF(B3407=C3407, "YES", "WRONG")</f>
        <v/>
      </c>
    </row>
    <row r="3408">
      <c r="A3408" t="n">
        <v>3407</v>
      </c>
      <c r="B3408" t="inlineStr">
        <is>
          <t>MMMCDVII</t>
        </is>
      </c>
      <c r="C3408">
        <f>ROMAN(3407)</f>
        <v/>
      </c>
      <c r="D3408">
        <f>IF(B3408=C3408, "YES", "WRONG")</f>
        <v/>
      </c>
    </row>
    <row r="3409">
      <c r="A3409" t="n">
        <v>3408</v>
      </c>
      <c r="B3409" t="inlineStr">
        <is>
          <t>MMMCDVIII</t>
        </is>
      </c>
      <c r="C3409">
        <f>ROMAN(3408)</f>
        <v/>
      </c>
      <c r="D3409">
        <f>IF(B3409=C3409, "YES", "WRONG")</f>
        <v/>
      </c>
    </row>
    <row r="3410">
      <c r="A3410" t="n">
        <v>3409</v>
      </c>
      <c r="B3410" t="inlineStr">
        <is>
          <t>MMMCDIX</t>
        </is>
      </c>
      <c r="C3410">
        <f>ROMAN(3409)</f>
        <v/>
      </c>
      <c r="D3410">
        <f>IF(B3410=C3410, "YES", "WRONG")</f>
        <v/>
      </c>
    </row>
    <row r="3411">
      <c r="A3411" t="n">
        <v>3410</v>
      </c>
      <c r="B3411" t="inlineStr">
        <is>
          <t>MMMCDX</t>
        </is>
      </c>
      <c r="C3411">
        <f>ROMAN(3410)</f>
        <v/>
      </c>
      <c r="D3411">
        <f>IF(B3411=C3411, "YES", "WRONG")</f>
        <v/>
      </c>
    </row>
    <row r="3412">
      <c r="A3412" t="n">
        <v>3411</v>
      </c>
      <c r="B3412" t="inlineStr">
        <is>
          <t>MMMCDXI</t>
        </is>
      </c>
      <c r="C3412">
        <f>ROMAN(3411)</f>
        <v/>
      </c>
      <c r="D3412">
        <f>IF(B3412=C3412, "YES", "WRONG")</f>
        <v/>
      </c>
    </row>
    <row r="3413">
      <c r="A3413" t="n">
        <v>3412</v>
      </c>
      <c r="B3413" t="inlineStr">
        <is>
          <t>MMMCDXII</t>
        </is>
      </c>
      <c r="C3413">
        <f>ROMAN(3412)</f>
        <v/>
      </c>
      <c r="D3413">
        <f>IF(B3413=C3413, "YES", "WRONG")</f>
        <v/>
      </c>
    </row>
    <row r="3414">
      <c r="A3414" t="n">
        <v>3413</v>
      </c>
      <c r="B3414" t="inlineStr">
        <is>
          <t>MMMCDXIII</t>
        </is>
      </c>
      <c r="C3414">
        <f>ROMAN(3413)</f>
        <v/>
      </c>
      <c r="D3414">
        <f>IF(B3414=C3414, "YES", "WRONG")</f>
        <v/>
      </c>
    </row>
    <row r="3415">
      <c r="A3415" t="n">
        <v>3414</v>
      </c>
      <c r="B3415" t="inlineStr">
        <is>
          <t>MMMCDXIV</t>
        </is>
      </c>
      <c r="C3415">
        <f>ROMAN(3414)</f>
        <v/>
      </c>
      <c r="D3415">
        <f>IF(B3415=C3415, "YES", "WRONG")</f>
        <v/>
      </c>
    </row>
    <row r="3416">
      <c r="A3416" t="n">
        <v>3415</v>
      </c>
      <c r="B3416" t="inlineStr">
        <is>
          <t>MMMCDXV</t>
        </is>
      </c>
      <c r="C3416">
        <f>ROMAN(3415)</f>
        <v/>
      </c>
      <c r="D3416">
        <f>IF(B3416=C3416, "YES", "WRONG")</f>
        <v/>
      </c>
    </row>
    <row r="3417">
      <c r="A3417" t="n">
        <v>3416</v>
      </c>
      <c r="B3417" t="inlineStr">
        <is>
          <t>MMMCDXVI</t>
        </is>
      </c>
      <c r="C3417">
        <f>ROMAN(3416)</f>
        <v/>
      </c>
      <c r="D3417">
        <f>IF(B3417=C3417, "YES", "WRONG")</f>
        <v/>
      </c>
    </row>
    <row r="3418">
      <c r="A3418" t="n">
        <v>3417</v>
      </c>
      <c r="B3418" t="inlineStr">
        <is>
          <t>MMMCDXVII</t>
        </is>
      </c>
      <c r="C3418">
        <f>ROMAN(3417)</f>
        <v/>
      </c>
      <c r="D3418">
        <f>IF(B3418=C3418, "YES", "WRONG")</f>
        <v/>
      </c>
    </row>
    <row r="3419">
      <c r="A3419" t="n">
        <v>3418</v>
      </c>
      <c r="B3419" t="inlineStr">
        <is>
          <t>MMMCDXVIII</t>
        </is>
      </c>
      <c r="C3419">
        <f>ROMAN(3418)</f>
        <v/>
      </c>
      <c r="D3419">
        <f>IF(B3419=C3419, "YES", "WRONG")</f>
        <v/>
      </c>
    </row>
    <row r="3420">
      <c r="A3420" t="n">
        <v>3419</v>
      </c>
      <c r="B3420" t="inlineStr">
        <is>
          <t>MMMCDXIX</t>
        </is>
      </c>
      <c r="C3420">
        <f>ROMAN(3419)</f>
        <v/>
      </c>
      <c r="D3420">
        <f>IF(B3420=C3420, "YES", "WRONG")</f>
        <v/>
      </c>
    </row>
    <row r="3421">
      <c r="A3421" t="n">
        <v>3420</v>
      </c>
      <c r="B3421" t="inlineStr">
        <is>
          <t>MMMCDXX</t>
        </is>
      </c>
      <c r="C3421">
        <f>ROMAN(3420)</f>
        <v/>
      </c>
      <c r="D3421">
        <f>IF(B3421=C3421, "YES", "WRONG")</f>
        <v/>
      </c>
    </row>
    <row r="3422">
      <c r="A3422" t="n">
        <v>3421</v>
      </c>
      <c r="B3422" t="inlineStr">
        <is>
          <t>MMMCDXXI</t>
        </is>
      </c>
      <c r="C3422">
        <f>ROMAN(3421)</f>
        <v/>
      </c>
      <c r="D3422">
        <f>IF(B3422=C3422, "YES", "WRONG")</f>
        <v/>
      </c>
    </row>
    <row r="3423">
      <c r="A3423" t="n">
        <v>3422</v>
      </c>
      <c r="B3423" t="inlineStr">
        <is>
          <t>MMMCDXXII</t>
        </is>
      </c>
      <c r="C3423">
        <f>ROMAN(3422)</f>
        <v/>
      </c>
      <c r="D3423">
        <f>IF(B3423=C3423, "YES", "WRONG")</f>
        <v/>
      </c>
    </row>
    <row r="3424">
      <c r="A3424" t="n">
        <v>3423</v>
      </c>
      <c r="B3424" t="inlineStr">
        <is>
          <t>MMMCDXXIII</t>
        </is>
      </c>
      <c r="C3424">
        <f>ROMAN(3423)</f>
        <v/>
      </c>
      <c r="D3424">
        <f>IF(B3424=C3424, "YES", "WRONG")</f>
        <v/>
      </c>
    </row>
    <row r="3425">
      <c r="A3425" t="n">
        <v>3424</v>
      </c>
      <c r="B3425" t="inlineStr">
        <is>
          <t>MMMCDXXIV</t>
        </is>
      </c>
      <c r="C3425">
        <f>ROMAN(3424)</f>
        <v/>
      </c>
      <c r="D3425">
        <f>IF(B3425=C3425, "YES", "WRONG")</f>
        <v/>
      </c>
    </row>
    <row r="3426">
      <c r="A3426" t="n">
        <v>3425</v>
      </c>
      <c r="B3426" t="inlineStr">
        <is>
          <t>MMMCDXXV</t>
        </is>
      </c>
      <c r="C3426">
        <f>ROMAN(3425)</f>
        <v/>
      </c>
      <c r="D3426">
        <f>IF(B3426=C3426, "YES", "WRONG")</f>
        <v/>
      </c>
    </row>
    <row r="3427">
      <c r="A3427" t="n">
        <v>3426</v>
      </c>
      <c r="B3427" t="inlineStr">
        <is>
          <t>MMMCDXXVI</t>
        </is>
      </c>
      <c r="C3427">
        <f>ROMAN(3426)</f>
        <v/>
      </c>
      <c r="D3427">
        <f>IF(B3427=C3427, "YES", "WRONG")</f>
        <v/>
      </c>
    </row>
    <row r="3428">
      <c r="A3428" t="n">
        <v>3427</v>
      </c>
      <c r="B3428" t="inlineStr">
        <is>
          <t>MMMCDXXVII</t>
        </is>
      </c>
      <c r="C3428">
        <f>ROMAN(3427)</f>
        <v/>
      </c>
      <c r="D3428">
        <f>IF(B3428=C3428, "YES", "WRONG")</f>
        <v/>
      </c>
    </row>
    <row r="3429">
      <c r="A3429" t="n">
        <v>3428</v>
      </c>
      <c r="B3429" t="inlineStr">
        <is>
          <t>MMMCDXXVIII</t>
        </is>
      </c>
      <c r="C3429">
        <f>ROMAN(3428)</f>
        <v/>
      </c>
      <c r="D3429">
        <f>IF(B3429=C3429, "YES", "WRONG")</f>
        <v/>
      </c>
    </row>
    <row r="3430">
      <c r="A3430" t="n">
        <v>3429</v>
      </c>
      <c r="B3430" t="inlineStr">
        <is>
          <t>MMMCDXXIX</t>
        </is>
      </c>
      <c r="C3430">
        <f>ROMAN(3429)</f>
        <v/>
      </c>
      <c r="D3430">
        <f>IF(B3430=C3430, "YES", "WRONG")</f>
        <v/>
      </c>
    </row>
    <row r="3431">
      <c r="A3431" t="n">
        <v>3430</v>
      </c>
      <c r="B3431" t="inlineStr">
        <is>
          <t>MMMCDXXX</t>
        </is>
      </c>
      <c r="C3431">
        <f>ROMAN(3430)</f>
        <v/>
      </c>
      <c r="D3431">
        <f>IF(B3431=C3431, "YES", "WRONG")</f>
        <v/>
      </c>
    </row>
    <row r="3432">
      <c r="A3432" t="n">
        <v>3431</v>
      </c>
      <c r="B3432" t="inlineStr">
        <is>
          <t>MMMCDXXXI</t>
        </is>
      </c>
      <c r="C3432">
        <f>ROMAN(3431)</f>
        <v/>
      </c>
      <c r="D3432">
        <f>IF(B3432=C3432, "YES", "WRONG")</f>
        <v/>
      </c>
    </row>
    <row r="3433">
      <c r="A3433" t="n">
        <v>3432</v>
      </c>
      <c r="B3433" t="inlineStr">
        <is>
          <t>MMMCDXXXII</t>
        </is>
      </c>
      <c r="C3433">
        <f>ROMAN(3432)</f>
        <v/>
      </c>
      <c r="D3433">
        <f>IF(B3433=C3433, "YES", "WRONG")</f>
        <v/>
      </c>
    </row>
    <row r="3434">
      <c r="A3434" t="n">
        <v>3433</v>
      </c>
      <c r="B3434" t="inlineStr">
        <is>
          <t>MMMCDXXXIII</t>
        </is>
      </c>
      <c r="C3434">
        <f>ROMAN(3433)</f>
        <v/>
      </c>
      <c r="D3434">
        <f>IF(B3434=C3434, "YES", "WRONG")</f>
        <v/>
      </c>
    </row>
    <row r="3435">
      <c r="A3435" t="n">
        <v>3434</v>
      </c>
      <c r="B3435" t="inlineStr">
        <is>
          <t>MMMCDXXXIV</t>
        </is>
      </c>
      <c r="C3435">
        <f>ROMAN(3434)</f>
        <v/>
      </c>
      <c r="D3435">
        <f>IF(B3435=C3435, "YES", "WRONG")</f>
        <v/>
      </c>
    </row>
    <row r="3436">
      <c r="A3436" t="n">
        <v>3435</v>
      </c>
      <c r="B3436" t="inlineStr">
        <is>
          <t>MMMCDXXXV</t>
        </is>
      </c>
      <c r="C3436">
        <f>ROMAN(3435)</f>
        <v/>
      </c>
      <c r="D3436">
        <f>IF(B3436=C3436, "YES", "WRONG")</f>
        <v/>
      </c>
    </row>
    <row r="3437">
      <c r="A3437" t="n">
        <v>3436</v>
      </c>
      <c r="B3437" t="inlineStr">
        <is>
          <t>MMMCDXXXVI</t>
        </is>
      </c>
      <c r="C3437">
        <f>ROMAN(3436)</f>
        <v/>
      </c>
      <c r="D3437">
        <f>IF(B3437=C3437, "YES", "WRONG")</f>
        <v/>
      </c>
    </row>
    <row r="3438">
      <c r="A3438" t="n">
        <v>3437</v>
      </c>
      <c r="B3438" t="inlineStr">
        <is>
          <t>MMMCDXXXVII</t>
        </is>
      </c>
      <c r="C3438">
        <f>ROMAN(3437)</f>
        <v/>
      </c>
      <c r="D3438">
        <f>IF(B3438=C3438, "YES", "WRONG")</f>
        <v/>
      </c>
    </row>
    <row r="3439">
      <c r="A3439" t="n">
        <v>3438</v>
      </c>
      <c r="B3439" t="inlineStr">
        <is>
          <t>MMMCDXXXVIII</t>
        </is>
      </c>
      <c r="C3439">
        <f>ROMAN(3438)</f>
        <v/>
      </c>
      <c r="D3439">
        <f>IF(B3439=C3439, "YES", "WRONG")</f>
        <v/>
      </c>
    </row>
    <row r="3440">
      <c r="A3440" t="n">
        <v>3439</v>
      </c>
      <c r="B3440" t="inlineStr">
        <is>
          <t>MMMCDXXXIX</t>
        </is>
      </c>
      <c r="C3440">
        <f>ROMAN(3439)</f>
        <v/>
      </c>
      <c r="D3440">
        <f>IF(B3440=C3440, "YES", "WRONG")</f>
        <v/>
      </c>
    </row>
    <row r="3441">
      <c r="A3441" t="n">
        <v>3440</v>
      </c>
      <c r="B3441" t="inlineStr">
        <is>
          <t>MMMCDXL</t>
        </is>
      </c>
      <c r="C3441">
        <f>ROMAN(3440)</f>
        <v/>
      </c>
      <c r="D3441">
        <f>IF(B3441=C3441, "YES", "WRONG")</f>
        <v/>
      </c>
    </row>
    <row r="3442">
      <c r="A3442" t="n">
        <v>3441</v>
      </c>
      <c r="B3442" t="inlineStr">
        <is>
          <t>MMMCDXLI</t>
        </is>
      </c>
      <c r="C3442">
        <f>ROMAN(3441)</f>
        <v/>
      </c>
      <c r="D3442">
        <f>IF(B3442=C3442, "YES", "WRONG")</f>
        <v/>
      </c>
    </row>
    <row r="3443">
      <c r="A3443" t="n">
        <v>3442</v>
      </c>
      <c r="B3443" t="inlineStr">
        <is>
          <t>MMMCDXLII</t>
        </is>
      </c>
      <c r="C3443">
        <f>ROMAN(3442)</f>
        <v/>
      </c>
      <c r="D3443">
        <f>IF(B3443=C3443, "YES", "WRONG")</f>
        <v/>
      </c>
    </row>
    <row r="3444">
      <c r="A3444" t="n">
        <v>3443</v>
      </c>
      <c r="B3444" t="inlineStr">
        <is>
          <t>MMMCDXLIII</t>
        </is>
      </c>
      <c r="C3444">
        <f>ROMAN(3443)</f>
        <v/>
      </c>
      <c r="D3444">
        <f>IF(B3444=C3444, "YES", "WRONG")</f>
        <v/>
      </c>
    </row>
    <row r="3445">
      <c r="A3445" t="n">
        <v>3444</v>
      </c>
      <c r="B3445" t="inlineStr">
        <is>
          <t>MMMCDXLIV</t>
        </is>
      </c>
      <c r="C3445">
        <f>ROMAN(3444)</f>
        <v/>
      </c>
      <c r="D3445">
        <f>IF(B3445=C3445, "YES", "WRONG")</f>
        <v/>
      </c>
    </row>
    <row r="3446">
      <c r="A3446" t="n">
        <v>3445</v>
      </c>
      <c r="B3446" t="inlineStr">
        <is>
          <t>MMMCDXLV</t>
        </is>
      </c>
      <c r="C3446">
        <f>ROMAN(3445)</f>
        <v/>
      </c>
      <c r="D3446">
        <f>IF(B3446=C3446, "YES", "WRONG")</f>
        <v/>
      </c>
    </row>
    <row r="3447">
      <c r="A3447" t="n">
        <v>3446</v>
      </c>
      <c r="B3447" t="inlineStr">
        <is>
          <t>MMMCDXLVI</t>
        </is>
      </c>
      <c r="C3447">
        <f>ROMAN(3446)</f>
        <v/>
      </c>
      <c r="D3447">
        <f>IF(B3447=C3447, "YES", "WRONG")</f>
        <v/>
      </c>
    </row>
    <row r="3448">
      <c r="A3448" t="n">
        <v>3447</v>
      </c>
      <c r="B3448" t="inlineStr">
        <is>
          <t>MMMCDXLVII</t>
        </is>
      </c>
      <c r="C3448">
        <f>ROMAN(3447)</f>
        <v/>
      </c>
      <c r="D3448">
        <f>IF(B3448=C3448, "YES", "WRONG")</f>
        <v/>
      </c>
    </row>
    <row r="3449">
      <c r="A3449" t="n">
        <v>3448</v>
      </c>
      <c r="B3449" t="inlineStr">
        <is>
          <t>MMMCDXLVIII</t>
        </is>
      </c>
      <c r="C3449">
        <f>ROMAN(3448)</f>
        <v/>
      </c>
      <c r="D3449">
        <f>IF(B3449=C3449, "YES", "WRONG")</f>
        <v/>
      </c>
    </row>
    <row r="3450">
      <c r="A3450" t="n">
        <v>3449</v>
      </c>
      <c r="B3450" t="inlineStr">
        <is>
          <t>MMMCDXLIX</t>
        </is>
      </c>
      <c r="C3450">
        <f>ROMAN(3449)</f>
        <v/>
      </c>
      <c r="D3450">
        <f>IF(B3450=C3450, "YES", "WRONG")</f>
        <v/>
      </c>
    </row>
    <row r="3451">
      <c r="A3451" t="n">
        <v>3450</v>
      </c>
      <c r="B3451" t="inlineStr">
        <is>
          <t>MMMCDL</t>
        </is>
      </c>
      <c r="C3451">
        <f>ROMAN(3450)</f>
        <v/>
      </c>
      <c r="D3451">
        <f>IF(B3451=C3451, "YES", "WRONG")</f>
        <v/>
      </c>
    </row>
    <row r="3452">
      <c r="A3452" t="n">
        <v>3451</v>
      </c>
      <c r="B3452" t="inlineStr">
        <is>
          <t>MMMCDLI</t>
        </is>
      </c>
      <c r="C3452">
        <f>ROMAN(3451)</f>
        <v/>
      </c>
      <c r="D3452">
        <f>IF(B3452=C3452, "YES", "WRONG")</f>
        <v/>
      </c>
    </row>
    <row r="3453">
      <c r="A3453" t="n">
        <v>3452</v>
      </c>
      <c r="B3453" t="inlineStr">
        <is>
          <t>MMMCDLII</t>
        </is>
      </c>
      <c r="C3453">
        <f>ROMAN(3452)</f>
        <v/>
      </c>
      <c r="D3453">
        <f>IF(B3453=C3453, "YES", "WRONG")</f>
        <v/>
      </c>
    </row>
    <row r="3454">
      <c r="A3454" t="n">
        <v>3453</v>
      </c>
      <c r="B3454" t="inlineStr">
        <is>
          <t>MMMCDLIII</t>
        </is>
      </c>
      <c r="C3454">
        <f>ROMAN(3453)</f>
        <v/>
      </c>
      <c r="D3454">
        <f>IF(B3454=C3454, "YES", "WRONG")</f>
        <v/>
      </c>
    </row>
    <row r="3455">
      <c r="A3455" t="n">
        <v>3454</v>
      </c>
      <c r="B3455" t="inlineStr">
        <is>
          <t>MMMCDLIV</t>
        </is>
      </c>
      <c r="C3455">
        <f>ROMAN(3454)</f>
        <v/>
      </c>
      <c r="D3455">
        <f>IF(B3455=C3455, "YES", "WRONG")</f>
        <v/>
      </c>
    </row>
    <row r="3456">
      <c r="A3456" t="n">
        <v>3455</v>
      </c>
      <c r="B3456" t="inlineStr">
        <is>
          <t>MMMCDLV</t>
        </is>
      </c>
      <c r="C3456">
        <f>ROMAN(3455)</f>
        <v/>
      </c>
      <c r="D3456">
        <f>IF(B3456=C3456, "YES", "WRONG")</f>
        <v/>
      </c>
    </row>
    <row r="3457">
      <c r="A3457" t="n">
        <v>3456</v>
      </c>
      <c r="B3457" t="inlineStr">
        <is>
          <t>MMMCDLVI</t>
        </is>
      </c>
      <c r="C3457">
        <f>ROMAN(3456)</f>
        <v/>
      </c>
      <c r="D3457">
        <f>IF(B3457=C3457, "YES", "WRONG")</f>
        <v/>
      </c>
    </row>
    <row r="3458">
      <c r="A3458" t="n">
        <v>3457</v>
      </c>
      <c r="B3458" t="inlineStr">
        <is>
          <t>MMMCDLVII</t>
        </is>
      </c>
      <c r="C3458">
        <f>ROMAN(3457)</f>
        <v/>
      </c>
      <c r="D3458">
        <f>IF(B3458=C3458, "YES", "WRONG")</f>
        <v/>
      </c>
    </row>
    <row r="3459">
      <c r="A3459" t="n">
        <v>3458</v>
      </c>
      <c r="B3459" t="inlineStr">
        <is>
          <t>MMMCDLVIII</t>
        </is>
      </c>
      <c r="C3459">
        <f>ROMAN(3458)</f>
        <v/>
      </c>
      <c r="D3459">
        <f>IF(B3459=C3459, "YES", "WRONG")</f>
        <v/>
      </c>
    </row>
    <row r="3460">
      <c r="A3460" t="n">
        <v>3459</v>
      </c>
      <c r="B3460" t="inlineStr">
        <is>
          <t>MMMCDLIX</t>
        </is>
      </c>
      <c r="C3460">
        <f>ROMAN(3459)</f>
        <v/>
      </c>
      <c r="D3460">
        <f>IF(B3460=C3460, "YES", "WRONG")</f>
        <v/>
      </c>
    </row>
    <row r="3461">
      <c r="A3461" t="n">
        <v>3460</v>
      </c>
      <c r="B3461" t="inlineStr">
        <is>
          <t>MMMCDLX</t>
        </is>
      </c>
      <c r="C3461">
        <f>ROMAN(3460)</f>
        <v/>
      </c>
      <c r="D3461">
        <f>IF(B3461=C3461, "YES", "WRONG")</f>
        <v/>
      </c>
    </row>
    <row r="3462">
      <c r="A3462" t="n">
        <v>3461</v>
      </c>
      <c r="B3462" t="inlineStr">
        <is>
          <t>MMMCDLXI</t>
        </is>
      </c>
      <c r="C3462">
        <f>ROMAN(3461)</f>
        <v/>
      </c>
      <c r="D3462">
        <f>IF(B3462=C3462, "YES", "WRONG")</f>
        <v/>
      </c>
    </row>
    <row r="3463">
      <c r="A3463" t="n">
        <v>3462</v>
      </c>
      <c r="B3463" t="inlineStr">
        <is>
          <t>MMMCDLXII</t>
        </is>
      </c>
      <c r="C3463">
        <f>ROMAN(3462)</f>
        <v/>
      </c>
      <c r="D3463">
        <f>IF(B3463=C3463, "YES", "WRONG")</f>
        <v/>
      </c>
    </row>
    <row r="3464">
      <c r="A3464" t="n">
        <v>3463</v>
      </c>
      <c r="B3464" t="inlineStr">
        <is>
          <t>MMMCDLXIII</t>
        </is>
      </c>
      <c r="C3464">
        <f>ROMAN(3463)</f>
        <v/>
      </c>
      <c r="D3464">
        <f>IF(B3464=C3464, "YES", "WRONG")</f>
        <v/>
      </c>
    </row>
    <row r="3465">
      <c r="A3465" t="n">
        <v>3464</v>
      </c>
      <c r="B3465" t="inlineStr">
        <is>
          <t>MMMCDLXIV</t>
        </is>
      </c>
      <c r="C3465">
        <f>ROMAN(3464)</f>
        <v/>
      </c>
      <c r="D3465">
        <f>IF(B3465=C3465, "YES", "WRONG")</f>
        <v/>
      </c>
    </row>
    <row r="3466">
      <c r="A3466" t="n">
        <v>3465</v>
      </c>
      <c r="B3466" t="inlineStr">
        <is>
          <t>MMMCDLXV</t>
        </is>
      </c>
      <c r="C3466">
        <f>ROMAN(3465)</f>
        <v/>
      </c>
      <c r="D3466">
        <f>IF(B3466=C3466, "YES", "WRONG")</f>
        <v/>
      </c>
    </row>
    <row r="3467">
      <c r="A3467" t="n">
        <v>3466</v>
      </c>
      <c r="B3467" t="inlineStr">
        <is>
          <t>MMMCDLXVI</t>
        </is>
      </c>
      <c r="C3467">
        <f>ROMAN(3466)</f>
        <v/>
      </c>
      <c r="D3467">
        <f>IF(B3467=C3467, "YES", "WRONG")</f>
        <v/>
      </c>
    </row>
    <row r="3468">
      <c r="A3468" t="n">
        <v>3467</v>
      </c>
      <c r="B3468" t="inlineStr">
        <is>
          <t>MMMCDLXVII</t>
        </is>
      </c>
      <c r="C3468">
        <f>ROMAN(3467)</f>
        <v/>
      </c>
      <c r="D3468">
        <f>IF(B3468=C3468, "YES", "WRONG")</f>
        <v/>
      </c>
    </row>
    <row r="3469">
      <c r="A3469" t="n">
        <v>3468</v>
      </c>
      <c r="B3469" t="inlineStr">
        <is>
          <t>MMMCDLXVIII</t>
        </is>
      </c>
      <c r="C3469">
        <f>ROMAN(3468)</f>
        <v/>
      </c>
      <c r="D3469">
        <f>IF(B3469=C3469, "YES", "WRONG")</f>
        <v/>
      </c>
    </row>
    <row r="3470">
      <c r="A3470" t="n">
        <v>3469</v>
      </c>
      <c r="B3470" t="inlineStr">
        <is>
          <t>MMMCDLXIX</t>
        </is>
      </c>
      <c r="C3470">
        <f>ROMAN(3469)</f>
        <v/>
      </c>
      <c r="D3470">
        <f>IF(B3470=C3470, "YES", "WRONG")</f>
        <v/>
      </c>
    </row>
    <row r="3471">
      <c r="A3471" t="n">
        <v>3470</v>
      </c>
      <c r="B3471" t="inlineStr">
        <is>
          <t>MMMCDLXX</t>
        </is>
      </c>
      <c r="C3471">
        <f>ROMAN(3470)</f>
        <v/>
      </c>
      <c r="D3471">
        <f>IF(B3471=C3471, "YES", "WRONG")</f>
        <v/>
      </c>
    </row>
    <row r="3472">
      <c r="A3472" t="n">
        <v>3471</v>
      </c>
      <c r="B3472" t="inlineStr">
        <is>
          <t>MMMCDLXXI</t>
        </is>
      </c>
      <c r="C3472">
        <f>ROMAN(3471)</f>
        <v/>
      </c>
      <c r="D3472">
        <f>IF(B3472=C3472, "YES", "WRONG")</f>
        <v/>
      </c>
    </row>
    <row r="3473">
      <c r="A3473" t="n">
        <v>3472</v>
      </c>
      <c r="B3473" t="inlineStr">
        <is>
          <t>MMMCDLXXII</t>
        </is>
      </c>
      <c r="C3473">
        <f>ROMAN(3472)</f>
        <v/>
      </c>
      <c r="D3473">
        <f>IF(B3473=C3473, "YES", "WRONG")</f>
        <v/>
      </c>
    </row>
    <row r="3474">
      <c r="A3474" t="n">
        <v>3473</v>
      </c>
      <c r="B3474" t="inlineStr">
        <is>
          <t>MMMCDLXXIII</t>
        </is>
      </c>
      <c r="C3474">
        <f>ROMAN(3473)</f>
        <v/>
      </c>
      <c r="D3474">
        <f>IF(B3474=C3474, "YES", "WRONG")</f>
        <v/>
      </c>
    </row>
    <row r="3475">
      <c r="A3475" t="n">
        <v>3474</v>
      </c>
      <c r="B3475" t="inlineStr">
        <is>
          <t>MMMCDLXXIV</t>
        </is>
      </c>
      <c r="C3475">
        <f>ROMAN(3474)</f>
        <v/>
      </c>
      <c r="D3475">
        <f>IF(B3475=C3475, "YES", "WRONG")</f>
        <v/>
      </c>
    </row>
    <row r="3476">
      <c r="A3476" t="n">
        <v>3475</v>
      </c>
      <c r="B3476" t="inlineStr">
        <is>
          <t>MMMCDLXXV</t>
        </is>
      </c>
      <c r="C3476">
        <f>ROMAN(3475)</f>
        <v/>
      </c>
      <c r="D3476">
        <f>IF(B3476=C3476, "YES", "WRONG")</f>
        <v/>
      </c>
    </row>
    <row r="3477">
      <c r="A3477" t="n">
        <v>3476</v>
      </c>
      <c r="B3477" t="inlineStr">
        <is>
          <t>MMMCDLXXVI</t>
        </is>
      </c>
      <c r="C3477">
        <f>ROMAN(3476)</f>
        <v/>
      </c>
      <c r="D3477">
        <f>IF(B3477=C3477, "YES", "WRONG")</f>
        <v/>
      </c>
    </row>
    <row r="3478">
      <c r="A3478" t="n">
        <v>3477</v>
      </c>
      <c r="B3478" t="inlineStr">
        <is>
          <t>MMMCDLXXVII</t>
        </is>
      </c>
      <c r="C3478">
        <f>ROMAN(3477)</f>
        <v/>
      </c>
      <c r="D3478">
        <f>IF(B3478=C3478, "YES", "WRONG")</f>
        <v/>
      </c>
    </row>
    <row r="3479">
      <c r="A3479" t="n">
        <v>3478</v>
      </c>
      <c r="B3479" t="inlineStr">
        <is>
          <t>MMMCDLXXVIII</t>
        </is>
      </c>
      <c r="C3479">
        <f>ROMAN(3478)</f>
        <v/>
      </c>
      <c r="D3479">
        <f>IF(B3479=C3479, "YES", "WRONG")</f>
        <v/>
      </c>
    </row>
    <row r="3480">
      <c r="A3480" t="n">
        <v>3479</v>
      </c>
      <c r="B3480" t="inlineStr">
        <is>
          <t>MMMCDLXXIX</t>
        </is>
      </c>
      <c r="C3480">
        <f>ROMAN(3479)</f>
        <v/>
      </c>
      <c r="D3480">
        <f>IF(B3480=C3480, "YES", "WRONG")</f>
        <v/>
      </c>
    </row>
    <row r="3481">
      <c r="A3481" t="n">
        <v>3480</v>
      </c>
      <c r="B3481" t="inlineStr">
        <is>
          <t>MMMCDLXXX</t>
        </is>
      </c>
      <c r="C3481">
        <f>ROMAN(3480)</f>
        <v/>
      </c>
      <c r="D3481">
        <f>IF(B3481=C3481, "YES", "WRONG")</f>
        <v/>
      </c>
    </row>
    <row r="3482">
      <c r="A3482" t="n">
        <v>3481</v>
      </c>
      <c r="B3482" t="inlineStr">
        <is>
          <t>MMMCDLXXXI</t>
        </is>
      </c>
      <c r="C3482">
        <f>ROMAN(3481)</f>
        <v/>
      </c>
      <c r="D3482">
        <f>IF(B3482=C3482, "YES", "WRONG")</f>
        <v/>
      </c>
    </row>
    <row r="3483">
      <c r="A3483" t="n">
        <v>3482</v>
      </c>
      <c r="B3483" t="inlineStr">
        <is>
          <t>MMMCDLXXXII</t>
        </is>
      </c>
      <c r="C3483">
        <f>ROMAN(3482)</f>
        <v/>
      </c>
      <c r="D3483">
        <f>IF(B3483=C3483, "YES", "WRONG")</f>
        <v/>
      </c>
    </row>
    <row r="3484">
      <c r="A3484" t="n">
        <v>3483</v>
      </c>
      <c r="B3484" t="inlineStr">
        <is>
          <t>MMMCDLXXXIII</t>
        </is>
      </c>
      <c r="C3484">
        <f>ROMAN(3483)</f>
        <v/>
      </c>
      <c r="D3484">
        <f>IF(B3484=C3484, "YES", "WRONG")</f>
        <v/>
      </c>
    </row>
    <row r="3485">
      <c r="A3485" t="n">
        <v>3484</v>
      </c>
      <c r="B3485" t="inlineStr">
        <is>
          <t>MMMCDLXXXIV</t>
        </is>
      </c>
      <c r="C3485">
        <f>ROMAN(3484)</f>
        <v/>
      </c>
      <c r="D3485">
        <f>IF(B3485=C3485, "YES", "WRONG")</f>
        <v/>
      </c>
    </row>
    <row r="3486">
      <c r="A3486" t="n">
        <v>3485</v>
      </c>
      <c r="B3486" t="inlineStr">
        <is>
          <t>MMMCDLXXXV</t>
        </is>
      </c>
      <c r="C3486">
        <f>ROMAN(3485)</f>
        <v/>
      </c>
      <c r="D3486">
        <f>IF(B3486=C3486, "YES", "WRONG")</f>
        <v/>
      </c>
    </row>
    <row r="3487">
      <c r="A3487" t="n">
        <v>3486</v>
      </c>
      <c r="B3487" t="inlineStr">
        <is>
          <t>MMMCDLXXXVI</t>
        </is>
      </c>
      <c r="C3487">
        <f>ROMAN(3486)</f>
        <v/>
      </c>
      <c r="D3487">
        <f>IF(B3487=C3487, "YES", "WRONG")</f>
        <v/>
      </c>
    </row>
    <row r="3488">
      <c r="A3488" t="n">
        <v>3487</v>
      </c>
      <c r="B3488" t="inlineStr">
        <is>
          <t>MMMCDLXXXVII</t>
        </is>
      </c>
      <c r="C3488">
        <f>ROMAN(3487)</f>
        <v/>
      </c>
      <c r="D3488">
        <f>IF(B3488=C3488, "YES", "WRONG")</f>
        <v/>
      </c>
    </row>
    <row r="3489">
      <c r="A3489" t="n">
        <v>3488</v>
      </c>
      <c r="B3489" t="inlineStr">
        <is>
          <t>MMMCDLXXXVIII</t>
        </is>
      </c>
      <c r="C3489">
        <f>ROMAN(3488)</f>
        <v/>
      </c>
      <c r="D3489">
        <f>IF(B3489=C3489, "YES", "WRONG")</f>
        <v/>
      </c>
    </row>
    <row r="3490">
      <c r="A3490" t="n">
        <v>3489</v>
      </c>
      <c r="B3490" t="inlineStr">
        <is>
          <t>MMMCDLXXXIX</t>
        </is>
      </c>
      <c r="C3490">
        <f>ROMAN(3489)</f>
        <v/>
      </c>
      <c r="D3490">
        <f>IF(B3490=C3490, "YES", "WRONG")</f>
        <v/>
      </c>
    </row>
    <row r="3491">
      <c r="A3491" t="n">
        <v>3490</v>
      </c>
      <c r="B3491" t="inlineStr">
        <is>
          <t>MMMCDXC</t>
        </is>
      </c>
      <c r="C3491">
        <f>ROMAN(3490)</f>
        <v/>
      </c>
      <c r="D3491">
        <f>IF(B3491=C3491, "YES", "WRONG")</f>
        <v/>
      </c>
    </row>
    <row r="3492">
      <c r="A3492" t="n">
        <v>3491</v>
      </c>
      <c r="B3492" t="inlineStr">
        <is>
          <t>MMMCDXCI</t>
        </is>
      </c>
      <c r="C3492">
        <f>ROMAN(3491)</f>
        <v/>
      </c>
      <c r="D3492">
        <f>IF(B3492=C3492, "YES", "WRONG")</f>
        <v/>
      </c>
    </row>
    <row r="3493">
      <c r="A3493" t="n">
        <v>3492</v>
      </c>
      <c r="B3493" t="inlineStr">
        <is>
          <t>MMMCDXCII</t>
        </is>
      </c>
      <c r="C3493">
        <f>ROMAN(3492)</f>
        <v/>
      </c>
      <c r="D3493">
        <f>IF(B3493=C3493, "YES", "WRONG")</f>
        <v/>
      </c>
    </row>
    <row r="3494">
      <c r="A3494" t="n">
        <v>3493</v>
      </c>
      <c r="B3494" t="inlineStr">
        <is>
          <t>MMMCDXCIII</t>
        </is>
      </c>
      <c r="C3494">
        <f>ROMAN(3493)</f>
        <v/>
      </c>
      <c r="D3494">
        <f>IF(B3494=C3494, "YES", "WRONG")</f>
        <v/>
      </c>
    </row>
    <row r="3495">
      <c r="A3495" t="n">
        <v>3494</v>
      </c>
      <c r="B3495" t="inlineStr">
        <is>
          <t>MMMCDXCIV</t>
        </is>
      </c>
      <c r="C3495">
        <f>ROMAN(3494)</f>
        <v/>
      </c>
      <c r="D3495">
        <f>IF(B3495=C3495, "YES", "WRONG")</f>
        <v/>
      </c>
    </row>
    <row r="3496">
      <c r="A3496" t="n">
        <v>3495</v>
      </c>
      <c r="B3496" t="inlineStr">
        <is>
          <t>MMMCDXCV</t>
        </is>
      </c>
      <c r="C3496">
        <f>ROMAN(3495)</f>
        <v/>
      </c>
      <c r="D3496">
        <f>IF(B3496=C3496, "YES", "WRONG")</f>
        <v/>
      </c>
    </row>
    <row r="3497">
      <c r="A3497" t="n">
        <v>3496</v>
      </c>
      <c r="B3497" t="inlineStr">
        <is>
          <t>MMMCDXCVI</t>
        </is>
      </c>
      <c r="C3497">
        <f>ROMAN(3496)</f>
        <v/>
      </c>
      <c r="D3497">
        <f>IF(B3497=C3497, "YES", "WRONG")</f>
        <v/>
      </c>
    </row>
    <row r="3498">
      <c r="A3498" t="n">
        <v>3497</v>
      </c>
      <c r="B3498" t="inlineStr">
        <is>
          <t>MMMCDXCVII</t>
        </is>
      </c>
      <c r="C3498">
        <f>ROMAN(3497)</f>
        <v/>
      </c>
      <c r="D3498">
        <f>IF(B3498=C3498, "YES", "WRONG")</f>
        <v/>
      </c>
    </row>
    <row r="3499">
      <c r="A3499" t="n">
        <v>3498</v>
      </c>
      <c r="B3499" t="inlineStr">
        <is>
          <t>MMMCDXCVIII</t>
        </is>
      </c>
      <c r="C3499">
        <f>ROMAN(3498)</f>
        <v/>
      </c>
      <c r="D3499">
        <f>IF(B3499=C3499, "YES", "WRONG")</f>
        <v/>
      </c>
    </row>
    <row r="3500">
      <c r="A3500" t="n">
        <v>3499</v>
      </c>
      <c r="B3500" t="inlineStr">
        <is>
          <t>MMMCDXCIX</t>
        </is>
      </c>
      <c r="C3500">
        <f>ROMAN(3499)</f>
        <v/>
      </c>
      <c r="D3500">
        <f>IF(B3500=C3500, "YES", "WRONG")</f>
        <v/>
      </c>
    </row>
    <row r="3501">
      <c r="A3501" t="n">
        <v>3500</v>
      </c>
      <c r="B3501" t="inlineStr">
        <is>
          <t>MMMD</t>
        </is>
      </c>
      <c r="C3501">
        <f>ROMAN(3500)</f>
        <v/>
      </c>
      <c r="D3501">
        <f>IF(B3501=C3501, "YES", "WRONG")</f>
        <v/>
      </c>
    </row>
    <row r="3502">
      <c r="A3502" t="n">
        <v>3501</v>
      </c>
      <c r="B3502" t="inlineStr">
        <is>
          <t>MMMDI</t>
        </is>
      </c>
      <c r="C3502">
        <f>ROMAN(3501)</f>
        <v/>
      </c>
      <c r="D3502">
        <f>IF(B3502=C3502, "YES", "WRONG")</f>
        <v/>
      </c>
    </row>
    <row r="3503">
      <c r="A3503" t="n">
        <v>3502</v>
      </c>
      <c r="B3503" t="inlineStr">
        <is>
          <t>MMMDII</t>
        </is>
      </c>
      <c r="C3503">
        <f>ROMAN(3502)</f>
        <v/>
      </c>
      <c r="D3503">
        <f>IF(B3503=C3503, "YES", "WRONG")</f>
        <v/>
      </c>
    </row>
    <row r="3504">
      <c r="A3504" t="n">
        <v>3503</v>
      </c>
      <c r="B3504" t="inlineStr">
        <is>
          <t>MMMDIII</t>
        </is>
      </c>
      <c r="C3504">
        <f>ROMAN(3503)</f>
        <v/>
      </c>
      <c r="D3504">
        <f>IF(B3504=C3504, "YES", "WRONG")</f>
        <v/>
      </c>
    </row>
    <row r="3505">
      <c r="A3505" t="n">
        <v>3504</v>
      </c>
      <c r="B3505" t="inlineStr">
        <is>
          <t>MMMDIV</t>
        </is>
      </c>
      <c r="C3505">
        <f>ROMAN(3504)</f>
        <v/>
      </c>
      <c r="D3505">
        <f>IF(B3505=C3505, "YES", "WRONG")</f>
        <v/>
      </c>
    </row>
    <row r="3506">
      <c r="A3506" t="n">
        <v>3505</v>
      </c>
      <c r="B3506" t="inlineStr">
        <is>
          <t>MMMDV</t>
        </is>
      </c>
      <c r="C3506">
        <f>ROMAN(3505)</f>
        <v/>
      </c>
      <c r="D3506">
        <f>IF(B3506=C3506, "YES", "WRONG")</f>
        <v/>
      </c>
    </row>
    <row r="3507">
      <c r="A3507" t="n">
        <v>3506</v>
      </c>
      <c r="B3507" t="inlineStr">
        <is>
          <t>MMMDVI</t>
        </is>
      </c>
      <c r="C3507">
        <f>ROMAN(3506)</f>
        <v/>
      </c>
      <c r="D3507">
        <f>IF(B3507=C3507, "YES", "WRONG")</f>
        <v/>
      </c>
    </row>
    <row r="3508">
      <c r="A3508" t="n">
        <v>3507</v>
      </c>
      <c r="B3508" t="inlineStr">
        <is>
          <t>MMMDVII</t>
        </is>
      </c>
      <c r="C3508">
        <f>ROMAN(3507)</f>
        <v/>
      </c>
      <c r="D3508">
        <f>IF(B3508=C3508, "YES", "WRONG")</f>
        <v/>
      </c>
    </row>
    <row r="3509">
      <c r="A3509" t="n">
        <v>3508</v>
      </c>
      <c r="B3509" t="inlineStr">
        <is>
          <t>MMMDVIII</t>
        </is>
      </c>
      <c r="C3509">
        <f>ROMAN(3508)</f>
        <v/>
      </c>
      <c r="D3509">
        <f>IF(B3509=C3509, "YES", "WRONG")</f>
        <v/>
      </c>
    </row>
    <row r="3510">
      <c r="A3510" t="n">
        <v>3509</v>
      </c>
      <c r="B3510" t="inlineStr">
        <is>
          <t>MMMDIX</t>
        </is>
      </c>
      <c r="C3510">
        <f>ROMAN(3509)</f>
        <v/>
      </c>
      <c r="D3510">
        <f>IF(B3510=C3510, "YES", "WRONG")</f>
        <v/>
      </c>
    </row>
    <row r="3511">
      <c r="A3511" t="n">
        <v>3510</v>
      </c>
      <c r="B3511" t="inlineStr">
        <is>
          <t>MMMDX</t>
        </is>
      </c>
      <c r="C3511">
        <f>ROMAN(3510)</f>
        <v/>
      </c>
      <c r="D3511">
        <f>IF(B3511=C3511, "YES", "WRONG")</f>
        <v/>
      </c>
    </row>
    <row r="3512">
      <c r="A3512" t="n">
        <v>3511</v>
      </c>
      <c r="B3512" t="inlineStr">
        <is>
          <t>MMMDXI</t>
        </is>
      </c>
      <c r="C3512">
        <f>ROMAN(3511)</f>
        <v/>
      </c>
      <c r="D3512">
        <f>IF(B3512=C3512, "YES", "WRONG")</f>
        <v/>
      </c>
    </row>
    <row r="3513">
      <c r="A3513" t="n">
        <v>3512</v>
      </c>
      <c r="B3513" t="inlineStr">
        <is>
          <t>MMMDXII</t>
        </is>
      </c>
      <c r="C3513">
        <f>ROMAN(3512)</f>
        <v/>
      </c>
      <c r="D3513">
        <f>IF(B3513=C3513, "YES", "WRONG")</f>
        <v/>
      </c>
    </row>
    <row r="3514">
      <c r="A3514" t="n">
        <v>3513</v>
      </c>
      <c r="B3514" t="inlineStr">
        <is>
          <t>MMMDXIII</t>
        </is>
      </c>
      <c r="C3514">
        <f>ROMAN(3513)</f>
        <v/>
      </c>
      <c r="D3514">
        <f>IF(B3514=C3514, "YES", "WRONG")</f>
        <v/>
      </c>
    </row>
    <row r="3515">
      <c r="A3515" t="n">
        <v>3514</v>
      </c>
      <c r="B3515" t="inlineStr">
        <is>
          <t>MMMDXIV</t>
        </is>
      </c>
      <c r="C3515">
        <f>ROMAN(3514)</f>
        <v/>
      </c>
      <c r="D3515">
        <f>IF(B3515=C3515, "YES", "WRONG")</f>
        <v/>
      </c>
    </row>
    <row r="3516">
      <c r="A3516" t="n">
        <v>3515</v>
      </c>
      <c r="B3516" t="inlineStr">
        <is>
          <t>MMMDXV</t>
        </is>
      </c>
      <c r="C3516">
        <f>ROMAN(3515)</f>
        <v/>
      </c>
      <c r="D3516">
        <f>IF(B3516=C3516, "YES", "WRONG")</f>
        <v/>
      </c>
    </row>
    <row r="3517">
      <c r="A3517" t="n">
        <v>3516</v>
      </c>
      <c r="B3517" t="inlineStr">
        <is>
          <t>MMMDXVI</t>
        </is>
      </c>
      <c r="C3517">
        <f>ROMAN(3516)</f>
        <v/>
      </c>
      <c r="D3517">
        <f>IF(B3517=C3517, "YES", "WRONG")</f>
        <v/>
      </c>
    </row>
    <row r="3518">
      <c r="A3518" t="n">
        <v>3517</v>
      </c>
      <c r="B3518" t="inlineStr">
        <is>
          <t>MMMDXVII</t>
        </is>
      </c>
      <c r="C3518">
        <f>ROMAN(3517)</f>
        <v/>
      </c>
      <c r="D3518">
        <f>IF(B3518=C3518, "YES", "WRONG")</f>
        <v/>
      </c>
    </row>
    <row r="3519">
      <c r="A3519" t="n">
        <v>3518</v>
      </c>
      <c r="B3519" t="inlineStr">
        <is>
          <t>MMMDXVIII</t>
        </is>
      </c>
      <c r="C3519">
        <f>ROMAN(3518)</f>
        <v/>
      </c>
      <c r="D3519">
        <f>IF(B3519=C3519, "YES", "WRONG")</f>
        <v/>
      </c>
    </row>
    <row r="3520">
      <c r="A3520" t="n">
        <v>3519</v>
      </c>
      <c r="B3520" t="inlineStr">
        <is>
          <t>MMMDXIX</t>
        </is>
      </c>
      <c r="C3520">
        <f>ROMAN(3519)</f>
        <v/>
      </c>
      <c r="D3520">
        <f>IF(B3520=C3520, "YES", "WRONG")</f>
        <v/>
      </c>
    </row>
    <row r="3521">
      <c r="A3521" t="n">
        <v>3520</v>
      </c>
      <c r="B3521" t="inlineStr">
        <is>
          <t>MMMDXX</t>
        </is>
      </c>
      <c r="C3521">
        <f>ROMAN(3520)</f>
        <v/>
      </c>
      <c r="D3521">
        <f>IF(B3521=C3521, "YES", "WRONG")</f>
        <v/>
      </c>
    </row>
    <row r="3522">
      <c r="A3522" t="n">
        <v>3521</v>
      </c>
      <c r="B3522" t="inlineStr">
        <is>
          <t>MMMDXXI</t>
        </is>
      </c>
      <c r="C3522">
        <f>ROMAN(3521)</f>
        <v/>
      </c>
      <c r="D3522">
        <f>IF(B3522=C3522, "YES", "WRONG")</f>
        <v/>
      </c>
    </row>
    <row r="3523">
      <c r="A3523" t="n">
        <v>3522</v>
      </c>
      <c r="B3523" t="inlineStr">
        <is>
          <t>MMMDXXII</t>
        </is>
      </c>
      <c r="C3523">
        <f>ROMAN(3522)</f>
        <v/>
      </c>
      <c r="D3523">
        <f>IF(B3523=C3523, "YES", "WRONG")</f>
        <v/>
      </c>
    </row>
    <row r="3524">
      <c r="A3524" t="n">
        <v>3523</v>
      </c>
      <c r="B3524" t="inlineStr">
        <is>
          <t>MMMDXXIII</t>
        </is>
      </c>
      <c r="C3524">
        <f>ROMAN(3523)</f>
        <v/>
      </c>
      <c r="D3524">
        <f>IF(B3524=C3524, "YES", "WRONG")</f>
        <v/>
      </c>
    </row>
    <row r="3525">
      <c r="A3525" t="n">
        <v>3524</v>
      </c>
      <c r="B3525" t="inlineStr">
        <is>
          <t>MMMDXXIV</t>
        </is>
      </c>
      <c r="C3525">
        <f>ROMAN(3524)</f>
        <v/>
      </c>
      <c r="D3525">
        <f>IF(B3525=C3525, "YES", "WRONG")</f>
        <v/>
      </c>
    </row>
    <row r="3526">
      <c r="A3526" t="n">
        <v>3525</v>
      </c>
      <c r="B3526" t="inlineStr">
        <is>
          <t>MMMDXXV</t>
        </is>
      </c>
      <c r="C3526">
        <f>ROMAN(3525)</f>
        <v/>
      </c>
      <c r="D3526">
        <f>IF(B3526=C3526, "YES", "WRONG")</f>
        <v/>
      </c>
    </row>
    <row r="3527">
      <c r="A3527" t="n">
        <v>3526</v>
      </c>
      <c r="B3527" t="inlineStr">
        <is>
          <t>MMMDXXVI</t>
        </is>
      </c>
      <c r="C3527">
        <f>ROMAN(3526)</f>
        <v/>
      </c>
      <c r="D3527">
        <f>IF(B3527=C3527, "YES", "WRONG")</f>
        <v/>
      </c>
    </row>
    <row r="3528">
      <c r="A3528" t="n">
        <v>3527</v>
      </c>
      <c r="B3528" t="inlineStr">
        <is>
          <t>MMMDXXVII</t>
        </is>
      </c>
      <c r="C3528">
        <f>ROMAN(3527)</f>
        <v/>
      </c>
      <c r="D3528">
        <f>IF(B3528=C3528, "YES", "WRONG")</f>
        <v/>
      </c>
    </row>
    <row r="3529">
      <c r="A3529" t="n">
        <v>3528</v>
      </c>
      <c r="B3529" t="inlineStr">
        <is>
          <t>MMMDXXVIII</t>
        </is>
      </c>
      <c r="C3529">
        <f>ROMAN(3528)</f>
        <v/>
      </c>
      <c r="D3529">
        <f>IF(B3529=C3529, "YES", "WRONG")</f>
        <v/>
      </c>
    </row>
    <row r="3530">
      <c r="A3530" t="n">
        <v>3529</v>
      </c>
      <c r="B3530" t="inlineStr">
        <is>
          <t>MMMDXXIX</t>
        </is>
      </c>
      <c r="C3530">
        <f>ROMAN(3529)</f>
        <v/>
      </c>
      <c r="D3530">
        <f>IF(B3530=C3530, "YES", "WRONG")</f>
        <v/>
      </c>
    </row>
    <row r="3531">
      <c r="A3531" t="n">
        <v>3530</v>
      </c>
      <c r="B3531" t="inlineStr">
        <is>
          <t>MMMDXXX</t>
        </is>
      </c>
      <c r="C3531">
        <f>ROMAN(3530)</f>
        <v/>
      </c>
      <c r="D3531">
        <f>IF(B3531=C3531, "YES", "WRONG")</f>
        <v/>
      </c>
    </row>
    <row r="3532">
      <c r="A3532" t="n">
        <v>3531</v>
      </c>
      <c r="B3532" t="inlineStr">
        <is>
          <t>MMMDXXXI</t>
        </is>
      </c>
      <c r="C3532">
        <f>ROMAN(3531)</f>
        <v/>
      </c>
      <c r="D3532">
        <f>IF(B3532=C3532, "YES", "WRONG")</f>
        <v/>
      </c>
    </row>
    <row r="3533">
      <c r="A3533" t="n">
        <v>3532</v>
      </c>
      <c r="B3533" t="inlineStr">
        <is>
          <t>MMMDXXXII</t>
        </is>
      </c>
      <c r="C3533">
        <f>ROMAN(3532)</f>
        <v/>
      </c>
      <c r="D3533">
        <f>IF(B3533=C3533, "YES", "WRONG")</f>
        <v/>
      </c>
    </row>
    <row r="3534">
      <c r="A3534" t="n">
        <v>3533</v>
      </c>
      <c r="B3534" t="inlineStr">
        <is>
          <t>MMMDXXXIII</t>
        </is>
      </c>
      <c r="C3534">
        <f>ROMAN(3533)</f>
        <v/>
      </c>
      <c r="D3534">
        <f>IF(B3534=C3534, "YES", "WRONG")</f>
        <v/>
      </c>
    </row>
    <row r="3535">
      <c r="A3535" t="n">
        <v>3534</v>
      </c>
      <c r="B3535" t="inlineStr">
        <is>
          <t>MMMDXXXIV</t>
        </is>
      </c>
      <c r="C3535">
        <f>ROMAN(3534)</f>
        <v/>
      </c>
      <c r="D3535">
        <f>IF(B3535=C3535, "YES", "WRONG")</f>
        <v/>
      </c>
    </row>
    <row r="3536">
      <c r="A3536" t="n">
        <v>3535</v>
      </c>
      <c r="B3536" t="inlineStr">
        <is>
          <t>MMMDXXXV</t>
        </is>
      </c>
      <c r="C3536">
        <f>ROMAN(3535)</f>
        <v/>
      </c>
      <c r="D3536">
        <f>IF(B3536=C3536, "YES", "WRONG")</f>
        <v/>
      </c>
    </row>
    <row r="3537">
      <c r="A3537" t="n">
        <v>3536</v>
      </c>
      <c r="B3537" t="inlineStr">
        <is>
          <t>MMMDXXXVI</t>
        </is>
      </c>
      <c r="C3537">
        <f>ROMAN(3536)</f>
        <v/>
      </c>
      <c r="D3537">
        <f>IF(B3537=C3537, "YES", "WRONG")</f>
        <v/>
      </c>
    </row>
    <row r="3538">
      <c r="A3538" t="n">
        <v>3537</v>
      </c>
      <c r="B3538" t="inlineStr">
        <is>
          <t>MMMDXXXVII</t>
        </is>
      </c>
      <c r="C3538">
        <f>ROMAN(3537)</f>
        <v/>
      </c>
      <c r="D3538">
        <f>IF(B3538=C3538, "YES", "WRONG")</f>
        <v/>
      </c>
    </row>
    <row r="3539">
      <c r="A3539" t="n">
        <v>3538</v>
      </c>
      <c r="B3539" t="inlineStr">
        <is>
          <t>MMMDXXXVIII</t>
        </is>
      </c>
      <c r="C3539">
        <f>ROMAN(3538)</f>
        <v/>
      </c>
      <c r="D3539">
        <f>IF(B3539=C3539, "YES", "WRONG")</f>
        <v/>
      </c>
    </row>
    <row r="3540">
      <c r="A3540" t="n">
        <v>3539</v>
      </c>
      <c r="B3540" t="inlineStr">
        <is>
          <t>MMMDXXXIX</t>
        </is>
      </c>
      <c r="C3540">
        <f>ROMAN(3539)</f>
        <v/>
      </c>
      <c r="D3540">
        <f>IF(B3540=C3540, "YES", "WRONG")</f>
        <v/>
      </c>
    </row>
    <row r="3541">
      <c r="A3541" t="n">
        <v>3540</v>
      </c>
      <c r="B3541" t="inlineStr">
        <is>
          <t>MMMDXL</t>
        </is>
      </c>
      <c r="C3541">
        <f>ROMAN(3540)</f>
        <v/>
      </c>
      <c r="D3541">
        <f>IF(B3541=C3541, "YES", "WRONG")</f>
        <v/>
      </c>
    </row>
    <row r="3542">
      <c r="A3542" t="n">
        <v>3541</v>
      </c>
      <c r="B3542" t="inlineStr">
        <is>
          <t>MMMDXLI</t>
        </is>
      </c>
      <c r="C3542">
        <f>ROMAN(3541)</f>
        <v/>
      </c>
      <c r="D3542">
        <f>IF(B3542=C3542, "YES", "WRONG")</f>
        <v/>
      </c>
    </row>
    <row r="3543">
      <c r="A3543" t="n">
        <v>3542</v>
      </c>
      <c r="B3543" t="inlineStr">
        <is>
          <t>MMMDXLII</t>
        </is>
      </c>
      <c r="C3543">
        <f>ROMAN(3542)</f>
        <v/>
      </c>
      <c r="D3543">
        <f>IF(B3543=C3543, "YES", "WRONG")</f>
        <v/>
      </c>
    </row>
    <row r="3544">
      <c r="A3544" t="n">
        <v>3543</v>
      </c>
      <c r="B3544" t="inlineStr">
        <is>
          <t>MMMDXLIII</t>
        </is>
      </c>
      <c r="C3544">
        <f>ROMAN(3543)</f>
        <v/>
      </c>
      <c r="D3544">
        <f>IF(B3544=C3544, "YES", "WRONG")</f>
        <v/>
      </c>
    </row>
    <row r="3545">
      <c r="A3545" t="n">
        <v>3544</v>
      </c>
      <c r="B3545" t="inlineStr">
        <is>
          <t>MMMDXLIV</t>
        </is>
      </c>
      <c r="C3545">
        <f>ROMAN(3544)</f>
        <v/>
      </c>
      <c r="D3545">
        <f>IF(B3545=C3545, "YES", "WRONG")</f>
        <v/>
      </c>
    </row>
    <row r="3546">
      <c r="A3546" t="n">
        <v>3545</v>
      </c>
      <c r="B3546" t="inlineStr">
        <is>
          <t>MMMDXLV</t>
        </is>
      </c>
      <c r="C3546">
        <f>ROMAN(3545)</f>
        <v/>
      </c>
      <c r="D3546">
        <f>IF(B3546=C3546, "YES", "WRONG")</f>
        <v/>
      </c>
    </row>
    <row r="3547">
      <c r="A3547" t="n">
        <v>3546</v>
      </c>
      <c r="B3547" t="inlineStr">
        <is>
          <t>MMMDXLVI</t>
        </is>
      </c>
      <c r="C3547">
        <f>ROMAN(3546)</f>
        <v/>
      </c>
      <c r="D3547">
        <f>IF(B3547=C3547, "YES", "WRONG")</f>
        <v/>
      </c>
    </row>
    <row r="3548">
      <c r="A3548" t="n">
        <v>3547</v>
      </c>
      <c r="B3548" t="inlineStr">
        <is>
          <t>MMMDXLVII</t>
        </is>
      </c>
      <c r="C3548">
        <f>ROMAN(3547)</f>
        <v/>
      </c>
      <c r="D3548">
        <f>IF(B3548=C3548, "YES", "WRONG")</f>
        <v/>
      </c>
    </row>
    <row r="3549">
      <c r="A3549" t="n">
        <v>3548</v>
      </c>
      <c r="B3549" t="inlineStr">
        <is>
          <t>MMMDXLVIII</t>
        </is>
      </c>
      <c r="C3549">
        <f>ROMAN(3548)</f>
        <v/>
      </c>
      <c r="D3549">
        <f>IF(B3549=C3549, "YES", "WRONG")</f>
        <v/>
      </c>
    </row>
    <row r="3550">
      <c r="A3550" t="n">
        <v>3549</v>
      </c>
      <c r="B3550" t="inlineStr">
        <is>
          <t>MMMDXLIX</t>
        </is>
      </c>
      <c r="C3550">
        <f>ROMAN(3549)</f>
        <v/>
      </c>
      <c r="D3550">
        <f>IF(B3550=C3550, "YES", "WRONG")</f>
        <v/>
      </c>
    </row>
    <row r="3551">
      <c r="A3551" t="n">
        <v>3550</v>
      </c>
      <c r="B3551" t="inlineStr">
        <is>
          <t>MMMDL</t>
        </is>
      </c>
      <c r="C3551">
        <f>ROMAN(3550)</f>
        <v/>
      </c>
      <c r="D3551">
        <f>IF(B3551=C3551, "YES", "WRONG")</f>
        <v/>
      </c>
    </row>
    <row r="3552">
      <c r="A3552" t="n">
        <v>3551</v>
      </c>
      <c r="B3552" t="inlineStr">
        <is>
          <t>MMMDLI</t>
        </is>
      </c>
      <c r="C3552">
        <f>ROMAN(3551)</f>
        <v/>
      </c>
      <c r="D3552">
        <f>IF(B3552=C3552, "YES", "WRONG")</f>
        <v/>
      </c>
    </row>
    <row r="3553">
      <c r="A3553" t="n">
        <v>3552</v>
      </c>
      <c r="B3553" t="inlineStr">
        <is>
          <t>MMMDLII</t>
        </is>
      </c>
      <c r="C3553">
        <f>ROMAN(3552)</f>
        <v/>
      </c>
      <c r="D3553">
        <f>IF(B3553=C3553, "YES", "WRONG")</f>
        <v/>
      </c>
    </row>
    <row r="3554">
      <c r="A3554" t="n">
        <v>3553</v>
      </c>
      <c r="B3554" t="inlineStr">
        <is>
          <t>MMMDLIII</t>
        </is>
      </c>
      <c r="C3554">
        <f>ROMAN(3553)</f>
        <v/>
      </c>
      <c r="D3554">
        <f>IF(B3554=C3554, "YES", "WRONG")</f>
        <v/>
      </c>
    </row>
    <row r="3555">
      <c r="A3555" t="n">
        <v>3554</v>
      </c>
      <c r="B3555" t="inlineStr">
        <is>
          <t>MMMDLIV</t>
        </is>
      </c>
      <c r="C3555">
        <f>ROMAN(3554)</f>
        <v/>
      </c>
      <c r="D3555">
        <f>IF(B3555=C3555, "YES", "WRONG")</f>
        <v/>
      </c>
    </row>
    <row r="3556">
      <c r="A3556" t="n">
        <v>3555</v>
      </c>
      <c r="B3556" t="inlineStr">
        <is>
          <t>MMMDLV</t>
        </is>
      </c>
      <c r="C3556">
        <f>ROMAN(3555)</f>
        <v/>
      </c>
      <c r="D3556">
        <f>IF(B3556=C3556, "YES", "WRONG")</f>
        <v/>
      </c>
    </row>
    <row r="3557">
      <c r="A3557" t="n">
        <v>3556</v>
      </c>
      <c r="B3557" t="inlineStr">
        <is>
          <t>MMMDLVI</t>
        </is>
      </c>
      <c r="C3557">
        <f>ROMAN(3556)</f>
        <v/>
      </c>
      <c r="D3557">
        <f>IF(B3557=C3557, "YES", "WRONG")</f>
        <v/>
      </c>
    </row>
    <row r="3558">
      <c r="A3558" t="n">
        <v>3557</v>
      </c>
      <c r="B3558" t="inlineStr">
        <is>
          <t>MMMDLVII</t>
        </is>
      </c>
      <c r="C3558">
        <f>ROMAN(3557)</f>
        <v/>
      </c>
      <c r="D3558">
        <f>IF(B3558=C3558, "YES", "WRONG")</f>
        <v/>
      </c>
    </row>
    <row r="3559">
      <c r="A3559" t="n">
        <v>3558</v>
      </c>
      <c r="B3559" t="inlineStr">
        <is>
          <t>MMMDLVIII</t>
        </is>
      </c>
      <c r="C3559">
        <f>ROMAN(3558)</f>
        <v/>
      </c>
      <c r="D3559">
        <f>IF(B3559=C3559, "YES", "WRONG")</f>
        <v/>
      </c>
    </row>
    <row r="3560">
      <c r="A3560" t="n">
        <v>3559</v>
      </c>
      <c r="B3560" t="inlineStr">
        <is>
          <t>MMMDLIX</t>
        </is>
      </c>
      <c r="C3560">
        <f>ROMAN(3559)</f>
        <v/>
      </c>
      <c r="D3560">
        <f>IF(B3560=C3560, "YES", "WRONG")</f>
        <v/>
      </c>
    </row>
    <row r="3561">
      <c r="A3561" t="n">
        <v>3560</v>
      </c>
      <c r="B3561" t="inlineStr">
        <is>
          <t>MMMDLX</t>
        </is>
      </c>
      <c r="C3561">
        <f>ROMAN(3560)</f>
        <v/>
      </c>
      <c r="D3561">
        <f>IF(B3561=C3561, "YES", "WRONG")</f>
        <v/>
      </c>
    </row>
    <row r="3562">
      <c r="A3562" t="n">
        <v>3561</v>
      </c>
      <c r="B3562" t="inlineStr">
        <is>
          <t>MMMDLXI</t>
        </is>
      </c>
      <c r="C3562">
        <f>ROMAN(3561)</f>
        <v/>
      </c>
      <c r="D3562">
        <f>IF(B3562=C3562, "YES", "WRONG")</f>
        <v/>
      </c>
    </row>
    <row r="3563">
      <c r="A3563" t="n">
        <v>3562</v>
      </c>
      <c r="B3563" t="inlineStr">
        <is>
          <t>MMMDLXII</t>
        </is>
      </c>
      <c r="C3563">
        <f>ROMAN(3562)</f>
        <v/>
      </c>
      <c r="D3563">
        <f>IF(B3563=C3563, "YES", "WRONG")</f>
        <v/>
      </c>
    </row>
    <row r="3564">
      <c r="A3564" t="n">
        <v>3563</v>
      </c>
      <c r="B3564" t="inlineStr">
        <is>
          <t>MMMDLXIII</t>
        </is>
      </c>
      <c r="C3564">
        <f>ROMAN(3563)</f>
        <v/>
      </c>
      <c r="D3564">
        <f>IF(B3564=C3564, "YES", "WRONG")</f>
        <v/>
      </c>
    </row>
    <row r="3565">
      <c r="A3565" t="n">
        <v>3564</v>
      </c>
      <c r="B3565" t="inlineStr">
        <is>
          <t>MMMDLXIV</t>
        </is>
      </c>
      <c r="C3565">
        <f>ROMAN(3564)</f>
        <v/>
      </c>
      <c r="D3565">
        <f>IF(B3565=C3565, "YES", "WRONG")</f>
        <v/>
      </c>
    </row>
    <row r="3566">
      <c r="A3566" t="n">
        <v>3565</v>
      </c>
      <c r="B3566" t="inlineStr">
        <is>
          <t>MMMDLXV</t>
        </is>
      </c>
      <c r="C3566">
        <f>ROMAN(3565)</f>
        <v/>
      </c>
      <c r="D3566">
        <f>IF(B3566=C3566, "YES", "WRONG")</f>
        <v/>
      </c>
    </row>
    <row r="3567">
      <c r="A3567" t="n">
        <v>3566</v>
      </c>
      <c r="B3567" t="inlineStr">
        <is>
          <t>MMMDLXVI</t>
        </is>
      </c>
      <c r="C3567">
        <f>ROMAN(3566)</f>
        <v/>
      </c>
      <c r="D3567">
        <f>IF(B3567=C3567, "YES", "WRONG")</f>
        <v/>
      </c>
    </row>
    <row r="3568">
      <c r="A3568" t="n">
        <v>3567</v>
      </c>
      <c r="B3568" t="inlineStr">
        <is>
          <t>MMMDLXVII</t>
        </is>
      </c>
      <c r="C3568">
        <f>ROMAN(3567)</f>
        <v/>
      </c>
      <c r="D3568">
        <f>IF(B3568=C3568, "YES", "WRONG")</f>
        <v/>
      </c>
    </row>
    <row r="3569">
      <c r="A3569" t="n">
        <v>3568</v>
      </c>
      <c r="B3569" t="inlineStr">
        <is>
          <t>MMMDLXVIII</t>
        </is>
      </c>
      <c r="C3569">
        <f>ROMAN(3568)</f>
        <v/>
      </c>
      <c r="D3569">
        <f>IF(B3569=C3569, "YES", "WRONG")</f>
        <v/>
      </c>
    </row>
    <row r="3570">
      <c r="A3570" t="n">
        <v>3569</v>
      </c>
      <c r="B3570" t="inlineStr">
        <is>
          <t>MMMDLXIX</t>
        </is>
      </c>
      <c r="C3570">
        <f>ROMAN(3569)</f>
        <v/>
      </c>
      <c r="D3570">
        <f>IF(B3570=C3570, "YES", "WRONG")</f>
        <v/>
      </c>
    </row>
    <row r="3571">
      <c r="A3571" t="n">
        <v>3570</v>
      </c>
      <c r="B3571" t="inlineStr">
        <is>
          <t>MMMDLXX</t>
        </is>
      </c>
      <c r="C3571">
        <f>ROMAN(3570)</f>
        <v/>
      </c>
      <c r="D3571">
        <f>IF(B3571=C3571, "YES", "WRONG")</f>
        <v/>
      </c>
    </row>
    <row r="3572">
      <c r="A3572" t="n">
        <v>3571</v>
      </c>
      <c r="B3572" t="inlineStr">
        <is>
          <t>MMMDLXXI</t>
        </is>
      </c>
      <c r="C3572">
        <f>ROMAN(3571)</f>
        <v/>
      </c>
      <c r="D3572">
        <f>IF(B3572=C3572, "YES", "WRONG")</f>
        <v/>
      </c>
    </row>
    <row r="3573">
      <c r="A3573" t="n">
        <v>3572</v>
      </c>
      <c r="B3573" t="inlineStr">
        <is>
          <t>MMMDLXXII</t>
        </is>
      </c>
      <c r="C3573">
        <f>ROMAN(3572)</f>
        <v/>
      </c>
      <c r="D3573">
        <f>IF(B3573=C3573, "YES", "WRONG")</f>
        <v/>
      </c>
    </row>
    <row r="3574">
      <c r="A3574" t="n">
        <v>3573</v>
      </c>
      <c r="B3574" t="inlineStr">
        <is>
          <t>MMMDLXXIII</t>
        </is>
      </c>
      <c r="C3574">
        <f>ROMAN(3573)</f>
        <v/>
      </c>
      <c r="D3574">
        <f>IF(B3574=C3574, "YES", "WRONG")</f>
        <v/>
      </c>
    </row>
    <row r="3575">
      <c r="A3575" t="n">
        <v>3574</v>
      </c>
      <c r="B3575" t="inlineStr">
        <is>
          <t>MMMDLXXIV</t>
        </is>
      </c>
      <c r="C3575">
        <f>ROMAN(3574)</f>
        <v/>
      </c>
      <c r="D3575">
        <f>IF(B3575=C3575, "YES", "WRONG")</f>
        <v/>
      </c>
    </row>
    <row r="3576">
      <c r="A3576" t="n">
        <v>3575</v>
      </c>
      <c r="B3576" t="inlineStr">
        <is>
          <t>MMMDLXXV</t>
        </is>
      </c>
      <c r="C3576">
        <f>ROMAN(3575)</f>
        <v/>
      </c>
      <c r="D3576">
        <f>IF(B3576=C3576, "YES", "WRONG")</f>
        <v/>
      </c>
    </row>
    <row r="3577">
      <c r="A3577" t="n">
        <v>3576</v>
      </c>
      <c r="B3577" t="inlineStr">
        <is>
          <t>MMMDLXXVI</t>
        </is>
      </c>
      <c r="C3577">
        <f>ROMAN(3576)</f>
        <v/>
      </c>
      <c r="D3577">
        <f>IF(B3577=C3577, "YES", "WRONG")</f>
        <v/>
      </c>
    </row>
    <row r="3578">
      <c r="A3578" t="n">
        <v>3577</v>
      </c>
      <c r="B3578" t="inlineStr">
        <is>
          <t>MMMDLXXVII</t>
        </is>
      </c>
      <c r="C3578">
        <f>ROMAN(3577)</f>
        <v/>
      </c>
      <c r="D3578">
        <f>IF(B3578=C3578, "YES", "WRONG")</f>
        <v/>
      </c>
    </row>
    <row r="3579">
      <c r="A3579" t="n">
        <v>3578</v>
      </c>
      <c r="B3579" t="inlineStr">
        <is>
          <t>MMMDLXXVIII</t>
        </is>
      </c>
      <c r="C3579">
        <f>ROMAN(3578)</f>
        <v/>
      </c>
      <c r="D3579">
        <f>IF(B3579=C3579, "YES", "WRONG")</f>
        <v/>
      </c>
    </row>
    <row r="3580">
      <c r="A3580" t="n">
        <v>3579</v>
      </c>
      <c r="B3580" t="inlineStr">
        <is>
          <t>MMMDLXXIX</t>
        </is>
      </c>
      <c r="C3580">
        <f>ROMAN(3579)</f>
        <v/>
      </c>
      <c r="D3580">
        <f>IF(B3580=C3580, "YES", "WRONG")</f>
        <v/>
      </c>
    </row>
    <row r="3581">
      <c r="A3581" t="n">
        <v>3580</v>
      </c>
      <c r="B3581" t="inlineStr">
        <is>
          <t>MMMDLXXX</t>
        </is>
      </c>
      <c r="C3581">
        <f>ROMAN(3580)</f>
        <v/>
      </c>
      <c r="D3581">
        <f>IF(B3581=C3581, "YES", "WRONG")</f>
        <v/>
      </c>
    </row>
    <row r="3582">
      <c r="A3582" t="n">
        <v>3581</v>
      </c>
      <c r="B3582" t="inlineStr">
        <is>
          <t>MMMDLXXXI</t>
        </is>
      </c>
      <c r="C3582">
        <f>ROMAN(3581)</f>
        <v/>
      </c>
      <c r="D3582">
        <f>IF(B3582=C3582, "YES", "WRONG")</f>
        <v/>
      </c>
    </row>
    <row r="3583">
      <c r="A3583" t="n">
        <v>3582</v>
      </c>
      <c r="B3583" t="inlineStr">
        <is>
          <t>MMMDLXXXII</t>
        </is>
      </c>
      <c r="C3583">
        <f>ROMAN(3582)</f>
        <v/>
      </c>
      <c r="D3583">
        <f>IF(B3583=C3583, "YES", "WRONG")</f>
        <v/>
      </c>
    </row>
    <row r="3584">
      <c r="A3584" t="n">
        <v>3583</v>
      </c>
      <c r="B3584" t="inlineStr">
        <is>
          <t>MMMDLXXXIII</t>
        </is>
      </c>
      <c r="C3584">
        <f>ROMAN(3583)</f>
        <v/>
      </c>
      <c r="D3584">
        <f>IF(B3584=C3584, "YES", "WRONG")</f>
        <v/>
      </c>
    </row>
    <row r="3585">
      <c r="A3585" t="n">
        <v>3584</v>
      </c>
      <c r="B3585" t="inlineStr">
        <is>
          <t>MMMDLXXXIV</t>
        </is>
      </c>
      <c r="C3585">
        <f>ROMAN(3584)</f>
        <v/>
      </c>
      <c r="D3585">
        <f>IF(B3585=C3585, "YES", "WRONG")</f>
        <v/>
      </c>
    </row>
    <row r="3586">
      <c r="A3586" t="n">
        <v>3585</v>
      </c>
      <c r="B3586" t="inlineStr">
        <is>
          <t>MMMDLXXXV</t>
        </is>
      </c>
      <c r="C3586">
        <f>ROMAN(3585)</f>
        <v/>
      </c>
      <c r="D3586">
        <f>IF(B3586=C3586, "YES", "WRONG")</f>
        <v/>
      </c>
    </row>
    <row r="3587">
      <c r="A3587" t="n">
        <v>3586</v>
      </c>
      <c r="B3587" t="inlineStr">
        <is>
          <t>MMMDLXXXVI</t>
        </is>
      </c>
      <c r="C3587">
        <f>ROMAN(3586)</f>
        <v/>
      </c>
      <c r="D3587">
        <f>IF(B3587=C3587, "YES", "WRONG")</f>
        <v/>
      </c>
    </row>
    <row r="3588">
      <c r="A3588" t="n">
        <v>3587</v>
      </c>
      <c r="B3588" t="inlineStr">
        <is>
          <t>MMMDLXXXVII</t>
        </is>
      </c>
      <c r="C3588">
        <f>ROMAN(3587)</f>
        <v/>
      </c>
      <c r="D3588">
        <f>IF(B3588=C3588, "YES", "WRONG")</f>
        <v/>
      </c>
    </row>
    <row r="3589">
      <c r="A3589" t="n">
        <v>3588</v>
      </c>
      <c r="B3589" t="inlineStr">
        <is>
          <t>MMMDLXXXVIII</t>
        </is>
      </c>
      <c r="C3589">
        <f>ROMAN(3588)</f>
        <v/>
      </c>
      <c r="D3589">
        <f>IF(B3589=C3589, "YES", "WRONG")</f>
        <v/>
      </c>
    </row>
    <row r="3590">
      <c r="A3590" t="n">
        <v>3589</v>
      </c>
      <c r="B3590" t="inlineStr">
        <is>
          <t>MMMDLXXXIX</t>
        </is>
      </c>
      <c r="C3590">
        <f>ROMAN(3589)</f>
        <v/>
      </c>
      <c r="D3590">
        <f>IF(B3590=C3590, "YES", "WRONG")</f>
        <v/>
      </c>
    </row>
    <row r="3591">
      <c r="A3591" t="n">
        <v>3590</v>
      </c>
      <c r="B3591" t="inlineStr">
        <is>
          <t>MMMDXC</t>
        </is>
      </c>
      <c r="C3591">
        <f>ROMAN(3590)</f>
        <v/>
      </c>
      <c r="D3591">
        <f>IF(B3591=C3591, "YES", "WRONG")</f>
        <v/>
      </c>
    </row>
    <row r="3592">
      <c r="A3592" t="n">
        <v>3591</v>
      </c>
      <c r="B3592" t="inlineStr">
        <is>
          <t>MMMDXCI</t>
        </is>
      </c>
      <c r="C3592">
        <f>ROMAN(3591)</f>
        <v/>
      </c>
      <c r="D3592">
        <f>IF(B3592=C3592, "YES", "WRONG")</f>
        <v/>
      </c>
    </row>
    <row r="3593">
      <c r="A3593" t="n">
        <v>3592</v>
      </c>
      <c r="B3593" t="inlineStr">
        <is>
          <t>MMMDXCII</t>
        </is>
      </c>
      <c r="C3593">
        <f>ROMAN(3592)</f>
        <v/>
      </c>
      <c r="D3593">
        <f>IF(B3593=C3593, "YES", "WRONG")</f>
        <v/>
      </c>
    </row>
    <row r="3594">
      <c r="A3594" t="n">
        <v>3593</v>
      </c>
      <c r="B3594" t="inlineStr">
        <is>
          <t>MMMDXCIII</t>
        </is>
      </c>
      <c r="C3594">
        <f>ROMAN(3593)</f>
        <v/>
      </c>
      <c r="D3594">
        <f>IF(B3594=C3594, "YES", "WRONG")</f>
        <v/>
      </c>
    </row>
    <row r="3595">
      <c r="A3595" t="n">
        <v>3594</v>
      </c>
      <c r="B3595" t="inlineStr">
        <is>
          <t>MMMDXCIV</t>
        </is>
      </c>
      <c r="C3595">
        <f>ROMAN(3594)</f>
        <v/>
      </c>
      <c r="D3595">
        <f>IF(B3595=C3595, "YES", "WRONG")</f>
        <v/>
      </c>
    </row>
    <row r="3596">
      <c r="A3596" t="n">
        <v>3595</v>
      </c>
      <c r="B3596" t="inlineStr">
        <is>
          <t>MMMDXCV</t>
        </is>
      </c>
      <c r="C3596">
        <f>ROMAN(3595)</f>
        <v/>
      </c>
      <c r="D3596">
        <f>IF(B3596=C3596, "YES", "WRONG")</f>
        <v/>
      </c>
    </row>
    <row r="3597">
      <c r="A3597" t="n">
        <v>3596</v>
      </c>
      <c r="B3597" t="inlineStr">
        <is>
          <t>MMMDXCVI</t>
        </is>
      </c>
      <c r="C3597">
        <f>ROMAN(3596)</f>
        <v/>
      </c>
      <c r="D3597">
        <f>IF(B3597=C3597, "YES", "WRONG")</f>
        <v/>
      </c>
    </row>
    <row r="3598">
      <c r="A3598" t="n">
        <v>3597</v>
      </c>
      <c r="B3598" t="inlineStr">
        <is>
          <t>MMMDXCVII</t>
        </is>
      </c>
      <c r="C3598">
        <f>ROMAN(3597)</f>
        <v/>
      </c>
      <c r="D3598">
        <f>IF(B3598=C3598, "YES", "WRONG")</f>
        <v/>
      </c>
    </row>
    <row r="3599">
      <c r="A3599" t="n">
        <v>3598</v>
      </c>
      <c r="B3599" t="inlineStr">
        <is>
          <t>MMMDXCVIII</t>
        </is>
      </c>
      <c r="C3599">
        <f>ROMAN(3598)</f>
        <v/>
      </c>
      <c r="D3599">
        <f>IF(B3599=C3599, "YES", "WRONG")</f>
        <v/>
      </c>
    </row>
    <row r="3600">
      <c r="A3600" t="n">
        <v>3599</v>
      </c>
      <c r="B3600" t="inlineStr">
        <is>
          <t>MMMDXCIX</t>
        </is>
      </c>
      <c r="C3600">
        <f>ROMAN(3599)</f>
        <v/>
      </c>
      <c r="D3600">
        <f>IF(B3600=C3600, "YES", "WRONG")</f>
        <v/>
      </c>
    </row>
    <row r="3601">
      <c r="A3601" t="n">
        <v>3600</v>
      </c>
      <c r="B3601" t="inlineStr">
        <is>
          <t>MMMDC</t>
        </is>
      </c>
      <c r="C3601">
        <f>ROMAN(3600)</f>
        <v/>
      </c>
      <c r="D3601">
        <f>IF(B3601=C3601, "YES", "WRONG")</f>
        <v/>
      </c>
    </row>
    <row r="3602">
      <c r="A3602" t="n">
        <v>3601</v>
      </c>
      <c r="B3602" t="inlineStr">
        <is>
          <t>MMMDCI</t>
        </is>
      </c>
      <c r="C3602">
        <f>ROMAN(3601)</f>
        <v/>
      </c>
      <c r="D3602">
        <f>IF(B3602=C3602, "YES", "WRONG")</f>
        <v/>
      </c>
    </row>
    <row r="3603">
      <c r="A3603" t="n">
        <v>3602</v>
      </c>
      <c r="B3603" t="inlineStr">
        <is>
          <t>MMMDCII</t>
        </is>
      </c>
      <c r="C3603">
        <f>ROMAN(3602)</f>
        <v/>
      </c>
      <c r="D3603">
        <f>IF(B3603=C3603, "YES", "WRONG")</f>
        <v/>
      </c>
    </row>
    <row r="3604">
      <c r="A3604" t="n">
        <v>3603</v>
      </c>
      <c r="B3604" t="inlineStr">
        <is>
          <t>MMMDCIII</t>
        </is>
      </c>
      <c r="C3604">
        <f>ROMAN(3603)</f>
        <v/>
      </c>
      <c r="D3604">
        <f>IF(B3604=C3604, "YES", "WRONG")</f>
        <v/>
      </c>
    </row>
    <row r="3605">
      <c r="A3605" t="n">
        <v>3604</v>
      </c>
      <c r="B3605" t="inlineStr">
        <is>
          <t>MMMDCIV</t>
        </is>
      </c>
      <c r="C3605">
        <f>ROMAN(3604)</f>
        <v/>
      </c>
      <c r="D3605">
        <f>IF(B3605=C3605, "YES", "WRONG")</f>
        <v/>
      </c>
    </row>
    <row r="3606">
      <c r="A3606" t="n">
        <v>3605</v>
      </c>
      <c r="B3606" t="inlineStr">
        <is>
          <t>MMMDCV</t>
        </is>
      </c>
      <c r="C3606">
        <f>ROMAN(3605)</f>
        <v/>
      </c>
      <c r="D3606">
        <f>IF(B3606=C3606, "YES", "WRONG")</f>
        <v/>
      </c>
    </row>
    <row r="3607">
      <c r="A3607" t="n">
        <v>3606</v>
      </c>
      <c r="B3607" t="inlineStr">
        <is>
          <t>MMMDCVI</t>
        </is>
      </c>
      <c r="C3607">
        <f>ROMAN(3606)</f>
        <v/>
      </c>
      <c r="D3607">
        <f>IF(B3607=C3607, "YES", "WRONG")</f>
        <v/>
      </c>
    </row>
    <row r="3608">
      <c r="A3608" t="n">
        <v>3607</v>
      </c>
      <c r="B3608" t="inlineStr">
        <is>
          <t>MMMDCVII</t>
        </is>
      </c>
      <c r="C3608">
        <f>ROMAN(3607)</f>
        <v/>
      </c>
      <c r="D3608">
        <f>IF(B3608=C3608, "YES", "WRONG")</f>
        <v/>
      </c>
    </row>
    <row r="3609">
      <c r="A3609" t="n">
        <v>3608</v>
      </c>
      <c r="B3609" t="inlineStr">
        <is>
          <t>MMMDCVIII</t>
        </is>
      </c>
      <c r="C3609">
        <f>ROMAN(3608)</f>
        <v/>
      </c>
      <c r="D3609">
        <f>IF(B3609=C3609, "YES", "WRONG")</f>
        <v/>
      </c>
    </row>
    <row r="3610">
      <c r="A3610" t="n">
        <v>3609</v>
      </c>
      <c r="B3610" t="inlineStr">
        <is>
          <t>MMMDCIX</t>
        </is>
      </c>
      <c r="C3610">
        <f>ROMAN(3609)</f>
        <v/>
      </c>
      <c r="D3610">
        <f>IF(B3610=C3610, "YES", "WRONG")</f>
        <v/>
      </c>
    </row>
    <row r="3611">
      <c r="A3611" t="n">
        <v>3610</v>
      </c>
      <c r="B3611" t="inlineStr">
        <is>
          <t>MMMDCX</t>
        </is>
      </c>
      <c r="C3611">
        <f>ROMAN(3610)</f>
        <v/>
      </c>
      <c r="D3611">
        <f>IF(B3611=C3611, "YES", "WRONG")</f>
        <v/>
      </c>
    </row>
    <row r="3612">
      <c r="A3612" t="n">
        <v>3611</v>
      </c>
      <c r="B3612" t="inlineStr">
        <is>
          <t>MMMDCXI</t>
        </is>
      </c>
      <c r="C3612">
        <f>ROMAN(3611)</f>
        <v/>
      </c>
      <c r="D3612">
        <f>IF(B3612=C3612, "YES", "WRONG")</f>
        <v/>
      </c>
    </row>
    <row r="3613">
      <c r="A3613" t="n">
        <v>3612</v>
      </c>
      <c r="B3613" t="inlineStr">
        <is>
          <t>MMMDCXII</t>
        </is>
      </c>
      <c r="C3613">
        <f>ROMAN(3612)</f>
        <v/>
      </c>
      <c r="D3613">
        <f>IF(B3613=C3613, "YES", "WRONG")</f>
        <v/>
      </c>
    </row>
    <row r="3614">
      <c r="A3614" t="n">
        <v>3613</v>
      </c>
      <c r="B3614" t="inlineStr">
        <is>
          <t>MMMDCXIII</t>
        </is>
      </c>
      <c r="C3614">
        <f>ROMAN(3613)</f>
        <v/>
      </c>
      <c r="D3614">
        <f>IF(B3614=C3614, "YES", "WRONG")</f>
        <v/>
      </c>
    </row>
    <row r="3615">
      <c r="A3615" t="n">
        <v>3614</v>
      </c>
      <c r="B3615" t="inlineStr">
        <is>
          <t>MMMDCXIV</t>
        </is>
      </c>
      <c r="C3615">
        <f>ROMAN(3614)</f>
        <v/>
      </c>
      <c r="D3615">
        <f>IF(B3615=C3615, "YES", "WRONG")</f>
        <v/>
      </c>
    </row>
    <row r="3616">
      <c r="A3616" t="n">
        <v>3615</v>
      </c>
      <c r="B3616" t="inlineStr">
        <is>
          <t>MMMDCXV</t>
        </is>
      </c>
      <c r="C3616">
        <f>ROMAN(3615)</f>
        <v/>
      </c>
      <c r="D3616">
        <f>IF(B3616=C3616, "YES", "WRONG")</f>
        <v/>
      </c>
    </row>
    <row r="3617">
      <c r="A3617" t="n">
        <v>3616</v>
      </c>
      <c r="B3617" t="inlineStr">
        <is>
          <t>MMMDCXVI</t>
        </is>
      </c>
      <c r="C3617">
        <f>ROMAN(3616)</f>
        <v/>
      </c>
      <c r="D3617">
        <f>IF(B3617=C3617, "YES", "WRONG")</f>
        <v/>
      </c>
    </row>
    <row r="3618">
      <c r="A3618" t="n">
        <v>3617</v>
      </c>
      <c r="B3618" t="inlineStr">
        <is>
          <t>MMMDCXVII</t>
        </is>
      </c>
      <c r="C3618">
        <f>ROMAN(3617)</f>
        <v/>
      </c>
      <c r="D3618">
        <f>IF(B3618=C3618, "YES", "WRONG")</f>
        <v/>
      </c>
    </row>
    <row r="3619">
      <c r="A3619" t="n">
        <v>3618</v>
      </c>
      <c r="B3619" t="inlineStr">
        <is>
          <t>MMMDCXVIII</t>
        </is>
      </c>
      <c r="C3619">
        <f>ROMAN(3618)</f>
        <v/>
      </c>
      <c r="D3619">
        <f>IF(B3619=C3619, "YES", "WRONG")</f>
        <v/>
      </c>
    </row>
    <row r="3620">
      <c r="A3620" t="n">
        <v>3619</v>
      </c>
      <c r="B3620" t="inlineStr">
        <is>
          <t>MMMDCXIX</t>
        </is>
      </c>
      <c r="C3620">
        <f>ROMAN(3619)</f>
        <v/>
      </c>
      <c r="D3620">
        <f>IF(B3620=C3620, "YES", "WRONG")</f>
        <v/>
      </c>
    </row>
    <row r="3621">
      <c r="A3621" t="n">
        <v>3620</v>
      </c>
      <c r="B3621" t="inlineStr">
        <is>
          <t>MMMDCXX</t>
        </is>
      </c>
      <c r="C3621">
        <f>ROMAN(3620)</f>
        <v/>
      </c>
      <c r="D3621">
        <f>IF(B3621=C3621, "YES", "WRONG")</f>
        <v/>
      </c>
    </row>
    <row r="3622">
      <c r="A3622" t="n">
        <v>3621</v>
      </c>
      <c r="B3622" t="inlineStr">
        <is>
          <t>MMMDCXXI</t>
        </is>
      </c>
      <c r="C3622">
        <f>ROMAN(3621)</f>
        <v/>
      </c>
      <c r="D3622">
        <f>IF(B3622=C3622, "YES", "WRONG")</f>
        <v/>
      </c>
    </row>
    <row r="3623">
      <c r="A3623" t="n">
        <v>3622</v>
      </c>
      <c r="B3623" t="inlineStr">
        <is>
          <t>MMMDCXXII</t>
        </is>
      </c>
      <c r="C3623">
        <f>ROMAN(3622)</f>
        <v/>
      </c>
      <c r="D3623">
        <f>IF(B3623=C3623, "YES", "WRONG")</f>
        <v/>
      </c>
    </row>
    <row r="3624">
      <c r="A3624" t="n">
        <v>3623</v>
      </c>
      <c r="B3624" t="inlineStr">
        <is>
          <t>MMMDCXXIII</t>
        </is>
      </c>
      <c r="C3624">
        <f>ROMAN(3623)</f>
        <v/>
      </c>
      <c r="D3624">
        <f>IF(B3624=C3624, "YES", "WRONG")</f>
        <v/>
      </c>
    </row>
    <row r="3625">
      <c r="A3625" t="n">
        <v>3624</v>
      </c>
      <c r="B3625" t="inlineStr">
        <is>
          <t>MMMDCXXIV</t>
        </is>
      </c>
      <c r="C3625">
        <f>ROMAN(3624)</f>
        <v/>
      </c>
      <c r="D3625">
        <f>IF(B3625=C3625, "YES", "WRONG")</f>
        <v/>
      </c>
    </row>
    <row r="3626">
      <c r="A3626" t="n">
        <v>3625</v>
      </c>
      <c r="B3626" t="inlineStr">
        <is>
          <t>MMMDCXXV</t>
        </is>
      </c>
      <c r="C3626">
        <f>ROMAN(3625)</f>
        <v/>
      </c>
      <c r="D3626">
        <f>IF(B3626=C3626, "YES", "WRONG")</f>
        <v/>
      </c>
    </row>
    <row r="3627">
      <c r="A3627" t="n">
        <v>3626</v>
      </c>
      <c r="B3627" t="inlineStr">
        <is>
          <t>MMMDCXXVI</t>
        </is>
      </c>
      <c r="C3627">
        <f>ROMAN(3626)</f>
        <v/>
      </c>
      <c r="D3627">
        <f>IF(B3627=C3627, "YES", "WRONG")</f>
        <v/>
      </c>
    </row>
    <row r="3628">
      <c r="A3628" t="n">
        <v>3627</v>
      </c>
      <c r="B3628" t="inlineStr">
        <is>
          <t>MMMDCXXVII</t>
        </is>
      </c>
      <c r="C3628">
        <f>ROMAN(3627)</f>
        <v/>
      </c>
      <c r="D3628">
        <f>IF(B3628=C3628, "YES", "WRONG")</f>
        <v/>
      </c>
    </row>
    <row r="3629">
      <c r="A3629" t="n">
        <v>3628</v>
      </c>
      <c r="B3629" t="inlineStr">
        <is>
          <t>MMMDCXXVIII</t>
        </is>
      </c>
      <c r="C3629">
        <f>ROMAN(3628)</f>
        <v/>
      </c>
      <c r="D3629">
        <f>IF(B3629=C3629, "YES", "WRONG")</f>
        <v/>
      </c>
    </row>
    <row r="3630">
      <c r="A3630" t="n">
        <v>3629</v>
      </c>
      <c r="B3630" t="inlineStr">
        <is>
          <t>MMMDCXXIX</t>
        </is>
      </c>
      <c r="C3630">
        <f>ROMAN(3629)</f>
        <v/>
      </c>
      <c r="D3630">
        <f>IF(B3630=C3630, "YES", "WRONG")</f>
        <v/>
      </c>
    </row>
    <row r="3631">
      <c r="A3631" t="n">
        <v>3630</v>
      </c>
      <c r="B3631" t="inlineStr">
        <is>
          <t>MMMDCXXX</t>
        </is>
      </c>
      <c r="C3631">
        <f>ROMAN(3630)</f>
        <v/>
      </c>
      <c r="D3631">
        <f>IF(B3631=C3631, "YES", "WRONG")</f>
        <v/>
      </c>
    </row>
    <row r="3632">
      <c r="A3632" t="n">
        <v>3631</v>
      </c>
      <c r="B3632" t="inlineStr">
        <is>
          <t>MMMDCXXXI</t>
        </is>
      </c>
      <c r="C3632">
        <f>ROMAN(3631)</f>
        <v/>
      </c>
      <c r="D3632">
        <f>IF(B3632=C3632, "YES", "WRONG")</f>
        <v/>
      </c>
    </row>
    <row r="3633">
      <c r="A3633" t="n">
        <v>3632</v>
      </c>
      <c r="B3633" t="inlineStr">
        <is>
          <t>MMMDCXXXII</t>
        </is>
      </c>
      <c r="C3633">
        <f>ROMAN(3632)</f>
        <v/>
      </c>
      <c r="D3633">
        <f>IF(B3633=C3633, "YES", "WRONG")</f>
        <v/>
      </c>
    </row>
    <row r="3634">
      <c r="A3634" t="n">
        <v>3633</v>
      </c>
      <c r="B3634" t="inlineStr">
        <is>
          <t>MMMDCXXXIII</t>
        </is>
      </c>
      <c r="C3634">
        <f>ROMAN(3633)</f>
        <v/>
      </c>
      <c r="D3634">
        <f>IF(B3634=C3634, "YES", "WRONG")</f>
        <v/>
      </c>
    </row>
    <row r="3635">
      <c r="A3635" t="n">
        <v>3634</v>
      </c>
      <c r="B3635" t="inlineStr">
        <is>
          <t>MMMDCXXXIV</t>
        </is>
      </c>
      <c r="C3635">
        <f>ROMAN(3634)</f>
        <v/>
      </c>
      <c r="D3635">
        <f>IF(B3635=C3635, "YES", "WRONG")</f>
        <v/>
      </c>
    </row>
    <row r="3636">
      <c r="A3636" t="n">
        <v>3635</v>
      </c>
      <c r="B3636" t="inlineStr">
        <is>
          <t>MMMDCXXXV</t>
        </is>
      </c>
      <c r="C3636">
        <f>ROMAN(3635)</f>
        <v/>
      </c>
      <c r="D3636">
        <f>IF(B3636=C3636, "YES", "WRONG")</f>
        <v/>
      </c>
    </row>
    <row r="3637">
      <c r="A3637" t="n">
        <v>3636</v>
      </c>
      <c r="B3637" t="inlineStr">
        <is>
          <t>MMMDCXXXVI</t>
        </is>
      </c>
      <c r="C3637">
        <f>ROMAN(3636)</f>
        <v/>
      </c>
      <c r="D3637">
        <f>IF(B3637=C3637, "YES", "WRONG")</f>
        <v/>
      </c>
    </row>
    <row r="3638">
      <c r="A3638" t="n">
        <v>3637</v>
      </c>
      <c r="B3638" t="inlineStr">
        <is>
          <t>MMMDCXXXVII</t>
        </is>
      </c>
      <c r="C3638">
        <f>ROMAN(3637)</f>
        <v/>
      </c>
      <c r="D3638">
        <f>IF(B3638=C3638, "YES", "WRONG")</f>
        <v/>
      </c>
    </row>
    <row r="3639">
      <c r="A3639" t="n">
        <v>3638</v>
      </c>
      <c r="B3639" t="inlineStr">
        <is>
          <t>MMMDCXXXVIII</t>
        </is>
      </c>
      <c r="C3639">
        <f>ROMAN(3638)</f>
        <v/>
      </c>
      <c r="D3639">
        <f>IF(B3639=C3639, "YES", "WRONG")</f>
        <v/>
      </c>
    </row>
    <row r="3640">
      <c r="A3640" t="n">
        <v>3639</v>
      </c>
      <c r="B3640" t="inlineStr">
        <is>
          <t>MMMDCXXXIX</t>
        </is>
      </c>
      <c r="C3640">
        <f>ROMAN(3639)</f>
        <v/>
      </c>
      <c r="D3640">
        <f>IF(B3640=C3640, "YES", "WRONG")</f>
        <v/>
      </c>
    </row>
    <row r="3641">
      <c r="A3641" t="n">
        <v>3640</v>
      </c>
      <c r="B3641" t="inlineStr">
        <is>
          <t>MMMDCXL</t>
        </is>
      </c>
      <c r="C3641">
        <f>ROMAN(3640)</f>
        <v/>
      </c>
      <c r="D3641">
        <f>IF(B3641=C3641, "YES", "WRONG")</f>
        <v/>
      </c>
    </row>
    <row r="3642">
      <c r="A3642" t="n">
        <v>3641</v>
      </c>
      <c r="B3642" t="inlineStr">
        <is>
          <t>MMMDCXLI</t>
        </is>
      </c>
      <c r="C3642">
        <f>ROMAN(3641)</f>
        <v/>
      </c>
      <c r="D3642">
        <f>IF(B3642=C3642, "YES", "WRONG")</f>
        <v/>
      </c>
    </row>
    <row r="3643">
      <c r="A3643" t="n">
        <v>3642</v>
      </c>
      <c r="B3643" t="inlineStr">
        <is>
          <t>MMMDCXLII</t>
        </is>
      </c>
      <c r="C3643">
        <f>ROMAN(3642)</f>
        <v/>
      </c>
      <c r="D3643">
        <f>IF(B3643=C3643, "YES", "WRONG")</f>
        <v/>
      </c>
    </row>
    <row r="3644">
      <c r="A3644" t="n">
        <v>3643</v>
      </c>
      <c r="B3644" t="inlineStr">
        <is>
          <t>MMMDCXLIII</t>
        </is>
      </c>
      <c r="C3644">
        <f>ROMAN(3643)</f>
        <v/>
      </c>
      <c r="D3644">
        <f>IF(B3644=C3644, "YES", "WRONG")</f>
        <v/>
      </c>
    </row>
    <row r="3645">
      <c r="A3645" t="n">
        <v>3644</v>
      </c>
      <c r="B3645" t="inlineStr">
        <is>
          <t>MMMDCXLIV</t>
        </is>
      </c>
      <c r="C3645">
        <f>ROMAN(3644)</f>
        <v/>
      </c>
      <c r="D3645">
        <f>IF(B3645=C3645, "YES", "WRONG")</f>
        <v/>
      </c>
    </row>
    <row r="3646">
      <c r="A3646" t="n">
        <v>3645</v>
      </c>
      <c r="B3646" t="inlineStr">
        <is>
          <t>MMMDCXLV</t>
        </is>
      </c>
      <c r="C3646">
        <f>ROMAN(3645)</f>
        <v/>
      </c>
      <c r="D3646">
        <f>IF(B3646=C3646, "YES", "WRONG")</f>
        <v/>
      </c>
    </row>
    <row r="3647">
      <c r="A3647" t="n">
        <v>3646</v>
      </c>
      <c r="B3647" t="inlineStr">
        <is>
          <t>MMMDCXLVI</t>
        </is>
      </c>
      <c r="C3647">
        <f>ROMAN(3646)</f>
        <v/>
      </c>
      <c r="D3647">
        <f>IF(B3647=C3647, "YES", "WRONG")</f>
        <v/>
      </c>
    </row>
    <row r="3648">
      <c r="A3648" t="n">
        <v>3647</v>
      </c>
      <c r="B3648" t="inlineStr">
        <is>
          <t>MMMDCXLVII</t>
        </is>
      </c>
      <c r="C3648">
        <f>ROMAN(3647)</f>
        <v/>
      </c>
      <c r="D3648">
        <f>IF(B3648=C3648, "YES", "WRONG")</f>
        <v/>
      </c>
    </row>
    <row r="3649">
      <c r="A3649" t="n">
        <v>3648</v>
      </c>
      <c r="B3649" t="inlineStr">
        <is>
          <t>MMMDCXLVIII</t>
        </is>
      </c>
      <c r="C3649">
        <f>ROMAN(3648)</f>
        <v/>
      </c>
      <c r="D3649">
        <f>IF(B3649=C3649, "YES", "WRONG")</f>
        <v/>
      </c>
    </row>
    <row r="3650">
      <c r="A3650" t="n">
        <v>3649</v>
      </c>
      <c r="B3650" t="inlineStr">
        <is>
          <t>MMMDCXLIX</t>
        </is>
      </c>
      <c r="C3650">
        <f>ROMAN(3649)</f>
        <v/>
      </c>
      <c r="D3650">
        <f>IF(B3650=C3650, "YES", "WRONG")</f>
        <v/>
      </c>
    </row>
    <row r="3651">
      <c r="A3651" t="n">
        <v>3650</v>
      </c>
      <c r="B3651" t="inlineStr">
        <is>
          <t>MMMDCL</t>
        </is>
      </c>
      <c r="C3651">
        <f>ROMAN(3650)</f>
        <v/>
      </c>
      <c r="D3651">
        <f>IF(B3651=C3651, "YES", "WRONG")</f>
        <v/>
      </c>
    </row>
    <row r="3652">
      <c r="A3652" t="n">
        <v>3651</v>
      </c>
      <c r="B3652" t="inlineStr">
        <is>
          <t>MMMDCLI</t>
        </is>
      </c>
      <c r="C3652">
        <f>ROMAN(3651)</f>
        <v/>
      </c>
      <c r="D3652">
        <f>IF(B3652=C3652, "YES", "WRONG")</f>
        <v/>
      </c>
    </row>
    <row r="3653">
      <c r="A3653" t="n">
        <v>3652</v>
      </c>
      <c r="B3653" t="inlineStr">
        <is>
          <t>MMMDCLII</t>
        </is>
      </c>
      <c r="C3653">
        <f>ROMAN(3652)</f>
        <v/>
      </c>
      <c r="D3653">
        <f>IF(B3653=C3653, "YES", "WRONG")</f>
        <v/>
      </c>
    </row>
    <row r="3654">
      <c r="A3654" t="n">
        <v>3653</v>
      </c>
      <c r="B3654" t="inlineStr">
        <is>
          <t>MMMDCLIII</t>
        </is>
      </c>
      <c r="C3654">
        <f>ROMAN(3653)</f>
        <v/>
      </c>
      <c r="D3654">
        <f>IF(B3654=C3654, "YES", "WRONG")</f>
        <v/>
      </c>
    </row>
    <row r="3655">
      <c r="A3655" t="n">
        <v>3654</v>
      </c>
      <c r="B3655" t="inlineStr">
        <is>
          <t>MMMDCLIV</t>
        </is>
      </c>
      <c r="C3655">
        <f>ROMAN(3654)</f>
        <v/>
      </c>
      <c r="D3655">
        <f>IF(B3655=C3655, "YES", "WRONG")</f>
        <v/>
      </c>
    </row>
    <row r="3656">
      <c r="A3656" t="n">
        <v>3655</v>
      </c>
      <c r="B3656" t="inlineStr">
        <is>
          <t>MMMDCLV</t>
        </is>
      </c>
      <c r="C3656">
        <f>ROMAN(3655)</f>
        <v/>
      </c>
      <c r="D3656">
        <f>IF(B3656=C3656, "YES", "WRONG")</f>
        <v/>
      </c>
    </row>
    <row r="3657">
      <c r="A3657" t="n">
        <v>3656</v>
      </c>
      <c r="B3657" t="inlineStr">
        <is>
          <t>MMMDCLVI</t>
        </is>
      </c>
      <c r="C3657">
        <f>ROMAN(3656)</f>
        <v/>
      </c>
      <c r="D3657">
        <f>IF(B3657=C3657, "YES", "WRONG")</f>
        <v/>
      </c>
    </row>
    <row r="3658">
      <c r="A3658" t="n">
        <v>3657</v>
      </c>
      <c r="B3658" t="inlineStr">
        <is>
          <t>MMMDCLVII</t>
        </is>
      </c>
      <c r="C3658">
        <f>ROMAN(3657)</f>
        <v/>
      </c>
      <c r="D3658">
        <f>IF(B3658=C3658, "YES", "WRONG")</f>
        <v/>
      </c>
    </row>
    <row r="3659">
      <c r="A3659" t="n">
        <v>3658</v>
      </c>
      <c r="B3659" t="inlineStr">
        <is>
          <t>MMMDCLVIII</t>
        </is>
      </c>
      <c r="C3659">
        <f>ROMAN(3658)</f>
        <v/>
      </c>
      <c r="D3659">
        <f>IF(B3659=C3659, "YES", "WRONG")</f>
        <v/>
      </c>
    </row>
    <row r="3660">
      <c r="A3660" t="n">
        <v>3659</v>
      </c>
      <c r="B3660" t="inlineStr">
        <is>
          <t>MMMDCLIX</t>
        </is>
      </c>
      <c r="C3660">
        <f>ROMAN(3659)</f>
        <v/>
      </c>
      <c r="D3660">
        <f>IF(B3660=C3660, "YES", "WRONG")</f>
        <v/>
      </c>
    </row>
    <row r="3661">
      <c r="A3661" t="n">
        <v>3660</v>
      </c>
      <c r="B3661" t="inlineStr">
        <is>
          <t>MMMDCLX</t>
        </is>
      </c>
      <c r="C3661">
        <f>ROMAN(3660)</f>
        <v/>
      </c>
      <c r="D3661">
        <f>IF(B3661=C3661, "YES", "WRONG")</f>
        <v/>
      </c>
    </row>
    <row r="3662">
      <c r="A3662" t="n">
        <v>3661</v>
      </c>
      <c r="B3662" t="inlineStr">
        <is>
          <t>MMMDCLXI</t>
        </is>
      </c>
      <c r="C3662">
        <f>ROMAN(3661)</f>
        <v/>
      </c>
      <c r="D3662">
        <f>IF(B3662=C3662, "YES", "WRONG")</f>
        <v/>
      </c>
    </row>
    <row r="3663">
      <c r="A3663" t="n">
        <v>3662</v>
      </c>
      <c r="B3663" t="inlineStr">
        <is>
          <t>MMMDCLXII</t>
        </is>
      </c>
      <c r="C3663">
        <f>ROMAN(3662)</f>
        <v/>
      </c>
      <c r="D3663">
        <f>IF(B3663=C3663, "YES", "WRONG")</f>
        <v/>
      </c>
    </row>
    <row r="3664">
      <c r="A3664" t="n">
        <v>3663</v>
      </c>
      <c r="B3664" t="inlineStr">
        <is>
          <t>MMMDCLXIII</t>
        </is>
      </c>
      <c r="C3664">
        <f>ROMAN(3663)</f>
        <v/>
      </c>
      <c r="D3664">
        <f>IF(B3664=C3664, "YES", "WRONG")</f>
        <v/>
      </c>
    </row>
    <row r="3665">
      <c r="A3665" t="n">
        <v>3664</v>
      </c>
      <c r="B3665" t="inlineStr">
        <is>
          <t>MMMDCLXIV</t>
        </is>
      </c>
      <c r="C3665">
        <f>ROMAN(3664)</f>
        <v/>
      </c>
      <c r="D3665">
        <f>IF(B3665=C3665, "YES", "WRONG")</f>
        <v/>
      </c>
    </row>
    <row r="3666">
      <c r="A3666" t="n">
        <v>3665</v>
      </c>
      <c r="B3666" t="inlineStr">
        <is>
          <t>MMMDCLXV</t>
        </is>
      </c>
      <c r="C3666">
        <f>ROMAN(3665)</f>
        <v/>
      </c>
      <c r="D3666">
        <f>IF(B3666=C3666, "YES", "WRONG")</f>
        <v/>
      </c>
    </row>
    <row r="3667">
      <c r="A3667" t="n">
        <v>3666</v>
      </c>
      <c r="B3667" t="inlineStr">
        <is>
          <t>MMMDCLXVI</t>
        </is>
      </c>
      <c r="C3667">
        <f>ROMAN(3666)</f>
        <v/>
      </c>
      <c r="D3667">
        <f>IF(B3667=C3667, "YES", "WRONG")</f>
        <v/>
      </c>
    </row>
    <row r="3668">
      <c r="A3668" t="n">
        <v>3667</v>
      </c>
      <c r="B3668" t="inlineStr">
        <is>
          <t>MMMDCLXVII</t>
        </is>
      </c>
      <c r="C3668">
        <f>ROMAN(3667)</f>
        <v/>
      </c>
      <c r="D3668">
        <f>IF(B3668=C3668, "YES", "WRONG")</f>
        <v/>
      </c>
    </row>
    <row r="3669">
      <c r="A3669" t="n">
        <v>3668</v>
      </c>
      <c r="B3669" t="inlineStr">
        <is>
          <t>MMMDCLXVIII</t>
        </is>
      </c>
      <c r="C3669">
        <f>ROMAN(3668)</f>
        <v/>
      </c>
      <c r="D3669">
        <f>IF(B3669=C3669, "YES", "WRONG")</f>
        <v/>
      </c>
    </row>
    <row r="3670">
      <c r="A3670" t="n">
        <v>3669</v>
      </c>
      <c r="B3670" t="inlineStr">
        <is>
          <t>MMMDCLXIX</t>
        </is>
      </c>
      <c r="C3670">
        <f>ROMAN(3669)</f>
        <v/>
      </c>
      <c r="D3670">
        <f>IF(B3670=C3670, "YES", "WRONG")</f>
        <v/>
      </c>
    </row>
    <row r="3671">
      <c r="A3671" t="n">
        <v>3670</v>
      </c>
      <c r="B3671" t="inlineStr">
        <is>
          <t>MMMDCLXX</t>
        </is>
      </c>
      <c r="C3671">
        <f>ROMAN(3670)</f>
        <v/>
      </c>
      <c r="D3671">
        <f>IF(B3671=C3671, "YES", "WRONG")</f>
        <v/>
      </c>
    </row>
    <row r="3672">
      <c r="A3672" t="n">
        <v>3671</v>
      </c>
      <c r="B3672" t="inlineStr">
        <is>
          <t>MMMDCLXXI</t>
        </is>
      </c>
      <c r="C3672">
        <f>ROMAN(3671)</f>
        <v/>
      </c>
      <c r="D3672">
        <f>IF(B3672=C3672, "YES", "WRONG")</f>
        <v/>
      </c>
    </row>
    <row r="3673">
      <c r="A3673" t="n">
        <v>3672</v>
      </c>
      <c r="B3673" t="inlineStr">
        <is>
          <t>MMMDCLXXII</t>
        </is>
      </c>
      <c r="C3673">
        <f>ROMAN(3672)</f>
        <v/>
      </c>
      <c r="D3673">
        <f>IF(B3673=C3673, "YES", "WRONG")</f>
        <v/>
      </c>
    </row>
    <row r="3674">
      <c r="A3674" t="n">
        <v>3673</v>
      </c>
      <c r="B3674" t="inlineStr">
        <is>
          <t>MMMDCLXXIII</t>
        </is>
      </c>
      <c r="C3674">
        <f>ROMAN(3673)</f>
        <v/>
      </c>
      <c r="D3674">
        <f>IF(B3674=C3674, "YES", "WRONG")</f>
        <v/>
      </c>
    </row>
    <row r="3675">
      <c r="A3675" t="n">
        <v>3674</v>
      </c>
      <c r="B3675" t="inlineStr">
        <is>
          <t>MMMDCLXXIV</t>
        </is>
      </c>
      <c r="C3675">
        <f>ROMAN(3674)</f>
        <v/>
      </c>
      <c r="D3675">
        <f>IF(B3675=C3675, "YES", "WRONG")</f>
        <v/>
      </c>
    </row>
    <row r="3676">
      <c r="A3676" t="n">
        <v>3675</v>
      </c>
      <c r="B3676" t="inlineStr">
        <is>
          <t>MMMDCLXXV</t>
        </is>
      </c>
      <c r="C3676">
        <f>ROMAN(3675)</f>
        <v/>
      </c>
      <c r="D3676">
        <f>IF(B3676=C3676, "YES", "WRONG")</f>
        <v/>
      </c>
    </row>
    <row r="3677">
      <c r="A3677" t="n">
        <v>3676</v>
      </c>
      <c r="B3677" t="inlineStr">
        <is>
          <t>MMMDCLXXVI</t>
        </is>
      </c>
      <c r="C3677">
        <f>ROMAN(3676)</f>
        <v/>
      </c>
      <c r="D3677">
        <f>IF(B3677=C3677, "YES", "WRONG")</f>
        <v/>
      </c>
    </row>
    <row r="3678">
      <c r="A3678" t="n">
        <v>3677</v>
      </c>
      <c r="B3678" t="inlineStr">
        <is>
          <t>MMMDCLXXVII</t>
        </is>
      </c>
      <c r="C3678">
        <f>ROMAN(3677)</f>
        <v/>
      </c>
      <c r="D3678">
        <f>IF(B3678=C3678, "YES", "WRONG")</f>
        <v/>
      </c>
    </row>
    <row r="3679">
      <c r="A3679" t="n">
        <v>3678</v>
      </c>
      <c r="B3679" t="inlineStr">
        <is>
          <t>MMMDCLXXVIII</t>
        </is>
      </c>
      <c r="C3679">
        <f>ROMAN(3678)</f>
        <v/>
      </c>
      <c r="D3679">
        <f>IF(B3679=C3679, "YES", "WRONG")</f>
        <v/>
      </c>
    </row>
    <row r="3680">
      <c r="A3680" t="n">
        <v>3679</v>
      </c>
      <c r="B3680" t="inlineStr">
        <is>
          <t>MMMDCLXXIX</t>
        </is>
      </c>
      <c r="C3680">
        <f>ROMAN(3679)</f>
        <v/>
      </c>
      <c r="D3680">
        <f>IF(B3680=C3680, "YES", "WRONG")</f>
        <v/>
      </c>
    </row>
    <row r="3681">
      <c r="A3681" t="n">
        <v>3680</v>
      </c>
      <c r="B3681" t="inlineStr">
        <is>
          <t>MMMDCLXXX</t>
        </is>
      </c>
      <c r="C3681">
        <f>ROMAN(3680)</f>
        <v/>
      </c>
      <c r="D3681">
        <f>IF(B3681=C3681, "YES", "WRONG")</f>
        <v/>
      </c>
    </row>
    <row r="3682">
      <c r="A3682" t="n">
        <v>3681</v>
      </c>
      <c r="B3682" t="inlineStr">
        <is>
          <t>MMMDCLXXXI</t>
        </is>
      </c>
      <c r="C3682">
        <f>ROMAN(3681)</f>
        <v/>
      </c>
      <c r="D3682">
        <f>IF(B3682=C3682, "YES", "WRONG")</f>
        <v/>
      </c>
    </row>
    <row r="3683">
      <c r="A3683" t="n">
        <v>3682</v>
      </c>
      <c r="B3683" t="inlineStr">
        <is>
          <t>MMMDCLXXXII</t>
        </is>
      </c>
      <c r="C3683">
        <f>ROMAN(3682)</f>
        <v/>
      </c>
      <c r="D3683">
        <f>IF(B3683=C3683, "YES", "WRONG")</f>
        <v/>
      </c>
    </row>
    <row r="3684">
      <c r="A3684" t="n">
        <v>3683</v>
      </c>
      <c r="B3684" t="inlineStr">
        <is>
          <t>MMMDCLXXXIII</t>
        </is>
      </c>
      <c r="C3684">
        <f>ROMAN(3683)</f>
        <v/>
      </c>
      <c r="D3684">
        <f>IF(B3684=C3684, "YES", "WRONG")</f>
        <v/>
      </c>
    </row>
    <row r="3685">
      <c r="A3685" t="n">
        <v>3684</v>
      </c>
      <c r="B3685" t="inlineStr">
        <is>
          <t>MMMDCLXXXIV</t>
        </is>
      </c>
      <c r="C3685">
        <f>ROMAN(3684)</f>
        <v/>
      </c>
      <c r="D3685">
        <f>IF(B3685=C3685, "YES", "WRONG")</f>
        <v/>
      </c>
    </row>
    <row r="3686">
      <c r="A3686" t="n">
        <v>3685</v>
      </c>
      <c r="B3686" t="inlineStr">
        <is>
          <t>MMMDCLXXXV</t>
        </is>
      </c>
      <c r="C3686">
        <f>ROMAN(3685)</f>
        <v/>
      </c>
      <c r="D3686">
        <f>IF(B3686=C3686, "YES", "WRONG")</f>
        <v/>
      </c>
    </row>
    <row r="3687">
      <c r="A3687" t="n">
        <v>3686</v>
      </c>
      <c r="B3687" t="inlineStr">
        <is>
          <t>MMMDCLXXXVI</t>
        </is>
      </c>
      <c r="C3687">
        <f>ROMAN(3686)</f>
        <v/>
      </c>
      <c r="D3687">
        <f>IF(B3687=C3687, "YES", "WRONG")</f>
        <v/>
      </c>
    </row>
    <row r="3688">
      <c r="A3688" t="n">
        <v>3687</v>
      </c>
      <c r="B3688" t="inlineStr">
        <is>
          <t>MMMDCLXXXVII</t>
        </is>
      </c>
      <c r="C3688">
        <f>ROMAN(3687)</f>
        <v/>
      </c>
      <c r="D3688">
        <f>IF(B3688=C3688, "YES", "WRONG")</f>
        <v/>
      </c>
    </row>
    <row r="3689">
      <c r="A3689" t="n">
        <v>3688</v>
      </c>
      <c r="B3689" t="inlineStr">
        <is>
          <t>MMMDCLXXXVIII</t>
        </is>
      </c>
      <c r="C3689">
        <f>ROMAN(3688)</f>
        <v/>
      </c>
      <c r="D3689">
        <f>IF(B3689=C3689, "YES", "WRONG")</f>
        <v/>
      </c>
    </row>
    <row r="3690">
      <c r="A3690" t="n">
        <v>3689</v>
      </c>
      <c r="B3690" t="inlineStr">
        <is>
          <t>MMMDCLXXXIX</t>
        </is>
      </c>
      <c r="C3690">
        <f>ROMAN(3689)</f>
        <v/>
      </c>
      <c r="D3690">
        <f>IF(B3690=C3690, "YES", "WRONG")</f>
        <v/>
      </c>
    </row>
    <row r="3691">
      <c r="A3691" t="n">
        <v>3690</v>
      </c>
      <c r="B3691" t="inlineStr">
        <is>
          <t>MMMDCXC</t>
        </is>
      </c>
      <c r="C3691">
        <f>ROMAN(3690)</f>
        <v/>
      </c>
      <c r="D3691">
        <f>IF(B3691=C3691, "YES", "WRONG")</f>
        <v/>
      </c>
    </row>
    <row r="3692">
      <c r="A3692" t="n">
        <v>3691</v>
      </c>
      <c r="B3692" t="inlineStr">
        <is>
          <t>MMMDCXCI</t>
        </is>
      </c>
      <c r="C3692">
        <f>ROMAN(3691)</f>
        <v/>
      </c>
      <c r="D3692">
        <f>IF(B3692=C3692, "YES", "WRONG")</f>
        <v/>
      </c>
    </row>
    <row r="3693">
      <c r="A3693" t="n">
        <v>3692</v>
      </c>
      <c r="B3693" t="inlineStr">
        <is>
          <t>MMMDCXCII</t>
        </is>
      </c>
      <c r="C3693">
        <f>ROMAN(3692)</f>
        <v/>
      </c>
      <c r="D3693">
        <f>IF(B3693=C3693, "YES", "WRONG")</f>
        <v/>
      </c>
    </row>
    <row r="3694">
      <c r="A3694" t="n">
        <v>3693</v>
      </c>
      <c r="B3694" t="inlineStr">
        <is>
          <t>MMMDCXCIII</t>
        </is>
      </c>
      <c r="C3694">
        <f>ROMAN(3693)</f>
        <v/>
      </c>
      <c r="D3694">
        <f>IF(B3694=C3694, "YES", "WRONG")</f>
        <v/>
      </c>
    </row>
    <row r="3695">
      <c r="A3695" t="n">
        <v>3694</v>
      </c>
      <c r="B3695" t="inlineStr">
        <is>
          <t>MMMDCXCIV</t>
        </is>
      </c>
      <c r="C3695">
        <f>ROMAN(3694)</f>
        <v/>
      </c>
      <c r="D3695">
        <f>IF(B3695=C3695, "YES", "WRONG")</f>
        <v/>
      </c>
    </row>
    <row r="3696">
      <c r="A3696" t="n">
        <v>3695</v>
      </c>
      <c r="B3696" t="inlineStr">
        <is>
          <t>MMMDCXCV</t>
        </is>
      </c>
      <c r="C3696">
        <f>ROMAN(3695)</f>
        <v/>
      </c>
      <c r="D3696">
        <f>IF(B3696=C3696, "YES", "WRONG")</f>
        <v/>
      </c>
    </row>
    <row r="3697">
      <c r="A3697" t="n">
        <v>3696</v>
      </c>
      <c r="B3697" t="inlineStr">
        <is>
          <t>MMMDCXCVI</t>
        </is>
      </c>
      <c r="C3697">
        <f>ROMAN(3696)</f>
        <v/>
      </c>
      <c r="D3697">
        <f>IF(B3697=C3697, "YES", "WRONG")</f>
        <v/>
      </c>
    </row>
    <row r="3698">
      <c r="A3698" t="n">
        <v>3697</v>
      </c>
      <c r="B3698" t="inlineStr">
        <is>
          <t>MMMDCXCVII</t>
        </is>
      </c>
      <c r="C3698">
        <f>ROMAN(3697)</f>
        <v/>
      </c>
      <c r="D3698">
        <f>IF(B3698=C3698, "YES", "WRONG")</f>
        <v/>
      </c>
    </row>
    <row r="3699">
      <c r="A3699" t="n">
        <v>3698</v>
      </c>
      <c r="B3699" t="inlineStr">
        <is>
          <t>MMMDCXCVIII</t>
        </is>
      </c>
      <c r="C3699">
        <f>ROMAN(3698)</f>
        <v/>
      </c>
      <c r="D3699">
        <f>IF(B3699=C3699, "YES", "WRONG")</f>
        <v/>
      </c>
    </row>
    <row r="3700">
      <c r="A3700" t="n">
        <v>3699</v>
      </c>
      <c r="B3700" t="inlineStr">
        <is>
          <t>MMMDCXCIX</t>
        </is>
      </c>
      <c r="C3700">
        <f>ROMAN(3699)</f>
        <v/>
      </c>
      <c r="D3700">
        <f>IF(B3700=C3700, "YES", "WRONG")</f>
        <v/>
      </c>
    </row>
    <row r="3701">
      <c r="A3701" t="n">
        <v>3700</v>
      </c>
      <c r="B3701" t="inlineStr">
        <is>
          <t>MMMDCC</t>
        </is>
      </c>
      <c r="C3701">
        <f>ROMAN(3700)</f>
        <v/>
      </c>
      <c r="D3701">
        <f>IF(B3701=C3701, "YES", "WRONG")</f>
        <v/>
      </c>
    </row>
    <row r="3702">
      <c r="A3702" t="n">
        <v>3701</v>
      </c>
      <c r="B3702" t="inlineStr">
        <is>
          <t>MMMDCCI</t>
        </is>
      </c>
      <c r="C3702">
        <f>ROMAN(3701)</f>
        <v/>
      </c>
      <c r="D3702">
        <f>IF(B3702=C3702, "YES", "WRONG")</f>
        <v/>
      </c>
    </row>
    <row r="3703">
      <c r="A3703" t="n">
        <v>3702</v>
      </c>
      <c r="B3703" t="inlineStr">
        <is>
          <t>MMMDCCII</t>
        </is>
      </c>
      <c r="C3703">
        <f>ROMAN(3702)</f>
        <v/>
      </c>
      <c r="D3703">
        <f>IF(B3703=C3703, "YES", "WRONG")</f>
        <v/>
      </c>
    </row>
    <row r="3704">
      <c r="A3704" t="n">
        <v>3703</v>
      </c>
      <c r="B3704" t="inlineStr">
        <is>
          <t>MMMDCCIII</t>
        </is>
      </c>
      <c r="C3704">
        <f>ROMAN(3703)</f>
        <v/>
      </c>
      <c r="D3704">
        <f>IF(B3704=C3704, "YES", "WRONG")</f>
        <v/>
      </c>
    </row>
    <row r="3705">
      <c r="A3705" t="n">
        <v>3704</v>
      </c>
      <c r="B3705" t="inlineStr">
        <is>
          <t>MMMDCCIV</t>
        </is>
      </c>
      <c r="C3705">
        <f>ROMAN(3704)</f>
        <v/>
      </c>
      <c r="D3705">
        <f>IF(B3705=C3705, "YES", "WRONG")</f>
        <v/>
      </c>
    </row>
    <row r="3706">
      <c r="A3706" t="n">
        <v>3705</v>
      </c>
      <c r="B3706" t="inlineStr">
        <is>
          <t>MMMDCCV</t>
        </is>
      </c>
      <c r="C3706">
        <f>ROMAN(3705)</f>
        <v/>
      </c>
      <c r="D3706">
        <f>IF(B3706=C3706, "YES", "WRONG")</f>
        <v/>
      </c>
    </row>
    <row r="3707">
      <c r="A3707" t="n">
        <v>3706</v>
      </c>
      <c r="B3707" t="inlineStr">
        <is>
          <t>MMMDCCVI</t>
        </is>
      </c>
      <c r="C3707">
        <f>ROMAN(3706)</f>
        <v/>
      </c>
      <c r="D3707">
        <f>IF(B3707=C3707, "YES", "WRONG")</f>
        <v/>
      </c>
    </row>
    <row r="3708">
      <c r="A3708" t="n">
        <v>3707</v>
      </c>
      <c r="B3708" t="inlineStr">
        <is>
          <t>MMMDCCVII</t>
        </is>
      </c>
      <c r="C3708">
        <f>ROMAN(3707)</f>
        <v/>
      </c>
      <c r="D3708">
        <f>IF(B3708=C3708, "YES", "WRONG")</f>
        <v/>
      </c>
    </row>
    <row r="3709">
      <c r="A3709" t="n">
        <v>3708</v>
      </c>
      <c r="B3709" t="inlineStr">
        <is>
          <t>MMMDCCVIII</t>
        </is>
      </c>
      <c r="C3709">
        <f>ROMAN(3708)</f>
        <v/>
      </c>
      <c r="D3709">
        <f>IF(B3709=C3709, "YES", "WRONG")</f>
        <v/>
      </c>
    </row>
    <row r="3710">
      <c r="A3710" t="n">
        <v>3709</v>
      </c>
      <c r="B3710" t="inlineStr">
        <is>
          <t>MMMDCCIX</t>
        </is>
      </c>
      <c r="C3710">
        <f>ROMAN(3709)</f>
        <v/>
      </c>
      <c r="D3710">
        <f>IF(B3710=C3710, "YES", "WRONG")</f>
        <v/>
      </c>
    </row>
    <row r="3711">
      <c r="A3711" t="n">
        <v>3710</v>
      </c>
      <c r="B3711" t="inlineStr">
        <is>
          <t>MMMDCCX</t>
        </is>
      </c>
      <c r="C3711">
        <f>ROMAN(3710)</f>
        <v/>
      </c>
      <c r="D3711">
        <f>IF(B3711=C3711, "YES", "WRONG")</f>
        <v/>
      </c>
    </row>
    <row r="3712">
      <c r="A3712" t="n">
        <v>3711</v>
      </c>
      <c r="B3712" t="inlineStr">
        <is>
          <t>MMMDCCXI</t>
        </is>
      </c>
      <c r="C3712">
        <f>ROMAN(3711)</f>
        <v/>
      </c>
      <c r="D3712">
        <f>IF(B3712=C3712, "YES", "WRONG")</f>
        <v/>
      </c>
    </row>
    <row r="3713">
      <c r="A3713" t="n">
        <v>3712</v>
      </c>
      <c r="B3713" t="inlineStr">
        <is>
          <t>MMMDCCXII</t>
        </is>
      </c>
      <c r="C3713">
        <f>ROMAN(3712)</f>
        <v/>
      </c>
      <c r="D3713">
        <f>IF(B3713=C3713, "YES", "WRONG")</f>
        <v/>
      </c>
    </row>
    <row r="3714">
      <c r="A3714" t="n">
        <v>3713</v>
      </c>
      <c r="B3714" t="inlineStr">
        <is>
          <t>MMMDCCXIII</t>
        </is>
      </c>
      <c r="C3714">
        <f>ROMAN(3713)</f>
        <v/>
      </c>
      <c r="D3714">
        <f>IF(B3714=C3714, "YES", "WRONG")</f>
        <v/>
      </c>
    </row>
    <row r="3715">
      <c r="A3715" t="n">
        <v>3714</v>
      </c>
      <c r="B3715" t="inlineStr">
        <is>
          <t>MMMDCCXIV</t>
        </is>
      </c>
      <c r="C3715">
        <f>ROMAN(3714)</f>
        <v/>
      </c>
      <c r="D3715">
        <f>IF(B3715=C3715, "YES", "WRONG")</f>
        <v/>
      </c>
    </row>
    <row r="3716">
      <c r="A3716" t="n">
        <v>3715</v>
      </c>
      <c r="B3716" t="inlineStr">
        <is>
          <t>MMMDCCXV</t>
        </is>
      </c>
      <c r="C3716">
        <f>ROMAN(3715)</f>
        <v/>
      </c>
      <c r="D3716">
        <f>IF(B3716=C3716, "YES", "WRONG")</f>
        <v/>
      </c>
    </row>
    <row r="3717">
      <c r="A3717" t="n">
        <v>3716</v>
      </c>
      <c r="B3717" t="inlineStr">
        <is>
          <t>MMMDCCXVI</t>
        </is>
      </c>
      <c r="C3717">
        <f>ROMAN(3716)</f>
        <v/>
      </c>
      <c r="D3717">
        <f>IF(B3717=C3717, "YES", "WRONG")</f>
        <v/>
      </c>
    </row>
    <row r="3718">
      <c r="A3718" t="n">
        <v>3717</v>
      </c>
      <c r="B3718" t="inlineStr">
        <is>
          <t>MMMDCCXVII</t>
        </is>
      </c>
      <c r="C3718">
        <f>ROMAN(3717)</f>
        <v/>
      </c>
      <c r="D3718">
        <f>IF(B3718=C3718, "YES", "WRONG")</f>
        <v/>
      </c>
    </row>
    <row r="3719">
      <c r="A3719" t="n">
        <v>3718</v>
      </c>
      <c r="B3719" t="inlineStr">
        <is>
          <t>MMMDCCXVIII</t>
        </is>
      </c>
      <c r="C3719">
        <f>ROMAN(3718)</f>
        <v/>
      </c>
      <c r="D3719">
        <f>IF(B3719=C3719, "YES", "WRONG")</f>
        <v/>
      </c>
    </row>
    <row r="3720">
      <c r="A3720" t="n">
        <v>3719</v>
      </c>
      <c r="B3720" t="inlineStr">
        <is>
          <t>MMMDCCXIX</t>
        </is>
      </c>
      <c r="C3720">
        <f>ROMAN(3719)</f>
        <v/>
      </c>
      <c r="D3720">
        <f>IF(B3720=C3720, "YES", "WRONG")</f>
        <v/>
      </c>
    </row>
    <row r="3721">
      <c r="A3721" t="n">
        <v>3720</v>
      </c>
      <c r="B3721" t="inlineStr">
        <is>
          <t>MMMDCCXX</t>
        </is>
      </c>
      <c r="C3721">
        <f>ROMAN(3720)</f>
        <v/>
      </c>
      <c r="D3721">
        <f>IF(B3721=C3721, "YES", "WRONG")</f>
        <v/>
      </c>
    </row>
    <row r="3722">
      <c r="A3722" t="n">
        <v>3721</v>
      </c>
      <c r="B3722" t="inlineStr">
        <is>
          <t>MMMDCCXXI</t>
        </is>
      </c>
      <c r="C3722">
        <f>ROMAN(3721)</f>
        <v/>
      </c>
      <c r="D3722">
        <f>IF(B3722=C3722, "YES", "WRONG")</f>
        <v/>
      </c>
    </row>
    <row r="3723">
      <c r="A3723" t="n">
        <v>3722</v>
      </c>
      <c r="B3723" t="inlineStr">
        <is>
          <t>MMMDCCXXII</t>
        </is>
      </c>
      <c r="C3723">
        <f>ROMAN(3722)</f>
        <v/>
      </c>
      <c r="D3723">
        <f>IF(B3723=C3723, "YES", "WRONG")</f>
        <v/>
      </c>
    </row>
    <row r="3724">
      <c r="A3724" t="n">
        <v>3723</v>
      </c>
      <c r="B3724" t="inlineStr">
        <is>
          <t>MMMDCCXXIII</t>
        </is>
      </c>
      <c r="C3724">
        <f>ROMAN(3723)</f>
        <v/>
      </c>
      <c r="D3724">
        <f>IF(B3724=C3724, "YES", "WRONG")</f>
        <v/>
      </c>
    </row>
    <row r="3725">
      <c r="A3725" t="n">
        <v>3724</v>
      </c>
      <c r="B3725" t="inlineStr">
        <is>
          <t>MMMDCCXXIV</t>
        </is>
      </c>
      <c r="C3725">
        <f>ROMAN(3724)</f>
        <v/>
      </c>
      <c r="D3725">
        <f>IF(B3725=C3725, "YES", "WRONG")</f>
        <v/>
      </c>
    </row>
    <row r="3726">
      <c r="A3726" t="n">
        <v>3725</v>
      </c>
      <c r="B3726" t="inlineStr">
        <is>
          <t>MMMDCCXXV</t>
        </is>
      </c>
      <c r="C3726">
        <f>ROMAN(3725)</f>
        <v/>
      </c>
      <c r="D3726">
        <f>IF(B3726=C3726, "YES", "WRONG")</f>
        <v/>
      </c>
    </row>
    <row r="3727">
      <c r="A3727" t="n">
        <v>3726</v>
      </c>
      <c r="B3727" t="inlineStr">
        <is>
          <t>MMMDCCXXVI</t>
        </is>
      </c>
      <c r="C3727">
        <f>ROMAN(3726)</f>
        <v/>
      </c>
      <c r="D3727">
        <f>IF(B3727=C3727, "YES", "WRONG")</f>
        <v/>
      </c>
    </row>
    <row r="3728">
      <c r="A3728" t="n">
        <v>3727</v>
      </c>
      <c r="B3728" t="inlineStr">
        <is>
          <t>MMMDCCXXVII</t>
        </is>
      </c>
      <c r="C3728">
        <f>ROMAN(3727)</f>
        <v/>
      </c>
      <c r="D3728">
        <f>IF(B3728=C3728, "YES", "WRONG")</f>
        <v/>
      </c>
    </row>
    <row r="3729">
      <c r="A3729" t="n">
        <v>3728</v>
      </c>
      <c r="B3729" t="inlineStr">
        <is>
          <t>MMMDCCXXVIII</t>
        </is>
      </c>
      <c r="C3729">
        <f>ROMAN(3728)</f>
        <v/>
      </c>
      <c r="D3729">
        <f>IF(B3729=C3729, "YES", "WRONG")</f>
        <v/>
      </c>
    </row>
    <row r="3730">
      <c r="A3730" t="n">
        <v>3729</v>
      </c>
      <c r="B3730" t="inlineStr">
        <is>
          <t>MMMDCCXXIX</t>
        </is>
      </c>
      <c r="C3730">
        <f>ROMAN(3729)</f>
        <v/>
      </c>
      <c r="D3730">
        <f>IF(B3730=C3730, "YES", "WRONG")</f>
        <v/>
      </c>
    </row>
    <row r="3731">
      <c r="A3731" t="n">
        <v>3730</v>
      </c>
      <c r="B3731" t="inlineStr">
        <is>
          <t>MMMDCCXXX</t>
        </is>
      </c>
      <c r="C3731">
        <f>ROMAN(3730)</f>
        <v/>
      </c>
      <c r="D3731">
        <f>IF(B3731=C3731, "YES", "WRONG")</f>
        <v/>
      </c>
    </row>
    <row r="3732">
      <c r="A3732" t="n">
        <v>3731</v>
      </c>
      <c r="B3732" t="inlineStr">
        <is>
          <t>MMMDCCXXXI</t>
        </is>
      </c>
      <c r="C3732">
        <f>ROMAN(3731)</f>
        <v/>
      </c>
      <c r="D3732">
        <f>IF(B3732=C3732, "YES", "WRONG")</f>
        <v/>
      </c>
    </row>
    <row r="3733">
      <c r="A3733" t="n">
        <v>3732</v>
      </c>
      <c r="B3733" t="inlineStr">
        <is>
          <t>MMMDCCXXXII</t>
        </is>
      </c>
      <c r="C3733">
        <f>ROMAN(3732)</f>
        <v/>
      </c>
      <c r="D3733">
        <f>IF(B3733=C3733, "YES", "WRONG")</f>
        <v/>
      </c>
    </row>
    <row r="3734">
      <c r="A3734" t="n">
        <v>3733</v>
      </c>
      <c r="B3734" t="inlineStr">
        <is>
          <t>MMMDCCXXXIII</t>
        </is>
      </c>
      <c r="C3734">
        <f>ROMAN(3733)</f>
        <v/>
      </c>
      <c r="D3734">
        <f>IF(B3734=C3734, "YES", "WRONG")</f>
        <v/>
      </c>
    </row>
    <row r="3735">
      <c r="A3735" t="n">
        <v>3734</v>
      </c>
      <c r="B3735" t="inlineStr">
        <is>
          <t>MMMDCCXXXIV</t>
        </is>
      </c>
      <c r="C3735">
        <f>ROMAN(3734)</f>
        <v/>
      </c>
      <c r="D3735">
        <f>IF(B3735=C3735, "YES", "WRONG")</f>
        <v/>
      </c>
    </row>
    <row r="3736">
      <c r="A3736" t="n">
        <v>3735</v>
      </c>
      <c r="B3736" t="inlineStr">
        <is>
          <t>MMMDCCXXXV</t>
        </is>
      </c>
      <c r="C3736">
        <f>ROMAN(3735)</f>
        <v/>
      </c>
      <c r="D3736">
        <f>IF(B3736=C3736, "YES", "WRONG")</f>
        <v/>
      </c>
    </row>
    <row r="3737">
      <c r="A3737" t="n">
        <v>3736</v>
      </c>
      <c r="B3737" t="inlineStr">
        <is>
          <t>MMMDCCXXXVI</t>
        </is>
      </c>
      <c r="C3737">
        <f>ROMAN(3736)</f>
        <v/>
      </c>
      <c r="D3737">
        <f>IF(B3737=C3737, "YES", "WRONG")</f>
        <v/>
      </c>
    </row>
    <row r="3738">
      <c r="A3738" t="n">
        <v>3737</v>
      </c>
      <c r="B3738" t="inlineStr">
        <is>
          <t>MMMDCCXXXVII</t>
        </is>
      </c>
      <c r="C3738">
        <f>ROMAN(3737)</f>
        <v/>
      </c>
      <c r="D3738">
        <f>IF(B3738=C3738, "YES", "WRONG")</f>
        <v/>
      </c>
    </row>
    <row r="3739">
      <c r="A3739" t="n">
        <v>3738</v>
      </c>
      <c r="B3739" t="inlineStr">
        <is>
          <t>MMMDCCXXXVIII</t>
        </is>
      </c>
      <c r="C3739">
        <f>ROMAN(3738)</f>
        <v/>
      </c>
      <c r="D3739">
        <f>IF(B3739=C3739, "YES", "WRONG")</f>
        <v/>
      </c>
    </row>
    <row r="3740">
      <c r="A3740" t="n">
        <v>3739</v>
      </c>
      <c r="B3740" t="inlineStr">
        <is>
          <t>MMMDCCXXXIX</t>
        </is>
      </c>
      <c r="C3740">
        <f>ROMAN(3739)</f>
        <v/>
      </c>
      <c r="D3740">
        <f>IF(B3740=C3740, "YES", "WRONG")</f>
        <v/>
      </c>
    </row>
    <row r="3741">
      <c r="A3741" t="n">
        <v>3740</v>
      </c>
      <c r="B3741" t="inlineStr">
        <is>
          <t>MMMDCCXL</t>
        </is>
      </c>
      <c r="C3741">
        <f>ROMAN(3740)</f>
        <v/>
      </c>
      <c r="D3741">
        <f>IF(B3741=C3741, "YES", "WRONG")</f>
        <v/>
      </c>
    </row>
    <row r="3742">
      <c r="A3742" t="n">
        <v>3741</v>
      </c>
      <c r="B3742" t="inlineStr">
        <is>
          <t>MMMDCCXLI</t>
        </is>
      </c>
      <c r="C3742">
        <f>ROMAN(3741)</f>
        <v/>
      </c>
      <c r="D3742">
        <f>IF(B3742=C3742, "YES", "WRONG")</f>
        <v/>
      </c>
    </row>
    <row r="3743">
      <c r="A3743" t="n">
        <v>3742</v>
      </c>
      <c r="B3743" t="inlineStr">
        <is>
          <t>MMMDCCXLII</t>
        </is>
      </c>
      <c r="C3743">
        <f>ROMAN(3742)</f>
        <v/>
      </c>
      <c r="D3743">
        <f>IF(B3743=C3743, "YES", "WRONG")</f>
        <v/>
      </c>
    </row>
    <row r="3744">
      <c r="A3744" t="n">
        <v>3743</v>
      </c>
      <c r="B3744" t="inlineStr">
        <is>
          <t>MMMDCCXLIII</t>
        </is>
      </c>
      <c r="C3744">
        <f>ROMAN(3743)</f>
        <v/>
      </c>
      <c r="D3744">
        <f>IF(B3744=C3744, "YES", "WRONG")</f>
        <v/>
      </c>
    </row>
    <row r="3745">
      <c r="A3745" t="n">
        <v>3744</v>
      </c>
      <c r="B3745" t="inlineStr">
        <is>
          <t>MMMDCCXLIV</t>
        </is>
      </c>
      <c r="C3745">
        <f>ROMAN(3744)</f>
        <v/>
      </c>
      <c r="D3745">
        <f>IF(B3745=C3745, "YES", "WRONG")</f>
        <v/>
      </c>
    </row>
    <row r="3746">
      <c r="A3746" t="n">
        <v>3745</v>
      </c>
      <c r="B3746" t="inlineStr">
        <is>
          <t>MMMDCCXLV</t>
        </is>
      </c>
      <c r="C3746">
        <f>ROMAN(3745)</f>
        <v/>
      </c>
      <c r="D3746">
        <f>IF(B3746=C3746, "YES", "WRONG")</f>
        <v/>
      </c>
    </row>
    <row r="3747">
      <c r="A3747" t="n">
        <v>3746</v>
      </c>
      <c r="B3747" t="inlineStr">
        <is>
          <t>MMMDCCXLVI</t>
        </is>
      </c>
      <c r="C3747">
        <f>ROMAN(3746)</f>
        <v/>
      </c>
      <c r="D3747">
        <f>IF(B3747=C3747, "YES", "WRONG")</f>
        <v/>
      </c>
    </row>
    <row r="3748">
      <c r="A3748" t="n">
        <v>3747</v>
      </c>
      <c r="B3748" t="inlineStr">
        <is>
          <t>MMMDCCXLVII</t>
        </is>
      </c>
      <c r="C3748">
        <f>ROMAN(3747)</f>
        <v/>
      </c>
      <c r="D3748">
        <f>IF(B3748=C3748, "YES", "WRONG")</f>
        <v/>
      </c>
    </row>
    <row r="3749">
      <c r="A3749" t="n">
        <v>3748</v>
      </c>
      <c r="B3749" t="inlineStr">
        <is>
          <t>MMMDCCXLVIII</t>
        </is>
      </c>
      <c r="C3749">
        <f>ROMAN(3748)</f>
        <v/>
      </c>
      <c r="D3749">
        <f>IF(B3749=C3749, "YES", "WRONG")</f>
        <v/>
      </c>
    </row>
    <row r="3750">
      <c r="A3750" t="n">
        <v>3749</v>
      </c>
      <c r="B3750" t="inlineStr">
        <is>
          <t>MMMDCCXLIX</t>
        </is>
      </c>
      <c r="C3750">
        <f>ROMAN(3749)</f>
        <v/>
      </c>
      <c r="D3750">
        <f>IF(B3750=C3750, "YES", "WRONG")</f>
        <v/>
      </c>
    </row>
    <row r="3751">
      <c r="A3751" t="n">
        <v>3750</v>
      </c>
      <c r="B3751" t="inlineStr">
        <is>
          <t>MMMDCCL</t>
        </is>
      </c>
      <c r="C3751">
        <f>ROMAN(3750)</f>
        <v/>
      </c>
      <c r="D3751">
        <f>IF(B3751=C3751, "YES", "WRONG")</f>
        <v/>
      </c>
    </row>
    <row r="3752">
      <c r="A3752" t="n">
        <v>3751</v>
      </c>
      <c r="B3752" t="inlineStr">
        <is>
          <t>MMMDCCLI</t>
        </is>
      </c>
      <c r="C3752">
        <f>ROMAN(3751)</f>
        <v/>
      </c>
      <c r="D3752">
        <f>IF(B3752=C3752, "YES", "WRONG")</f>
        <v/>
      </c>
    </row>
    <row r="3753">
      <c r="A3753" t="n">
        <v>3752</v>
      </c>
      <c r="B3753" t="inlineStr">
        <is>
          <t>MMMDCCLII</t>
        </is>
      </c>
      <c r="C3753">
        <f>ROMAN(3752)</f>
        <v/>
      </c>
      <c r="D3753">
        <f>IF(B3753=C3753, "YES", "WRONG")</f>
        <v/>
      </c>
    </row>
    <row r="3754">
      <c r="A3754" t="n">
        <v>3753</v>
      </c>
      <c r="B3754" t="inlineStr">
        <is>
          <t>MMMDCCLIII</t>
        </is>
      </c>
      <c r="C3754">
        <f>ROMAN(3753)</f>
        <v/>
      </c>
      <c r="D3754">
        <f>IF(B3754=C3754, "YES", "WRONG")</f>
        <v/>
      </c>
    </row>
    <row r="3755">
      <c r="A3755" t="n">
        <v>3754</v>
      </c>
      <c r="B3755" t="inlineStr">
        <is>
          <t>MMMDCCLIV</t>
        </is>
      </c>
      <c r="C3755">
        <f>ROMAN(3754)</f>
        <v/>
      </c>
      <c r="D3755">
        <f>IF(B3755=C3755, "YES", "WRONG")</f>
        <v/>
      </c>
    </row>
    <row r="3756">
      <c r="A3756" t="n">
        <v>3755</v>
      </c>
      <c r="B3756" t="inlineStr">
        <is>
          <t>MMMDCCLV</t>
        </is>
      </c>
      <c r="C3756">
        <f>ROMAN(3755)</f>
        <v/>
      </c>
      <c r="D3756">
        <f>IF(B3756=C3756, "YES", "WRONG")</f>
        <v/>
      </c>
    </row>
    <row r="3757">
      <c r="A3757" t="n">
        <v>3756</v>
      </c>
      <c r="B3757" t="inlineStr">
        <is>
          <t>MMMDCCLVI</t>
        </is>
      </c>
      <c r="C3757">
        <f>ROMAN(3756)</f>
        <v/>
      </c>
      <c r="D3757">
        <f>IF(B3757=C3757, "YES", "WRONG")</f>
        <v/>
      </c>
    </row>
    <row r="3758">
      <c r="A3758" t="n">
        <v>3757</v>
      </c>
      <c r="B3758" t="inlineStr">
        <is>
          <t>MMMDCCLVII</t>
        </is>
      </c>
      <c r="C3758">
        <f>ROMAN(3757)</f>
        <v/>
      </c>
      <c r="D3758">
        <f>IF(B3758=C3758, "YES", "WRONG")</f>
        <v/>
      </c>
    </row>
    <row r="3759">
      <c r="A3759" t="n">
        <v>3758</v>
      </c>
      <c r="B3759" t="inlineStr">
        <is>
          <t>MMMDCCLVIII</t>
        </is>
      </c>
      <c r="C3759">
        <f>ROMAN(3758)</f>
        <v/>
      </c>
      <c r="D3759">
        <f>IF(B3759=C3759, "YES", "WRONG")</f>
        <v/>
      </c>
    </row>
    <row r="3760">
      <c r="A3760" t="n">
        <v>3759</v>
      </c>
      <c r="B3760" t="inlineStr">
        <is>
          <t>MMMDCCLIX</t>
        </is>
      </c>
      <c r="C3760">
        <f>ROMAN(3759)</f>
        <v/>
      </c>
      <c r="D3760">
        <f>IF(B3760=C3760, "YES", "WRONG")</f>
        <v/>
      </c>
    </row>
    <row r="3761">
      <c r="A3761" t="n">
        <v>3760</v>
      </c>
      <c r="B3761" t="inlineStr">
        <is>
          <t>MMMDCCLX</t>
        </is>
      </c>
      <c r="C3761">
        <f>ROMAN(3760)</f>
        <v/>
      </c>
      <c r="D3761">
        <f>IF(B3761=C3761, "YES", "WRONG")</f>
        <v/>
      </c>
    </row>
    <row r="3762">
      <c r="A3762" t="n">
        <v>3761</v>
      </c>
      <c r="B3762" t="inlineStr">
        <is>
          <t>MMMDCCLXI</t>
        </is>
      </c>
      <c r="C3762">
        <f>ROMAN(3761)</f>
        <v/>
      </c>
      <c r="D3762">
        <f>IF(B3762=C3762, "YES", "WRONG")</f>
        <v/>
      </c>
    </row>
    <row r="3763">
      <c r="A3763" t="n">
        <v>3762</v>
      </c>
      <c r="B3763" t="inlineStr">
        <is>
          <t>MMMDCCLXII</t>
        </is>
      </c>
      <c r="C3763">
        <f>ROMAN(3762)</f>
        <v/>
      </c>
      <c r="D3763">
        <f>IF(B3763=C3763, "YES", "WRONG")</f>
        <v/>
      </c>
    </row>
    <row r="3764">
      <c r="A3764" t="n">
        <v>3763</v>
      </c>
      <c r="B3764" t="inlineStr">
        <is>
          <t>MMMDCCLXIII</t>
        </is>
      </c>
      <c r="C3764">
        <f>ROMAN(3763)</f>
        <v/>
      </c>
      <c r="D3764">
        <f>IF(B3764=C3764, "YES", "WRONG")</f>
        <v/>
      </c>
    </row>
    <row r="3765">
      <c r="A3765" t="n">
        <v>3764</v>
      </c>
      <c r="B3765" t="inlineStr">
        <is>
          <t>MMMDCCLXIV</t>
        </is>
      </c>
      <c r="C3765">
        <f>ROMAN(3764)</f>
        <v/>
      </c>
      <c r="D3765">
        <f>IF(B3765=C3765, "YES", "WRONG")</f>
        <v/>
      </c>
    </row>
    <row r="3766">
      <c r="A3766" t="n">
        <v>3765</v>
      </c>
      <c r="B3766" t="inlineStr">
        <is>
          <t>MMMDCCLXV</t>
        </is>
      </c>
      <c r="C3766">
        <f>ROMAN(3765)</f>
        <v/>
      </c>
      <c r="D3766">
        <f>IF(B3766=C3766, "YES", "WRONG")</f>
        <v/>
      </c>
    </row>
    <row r="3767">
      <c r="A3767" t="n">
        <v>3766</v>
      </c>
      <c r="B3767" t="inlineStr">
        <is>
          <t>MMMDCCLXVI</t>
        </is>
      </c>
      <c r="C3767">
        <f>ROMAN(3766)</f>
        <v/>
      </c>
      <c r="D3767">
        <f>IF(B3767=C3767, "YES", "WRONG")</f>
        <v/>
      </c>
    </row>
    <row r="3768">
      <c r="A3768" t="n">
        <v>3767</v>
      </c>
      <c r="B3768" t="inlineStr">
        <is>
          <t>MMMDCCLXVII</t>
        </is>
      </c>
      <c r="C3768">
        <f>ROMAN(3767)</f>
        <v/>
      </c>
      <c r="D3768">
        <f>IF(B3768=C3768, "YES", "WRONG")</f>
        <v/>
      </c>
    </row>
    <row r="3769">
      <c r="A3769" t="n">
        <v>3768</v>
      </c>
      <c r="B3769" t="inlineStr">
        <is>
          <t>MMMDCCLXVIII</t>
        </is>
      </c>
      <c r="C3769">
        <f>ROMAN(3768)</f>
        <v/>
      </c>
      <c r="D3769">
        <f>IF(B3769=C3769, "YES", "WRONG")</f>
        <v/>
      </c>
    </row>
    <row r="3770">
      <c r="A3770" t="n">
        <v>3769</v>
      </c>
      <c r="B3770" t="inlineStr">
        <is>
          <t>MMMDCCLXIX</t>
        </is>
      </c>
      <c r="C3770">
        <f>ROMAN(3769)</f>
        <v/>
      </c>
      <c r="D3770">
        <f>IF(B3770=C3770, "YES", "WRONG")</f>
        <v/>
      </c>
    </row>
    <row r="3771">
      <c r="A3771" t="n">
        <v>3770</v>
      </c>
      <c r="B3771" t="inlineStr">
        <is>
          <t>MMMDCCLXX</t>
        </is>
      </c>
      <c r="C3771">
        <f>ROMAN(3770)</f>
        <v/>
      </c>
      <c r="D3771">
        <f>IF(B3771=C3771, "YES", "WRONG")</f>
        <v/>
      </c>
    </row>
    <row r="3772">
      <c r="A3772" t="n">
        <v>3771</v>
      </c>
      <c r="B3772" t="inlineStr">
        <is>
          <t>MMMDCCLXXI</t>
        </is>
      </c>
      <c r="C3772">
        <f>ROMAN(3771)</f>
        <v/>
      </c>
      <c r="D3772">
        <f>IF(B3772=C3772, "YES", "WRONG")</f>
        <v/>
      </c>
    </row>
    <row r="3773">
      <c r="A3773" t="n">
        <v>3772</v>
      </c>
      <c r="B3773" t="inlineStr">
        <is>
          <t>MMMDCCLXXII</t>
        </is>
      </c>
      <c r="C3773">
        <f>ROMAN(3772)</f>
        <v/>
      </c>
      <c r="D3773">
        <f>IF(B3773=C3773, "YES", "WRONG")</f>
        <v/>
      </c>
    </row>
    <row r="3774">
      <c r="A3774" t="n">
        <v>3773</v>
      </c>
      <c r="B3774" t="inlineStr">
        <is>
          <t>MMMDCCLXXIII</t>
        </is>
      </c>
      <c r="C3774">
        <f>ROMAN(3773)</f>
        <v/>
      </c>
      <c r="D3774">
        <f>IF(B3774=C3774, "YES", "WRONG")</f>
        <v/>
      </c>
    </row>
    <row r="3775">
      <c r="A3775" t="n">
        <v>3774</v>
      </c>
      <c r="B3775" t="inlineStr">
        <is>
          <t>MMMDCCLXXIV</t>
        </is>
      </c>
      <c r="C3775">
        <f>ROMAN(3774)</f>
        <v/>
      </c>
      <c r="D3775">
        <f>IF(B3775=C3775, "YES", "WRONG")</f>
        <v/>
      </c>
    </row>
    <row r="3776">
      <c r="A3776" t="n">
        <v>3775</v>
      </c>
      <c r="B3776" t="inlineStr">
        <is>
          <t>MMMDCCLXXV</t>
        </is>
      </c>
      <c r="C3776">
        <f>ROMAN(3775)</f>
        <v/>
      </c>
      <c r="D3776">
        <f>IF(B3776=C3776, "YES", "WRONG")</f>
        <v/>
      </c>
    </row>
    <row r="3777">
      <c r="A3777" t="n">
        <v>3776</v>
      </c>
      <c r="B3777" t="inlineStr">
        <is>
          <t>MMMDCCLXXVI</t>
        </is>
      </c>
      <c r="C3777">
        <f>ROMAN(3776)</f>
        <v/>
      </c>
      <c r="D3777">
        <f>IF(B3777=C3777, "YES", "WRONG")</f>
        <v/>
      </c>
    </row>
    <row r="3778">
      <c r="A3778" t="n">
        <v>3777</v>
      </c>
      <c r="B3778" t="inlineStr">
        <is>
          <t>MMMDCCLXXVII</t>
        </is>
      </c>
      <c r="C3778">
        <f>ROMAN(3777)</f>
        <v/>
      </c>
      <c r="D3778">
        <f>IF(B3778=C3778, "YES", "WRONG")</f>
        <v/>
      </c>
    </row>
    <row r="3779">
      <c r="A3779" t="n">
        <v>3778</v>
      </c>
      <c r="B3779" t="inlineStr">
        <is>
          <t>MMMDCCLXXVIII</t>
        </is>
      </c>
      <c r="C3779">
        <f>ROMAN(3778)</f>
        <v/>
      </c>
      <c r="D3779">
        <f>IF(B3779=C3779, "YES", "WRONG")</f>
        <v/>
      </c>
    </row>
    <row r="3780">
      <c r="A3780" t="n">
        <v>3779</v>
      </c>
      <c r="B3780" t="inlineStr">
        <is>
          <t>MMMDCCLXXIX</t>
        </is>
      </c>
      <c r="C3780">
        <f>ROMAN(3779)</f>
        <v/>
      </c>
      <c r="D3780">
        <f>IF(B3780=C3780, "YES", "WRONG")</f>
        <v/>
      </c>
    </row>
    <row r="3781">
      <c r="A3781" t="n">
        <v>3780</v>
      </c>
      <c r="B3781" t="inlineStr">
        <is>
          <t>MMMDCCLXXX</t>
        </is>
      </c>
      <c r="C3781">
        <f>ROMAN(3780)</f>
        <v/>
      </c>
      <c r="D3781">
        <f>IF(B3781=C3781, "YES", "WRONG")</f>
        <v/>
      </c>
    </row>
    <row r="3782">
      <c r="A3782" t="n">
        <v>3781</v>
      </c>
      <c r="B3782" t="inlineStr">
        <is>
          <t>MMMDCCLXXXI</t>
        </is>
      </c>
      <c r="C3782">
        <f>ROMAN(3781)</f>
        <v/>
      </c>
      <c r="D3782">
        <f>IF(B3782=C3782, "YES", "WRONG")</f>
        <v/>
      </c>
    </row>
    <row r="3783">
      <c r="A3783" t="n">
        <v>3782</v>
      </c>
      <c r="B3783" t="inlineStr">
        <is>
          <t>MMMDCCLXXXII</t>
        </is>
      </c>
      <c r="C3783">
        <f>ROMAN(3782)</f>
        <v/>
      </c>
      <c r="D3783">
        <f>IF(B3783=C3783, "YES", "WRONG")</f>
        <v/>
      </c>
    </row>
    <row r="3784">
      <c r="A3784" t="n">
        <v>3783</v>
      </c>
      <c r="B3784" t="inlineStr">
        <is>
          <t>MMMDCCLXXXIII</t>
        </is>
      </c>
      <c r="C3784">
        <f>ROMAN(3783)</f>
        <v/>
      </c>
      <c r="D3784">
        <f>IF(B3784=C3784, "YES", "WRONG")</f>
        <v/>
      </c>
    </row>
    <row r="3785">
      <c r="A3785" t="n">
        <v>3784</v>
      </c>
      <c r="B3785" t="inlineStr">
        <is>
          <t>MMMDCCLXXXIV</t>
        </is>
      </c>
      <c r="C3785">
        <f>ROMAN(3784)</f>
        <v/>
      </c>
      <c r="D3785">
        <f>IF(B3785=C3785, "YES", "WRONG")</f>
        <v/>
      </c>
    </row>
    <row r="3786">
      <c r="A3786" t="n">
        <v>3785</v>
      </c>
      <c r="B3786" t="inlineStr">
        <is>
          <t>MMMDCCLXXXV</t>
        </is>
      </c>
      <c r="C3786">
        <f>ROMAN(3785)</f>
        <v/>
      </c>
      <c r="D3786">
        <f>IF(B3786=C3786, "YES", "WRONG")</f>
        <v/>
      </c>
    </row>
    <row r="3787">
      <c r="A3787" t="n">
        <v>3786</v>
      </c>
      <c r="B3787" t="inlineStr">
        <is>
          <t>MMMDCCLXXXVI</t>
        </is>
      </c>
      <c r="C3787">
        <f>ROMAN(3786)</f>
        <v/>
      </c>
      <c r="D3787">
        <f>IF(B3787=C3787, "YES", "WRONG")</f>
        <v/>
      </c>
    </row>
    <row r="3788">
      <c r="A3788" t="n">
        <v>3787</v>
      </c>
      <c r="B3788" t="inlineStr">
        <is>
          <t>MMMDCCLXXXVII</t>
        </is>
      </c>
      <c r="C3788">
        <f>ROMAN(3787)</f>
        <v/>
      </c>
      <c r="D3788">
        <f>IF(B3788=C3788, "YES", "WRONG")</f>
        <v/>
      </c>
    </row>
    <row r="3789">
      <c r="A3789" t="n">
        <v>3788</v>
      </c>
      <c r="B3789" t="inlineStr">
        <is>
          <t>MMMDCCLXXXVIII</t>
        </is>
      </c>
      <c r="C3789">
        <f>ROMAN(3788)</f>
        <v/>
      </c>
      <c r="D3789">
        <f>IF(B3789=C3789, "YES", "WRONG")</f>
        <v/>
      </c>
    </row>
    <row r="3790">
      <c r="A3790" t="n">
        <v>3789</v>
      </c>
      <c r="B3790" t="inlineStr">
        <is>
          <t>MMMDCCLXXXIX</t>
        </is>
      </c>
      <c r="C3790">
        <f>ROMAN(3789)</f>
        <v/>
      </c>
      <c r="D3790">
        <f>IF(B3790=C3790, "YES", "WRONG")</f>
        <v/>
      </c>
    </row>
    <row r="3791">
      <c r="A3791" t="n">
        <v>3790</v>
      </c>
      <c r="B3791" t="inlineStr">
        <is>
          <t>MMMDCCXC</t>
        </is>
      </c>
      <c r="C3791">
        <f>ROMAN(3790)</f>
        <v/>
      </c>
      <c r="D3791">
        <f>IF(B3791=C3791, "YES", "WRONG")</f>
        <v/>
      </c>
    </row>
    <row r="3792">
      <c r="A3792" t="n">
        <v>3791</v>
      </c>
      <c r="B3792" t="inlineStr">
        <is>
          <t>MMMDCCXCI</t>
        </is>
      </c>
      <c r="C3792">
        <f>ROMAN(3791)</f>
        <v/>
      </c>
      <c r="D3792">
        <f>IF(B3792=C3792, "YES", "WRONG")</f>
        <v/>
      </c>
    </row>
    <row r="3793">
      <c r="A3793" t="n">
        <v>3792</v>
      </c>
      <c r="B3793" t="inlineStr">
        <is>
          <t>MMMDCCXCII</t>
        </is>
      </c>
      <c r="C3793">
        <f>ROMAN(3792)</f>
        <v/>
      </c>
      <c r="D3793">
        <f>IF(B3793=C3793, "YES", "WRONG")</f>
        <v/>
      </c>
    </row>
    <row r="3794">
      <c r="A3794" t="n">
        <v>3793</v>
      </c>
      <c r="B3794" t="inlineStr">
        <is>
          <t>MMMDCCXCIII</t>
        </is>
      </c>
      <c r="C3794">
        <f>ROMAN(3793)</f>
        <v/>
      </c>
      <c r="D3794">
        <f>IF(B3794=C3794, "YES", "WRONG")</f>
        <v/>
      </c>
    </row>
    <row r="3795">
      <c r="A3795" t="n">
        <v>3794</v>
      </c>
      <c r="B3795" t="inlineStr">
        <is>
          <t>MMMDCCXCIV</t>
        </is>
      </c>
      <c r="C3795">
        <f>ROMAN(3794)</f>
        <v/>
      </c>
      <c r="D3795">
        <f>IF(B3795=C3795, "YES", "WRONG")</f>
        <v/>
      </c>
    </row>
    <row r="3796">
      <c r="A3796" t="n">
        <v>3795</v>
      </c>
      <c r="B3796" t="inlineStr">
        <is>
          <t>MMMDCCXCV</t>
        </is>
      </c>
      <c r="C3796">
        <f>ROMAN(3795)</f>
        <v/>
      </c>
      <c r="D3796">
        <f>IF(B3796=C3796, "YES", "WRONG")</f>
        <v/>
      </c>
    </row>
    <row r="3797">
      <c r="A3797" t="n">
        <v>3796</v>
      </c>
      <c r="B3797" t="inlineStr">
        <is>
          <t>MMMDCCXCVI</t>
        </is>
      </c>
      <c r="C3797">
        <f>ROMAN(3796)</f>
        <v/>
      </c>
      <c r="D3797">
        <f>IF(B3797=C3797, "YES", "WRONG")</f>
        <v/>
      </c>
    </row>
    <row r="3798">
      <c r="A3798" t="n">
        <v>3797</v>
      </c>
      <c r="B3798" t="inlineStr">
        <is>
          <t>MMMDCCXCVII</t>
        </is>
      </c>
      <c r="C3798">
        <f>ROMAN(3797)</f>
        <v/>
      </c>
      <c r="D3798">
        <f>IF(B3798=C3798, "YES", "WRONG")</f>
        <v/>
      </c>
    </row>
    <row r="3799">
      <c r="A3799" t="n">
        <v>3798</v>
      </c>
      <c r="B3799" t="inlineStr">
        <is>
          <t>MMMDCCXCVIII</t>
        </is>
      </c>
      <c r="C3799">
        <f>ROMAN(3798)</f>
        <v/>
      </c>
      <c r="D3799">
        <f>IF(B3799=C3799, "YES", "WRONG")</f>
        <v/>
      </c>
    </row>
    <row r="3800">
      <c r="A3800" t="n">
        <v>3799</v>
      </c>
      <c r="B3800" t="inlineStr">
        <is>
          <t>MMMDCCXCIX</t>
        </is>
      </c>
      <c r="C3800">
        <f>ROMAN(3799)</f>
        <v/>
      </c>
      <c r="D3800">
        <f>IF(B3800=C3800, "YES", "WRONG")</f>
        <v/>
      </c>
    </row>
    <row r="3801">
      <c r="A3801" t="n">
        <v>3800</v>
      </c>
      <c r="B3801" t="inlineStr">
        <is>
          <t>MMMDCCC</t>
        </is>
      </c>
      <c r="C3801">
        <f>ROMAN(3800)</f>
        <v/>
      </c>
      <c r="D3801">
        <f>IF(B3801=C3801, "YES", "WRONG")</f>
        <v/>
      </c>
    </row>
    <row r="3802">
      <c r="A3802" t="n">
        <v>3801</v>
      </c>
      <c r="B3802" t="inlineStr">
        <is>
          <t>MMMDCCCI</t>
        </is>
      </c>
      <c r="C3802">
        <f>ROMAN(3801)</f>
        <v/>
      </c>
      <c r="D3802">
        <f>IF(B3802=C3802, "YES", "WRONG")</f>
        <v/>
      </c>
    </row>
    <row r="3803">
      <c r="A3803" t="n">
        <v>3802</v>
      </c>
      <c r="B3803" t="inlineStr">
        <is>
          <t>MMMDCCCII</t>
        </is>
      </c>
      <c r="C3803">
        <f>ROMAN(3802)</f>
        <v/>
      </c>
      <c r="D3803">
        <f>IF(B3803=C3803, "YES", "WRONG")</f>
        <v/>
      </c>
    </row>
    <row r="3804">
      <c r="A3804" t="n">
        <v>3803</v>
      </c>
      <c r="B3804" t="inlineStr">
        <is>
          <t>MMMDCCCIII</t>
        </is>
      </c>
      <c r="C3804">
        <f>ROMAN(3803)</f>
        <v/>
      </c>
      <c r="D3804">
        <f>IF(B3804=C3804, "YES", "WRONG")</f>
        <v/>
      </c>
    </row>
    <row r="3805">
      <c r="A3805" t="n">
        <v>3804</v>
      </c>
      <c r="B3805" t="inlineStr">
        <is>
          <t>MMMDCCCIV</t>
        </is>
      </c>
      <c r="C3805">
        <f>ROMAN(3804)</f>
        <v/>
      </c>
      <c r="D3805">
        <f>IF(B3805=C3805, "YES", "WRONG")</f>
        <v/>
      </c>
    </row>
    <row r="3806">
      <c r="A3806" t="n">
        <v>3805</v>
      </c>
      <c r="B3806" t="inlineStr">
        <is>
          <t>MMMDCCCV</t>
        </is>
      </c>
      <c r="C3806">
        <f>ROMAN(3805)</f>
        <v/>
      </c>
      <c r="D3806">
        <f>IF(B3806=C3806, "YES", "WRONG")</f>
        <v/>
      </c>
    </row>
    <row r="3807">
      <c r="A3807" t="n">
        <v>3806</v>
      </c>
      <c r="B3807" t="inlineStr">
        <is>
          <t>MMMDCCCVI</t>
        </is>
      </c>
      <c r="C3807">
        <f>ROMAN(3806)</f>
        <v/>
      </c>
      <c r="D3807">
        <f>IF(B3807=C3807, "YES", "WRONG")</f>
        <v/>
      </c>
    </row>
    <row r="3808">
      <c r="A3808" t="n">
        <v>3807</v>
      </c>
      <c r="B3808" t="inlineStr">
        <is>
          <t>MMMDCCCVII</t>
        </is>
      </c>
      <c r="C3808">
        <f>ROMAN(3807)</f>
        <v/>
      </c>
      <c r="D3808">
        <f>IF(B3808=C3808, "YES", "WRONG")</f>
        <v/>
      </c>
    </row>
    <row r="3809">
      <c r="A3809" t="n">
        <v>3808</v>
      </c>
      <c r="B3809" t="inlineStr">
        <is>
          <t>MMMDCCCVIII</t>
        </is>
      </c>
      <c r="C3809">
        <f>ROMAN(3808)</f>
        <v/>
      </c>
      <c r="D3809">
        <f>IF(B3809=C3809, "YES", "WRONG")</f>
        <v/>
      </c>
    </row>
    <row r="3810">
      <c r="A3810" t="n">
        <v>3809</v>
      </c>
      <c r="B3810" t="inlineStr">
        <is>
          <t>MMMDCCCIX</t>
        </is>
      </c>
      <c r="C3810">
        <f>ROMAN(3809)</f>
        <v/>
      </c>
      <c r="D3810">
        <f>IF(B3810=C3810, "YES", "WRONG")</f>
        <v/>
      </c>
    </row>
    <row r="3811">
      <c r="A3811" t="n">
        <v>3810</v>
      </c>
      <c r="B3811" t="inlineStr">
        <is>
          <t>MMMDCCCX</t>
        </is>
      </c>
      <c r="C3811">
        <f>ROMAN(3810)</f>
        <v/>
      </c>
      <c r="D3811">
        <f>IF(B3811=C3811, "YES", "WRONG")</f>
        <v/>
      </c>
    </row>
    <row r="3812">
      <c r="A3812" t="n">
        <v>3811</v>
      </c>
      <c r="B3812" t="inlineStr">
        <is>
          <t>MMMDCCCXI</t>
        </is>
      </c>
      <c r="C3812">
        <f>ROMAN(3811)</f>
        <v/>
      </c>
      <c r="D3812">
        <f>IF(B3812=C3812, "YES", "WRONG")</f>
        <v/>
      </c>
    </row>
    <row r="3813">
      <c r="A3813" t="n">
        <v>3812</v>
      </c>
      <c r="B3813" t="inlineStr">
        <is>
          <t>MMMDCCCXII</t>
        </is>
      </c>
      <c r="C3813">
        <f>ROMAN(3812)</f>
        <v/>
      </c>
      <c r="D3813">
        <f>IF(B3813=C3813, "YES", "WRONG")</f>
        <v/>
      </c>
    </row>
    <row r="3814">
      <c r="A3814" t="n">
        <v>3813</v>
      </c>
      <c r="B3814" t="inlineStr">
        <is>
          <t>MMMDCCCXIII</t>
        </is>
      </c>
      <c r="C3814">
        <f>ROMAN(3813)</f>
        <v/>
      </c>
      <c r="D3814">
        <f>IF(B3814=C3814, "YES", "WRONG")</f>
        <v/>
      </c>
    </row>
    <row r="3815">
      <c r="A3815" t="n">
        <v>3814</v>
      </c>
      <c r="B3815" t="inlineStr">
        <is>
          <t>MMMDCCCXIV</t>
        </is>
      </c>
      <c r="C3815">
        <f>ROMAN(3814)</f>
        <v/>
      </c>
      <c r="D3815">
        <f>IF(B3815=C3815, "YES", "WRONG")</f>
        <v/>
      </c>
    </row>
    <row r="3816">
      <c r="A3816" t="n">
        <v>3815</v>
      </c>
      <c r="B3816" t="inlineStr">
        <is>
          <t>MMMDCCCXV</t>
        </is>
      </c>
      <c r="C3816">
        <f>ROMAN(3815)</f>
        <v/>
      </c>
      <c r="D3816">
        <f>IF(B3816=C3816, "YES", "WRONG")</f>
        <v/>
      </c>
    </row>
    <row r="3817">
      <c r="A3817" t="n">
        <v>3816</v>
      </c>
      <c r="B3817" t="inlineStr">
        <is>
          <t>MMMDCCCXVI</t>
        </is>
      </c>
      <c r="C3817">
        <f>ROMAN(3816)</f>
        <v/>
      </c>
      <c r="D3817">
        <f>IF(B3817=C3817, "YES", "WRONG")</f>
        <v/>
      </c>
    </row>
    <row r="3818">
      <c r="A3818" t="n">
        <v>3817</v>
      </c>
      <c r="B3818" t="inlineStr">
        <is>
          <t>MMMDCCCXVII</t>
        </is>
      </c>
      <c r="C3818">
        <f>ROMAN(3817)</f>
        <v/>
      </c>
      <c r="D3818">
        <f>IF(B3818=C3818, "YES", "WRONG")</f>
        <v/>
      </c>
    </row>
    <row r="3819">
      <c r="A3819" t="n">
        <v>3818</v>
      </c>
      <c r="B3819" t="inlineStr">
        <is>
          <t>MMMDCCCXVIII</t>
        </is>
      </c>
      <c r="C3819">
        <f>ROMAN(3818)</f>
        <v/>
      </c>
      <c r="D3819">
        <f>IF(B3819=C3819, "YES", "WRONG")</f>
        <v/>
      </c>
    </row>
    <row r="3820">
      <c r="A3820" t="n">
        <v>3819</v>
      </c>
      <c r="B3820" t="inlineStr">
        <is>
          <t>MMMDCCCXIX</t>
        </is>
      </c>
      <c r="C3820">
        <f>ROMAN(3819)</f>
        <v/>
      </c>
      <c r="D3820">
        <f>IF(B3820=C3820, "YES", "WRONG")</f>
        <v/>
      </c>
    </row>
    <row r="3821">
      <c r="A3821" t="n">
        <v>3820</v>
      </c>
      <c r="B3821" t="inlineStr">
        <is>
          <t>MMMDCCCXX</t>
        </is>
      </c>
      <c r="C3821">
        <f>ROMAN(3820)</f>
        <v/>
      </c>
      <c r="D3821">
        <f>IF(B3821=C3821, "YES", "WRONG")</f>
        <v/>
      </c>
    </row>
    <row r="3822">
      <c r="A3822" t="n">
        <v>3821</v>
      </c>
      <c r="B3822" t="inlineStr">
        <is>
          <t>MMMDCCCXXI</t>
        </is>
      </c>
      <c r="C3822">
        <f>ROMAN(3821)</f>
        <v/>
      </c>
      <c r="D3822">
        <f>IF(B3822=C3822, "YES", "WRONG")</f>
        <v/>
      </c>
    </row>
    <row r="3823">
      <c r="A3823" t="n">
        <v>3822</v>
      </c>
      <c r="B3823" t="inlineStr">
        <is>
          <t>MMMDCCCXXII</t>
        </is>
      </c>
      <c r="C3823">
        <f>ROMAN(3822)</f>
        <v/>
      </c>
      <c r="D3823">
        <f>IF(B3823=C3823, "YES", "WRONG")</f>
        <v/>
      </c>
    </row>
    <row r="3824">
      <c r="A3824" t="n">
        <v>3823</v>
      </c>
      <c r="B3824" t="inlineStr">
        <is>
          <t>MMMDCCCXXIII</t>
        </is>
      </c>
      <c r="C3824">
        <f>ROMAN(3823)</f>
        <v/>
      </c>
      <c r="D3824">
        <f>IF(B3824=C3824, "YES", "WRONG")</f>
        <v/>
      </c>
    </row>
    <row r="3825">
      <c r="A3825" t="n">
        <v>3824</v>
      </c>
      <c r="B3825" t="inlineStr">
        <is>
          <t>MMMDCCCXXIV</t>
        </is>
      </c>
      <c r="C3825">
        <f>ROMAN(3824)</f>
        <v/>
      </c>
      <c r="D3825">
        <f>IF(B3825=C3825, "YES", "WRONG")</f>
        <v/>
      </c>
    </row>
    <row r="3826">
      <c r="A3826" t="n">
        <v>3825</v>
      </c>
      <c r="B3826" t="inlineStr">
        <is>
          <t>MMMDCCCXXV</t>
        </is>
      </c>
      <c r="C3826">
        <f>ROMAN(3825)</f>
        <v/>
      </c>
      <c r="D3826">
        <f>IF(B3826=C3826, "YES", "WRONG")</f>
        <v/>
      </c>
    </row>
    <row r="3827">
      <c r="A3827" t="n">
        <v>3826</v>
      </c>
      <c r="B3827" t="inlineStr">
        <is>
          <t>MMMDCCCXXVI</t>
        </is>
      </c>
      <c r="C3827">
        <f>ROMAN(3826)</f>
        <v/>
      </c>
      <c r="D3827">
        <f>IF(B3827=C3827, "YES", "WRONG")</f>
        <v/>
      </c>
    </row>
    <row r="3828">
      <c r="A3828" t="n">
        <v>3827</v>
      </c>
      <c r="B3828" t="inlineStr">
        <is>
          <t>MMMDCCCXXVII</t>
        </is>
      </c>
      <c r="C3828">
        <f>ROMAN(3827)</f>
        <v/>
      </c>
      <c r="D3828">
        <f>IF(B3828=C3828, "YES", "WRONG")</f>
        <v/>
      </c>
    </row>
    <row r="3829">
      <c r="A3829" t="n">
        <v>3828</v>
      </c>
      <c r="B3829" t="inlineStr">
        <is>
          <t>MMMDCCCXXVIII</t>
        </is>
      </c>
      <c r="C3829">
        <f>ROMAN(3828)</f>
        <v/>
      </c>
      <c r="D3829">
        <f>IF(B3829=C3829, "YES", "WRONG")</f>
        <v/>
      </c>
    </row>
    <row r="3830">
      <c r="A3830" t="n">
        <v>3829</v>
      </c>
      <c r="B3830" t="inlineStr">
        <is>
          <t>MMMDCCCXXIX</t>
        </is>
      </c>
      <c r="C3830">
        <f>ROMAN(3829)</f>
        <v/>
      </c>
      <c r="D3830">
        <f>IF(B3830=C3830, "YES", "WRONG")</f>
        <v/>
      </c>
    </row>
    <row r="3831">
      <c r="A3831" t="n">
        <v>3830</v>
      </c>
      <c r="B3831" t="inlineStr">
        <is>
          <t>MMMDCCCXXX</t>
        </is>
      </c>
      <c r="C3831">
        <f>ROMAN(3830)</f>
        <v/>
      </c>
      <c r="D3831">
        <f>IF(B3831=C3831, "YES", "WRONG")</f>
        <v/>
      </c>
    </row>
    <row r="3832">
      <c r="A3832" t="n">
        <v>3831</v>
      </c>
      <c r="B3832" t="inlineStr">
        <is>
          <t>MMMDCCCXXXI</t>
        </is>
      </c>
      <c r="C3832">
        <f>ROMAN(3831)</f>
        <v/>
      </c>
      <c r="D3832">
        <f>IF(B3832=C3832, "YES", "WRONG")</f>
        <v/>
      </c>
    </row>
    <row r="3833">
      <c r="A3833" t="n">
        <v>3832</v>
      </c>
      <c r="B3833" t="inlineStr">
        <is>
          <t>MMMDCCCXXXII</t>
        </is>
      </c>
      <c r="C3833">
        <f>ROMAN(3832)</f>
        <v/>
      </c>
      <c r="D3833">
        <f>IF(B3833=C3833, "YES", "WRONG")</f>
        <v/>
      </c>
    </row>
    <row r="3834">
      <c r="A3834" t="n">
        <v>3833</v>
      </c>
      <c r="B3834" t="inlineStr">
        <is>
          <t>MMMDCCCXXXIII</t>
        </is>
      </c>
      <c r="C3834">
        <f>ROMAN(3833)</f>
        <v/>
      </c>
      <c r="D3834">
        <f>IF(B3834=C3834, "YES", "WRONG")</f>
        <v/>
      </c>
    </row>
    <row r="3835">
      <c r="A3835" t="n">
        <v>3834</v>
      </c>
      <c r="B3835" t="inlineStr">
        <is>
          <t>MMMDCCCXXXIV</t>
        </is>
      </c>
      <c r="C3835">
        <f>ROMAN(3834)</f>
        <v/>
      </c>
      <c r="D3835">
        <f>IF(B3835=C3835, "YES", "WRONG")</f>
        <v/>
      </c>
    </row>
    <row r="3836">
      <c r="A3836" t="n">
        <v>3835</v>
      </c>
      <c r="B3836" t="inlineStr">
        <is>
          <t>MMMDCCCXXXV</t>
        </is>
      </c>
      <c r="C3836">
        <f>ROMAN(3835)</f>
        <v/>
      </c>
      <c r="D3836">
        <f>IF(B3836=C3836, "YES", "WRONG")</f>
        <v/>
      </c>
    </row>
    <row r="3837">
      <c r="A3837" t="n">
        <v>3836</v>
      </c>
      <c r="B3837" t="inlineStr">
        <is>
          <t>MMMDCCCXXXVI</t>
        </is>
      </c>
      <c r="C3837">
        <f>ROMAN(3836)</f>
        <v/>
      </c>
      <c r="D3837">
        <f>IF(B3837=C3837, "YES", "WRONG")</f>
        <v/>
      </c>
    </row>
    <row r="3838">
      <c r="A3838" t="n">
        <v>3837</v>
      </c>
      <c r="B3838" t="inlineStr">
        <is>
          <t>MMMDCCCXXXVII</t>
        </is>
      </c>
      <c r="C3838">
        <f>ROMAN(3837)</f>
        <v/>
      </c>
      <c r="D3838">
        <f>IF(B3838=C3838, "YES", "WRONG")</f>
        <v/>
      </c>
    </row>
    <row r="3839">
      <c r="A3839" t="n">
        <v>3838</v>
      </c>
      <c r="B3839" t="inlineStr">
        <is>
          <t>MMMDCCCXXXVIII</t>
        </is>
      </c>
      <c r="C3839">
        <f>ROMAN(3838)</f>
        <v/>
      </c>
      <c r="D3839">
        <f>IF(B3839=C3839, "YES", "WRONG")</f>
        <v/>
      </c>
    </row>
    <row r="3840">
      <c r="A3840" t="n">
        <v>3839</v>
      </c>
      <c r="B3840" t="inlineStr">
        <is>
          <t>MMMDCCCXXXIX</t>
        </is>
      </c>
      <c r="C3840">
        <f>ROMAN(3839)</f>
        <v/>
      </c>
      <c r="D3840">
        <f>IF(B3840=C3840, "YES", "WRONG")</f>
        <v/>
      </c>
    </row>
    <row r="3841">
      <c r="A3841" t="n">
        <v>3840</v>
      </c>
      <c r="B3841" t="inlineStr">
        <is>
          <t>MMMDCCCXL</t>
        </is>
      </c>
      <c r="C3841">
        <f>ROMAN(3840)</f>
        <v/>
      </c>
      <c r="D3841">
        <f>IF(B3841=C3841, "YES", "WRONG")</f>
        <v/>
      </c>
    </row>
    <row r="3842">
      <c r="A3842" t="n">
        <v>3841</v>
      </c>
      <c r="B3842" t="inlineStr">
        <is>
          <t>MMMDCCCXLI</t>
        </is>
      </c>
      <c r="C3842">
        <f>ROMAN(3841)</f>
        <v/>
      </c>
      <c r="D3842">
        <f>IF(B3842=C3842, "YES", "WRONG")</f>
        <v/>
      </c>
    </row>
    <row r="3843">
      <c r="A3843" t="n">
        <v>3842</v>
      </c>
      <c r="B3843" t="inlineStr">
        <is>
          <t>MMMDCCCXLII</t>
        </is>
      </c>
      <c r="C3843">
        <f>ROMAN(3842)</f>
        <v/>
      </c>
      <c r="D3843">
        <f>IF(B3843=C3843, "YES", "WRONG")</f>
        <v/>
      </c>
    </row>
    <row r="3844">
      <c r="A3844" t="n">
        <v>3843</v>
      </c>
      <c r="B3844" t="inlineStr">
        <is>
          <t>MMMDCCCXLIII</t>
        </is>
      </c>
      <c r="C3844">
        <f>ROMAN(3843)</f>
        <v/>
      </c>
      <c r="D3844">
        <f>IF(B3844=C3844, "YES", "WRONG")</f>
        <v/>
      </c>
    </row>
    <row r="3845">
      <c r="A3845" t="n">
        <v>3844</v>
      </c>
      <c r="B3845" t="inlineStr">
        <is>
          <t>MMMDCCCXLIV</t>
        </is>
      </c>
      <c r="C3845">
        <f>ROMAN(3844)</f>
        <v/>
      </c>
      <c r="D3845">
        <f>IF(B3845=C3845, "YES", "WRONG")</f>
        <v/>
      </c>
    </row>
    <row r="3846">
      <c r="A3846" t="n">
        <v>3845</v>
      </c>
      <c r="B3846" t="inlineStr">
        <is>
          <t>MMMDCCCXLV</t>
        </is>
      </c>
      <c r="C3846">
        <f>ROMAN(3845)</f>
        <v/>
      </c>
      <c r="D3846">
        <f>IF(B3846=C3846, "YES", "WRONG")</f>
        <v/>
      </c>
    </row>
    <row r="3847">
      <c r="A3847" t="n">
        <v>3846</v>
      </c>
      <c r="B3847" t="inlineStr">
        <is>
          <t>MMMDCCCXLVI</t>
        </is>
      </c>
      <c r="C3847">
        <f>ROMAN(3846)</f>
        <v/>
      </c>
      <c r="D3847">
        <f>IF(B3847=C3847, "YES", "WRONG")</f>
        <v/>
      </c>
    </row>
    <row r="3848">
      <c r="A3848" t="n">
        <v>3847</v>
      </c>
      <c r="B3848" t="inlineStr">
        <is>
          <t>MMMDCCCXLVII</t>
        </is>
      </c>
      <c r="C3848">
        <f>ROMAN(3847)</f>
        <v/>
      </c>
      <c r="D3848">
        <f>IF(B3848=C3848, "YES", "WRONG")</f>
        <v/>
      </c>
    </row>
    <row r="3849">
      <c r="A3849" t="n">
        <v>3848</v>
      </c>
      <c r="B3849" t="inlineStr">
        <is>
          <t>MMMDCCCXLVIII</t>
        </is>
      </c>
      <c r="C3849">
        <f>ROMAN(3848)</f>
        <v/>
      </c>
      <c r="D3849">
        <f>IF(B3849=C3849, "YES", "WRONG")</f>
        <v/>
      </c>
    </row>
    <row r="3850">
      <c r="A3850" t="n">
        <v>3849</v>
      </c>
      <c r="B3850" t="inlineStr">
        <is>
          <t>MMMDCCCXLIX</t>
        </is>
      </c>
      <c r="C3850">
        <f>ROMAN(3849)</f>
        <v/>
      </c>
      <c r="D3850">
        <f>IF(B3850=C3850, "YES", "WRONG")</f>
        <v/>
      </c>
    </row>
    <row r="3851">
      <c r="A3851" t="n">
        <v>3850</v>
      </c>
      <c r="B3851" t="inlineStr">
        <is>
          <t>MMMDCCCL</t>
        </is>
      </c>
      <c r="C3851">
        <f>ROMAN(3850)</f>
        <v/>
      </c>
      <c r="D3851">
        <f>IF(B3851=C3851, "YES", "WRONG")</f>
        <v/>
      </c>
    </row>
    <row r="3852">
      <c r="A3852" t="n">
        <v>3851</v>
      </c>
      <c r="B3852" t="inlineStr">
        <is>
          <t>MMMDCCCLI</t>
        </is>
      </c>
      <c r="C3852">
        <f>ROMAN(3851)</f>
        <v/>
      </c>
      <c r="D3852">
        <f>IF(B3852=C3852, "YES", "WRONG")</f>
        <v/>
      </c>
    </row>
    <row r="3853">
      <c r="A3853" t="n">
        <v>3852</v>
      </c>
      <c r="B3853" t="inlineStr">
        <is>
          <t>MMMDCCCLII</t>
        </is>
      </c>
      <c r="C3853">
        <f>ROMAN(3852)</f>
        <v/>
      </c>
      <c r="D3853">
        <f>IF(B3853=C3853, "YES", "WRONG")</f>
        <v/>
      </c>
    </row>
    <row r="3854">
      <c r="A3854" t="n">
        <v>3853</v>
      </c>
      <c r="B3854" t="inlineStr">
        <is>
          <t>MMMDCCCLIII</t>
        </is>
      </c>
      <c r="C3854">
        <f>ROMAN(3853)</f>
        <v/>
      </c>
      <c r="D3854">
        <f>IF(B3854=C3854, "YES", "WRONG")</f>
        <v/>
      </c>
    </row>
    <row r="3855">
      <c r="A3855" t="n">
        <v>3854</v>
      </c>
      <c r="B3855" t="inlineStr">
        <is>
          <t>MMMDCCCLIV</t>
        </is>
      </c>
      <c r="C3855">
        <f>ROMAN(3854)</f>
        <v/>
      </c>
      <c r="D3855">
        <f>IF(B3855=C3855, "YES", "WRONG")</f>
        <v/>
      </c>
    </row>
    <row r="3856">
      <c r="A3856" t="n">
        <v>3855</v>
      </c>
      <c r="B3856" t="inlineStr">
        <is>
          <t>MMMDCCCLV</t>
        </is>
      </c>
      <c r="C3856">
        <f>ROMAN(3855)</f>
        <v/>
      </c>
      <c r="D3856">
        <f>IF(B3856=C3856, "YES", "WRONG")</f>
        <v/>
      </c>
    </row>
    <row r="3857">
      <c r="A3857" t="n">
        <v>3856</v>
      </c>
      <c r="B3857" t="inlineStr">
        <is>
          <t>MMMDCCCLVI</t>
        </is>
      </c>
      <c r="C3857">
        <f>ROMAN(3856)</f>
        <v/>
      </c>
      <c r="D3857">
        <f>IF(B3857=C3857, "YES", "WRONG")</f>
        <v/>
      </c>
    </row>
    <row r="3858">
      <c r="A3858" t="n">
        <v>3857</v>
      </c>
      <c r="B3858" t="inlineStr">
        <is>
          <t>MMMDCCCLVII</t>
        </is>
      </c>
      <c r="C3858">
        <f>ROMAN(3857)</f>
        <v/>
      </c>
      <c r="D3858">
        <f>IF(B3858=C3858, "YES", "WRONG")</f>
        <v/>
      </c>
    </row>
    <row r="3859">
      <c r="A3859" t="n">
        <v>3858</v>
      </c>
      <c r="B3859" t="inlineStr">
        <is>
          <t>MMMDCCCLVIII</t>
        </is>
      </c>
      <c r="C3859">
        <f>ROMAN(3858)</f>
        <v/>
      </c>
      <c r="D3859">
        <f>IF(B3859=C3859, "YES", "WRONG")</f>
        <v/>
      </c>
    </row>
    <row r="3860">
      <c r="A3860" t="n">
        <v>3859</v>
      </c>
      <c r="B3860" t="inlineStr">
        <is>
          <t>MMMDCCCLIX</t>
        </is>
      </c>
      <c r="C3860">
        <f>ROMAN(3859)</f>
        <v/>
      </c>
      <c r="D3860">
        <f>IF(B3860=C3860, "YES", "WRONG")</f>
        <v/>
      </c>
    </row>
    <row r="3861">
      <c r="A3861" t="n">
        <v>3860</v>
      </c>
      <c r="B3861" t="inlineStr">
        <is>
          <t>MMMDCCCLX</t>
        </is>
      </c>
      <c r="C3861">
        <f>ROMAN(3860)</f>
        <v/>
      </c>
      <c r="D3861">
        <f>IF(B3861=C3861, "YES", "WRONG")</f>
        <v/>
      </c>
    </row>
    <row r="3862">
      <c r="A3862" t="n">
        <v>3861</v>
      </c>
      <c r="B3862" t="inlineStr">
        <is>
          <t>MMMDCCCLXI</t>
        </is>
      </c>
      <c r="C3862">
        <f>ROMAN(3861)</f>
        <v/>
      </c>
      <c r="D3862">
        <f>IF(B3862=C3862, "YES", "WRONG")</f>
        <v/>
      </c>
    </row>
    <row r="3863">
      <c r="A3863" t="n">
        <v>3862</v>
      </c>
      <c r="B3863" t="inlineStr">
        <is>
          <t>MMMDCCCLXII</t>
        </is>
      </c>
      <c r="C3863">
        <f>ROMAN(3862)</f>
        <v/>
      </c>
      <c r="D3863">
        <f>IF(B3863=C3863, "YES", "WRONG")</f>
        <v/>
      </c>
    </row>
    <row r="3864">
      <c r="A3864" t="n">
        <v>3863</v>
      </c>
      <c r="B3864" t="inlineStr">
        <is>
          <t>MMMDCCCLXIII</t>
        </is>
      </c>
      <c r="C3864">
        <f>ROMAN(3863)</f>
        <v/>
      </c>
      <c r="D3864">
        <f>IF(B3864=C3864, "YES", "WRONG")</f>
        <v/>
      </c>
    </row>
    <row r="3865">
      <c r="A3865" t="n">
        <v>3864</v>
      </c>
      <c r="B3865" t="inlineStr">
        <is>
          <t>MMMDCCCLXIV</t>
        </is>
      </c>
      <c r="C3865">
        <f>ROMAN(3864)</f>
        <v/>
      </c>
      <c r="D3865">
        <f>IF(B3865=C3865, "YES", "WRONG")</f>
        <v/>
      </c>
    </row>
    <row r="3866">
      <c r="A3866" t="n">
        <v>3865</v>
      </c>
      <c r="B3866" t="inlineStr">
        <is>
          <t>MMMDCCCLXV</t>
        </is>
      </c>
      <c r="C3866">
        <f>ROMAN(3865)</f>
        <v/>
      </c>
      <c r="D3866">
        <f>IF(B3866=C3866, "YES", "WRONG")</f>
        <v/>
      </c>
    </row>
    <row r="3867">
      <c r="A3867" t="n">
        <v>3866</v>
      </c>
      <c r="B3867" t="inlineStr">
        <is>
          <t>MMMDCCCLXVI</t>
        </is>
      </c>
      <c r="C3867">
        <f>ROMAN(3866)</f>
        <v/>
      </c>
      <c r="D3867">
        <f>IF(B3867=C3867, "YES", "WRONG")</f>
        <v/>
      </c>
    </row>
    <row r="3868">
      <c r="A3868" t="n">
        <v>3867</v>
      </c>
      <c r="B3868" t="inlineStr">
        <is>
          <t>MMMDCCCLXVII</t>
        </is>
      </c>
      <c r="C3868">
        <f>ROMAN(3867)</f>
        <v/>
      </c>
      <c r="D3868">
        <f>IF(B3868=C3868, "YES", "WRONG")</f>
        <v/>
      </c>
    </row>
    <row r="3869">
      <c r="A3869" t="n">
        <v>3868</v>
      </c>
      <c r="B3869" t="inlineStr">
        <is>
          <t>MMMDCCCLXVIII</t>
        </is>
      </c>
      <c r="C3869">
        <f>ROMAN(3868)</f>
        <v/>
      </c>
      <c r="D3869">
        <f>IF(B3869=C3869, "YES", "WRONG")</f>
        <v/>
      </c>
    </row>
    <row r="3870">
      <c r="A3870" t="n">
        <v>3869</v>
      </c>
      <c r="B3870" t="inlineStr">
        <is>
          <t>MMMDCCCLXIX</t>
        </is>
      </c>
      <c r="C3870">
        <f>ROMAN(3869)</f>
        <v/>
      </c>
      <c r="D3870">
        <f>IF(B3870=C3870, "YES", "WRONG")</f>
        <v/>
      </c>
    </row>
    <row r="3871">
      <c r="A3871" t="n">
        <v>3870</v>
      </c>
      <c r="B3871" t="inlineStr">
        <is>
          <t>MMMDCCCLXX</t>
        </is>
      </c>
      <c r="C3871">
        <f>ROMAN(3870)</f>
        <v/>
      </c>
      <c r="D3871">
        <f>IF(B3871=C3871, "YES", "WRONG")</f>
        <v/>
      </c>
    </row>
    <row r="3872">
      <c r="A3872" t="n">
        <v>3871</v>
      </c>
      <c r="B3872" t="inlineStr">
        <is>
          <t>MMMDCCCLXXI</t>
        </is>
      </c>
      <c r="C3872">
        <f>ROMAN(3871)</f>
        <v/>
      </c>
      <c r="D3872">
        <f>IF(B3872=C3872, "YES", "WRONG")</f>
        <v/>
      </c>
    </row>
    <row r="3873">
      <c r="A3873" t="n">
        <v>3872</v>
      </c>
      <c r="B3873" t="inlineStr">
        <is>
          <t>MMMDCCCLXXII</t>
        </is>
      </c>
      <c r="C3873">
        <f>ROMAN(3872)</f>
        <v/>
      </c>
      <c r="D3873">
        <f>IF(B3873=C3873, "YES", "WRONG")</f>
        <v/>
      </c>
    </row>
    <row r="3874">
      <c r="A3874" t="n">
        <v>3873</v>
      </c>
      <c r="B3874" t="inlineStr">
        <is>
          <t>MMMDCCCLXXIII</t>
        </is>
      </c>
      <c r="C3874">
        <f>ROMAN(3873)</f>
        <v/>
      </c>
      <c r="D3874">
        <f>IF(B3874=C3874, "YES", "WRONG")</f>
        <v/>
      </c>
    </row>
    <row r="3875">
      <c r="A3875" t="n">
        <v>3874</v>
      </c>
      <c r="B3875" t="inlineStr">
        <is>
          <t>MMMDCCCLXXIV</t>
        </is>
      </c>
      <c r="C3875">
        <f>ROMAN(3874)</f>
        <v/>
      </c>
      <c r="D3875">
        <f>IF(B3875=C3875, "YES", "WRONG")</f>
        <v/>
      </c>
    </row>
    <row r="3876">
      <c r="A3876" t="n">
        <v>3875</v>
      </c>
      <c r="B3876" t="inlineStr">
        <is>
          <t>MMMDCCCLXXV</t>
        </is>
      </c>
      <c r="C3876">
        <f>ROMAN(3875)</f>
        <v/>
      </c>
      <c r="D3876">
        <f>IF(B3876=C3876, "YES", "WRONG")</f>
        <v/>
      </c>
    </row>
    <row r="3877">
      <c r="A3877" t="n">
        <v>3876</v>
      </c>
      <c r="B3877" t="inlineStr">
        <is>
          <t>MMMDCCCLXXVI</t>
        </is>
      </c>
      <c r="C3877">
        <f>ROMAN(3876)</f>
        <v/>
      </c>
      <c r="D3877">
        <f>IF(B3877=C3877, "YES", "WRONG")</f>
        <v/>
      </c>
    </row>
    <row r="3878">
      <c r="A3878" t="n">
        <v>3877</v>
      </c>
      <c r="B3878" t="inlineStr">
        <is>
          <t>MMMDCCCLXXVII</t>
        </is>
      </c>
      <c r="C3878">
        <f>ROMAN(3877)</f>
        <v/>
      </c>
      <c r="D3878">
        <f>IF(B3878=C3878, "YES", "WRONG")</f>
        <v/>
      </c>
    </row>
    <row r="3879">
      <c r="A3879" t="n">
        <v>3878</v>
      </c>
      <c r="B3879" t="inlineStr">
        <is>
          <t>MMMDCCCLXXVIII</t>
        </is>
      </c>
      <c r="C3879">
        <f>ROMAN(3878)</f>
        <v/>
      </c>
      <c r="D3879">
        <f>IF(B3879=C3879, "YES", "WRONG")</f>
        <v/>
      </c>
    </row>
    <row r="3880">
      <c r="A3880" t="n">
        <v>3879</v>
      </c>
      <c r="B3880" t="inlineStr">
        <is>
          <t>MMMDCCCLXXIX</t>
        </is>
      </c>
      <c r="C3880">
        <f>ROMAN(3879)</f>
        <v/>
      </c>
      <c r="D3880">
        <f>IF(B3880=C3880, "YES", "WRONG")</f>
        <v/>
      </c>
    </row>
    <row r="3881">
      <c r="A3881" t="n">
        <v>3880</v>
      </c>
      <c r="B3881" t="inlineStr">
        <is>
          <t>MMMDCCCLXXX</t>
        </is>
      </c>
      <c r="C3881">
        <f>ROMAN(3880)</f>
        <v/>
      </c>
      <c r="D3881">
        <f>IF(B3881=C3881, "YES", "WRONG")</f>
        <v/>
      </c>
    </row>
    <row r="3882">
      <c r="A3882" t="n">
        <v>3881</v>
      </c>
      <c r="B3882" t="inlineStr">
        <is>
          <t>MMMDCCCLXXXI</t>
        </is>
      </c>
      <c r="C3882">
        <f>ROMAN(3881)</f>
        <v/>
      </c>
      <c r="D3882">
        <f>IF(B3882=C3882, "YES", "WRONG")</f>
        <v/>
      </c>
    </row>
    <row r="3883">
      <c r="A3883" t="n">
        <v>3882</v>
      </c>
      <c r="B3883" t="inlineStr">
        <is>
          <t>MMMDCCCLXXXII</t>
        </is>
      </c>
      <c r="C3883">
        <f>ROMAN(3882)</f>
        <v/>
      </c>
      <c r="D3883">
        <f>IF(B3883=C3883, "YES", "WRONG")</f>
        <v/>
      </c>
    </row>
    <row r="3884">
      <c r="A3884" t="n">
        <v>3883</v>
      </c>
      <c r="B3884" t="inlineStr">
        <is>
          <t>MMMDCCCLXXXIII</t>
        </is>
      </c>
      <c r="C3884">
        <f>ROMAN(3883)</f>
        <v/>
      </c>
      <c r="D3884">
        <f>IF(B3884=C3884, "YES", "WRONG")</f>
        <v/>
      </c>
    </row>
    <row r="3885">
      <c r="A3885" t="n">
        <v>3884</v>
      </c>
      <c r="B3885" t="inlineStr">
        <is>
          <t>MMMDCCCLXXXIV</t>
        </is>
      </c>
      <c r="C3885">
        <f>ROMAN(3884)</f>
        <v/>
      </c>
      <c r="D3885">
        <f>IF(B3885=C3885, "YES", "WRONG")</f>
        <v/>
      </c>
    </row>
    <row r="3886">
      <c r="A3886" t="n">
        <v>3885</v>
      </c>
      <c r="B3886" t="inlineStr">
        <is>
          <t>MMMDCCCLXXXV</t>
        </is>
      </c>
      <c r="C3886">
        <f>ROMAN(3885)</f>
        <v/>
      </c>
      <c r="D3886">
        <f>IF(B3886=C3886, "YES", "WRONG")</f>
        <v/>
      </c>
    </row>
    <row r="3887">
      <c r="A3887" t="n">
        <v>3886</v>
      </c>
      <c r="B3887" t="inlineStr">
        <is>
          <t>MMMDCCCLXXXVI</t>
        </is>
      </c>
      <c r="C3887">
        <f>ROMAN(3886)</f>
        <v/>
      </c>
      <c r="D3887">
        <f>IF(B3887=C3887, "YES", "WRONG")</f>
        <v/>
      </c>
    </row>
    <row r="3888">
      <c r="A3888" t="n">
        <v>3887</v>
      </c>
      <c r="B3888" t="inlineStr">
        <is>
          <t>MMMDCCCLXXXVII</t>
        </is>
      </c>
      <c r="C3888">
        <f>ROMAN(3887)</f>
        <v/>
      </c>
      <c r="D3888">
        <f>IF(B3888=C3888, "YES", "WRONG")</f>
        <v/>
      </c>
    </row>
    <row r="3889">
      <c r="A3889" t="n">
        <v>3888</v>
      </c>
      <c r="B3889" t="inlineStr">
        <is>
          <t>MMMDCCCLXXXVIII</t>
        </is>
      </c>
      <c r="C3889">
        <f>ROMAN(3888)</f>
        <v/>
      </c>
      <c r="D3889">
        <f>IF(B3889=C3889, "YES", "WRONG")</f>
        <v/>
      </c>
    </row>
    <row r="3890">
      <c r="A3890" t="n">
        <v>3889</v>
      </c>
      <c r="B3890" t="inlineStr">
        <is>
          <t>MMMDCCCLXXXIX</t>
        </is>
      </c>
      <c r="C3890">
        <f>ROMAN(3889)</f>
        <v/>
      </c>
      <c r="D3890">
        <f>IF(B3890=C3890, "YES", "WRONG")</f>
        <v/>
      </c>
    </row>
    <row r="3891">
      <c r="A3891" t="n">
        <v>3890</v>
      </c>
      <c r="B3891" t="inlineStr">
        <is>
          <t>MMMDCCCXC</t>
        </is>
      </c>
      <c r="C3891">
        <f>ROMAN(3890)</f>
        <v/>
      </c>
      <c r="D3891">
        <f>IF(B3891=C3891, "YES", "WRONG")</f>
        <v/>
      </c>
    </row>
    <row r="3892">
      <c r="A3892" t="n">
        <v>3891</v>
      </c>
      <c r="B3892" t="inlineStr">
        <is>
          <t>MMMDCCCXCI</t>
        </is>
      </c>
      <c r="C3892">
        <f>ROMAN(3891)</f>
        <v/>
      </c>
      <c r="D3892">
        <f>IF(B3892=C3892, "YES", "WRONG")</f>
        <v/>
      </c>
    </row>
    <row r="3893">
      <c r="A3893" t="n">
        <v>3892</v>
      </c>
      <c r="B3893" t="inlineStr">
        <is>
          <t>MMMDCCCXCII</t>
        </is>
      </c>
      <c r="C3893">
        <f>ROMAN(3892)</f>
        <v/>
      </c>
      <c r="D3893">
        <f>IF(B3893=C3893, "YES", "WRONG")</f>
        <v/>
      </c>
    </row>
    <row r="3894">
      <c r="A3894" t="n">
        <v>3893</v>
      </c>
      <c r="B3894" t="inlineStr">
        <is>
          <t>MMMDCCCXCIII</t>
        </is>
      </c>
      <c r="C3894">
        <f>ROMAN(3893)</f>
        <v/>
      </c>
      <c r="D3894">
        <f>IF(B3894=C3894, "YES", "WRONG")</f>
        <v/>
      </c>
    </row>
    <row r="3895">
      <c r="A3895" t="n">
        <v>3894</v>
      </c>
      <c r="B3895" t="inlineStr">
        <is>
          <t>MMMDCCCXCIV</t>
        </is>
      </c>
      <c r="C3895">
        <f>ROMAN(3894)</f>
        <v/>
      </c>
      <c r="D3895">
        <f>IF(B3895=C3895, "YES", "WRONG")</f>
        <v/>
      </c>
    </row>
    <row r="3896">
      <c r="A3896" t="n">
        <v>3895</v>
      </c>
      <c r="B3896" t="inlineStr">
        <is>
          <t>MMMDCCCXCV</t>
        </is>
      </c>
      <c r="C3896">
        <f>ROMAN(3895)</f>
        <v/>
      </c>
      <c r="D3896">
        <f>IF(B3896=C3896, "YES", "WRONG")</f>
        <v/>
      </c>
    </row>
    <row r="3897">
      <c r="A3897" t="n">
        <v>3896</v>
      </c>
      <c r="B3897" t="inlineStr">
        <is>
          <t>MMMDCCCXCVI</t>
        </is>
      </c>
      <c r="C3897">
        <f>ROMAN(3896)</f>
        <v/>
      </c>
      <c r="D3897">
        <f>IF(B3897=C3897, "YES", "WRONG")</f>
        <v/>
      </c>
    </row>
    <row r="3898">
      <c r="A3898" t="n">
        <v>3897</v>
      </c>
      <c r="B3898" t="inlineStr">
        <is>
          <t>MMMDCCCXCVII</t>
        </is>
      </c>
      <c r="C3898">
        <f>ROMAN(3897)</f>
        <v/>
      </c>
      <c r="D3898">
        <f>IF(B3898=C3898, "YES", "WRONG")</f>
        <v/>
      </c>
    </row>
    <row r="3899">
      <c r="A3899" t="n">
        <v>3898</v>
      </c>
      <c r="B3899" t="inlineStr">
        <is>
          <t>MMMDCCCXCVIII</t>
        </is>
      </c>
      <c r="C3899">
        <f>ROMAN(3898)</f>
        <v/>
      </c>
      <c r="D3899">
        <f>IF(B3899=C3899, "YES", "WRONG")</f>
        <v/>
      </c>
    </row>
    <row r="3900">
      <c r="A3900" t="n">
        <v>3899</v>
      </c>
      <c r="B3900" t="inlineStr">
        <is>
          <t>MMMDCCCXCIX</t>
        </is>
      </c>
      <c r="C3900">
        <f>ROMAN(3899)</f>
        <v/>
      </c>
      <c r="D3900">
        <f>IF(B3900=C3900, "YES", "WRONG")</f>
        <v/>
      </c>
    </row>
    <row r="3901">
      <c r="A3901" t="n">
        <v>3900</v>
      </c>
      <c r="B3901" t="inlineStr">
        <is>
          <t>MMMCM</t>
        </is>
      </c>
      <c r="C3901">
        <f>ROMAN(3900)</f>
        <v/>
      </c>
      <c r="D3901">
        <f>IF(B3901=C3901, "YES", "WRONG")</f>
        <v/>
      </c>
    </row>
    <row r="3902">
      <c r="A3902" t="n">
        <v>3901</v>
      </c>
      <c r="B3902" t="inlineStr">
        <is>
          <t>MMMCMI</t>
        </is>
      </c>
      <c r="C3902">
        <f>ROMAN(3901)</f>
        <v/>
      </c>
      <c r="D3902">
        <f>IF(B3902=C3902, "YES", "WRONG")</f>
        <v/>
      </c>
    </row>
    <row r="3903">
      <c r="A3903" t="n">
        <v>3902</v>
      </c>
      <c r="B3903" t="inlineStr">
        <is>
          <t>MMMCMII</t>
        </is>
      </c>
      <c r="C3903">
        <f>ROMAN(3902)</f>
        <v/>
      </c>
      <c r="D3903">
        <f>IF(B3903=C3903, "YES", "WRONG")</f>
        <v/>
      </c>
    </row>
    <row r="3904">
      <c r="A3904" t="n">
        <v>3903</v>
      </c>
      <c r="B3904" t="inlineStr">
        <is>
          <t>MMMCMIII</t>
        </is>
      </c>
      <c r="C3904">
        <f>ROMAN(3903)</f>
        <v/>
      </c>
      <c r="D3904">
        <f>IF(B3904=C3904, "YES", "WRONG")</f>
        <v/>
      </c>
    </row>
    <row r="3905">
      <c r="A3905" t="n">
        <v>3904</v>
      </c>
      <c r="B3905" t="inlineStr">
        <is>
          <t>MMMCMIV</t>
        </is>
      </c>
      <c r="C3905">
        <f>ROMAN(3904)</f>
        <v/>
      </c>
      <c r="D3905">
        <f>IF(B3905=C3905, "YES", "WRONG")</f>
        <v/>
      </c>
    </row>
    <row r="3906">
      <c r="A3906" t="n">
        <v>3905</v>
      </c>
      <c r="B3906" t="inlineStr">
        <is>
          <t>MMMCMV</t>
        </is>
      </c>
      <c r="C3906">
        <f>ROMAN(3905)</f>
        <v/>
      </c>
      <c r="D3906">
        <f>IF(B3906=C3906, "YES", "WRONG")</f>
        <v/>
      </c>
    </row>
    <row r="3907">
      <c r="A3907" t="n">
        <v>3906</v>
      </c>
      <c r="B3907" t="inlineStr">
        <is>
          <t>MMMCMVI</t>
        </is>
      </c>
      <c r="C3907">
        <f>ROMAN(3906)</f>
        <v/>
      </c>
      <c r="D3907">
        <f>IF(B3907=C3907, "YES", "WRONG")</f>
        <v/>
      </c>
    </row>
    <row r="3908">
      <c r="A3908" t="n">
        <v>3907</v>
      </c>
      <c r="B3908" t="inlineStr">
        <is>
          <t>MMMCMVII</t>
        </is>
      </c>
      <c r="C3908">
        <f>ROMAN(3907)</f>
        <v/>
      </c>
      <c r="D3908">
        <f>IF(B3908=C3908, "YES", "WRONG")</f>
        <v/>
      </c>
    </row>
    <row r="3909">
      <c r="A3909" t="n">
        <v>3908</v>
      </c>
      <c r="B3909" t="inlineStr">
        <is>
          <t>MMMCMVIII</t>
        </is>
      </c>
      <c r="C3909">
        <f>ROMAN(3908)</f>
        <v/>
      </c>
      <c r="D3909">
        <f>IF(B3909=C3909, "YES", "WRONG")</f>
        <v/>
      </c>
    </row>
    <row r="3910">
      <c r="A3910" t="n">
        <v>3909</v>
      </c>
      <c r="B3910" t="inlineStr">
        <is>
          <t>MMMCMIX</t>
        </is>
      </c>
      <c r="C3910">
        <f>ROMAN(3909)</f>
        <v/>
      </c>
      <c r="D3910">
        <f>IF(B3910=C3910, "YES", "WRONG")</f>
        <v/>
      </c>
    </row>
    <row r="3911">
      <c r="A3911" t="n">
        <v>3910</v>
      </c>
      <c r="B3911" t="inlineStr">
        <is>
          <t>MMMCMX</t>
        </is>
      </c>
      <c r="C3911">
        <f>ROMAN(3910)</f>
        <v/>
      </c>
      <c r="D3911">
        <f>IF(B3911=C3911, "YES", "WRONG")</f>
        <v/>
      </c>
    </row>
    <row r="3912">
      <c r="A3912" t="n">
        <v>3911</v>
      </c>
      <c r="B3912" t="inlineStr">
        <is>
          <t>MMMCMXI</t>
        </is>
      </c>
      <c r="C3912">
        <f>ROMAN(3911)</f>
        <v/>
      </c>
      <c r="D3912">
        <f>IF(B3912=C3912, "YES", "WRONG")</f>
        <v/>
      </c>
    </row>
    <row r="3913">
      <c r="A3913" t="n">
        <v>3912</v>
      </c>
      <c r="B3913" t="inlineStr">
        <is>
          <t>MMMCMXII</t>
        </is>
      </c>
      <c r="C3913">
        <f>ROMAN(3912)</f>
        <v/>
      </c>
      <c r="D3913">
        <f>IF(B3913=C3913, "YES", "WRONG")</f>
        <v/>
      </c>
    </row>
    <row r="3914">
      <c r="A3914" t="n">
        <v>3913</v>
      </c>
      <c r="B3914" t="inlineStr">
        <is>
          <t>MMMCMXIII</t>
        </is>
      </c>
      <c r="C3914">
        <f>ROMAN(3913)</f>
        <v/>
      </c>
      <c r="D3914">
        <f>IF(B3914=C3914, "YES", "WRONG")</f>
        <v/>
      </c>
    </row>
    <row r="3915">
      <c r="A3915" t="n">
        <v>3914</v>
      </c>
      <c r="B3915" t="inlineStr">
        <is>
          <t>MMMCMXIV</t>
        </is>
      </c>
      <c r="C3915">
        <f>ROMAN(3914)</f>
        <v/>
      </c>
      <c r="D3915">
        <f>IF(B3915=C3915, "YES", "WRONG")</f>
        <v/>
      </c>
    </row>
    <row r="3916">
      <c r="A3916" t="n">
        <v>3915</v>
      </c>
      <c r="B3916" t="inlineStr">
        <is>
          <t>MMMCMXV</t>
        </is>
      </c>
      <c r="C3916">
        <f>ROMAN(3915)</f>
        <v/>
      </c>
      <c r="D3916">
        <f>IF(B3916=C3916, "YES", "WRONG")</f>
        <v/>
      </c>
    </row>
    <row r="3917">
      <c r="A3917" t="n">
        <v>3916</v>
      </c>
      <c r="B3917" t="inlineStr">
        <is>
          <t>MMMCMXVI</t>
        </is>
      </c>
      <c r="C3917">
        <f>ROMAN(3916)</f>
        <v/>
      </c>
      <c r="D3917">
        <f>IF(B3917=C3917, "YES", "WRONG")</f>
        <v/>
      </c>
    </row>
    <row r="3918">
      <c r="A3918" t="n">
        <v>3917</v>
      </c>
      <c r="B3918" t="inlineStr">
        <is>
          <t>MMMCMXVII</t>
        </is>
      </c>
      <c r="C3918">
        <f>ROMAN(3917)</f>
        <v/>
      </c>
      <c r="D3918">
        <f>IF(B3918=C3918, "YES", "WRONG")</f>
        <v/>
      </c>
    </row>
    <row r="3919">
      <c r="A3919" t="n">
        <v>3918</v>
      </c>
      <c r="B3919" t="inlineStr">
        <is>
          <t>MMMCMXVIII</t>
        </is>
      </c>
      <c r="C3919">
        <f>ROMAN(3918)</f>
        <v/>
      </c>
      <c r="D3919">
        <f>IF(B3919=C3919, "YES", "WRONG")</f>
        <v/>
      </c>
    </row>
    <row r="3920">
      <c r="A3920" t="n">
        <v>3919</v>
      </c>
      <c r="B3920" t="inlineStr">
        <is>
          <t>MMMCMXIX</t>
        </is>
      </c>
      <c r="C3920">
        <f>ROMAN(3919)</f>
        <v/>
      </c>
      <c r="D3920">
        <f>IF(B3920=C3920, "YES", "WRONG")</f>
        <v/>
      </c>
    </row>
    <row r="3921">
      <c r="A3921" t="n">
        <v>3920</v>
      </c>
      <c r="B3921" t="inlineStr">
        <is>
          <t>MMMCMXX</t>
        </is>
      </c>
      <c r="C3921">
        <f>ROMAN(3920)</f>
        <v/>
      </c>
      <c r="D3921">
        <f>IF(B3921=C3921, "YES", "WRONG")</f>
        <v/>
      </c>
    </row>
    <row r="3922">
      <c r="A3922" t="n">
        <v>3921</v>
      </c>
      <c r="B3922" t="inlineStr">
        <is>
          <t>MMMCMXXI</t>
        </is>
      </c>
      <c r="C3922">
        <f>ROMAN(3921)</f>
        <v/>
      </c>
      <c r="D3922">
        <f>IF(B3922=C3922, "YES", "WRONG")</f>
        <v/>
      </c>
    </row>
    <row r="3923">
      <c r="A3923" t="n">
        <v>3922</v>
      </c>
      <c r="B3923" t="inlineStr">
        <is>
          <t>MMMCMXXII</t>
        </is>
      </c>
      <c r="C3923">
        <f>ROMAN(3922)</f>
        <v/>
      </c>
      <c r="D3923">
        <f>IF(B3923=C3923, "YES", "WRONG")</f>
        <v/>
      </c>
    </row>
    <row r="3924">
      <c r="A3924" t="n">
        <v>3923</v>
      </c>
      <c r="B3924" t="inlineStr">
        <is>
          <t>MMMCMXXIII</t>
        </is>
      </c>
      <c r="C3924">
        <f>ROMAN(3923)</f>
        <v/>
      </c>
      <c r="D3924">
        <f>IF(B3924=C3924, "YES", "WRONG")</f>
        <v/>
      </c>
    </row>
    <row r="3925">
      <c r="A3925" t="n">
        <v>3924</v>
      </c>
      <c r="B3925" t="inlineStr">
        <is>
          <t>MMMCMXXIV</t>
        </is>
      </c>
      <c r="C3925">
        <f>ROMAN(3924)</f>
        <v/>
      </c>
      <c r="D3925">
        <f>IF(B3925=C3925, "YES", "WRONG")</f>
        <v/>
      </c>
    </row>
    <row r="3926">
      <c r="A3926" t="n">
        <v>3925</v>
      </c>
      <c r="B3926" t="inlineStr">
        <is>
          <t>MMMCMXXV</t>
        </is>
      </c>
      <c r="C3926">
        <f>ROMAN(3925)</f>
        <v/>
      </c>
      <c r="D3926">
        <f>IF(B3926=C3926, "YES", "WRONG")</f>
        <v/>
      </c>
    </row>
    <row r="3927">
      <c r="A3927" t="n">
        <v>3926</v>
      </c>
      <c r="B3927" t="inlineStr">
        <is>
          <t>MMMCMXXVI</t>
        </is>
      </c>
      <c r="C3927">
        <f>ROMAN(3926)</f>
        <v/>
      </c>
      <c r="D3927">
        <f>IF(B3927=C3927, "YES", "WRONG")</f>
        <v/>
      </c>
    </row>
    <row r="3928">
      <c r="A3928" t="n">
        <v>3927</v>
      </c>
      <c r="B3928" t="inlineStr">
        <is>
          <t>MMMCMXXVII</t>
        </is>
      </c>
      <c r="C3928">
        <f>ROMAN(3927)</f>
        <v/>
      </c>
      <c r="D3928">
        <f>IF(B3928=C3928, "YES", "WRONG")</f>
        <v/>
      </c>
    </row>
    <row r="3929">
      <c r="A3929" t="n">
        <v>3928</v>
      </c>
      <c r="B3929" t="inlineStr">
        <is>
          <t>MMMCMXXVIII</t>
        </is>
      </c>
      <c r="C3929">
        <f>ROMAN(3928)</f>
        <v/>
      </c>
      <c r="D3929">
        <f>IF(B3929=C3929, "YES", "WRONG")</f>
        <v/>
      </c>
    </row>
    <row r="3930">
      <c r="A3930" t="n">
        <v>3929</v>
      </c>
      <c r="B3930" t="inlineStr">
        <is>
          <t>MMMCMXXIX</t>
        </is>
      </c>
      <c r="C3930">
        <f>ROMAN(3929)</f>
        <v/>
      </c>
      <c r="D3930">
        <f>IF(B3930=C3930, "YES", "WRONG")</f>
        <v/>
      </c>
    </row>
    <row r="3931">
      <c r="A3931" t="n">
        <v>3930</v>
      </c>
      <c r="B3931" t="inlineStr">
        <is>
          <t>MMMCMXXX</t>
        </is>
      </c>
      <c r="C3931">
        <f>ROMAN(3930)</f>
        <v/>
      </c>
      <c r="D3931">
        <f>IF(B3931=C3931, "YES", "WRONG")</f>
        <v/>
      </c>
    </row>
    <row r="3932">
      <c r="A3932" t="n">
        <v>3931</v>
      </c>
      <c r="B3932" t="inlineStr">
        <is>
          <t>MMMCMXXXI</t>
        </is>
      </c>
      <c r="C3932">
        <f>ROMAN(3931)</f>
        <v/>
      </c>
      <c r="D3932">
        <f>IF(B3932=C3932, "YES", "WRONG")</f>
        <v/>
      </c>
    </row>
    <row r="3933">
      <c r="A3933" t="n">
        <v>3932</v>
      </c>
      <c r="B3933" t="inlineStr">
        <is>
          <t>MMMCMXXXII</t>
        </is>
      </c>
      <c r="C3933">
        <f>ROMAN(3932)</f>
        <v/>
      </c>
      <c r="D3933">
        <f>IF(B3933=C3933, "YES", "WRONG")</f>
        <v/>
      </c>
    </row>
    <row r="3934">
      <c r="A3934" t="n">
        <v>3933</v>
      </c>
      <c r="B3934" t="inlineStr">
        <is>
          <t>MMMCMXXXIII</t>
        </is>
      </c>
      <c r="C3934">
        <f>ROMAN(3933)</f>
        <v/>
      </c>
      <c r="D3934">
        <f>IF(B3934=C3934, "YES", "WRONG")</f>
        <v/>
      </c>
    </row>
    <row r="3935">
      <c r="A3935" t="n">
        <v>3934</v>
      </c>
      <c r="B3935" t="inlineStr">
        <is>
          <t>MMMCMXXXIV</t>
        </is>
      </c>
      <c r="C3935">
        <f>ROMAN(3934)</f>
        <v/>
      </c>
      <c r="D3935">
        <f>IF(B3935=C3935, "YES", "WRONG")</f>
        <v/>
      </c>
    </row>
    <row r="3936">
      <c r="A3936" t="n">
        <v>3935</v>
      </c>
      <c r="B3936" t="inlineStr">
        <is>
          <t>MMMCMXXXV</t>
        </is>
      </c>
      <c r="C3936">
        <f>ROMAN(3935)</f>
        <v/>
      </c>
      <c r="D3936">
        <f>IF(B3936=C3936, "YES", "WRONG")</f>
        <v/>
      </c>
    </row>
    <row r="3937">
      <c r="A3937" t="n">
        <v>3936</v>
      </c>
      <c r="B3937" t="inlineStr">
        <is>
          <t>MMMCMXXXVI</t>
        </is>
      </c>
      <c r="C3937">
        <f>ROMAN(3936)</f>
        <v/>
      </c>
      <c r="D3937">
        <f>IF(B3937=C3937, "YES", "WRONG")</f>
        <v/>
      </c>
    </row>
    <row r="3938">
      <c r="A3938" t="n">
        <v>3937</v>
      </c>
      <c r="B3938" t="inlineStr">
        <is>
          <t>MMMCMXXXVII</t>
        </is>
      </c>
      <c r="C3938">
        <f>ROMAN(3937)</f>
        <v/>
      </c>
      <c r="D3938">
        <f>IF(B3938=C3938, "YES", "WRONG")</f>
        <v/>
      </c>
    </row>
    <row r="3939">
      <c r="A3939" t="n">
        <v>3938</v>
      </c>
      <c r="B3939" t="inlineStr">
        <is>
          <t>MMMCMXXXVIII</t>
        </is>
      </c>
      <c r="C3939">
        <f>ROMAN(3938)</f>
        <v/>
      </c>
      <c r="D3939">
        <f>IF(B3939=C3939, "YES", "WRONG")</f>
        <v/>
      </c>
    </row>
    <row r="3940">
      <c r="A3940" t="n">
        <v>3939</v>
      </c>
      <c r="B3940" t="inlineStr">
        <is>
          <t>MMMCMXXXIX</t>
        </is>
      </c>
      <c r="C3940">
        <f>ROMAN(3939)</f>
        <v/>
      </c>
      <c r="D3940">
        <f>IF(B3940=C3940, "YES", "WRONG")</f>
        <v/>
      </c>
    </row>
    <row r="3941">
      <c r="A3941" t="n">
        <v>3940</v>
      </c>
      <c r="B3941" t="inlineStr">
        <is>
          <t>MMMCMXL</t>
        </is>
      </c>
      <c r="C3941">
        <f>ROMAN(3940)</f>
        <v/>
      </c>
      <c r="D3941">
        <f>IF(B3941=C3941, "YES", "WRONG")</f>
        <v/>
      </c>
    </row>
    <row r="3942">
      <c r="A3942" t="n">
        <v>3941</v>
      </c>
      <c r="B3942" t="inlineStr">
        <is>
          <t>MMMCMXLI</t>
        </is>
      </c>
      <c r="C3942">
        <f>ROMAN(3941)</f>
        <v/>
      </c>
      <c r="D3942">
        <f>IF(B3942=C3942, "YES", "WRONG")</f>
        <v/>
      </c>
    </row>
    <row r="3943">
      <c r="A3943" t="n">
        <v>3942</v>
      </c>
      <c r="B3943" t="inlineStr">
        <is>
          <t>MMMCMXLII</t>
        </is>
      </c>
      <c r="C3943">
        <f>ROMAN(3942)</f>
        <v/>
      </c>
      <c r="D3943">
        <f>IF(B3943=C3943, "YES", "WRONG")</f>
        <v/>
      </c>
    </row>
    <row r="3944">
      <c r="A3944" t="n">
        <v>3943</v>
      </c>
      <c r="B3944" t="inlineStr">
        <is>
          <t>MMMCMXLIII</t>
        </is>
      </c>
      <c r="C3944">
        <f>ROMAN(3943)</f>
        <v/>
      </c>
      <c r="D3944">
        <f>IF(B3944=C3944, "YES", "WRONG")</f>
        <v/>
      </c>
    </row>
    <row r="3945">
      <c r="A3945" t="n">
        <v>3944</v>
      </c>
      <c r="B3945" t="inlineStr">
        <is>
          <t>MMMCMXLIV</t>
        </is>
      </c>
      <c r="C3945">
        <f>ROMAN(3944)</f>
        <v/>
      </c>
      <c r="D3945">
        <f>IF(B3945=C3945, "YES", "WRONG")</f>
        <v/>
      </c>
    </row>
    <row r="3946">
      <c r="A3946" t="n">
        <v>3945</v>
      </c>
      <c r="B3946" t="inlineStr">
        <is>
          <t>MMMCMXLV</t>
        </is>
      </c>
      <c r="C3946">
        <f>ROMAN(3945)</f>
        <v/>
      </c>
      <c r="D3946">
        <f>IF(B3946=C3946, "YES", "WRONG")</f>
        <v/>
      </c>
    </row>
    <row r="3947">
      <c r="A3947" t="n">
        <v>3946</v>
      </c>
      <c r="B3947" t="inlineStr">
        <is>
          <t>MMMCMXLVI</t>
        </is>
      </c>
      <c r="C3947">
        <f>ROMAN(3946)</f>
        <v/>
      </c>
      <c r="D3947">
        <f>IF(B3947=C3947, "YES", "WRONG")</f>
        <v/>
      </c>
    </row>
    <row r="3948">
      <c r="A3948" t="n">
        <v>3947</v>
      </c>
      <c r="B3948" t="inlineStr">
        <is>
          <t>MMMCMXLVII</t>
        </is>
      </c>
      <c r="C3948">
        <f>ROMAN(3947)</f>
        <v/>
      </c>
      <c r="D3948">
        <f>IF(B3948=C3948, "YES", "WRONG")</f>
        <v/>
      </c>
    </row>
    <row r="3949">
      <c r="A3949" t="n">
        <v>3948</v>
      </c>
      <c r="B3949" t="inlineStr">
        <is>
          <t>MMMCMXLVIII</t>
        </is>
      </c>
      <c r="C3949">
        <f>ROMAN(3948)</f>
        <v/>
      </c>
      <c r="D3949">
        <f>IF(B3949=C3949, "YES", "WRONG")</f>
        <v/>
      </c>
    </row>
    <row r="3950">
      <c r="A3950" t="n">
        <v>3949</v>
      </c>
      <c r="B3950" t="inlineStr">
        <is>
          <t>MMMCMXLIX</t>
        </is>
      </c>
      <c r="C3950">
        <f>ROMAN(3949)</f>
        <v/>
      </c>
      <c r="D3950">
        <f>IF(B3950=C3950, "YES", "WRONG")</f>
        <v/>
      </c>
    </row>
    <row r="3951">
      <c r="A3951" t="n">
        <v>3950</v>
      </c>
      <c r="B3951" t="inlineStr">
        <is>
          <t>MMMCML</t>
        </is>
      </c>
      <c r="C3951">
        <f>ROMAN(3950)</f>
        <v/>
      </c>
      <c r="D3951">
        <f>IF(B3951=C3951, "YES", "WRONG")</f>
        <v/>
      </c>
    </row>
    <row r="3952">
      <c r="A3952" t="n">
        <v>3951</v>
      </c>
      <c r="B3952" t="inlineStr">
        <is>
          <t>MMMCMLI</t>
        </is>
      </c>
      <c r="C3952">
        <f>ROMAN(3951)</f>
        <v/>
      </c>
      <c r="D3952">
        <f>IF(B3952=C3952, "YES", "WRONG")</f>
        <v/>
      </c>
    </row>
    <row r="3953">
      <c r="A3953" t="n">
        <v>3952</v>
      </c>
      <c r="B3953" t="inlineStr">
        <is>
          <t>MMMCMLII</t>
        </is>
      </c>
      <c r="C3953">
        <f>ROMAN(3952)</f>
        <v/>
      </c>
      <c r="D3953">
        <f>IF(B3953=C3953, "YES", "WRONG")</f>
        <v/>
      </c>
    </row>
    <row r="3954">
      <c r="A3954" t="n">
        <v>3953</v>
      </c>
      <c r="B3954" t="inlineStr">
        <is>
          <t>MMMCMLIII</t>
        </is>
      </c>
      <c r="C3954">
        <f>ROMAN(3953)</f>
        <v/>
      </c>
      <c r="D3954">
        <f>IF(B3954=C3954, "YES", "WRONG")</f>
        <v/>
      </c>
    </row>
    <row r="3955">
      <c r="A3955" t="n">
        <v>3954</v>
      </c>
      <c r="B3955" t="inlineStr">
        <is>
          <t>MMMCMLIV</t>
        </is>
      </c>
      <c r="C3955">
        <f>ROMAN(3954)</f>
        <v/>
      </c>
      <c r="D3955">
        <f>IF(B3955=C3955, "YES", "WRONG")</f>
        <v/>
      </c>
    </row>
    <row r="3956">
      <c r="A3956" t="n">
        <v>3955</v>
      </c>
      <c r="B3956" t="inlineStr">
        <is>
          <t>MMMCMLV</t>
        </is>
      </c>
      <c r="C3956">
        <f>ROMAN(3955)</f>
        <v/>
      </c>
      <c r="D3956">
        <f>IF(B3956=C3956, "YES", "WRONG")</f>
        <v/>
      </c>
    </row>
    <row r="3957">
      <c r="A3957" t="n">
        <v>3956</v>
      </c>
      <c r="B3957" t="inlineStr">
        <is>
          <t>MMMCMLVI</t>
        </is>
      </c>
      <c r="C3957">
        <f>ROMAN(3956)</f>
        <v/>
      </c>
      <c r="D3957">
        <f>IF(B3957=C3957, "YES", "WRONG")</f>
        <v/>
      </c>
    </row>
    <row r="3958">
      <c r="A3958" t="n">
        <v>3957</v>
      </c>
      <c r="B3958" t="inlineStr">
        <is>
          <t>MMMCMLVII</t>
        </is>
      </c>
      <c r="C3958">
        <f>ROMAN(3957)</f>
        <v/>
      </c>
      <c r="D3958">
        <f>IF(B3958=C3958, "YES", "WRONG")</f>
        <v/>
      </c>
    </row>
    <row r="3959">
      <c r="A3959" t="n">
        <v>3958</v>
      </c>
      <c r="B3959" t="inlineStr">
        <is>
          <t>MMMCMLVIII</t>
        </is>
      </c>
      <c r="C3959">
        <f>ROMAN(3958)</f>
        <v/>
      </c>
      <c r="D3959">
        <f>IF(B3959=C3959, "YES", "WRONG")</f>
        <v/>
      </c>
    </row>
    <row r="3960">
      <c r="A3960" t="n">
        <v>3959</v>
      </c>
      <c r="B3960" t="inlineStr">
        <is>
          <t>MMMCMLIX</t>
        </is>
      </c>
      <c r="C3960">
        <f>ROMAN(3959)</f>
        <v/>
      </c>
      <c r="D3960">
        <f>IF(B3960=C3960, "YES", "WRONG")</f>
        <v/>
      </c>
    </row>
    <row r="3961">
      <c r="A3961" t="n">
        <v>3960</v>
      </c>
      <c r="B3961" t="inlineStr">
        <is>
          <t>MMMCMLX</t>
        </is>
      </c>
      <c r="C3961">
        <f>ROMAN(3960)</f>
        <v/>
      </c>
      <c r="D3961">
        <f>IF(B3961=C3961, "YES", "WRONG")</f>
        <v/>
      </c>
    </row>
    <row r="3962">
      <c r="A3962" t="n">
        <v>3961</v>
      </c>
      <c r="B3962" t="inlineStr">
        <is>
          <t>MMMCMLXI</t>
        </is>
      </c>
      <c r="C3962">
        <f>ROMAN(3961)</f>
        <v/>
      </c>
      <c r="D3962">
        <f>IF(B3962=C3962, "YES", "WRONG")</f>
        <v/>
      </c>
    </row>
    <row r="3963">
      <c r="A3963" t="n">
        <v>3962</v>
      </c>
      <c r="B3963" t="inlineStr">
        <is>
          <t>MMMCMLXII</t>
        </is>
      </c>
      <c r="C3963">
        <f>ROMAN(3962)</f>
        <v/>
      </c>
      <c r="D3963">
        <f>IF(B3963=C3963, "YES", "WRONG")</f>
        <v/>
      </c>
    </row>
    <row r="3964">
      <c r="A3964" t="n">
        <v>3963</v>
      </c>
      <c r="B3964" t="inlineStr">
        <is>
          <t>MMMCMLXIII</t>
        </is>
      </c>
      <c r="C3964">
        <f>ROMAN(3963)</f>
        <v/>
      </c>
      <c r="D3964">
        <f>IF(B3964=C3964, "YES", "WRONG")</f>
        <v/>
      </c>
    </row>
    <row r="3965">
      <c r="A3965" t="n">
        <v>3964</v>
      </c>
      <c r="B3965" t="inlineStr">
        <is>
          <t>MMMCMLXIV</t>
        </is>
      </c>
      <c r="C3965">
        <f>ROMAN(3964)</f>
        <v/>
      </c>
      <c r="D3965">
        <f>IF(B3965=C3965, "YES", "WRONG")</f>
        <v/>
      </c>
    </row>
    <row r="3966">
      <c r="A3966" t="n">
        <v>3965</v>
      </c>
      <c r="B3966" t="inlineStr">
        <is>
          <t>MMMCMLXV</t>
        </is>
      </c>
      <c r="C3966">
        <f>ROMAN(3965)</f>
        <v/>
      </c>
      <c r="D3966">
        <f>IF(B3966=C3966, "YES", "WRONG")</f>
        <v/>
      </c>
    </row>
    <row r="3967">
      <c r="A3967" t="n">
        <v>3966</v>
      </c>
      <c r="B3967" t="inlineStr">
        <is>
          <t>MMMCMLXVI</t>
        </is>
      </c>
      <c r="C3967">
        <f>ROMAN(3966)</f>
        <v/>
      </c>
      <c r="D3967">
        <f>IF(B3967=C3967, "YES", "WRONG")</f>
        <v/>
      </c>
    </row>
    <row r="3968">
      <c r="A3968" t="n">
        <v>3967</v>
      </c>
      <c r="B3968" t="inlineStr">
        <is>
          <t>MMMCMLXVII</t>
        </is>
      </c>
      <c r="C3968">
        <f>ROMAN(3967)</f>
        <v/>
      </c>
      <c r="D3968">
        <f>IF(B3968=C3968, "YES", "WRONG")</f>
        <v/>
      </c>
    </row>
    <row r="3969">
      <c r="A3969" t="n">
        <v>3968</v>
      </c>
      <c r="B3969" t="inlineStr">
        <is>
          <t>MMMCMLXVIII</t>
        </is>
      </c>
      <c r="C3969">
        <f>ROMAN(3968)</f>
        <v/>
      </c>
      <c r="D3969">
        <f>IF(B3969=C3969, "YES", "WRONG")</f>
        <v/>
      </c>
    </row>
    <row r="3970">
      <c r="A3970" t="n">
        <v>3969</v>
      </c>
      <c r="B3970" t="inlineStr">
        <is>
          <t>MMMCMLXIX</t>
        </is>
      </c>
      <c r="C3970">
        <f>ROMAN(3969)</f>
        <v/>
      </c>
      <c r="D3970">
        <f>IF(B3970=C3970, "YES", "WRONG")</f>
        <v/>
      </c>
    </row>
    <row r="3971">
      <c r="A3971" t="n">
        <v>3970</v>
      </c>
      <c r="B3971" t="inlineStr">
        <is>
          <t>MMMCMLXX</t>
        </is>
      </c>
      <c r="C3971">
        <f>ROMAN(3970)</f>
        <v/>
      </c>
      <c r="D3971">
        <f>IF(B3971=C3971, "YES", "WRONG")</f>
        <v/>
      </c>
    </row>
    <row r="3972">
      <c r="A3972" t="n">
        <v>3971</v>
      </c>
      <c r="B3972" t="inlineStr">
        <is>
          <t>MMMCMLXXI</t>
        </is>
      </c>
      <c r="C3972">
        <f>ROMAN(3971)</f>
        <v/>
      </c>
      <c r="D3972">
        <f>IF(B3972=C3972, "YES", "WRONG")</f>
        <v/>
      </c>
    </row>
    <row r="3973">
      <c r="A3973" t="n">
        <v>3972</v>
      </c>
      <c r="B3973" t="inlineStr">
        <is>
          <t>MMMCMLXXII</t>
        </is>
      </c>
      <c r="C3973">
        <f>ROMAN(3972)</f>
        <v/>
      </c>
      <c r="D3973">
        <f>IF(B3973=C3973, "YES", "WRONG")</f>
        <v/>
      </c>
    </row>
    <row r="3974">
      <c r="A3974" t="n">
        <v>3973</v>
      </c>
      <c r="B3974" t="inlineStr">
        <is>
          <t>MMMCMLXXIII</t>
        </is>
      </c>
      <c r="C3974">
        <f>ROMAN(3973)</f>
        <v/>
      </c>
      <c r="D3974">
        <f>IF(B3974=C3974, "YES", "WRONG")</f>
        <v/>
      </c>
    </row>
    <row r="3975">
      <c r="A3975" t="n">
        <v>3974</v>
      </c>
      <c r="B3975" t="inlineStr">
        <is>
          <t>MMMCMLXXIV</t>
        </is>
      </c>
      <c r="C3975">
        <f>ROMAN(3974)</f>
        <v/>
      </c>
      <c r="D3975">
        <f>IF(B3975=C3975, "YES", "WRONG")</f>
        <v/>
      </c>
    </row>
    <row r="3976">
      <c r="A3976" t="n">
        <v>3975</v>
      </c>
      <c r="B3976" t="inlineStr">
        <is>
          <t>MMMCMLXXV</t>
        </is>
      </c>
      <c r="C3976">
        <f>ROMAN(3975)</f>
        <v/>
      </c>
      <c r="D3976">
        <f>IF(B3976=C3976, "YES", "WRONG")</f>
        <v/>
      </c>
    </row>
    <row r="3977">
      <c r="A3977" t="n">
        <v>3976</v>
      </c>
      <c r="B3977" t="inlineStr">
        <is>
          <t>MMMCMLXXVI</t>
        </is>
      </c>
      <c r="C3977">
        <f>ROMAN(3976)</f>
        <v/>
      </c>
      <c r="D3977">
        <f>IF(B3977=C3977, "YES", "WRONG")</f>
        <v/>
      </c>
    </row>
    <row r="3978">
      <c r="A3978" t="n">
        <v>3977</v>
      </c>
      <c r="B3978" t="inlineStr">
        <is>
          <t>MMMCMLXXVII</t>
        </is>
      </c>
      <c r="C3978">
        <f>ROMAN(3977)</f>
        <v/>
      </c>
      <c r="D3978">
        <f>IF(B3978=C3978, "YES", "WRONG")</f>
        <v/>
      </c>
    </row>
    <row r="3979">
      <c r="A3979" t="n">
        <v>3978</v>
      </c>
      <c r="B3979" t="inlineStr">
        <is>
          <t>MMMCMLXXVIII</t>
        </is>
      </c>
      <c r="C3979">
        <f>ROMAN(3978)</f>
        <v/>
      </c>
      <c r="D3979">
        <f>IF(B3979=C3979, "YES", "WRONG")</f>
        <v/>
      </c>
    </row>
    <row r="3980">
      <c r="A3980" t="n">
        <v>3979</v>
      </c>
      <c r="B3980" t="inlineStr">
        <is>
          <t>MMMCMLXXIX</t>
        </is>
      </c>
      <c r="C3980">
        <f>ROMAN(3979)</f>
        <v/>
      </c>
      <c r="D3980">
        <f>IF(B3980=C3980, "YES", "WRONG")</f>
        <v/>
      </c>
    </row>
    <row r="3981">
      <c r="A3981" t="n">
        <v>3980</v>
      </c>
      <c r="B3981" t="inlineStr">
        <is>
          <t>MMMCMLXXX</t>
        </is>
      </c>
      <c r="C3981">
        <f>ROMAN(3980)</f>
        <v/>
      </c>
      <c r="D3981">
        <f>IF(B3981=C3981, "YES", "WRONG")</f>
        <v/>
      </c>
    </row>
    <row r="3982">
      <c r="A3982" t="n">
        <v>3981</v>
      </c>
      <c r="B3982" t="inlineStr">
        <is>
          <t>MMMCMLXXXI</t>
        </is>
      </c>
      <c r="C3982">
        <f>ROMAN(3981)</f>
        <v/>
      </c>
      <c r="D3982">
        <f>IF(B3982=C3982, "YES", "WRONG")</f>
        <v/>
      </c>
    </row>
    <row r="3983">
      <c r="A3983" t="n">
        <v>3982</v>
      </c>
      <c r="B3983" t="inlineStr">
        <is>
          <t>MMMCMLXXXII</t>
        </is>
      </c>
      <c r="C3983">
        <f>ROMAN(3982)</f>
        <v/>
      </c>
      <c r="D3983">
        <f>IF(B3983=C3983, "YES", "WRONG")</f>
        <v/>
      </c>
    </row>
    <row r="3984">
      <c r="A3984" t="n">
        <v>3983</v>
      </c>
      <c r="B3984" t="inlineStr">
        <is>
          <t>MMMCMLXXXIII</t>
        </is>
      </c>
      <c r="C3984">
        <f>ROMAN(3983)</f>
        <v/>
      </c>
      <c r="D3984">
        <f>IF(B3984=C3984, "YES", "WRONG")</f>
        <v/>
      </c>
    </row>
    <row r="3985">
      <c r="A3985" t="n">
        <v>3984</v>
      </c>
      <c r="B3985" t="inlineStr">
        <is>
          <t>MMMCMLXXXIV</t>
        </is>
      </c>
      <c r="C3985">
        <f>ROMAN(3984)</f>
        <v/>
      </c>
      <c r="D3985">
        <f>IF(B3985=C3985, "YES", "WRONG")</f>
        <v/>
      </c>
    </row>
    <row r="3986">
      <c r="A3986" t="n">
        <v>3985</v>
      </c>
      <c r="B3986" t="inlineStr">
        <is>
          <t>MMMCMLXXXV</t>
        </is>
      </c>
      <c r="C3986">
        <f>ROMAN(3985)</f>
        <v/>
      </c>
      <c r="D3986">
        <f>IF(B3986=C3986, "YES", "WRONG")</f>
        <v/>
      </c>
    </row>
    <row r="3987">
      <c r="A3987" t="n">
        <v>3986</v>
      </c>
      <c r="B3987" t="inlineStr">
        <is>
          <t>MMMCMLXXXVI</t>
        </is>
      </c>
      <c r="C3987">
        <f>ROMAN(3986)</f>
        <v/>
      </c>
      <c r="D3987">
        <f>IF(B3987=C3987, "YES", "WRONG")</f>
        <v/>
      </c>
    </row>
    <row r="3988">
      <c r="A3988" t="n">
        <v>3987</v>
      </c>
      <c r="B3988" t="inlineStr">
        <is>
          <t>MMMCMLXXXVII</t>
        </is>
      </c>
      <c r="C3988">
        <f>ROMAN(3987)</f>
        <v/>
      </c>
      <c r="D3988">
        <f>IF(B3988=C3988, "YES", "WRONG")</f>
        <v/>
      </c>
    </row>
    <row r="3989">
      <c r="A3989" t="n">
        <v>3988</v>
      </c>
      <c r="B3989" t="inlineStr">
        <is>
          <t>MMMCMLXXXVIII</t>
        </is>
      </c>
      <c r="C3989">
        <f>ROMAN(3988)</f>
        <v/>
      </c>
      <c r="D3989">
        <f>IF(B3989=C3989, "YES", "WRONG")</f>
        <v/>
      </c>
    </row>
    <row r="3990">
      <c r="A3990" t="n">
        <v>3989</v>
      </c>
      <c r="B3990" t="inlineStr">
        <is>
          <t>MMMCMLXXXIX</t>
        </is>
      </c>
      <c r="C3990">
        <f>ROMAN(3989)</f>
        <v/>
      </c>
      <c r="D3990">
        <f>IF(B3990=C3990, "YES", "WRONG")</f>
        <v/>
      </c>
    </row>
    <row r="3991">
      <c r="A3991" t="n">
        <v>3990</v>
      </c>
      <c r="B3991" t="inlineStr">
        <is>
          <t>MMMCMXC</t>
        </is>
      </c>
      <c r="C3991">
        <f>ROMAN(3990)</f>
        <v/>
      </c>
      <c r="D3991">
        <f>IF(B3991=C3991, "YES", "WRONG")</f>
        <v/>
      </c>
    </row>
    <row r="3992">
      <c r="A3992" t="n">
        <v>3991</v>
      </c>
      <c r="B3992" t="inlineStr">
        <is>
          <t>MMMCMXCI</t>
        </is>
      </c>
      <c r="C3992">
        <f>ROMAN(3991)</f>
        <v/>
      </c>
      <c r="D3992">
        <f>IF(B3992=C3992, "YES", "WRONG")</f>
        <v/>
      </c>
    </row>
    <row r="3993">
      <c r="A3993" t="n">
        <v>3992</v>
      </c>
      <c r="B3993" t="inlineStr">
        <is>
          <t>MMMCMXCII</t>
        </is>
      </c>
      <c r="C3993">
        <f>ROMAN(3992)</f>
        <v/>
      </c>
      <c r="D3993">
        <f>IF(B3993=C3993, "YES", "WRONG")</f>
        <v/>
      </c>
    </row>
    <row r="3994">
      <c r="A3994" t="n">
        <v>3993</v>
      </c>
      <c r="B3994" t="inlineStr">
        <is>
          <t>MMMCMXCIII</t>
        </is>
      </c>
      <c r="C3994">
        <f>ROMAN(3993)</f>
        <v/>
      </c>
      <c r="D3994">
        <f>IF(B3994=C3994, "YES", "WRONG")</f>
        <v/>
      </c>
    </row>
    <row r="3995">
      <c r="A3995" t="n">
        <v>3994</v>
      </c>
      <c r="B3995" t="inlineStr">
        <is>
          <t>MMMCMXCIV</t>
        </is>
      </c>
      <c r="C3995">
        <f>ROMAN(3994)</f>
        <v/>
      </c>
      <c r="D3995">
        <f>IF(B3995=C3995, "YES", "WRONG")</f>
        <v/>
      </c>
    </row>
    <row r="3996">
      <c r="A3996" t="n">
        <v>3995</v>
      </c>
      <c r="B3996" t="inlineStr">
        <is>
          <t>MMMCMXCV</t>
        </is>
      </c>
      <c r="C3996">
        <f>ROMAN(3995)</f>
        <v/>
      </c>
      <c r="D3996">
        <f>IF(B3996=C3996, "YES", "WRONG")</f>
        <v/>
      </c>
    </row>
    <row r="3997">
      <c r="A3997" t="n">
        <v>3996</v>
      </c>
      <c r="B3997" t="inlineStr">
        <is>
          <t>MMMCMXCVI</t>
        </is>
      </c>
      <c r="C3997">
        <f>ROMAN(3996)</f>
        <v/>
      </c>
      <c r="D3997">
        <f>IF(B3997=C3997, "YES", "WRONG")</f>
        <v/>
      </c>
    </row>
    <row r="3998">
      <c r="A3998" t="n">
        <v>3997</v>
      </c>
      <c r="B3998" t="inlineStr">
        <is>
          <t>MMMCMXCVII</t>
        </is>
      </c>
      <c r="C3998">
        <f>ROMAN(3997)</f>
        <v/>
      </c>
      <c r="D3998">
        <f>IF(B3998=C3998, "YES", "WRONG")</f>
        <v/>
      </c>
    </row>
    <row r="3999">
      <c r="A3999" t="n">
        <v>3998</v>
      </c>
      <c r="B3999" t="inlineStr">
        <is>
          <t>MMMCMXCVIII</t>
        </is>
      </c>
      <c r="C3999">
        <f>ROMAN(3998)</f>
        <v/>
      </c>
      <c r="D3999">
        <f>IF(B3999=C3999, "YES", "WRONG")</f>
        <v/>
      </c>
    </row>
    <row r="4000">
      <c r="A4000" t="n">
        <v>3999</v>
      </c>
      <c r="B4000" t="inlineStr">
        <is>
          <t>MMMCMXCIX</t>
        </is>
      </c>
      <c r="C4000">
        <f>ROMAN(3999)</f>
        <v/>
      </c>
      <c r="D4000">
        <f>IF(B4000=C4000, "YES", "WRONG")</f>
        <v/>
      </c>
    </row>
    <row r="4001">
      <c r="A4001" t="n">
        <v>4000</v>
      </c>
      <c r="B4001" t="inlineStr">
        <is>
          <t>MV̅</t>
        </is>
      </c>
      <c r="C4001">
        <f>ROMAN(4000)</f>
        <v/>
      </c>
      <c r="D4001">
        <f>IF(B4001=C4001, "YES", "WRONG")</f>
        <v/>
      </c>
    </row>
    <row r="4002">
      <c r="A4002" t="n">
        <v>4001</v>
      </c>
      <c r="B4002" t="inlineStr">
        <is>
          <t>MV̅I</t>
        </is>
      </c>
      <c r="C4002">
        <f>ROMAN(4001)</f>
        <v/>
      </c>
      <c r="D4002">
        <f>IF(B4002=C4002, "YES", "WRONG")</f>
        <v/>
      </c>
    </row>
    <row r="4003">
      <c r="A4003" t="n">
        <v>4002</v>
      </c>
      <c r="B4003" t="inlineStr">
        <is>
          <t>MV̅II</t>
        </is>
      </c>
      <c r="C4003">
        <f>ROMAN(4002)</f>
        <v/>
      </c>
      <c r="D4003">
        <f>IF(B4003=C4003, "YES", "WRONG")</f>
        <v/>
      </c>
    </row>
    <row r="4004">
      <c r="A4004" t="n">
        <v>4003</v>
      </c>
      <c r="B4004" t="inlineStr">
        <is>
          <t>MV̅III</t>
        </is>
      </c>
      <c r="C4004">
        <f>ROMAN(4003)</f>
        <v/>
      </c>
      <c r="D4004">
        <f>IF(B4004=C4004, "YES", "WRONG")</f>
        <v/>
      </c>
    </row>
    <row r="4005">
      <c r="A4005" t="n">
        <v>4004</v>
      </c>
      <c r="B4005" t="inlineStr">
        <is>
          <t>MV̅IV</t>
        </is>
      </c>
      <c r="C4005">
        <f>ROMAN(4004)</f>
        <v/>
      </c>
      <c r="D4005">
        <f>IF(B4005=C4005, "YES", "WRONG")</f>
        <v/>
      </c>
    </row>
    <row r="4006">
      <c r="A4006" t="n">
        <v>4005</v>
      </c>
      <c r="B4006" t="inlineStr">
        <is>
          <t>MV̅V</t>
        </is>
      </c>
      <c r="C4006">
        <f>ROMAN(4005)</f>
        <v/>
      </c>
      <c r="D4006">
        <f>IF(B4006=C4006, "YES", "WRONG")</f>
        <v/>
      </c>
    </row>
    <row r="4007">
      <c r="A4007" t="n">
        <v>4006</v>
      </c>
      <c r="B4007" t="inlineStr">
        <is>
          <t>MV̅VI</t>
        </is>
      </c>
      <c r="C4007">
        <f>ROMAN(4006)</f>
        <v/>
      </c>
      <c r="D4007">
        <f>IF(B4007=C4007, "YES", "WRONG")</f>
        <v/>
      </c>
    </row>
    <row r="4008">
      <c r="A4008" t="n">
        <v>4007</v>
      </c>
      <c r="B4008" t="inlineStr">
        <is>
          <t>MV̅VII</t>
        </is>
      </c>
      <c r="C4008">
        <f>ROMAN(4007)</f>
        <v/>
      </c>
      <c r="D4008">
        <f>IF(B4008=C4008, "YES", "WRONG")</f>
        <v/>
      </c>
    </row>
    <row r="4009">
      <c r="A4009" t="n">
        <v>4008</v>
      </c>
      <c r="B4009" t="inlineStr">
        <is>
          <t>MV̅VIII</t>
        </is>
      </c>
      <c r="C4009">
        <f>ROMAN(4008)</f>
        <v/>
      </c>
      <c r="D4009">
        <f>IF(B4009=C4009, "YES", "WRONG")</f>
        <v/>
      </c>
    </row>
    <row r="4010">
      <c r="A4010" t="n">
        <v>4009</v>
      </c>
      <c r="B4010" t="inlineStr">
        <is>
          <t>MV̅IX</t>
        </is>
      </c>
      <c r="C4010">
        <f>ROMAN(4009)</f>
        <v/>
      </c>
      <c r="D4010">
        <f>IF(B4010=C4010, "YES", "WRONG")</f>
        <v/>
      </c>
    </row>
    <row r="4011">
      <c r="A4011" t="n">
        <v>4010</v>
      </c>
      <c r="B4011" t="inlineStr">
        <is>
          <t>MV̅X</t>
        </is>
      </c>
      <c r="C4011">
        <f>ROMAN(4010)</f>
        <v/>
      </c>
      <c r="D4011">
        <f>IF(B4011=C4011, "YES", "WRONG")</f>
        <v/>
      </c>
    </row>
    <row r="4012">
      <c r="A4012" t="n">
        <v>4011</v>
      </c>
      <c r="B4012" t="inlineStr">
        <is>
          <t>MV̅XI</t>
        </is>
      </c>
      <c r="C4012">
        <f>ROMAN(4011)</f>
        <v/>
      </c>
      <c r="D4012">
        <f>IF(B4012=C4012, "YES", "WRONG")</f>
        <v/>
      </c>
    </row>
    <row r="4013">
      <c r="A4013" t="n">
        <v>4012</v>
      </c>
      <c r="B4013" t="inlineStr">
        <is>
          <t>MV̅XII</t>
        </is>
      </c>
      <c r="C4013">
        <f>ROMAN(4012)</f>
        <v/>
      </c>
      <c r="D4013">
        <f>IF(B4013=C4013, "YES", "WRONG")</f>
        <v/>
      </c>
    </row>
    <row r="4014">
      <c r="A4014" t="n">
        <v>4013</v>
      </c>
      <c r="B4014" t="inlineStr">
        <is>
          <t>MV̅XIII</t>
        </is>
      </c>
      <c r="C4014">
        <f>ROMAN(4013)</f>
        <v/>
      </c>
      <c r="D4014">
        <f>IF(B4014=C4014, "YES", "WRONG")</f>
        <v/>
      </c>
    </row>
    <row r="4015">
      <c r="A4015" t="n">
        <v>4014</v>
      </c>
      <c r="B4015" t="inlineStr">
        <is>
          <t>MV̅XIV</t>
        </is>
      </c>
      <c r="C4015">
        <f>ROMAN(4014)</f>
        <v/>
      </c>
      <c r="D4015">
        <f>IF(B4015=C4015, "YES", "WRONG")</f>
        <v/>
      </c>
    </row>
    <row r="4016">
      <c r="A4016" t="n">
        <v>4015</v>
      </c>
      <c r="B4016" t="inlineStr">
        <is>
          <t>MV̅XV</t>
        </is>
      </c>
      <c r="C4016">
        <f>ROMAN(4015)</f>
        <v/>
      </c>
      <c r="D4016">
        <f>IF(B4016=C4016, "YES", "WRONG")</f>
        <v/>
      </c>
    </row>
    <row r="4017">
      <c r="A4017" t="n">
        <v>4016</v>
      </c>
      <c r="B4017" t="inlineStr">
        <is>
          <t>MV̅XVI</t>
        </is>
      </c>
      <c r="C4017">
        <f>ROMAN(4016)</f>
        <v/>
      </c>
      <c r="D4017">
        <f>IF(B4017=C4017, "YES", "WRONG")</f>
        <v/>
      </c>
    </row>
    <row r="4018">
      <c r="A4018" t="n">
        <v>4017</v>
      </c>
      <c r="B4018" t="inlineStr">
        <is>
          <t>MV̅XVII</t>
        </is>
      </c>
      <c r="C4018">
        <f>ROMAN(4017)</f>
        <v/>
      </c>
      <c r="D4018">
        <f>IF(B4018=C4018, "YES", "WRONG")</f>
        <v/>
      </c>
    </row>
    <row r="4019">
      <c r="A4019" t="n">
        <v>4018</v>
      </c>
      <c r="B4019" t="inlineStr">
        <is>
          <t>MV̅XVIII</t>
        </is>
      </c>
      <c r="C4019">
        <f>ROMAN(4018)</f>
        <v/>
      </c>
      <c r="D4019">
        <f>IF(B4019=C4019, "YES", "WRONG")</f>
        <v/>
      </c>
    </row>
    <row r="4020">
      <c r="A4020" t="n">
        <v>4019</v>
      </c>
      <c r="B4020" t="inlineStr">
        <is>
          <t>MV̅XIX</t>
        </is>
      </c>
      <c r="C4020">
        <f>ROMAN(4019)</f>
        <v/>
      </c>
      <c r="D4020">
        <f>IF(B4020=C4020, "YES", "WRONG")</f>
        <v/>
      </c>
    </row>
    <row r="4021">
      <c r="A4021" t="n">
        <v>4020</v>
      </c>
      <c r="B4021" t="inlineStr">
        <is>
          <t>MV̅XX</t>
        </is>
      </c>
      <c r="C4021">
        <f>ROMAN(4020)</f>
        <v/>
      </c>
      <c r="D4021">
        <f>IF(B4021=C4021, "YES", "WRONG")</f>
        <v/>
      </c>
    </row>
    <row r="4022">
      <c r="A4022" t="n">
        <v>4021</v>
      </c>
      <c r="B4022" t="inlineStr">
        <is>
          <t>MV̅XXI</t>
        </is>
      </c>
      <c r="C4022">
        <f>ROMAN(4021)</f>
        <v/>
      </c>
      <c r="D4022">
        <f>IF(B4022=C4022, "YES", "WRONG")</f>
        <v/>
      </c>
    </row>
    <row r="4023">
      <c r="A4023" t="n">
        <v>4022</v>
      </c>
      <c r="B4023" t="inlineStr">
        <is>
          <t>MV̅XXII</t>
        </is>
      </c>
      <c r="C4023">
        <f>ROMAN(4022)</f>
        <v/>
      </c>
      <c r="D4023">
        <f>IF(B4023=C4023, "YES", "WRONG")</f>
        <v/>
      </c>
    </row>
    <row r="4024">
      <c r="A4024" t="n">
        <v>4023</v>
      </c>
      <c r="B4024" t="inlineStr">
        <is>
          <t>MV̅XXIII</t>
        </is>
      </c>
      <c r="C4024">
        <f>ROMAN(4023)</f>
        <v/>
      </c>
      <c r="D4024">
        <f>IF(B4024=C4024, "YES", "WRONG")</f>
        <v/>
      </c>
    </row>
    <row r="4025">
      <c r="A4025" t="n">
        <v>4024</v>
      </c>
      <c r="B4025" t="inlineStr">
        <is>
          <t>MV̅XXIV</t>
        </is>
      </c>
      <c r="C4025">
        <f>ROMAN(4024)</f>
        <v/>
      </c>
      <c r="D4025">
        <f>IF(B4025=C4025, "YES", "WRONG")</f>
        <v/>
      </c>
    </row>
    <row r="4026">
      <c r="A4026" t="n">
        <v>4025</v>
      </c>
      <c r="B4026" t="inlineStr">
        <is>
          <t>MV̅XXV</t>
        </is>
      </c>
      <c r="C4026">
        <f>ROMAN(4025)</f>
        <v/>
      </c>
      <c r="D4026">
        <f>IF(B4026=C4026, "YES", "WRONG")</f>
        <v/>
      </c>
    </row>
    <row r="4027">
      <c r="A4027" t="n">
        <v>4026</v>
      </c>
      <c r="B4027" t="inlineStr">
        <is>
          <t>MV̅XXVI</t>
        </is>
      </c>
      <c r="C4027">
        <f>ROMAN(4026)</f>
        <v/>
      </c>
      <c r="D4027">
        <f>IF(B4027=C4027, "YES", "WRONG")</f>
        <v/>
      </c>
    </row>
    <row r="4028">
      <c r="A4028" t="n">
        <v>4027</v>
      </c>
      <c r="B4028" t="inlineStr">
        <is>
          <t>MV̅XXVII</t>
        </is>
      </c>
      <c r="C4028">
        <f>ROMAN(4027)</f>
        <v/>
      </c>
      <c r="D4028">
        <f>IF(B4028=C4028, "YES", "WRONG")</f>
        <v/>
      </c>
    </row>
    <row r="4029">
      <c r="A4029" t="n">
        <v>4028</v>
      </c>
      <c r="B4029" t="inlineStr">
        <is>
          <t>MV̅XXVIII</t>
        </is>
      </c>
      <c r="C4029">
        <f>ROMAN(4028)</f>
        <v/>
      </c>
      <c r="D4029">
        <f>IF(B4029=C4029, "YES", "WRONG")</f>
        <v/>
      </c>
    </row>
    <row r="4030">
      <c r="A4030" t="n">
        <v>4029</v>
      </c>
      <c r="B4030" t="inlineStr">
        <is>
          <t>MV̅XXIX</t>
        </is>
      </c>
      <c r="C4030">
        <f>ROMAN(4029)</f>
        <v/>
      </c>
      <c r="D4030">
        <f>IF(B4030=C4030, "YES", "WRONG")</f>
        <v/>
      </c>
    </row>
    <row r="4031">
      <c r="A4031" t="n">
        <v>4030</v>
      </c>
      <c r="B4031" t="inlineStr">
        <is>
          <t>MV̅XXX</t>
        </is>
      </c>
      <c r="C4031">
        <f>ROMAN(4030)</f>
        <v/>
      </c>
      <c r="D4031">
        <f>IF(B4031=C4031, "YES", "WRONG")</f>
        <v/>
      </c>
    </row>
    <row r="4032">
      <c r="A4032" t="n">
        <v>4031</v>
      </c>
      <c r="B4032" t="inlineStr">
        <is>
          <t>MV̅XXXI</t>
        </is>
      </c>
      <c r="C4032">
        <f>ROMAN(4031)</f>
        <v/>
      </c>
      <c r="D4032">
        <f>IF(B4032=C4032, "YES", "WRONG")</f>
        <v/>
      </c>
    </row>
    <row r="4033">
      <c r="A4033" t="n">
        <v>4032</v>
      </c>
      <c r="B4033" t="inlineStr">
        <is>
          <t>MV̅XXXII</t>
        </is>
      </c>
      <c r="C4033">
        <f>ROMAN(4032)</f>
        <v/>
      </c>
      <c r="D4033">
        <f>IF(B4033=C4033, "YES", "WRONG")</f>
        <v/>
      </c>
    </row>
    <row r="4034">
      <c r="A4034" t="n">
        <v>4033</v>
      </c>
      <c r="B4034" t="inlineStr">
        <is>
          <t>MV̅XXXIII</t>
        </is>
      </c>
      <c r="C4034">
        <f>ROMAN(4033)</f>
        <v/>
      </c>
      <c r="D4034">
        <f>IF(B4034=C4034, "YES", "WRONG")</f>
        <v/>
      </c>
    </row>
    <row r="4035">
      <c r="A4035" t="n">
        <v>4034</v>
      </c>
      <c r="B4035" t="inlineStr">
        <is>
          <t>MV̅XXXIV</t>
        </is>
      </c>
      <c r="C4035">
        <f>ROMAN(4034)</f>
        <v/>
      </c>
      <c r="D4035">
        <f>IF(B4035=C4035, "YES", "WRONG")</f>
        <v/>
      </c>
    </row>
    <row r="4036">
      <c r="A4036" t="n">
        <v>4035</v>
      </c>
      <c r="B4036" t="inlineStr">
        <is>
          <t>MV̅XXXV</t>
        </is>
      </c>
      <c r="C4036">
        <f>ROMAN(4035)</f>
        <v/>
      </c>
      <c r="D4036">
        <f>IF(B4036=C4036, "YES", "WRONG")</f>
        <v/>
      </c>
    </row>
    <row r="4037">
      <c r="A4037" t="n">
        <v>4036</v>
      </c>
      <c r="B4037" t="inlineStr">
        <is>
          <t>MV̅XXXVI</t>
        </is>
      </c>
      <c r="C4037">
        <f>ROMAN(4036)</f>
        <v/>
      </c>
      <c r="D4037">
        <f>IF(B4037=C4037, "YES", "WRONG")</f>
        <v/>
      </c>
    </row>
    <row r="4038">
      <c r="A4038" t="n">
        <v>4037</v>
      </c>
      <c r="B4038" t="inlineStr">
        <is>
          <t>MV̅XXXVII</t>
        </is>
      </c>
      <c r="C4038">
        <f>ROMAN(4037)</f>
        <v/>
      </c>
      <c r="D4038">
        <f>IF(B4038=C4038, "YES", "WRONG")</f>
        <v/>
      </c>
    </row>
    <row r="4039">
      <c r="A4039" t="n">
        <v>4038</v>
      </c>
      <c r="B4039" t="inlineStr">
        <is>
          <t>MV̅XXXVIII</t>
        </is>
      </c>
      <c r="C4039">
        <f>ROMAN(4038)</f>
        <v/>
      </c>
      <c r="D4039">
        <f>IF(B4039=C4039, "YES", "WRONG")</f>
        <v/>
      </c>
    </row>
    <row r="4040">
      <c r="A4040" t="n">
        <v>4039</v>
      </c>
      <c r="B4040" t="inlineStr">
        <is>
          <t>MV̅XXXIX</t>
        </is>
      </c>
      <c r="C4040">
        <f>ROMAN(4039)</f>
        <v/>
      </c>
      <c r="D4040">
        <f>IF(B4040=C4040, "YES", "WRONG")</f>
        <v/>
      </c>
    </row>
    <row r="4041">
      <c r="A4041" t="n">
        <v>4040</v>
      </c>
      <c r="B4041" t="inlineStr">
        <is>
          <t>MV̅XL</t>
        </is>
      </c>
      <c r="C4041">
        <f>ROMAN(4040)</f>
        <v/>
      </c>
      <c r="D4041">
        <f>IF(B4041=C4041, "YES", "WRONG")</f>
        <v/>
      </c>
    </row>
    <row r="4042">
      <c r="A4042" t="n">
        <v>4041</v>
      </c>
      <c r="B4042" t="inlineStr">
        <is>
          <t>MV̅XLI</t>
        </is>
      </c>
      <c r="C4042">
        <f>ROMAN(4041)</f>
        <v/>
      </c>
      <c r="D4042">
        <f>IF(B4042=C4042, "YES", "WRONG")</f>
        <v/>
      </c>
    </row>
    <row r="4043">
      <c r="A4043" t="n">
        <v>4042</v>
      </c>
      <c r="B4043" t="inlineStr">
        <is>
          <t>MV̅XLII</t>
        </is>
      </c>
      <c r="C4043">
        <f>ROMAN(4042)</f>
        <v/>
      </c>
      <c r="D4043">
        <f>IF(B4043=C4043, "YES", "WRONG")</f>
        <v/>
      </c>
    </row>
    <row r="4044">
      <c r="A4044" t="n">
        <v>4043</v>
      </c>
      <c r="B4044" t="inlineStr">
        <is>
          <t>MV̅XLIII</t>
        </is>
      </c>
      <c r="C4044">
        <f>ROMAN(4043)</f>
        <v/>
      </c>
      <c r="D4044">
        <f>IF(B4044=C4044, "YES", "WRONG")</f>
        <v/>
      </c>
    </row>
    <row r="4045">
      <c r="A4045" t="n">
        <v>4044</v>
      </c>
      <c r="B4045" t="inlineStr">
        <is>
          <t>MV̅XLIV</t>
        </is>
      </c>
      <c r="C4045">
        <f>ROMAN(4044)</f>
        <v/>
      </c>
      <c r="D4045">
        <f>IF(B4045=C4045, "YES", "WRONG")</f>
        <v/>
      </c>
    </row>
    <row r="4046">
      <c r="A4046" t="n">
        <v>4045</v>
      </c>
      <c r="B4046" t="inlineStr">
        <is>
          <t>MV̅XLV</t>
        </is>
      </c>
      <c r="C4046">
        <f>ROMAN(4045)</f>
        <v/>
      </c>
      <c r="D4046">
        <f>IF(B4046=C4046, "YES", "WRONG")</f>
        <v/>
      </c>
    </row>
    <row r="4047">
      <c r="A4047" t="n">
        <v>4046</v>
      </c>
      <c r="B4047" t="inlineStr">
        <is>
          <t>MV̅XLVI</t>
        </is>
      </c>
      <c r="C4047">
        <f>ROMAN(4046)</f>
        <v/>
      </c>
      <c r="D4047">
        <f>IF(B4047=C4047, "YES", "WRONG")</f>
        <v/>
      </c>
    </row>
    <row r="4048">
      <c r="A4048" t="n">
        <v>4047</v>
      </c>
      <c r="B4048" t="inlineStr">
        <is>
          <t>MV̅XLVII</t>
        </is>
      </c>
      <c r="C4048">
        <f>ROMAN(4047)</f>
        <v/>
      </c>
      <c r="D4048">
        <f>IF(B4048=C4048, "YES", "WRONG")</f>
        <v/>
      </c>
    </row>
    <row r="4049">
      <c r="A4049" t="n">
        <v>4048</v>
      </c>
      <c r="B4049" t="inlineStr">
        <is>
          <t>MV̅XLVIII</t>
        </is>
      </c>
      <c r="C4049">
        <f>ROMAN(4048)</f>
        <v/>
      </c>
      <c r="D4049">
        <f>IF(B4049=C4049, "YES", "WRONG")</f>
        <v/>
      </c>
    </row>
    <row r="4050">
      <c r="A4050" t="n">
        <v>4049</v>
      </c>
      <c r="B4050" t="inlineStr">
        <is>
          <t>MV̅XLIX</t>
        </is>
      </c>
      <c r="C4050">
        <f>ROMAN(4049)</f>
        <v/>
      </c>
      <c r="D4050">
        <f>IF(B4050=C4050, "YES", "WRONG")</f>
        <v/>
      </c>
    </row>
    <row r="4051">
      <c r="A4051" t="n">
        <v>4050</v>
      </c>
      <c r="B4051" t="inlineStr">
        <is>
          <t>MV̅L</t>
        </is>
      </c>
      <c r="C4051">
        <f>ROMAN(4050)</f>
        <v/>
      </c>
      <c r="D4051">
        <f>IF(B4051=C4051, "YES", "WRONG")</f>
        <v/>
      </c>
    </row>
    <row r="4052">
      <c r="A4052" t="n">
        <v>4051</v>
      </c>
      <c r="B4052" t="inlineStr">
        <is>
          <t>MV̅LI</t>
        </is>
      </c>
      <c r="C4052">
        <f>ROMAN(4051)</f>
        <v/>
      </c>
      <c r="D4052">
        <f>IF(B4052=C4052, "YES", "WRONG")</f>
        <v/>
      </c>
    </row>
    <row r="4053">
      <c r="A4053" t="n">
        <v>4052</v>
      </c>
      <c r="B4053" t="inlineStr">
        <is>
          <t>MV̅LII</t>
        </is>
      </c>
      <c r="C4053">
        <f>ROMAN(4052)</f>
        <v/>
      </c>
      <c r="D4053">
        <f>IF(B4053=C4053, "YES", "WRONG")</f>
        <v/>
      </c>
    </row>
    <row r="4054">
      <c r="A4054" t="n">
        <v>4053</v>
      </c>
      <c r="B4054" t="inlineStr">
        <is>
          <t>MV̅LIII</t>
        </is>
      </c>
      <c r="C4054">
        <f>ROMAN(4053)</f>
        <v/>
      </c>
      <c r="D4054">
        <f>IF(B4054=C4054, "YES", "WRONG")</f>
        <v/>
      </c>
    </row>
    <row r="4055">
      <c r="A4055" t="n">
        <v>4054</v>
      </c>
      <c r="B4055" t="inlineStr">
        <is>
          <t>MV̅LIV</t>
        </is>
      </c>
      <c r="C4055">
        <f>ROMAN(4054)</f>
        <v/>
      </c>
      <c r="D4055">
        <f>IF(B4055=C4055, "YES", "WRONG")</f>
        <v/>
      </c>
    </row>
    <row r="4056">
      <c r="A4056" t="n">
        <v>4055</v>
      </c>
      <c r="B4056" t="inlineStr">
        <is>
          <t>MV̅LV</t>
        </is>
      </c>
      <c r="C4056">
        <f>ROMAN(4055)</f>
        <v/>
      </c>
      <c r="D4056">
        <f>IF(B4056=C4056, "YES", "WRONG")</f>
        <v/>
      </c>
    </row>
    <row r="4057">
      <c r="A4057" t="n">
        <v>4056</v>
      </c>
      <c r="B4057" t="inlineStr">
        <is>
          <t>MV̅LVI</t>
        </is>
      </c>
      <c r="C4057">
        <f>ROMAN(4056)</f>
        <v/>
      </c>
      <c r="D4057">
        <f>IF(B4057=C4057, "YES", "WRONG")</f>
        <v/>
      </c>
    </row>
    <row r="4058">
      <c r="A4058" t="n">
        <v>4057</v>
      </c>
      <c r="B4058" t="inlineStr">
        <is>
          <t>MV̅LVII</t>
        </is>
      </c>
      <c r="C4058">
        <f>ROMAN(4057)</f>
        <v/>
      </c>
      <c r="D4058">
        <f>IF(B4058=C4058, "YES", "WRONG")</f>
        <v/>
      </c>
    </row>
    <row r="4059">
      <c r="A4059" t="n">
        <v>4058</v>
      </c>
      <c r="B4059" t="inlineStr">
        <is>
          <t>MV̅LVIII</t>
        </is>
      </c>
      <c r="C4059">
        <f>ROMAN(4058)</f>
        <v/>
      </c>
      <c r="D4059">
        <f>IF(B4059=C4059, "YES", "WRONG")</f>
        <v/>
      </c>
    </row>
    <row r="4060">
      <c r="A4060" t="n">
        <v>4059</v>
      </c>
      <c r="B4060" t="inlineStr">
        <is>
          <t>MV̅LIX</t>
        </is>
      </c>
      <c r="C4060">
        <f>ROMAN(4059)</f>
        <v/>
      </c>
      <c r="D4060">
        <f>IF(B4060=C4060, "YES", "WRONG")</f>
        <v/>
      </c>
    </row>
    <row r="4061">
      <c r="A4061" t="n">
        <v>4060</v>
      </c>
      <c r="B4061" t="inlineStr">
        <is>
          <t>MV̅LX</t>
        </is>
      </c>
      <c r="C4061">
        <f>ROMAN(4060)</f>
        <v/>
      </c>
      <c r="D4061">
        <f>IF(B4061=C4061, "YES", "WRONG")</f>
        <v/>
      </c>
    </row>
    <row r="4062">
      <c r="A4062" t="n">
        <v>4061</v>
      </c>
      <c r="B4062" t="inlineStr">
        <is>
          <t>MV̅LXI</t>
        </is>
      </c>
      <c r="C4062">
        <f>ROMAN(4061)</f>
        <v/>
      </c>
      <c r="D4062">
        <f>IF(B4062=C4062, "YES", "WRONG")</f>
        <v/>
      </c>
    </row>
    <row r="4063">
      <c r="A4063" t="n">
        <v>4062</v>
      </c>
      <c r="B4063" t="inlineStr">
        <is>
          <t>MV̅LXII</t>
        </is>
      </c>
      <c r="C4063">
        <f>ROMAN(4062)</f>
        <v/>
      </c>
      <c r="D4063">
        <f>IF(B4063=C4063, "YES", "WRONG")</f>
        <v/>
      </c>
    </row>
    <row r="4064">
      <c r="A4064" t="n">
        <v>4063</v>
      </c>
      <c r="B4064" t="inlineStr">
        <is>
          <t>MV̅LXIII</t>
        </is>
      </c>
      <c r="C4064">
        <f>ROMAN(4063)</f>
        <v/>
      </c>
      <c r="D4064">
        <f>IF(B4064=C4064, "YES", "WRONG")</f>
        <v/>
      </c>
    </row>
    <row r="4065">
      <c r="A4065" t="n">
        <v>4064</v>
      </c>
      <c r="B4065" t="inlineStr">
        <is>
          <t>MV̅LXIV</t>
        </is>
      </c>
      <c r="C4065">
        <f>ROMAN(4064)</f>
        <v/>
      </c>
      <c r="D4065">
        <f>IF(B4065=C4065, "YES", "WRONG")</f>
        <v/>
      </c>
    </row>
    <row r="4066">
      <c r="A4066" t="n">
        <v>4065</v>
      </c>
      <c r="B4066" t="inlineStr">
        <is>
          <t>MV̅LXV</t>
        </is>
      </c>
      <c r="C4066">
        <f>ROMAN(4065)</f>
        <v/>
      </c>
      <c r="D4066">
        <f>IF(B4066=C4066, "YES", "WRONG")</f>
        <v/>
      </c>
    </row>
    <row r="4067">
      <c r="A4067" t="n">
        <v>4066</v>
      </c>
      <c r="B4067" t="inlineStr">
        <is>
          <t>MV̅LXVI</t>
        </is>
      </c>
      <c r="C4067">
        <f>ROMAN(4066)</f>
        <v/>
      </c>
      <c r="D4067">
        <f>IF(B4067=C4067, "YES", "WRONG")</f>
        <v/>
      </c>
    </row>
    <row r="4068">
      <c r="A4068" t="n">
        <v>4067</v>
      </c>
      <c r="B4068" t="inlineStr">
        <is>
          <t>MV̅LXVII</t>
        </is>
      </c>
      <c r="C4068">
        <f>ROMAN(4067)</f>
        <v/>
      </c>
      <c r="D4068">
        <f>IF(B4068=C4068, "YES", "WRONG")</f>
        <v/>
      </c>
    </row>
    <row r="4069">
      <c r="A4069" t="n">
        <v>4068</v>
      </c>
      <c r="B4069" t="inlineStr">
        <is>
          <t>MV̅LXVIII</t>
        </is>
      </c>
      <c r="C4069">
        <f>ROMAN(4068)</f>
        <v/>
      </c>
      <c r="D4069">
        <f>IF(B4069=C4069, "YES", "WRONG")</f>
        <v/>
      </c>
    </row>
    <row r="4070">
      <c r="A4070" t="n">
        <v>4069</v>
      </c>
      <c r="B4070" t="inlineStr">
        <is>
          <t>MV̅LXIX</t>
        </is>
      </c>
      <c r="C4070">
        <f>ROMAN(4069)</f>
        <v/>
      </c>
      <c r="D4070">
        <f>IF(B4070=C4070, "YES", "WRONG")</f>
        <v/>
      </c>
    </row>
    <row r="4071">
      <c r="A4071" t="n">
        <v>4070</v>
      </c>
      <c r="B4071" t="inlineStr">
        <is>
          <t>MV̅LXX</t>
        </is>
      </c>
      <c r="C4071">
        <f>ROMAN(4070)</f>
        <v/>
      </c>
      <c r="D4071">
        <f>IF(B4071=C4071, "YES", "WRONG")</f>
        <v/>
      </c>
    </row>
    <row r="4072">
      <c r="A4072" t="n">
        <v>4071</v>
      </c>
      <c r="B4072" t="inlineStr">
        <is>
          <t>MV̅LXXI</t>
        </is>
      </c>
      <c r="C4072">
        <f>ROMAN(4071)</f>
        <v/>
      </c>
      <c r="D4072">
        <f>IF(B4072=C4072, "YES", "WRONG")</f>
        <v/>
      </c>
    </row>
    <row r="4073">
      <c r="A4073" t="n">
        <v>4072</v>
      </c>
      <c r="B4073" t="inlineStr">
        <is>
          <t>MV̅LXXII</t>
        </is>
      </c>
      <c r="C4073">
        <f>ROMAN(4072)</f>
        <v/>
      </c>
      <c r="D4073">
        <f>IF(B4073=C4073, "YES", "WRONG")</f>
        <v/>
      </c>
    </row>
    <row r="4074">
      <c r="A4074" t="n">
        <v>4073</v>
      </c>
      <c r="B4074" t="inlineStr">
        <is>
          <t>MV̅LXXIII</t>
        </is>
      </c>
      <c r="C4074">
        <f>ROMAN(4073)</f>
        <v/>
      </c>
      <c r="D4074">
        <f>IF(B4074=C4074, "YES", "WRONG")</f>
        <v/>
      </c>
    </row>
    <row r="4075">
      <c r="A4075" t="n">
        <v>4074</v>
      </c>
      <c r="B4075" t="inlineStr">
        <is>
          <t>MV̅LXXIV</t>
        </is>
      </c>
      <c r="C4075">
        <f>ROMAN(4074)</f>
        <v/>
      </c>
      <c r="D4075">
        <f>IF(B4075=C4075, "YES", "WRONG")</f>
        <v/>
      </c>
    </row>
    <row r="4076">
      <c r="A4076" t="n">
        <v>4075</v>
      </c>
      <c r="B4076" t="inlineStr">
        <is>
          <t>MV̅LXXV</t>
        </is>
      </c>
      <c r="C4076">
        <f>ROMAN(4075)</f>
        <v/>
      </c>
      <c r="D4076">
        <f>IF(B4076=C4076, "YES", "WRONG")</f>
        <v/>
      </c>
    </row>
    <row r="4077">
      <c r="A4077" t="n">
        <v>4076</v>
      </c>
      <c r="B4077" t="inlineStr">
        <is>
          <t>MV̅LXXVI</t>
        </is>
      </c>
      <c r="C4077">
        <f>ROMAN(4076)</f>
        <v/>
      </c>
      <c r="D4077">
        <f>IF(B4077=C4077, "YES", "WRONG")</f>
        <v/>
      </c>
    </row>
    <row r="4078">
      <c r="A4078" t="n">
        <v>4077</v>
      </c>
      <c r="B4078" t="inlineStr">
        <is>
          <t>MV̅LXXVII</t>
        </is>
      </c>
      <c r="C4078">
        <f>ROMAN(4077)</f>
        <v/>
      </c>
      <c r="D4078">
        <f>IF(B4078=C4078, "YES", "WRONG")</f>
        <v/>
      </c>
    </row>
    <row r="4079">
      <c r="A4079" t="n">
        <v>4078</v>
      </c>
      <c r="B4079" t="inlineStr">
        <is>
          <t>MV̅LXXVIII</t>
        </is>
      </c>
      <c r="C4079">
        <f>ROMAN(4078)</f>
        <v/>
      </c>
      <c r="D4079">
        <f>IF(B4079=C4079, "YES", "WRONG")</f>
        <v/>
      </c>
    </row>
    <row r="4080">
      <c r="A4080" t="n">
        <v>4079</v>
      </c>
      <c r="B4080" t="inlineStr">
        <is>
          <t>MV̅LXXIX</t>
        </is>
      </c>
      <c r="C4080">
        <f>ROMAN(4079)</f>
        <v/>
      </c>
      <c r="D4080">
        <f>IF(B4080=C4080, "YES", "WRONG")</f>
        <v/>
      </c>
    </row>
    <row r="4081">
      <c r="A4081" t="n">
        <v>4080</v>
      </c>
      <c r="B4081" t="inlineStr">
        <is>
          <t>MV̅LXXX</t>
        </is>
      </c>
      <c r="C4081">
        <f>ROMAN(4080)</f>
        <v/>
      </c>
      <c r="D4081">
        <f>IF(B4081=C4081, "YES", "WRONG")</f>
        <v/>
      </c>
    </row>
    <row r="4082">
      <c r="A4082" t="n">
        <v>4081</v>
      </c>
      <c r="B4082" t="inlineStr">
        <is>
          <t>MV̅LXXXI</t>
        </is>
      </c>
      <c r="C4082">
        <f>ROMAN(4081)</f>
        <v/>
      </c>
      <c r="D4082">
        <f>IF(B4082=C4082, "YES", "WRONG")</f>
        <v/>
      </c>
    </row>
    <row r="4083">
      <c r="A4083" t="n">
        <v>4082</v>
      </c>
      <c r="B4083" t="inlineStr">
        <is>
          <t>MV̅LXXXII</t>
        </is>
      </c>
      <c r="C4083">
        <f>ROMAN(4082)</f>
        <v/>
      </c>
      <c r="D4083">
        <f>IF(B4083=C4083, "YES", "WRONG")</f>
        <v/>
      </c>
    </row>
    <row r="4084">
      <c r="A4084" t="n">
        <v>4083</v>
      </c>
      <c r="B4084" t="inlineStr">
        <is>
          <t>MV̅LXXXIII</t>
        </is>
      </c>
      <c r="C4084">
        <f>ROMAN(4083)</f>
        <v/>
      </c>
      <c r="D4084">
        <f>IF(B4084=C4084, "YES", "WRONG")</f>
        <v/>
      </c>
    </row>
    <row r="4085">
      <c r="A4085" t="n">
        <v>4084</v>
      </c>
      <c r="B4085" t="inlineStr">
        <is>
          <t>MV̅LXXXIV</t>
        </is>
      </c>
      <c r="C4085">
        <f>ROMAN(4084)</f>
        <v/>
      </c>
      <c r="D4085">
        <f>IF(B4085=C4085, "YES", "WRONG")</f>
        <v/>
      </c>
    </row>
    <row r="4086">
      <c r="A4086" t="n">
        <v>4085</v>
      </c>
      <c r="B4086" t="inlineStr">
        <is>
          <t>MV̅LXXXV</t>
        </is>
      </c>
      <c r="C4086">
        <f>ROMAN(4085)</f>
        <v/>
      </c>
      <c r="D4086">
        <f>IF(B4086=C4086, "YES", "WRONG")</f>
        <v/>
      </c>
    </row>
    <row r="4087">
      <c r="A4087" t="n">
        <v>4086</v>
      </c>
      <c r="B4087" t="inlineStr">
        <is>
          <t>MV̅LXXXVI</t>
        </is>
      </c>
      <c r="C4087">
        <f>ROMAN(4086)</f>
        <v/>
      </c>
      <c r="D4087">
        <f>IF(B4087=C4087, "YES", "WRONG")</f>
        <v/>
      </c>
    </row>
    <row r="4088">
      <c r="A4088" t="n">
        <v>4087</v>
      </c>
      <c r="B4088" t="inlineStr">
        <is>
          <t>MV̅LXXXVII</t>
        </is>
      </c>
      <c r="C4088">
        <f>ROMAN(4087)</f>
        <v/>
      </c>
      <c r="D4088">
        <f>IF(B4088=C4088, "YES", "WRONG")</f>
        <v/>
      </c>
    </row>
    <row r="4089">
      <c r="A4089" t="n">
        <v>4088</v>
      </c>
      <c r="B4089" t="inlineStr">
        <is>
          <t>MV̅LXXXVIII</t>
        </is>
      </c>
      <c r="C4089">
        <f>ROMAN(4088)</f>
        <v/>
      </c>
      <c r="D4089">
        <f>IF(B4089=C4089, "YES", "WRONG")</f>
        <v/>
      </c>
    </row>
    <row r="4090">
      <c r="A4090" t="n">
        <v>4089</v>
      </c>
      <c r="B4090" t="inlineStr">
        <is>
          <t>MV̅LXXXIX</t>
        </is>
      </c>
      <c r="C4090">
        <f>ROMAN(4089)</f>
        <v/>
      </c>
      <c r="D4090">
        <f>IF(B4090=C4090, "YES", "WRONG")</f>
        <v/>
      </c>
    </row>
    <row r="4091">
      <c r="A4091" t="n">
        <v>4090</v>
      </c>
      <c r="B4091" t="inlineStr">
        <is>
          <t>MV̅XC</t>
        </is>
      </c>
      <c r="C4091">
        <f>ROMAN(4090)</f>
        <v/>
      </c>
      <c r="D4091">
        <f>IF(B4091=C4091, "YES", "WRONG")</f>
        <v/>
      </c>
    </row>
    <row r="4092">
      <c r="A4092" t="n">
        <v>4091</v>
      </c>
      <c r="B4092" t="inlineStr">
        <is>
          <t>MV̅XCI</t>
        </is>
      </c>
      <c r="C4092">
        <f>ROMAN(4091)</f>
        <v/>
      </c>
      <c r="D4092">
        <f>IF(B4092=C4092, "YES", "WRONG")</f>
        <v/>
      </c>
    </row>
    <row r="4093">
      <c r="A4093" t="n">
        <v>4092</v>
      </c>
      <c r="B4093" t="inlineStr">
        <is>
          <t>MV̅XCII</t>
        </is>
      </c>
      <c r="C4093">
        <f>ROMAN(4092)</f>
        <v/>
      </c>
      <c r="D4093">
        <f>IF(B4093=C4093, "YES", "WRONG")</f>
        <v/>
      </c>
    </row>
    <row r="4094">
      <c r="A4094" t="n">
        <v>4093</v>
      </c>
      <c r="B4094" t="inlineStr">
        <is>
          <t>MV̅XCIII</t>
        </is>
      </c>
      <c r="C4094">
        <f>ROMAN(4093)</f>
        <v/>
      </c>
      <c r="D4094">
        <f>IF(B4094=C4094, "YES", "WRONG")</f>
        <v/>
      </c>
    </row>
    <row r="4095">
      <c r="A4095" t="n">
        <v>4094</v>
      </c>
      <c r="B4095" t="inlineStr">
        <is>
          <t>MV̅XCIV</t>
        </is>
      </c>
      <c r="C4095">
        <f>ROMAN(4094)</f>
        <v/>
      </c>
      <c r="D4095">
        <f>IF(B4095=C4095, "YES", "WRONG")</f>
        <v/>
      </c>
    </row>
    <row r="4096">
      <c r="A4096" t="n">
        <v>4095</v>
      </c>
      <c r="B4096" t="inlineStr">
        <is>
          <t>MV̅XCV</t>
        </is>
      </c>
      <c r="C4096">
        <f>ROMAN(4095)</f>
        <v/>
      </c>
      <c r="D4096">
        <f>IF(B4096=C4096, "YES", "WRONG")</f>
        <v/>
      </c>
    </row>
    <row r="4097">
      <c r="A4097" t="n">
        <v>4096</v>
      </c>
      <c r="B4097" t="inlineStr">
        <is>
          <t>MV̅XCVI</t>
        </is>
      </c>
      <c r="C4097">
        <f>ROMAN(4096)</f>
        <v/>
      </c>
      <c r="D4097">
        <f>IF(B4097=C4097, "YES", "WRONG")</f>
        <v/>
      </c>
    </row>
    <row r="4098">
      <c r="A4098" t="n">
        <v>4097</v>
      </c>
      <c r="B4098" t="inlineStr">
        <is>
          <t>MV̅XCVII</t>
        </is>
      </c>
      <c r="C4098">
        <f>ROMAN(4097)</f>
        <v/>
      </c>
      <c r="D4098">
        <f>IF(B4098=C4098, "YES", "WRONG")</f>
        <v/>
      </c>
    </row>
    <row r="4099">
      <c r="A4099" t="n">
        <v>4098</v>
      </c>
      <c r="B4099" t="inlineStr">
        <is>
          <t>MV̅XCVIII</t>
        </is>
      </c>
      <c r="C4099">
        <f>ROMAN(4098)</f>
        <v/>
      </c>
      <c r="D4099">
        <f>IF(B4099=C4099, "YES", "WRONG")</f>
        <v/>
      </c>
    </row>
    <row r="4100">
      <c r="A4100" t="n">
        <v>4099</v>
      </c>
      <c r="B4100" t="inlineStr">
        <is>
          <t>MV̅XCIX</t>
        </is>
      </c>
      <c r="C4100">
        <f>ROMAN(4099)</f>
        <v/>
      </c>
      <c r="D4100">
        <f>IF(B4100=C4100, "YES", "WRONG")</f>
        <v/>
      </c>
    </row>
    <row r="4101">
      <c r="A4101" t="n">
        <v>4100</v>
      </c>
      <c r="B4101" t="inlineStr">
        <is>
          <t>MV̅C</t>
        </is>
      </c>
      <c r="C4101">
        <f>ROMAN(4100)</f>
        <v/>
      </c>
      <c r="D4101">
        <f>IF(B4101=C4101, "YES", "WRONG")</f>
        <v/>
      </c>
    </row>
    <row r="4102">
      <c r="A4102" t="n">
        <v>4101</v>
      </c>
      <c r="B4102" t="inlineStr">
        <is>
          <t>MV̅CI</t>
        </is>
      </c>
      <c r="C4102">
        <f>ROMAN(4101)</f>
        <v/>
      </c>
      <c r="D4102">
        <f>IF(B4102=C4102, "YES", "WRONG")</f>
        <v/>
      </c>
    </row>
    <row r="4103">
      <c r="A4103" t="n">
        <v>4102</v>
      </c>
      <c r="B4103" t="inlineStr">
        <is>
          <t>MV̅CII</t>
        </is>
      </c>
      <c r="C4103">
        <f>ROMAN(4102)</f>
        <v/>
      </c>
      <c r="D4103">
        <f>IF(B4103=C4103, "YES", "WRONG")</f>
        <v/>
      </c>
    </row>
    <row r="4104">
      <c r="A4104" t="n">
        <v>4103</v>
      </c>
      <c r="B4104" t="inlineStr">
        <is>
          <t>MV̅CIII</t>
        </is>
      </c>
      <c r="C4104">
        <f>ROMAN(4103)</f>
        <v/>
      </c>
      <c r="D4104">
        <f>IF(B4104=C4104, "YES", "WRONG")</f>
        <v/>
      </c>
    </row>
    <row r="4105">
      <c r="A4105" t="n">
        <v>4104</v>
      </c>
      <c r="B4105" t="inlineStr">
        <is>
          <t>MV̅CIV</t>
        </is>
      </c>
      <c r="C4105">
        <f>ROMAN(4104)</f>
        <v/>
      </c>
      <c r="D4105">
        <f>IF(B4105=C4105, "YES", "WRONG")</f>
        <v/>
      </c>
    </row>
    <row r="4106">
      <c r="A4106" t="n">
        <v>4105</v>
      </c>
      <c r="B4106" t="inlineStr">
        <is>
          <t>MV̅CV</t>
        </is>
      </c>
      <c r="C4106">
        <f>ROMAN(4105)</f>
        <v/>
      </c>
      <c r="D4106">
        <f>IF(B4106=C4106, "YES", "WRONG")</f>
        <v/>
      </c>
    </row>
    <row r="4107">
      <c r="A4107" t="n">
        <v>4106</v>
      </c>
      <c r="B4107" t="inlineStr">
        <is>
          <t>MV̅CVI</t>
        </is>
      </c>
      <c r="C4107">
        <f>ROMAN(4106)</f>
        <v/>
      </c>
      <c r="D4107">
        <f>IF(B4107=C4107, "YES", "WRONG")</f>
        <v/>
      </c>
    </row>
    <row r="4108">
      <c r="A4108" t="n">
        <v>4107</v>
      </c>
      <c r="B4108" t="inlineStr">
        <is>
          <t>MV̅CVII</t>
        </is>
      </c>
      <c r="C4108">
        <f>ROMAN(4107)</f>
        <v/>
      </c>
      <c r="D4108">
        <f>IF(B4108=C4108, "YES", "WRONG")</f>
        <v/>
      </c>
    </row>
    <row r="4109">
      <c r="A4109" t="n">
        <v>4108</v>
      </c>
      <c r="B4109" t="inlineStr">
        <is>
          <t>MV̅CVIII</t>
        </is>
      </c>
      <c r="C4109">
        <f>ROMAN(4108)</f>
        <v/>
      </c>
      <c r="D4109">
        <f>IF(B4109=C4109, "YES", "WRONG")</f>
        <v/>
      </c>
    </row>
    <row r="4110">
      <c r="A4110" t="n">
        <v>4109</v>
      </c>
      <c r="B4110" t="inlineStr">
        <is>
          <t>MV̅CIX</t>
        </is>
      </c>
      <c r="C4110">
        <f>ROMAN(4109)</f>
        <v/>
      </c>
      <c r="D4110">
        <f>IF(B4110=C4110, "YES", "WRONG")</f>
        <v/>
      </c>
    </row>
    <row r="4111">
      <c r="A4111" t="n">
        <v>4110</v>
      </c>
      <c r="B4111" t="inlineStr">
        <is>
          <t>MV̅CX</t>
        </is>
      </c>
      <c r="C4111">
        <f>ROMAN(4110)</f>
        <v/>
      </c>
      <c r="D4111">
        <f>IF(B4111=C4111, "YES", "WRONG")</f>
        <v/>
      </c>
    </row>
    <row r="4112">
      <c r="A4112" t="n">
        <v>4111</v>
      </c>
      <c r="B4112" t="inlineStr">
        <is>
          <t>MV̅CXI</t>
        </is>
      </c>
      <c r="C4112">
        <f>ROMAN(4111)</f>
        <v/>
      </c>
      <c r="D4112">
        <f>IF(B4112=C4112, "YES", "WRONG")</f>
        <v/>
      </c>
    </row>
    <row r="4113">
      <c r="A4113" t="n">
        <v>4112</v>
      </c>
      <c r="B4113" t="inlineStr">
        <is>
          <t>MV̅CXII</t>
        </is>
      </c>
      <c r="C4113">
        <f>ROMAN(4112)</f>
        <v/>
      </c>
      <c r="D4113">
        <f>IF(B4113=C4113, "YES", "WRONG")</f>
        <v/>
      </c>
    </row>
    <row r="4114">
      <c r="A4114" t="n">
        <v>4113</v>
      </c>
      <c r="B4114" t="inlineStr">
        <is>
          <t>MV̅CXIII</t>
        </is>
      </c>
      <c r="C4114">
        <f>ROMAN(4113)</f>
        <v/>
      </c>
      <c r="D4114">
        <f>IF(B4114=C4114, "YES", "WRONG")</f>
        <v/>
      </c>
    </row>
    <row r="4115">
      <c r="A4115" t="n">
        <v>4114</v>
      </c>
      <c r="B4115" t="inlineStr">
        <is>
          <t>MV̅CXIV</t>
        </is>
      </c>
      <c r="C4115">
        <f>ROMAN(4114)</f>
        <v/>
      </c>
      <c r="D4115">
        <f>IF(B4115=C4115, "YES", "WRONG")</f>
        <v/>
      </c>
    </row>
    <row r="4116">
      <c r="A4116" t="n">
        <v>4115</v>
      </c>
      <c r="B4116" t="inlineStr">
        <is>
          <t>MV̅CXV</t>
        </is>
      </c>
      <c r="C4116">
        <f>ROMAN(4115)</f>
        <v/>
      </c>
      <c r="D4116">
        <f>IF(B4116=C4116, "YES", "WRONG")</f>
        <v/>
      </c>
    </row>
    <row r="4117">
      <c r="A4117" t="n">
        <v>4116</v>
      </c>
      <c r="B4117" t="inlineStr">
        <is>
          <t>MV̅CXVI</t>
        </is>
      </c>
      <c r="C4117">
        <f>ROMAN(4116)</f>
        <v/>
      </c>
      <c r="D4117">
        <f>IF(B4117=C4117, "YES", "WRONG")</f>
        <v/>
      </c>
    </row>
    <row r="4118">
      <c r="A4118" t="n">
        <v>4117</v>
      </c>
      <c r="B4118" t="inlineStr">
        <is>
          <t>MV̅CXVII</t>
        </is>
      </c>
      <c r="C4118">
        <f>ROMAN(4117)</f>
        <v/>
      </c>
      <c r="D4118">
        <f>IF(B4118=C4118, "YES", "WRONG")</f>
        <v/>
      </c>
    </row>
    <row r="4119">
      <c r="A4119" t="n">
        <v>4118</v>
      </c>
      <c r="B4119" t="inlineStr">
        <is>
          <t>MV̅CXVIII</t>
        </is>
      </c>
      <c r="C4119">
        <f>ROMAN(4118)</f>
        <v/>
      </c>
      <c r="D4119">
        <f>IF(B4119=C4119, "YES", "WRONG")</f>
        <v/>
      </c>
    </row>
    <row r="4120">
      <c r="A4120" t="n">
        <v>4119</v>
      </c>
      <c r="B4120" t="inlineStr">
        <is>
          <t>MV̅CXIX</t>
        </is>
      </c>
      <c r="C4120">
        <f>ROMAN(4119)</f>
        <v/>
      </c>
      <c r="D4120">
        <f>IF(B4120=C4120, "YES", "WRONG")</f>
        <v/>
      </c>
    </row>
    <row r="4121">
      <c r="A4121" t="n">
        <v>4120</v>
      </c>
      <c r="B4121" t="inlineStr">
        <is>
          <t>MV̅CXX</t>
        </is>
      </c>
      <c r="C4121">
        <f>ROMAN(4120)</f>
        <v/>
      </c>
      <c r="D4121">
        <f>IF(B4121=C4121, "YES", "WRONG")</f>
        <v/>
      </c>
    </row>
    <row r="4122">
      <c r="A4122" t="n">
        <v>4121</v>
      </c>
      <c r="B4122" t="inlineStr">
        <is>
          <t>MV̅CXXI</t>
        </is>
      </c>
      <c r="C4122">
        <f>ROMAN(4121)</f>
        <v/>
      </c>
      <c r="D4122">
        <f>IF(B4122=C4122, "YES", "WRONG")</f>
        <v/>
      </c>
    </row>
    <row r="4123">
      <c r="A4123" t="n">
        <v>4122</v>
      </c>
      <c r="B4123" t="inlineStr">
        <is>
          <t>MV̅CXXII</t>
        </is>
      </c>
      <c r="C4123">
        <f>ROMAN(4122)</f>
        <v/>
      </c>
      <c r="D4123">
        <f>IF(B4123=C4123, "YES", "WRONG")</f>
        <v/>
      </c>
    </row>
    <row r="4124">
      <c r="A4124" t="n">
        <v>4123</v>
      </c>
      <c r="B4124" t="inlineStr">
        <is>
          <t>MV̅CXXIII</t>
        </is>
      </c>
      <c r="C4124">
        <f>ROMAN(4123)</f>
        <v/>
      </c>
      <c r="D4124">
        <f>IF(B4124=C4124, "YES", "WRONG")</f>
        <v/>
      </c>
    </row>
    <row r="4125">
      <c r="A4125" t="n">
        <v>4124</v>
      </c>
      <c r="B4125" t="inlineStr">
        <is>
          <t>MV̅CXXIV</t>
        </is>
      </c>
      <c r="C4125">
        <f>ROMAN(4124)</f>
        <v/>
      </c>
      <c r="D4125">
        <f>IF(B4125=C4125, "YES", "WRONG")</f>
        <v/>
      </c>
    </row>
    <row r="4126">
      <c r="A4126" t="n">
        <v>4125</v>
      </c>
      <c r="B4126" t="inlineStr">
        <is>
          <t>MV̅CXXV</t>
        </is>
      </c>
      <c r="C4126">
        <f>ROMAN(4125)</f>
        <v/>
      </c>
      <c r="D4126">
        <f>IF(B4126=C4126, "YES", "WRONG")</f>
        <v/>
      </c>
    </row>
    <row r="4127">
      <c r="A4127" t="n">
        <v>4126</v>
      </c>
      <c r="B4127" t="inlineStr">
        <is>
          <t>MV̅CXXVI</t>
        </is>
      </c>
      <c r="C4127">
        <f>ROMAN(4126)</f>
        <v/>
      </c>
      <c r="D4127">
        <f>IF(B4127=C4127, "YES", "WRONG")</f>
        <v/>
      </c>
    </row>
    <row r="4128">
      <c r="A4128" t="n">
        <v>4127</v>
      </c>
      <c r="B4128" t="inlineStr">
        <is>
          <t>MV̅CXXVII</t>
        </is>
      </c>
      <c r="C4128">
        <f>ROMAN(4127)</f>
        <v/>
      </c>
      <c r="D4128">
        <f>IF(B4128=C4128, "YES", "WRONG")</f>
        <v/>
      </c>
    </row>
    <row r="4129">
      <c r="A4129" t="n">
        <v>4128</v>
      </c>
      <c r="B4129" t="inlineStr">
        <is>
          <t>MV̅CXXVIII</t>
        </is>
      </c>
      <c r="C4129">
        <f>ROMAN(4128)</f>
        <v/>
      </c>
      <c r="D4129">
        <f>IF(B4129=C4129, "YES", "WRONG")</f>
        <v/>
      </c>
    </row>
    <row r="4130">
      <c r="A4130" t="n">
        <v>4129</v>
      </c>
      <c r="B4130" t="inlineStr">
        <is>
          <t>MV̅CXXIX</t>
        </is>
      </c>
      <c r="C4130">
        <f>ROMAN(4129)</f>
        <v/>
      </c>
      <c r="D4130">
        <f>IF(B4130=C4130, "YES", "WRONG")</f>
        <v/>
      </c>
    </row>
    <row r="4131">
      <c r="A4131" t="n">
        <v>4130</v>
      </c>
      <c r="B4131" t="inlineStr">
        <is>
          <t>MV̅CXXX</t>
        </is>
      </c>
      <c r="C4131">
        <f>ROMAN(4130)</f>
        <v/>
      </c>
      <c r="D4131">
        <f>IF(B4131=C4131, "YES", "WRONG")</f>
        <v/>
      </c>
    </row>
    <row r="4132">
      <c r="A4132" t="n">
        <v>4131</v>
      </c>
      <c r="B4132" t="inlineStr">
        <is>
          <t>MV̅CXXXI</t>
        </is>
      </c>
      <c r="C4132">
        <f>ROMAN(4131)</f>
        <v/>
      </c>
      <c r="D4132">
        <f>IF(B4132=C4132, "YES", "WRONG")</f>
        <v/>
      </c>
    </row>
    <row r="4133">
      <c r="A4133" t="n">
        <v>4132</v>
      </c>
      <c r="B4133" t="inlineStr">
        <is>
          <t>MV̅CXXXII</t>
        </is>
      </c>
      <c r="C4133">
        <f>ROMAN(4132)</f>
        <v/>
      </c>
      <c r="D4133">
        <f>IF(B4133=C4133, "YES", "WRONG")</f>
        <v/>
      </c>
    </row>
    <row r="4134">
      <c r="A4134" t="n">
        <v>4133</v>
      </c>
      <c r="B4134" t="inlineStr">
        <is>
          <t>MV̅CXXXIII</t>
        </is>
      </c>
      <c r="C4134">
        <f>ROMAN(4133)</f>
        <v/>
      </c>
      <c r="D4134">
        <f>IF(B4134=C4134, "YES", "WRONG")</f>
        <v/>
      </c>
    </row>
    <row r="4135">
      <c r="A4135" t="n">
        <v>4134</v>
      </c>
      <c r="B4135" t="inlineStr">
        <is>
          <t>MV̅CXXXIV</t>
        </is>
      </c>
      <c r="C4135">
        <f>ROMAN(4134)</f>
        <v/>
      </c>
      <c r="D4135">
        <f>IF(B4135=C4135, "YES", "WRONG")</f>
        <v/>
      </c>
    </row>
    <row r="4136">
      <c r="A4136" t="n">
        <v>4135</v>
      </c>
      <c r="B4136" t="inlineStr">
        <is>
          <t>MV̅CXXXV</t>
        </is>
      </c>
      <c r="C4136">
        <f>ROMAN(4135)</f>
        <v/>
      </c>
      <c r="D4136">
        <f>IF(B4136=C4136, "YES", "WRONG")</f>
        <v/>
      </c>
    </row>
    <row r="4137">
      <c r="A4137" t="n">
        <v>4136</v>
      </c>
      <c r="B4137" t="inlineStr">
        <is>
          <t>MV̅CXXXVI</t>
        </is>
      </c>
      <c r="C4137">
        <f>ROMAN(4136)</f>
        <v/>
      </c>
      <c r="D4137">
        <f>IF(B4137=C4137, "YES", "WRONG")</f>
        <v/>
      </c>
    </row>
    <row r="4138">
      <c r="A4138" t="n">
        <v>4137</v>
      </c>
      <c r="B4138" t="inlineStr">
        <is>
          <t>MV̅CXXXVII</t>
        </is>
      </c>
      <c r="C4138">
        <f>ROMAN(4137)</f>
        <v/>
      </c>
      <c r="D4138">
        <f>IF(B4138=C4138, "YES", "WRONG")</f>
        <v/>
      </c>
    </row>
    <row r="4139">
      <c r="A4139" t="n">
        <v>4138</v>
      </c>
      <c r="B4139" t="inlineStr">
        <is>
          <t>MV̅CXXXVIII</t>
        </is>
      </c>
      <c r="C4139">
        <f>ROMAN(4138)</f>
        <v/>
      </c>
      <c r="D4139">
        <f>IF(B4139=C4139, "YES", "WRONG")</f>
        <v/>
      </c>
    </row>
    <row r="4140">
      <c r="A4140" t="n">
        <v>4139</v>
      </c>
      <c r="B4140" t="inlineStr">
        <is>
          <t>MV̅CXXXIX</t>
        </is>
      </c>
      <c r="C4140">
        <f>ROMAN(4139)</f>
        <v/>
      </c>
      <c r="D4140">
        <f>IF(B4140=C4140, "YES", "WRONG")</f>
        <v/>
      </c>
    </row>
    <row r="4141">
      <c r="A4141" t="n">
        <v>4140</v>
      </c>
      <c r="B4141" t="inlineStr">
        <is>
          <t>MV̅CXL</t>
        </is>
      </c>
      <c r="C4141">
        <f>ROMAN(4140)</f>
        <v/>
      </c>
      <c r="D4141">
        <f>IF(B4141=C4141, "YES", "WRONG")</f>
        <v/>
      </c>
    </row>
    <row r="4142">
      <c r="A4142" t="n">
        <v>4141</v>
      </c>
      <c r="B4142" t="inlineStr">
        <is>
          <t>MV̅CXLI</t>
        </is>
      </c>
      <c r="C4142">
        <f>ROMAN(4141)</f>
        <v/>
      </c>
      <c r="D4142">
        <f>IF(B4142=C4142, "YES", "WRONG")</f>
        <v/>
      </c>
    </row>
    <row r="4143">
      <c r="A4143" t="n">
        <v>4142</v>
      </c>
      <c r="B4143" t="inlineStr">
        <is>
          <t>MV̅CXLII</t>
        </is>
      </c>
      <c r="C4143">
        <f>ROMAN(4142)</f>
        <v/>
      </c>
      <c r="D4143">
        <f>IF(B4143=C4143, "YES", "WRONG")</f>
        <v/>
      </c>
    </row>
    <row r="4144">
      <c r="A4144" t="n">
        <v>4143</v>
      </c>
      <c r="B4144" t="inlineStr">
        <is>
          <t>MV̅CXLIII</t>
        </is>
      </c>
      <c r="C4144">
        <f>ROMAN(4143)</f>
        <v/>
      </c>
      <c r="D4144">
        <f>IF(B4144=C4144, "YES", "WRONG")</f>
        <v/>
      </c>
    </row>
    <row r="4145">
      <c r="A4145" t="n">
        <v>4144</v>
      </c>
      <c r="B4145" t="inlineStr">
        <is>
          <t>MV̅CXLIV</t>
        </is>
      </c>
      <c r="C4145">
        <f>ROMAN(4144)</f>
        <v/>
      </c>
      <c r="D4145">
        <f>IF(B4145=C4145, "YES", "WRONG")</f>
        <v/>
      </c>
    </row>
    <row r="4146">
      <c r="A4146" t="n">
        <v>4145</v>
      </c>
      <c r="B4146" t="inlineStr">
        <is>
          <t>MV̅CXLV</t>
        </is>
      </c>
      <c r="C4146">
        <f>ROMAN(4145)</f>
        <v/>
      </c>
      <c r="D4146">
        <f>IF(B4146=C4146, "YES", "WRONG")</f>
        <v/>
      </c>
    </row>
    <row r="4147">
      <c r="A4147" t="n">
        <v>4146</v>
      </c>
      <c r="B4147" t="inlineStr">
        <is>
          <t>MV̅CXLVI</t>
        </is>
      </c>
      <c r="C4147">
        <f>ROMAN(4146)</f>
        <v/>
      </c>
      <c r="D4147">
        <f>IF(B4147=C4147, "YES", "WRONG")</f>
        <v/>
      </c>
    </row>
    <row r="4148">
      <c r="A4148" t="n">
        <v>4147</v>
      </c>
      <c r="B4148" t="inlineStr">
        <is>
          <t>MV̅CXLVII</t>
        </is>
      </c>
      <c r="C4148">
        <f>ROMAN(4147)</f>
        <v/>
      </c>
      <c r="D4148">
        <f>IF(B4148=C4148, "YES", "WRONG")</f>
        <v/>
      </c>
    </row>
    <row r="4149">
      <c r="A4149" t="n">
        <v>4148</v>
      </c>
      <c r="B4149" t="inlineStr">
        <is>
          <t>MV̅CXLVIII</t>
        </is>
      </c>
      <c r="C4149">
        <f>ROMAN(4148)</f>
        <v/>
      </c>
      <c r="D4149">
        <f>IF(B4149=C4149, "YES", "WRONG")</f>
        <v/>
      </c>
    </row>
    <row r="4150">
      <c r="A4150" t="n">
        <v>4149</v>
      </c>
      <c r="B4150" t="inlineStr">
        <is>
          <t>MV̅CXLIX</t>
        </is>
      </c>
      <c r="C4150">
        <f>ROMAN(4149)</f>
        <v/>
      </c>
      <c r="D4150">
        <f>IF(B4150=C4150, "YES", "WRONG")</f>
        <v/>
      </c>
    </row>
    <row r="4151">
      <c r="A4151" t="n">
        <v>4150</v>
      </c>
      <c r="B4151" t="inlineStr">
        <is>
          <t>MV̅CL</t>
        </is>
      </c>
      <c r="C4151">
        <f>ROMAN(4150)</f>
        <v/>
      </c>
      <c r="D4151">
        <f>IF(B4151=C4151, "YES", "WRONG")</f>
        <v/>
      </c>
    </row>
    <row r="4152">
      <c r="A4152" t="n">
        <v>4151</v>
      </c>
      <c r="B4152" t="inlineStr">
        <is>
          <t>MV̅CLI</t>
        </is>
      </c>
      <c r="C4152">
        <f>ROMAN(4151)</f>
        <v/>
      </c>
      <c r="D4152">
        <f>IF(B4152=C4152, "YES", "WRONG")</f>
        <v/>
      </c>
    </row>
    <row r="4153">
      <c r="A4153" t="n">
        <v>4152</v>
      </c>
      <c r="B4153" t="inlineStr">
        <is>
          <t>MV̅CLII</t>
        </is>
      </c>
      <c r="C4153">
        <f>ROMAN(4152)</f>
        <v/>
      </c>
      <c r="D4153">
        <f>IF(B4153=C4153, "YES", "WRONG")</f>
        <v/>
      </c>
    </row>
    <row r="4154">
      <c r="A4154" t="n">
        <v>4153</v>
      </c>
      <c r="B4154" t="inlineStr">
        <is>
          <t>MV̅CLIII</t>
        </is>
      </c>
      <c r="C4154">
        <f>ROMAN(4153)</f>
        <v/>
      </c>
      <c r="D4154">
        <f>IF(B4154=C4154, "YES", "WRONG")</f>
        <v/>
      </c>
    </row>
    <row r="4155">
      <c r="A4155" t="n">
        <v>4154</v>
      </c>
      <c r="B4155" t="inlineStr">
        <is>
          <t>MV̅CLIV</t>
        </is>
      </c>
      <c r="C4155">
        <f>ROMAN(4154)</f>
        <v/>
      </c>
      <c r="D4155">
        <f>IF(B4155=C4155, "YES", "WRONG")</f>
        <v/>
      </c>
    </row>
    <row r="4156">
      <c r="A4156" t="n">
        <v>4155</v>
      </c>
      <c r="B4156" t="inlineStr">
        <is>
          <t>MV̅CLV</t>
        </is>
      </c>
      <c r="C4156">
        <f>ROMAN(4155)</f>
        <v/>
      </c>
      <c r="D4156">
        <f>IF(B4156=C4156, "YES", "WRONG")</f>
        <v/>
      </c>
    </row>
    <row r="4157">
      <c r="A4157" t="n">
        <v>4156</v>
      </c>
      <c r="B4157" t="inlineStr">
        <is>
          <t>MV̅CLVI</t>
        </is>
      </c>
      <c r="C4157">
        <f>ROMAN(4156)</f>
        <v/>
      </c>
      <c r="D4157">
        <f>IF(B4157=C4157, "YES", "WRONG")</f>
        <v/>
      </c>
    </row>
    <row r="4158">
      <c r="A4158" t="n">
        <v>4157</v>
      </c>
      <c r="B4158" t="inlineStr">
        <is>
          <t>MV̅CLVII</t>
        </is>
      </c>
      <c r="C4158">
        <f>ROMAN(4157)</f>
        <v/>
      </c>
      <c r="D4158">
        <f>IF(B4158=C4158, "YES", "WRONG")</f>
        <v/>
      </c>
    </row>
    <row r="4159">
      <c r="A4159" t="n">
        <v>4158</v>
      </c>
      <c r="B4159" t="inlineStr">
        <is>
          <t>MV̅CLVIII</t>
        </is>
      </c>
      <c r="C4159">
        <f>ROMAN(4158)</f>
        <v/>
      </c>
      <c r="D4159">
        <f>IF(B4159=C4159, "YES", "WRONG")</f>
        <v/>
      </c>
    </row>
    <row r="4160">
      <c r="A4160" t="n">
        <v>4159</v>
      </c>
      <c r="B4160" t="inlineStr">
        <is>
          <t>MV̅CLIX</t>
        </is>
      </c>
      <c r="C4160">
        <f>ROMAN(4159)</f>
        <v/>
      </c>
      <c r="D4160">
        <f>IF(B4160=C4160, "YES", "WRONG")</f>
        <v/>
      </c>
    </row>
    <row r="4161">
      <c r="A4161" t="n">
        <v>4160</v>
      </c>
      <c r="B4161" t="inlineStr">
        <is>
          <t>MV̅CLX</t>
        </is>
      </c>
      <c r="C4161">
        <f>ROMAN(4160)</f>
        <v/>
      </c>
      <c r="D4161">
        <f>IF(B4161=C4161, "YES", "WRONG")</f>
        <v/>
      </c>
    </row>
    <row r="4162">
      <c r="A4162" t="n">
        <v>4161</v>
      </c>
      <c r="B4162" t="inlineStr">
        <is>
          <t>MV̅CLXI</t>
        </is>
      </c>
      <c r="C4162">
        <f>ROMAN(4161)</f>
        <v/>
      </c>
      <c r="D4162">
        <f>IF(B4162=C4162, "YES", "WRONG")</f>
        <v/>
      </c>
    </row>
    <row r="4163">
      <c r="A4163" t="n">
        <v>4162</v>
      </c>
      <c r="B4163" t="inlineStr">
        <is>
          <t>MV̅CLXII</t>
        </is>
      </c>
      <c r="C4163">
        <f>ROMAN(4162)</f>
        <v/>
      </c>
      <c r="D4163">
        <f>IF(B4163=C4163, "YES", "WRONG")</f>
        <v/>
      </c>
    </row>
    <row r="4164">
      <c r="A4164" t="n">
        <v>4163</v>
      </c>
      <c r="B4164" t="inlineStr">
        <is>
          <t>MV̅CLXIII</t>
        </is>
      </c>
      <c r="C4164">
        <f>ROMAN(4163)</f>
        <v/>
      </c>
      <c r="D4164">
        <f>IF(B4164=C4164, "YES", "WRONG")</f>
        <v/>
      </c>
    </row>
    <row r="4165">
      <c r="A4165" t="n">
        <v>4164</v>
      </c>
      <c r="B4165" t="inlineStr">
        <is>
          <t>MV̅CLXIV</t>
        </is>
      </c>
      <c r="C4165">
        <f>ROMAN(4164)</f>
        <v/>
      </c>
      <c r="D4165">
        <f>IF(B4165=C4165, "YES", "WRONG")</f>
        <v/>
      </c>
    </row>
    <row r="4166">
      <c r="A4166" t="n">
        <v>4165</v>
      </c>
      <c r="B4166" t="inlineStr">
        <is>
          <t>MV̅CLXV</t>
        </is>
      </c>
      <c r="C4166">
        <f>ROMAN(4165)</f>
        <v/>
      </c>
      <c r="D4166">
        <f>IF(B4166=C4166, "YES", "WRONG")</f>
        <v/>
      </c>
    </row>
    <row r="4167">
      <c r="A4167" t="n">
        <v>4166</v>
      </c>
      <c r="B4167" t="inlineStr">
        <is>
          <t>MV̅CLXVI</t>
        </is>
      </c>
      <c r="C4167">
        <f>ROMAN(4166)</f>
        <v/>
      </c>
      <c r="D4167">
        <f>IF(B4167=C4167, "YES", "WRONG")</f>
        <v/>
      </c>
    </row>
    <row r="4168">
      <c r="A4168" t="n">
        <v>4167</v>
      </c>
      <c r="B4168" t="inlineStr">
        <is>
          <t>MV̅CLXVII</t>
        </is>
      </c>
      <c r="C4168">
        <f>ROMAN(4167)</f>
        <v/>
      </c>
      <c r="D4168">
        <f>IF(B4168=C4168, "YES", "WRONG")</f>
        <v/>
      </c>
    </row>
    <row r="4169">
      <c r="A4169" t="n">
        <v>4168</v>
      </c>
      <c r="B4169" t="inlineStr">
        <is>
          <t>MV̅CLXVIII</t>
        </is>
      </c>
      <c r="C4169">
        <f>ROMAN(4168)</f>
        <v/>
      </c>
      <c r="D4169">
        <f>IF(B4169=C4169, "YES", "WRONG")</f>
        <v/>
      </c>
    </row>
    <row r="4170">
      <c r="A4170" t="n">
        <v>4169</v>
      </c>
      <c r="B4170" t="inlineStr">
        <is>
          <t>MV̅CLXIX</t>
        </is>
      </c>
      <c r="C4170">
        <f>ROMAN(4169)</f>
        <v/>
      </c>
      <c r="D4170">
        <f>IF(B4170=C4170, "YES", "WRONG")</f>
        <v/>
      </c>
    </row>
    <row r="4171">
      <c r="A4171" t="n">
        <v>4170</v>
      </c>
      <c r="B4171" t="inlineStr">
        <is>
          <t>MV̅CLXX</t>
        </is>
      </c>
      <c r="C4171">
        <f>ROMAN(4170)</f>
        <v/>
      </c>
      <c r="D4171">
        <f>IF(B4171=C4171, "YES", "WRONG")</f>
        <v/>
      </c>
    </row>
    <row r="4172">
      <c r="A4172" t="n">
        <v>4171</v>
      </c>
      <c r="B4172" t="inlineStr">
        <is>
          <t>MV̅CLXXI</t>
        </is>
      </c>
      <c r="C4172">
        <f>ROMAN(4171)</f>
        <v/>
      </c>
      <c r="D4172">
        <f>IF(B4172=C4172, "YES", "WRONG")</f>
        <v/>
      </c>
    </row>
    <row r="4173">
      <c r="A4173" t="n">
        <v>4172</v>
      </c>
      <c r="B4173" t="inlineStr">
        <is>
          <t>MV̅CLXXII</t>
        </is>
      </c>
      <c r="C4173">
        <f>ROMAN(4172)</f>
        <v/>
      </c>
      <c r="D4173">
        <f>IF(B4173=C4173, "YES", "WRONG")</f>
        <v/>
      </c>
    </row>
    <row r="4174">
      <c r="A4174" t="n">
        <v>4173</v>
      </c>
      <c r="B4174" t="inlineStr">
        <is>
          <t>MV̅CLXXIII</t>
        </is>
      </c>
      <c r="C4174">
        <f>ROMAN(4173)</f>
        <v/>
      </c>
      <c r="D4174">
        <f>IF(B4174=C4174, "YES", "WRONG")</f>
        <v/>
      </c>
    </row>
    <row r="4175">
      <c r="A4175" t="n">
        <v>4174</v>
      </c>
      <c r="B4175" t="inlineStr">
        <is>
          <t>MV̅CLXXIV</t>
        </is>
      </c>
      <c r="C4175">
        <f>ROMAN(4174)</f>
        <v/>
      </c>
      <c r="D4175">
        <f>IF(B4175=C4175, "YES", "WRONG")</f>
        <v/>
      </c>
    </row>
    <row r="4176">
      <c r="A4176" t="n">
        <v>4175</v>
      </c>
      <c r="B4176" t="inlineStr">
        <is>
          <t>MV̅CLXXV</t>
        </is>
      </c>
      <c r="C4176">
        <f>ROMAN(4175)</f>
        <v/>
      </c>
      <c r="D4176">
        <f>IF(B4176=C4176, "YES", "WRONG")</f>
        <v/>
      </c>
    </row>
    <row r="4177">
      <c r="A4177" t="n">
        <v>4176</v>
      </c>
      <c r="B4177" t="inlineStr">
        <is>
          <t>MV̅CLXXVI</t>
        </is>
      </c>
      <c r="C4177">
        <f>ROMAN(4176)</f>
        <v/>
      </c>
      <c r="D4177">
        <f>IF(B4177=C4177, "YES", "WRONG")</f>
        <v/>
      </c>
    </row>
    <row r="4178">
      <c r="A4178" t="n">
        <v>4177</v>
      </c>
      <c r="B4178" t="inlineStr">
        <is>
          <t>MV̅CLXXVII</t>
        </is>
      </c>
      <c r="C4178">
        <f>ROMAN(4177)</f>
        <v/>
      </c>
      <c r="D4178">
        <f>IF(B4178=C4178, "YES", "WRONG")</f>
        <v/>
      </c>
    </row>
    <row r="4179">
      <c r="A4179" t="n">
        <v>4178</v>
      </c>
      <c r="B4179" t="inlineStr">
        <is>
          <t>MV̅CLXXVIII</t>
        </is>
      </c>
      <c r="C4179">
        <f>ROMAN(4178)</f>
        <v/>
      </c>
      <c r="D4179">
        <f>IF(B4179=C4179, "YES", "WRONG")</f>
        <v/>
      </c>
    </row>
    <row r="4180">
      <c r="A4180" t="n">
        <v>4179</v>
      </c>
      <c r="B4180" t="inlineStr">
        <is>
          <t>MV̅CLXXIX</t>
        </is>
      </c>
      <c r="C4180">
        <f>ROMAN(4179)</f>
        <v/>
      </c>
      <c r="D4180">
        <f>IF(B4180=C4180, "YES", "WRONG")</f>
        <v/>
      </c>
    </row>
    <row r="4181">
      <c r="A4181" t="n">
        <v>4180</v>
      </c>
      <c r="B4181" t="inlineStr">
        <is>
          <t>MV̅CLXXX</t>
        </is>
      </c>
      <c r="C4181">
        <f>ROMAN(4180)</f>
        <v/>
      </c>
      <c r="D4181">
        <f>IF(B4181=C4181, "YES", "WRONG")</f>
        <v/>
      </c>
    </row>
    <row r="4182">
      <c r="A4182" t="n">
        <v>4181</v>
      </c>
      <c r="B4182" t="inlineStr">
        <is>
          <t>MV̅CLXXXI</t>
        </is>
      </c>
      <c r="C4182">
        <f>ROMAN(4181)</f>
        <v/>
      </c>
      <c r="D4182">
        <f>IF(B4182=C4182, "YES", "WRONG")</f>
        <v/>
      </c>
    </row>
    <row r="4183">
      <c r="A4183" t="n">
        <v>4182</v>
      </c>
      <c r="B4183" t="inlineStr">
        <is>
          <t>MV̅CLXXXII</t>
        </is>
      </c>
      <c r="C4183">
        <f>ROMAN(4182)</f>
        <v/>
      </c>
      <c r="D4183">
        <f>IF(B4183=C4183, "YES", "WRONG")</f>
        <v/>
      </c>
    </row>
    <row r="4184">
      <c r="A4184" t="n">
        <v>4183</v>
      </c>
      <c r="B4184" t="inlineStr">
        <is>
          <t>MV̅CLXXXIII</t>
        </is>
      </c>
      <c r="C4184">
        <f>ROMAN(4183)</f>
        <v/>
      </c>
      <c r="D4184">
        <f>IF(B4184=C4184, "YES", "WRONG")</f>
        <v/>
      </c>
    </row>
    <row r="4185">
      <c r="A4185" t="n">
        <v>4184</v>
      </c>
      <c r="B4185" t="inlineStr">
        <is>
          <t>MV̅CLXXXIV</t>
        </is>
      </c>
      <c r="C4185">
        <f>ROMAN(4184)</f>
        <v/>
      </c>
      <c r="D4185">
        <f>IF(B4185=C4185, "YES", "WRONG")</f>
        <v/>
      </c>
    </row>
    <row r="4186">
      <c r="A4186" t="n">
        <v>4185</v>
      </c>
      <c r="B4186" t="inlineStr">
        <is>
          <t>MV̅CLXXXV</t>
        </is>
      </c>
      <c r="C4186">
        <f>ROMAN(4185)</f>
        <v/>
      </c>
      <c r="D4186">
        <f>IF(B4186=C4186, "YES", "WRONG")</f>
        <v/>
      </c>
    </row>
    <row r="4187">
      <c r="A4187" t="n">
        <v>4186</v>
      </c>
      <c r="B4187" t="inlineStr">
        <is>
          <t>MV̅CLXXXVI</t>
        </is>
      </c>
      <c r="C4187">
        <f>ROMAN(4186)</f>
        <v/>
      </c>
      <c r="D4187">
        <f>IF(B4187=C4187, "YES", "WRONG")</f>
        <v/>
      </c>
    </row>
    <row r="4188">
      <c r="A4188" t="n">
        <v>4187</v>
      </c>
      <c r="B4188" t="inlineStr">
        <is>
          <t>MV̅CLXXXVII</t>
        </is>
      </c>
      <c r="C4188">
        <f>ROMAN(4187)</f>
        <v/>
      </c>
      <c r="D4188">
        <f>IF(B4188=C4188, "YES", "WRONG")</f>
        <v/>
      </c>
    </row>
    <row r="4189">
      <c r="A4189" t="n">
        <v>4188</v>
      </c>
      <c r="B4189" t="inlineStr">
        <is>
          <t>MV̅CLXXXVIII</t>
        </is>
      </c>
      <c r="C4189">
        <f>ROMAN(4188)</f>
        <v/>
      </c>
      <c r="D4189">
        <f>IF(B4189=C4189, "YES", "WRONG")</f>
        <v/>
      </c>
    </row>
    <row r="4190">
      <c r="A4190" t="n">
        <v>4189</v>
      </c>
      <c r="B4190" t="inlineStr">
        <is>
          <t>MV̅CLXXXIX</t>
        </is>
      </c>
      <c r="C4190">
        <f>ROMAN(4189)</f>
        <v/>
      </c>
      <c r="D4190">
        <f>IF(B4190=C4190, "YES", "WRONG")</f>
        <v/>
      </c>
    </row>
    <row r="4191">
      <c r="A4191" t="n">
        <v>4190</v>
      </c>
      <c r="B4191" t="inlineStr">
        <is>
          <t>MV̅CXC</t>
        </is>
      </c>
      <c r="C4191">
        <f>ROMAN(4190)</f>
        <v/>
      </c>
      <c r="D4191">
        <f>IF(B4191=C4191, "YES", "WRONG")</f>
        <v/>
      </c>
    </row>
    <row r="4192">
      <c r="A4192" t="n">
        <v>4191</v>
      </c>
      <c r="B4192" t="inlineStr">
        <is>
          <t>MV̅CXCI</t>
        </is>
      </c>
      <c r="C4192">
        <f>ROMAN(4191)</f>
        <v/>
      </c>
      <c r="D4192">
        <f>IF(B4192=C4192, "YES", "WRONG")</f>
        <v/>
      </c>
    </row>
    <row r="4193">
      <c r="A4193" t="n">
        <v>4192</v>
      </c>
      <c r="B4193" t="inlineStr">
        <is>
          <t>MV̅CXCII</t>
        </is>
      </c>
      <c r="C4193">
        <f>ROMAN(4192)</f>
        <v/>
      </c>
      <c r="D4193">
        <f>IF(B4193=C4193, "YES", "WRONG")</f>
        <v/>
      </c>
    </row>
    <row r="4194">
      <c r="A4194" t="n">
        <v>4193</v>
      </c>
      <c r="B4194" t="inlineStr">
        <is>
          <t>MV̅CXCIII</t>
        </is>
      </c>
      <c r="C4194">
        <f>ROMAN(4193)</f>
        <v/>
      </c>
      <c r="D4194">
        <f>IF(B4194=C4194, "YES", "WRONG")</f>
        <v/>
      </c>
    </row>
    <row r="4195">
      <c r="A4195" t="n">
        <v>4194</v>
      </c>
      <c r="B4195" t="inlineStr">
        <is>
          <t>MV̅CXCIV</t>
        </is>
      </c>
      <c r="C4195">
        <f>ROMAN(4194)</f>
        <v/>
      </c>
      <c r="D4195">
        <f>IF(B4195=C4195, "YES", "WRONG")</f>
        <v/>
      </c>
    </row>
    <row r="4196">
      <c r="A4196" t="n">
        <v>4195</v>
      </c>
      <c r="B4196" t="inlineStr">
        <is>
          <t>MV̅CXCV</t>
        </is>
      </c>
      <c r="C4196">
        <f>ROMAN(4195)</f>
        <v/>
      </c>
      <c r="D4196">
        <f>IF(B4196=C4196, "YES", "WRONG")</f>
        <v/>
      </c>
    </row>
    <row r="4197">
      <c r="A4197" t="n">
        <v>4196</v>
      </c>
      <c r="B4197" t="inlineStr">
        <is>
          <t>MV̅CXCVI</t>
        </is>
      </c>
      <c r="C4197">
        <f>ROMAN(4196)</f>
        <v/>
      </c>
      <c r="D4197">
        <f>IF(B4197=C4197, "YES", "WRONG")</f>
        <v/>
      </c>
    </row>
    <row r="4198">
      <c r="A4198" t="n">
        <v>4197</v>
      </c>
      <c r="B4198" t="inlineStr">
        <is>
          <t>MV̅CXCVII</t>
        </is>
      </c>
      <c r="C4198">
        <f>ROMAN(4197)</f>
        <v/>
      </c>
      <c r="D4198">
        <f>IF(B4198=C4198, "YES", "WRONG")</f>
        <v/>
      </c>
    </row>
    <row r="4199">
      <c r="A4199" t="n">
        <v>4198</v>
      </c>
      <c r="B4199" t="inlineStr">
        <is>
          <t>MV̅CXCVIII</t>
        </is>
      </c>
      <c r="C4199">
        <f>ROMAN(4198)</f>
        <v/>
      </c>
      <c r="D4199">
        <f>IF(B4199=C4199, "YES", "WRONG")</f>
        <v/>
      </c>
    </row>
    <row r="4200">
      <c r="A4200" t="n">
        <v>4199</v>
      </c>
      <c r="B4200" t="inlineStr">
        <is>
          <t>MV̅CXCIX</t>
        </is>
      </c>
      <c r="C4200">
        <f>ROMAN(4199)</f>
        <v/>
      </c>
      <c r="D4200">
        <f>IF(B4200=C4200, "YES", "WRONG")</f>
        <v/>
      </c>
    </row>
    <row r="4201">
      <c r="A4201" t="n">
        <v>4200</v>
      </c>
      <c r="B4201" t="inlineStr">
        <is>
          <t>MV̅CC</t>
        </is>
      </c>
      <c r="C4201">
        <f>ROMAN(4200)</f>
        <v/>
      </c>
      <c r="D4201">
        <f>IF(B4201=C4201, "YES", "WRONG")</f>
        <v/>
      </c>
    </row>
    <row r="4202">
      <c r="A4202" t="n">
        <v>4201</v>
      </c>
      <c r="B4202" t="inlineStr">
        <is>
          <t>MV̅CCI</t>
        </is>
      </c>
      <c r="C4202">
        <f>ROMAN(4201)</f>
        <v/>
      </c>
      <c r="D4202">
        <f>IF(B4202=C4202, "YES", "WRONG")</f>
        <v/>
      </c>
    </row>
    <row r="4203">
      <c r="A4203" t="n">
        <v>4202</v>
      </c>
      <c r="B4203" t="inlineStr">
        <is>
          <t>MV̅CCII</t>
        </is>
      </c>
      <c r="C4203">
        <f>ROMAN(4202)</f>
        <v/>
      </c>
      <c r="D4203">
        <f>IF(B4203=C4203, "YES", "WRONG")</f>
        <v/>
      </c>
    </row>
    <row r="4204">
      <c r="A4204" t="n">
        <v>4203</v>
      </c>
      <c r="B4204" t="inlineStr">
        <is>
          <t>MV̅CCIII</t>
        </is>
      </c>
      <c r="C4204">
        <f>ROMAN(4203)</f>
        <v/>
      </c>
      <c r="D4204">
        <f>IF(B4204=C4204, "YES", "WRONG")</f>
        <v/>
      </c>
    </row>
    <row r="4205">
      <c r="A4205" t="n">
        <v>4204</v>
      </c>
      <c r="B4205" t="inlineStr">
        <is>
          <t>MV̅CCIV</t>
        </is>
      </c>
      <c r="C4205">
        <f>ROMAN(4204)</f>
        <v/>
      </c>
      <c r="D4205">
        <f>IF(B4205=C4205, "YES", "WRONG")</f>
        <v/>
      </c>
    </row>
    <row r="4206">
      <c r="A4206" t="n">
        <v>4205</v>
      </c>
      <c r="B4206" t="inlineStr">
        <is>
          <t>MV̅CCV</t>
        </is>
      </c>
      <c r="C4206">
        <f>ROMAN(4205)</f>
        <v/>
      </c>
      <c r="D4206">
        <f>IF(B4206=C4206, "YES", "WRONG")</f>
        <v/>
      </c>
    </row>
    <row r="4207">
      <c r="A4207" t="n">
        <v>4206</v>
      </c>
      <c r="B4207" t="inlineStr">
        <is>
          <t>MV̅CCVI</t>
        </is>
      </c>
      <c r="C4207">
        <f>ROMAN(4206)</f>
        <v/>
      </c>
      <c r="D4207">
        <f>IF(B4207=C4207, "YES", "WRONG")</f>
        <v/>
      </c>
    </row>
    <row r="4208">
      <c r="A4208" t="n">
        <v>4207</v>
      </c>
      <c r="B4208" t="inlineStr">
        <is>
          <t>MV̅CCVII</t>
        </is>
      </c>
      <c r="C4208">
        <f>ROMAN(4207)</f>
        <v/>
      </c>
      <c r="D4208">
        <f>IF(B4208=C4208, "YES", "WRONG")</f>
        <v/>
      </c>
    </row>
    <row r="4209">
      <c r="A4209" t="n">
        <v>4208</v>
      </c>
      <c r="B4209" t="inlineStr">
        <is>
          <t>MV̅CCVIII</t>
        </is>
      </c>
      <c r="C4209">
        <f>ROMAN(4208)</f>
        <v/>
      </c>
      <c r="D4209">
        <f>IF(B4209=C4209, "YES", "WRONG")</f>
        <v/>
      </c>
    </row>
    <row r="4210">
      <c r="A4210" t="n">
        <v>4209</v>
      </c>
      <c r="B4210" t="inlineStr">
        <is>
          <t>MV̅CCIX</t>
        </is>
      </c>
      <c r="C4210">
        <f>ROMAN(4209)</f>
        <v/>
      </c>
      <c r="D4210">
        <f>IF(B4210=C4210, "YES", "WRONG")</f>
        <v/>
      </c>
    </row>
    <row r="4211">
      <c r="A4211" t="n">
        <v>4210</v>
      </c>
      <c r="B4211" t="inlineStr">
        <is>
          <t>MV̅CCX</t>
        </is>
      </c>
      <c r="C4211">
        <f>ROMAN(4210)</f>
        <v/>
      </c>
      <c r="D4211">
        <f>IF(B4211=C4211, "YES", "WRONG")</f>
        <v/>
      </c>
    </row>
    <row r="4212">
      <c r="A4212" t="n">
        <v>4211</v>
      </c>
      <c r="B4212" t="inlineStr">
        <is>
          <t>MV̅CCXI</t>
        </is>
      </c>
      <c r="C4212">
        <f>ROMAN(4211)</f>
        <v/>
      </c>
      <c r="D4212">
        <f>IF(B4212=C4212, "YES", "WRONG")</f>
        <v/>
      </c>
    </row>
    <row r="4213">
      <c r="A4213" t="n">
        <v>4212</v>
      </c>
      <c r="B4213" t="inlineStr">
        <is>
          <t>MV̅CCXII</t>
        </is>
      </c>
      <c r="C4213">
        <f>ROMAN(4212)</f>
        <v/>
      </c>
      <c r="D4213">
        <f>IF(B4213=C4213, "YES", "WRONG")</f>
        <v/>
      </c>
    </row>
    <row r="4214">
      <c r="A4214" t="n">
        <v>4213</v>
      </c>
      <c r="B4214" t="inlineStr">
        <is>
          <t>MV̅CCXIII</t>
        </is>
      </c>
      <c r="C4214">
        <f>ROMAN(4213)</f>
        <v/>
      </c>
      <c r="D4214">
        <f>IF(B4214=C4214, "YES", "WRONG")</f>
        <v/>
      </c>
    </row>
    <row r="4215">
      <c r="A4215" t="n">
        <v>4214</v>
      </c>
      <c r="B4215" t="inlineStr">
        <is>
          <t>MV̅CCXIV</t>
        </is>
      </c>
      <c r="C4215">
        <f>ROMAN(4214)</f>
        <v/>
      </c>
      <c r="D4215">
        <f>IF(B4215=C4215, "YES", "WRONG")</f>
        <v/>
      </c>
    </row>
    <row r="4216">
      <c r="A4216" t="n">
        <v>4215</v>
      </c>
      <c r="B4216" t="inlineStr">
        <is>
          <t>MV̅CCXV</t>
        </is>
      </c>
      <c r="C4216">
        <f>ROMAN(4215)</f>
        <v/>
      </c>
      <c r="D4216">
        <f>IF(B4216=C4216, "YES", "WRONG")</f>
        <v/>
      </c>
    </row>
    <row r="4217">
      <c r="A4217" t="n">
        <v>4216</v>
      </c>
      <c r="B4217" t="inlineStr">
        <is>
          <t>MV̅CCXVI</t>
        </is>
      </c>
      <c r="C4217">
        <f>ROMAN(4216)</f>
        <v/>
      </c>
      <c r="D4217">
        <f>IF(B4217=C4217, "YES", "WRONG")</f>
        <v/>
      </c>
    </row>
    <row r="4218">
      <c r="A4218" t="n">
        <v>4217</v>
      </c>
      <c r="B4218" t="inlineStr">
        <is>
          <t>MV̅CCXVII</t>
        </is>
      </c>
      <c r="C4218">
        <f>ROMAN(4217)</f>
        <v/>
      </c>
      <c r="D4218">
        <f>IF(B4218=C4218, "YES", "WRONG")</f>
        <v/>
      </c>
    </row>
    <row r="4219">
      <c r="A4219" t="n">
        <v>4218</v>
      </c>
      <c r="B4219" t="inlineStr">
        <is>
          <t>MV̅CCXVIII</t>
        </is>
      </c>
      <c r="C4219">
        <f>ROMAN(4218)</f>
        <v/>
      </c>
      <c r="D4219">
        <f>IF(B4219=C4219, "YES", "WRONG")</f>
        <v/>
      </c>
    </row>
    <row r="4220">
      <c r="A4220" t="n">
        <v>4219</v>
      </c>
      <c r="B4220" t="inlineStr">
        <is>
          <t>MV̅CCXIX</t>
        </is>
      </c>
      <c r="C4220">
        <f>ROMAN(4219)</f>
        <v/>
      </c>
      <c r="D4220">
        <f>IF(B4220=C4220, "YES", "WRONG")</f>
        <v/>
      </c>
    </row>
    <row r="4221">
      <c r="A4221" t="n">
        <v>4220</v>
      </c>
      <c r="B4221" t="inlineStr">
        <is>
          <t>MV̅CCXX</t>
        </is>
      </c>
      <c r="C4221">
        <f>ROMAN(4220)</f>
        <v/>
      </c>
      <c r="D4221">
        <f>IF(B4221=C4221, "YES", "WRONG")</f>
        <v/>
      </c>
    </row>
    <row r="4222">
      <c r="A4222" t="n">
        <v>4221</v>
      </c>
      <c r="B4222" t="inlineStr">
        <is>
          <t>MV̅CCXXI</t>
        </is>
      </c>
      <c r="C4222">
        <f>ROMAN(4221)</f>
        <v/>
      </c>
      <c r="D4222">
        <f>IF(B4222=C4222, "YES", "WRONG")</f>
        <v/>
      </c>
    </row>
    <row r="4223">
      <c r="A4223" t="n">
        <v>4222</v>
      </c>
      <c r="B4223" t="inlineStr">
        <is>
          <t>MV̅CCXXII</t>
        </is>
      </c>
      <c r="C4223">
        <f>ROMAN(4222)</f>
        <v/>
      </c>
      <c r="D4223">
        <f>IF(B4223=C4223, "YES", "WRONG")</f>
        <v/>
      </c>
    </row>
    <row r="4224">
      <c r="A4224" t="n">
        <v>4223</v>
      </c>
      <c r="B4224" t="inlineStr">
        <is>
          <t>MV̅CCXXIII</t>
        </is>
      </c>
      <c r="C4224">
        <f>ROMAN(4223)</f>
        <v/>
      </c>
      <c r="D4224">
        <f>IF(B4224=C4224, "YES", "WRONG")</f>
        <v/>
      </c>
    </row>
    <row r="4225">
      <c r="A4225" t="n">
        <v>4224</v>
      </c>
      <c r="B4225" t="inlineStr">
        <is>
          <t>MV̅CCXXIV</t>
        </is>
      </c>
      <c r="C4225">
        <f>ROMAN(4224)</f>
        <v/>
      </c>
      <c r="D4225">
        <f>IF(B4225=C4225, "YES", "WRONG")</f>
        <v/>
      </c>
    </row>
    <row r="4226">
      <c r="A4226" t="n">
        <v>4225</v>
      </c>
      <c r="B4226" t="inlineStr">
        <is>
          <t>MV̅CCXXV</t>
        </is>
      </c>
      <c r="C4226">
        <f>ROMAN(4225)</f>
        <v/>
      </c>
      <c r="D4226">
        <f>IF(B4226=C4226, "YES", "WRONG")</f>
        <v/>
      </c>
    </row>
    <row r="4227">
      <c r="A4227" t="n">
        <v>4226</v>
      </c>
      <c r="B4227" t="inlineStr">
        <is>
          <t>MV̅CCXXVI</t>
        </is>
      </c>
      <c r="C4227">
        <f>ROMAN(4226)</f>
        <v/>
      </c>
      <c r="D4227">
        <f>IF(B4227=C4227, "YES", "WRONG")</f>
        <v/>
      </c>
    </row>
    <row r="4228">
      <c r="A4228" t="n">
        <v>4227</v>
      </c>
      <c r="B4228" t="inlineStr">
        <is>
          <t>MV̅CCXXVII</t>
        </is>
      </c>
      <c r="C4228">
        <f>ROMAN(4227)</f>
        <v/>
      </c>
      <c r="D4228">
        <f>IF(B4228=C4228, "YES", "WRONG")</f>
        <v/>
      </c>
    </row>
    <row r="4229">
      <c r="A4229" t="n">
        <v>4228</v>
      </c>
      <c r="B4229" t="inlineStr">
        <is>
          <t>MV̅CCXXVIII</t>
        </is>
      </c>
      <c r="C4229">
        <f>ROMAN(4228)</f>
        <v/>
      </c>
      <c r="D4229">
        <f>IF(B4229=C4229, "YES", "WRONG")</f>
        <v/>
      </c>
    </row>
    <row r="4230">
      <c r="A4230" t="n">
        <v>4229</v>
      </c>
      <c r="B4230" t="inlineStr">
        <is>
          <t>MV̅CCXXIX</t>
        </is>
      </c>
      <c r="C4230">
        <f>ROMAN(4229)</f>
        <v/>
      </c>
      <c r="D4230">
        <f>IF(B4230=C4230, "YES", "WRONG")</f>
        <v/>
      </c>
    </row>
    <row r="4231">
      <c r="A4231" t="n">
        <v>4230</v>
      </c>
      <c r="B4231" t="inlineStr">
        <is>
          <t>MV̅CCXXX</t>
        </is>
      </c>
      <c r="C4231">
        <f>ROMAN(4230)</f>
        <v/>
      </c>
      <c r="D4231">
        <f>IF(B4231=C4231, "YES", "WRONG")</f>
        <v/>
      </c>
    </row>
    <row r="4232">
      <c r="A4232" t="n">
        <v>4231</v>
      </c>
      <c r="B4232" t="inlineStr">
        <is>
          <t>MV̅CCXXXI</t>
        </is>
      </c>
      <c r="C4232">
        <f>ROMAN(4231)</f>
        <v/>
      </c>
      <c r="D4232">
        <f>IF(B4232=C4232, "YES", "WRONG")</f>
        <v/>
      </c>
    </row>
    <row r="4233">
      <c r="A4233" t="n">
        <v>4232</v>
      </c>
      <c r="B4233" t="inlineStr">
        <is>
          <t>MV̅CCXXXII</t>
        </is>
      </c>
      <c r="C4233">
        <f>ROMAN(4232)</f>
        <v/>
      </c>
      <c r="D4233">
        <f>IF(B4233=C4233, "YES", "WRONG")</f>
        <v/>
      </c>
    </row>
    <row r="4234">
      <c r="A4234" t="n">
        <v>4233</v>
      </c>
      <c r="B4234" t="inlineStr">
        <is>
          <t>MV̅CCXXXIII</t>
        </is>
      </c>
      <c r="C4234">
        <f>ROMAN(4233)</f>
        <v/>
      </c>
      <c r="D4234">
        <f>IF(B4234=C4234, "YES", "WRONG")</f>
        <v/>
      </c>
    </row>
    <row r="4235">
      <c r="A4235" t="n">
        <v>4234</v>
      </c>
      <c r="B4235" t="inlineStr">
        <is>
          <t>MV̅CCXXXIV</t>
        </is>
      </c>
      <c r="C4235">
        <f>ROMAN(4234)</f>
        <v/>
      </c>
      <c r="D4235">
        <f>IF(B4235=C4235, "YES", "WRONG")</f>
        <v/>
      </c>
    </row>
    <row r="4236">
      <c r="A4236" t="n">
        <v>4235</v>
      </c>
      <c r="B4236" t="inlineStr">
        <is>
          <t>MV̅CCXXXV</t>
        </is>
      </c>
      <c r="C4236">
        <f>ROMAN(4235)</f>
        <v/>
      </c>
      <c r="D4236">
        <f>IF(B4236=C4236, "YES", "WRONG")</f>
        <v/>
      </c>
    </row>
    <row r="4237">
      <c r="A4237" t="n">
        <v>4236</v>
      </c>
      <c r="B4237" t="inlineStr">
        <is>
          <t>MV̅CCXXXVI</t>
        </is>
      </c>
      <c r="C4237">
        <f>ROMAN(4236)</f>
        <v/>
      </c>
      <c r="D4237">
        <f>IF(B4237=C4237, "YES", "WRONG")</f>
        <v/>
      </c>
    </row>
    <row r="4238">
      <c r="A4238" t="n">
        <v>4237</v>
      </c>
      <c r="B4238" t="inlineStr">
        <is>
          <t>MV̅CCXXXVII</t>
        </is>
      </c>
      <c r="C4238">
        <f>ROMAN(4237)</f>
        <v/>
      </c>
      <c r="D4238">
        <f>IF(B4238=C4238, "YES", "WRONG")</f>
        <v/>
      </c>
    </row>
    <row r="4239">
      <c r="A4239" t="n">
        <v>4238</v>
      </c>
      <c r="B4239" t="inlineStr">
        <is>
          <t>MV̅CCXXXVIII</t>
        </is>
      </c>
      <c r="C4239">
        <f>ROMAN(4238)</f>
        <v/>
      </c>
      <c r="D4239">
        <f>IF(B4239=C4239, "YES", "WRONG")</f>
        <v/>
      </c>
    </row>
    <row r="4240">
      <c r="A4240" t="n">
        <v>4239</v>
      </c>
      <c r="B4240" t="inlineStr">
        <is>
          <t>MV̅CCXXXIX</t>
        </is>
      </c>
      <c r="C4240">
        <f>ROMAN(4239)</f>
        <v/>
      </c>
      <c r="D4240">
        <f>IF(B4240=C4240, "YES", "WRONG")</f>
        <v/>
      </c>
    </row>
    <row r="4241">
      <c r="A4241" t="n">
        <v>4240</v>
      </c>
      <c r="B4241" t="inlineStr">
        <is>
          <t>MV̅CCXL</t>
        </is>
      </c>
      <c r="C4241">
        <f>ROMAN(4240)</f>
        <v/>
      </c>
      <c r="D4241">
        <f>IF(B4241=C4241, "YES", "WRONG")</f>
        <v/>
      </c>
    </row>
    <row r="4242">
      <c r="A4242" t="n">
        <v>4241</v>
      </c>
      <c r="B4242" t="inlineStr">
        <is>
          <t>MV̅CCXLI</t>
        </is>
      </c>
      <c r="C4242">
        <f>ROMAN(4241)</f>
        <v/>
      </c>
      <c r="D4242">
        <f>IF(B4242=C4242, "YES", "WRONG")</f>
        <v/>
      </c>
    </row>
    <row r="4243">
      <c r="A4243" t="n">
        <v>4242</v>
      </c>
      <c r="B4243" t="inlineStr">
        <is>
          <t>MV̅CCXLII</t>
        </is>
      </c>
      <c r="C4243">
        <f>ROMAN(4242)</f>
        <v/>
      </c>
      <c r="D4243">
        <f>IF(B4243=C4243, "YES", "WRONG")</f>
        <v/>
      </c>
    </row>
    <row r="4244">
      <c r="A4244" t="n">
        <v>4243</v>
      </c>
      <c r="B4244" t="inlineStr">
        <is>
          <t>MV̅CCXLIII</t>
        </is>
      </c>
      <c r="C4244">
        <f>ROMAN(4243)</f>
        <v/>
      </c>
      <c r="D4244">
        <f>IF(B4244=C4244, "YES", "WRONG")</f>
        <v/>
      </c>
    </row>
    <row r="4245">
      <c r="A4245" t="n">
        <v>4244</v>
      </c>
      <c r="B4245" t="inlineStr">
        <is>
          <t>MV̅CCXLIV</t>
        </is>
      </c>
      <c r="C4245">
        <f>ROMAN(4244)</f>
        <v/>
      </c>
      <c r="D4245">
        <f>IF(B4245=C4245, "YES", "WRONG")</f>
        <v/>
      </c>
    </row>
    <row r="4246">
      <c r="A4246" t="n">
        <v>4245</v>
      </c>
      <c r="B4246" t="inlineStr">
        <is>
          <t>MV̅CCXLV</t>
        </is>
      </c>
      <c r="C4246">
        <f>ROMAN(4245)</f>
        <v/>
      </c>
      <c r="D4246">
        <f>IF(B4246=C4246, "YES", "WRONG")</f>
        <v/>
      </c>
    </row>
    <row r="4247">
      <c r="A4247" t="n">
        <v>4246</v>
      </c>
      <c r="B4247" t="inlineStr">
        <is>
          <t>MV̅CCXLVI</t>
        </is>
      </c>
      <c r="C4247">
        <f>ROMAN(4246)</f>
        <v/>
      </c>
      <c r="D4247">
        <f>IF(B4247=C4247, "YES", "WRONG")</f>
        <v/>
      </c>
    </row>
    <row r="4248">
      <c r="A4248" t="n">
        <v>4247</v>
      </c>
      <c r="B4248" t="inlineStr">
        <is>
          <t>MV̅CCXLVII</t>
        </is>
      </c>
      <c r="C4248">
        <f>ROMAN(4247)</f>
        <v/>
      </c>
      <c r="D4248">
        <f>IF(B4248=C4248, "YES", "WRONG")</f>
        <v/>
      </c>
    </row>
    <row r="4249">
      <c r="A4249" t="n">
        <v>4248</v>
      </c>
      <c r="B4249" t="inlineStr">
        <is>
          <t>MV̅CCXLVIII</t>
        </is>
      </c>
      <c r="C4249">
        <f>ROMAN(4248)</f>
        <v/>
      </c>
      <c r="D4249">
        <f>IF(B4249=C4249, "YES", "WRONG")</f>
        <v/>
      </c>
    </row>
    <row r="4250">
      <c r="A4250" t="n">
        <v>4249</v>
      </c>
      <c r="B4250" t="inlineStr">
        <is>
          <t>MV̅CCXLIX</t>
        </is>
      </c>
      <c r="C4250">
        <f>ROMAN(4249)</f>
        <v/>
      </c>
      <c r="D4250">
        <f>IF(B4250=C4250, "YES", "WRONG")</f>
        <v/>
      </c>
    </row>
    <row r="4251">
      <c r="A4251" t="n">
        <v>4250</v>
      </c>
      <c r="B4251" t="inlineStr">
        <is>
          <t>MV̅CCL</t>
        </is>
      </c>
      <c r="C4251">
        <f>ROMAN(4250)</f>
        <v/>
      </c>
      <c r="D4251">
        <f>IF(B4251=C4251, "YES", "WRONG")</f>
        <v/>
      </c>
    </row>
    <row r="4252">
      <c r="A4252" t="n">
        <v>4251</v>
      </c>
      <c r="B4252" t="inlineStr">
        <is>
          <t>MV̅CCLI</t>
        </is>
      </c>
      <c r="C4252">
        <f>ROMAN(4251)</f>
        <v/>
      </c>
      <c r="D4252">
        <f>IF(B4252=C4252, "YES", "WRONG")</f>
        <v/>
      </c>
    </row>
    <row r="4253">
      <c r="A4253" t="n">
        <v>4252</v>
      </c>
      <c r="B4253" t="inlineStr">
        <is>
          <t>MV̅CCLII</t>
        </is>
      </c>
      <c r="C4253">
        <f>ROMAN(4252)</f>
        <v/>
      </c>
      <c r="D4253">
        <f>IF(B4253=C4253, "YES", "WRONG")</f>
        <v/>
      </c>
    </row>
    <row r="4254">
      <c r="A4254" t="n">
        <v>4253</v>
      </c>
      <c r="B4254" t="inlineStr">
        <is>
          <t>MV̅CCLIII</t>
        </is>
      </c>
      <c r="C4254">
        <f>ROMAN(4253)</f>
        <v/>
      </c>
      <c r="D4254">
        <f>IF(B4254=C4254, "YES", "WRONG")</f>
        <v/>
      </c>
    </row>
    <row r="4255">
      <c r="A4255" t="n">
        <v>4254</v>
      </c>
      <c r="B4255" t="inlineStr">
        <is>
          <t>MV̅CCLIV</t>
        </is>
      </c>
      <c r="C4255">
        <f>ROMAN(4254)</f>
        <v/>
      </c>
      <c r="D4255">
        <f>IF(B4255=C4255, "YES", "WRONG")</f>
        <v/>
      </c>
    </row>
    <row r="4256">
      <c r="A4256" t="n">
        <v>4255</v>
      </c>
      <c r="B4256" t="inlineStr">
        <is>
          <t>MV̅CCLV</t>
        </is>
      </c>
      <c r="C4256">
        <f>ROMAN(4255)</f>
        <v/>
      </c>
      <c r="D4256">
        <f>IF(B4256=C4256, "YES", "WRONG")</f>
        <v/>
      </c>
    </row>
    <row r="4257">
      <c r="A4257" t="n">
        <v>4256</v>
      </c>
      <c r="B4257" t="inlineStr">
        <is>
          <t>MV̅CCLVI</t>
        </is>
      </c>
      <c r="C4257">
        <f>ROMAN(4256)</f>
        <v/>
      </c>
      <c r="D4257">
        <f>IF(B4257=C4257, "YES", "WRONG")</f>
        <v/>
      </c>
    </row>
    <row r="4258">
      <c r="A4258" t="n">
        <v>4257</v>
      </c>
      <c r="B4258" t="inlineStr">
        <is>
          <t>MV̅CCLVII</t>
        </is>
      </c>
      <c r="C4258">
        <f>ROMAN(4257)</f>
        <v/>
      </c>
      <c r="D4258">
        <f>IF(B4258=C4258, "YES", "WRONG")</f>
        <v/>
      </c>
    </row>
    <row r="4259">
      <c r="A4259" t="n">
        <v>4258</v>
      </c>
      <c r="B4259" t="inlineStr">
        <is>
          <t>MV̅CCLVIII</t>
        </is>
      </c>
      <c r="C4259">
        <f>ROMAN(4258)</f>
        <v/>
      </c>
      <c r="D4259">
        <f>IF(B4259=C4259, "YES", "WRONG")</f>
        <v/>
      </c>
    </row>
    <row r="4260">
      <c r="A4260" t="n">
        <v>4259</v>
      </c>
      <c r="B4260" t="inlineStr">
        <is>
          <t>MV̅CCLIX</t>
        </is>
      </c>
      <c r="C4260">
        <f>ROMAN(4259)</f>
        <v/>
      </c>
      <c r="D4260">
        <f>IF(B4260=C4260, "YES", "WRONG")</f>
        <v/>
      </c>
    </row>
    <row r="4261">
      <c r="A4261" t="n">
        <v>4260</v>
      </c>
      <c r="B4261" t="inlineStr">
        <is>
          <t>MV̅CCLX</t>
        </is>
      </c>
      <c r="C4261">
        <f>ROMAN(4260)</f>
        <v/>
      </c>
      <c r="D4261">
        <f>IF(B4261=C4261, "YES", "WRONG")</f>
        <v/>
      </c>
    </row>
    <row r="4262">
      <c r="A4262" t="n">
        <v>4261</v>
      </c>
      <c r="B4262" t="inlineStr">
        <is>
          <t>MV̅CCLXI</t>
        </is>
      </c>
      <c r="C4262">
        <f>ROMAN(4261)</f>
        <v/>
      </c>
      <c r="D4262">
        <f>IF(B4262=C4262, "YES", "WRONG")</f>
        <v/>
      </c>
    </row>
    <row r="4263">
      <c r="A4263" t="n">
        <v>4262</v>
      </c>
      <c r="B4263" t="inlineStr">
        <is>
          <t>MV̅CCLXII</t>
        </is>
      </c>
      <c r="C4263">
        <f>ROMAN(4262)</f>
        <v/>
      </c>
      <c r="D4263">
        <f>IF(B4263=C4263, "YES", "WRONG")</f>
        <v/>
      </c>
    </row>
    <row r="4264">
      <c r="A4264" t="n">
        <v>4263</v>
      </c>
      <c r="B4264" t="inlineStr">
        <is>
          <t>MV̅CCLXIII</t>
        </is>
      </c>
      <c r="C4264">
        <f>ROMAN(4263)</f>
        <v/>
      </c>
      <c r="D4264">
        <f>IF(B4264=C4264, "YES", "WRONG")</f>
        <v/>
      </c>
    </row>
    <row r="4265">
      <c r="A4265" t="n">
        <v>4264</v>
      </c>
      <c r="B4265" t="inlineStr">
        <is>
          <t>MV̅CCLXIV</t>
        </is>
      </c>
      <c r="C4265">
        <f>ROMAN(4264)</f>
        <v/>
      </c>
      <c r="D4265">
        <f>IF(B4265=C4265, "YES", "WRONG")</f>
        <v/>
      </c>
    </row>
    <row r="4266">
      <c r="A4266" t="n">
        <v>4265</v>
      </c>
      <c r="B4266" t="inlineStr">
        <is>
          <t>MV̅CCLXV</t>
        </is>
      </c>
      <c r="C4266">
        <f>ROMAN(4265)</f>
        <v/>
      </c>
      <c r="D4266">
        <f>IF(B4266=C4266, "YES", "WRONG")</f>
        <v/>
      </c>
    </row>
    <row r="4267">
      <c r="A4267" t="n">
        <v>4266</v>
      </c>
      <c r="B4267" t="inlineStr">
        <is>
          <t>MV̅CCLXVI</t>
        </is>
      </c>
      <c r="C4267">
        <f>ROMAN(4266)</f>
        <v/>
      </c>
      <c r="D4267">
        <f>IF(B4267=C4267, "YES", "WRONG")</f>
        <v/>
      </c>
    </row>
    <row r="4268">
      <c r="A4268" t="n">
        <v>4267</v>
      </c>
      <c r="B4268" t="inlineStr">
        <is>
          <t>MV̅CCLXVII</t>
        </is>
      </c>
      <c r="C4268">
        <f>ROMAN(4267)</f>
        <v/>
      </c>
      <c r="D4268">
        <f>IF(B4268=C4268, "YES", "WRONG")</f>
        <v/>
      </c>
    </row>
    <row r="4269">
      <c r="A4269" t="n">
        <v>4268</v>
      </c>
      <c r="B4269" t="inlineStr">
        <is>
          <t>MV̅CCLXVIII</t>
        </is>
      </c>
      <c r="C4269">
        <f>ROMAN(4268)</f>
        <v/>
      </c>
      <c r="D4269">
        <f>IF(B4269=C4269, "YES", "WRONG")</f>
        <v/>
      </c>
    </row>
    <row r="4270">
      <c r="A4270" t="n">
        <v>4269</v>
      </c>
      <c r="B4270" t="inlineStr">
        <is>
          <t>MV̅CCLXIX</t>
        </is>
      </c>
      <c r="C4270">
        <f>ROMAN(4269)</f>
        <v/>
      </c>
      <c r="D4270">
        <f>IF(B4270=C4270, "YES", "WRONG")</f>
        <v/>
      </c>
    </row>
    <row r="4271">
      <c r="A4271" t="n">
        <v>4270</v>
      </c>
      <c r="B4271" t="inlineStr">
        <is>
          <t>MV̅CCLXX</t>
        </is>
      </c>
      <c r="C4271">
        <f>ROMAN(4270)</f>
        <v/>
      </c>
      <c r="D4271">
        <f>IF(B4271=C4271, "YES", "WRONG")</f>
        <v/>
      </c>
    </row>
    <row r="4272">
      <c r="A4272" t="n">
        <v>4271</v>
      </c>
      <c r="B4272" t="inlineStr">
        <is>
          <t>MV̅CCLXXI</t>
        </is>
      </c>
      <c r="C4272">
        <f>ROMAN(4271)</f>
        <v/>
      </c>
      <c r="D4272">
        <f>IF(B4272=C4272, "YES", "WRONG")</f>
        <v/>
      </c>
    </row>
    <row r="4273">
      <c r="A4273" t="n">
        <v>4272</v>
      </c>
      <c r="B4273" t="inlineStr">
        <is>
          <t>MV̅CCLXXII</t>
        </is>
      </c>
      <c r="C4273">
        <f>ROMAN(4272)</f>
        <v/>
      </c>
      <c r="D4273">
        <f>IF(B4273=C4273, "YES", "WRONG")</f>
        <v/>
      </c>
    </row>
    <row r="4274">
      <c r="A4274" t="n">
        <v>4273</v>
      </c>
      <c r="B4274" t="inlineStr">
        <is>
          <t>MV̅CCLXXIII</t>
        </is>
      </c>
      <c r="C4274">
        <f>ROMAN(4273)</f>
        <v/>
      </c>
      <c r="D4274">
        <f>IF(B4274=C4274, "YES", "WRONG")</f>
        <v/>
      </c>
    </row>
    <row r="4275">
      <c r="A4275" t="n">
        <v>4274</v>
      </c>
      <c r="B4275" t="inlineStr">
        <is>
          <t>MV̅CCLXXIV</t>
        </is>
      </c>
      <c r="C4275">
        <f>ROMAN(4274)</f>
        <v/>
      </c>
      <c r="D4275">
        <f>IF(B4275=C4275, "YES", "WRONG")</f>
        <v/>
      </c>
    </row>
    <row r="4276">
      <c r="A4276" t="n">
        <v>4275</v>
      </c>
      <c r="B4276" t="inlineStr">
        <is>
          <t>MV̅CCLXXV</t>
        </is>
      </c>
      <c r="C4276">
        <f>ROMAN(4275)</f>
        <v/>
      </c>
      <c r="D4276">
        <f>IF(B4276=C4276, "YES", "WRONG")</f>
        <v/>
      </c>
    </row>
    <row r="4277">
      <c r="A4277" t="n">
        <v>4276</v>
      </c>
      <c r="B4277" t="inlineStr">
        <is>
          <t>MV̅CCLXXVI</t>
        </is>
      </c>
      <c r="C4277">
        <f>ROMAN(4276)</f>
        <v/>
      </c>
      <c r="D4277">
        <f>IF(B4277=C4277, "YES", "WRONG")</f>
        <v/>
      </c>
    </row>
    <row r="4278">
      <c r="A4278" t="n">
        <v>4277</v>
      </c>
      <c r="B4278" t="inlineStr">
        <is>
          <t>MV̅CCLXXVII</t>
        </is>
      </c>
      <c r="C4278">
        <f>ROMAN(4277)</f>
        <v/>
      </c>
      <c r="D4278">
        <f>IF(B4278=C4278, "YES", "WRONG")</f>
        <v/>
      </c>
    </row>
    <row r="4279">
      <c r="A4279" t="n">
        <v>4278</v>
      </c>
      <c r="B4279" t="inlineStr">
        <is>
          <t>MV̅CCLXXVIII</t>
        </is>
      </c>
      <c r="C4279">
        <f>ROMAN(4278)</f>
        <v/>
      </c>
      <c r="D4279">
        <f>IF(B4279=C4279, "YES", "WRONG")</f>
        <v/>
      </c>
    </row>
    <row r="4280">
      <c r="A4280" t="n">
        <v>4279</v>
      </c>
      <c r="B4280" t="inlineStr">
        <is>
          <t>MV̅CCLXXIX</t>
        </is>
      </c>
      <c r="C4280">
        <f>ROMAN(4279)</f>
        <v/>
      </c>
      <c r="D4280">
        <f>IF(B4280=C4280, "YES", "WRONG")</f>
        <v/>
      </c>
    </row>
    <row r="4281">
      <c r="A4281" t="n">
        <v>4280</v>
      </c>
      <c r="B4281" t="inlineStr">
        <is>
          <t>MV̅CCLXXX</t>
        </is>
      </c>
      <c r="C4281">
        <f>ROMAN(4280)</f>
        <v/>
      </c>
      <c r="D4281">
        <f>IF(B4281=C4281, "YES", "WRONG")</f>
        <v/>
      </c>
    </row>
    <row r="4282">
      <c r="A4282" t="n">
        <v>4281</v>
      </c>
      <c r="B4282" t="inlineStr">
        <is>
          <t>MV̅CCLXXXI</t>
        </is>
      </c>
      <c r="C4282">
        <f>ROMAN(4281)</f>
        <v/>
      </c>
      <c r="D4282">
        <f>IF(B4282=C4282, "YES", "WRONG")</f>
        <v/>
      </c>
    </row>
    <row r="4283">
      <c r="A4283" t="n">
        <v>4282</v>
      </c>
      <c r="B4283" t="inlineStr">
        <is>
          <t>MV̅CCLXXXII</t>
        </is>
      </c>
      <c r="C4283">
        <f>ROMAN(4282)</f>
        <v/>
      </c>
      <c r="D4283">
        <f>IF(B4283=C4283, "YES", "WRONG")</f>
        <v/>
      </c>
    </row>
    <row r="4284">
      <c r="A4284" t="n">
        <v>4283</v>
      </c>
      <c r="B4284" t="inlineStr">
        <is>
          <t>MV̅CCLXXXIII</t>
        </is>
      </c>
      <c r="C4284">
        <f>ROMAN(4283)</f>
        <v/>
      </c>
      <c r="D4284">
        <f>IF(B4284=C4284, "YES", "WRONG")</f>
        <v/>
      </c>
    </row>
    <row r="4285">
      <c r="A4285" t="n">
        <v>4284</v>
      </c>
      <c r="B4285" t="inlineStr">
        <is>
          <t>MV̅CCLXXXIV</t>
        </is>
      </c>
      <c r="C4285">
        <f>ROMAN(4284)</f>
        <v/>
      </c>
      <c r="D4285">
        <f>IF(B4285=C4285, "YES", "WRONG")</f>
        <v/>
      </c>
    </row>
    <row r="4286">
      <c r="A4286" t="n">
        <v>4285</v>
      </c>
      <c r="B4286" t="inlineStr">
        <is>
          <t>MV̅CCLXXXV</t>
        </is>
      </c>
      <c r="C4286">
        <f>ROMAN(4285)</f>
        <v/>
      </c>
      <c r="D4286">
        <f>IF(B4286=C4286, "YES", "WRONG")</f>
        <v/>
      </c>
    </row>
    <row r="4287">
      <c r="A4287" t="n">
        <v>4286</v>
      </c>
      <c r="B4287" t="inlineStr">
        <is>
          <t>MV̅CCLXXXVI</t>
        </is>
      </c>
      <c r="C4287">
        <f>ROMAN(4286)</f>
        <v/>
      </c>
      <c r="D4287">
        <f>IF(B4287=C4287, "YES", "WRONG")</f>
        <v/>
      </c>
    </row>
    <row r="4288">
      <c r="A4288" t="n">
        <v>4287</v>
      </c>
      <c r="B4288" t="inlineStr">
        <is>
          <t>MV̅CCLXXXVII</t>
        </is>
      </c>
      <c r="C4288">
        <f>ROMAN(4287)</f>
        <v/>
      </c>
      <c r="D4288">
        <f>IF(B4288=C4288, "YES", "WRONG")</f>
        <v/>
      </c>
    </row>
    <row r="4289">
      <c r="A4289" t="n">
        <v>4288</v>
      </c>
      <c r="B4289" t="inlineStr">
        <is>
          <t>MV̅CCLXXXVIII</t>
        </is>
      </c>
      <c r="C4289">
        <f>ROMAN(4288)</f>
        <v/>
      </c>
      <c r="D4289">
        <f>IF(B4289=C4289, "YES", "WRONG")</f>
        <v/>
      </c>
    </row>
    <row r="4290">
      <c r="A4290" t="n">
        <v>4289</v>
      </c>
      <c r="B4290" t="inlineStr">
        <is>
          <t>MV̅CCLXXXIX</t>
        </is>
      </c>
      <c r="C4290">
        <f>ROMAN(4289)</f>
        <v/>
      </c>
      <c r="D4290">
        <f>IF(B4290=C4290, "YES", "WRONG")</f>
        <v/>
      </c>
    </row>
    <row r="4291">
      <c r="A4291" t="n">
        <v>4290</v>
      </c>
      <c r="B4291" t="inlineStr">
        <is>
          <t>MV̅CCXC</t>
        </is>
      </c>
      <c r="C4291">
        <f>ROMAN(4290)</f>
        <v/>
      </c>
      <c r="D4291">
        <f>IF(B4291=C4291, "YES", "WRONG")</f>
        <v/>
      </c>
    </row>
    <row r="4292">
      <c r="A4292" t="n">
        <v>4291</v>
      </c>
      <c r="B4292" t="inlineStr">
        <is>
          <t>MV̅CCXCI</t>
        </is>
      </c>
      <c r="C4292">
        <f>ROMAN(4291)</f>
        <v/>
      </c>
      <c r="D4292">
        <f>IF(B4292=C4292, "YES", "WRONG")</f>
        <v/>
      </c>
    </row>
    <row r="4293">
      <c r="A4293" t="n">
        <v>4292</v>
      </c>
      <c r="B4293" t="inlineStr">
        <is>
          <t>MV̅CCXCII</t>
        </is>
      </c>
      <c r="C4293">
        <f>ROMAN(4292)</f>
        <v/>
      </c>
      <c r="D4293">
        <f>IF(B4293=C4293, "YES", "WRONG")</f>
        <v/>
      </c>
    </row>
    <row r="4294">
      <c r="A4294" t="n">
        <v>4293</v>
      </c>
      <c r="B4294" t="inlineStr">
        <is>
          <t>MV̅CCXCIII</t>
        </is>
      </c>
      <c r="C4294">
        <f>ROMAN(4293)</f>
        <v/>
      </c>
      <c r="D4294">
        <f>IF(B4294=C4294, "YES", "WRONG")</f>
        <v/>
      </c>
    </row>
    <row r="4295">
      <c r="A4295" t="n">
        <v>4294</v>
      </c>
      <c r="B4295" t="inlineStr">
        <is>
          <t>MV̅CCXCIV</t>
        </is>
      </c>
      <c r="C4295">
        <f>ROMAN(4294)</f>
        <v/>
      </c>
      <c r="D4295">
        <f>IF(B4295=C4295, "YES", "WRONG")</f>
        <v/>
      </c>
    </row>
    <row r="4296">
      <c r="A4296" t="n">
        <v>4295</v>
      </c>
      <c r="B4296" t="inlineStr">
        <is>
          <t>MV̅CCXCV</t>
        </is>
      </c>
      <c r="C4296">
        <f>ROMAN(4295)</f>
        <v/>
      </c>
      <c r="D4296">
        <f>IF(B4296=C4296, "YES", "WRONG")</f>
        <v/>
      </c>
    </row>
    <row r="4297">
      <c r="A4297" t="n">
        <v>4296</v>
      </c>
      <c r="B4297" t="inlineStr">
        <is>
          <t>MV̅CCXCVI</t>
        </is>
      </c>
      <c r="C4297">
        <f>ROMAN(4296)</f>
        <v/>
      </c>
      <c r="D4297">
        <f>IF(B4297=C4297, "YES", "WRONG")</f>
        <v/>
      </c>
    </row>
    <row r="4298">
      <c r="A4298" t="n">
        <v>4297</v>
      </c>
      <c r="B4298" t="inlineStr">
        <is>
          <t>MV̅CCXCVII</t>
        </is>
      </c>
      <c r="C4298">
        <f>ROMAN(4297)</f>
        <v/>
      </c>
      <c r="D4298">
        <f>IF(B4298=C4298, "YES", "WRONG")</f>
        <v/>
      </c>
    </row>
    <row r="4299">
      <c r="A4299" t="n">
        <v>4298</v>
      </c>
      <c r="B4299" t="inlineStr">
        <is>
          <t>MV̅CCXCVIII</t>
        </is>
      </c>
      <c r="C4299">
        <f>ROMAN(4298)</f>
        <v/>
      </c>
      <c r="D4299">
        <f>IF(B4299=C4299, "YES", "WRONG")</f>
        <v/>
      </c>
    </row>
    <row r="4300">
      <c r="A4300" t="n">
        <v>4299</v>
      </c>
      <c r="B4300" t="inlineStr">
        <is>
          <t>MV̅CCXCIX</t>
        </is>
      </c>
      <c r="C4300">
        <f>ROMAN(4299)</f>
        <v/>
      </c>
      <c r="D4300">
        <f>IF(B4300=C4300, "YES", "WRONG")</f>
        <v/>
      </c>
    </row>
    <row r="4301">
      <c r="A4301" t="n">
        <v>4300</v>
      </c>
      <c r="B4301" t="inlineStr">
        <is>
          <t>MV̅CCC</t>
        </is>
      </c>
      <c r="C4301">
        <f>ROMAN(4300)</f>
        <v/>
      </c>
      <c r="D4301">
        <f>IF(B4301=C4301, "YES", "WRONG")</f>
        <v/>
      </c>
    </row>
    <row r="4302">
      <c r="A4302" t="n">
        <v>4301</v>
      </c>
      <c r="B4302" t="inlineStr">
        <is>
          <t>MV̅CCCI</t>
        </is>
      </c>
      <c r="C4302">
        <f>ROMAN(4301)</f>
        <v/>
      </c>
      <c r="D4302">
        <f>IF(B4302=C4302, "YES", "WRONG")</f>
        <v/>
      </c>
    </row>
    <row r="4303">
      <c r="A4303" t="n">
        <v>4302</v>
      </c>
      <c r="B4303" t="inlineStr">
        <is>
          <t>MV̅CCCII</t>
        </is>
      </c>
      <c r="C4303">
        <f>ROMAN(4302)</f>
        <v/>
      </c>
      <c r="D4303">
        <f>IF(B4303=C4303, "YES", "WRONG")</f>
        <v/>
      </c>
    </row>
    <row r="4304">
      <c r="A4304" t="n">
        <v>4303</v>
      </c>
      <c r="B4304" t="inlineStr">
        <is>
          <t>MV̅CCCIII</t>
        </is>
      </c>
      <c r="C4304">
        <f>ROMAN(4303)</f>
        <v/>
      </c>
      <c r="D4304">
        <f>IF(B4304=C4304, "YES", "WRONG")</f>
        <v/>
      </c>
    </row>
    <row r="4305">
      <c r="A4305" t="n">
        <v>4304</v>
      </c>
      <c r="B4305" t="inlineStr">
        <is>
          <t>MV̅CCCIV</t>
        </is>
      </c>
      <c r="C4305">
        <f>ROMAN(4304)</f>
        <v/>
      </c>
      <c r="D4305">
        <f>IF(B4305=C4305, "YES", "WRONG")</f>
        <v/>
      </c>
    </row>
    <row r="4306">
      <c r="A4306" t="n">
        <v>4305</v>
      </c>
      <c r="B4306" t="inlineStr">
        <is>
          <t>MV̅CCCV</t>
        </is>
      </c>
      <c r="C4306">
        <f>ROMAN(4305)</f>
        <v/>
      </c>
      <c r="D4306">
        <f>IF(B4306=C4306, "YES", "WRONG")</f>
        <v/>
      </c>
    </row>
    <row r="4307">
      <c r="A4307" t="n">
        <v>4306</v>
      </c>
      <c r="B4307" t="inlineStr">
        <is>
          <t>MV̅CCCVI</t>
        </is>
      </c>
      <c r="C4307">
        <f>ROMAN(4306)</f>
        <v/>
      </c>
      <c r="D4307">
        <f>IF(B4307=C4307, "YES", "WRONG")</f>
        <v/>
      </c>
    </row>
    <row r="4308">
      <c r="A4308" t="n">
        <v>4307</v>
      </c>
      <c r="B4308" t="inlineStr">
        <is>
          <t>MV̅CCCVII</t>
        </is>
      </c>
      <c r="C4308">
        <f>ROMAN(4307)</f>
        <v/>
      </c>
      <c r="D4308">
        <f>IF(B4308=C4308, "YES", "WRONG")</f>
        <v/>
      </c>
    </row>
    <row r="4309">
      <c r="A4309" t="n">
        <v>4308</v>
      </c>
      <c r="B4309" t="inlineStr">
        <is>
          <t>MV̅CCCVIII</t>
        </is>
      </c>
      <c r="C4309">
        <f>ROMAN(4308)</f>
        <v/>
      </c>
      <c r="D4309">
        <f>IF(B4309=C4309, "YES", "WRONG")</f>
        <v/>
      </c>
    </row>
    <row r="4310">
      <c r="A4310" t="n">
        <v>4309</v>
      </c>
      <c r="B4310" t="inlineStr">
        <is>
          <t>MV̅CCCIX</t>
        </is>
      </c>
      <c r="C4310">
        <f>ROMAN(4309)</f>
        <v/>
      </c>
      <c r="D4310">
        <f>IF(B4310=C4310, "YES", "WRONG")</f>
        <v/>
      </c>
    </row>
    <row r="4311">
      <c r="A4311" t="n">
        <v>4310</v>
      </c>
      <c r="B4311" t="inlineStr">
        <is>
          <t>MV̅CCCX</t>
        </is>
      </c>
      <c r="C4311">
        <f>ROMAN(4310)</f>
        <v/>
      </c>
      <c r="D4311">
        <f>IF(B4311=C4311, "YES", "WRONG")</f>
        <v/>
      </c>
    </row>
    <row r="4312">
      <c r="A4312" t="n">
        <v>4311</v>
      </c>
      <c r="B4312" t="inlineStr">
        <is>
          <t>MV̅CCCXI</t>
        </is>
      </c>
      <c r="C4312">
        <f>ROMAN(4311)</f>
        <v/>
      </c>
      <c r="D4312">
        <f>IF(B4312=C4312, "YES", "WRONG")</f>
        <v/>
      </c>
    </row>
    <row r="4313">
      <c r="A4313" t="n">
        <v>4312</v>
      </c>
      <c r="B4313" t="inlineStr">
        <is>
          <t>MV̅CCCXII</t>
        </is>
      </c>
      <c r="C4313">
        <f>ROMAN(4312)</f>
        <v/>
      </c>
      <c r="D4313">
        <f>IF(B4313=C4313, "YES", "WRONG")</f>
        <v/>
      </c>
    </row>
    <row r="4314">
      <c r="A4314" t="n">
        <v>4313</v>
      </c>
      <c r="B4314" t="inlineStr">
        <is>
          <t>MV̅CCCXIII</t>
        </is>
      </c>
      <c r="C4314">
        <f>ROMAN(4313)</f>
        <v/>
      </c>
      <c r="D4314">
        <f>IF(B4314=C4314, "YES", "WRONG")</f>
        <v/>
      </c>
    </row>
    <row r="4315">
      <c r="A4315" t="n">
        <v>4314</v>
      </c>
      <c r="B4315" t="inlineStr">
        <is>
          <t>MV̅CCCXIV</t>
        </is>
      </c>
      <c r="C4315">
        <f>ROMAN(4314)</f>
        <v/>
      </c>
      <c r="D4315">
        <f>IF(B4315=C4315, "YES", "WRONG")</f>
        <v/>
      </c>
    </row>
    <row r="4316">
      <c r="A4316" t="n">
        <v>4315</v>
      </c>
      <c r="B4316" t="inlineStr">
        <is>
          <t>MV̅CCCXV</t>
        </is>
      </c>
      <c r="C4316">
        <f>ROMAN(4315)</f>
        <v/>
      </c>
      <c r="D4316">
        <f>IF(B4316=C4316, "YES", "WRONG")</f>
        <v/>
      </c>
    </row>
    <row r="4317">
      <c r="A4317" t="n">
        <v>4316</v>
      </c>
      <c r="B4317" t="inlineStr">
        <is>
          <t>MV̅CCCXVI</t>
        </is>
      </c>
      <c r="C4317">
        <f>ROMAN(4316)</f>
        <v/>
      </c>
      <c r="D4317">
        <f>IF(B4317=C4317, "YES", "WRONG")</f>
        <v/>
      </c>
    </row>
    <row r="4318">
      <c r="A4318" t="n">
        <v>4317</v>
      </c>
      <c r="B4318" t="inlineStr">
        <is>
          <t>MV̅CCCXVII</t>
        </is>
      </c>
      <c r="C4318">
        <f>ROMAN(4317)</f>
        <v/>
      </c>
      <c r="D4318">
        <f>IF(B4318=C4318, "YES", "WRONG")</f>
        <v/>
      </c>
    </row>
    <row r="4319">
      <c r="A4319" t="n">
        <v>4318</v>
      </c>
      <c r="B4319" t="inlineStr">
        <is>
          <t>MV̅CCCXVIII</t>
        </is>
      </c>
      <c r="C4319">
        <f>ROMAN(4318)</f>
        <v/>
      </c>
      <c r="D4319">
        <f>IF(B4319=C4319, "YES", "WRONG")</f>
        <v/>
      </c>
    </row>
    <row r="4320">
      <c r="A4320" t="n">
        <v>4319</v>
      </c>
      <c r="B4320" t="inlineStr">
        <is>
          <t>MV̅CCCXIX</t>
        </is>
      </c>
      <c r="C4320">
        <f>ROMAN(4319)</f>
        <v/>
      </c>
      <c r="D4320">
        <f>IF(B4320=C4320, "YES", "WRONG")</f>
        <v/>
      </c>
    </row>
    <row r="4321">
      <c r="A4321" t="n">
        <v>4320</v>
      </c>
      <c r="B4321" t="inlineStr">
        <is>
          <t>MV̅CCCXX</t>
        </is>
      </c>
      <c r="C4321">
        <f>ROMAN(4320)</f>
        <v/>
      </c>
      <c r="D4321">
        <f>IF(B4321=C4321, "YES", "WRONG")</f>
        <v/>
      </c>
    </row>
    <row r="4322">
      <c r="A4322" t="n">
        <v>4321</v>
      </c>
      <c r="B4322" t="inlineStr">
        <is>
          <t>MV̅CCCXXI</t>
        </is>
      </c>
      <c r="C4322">
        <f>ROMAN(4321)</f>
        <v/>
      </c>
      <c r="D4322">
        <f>IF(B4322=C4322, "YES", "WRONG")</f>
        <v/>
      </c>
    </row>
    <row r="4323">
      <c r="A4323" t="n">
        <v>4322</v>
      </c>
      <c r="B4323" t="inlineStr">
        <is>
          <t>MV̅CCCXXII</t>
        </is>
      </c>
      <c r="C4323">
        <f>ROMAN(4322)</f>
        <v/>
      </c>
      <c r="D4323">
        <f>IF(B4323=C4323, "YES", "WRONG")</f>
        <v/>
      </c>
    </row>
    <row r="4324">
      <c r="A4324" t="n">
        <v>4323</v>
      </c>
      <c r="B4324" t="inlineStr">
        <is>
          <t>MV̅CCCXXIII</t>
        </is>
      </c>
      <c r="C4324">
        <f>ROMAN(4323)</f>
        <v/>
      </c>
      <c r="D4324">
        <f>IF(B4324=C4324, "YES", "WRONG")</f>
        <v/>
      </c>
    </row>
    <row r="4325">
      <c r="A4325" t="n">
        <v>4324</v>
      </c>
      <c r="B4325" t="inlineStr">
        <is>
          <t>MV̅CCCXXIV</t>
        </is>
      </c>
      <c r="C4325">
        <f>ROMAN(4324)</f>
        <v/>
      </c>
      <c r="D4325">
        <f>IF(B4325=C4325, "YES", "WRONG")</f>
        <v/>
      </c>
    </row>
    <row r="4326">
      <c r="A4326" t="n">
        <v>4325</v>
      </c>
      <c r="B4326" t="inlineStr">
        <is>
          <t>MV̅CCCXXV</t>
        </is>
      </c>
      <c r="C4326">
        <f>ROMAN(4325)</f>
        <v/>
      </c>
      <c r="D4326">
        <f>IF(B4326=C4326, "YES", "WRONG")</f>
        <v/>
      </c>
    </row>
    <row r="4327">
      <c r="A4327" t="n">
        <v>4326</v>
      </c>
      <c r="B4327" t="inlineStr">
        <is>
          <t>MV̅CCCXXVI</t>
        </is>
      </c>
      <c r="C4327">
        <f>ROMAN(4326)</f>
        <v/>
      </c>
      <c r="D4327">
        <f>IF(B4327=C4327, "YES", "WRONG")</f>
        <v/>
      </c>
    </row>
    <row r="4328">
      <c r="A4328" t="n">
        <v>4327</v>
      </c>
      <c r="B4328" t="inlineStr">
        <is>
          <t>MV̅CCCXXVII</t>
        </is>
      </c>
      <c r="C4328">
        <f>ROMAN(4327)</f>
        <v/>
      </c>
      <c r="D4328">
        <f>IF(B4328=C4328, "YES", "WRONG")</f>
        <v/>
      </c>
    </row>
    <row r="4329">
      <c r="A4329" t="n">
        <v>4328</v>
      </c>
      <c r="B4329" t="inlineStr">
        <is>
          <t>MV̅CCCXXVIII</t>
        </is>
      </c>
      <c r="C4329">
        <f>ROMAN(4328)</f>
        <v/>
      </c>
      <c r="D4329">
        <f>IF(B4329=C4329, "YES", "WRONG")</f>
        <v/>
      </c>
    </row>
    <row r="4330">
      <c r="A4330" t="n">
        <v>4329</v>
      </c>
      <c r="B4330" t="inlineStr">
        <is>
          <t>MV̅CCCXXIX</t>
        </is>
      </c>
      <c r="C4330">
        <f>ROMAN(4329)</f>
        <v/>
      </c>
      <c r="D4330">
        <f>IF(B4330=C4330, "YES", "WRONG")</f>
        <v/>
      </c>
    </row>
    <row r="4331">
      <c r="A4331" t="n">
        <v>4330</v>
      </c>
      <c r="B4331" t="inlineStr">
        <is>
          <t>MV̅CCCXXX</t>
        </is>
      </c>
      <c r="C4331">
        <f>ROMAN(4330)</f>
        <v/>
      </c>
      <c r="D4331">
        <f>IF(B4331=C4331, "YES", "WRONG")</f>
        <v/>
      </c>
    </row>
    <row r="4332">
      <c r="A4332" t="n">
        <v>4331</v>
      </c>
      <c r="B4332" t="inlineStr">
        <is>
          <t>MV̅CCCXXXI</t>
        </is>
      </c>
      <c r="C4332">
        <f>ROMAN(4331)</f>
        <v/>
      </c>
      <c r="D4332">
        <f>IF(B4332=C4332, "YES", "WRONG")</f>
        <v/>
      </c>
    </row>
    <row r="4333">
      <c r="A4333" t="n">
        <v>4332</v>
      </c>
      <c r="B4333" t="inlineStr">
        <is>
          <t>MV̅CCCXXXII</t>
        </is>
      </c>
      <c r="C4333">
        <f>ROMAN(4332)</f>
        <v/>
      </c>
      <c r="D4333">
        <f>IF(B4333=C4333, "YES", "WRONG")</f>
        <v/>
      </c>
    </row>
    <row r="4334">
      <c r="A4334" t="n">
        <v>4333</v>
      </c>
      <c r="B4334" t="inlineStr">
        <is>
          <t>MV̅CCCXXXIII</t>
        </is>
      </c>
      <c r="C4334">
        <f>ROMAN(4333)</f>
        <v/>
      </c>
      <c r="D4334">
        <f>IF(B4334=C4334, "YES", "WRONG")</f>
        <v/>
      </c>
    </row>
    <row r="4335">
      <c r="A4335" t="n">
        <v>4334</v>
      </c>
      <c r="B4335" t="inlineStr">
        <is>
          <t>MV̅CCCXXXIV</t>
        </is>
      </c>
      <c r="C4335">
        <f>ROMAN(4334)</f>
        <v/>
      </c>
      <c r="D4335">
        <f>IF(B4335=C4335, "YES", "WRONG")</f>
        <v/>
      </c>
    </row>
    <row r="4336">
      <c r="A4336" t="n">
        <v>4335</v>
      </c>
      <c r="B4336" t="inlineStr">
        <is>
          <t>MV̅CCCXXXV</t>
        </is>
      </c>
      <c r="C4336">
        <f>ROMAN(4335)</f>
        <v/>
      </c>
      <c r="D4336">
        <f>IF(B4336=C4336, "YES", "WRONG")</f>
        <v/>
      </c>
    </row>
    <row r="4337">
      <c r="A4337" t="n">
        <v>4336</v>
      </c>
      <c r="B4337" t="inlineStr">
        <is>
          <t>MV̅CCCXXXVI</t>
        </is>
      </c>
      <c r="C4337">
        <f>ROMAN(4336)</f>
        <v/>
      </c>
      <c r="D4337">
        <f>IF(B4337=C4337, "YES", "WRONG")</f>
        <v/>
      </c>
    </row>
    <row r="4338">
      <c r="A4338" t="n">
        <v>4337</v>
      </c>
      <c r="B4338" t="inlineStr">
        <is>
          <t>MV̅CCCXXXVII</t>
        </is>
      </c>
      <c r="C4338">
        <f>ROMAN(4337)</f>
        <v/>
      </c>
      <c r="D4338">
        <f>IF(B4338=C4338, "YES", "WRONG")</f>
        <v/>
      </c>
    </row>
    <row r="4339">
      <c r="A4339" t="n">
        <v>4338</v>
      </c>
      <c r="B4339" t="inlineStr">
        <is>
          <t>MV̅CCCXXXVIII</t>
        </is>
      </c>
      <c r="C4339">
        <f>ROMAN(4338)</f>
        <v/>
      </c>
      <c r="D4339">
        <f>IF(B4339=C4339, "YES", "WRONG")</f>
        <v/>
      </c>
    </row>
    <row r="4340">
      <c r="A4340" t="n">
        <v>4339</v>
      </c>
      <c r="B4340" t="inlineStr">
        <is>
          <t>MV̅CCCXXXIX</t>
        </is>
      </c>
      <c r="C4340">
        <f>ROMAN(4339)</f>
        <v/>
      </c>
      <c r="D4340">
        <f>IF(B4340=C4340, "YES", "WRONG")</f>
        <v/>
      </c>
    </row>
    <row r="4341">
      <c r="A4341" t="n">
        <v>4340</v>
      </c>
      <c r="B4341" t="inlineStr">
        <is>
          <t>MV̅CCCXL</t>
        </is>
      </c>
      <c r="C4341">
        <f>ROMAN(4340)</f>
        <v/>
      </c>
      <c r="D4341">
        <f>IF(B4341=C4341, "YES", "WRONG")</f>
        <v/>
      </c>
    </row>
    <row r="4342">
      <c r="A4342" t="n">
        <v>4341</v>
      </c>
      <c r="B4342" t="inlineStr">
        <is>
          <t>MV̅CCCXLI</t>
        </is>
      </c>
      <c r="C4342">
        <f>ROMAN(4341)</f>
        <v/>
      </c>
      <c r="D4342">
        <f>IF(B4342=C4342, "YES", "WRONG")</f>
        <v/>
      </c>
    </row>
    <row r="4343">
      <c r="A4343" t="n">
        <v>4342</v>
      </c>
      <c r="B4343" t="inlineStr">
        <is>
          <t>MV̅CCCXLII</t>
        </is>
      </c>
      <c r="C4343">
        <f>ROMAN(4342)</f>
        <v/>
      </c>
      <c r="D4343">
        <f>IF(B4343=C4343, "YES", "WRONG")</f>
        <v/>
      </c>
    </row>
    <row r="4344">
      <c r="A4344" t="n">
        <v>4343</v>
      </c>
      <c r="B4344" t="inlineStr">
        <is>
          <t>MV̅CCCXLIII</t>
        </is>
      </c>
      <c r="C4344">
        <f>ROMAN(4343)</f>
        <v/>
      </c>
      <c r="D4344">
        <f>IF(B4344=C4344, "YES", "WRONG")</f>
        <v/>
      </c>
    </row>
    <row r="4345">
      <c r="A4345" t="n">
        <v>4344</v>
      </c>
      <c r="B4345" t="inlineStr">
        <is>
          <t>MV̅CCCXLIV</t>
        </is>
      </c>
      <c r="C4345">
        <f>ROMAN(4344)</f>
        <v/>
      </c>
      <c r="D4345">
        <f>IF(B4345=C4345, "YES", "WRONG")</f>
        <v/>
      </c>
    </row>
    <row r="4346">
      <c r="A4346" t="n">
        <v>4345</v>
      </c>
      <c r="B4346" t="inlineStr">
        <is>
          <t>MV̅CCCXLV</t>
        </is>
      </c>
      <c r="C4346">
        <f>ROMAN(4345)</f>
        <v/>
      </c>
      <c r="D4346">
        <f>IF(B4346=C4346, "YES", "WRONG")</f>
        <v/>
      </c>
    </row>
    <row r="4347">
      <c r="A4347" t="n">
        <v>4346</v>
      </c>
      <c r="B4347" t="inlineStr">
        <is>
          <t>MV̅CCCXLVI</t>
        </is>
      </c>
      <c r="C4347">
        <f>ROMAN(4346)</f>
        <v/>
      </c>
      <c r="D4347">
        <f>IF(B4347=C4347, "YES", "WRONG")</f>
        <v/>
      </c>
    </row>
    <row r="4348">
      <c r="A4348" t="n">
        <v>4347</v>
      </c>
      <c r="B4348" t="inlineStr">
        <is>
          <t>MV̅CCCXLVII</t>
        </is>
      </c>
      <c r="C4348">
        <f>ROMAN(4347)</f>
        <v/>
      </c>
      <c r="D4348">
        <f>IF(B4348=C4348, "YES", "WRONG")</f>
        <v/>
      </c>
    </row>
    <row r="4349">
      <c r="A4349" t="n">
        <v>4348</v>
      </c>
      <c r="B4349" t="inlineStr">
        <is>
          <t>MV̅CCCXLVIII</t>
        </is>
      </c>
      <c r="C4349">
        <f>ROMAN(4348)</f>
        <v/>
      </c>
      <c r="D4349">
        <f>IF(B4349=C4349, "YES", "WRONG")</f>
        <v/>
      </c>
    </row>
    <row r="4350">
      <c r="A4350" t="n">
        <v>4349</v>
      </c>
      <c r="B4350" t="inlineStr">
        <is>
          <t>MV̅CCCXLIX</t>
        </is>
      </c>
      <c r="C4350">
        <f>ROMAN(4349)</f>
        <v/>
      </c>
      <c r="D4350">
        <f>IF(B4350=C4350, "YES", "WRONG")</f>
        <v/>
      </c>
    </row>
    <row r="4351">
      <c r="A4351" t="n">
        <v>4350</v>
      </c>
      <c r="B4351" t="inlineStr">
        <is>
          <t>MV̅CCCL</t>
        </is>
      </c>
      <c r="C4351">
        <f>ROMAN(4350)</f>
        <v/>
      </c>
      <c r="D4351">
        <f>IF(B4351=C4351, "YES", "WRONG")</f>
        <v/>
      </c>
    </row>
    <row r="4352">
      <c r="A4352" t="n">
        <v>4351</v>
      </c>
      <c r="B4352" t="inlineStr">
        <is>
          <t>MV̅CCCLI</t>
        </is>
      </c>
      <c r="C4352">
        <f>ROMAN(4351)</f>
        <v/>
      </c>
      <c r="D4352">
        <f>IF(B4352=C4352, "YES", "WRONG")</f>
        <v/>
      </c>
    </row>
    <row r="4353">
      <c r="A4353" t="n">
        <v>4352</v>
      </c>
      <c r="B4353" t="inlineStr">
        <is>
          <t>MV̅CCCLII</t>
        </is>
      </c>
      <c r="C4353">
        <f>ROMAN(4352)</f>
        <v/>
      </c>
      <c r="D4353">
        <f>IF(B4353=C4353, "YES", "WRONG")</f>
        <v/>
      </c>
    </row>
    <row r="4354">
      <c r="A4354" t="n">
        <v>4353</v>
      </c>
      <c r="B4354" t="inlineStr">
        <is>
          <t>MV̅CCCLIII</t>
        </is>
      </c>
      <c r="C4354">
        <f>ROMAN(4353)</f>
        <v/>
      </c>
      <c r="D4354">
        <f>IF(B4354=C4354, "YES", "WRONG")</f>
        <v/>
      </c>
    </row>
    <row r="4355">
      <c r="A4355" t="n">
        <v>4354</v>
      </c>
      <c r="B4355" t="inlineStr">
        <is>
          <t>MV̅CCCLIV</t>
        </is>
      </c>
      <c r="C4355">
        <f>ROMAN(4354)</f>
        <v/>
      </c>
      <c r="D4355">
        <f>IF(B4355=C4355, "YES", "WRONG")</f>
        <v/>
      </c>
    </row>
    <row r="4356">
      <c r="A4356" t="n">
        <v>4355</v>
      </c>
      <c r="B4356" t="inlineStr">
        <is>
          <t>MV̅CCCLV</t>
        </is>
      </c>
      <c r="C4356">
        <f>ROMAN(4355)</f>
        <v/>
      </c>
      <c r="D4356">
        <f>IF(B4356=C4356, "YES", "WRONG")</f>
        <v/>
      </c>
    </row>
    <row r="4357">
      <c r="A4357" t="n">
        <v>4356</v>
      </c>
      <c r="B4357" t="inlineStr">
        <is>
          <t>MV̅CCCLVI</t>
        </is>
      </c>
      <c r="C4357">
        <f>ROMAN(4356)</f>
        <v/>
      </c>
      <c r="D4357">
        <f>IF(B4357=C4357, "YES", "WRONG")</f>
        <v/>
      </c>
    </row>
    <row r="4358">
      <c r="A4358" t="n">
        <v>4357</v>
      </c>
      <c r="B4358" t="inlineStr">
        <is>
          <t>MV̅CCCLVII</t>
        </is>
      </c>
      <c r="C4358">
        <f>ROMAN(4357)</f>
        <v/>
      </c>
      <c r="D4358">
        <f>IF(B4358=C4358, "YES", "WRONG")</f>
        <v/>
      </c>
    </row>
    <row r="4359">
      <c r="A4359" t="n">
        <v>4358</v>
      </c>
      <c r="B4359" t="inlineStr">
        <is>
          <t>MV̅CCCLVIII</t>
        </is>
      </c>
      <c r="C4359">
        <f>ROMAN(4358)</f>
        <v/>
      </c>
      <c r="D4359">
        <f>IF(B4359=C4359, "YES", "WRONG")</f>
        <v/>
      </c>
    </row>
    <row r="4360">
      <c r="A4360" t="n">
        <v>4359</v>
      </c>
      <c r="B4360" t="inlineStr">
        <is>
          <t>MV̅CCCLIX</t>
        </is>
      </c>
      <c r="C4360">
        <f>ROMAN(4359)</f>
        <v/>
      </c>
      <c r="D4360">
        <f>IF(B4360=C4360, "YES", "WRONG")</f>
        <v/>
      </c>
    </row>
    <row r="4361">
      <c r="A4361" t="n">
        <v>4360</v>
      </c>
      <c r="B4361" t="inlineStr">
        <is>
          <t>MV̅CCCLX</t>
        </is>
      </c>
      <c r="C4361">
        <f>ROMAN(4360)</f>
        <v/>
      </c>
      <c r="D4361">
        <f>IF(B4361=C4361, "YES", "WRONG")</f>
        <v/>
      </c>
    </row>
    <row r="4362">
      <c r="A4362" t="n">
        <v>4361</v>
      </c>
      <c r="B4362" t="inlineStr">
        <is>
          <t>MV̅CCCLXI</t>
        </is>
      </c>
      <c r="C4362">
        <f>ROMAN(4361)</f>
        <v/>
      </c>
      <c r="D4362">
        <f>IF(B4362=C4362, "YES", "WRONG")</f>
        <v/>
      </c>
    </row>
    <row r="4363">
      <c r="A4363" t="n">
        <v>4362</v>
      </c>
      <c r="B4363" t="inlineStr">
        <is>
          <t>MV̅CCCLXII</t>
        </is>
      </c>
      <c r="C4363">
        <f>ROMAN(4362)</f>
        <v/>
      </c>
      <c r="D4363">
        <f>IF(B4363=C4363, "YES", "WRONG")</f>
        <v/>
      </c>
    </row>
    <row r="4364">
      <c r="A4364" t="n">
        <v>4363</v>
      </c>
      <c r="B4364" t="inlineStr">
        <is>
          <t>MV̅CCCLXIII</t>
        </is>
      </c>
      <c r="C4364">
        <f>ROMAN(4363)</f>
        <v/>
      </c>
      <c r="D4364">
        <f>IF(B4364=C4364, "YES", "WRONG")</f>
        <v/>
      </c>
    </row>
    <row r="4365">
      <c r="A4365" t="n">
        <v>4364</v>
      </c>
      <c r="B4365" t="inlineStr">
        <is>
          <t>MV̅CCCLXIV</t>
        </is>
      </c>
      <c r="C4365">
        <f>ROMAN(4364)</f>
        <v/>
      </c>
      <c r="D4365">
        <f>IF(B4365=C4365, "YES", "WRONG")</f>
        <v/>
      </c>
    </row>
    <row r="4366">
      <c r="A4366" t="n">
        <v>4365</v>
      </c>
      <c r="B4366" t="inlineStr">
        <is>
          <t>MV̅CCCLXV</t>
        </is>
      </c>
      <c r="C4366">
        <f>ROMAN(4365)</f>
        <v/>
      </c>
      <c r="D4366">
        <f>IF(B4366=C4366, "YES", "WRONG")</f>
        <v/>
      </c>
    </row>
    <row r="4367">
      <c r="A4367" t="n">
        <v>4366</v>
      </c>
      <c r="B4367" t="inlineStr">
        <is>
          <t>MV̅CCCLXVI</t>
        </is>
      </c>
      <c r="C4367">
        <f>ROMAN(4366)</f>
        <v/>
      </c>
      <c r="D4367">
        <f>IF(B4367=C4367, "YES", "WRONG")</f>
        <v/>
      </c>
    </row>
    <row r="4368">
      <c r="A4368" t="n">
        <v>4367</v>
      </c>
      <c r="B4368" t="inlineStr">
        <is>
          <t>MV̅CCCLXVII</t>
        </is>
      </c>
      <c r="C4368">
        <f>ROMAN(4367)</f>
        <v/>
      </c>
      <c r="D4368">
        <f>IF(B4368=C4368, "YES", "WRONG")</f>
        <v/>
      </c>
    </row>
    <row r="4369">
      <c r="A4369" t="n">
        <v>4368</v>
      </c>
      <c r="B4369" t="inlineStr">
        <is>
          <t>MV̅CCCLXVIII</t>
        </is>
      </c>
      <c r="C4369">
        <f>ROMAN(4368)</f>
        <v/>
      </c>
      <c r="D4369">
        <f>IF(B4369=C4369, "YES", "WRONG")</f>
        <v/>
      </c>
    </row>
    <row r="4370">
      <c r="A4370" t="n">
        <v>4369</v>
      </c>
      <c r="B4370" t="inlineStr">
        <is>
          <t>MV̅CCCLXIX</t>
        </is>
      </c>
      <c r="C4370">
        <f>ROMAN(4369)</f>
        <v/>
      </c>
      <c r="D4370">
        <f>IF(B4370=C4370, "YES", "WRONG")</f>
        <v/>
      </c>
    </row>
    <row r="4371">
      <c r="A4371" t="n">
        <v>4370</v>
      </c>
      <c r="B4371" t="inlineStr">
        <is>
          <t>MV̅CCCLXX</t>
        </is>
      </c>
      <c r="C4371">
        <f>ROMAN(4370)</f>
        <v/>
      </c>
      <c r="D4371">
        <f>IF(B4371=C4371, "YES", "WRONG")</f>
        <v/>
      </c>
    </row>
    <row r="4372">
      <c r="A4372" t="n">
        <v>4371</v>
      </c>
      <c r="B4372" t="inlineStr">
        <is>
          <t>MV̅CCCLXXI</t>
        </is>
      </c>
      <c r="C4372">
        <f>ROMAN(4371)</f>
        <v/>
      </c>
      <c r="D4372">
        <f>IF(B4372=C4372, "YES", "WRONG")</f>
        <v/>
      </c>
    </row>
    <row r="4373">
      <c r="A4373" t="n">
        <v>4372</v>
      </c>
      <c r="B4373" t="inlineStr">
        <is>
          <t>MV̅CCCLXXII</t>
        </is>
      </c>
      <c r="C4373">
        <f>ROMAN(4372)</f>
        <v/>
      </c>
      <c r="D4373">
        <f>IF(B4373=C4373, "YES", "WRONG")</f>
        <v/>
      </c>
    </row>
    <row r="4374">
      <c r="A4374" t="n">
        <v>4373</v>
      </c>
      <c r="B4374" t="inlineStr">
        <is>
          <t>MV̅CCCLXXIII</t>
        </is>
      </c>
      <c r="C4374">
        <f>ROMAN(4373)</f>
        <v/>
      </c>
      <c r="D4374">
        <f>IF(B4374=C4374, "YES", "WRONG")</f>
        <v/>
      </c>
    </row>
    <row r="4375">
      <c r="A4375" t="n">
        <v>4374</v>
      </c>
      <c r="B4375" t="inlineStr">
        <is>
          <t>MV̅CCCLXXIV</t>
        </is>
      </c>
      <c r="C4375">
        <f>ROMAN(4374)</f>
        <v/>
      </c>
      <c r="D4375">
        <f>IF(B4375=C4375, "YES", "WRONG")</f>
        <v/>
      </c>
    </row>
    <row r="4376">
      <c r="A4376" t="n">
        <v>4375</v>
      </c>
      <c r="B4376" t="inlineStr">
        <is>
          <t>MV̅CCCLXXV</t>
        </is>
      </c>
      <c r="C4376">
        <f>ROMAN(4375)</f>
        <v/>
      </c>
      <c r="D4376">
        <f>IF(B4376=C4376, "YES", "WRONG")</f>
        <v/>
      </c>
    </row>
    <row r="4377">
      <c r="A4377" t="n">
        <v>4376</v>
      </c>
      <c r="B4377" t="inlineStr">
        <is>
          <t>MV̅CCCLXXVI</t>
        </is>
      </c>
      <c r="C4377">
        <f>ROMAN(4376)</f>
        <v/>
      </c>
      <c r="D4377">
        <f>IF(B4377=C4377, "YES", "WRONG")</f>
        <v/>
      </c>
    </row>
    <row r="4378">
      <c r="A4378" t="n">
        <v>4377</v>
      </c>
      <c r="B4378" t="inlineStr">
        <is>
          <t>MV̅CCCLXXVII</t>
        </is>
      </c>
      <c r="C4378">
        <f>ROMAN(4377)</f>
        <v/>
      </c>
      <c r="D4378">
        <f>IF(B4378=C4378, "YES", "WRONG")</f>
        <v/>
      </c>
    </row>
    <row r="4379">
      <c r="A4379" t="n">
        <v>4378</v>
      </c>
      <c r="B4379" t="inlineStr">
        <is>
          <t>MV̅CCCLXXVIII</t>
        </is>
      </c>
      <c r="C4379">
        <f>ROMAN(4378)</f>
        <v/>
      </c>
      <c r="D4379">
        <f>IF(B4379=C4379, "YES", "WRONG")</f>
        <v/>
      </c>
    </row>
    <row r="4380">
      <c r="A4380" t="n">
        <v>4379</v>
      </c>
      <c r="B4380" t="inlineStr">
        <is>
          <t>MV̅CCCLXXIX</t>
        </is>
      </c>
      <c r="C4380">
        <f>ROMAN(4379)</f>
        <v/>
      </c>
      <c r="D4380">
        <f>IF(B4380=C4380, "YES", "WRONG")</f>
        <v/>
      </c>
    </row>
    <row r="4381">
      <c r="A4381" t="n">
        <v>4380</v>
      </c>
      <c r="B4381" t="inlineStr">
        <is>
          <t>MV̅CCCLXXX</t>
        </is>
      </c>
      <c r="C4381">
        <f>ROMAN(4380)</f>
        <v/>
      </c>
      <c r="D4381">
        <f>IF(B4381=C4381, "YES", "WRONG")</f>
        <v/>
      </c>
    </row>
    <row r="4382">
      <c r="A4382" t="n">
        <v>4381</v>
      </c>
      <c r="B4382" t="inlineStr">
        <is>
          <t>MV̅CCCLXXXI</t>
        </is>
      </c>
      <c r="C4382">
        <f>ROMAN(4381)</f>
        <v/>
      </c>
      <c r="D4382">
        <f>IF(B4382=C4382, "YES", "WRONG")</f>
        <v/>
      </c>
    </row>
    <row r="4383">
      <c r="A4383" t="n">
        <v>4382</v>
      </c>
      <c r="B4383" t="inlineStr">
        <is>
          <t>MV̅CCCLXXXII</t>
        </is>
      </c>
      <c r="C4383">
        <f>ROMAN(4382)</f>
        <v/>
      </c>
      <c r="D4383">
        <f>IF(B4383=C4383, "YES", "WRONG")</f>
        <v/>
      </c>
    </row>
    <row r="4384">
      <c r="A4384" t="n">
        <v>4383</v>
      </c>
      <c r="B4384" t="inlineStr">
        <is>
          <t>MV̅CCCLXXXIII</t>
        </is>
      </c>
      <c r="C4384">
        <f>ROMAN(4383)</f>
        <v/>
      </c>
      <c r="D4384">
        <f>IF(B4384=C4384, "YES", "WRONG")</f>
        <v/>
      </c>
    </row>
    <row r="4385">
      <c r="A4385" t="n">
        <v>4384</v>
      </c>
      <c r="B4385" t="inlineStr">
        <is>
          <t>MV̅CCCLXXXIV</t>
        </is>
      </c>
      <c r="C4385">
        <f>ROMAN(4384)</f>
        <v/>
      </c>
      <c r="D4385">
        <f>IF(B4385=C4385, "YES", "WRONG")</f>
        <v/>
      </c>
    </row>
    <row r="4386">
      <c r="A4386" t="n">
        <v>4385</v>
      </c>
      <c r="B4386" t="inlineStr">
        <is>
          <t>MV̅CCCLXXXV</t>
        </is>
      </c>
      <c r="C4386">
        <f>ROMAN(4385)</f>
        <v/>
      </c>
      <c r="D4386">
        <f>IF(B4386=C4386, "YES", "WRONG")</f>
        <v/>
      </c>
    </row>
    <row r="4387">
      <c r="A4387" t="n">
        <v>4386</v>
      </c>
      <c r="B4387" t="inlineStr">
        <is>
          <t>MV̅CCCLXXXVI</t>
        </is>
      </c>
      <c r="C4387">
        <f>ROMAN(4386)</f>
        <v/>
      </c>
      <c r="D4387">
        <f>IF(B4387=C4387, "YES", "WRONG")</f>
        <v/>
      </c>
    </row>
    <row r="4388">
      <c r="A4388" t="n">
        <v>4387</v>
      </c>
      <c r="B4388" t="inlineStr">
        <is>
          <t>MV̅CCCLXXXVII</t>
        </is>
      </c>
      <c r="C4388">
        <f>ROMAN(4387)</f>
        <v/>
      </c>
      <c r="D4388">
        <f>IF(B4388=C4388, "YES", "WRONG")</f>
        <v/>
      </c>
    </row>
    <row r="4389">
      <c r="A4389" t="n">
        <v>4388</v>
      </c>
      <c r="B4389" t="inlineStr">
        <is>
          <t>MV̅CCCLXXXVIII</t>
        </is>
      </c>
      <c r="C4389">
        <f>ROMAN(4388)</f>
        <v/>
      </c>
      <c r="D4389">
        <f>IF(B4389=C4389, "YES", "WRONG")</f>
        <v/>
      </c>
    </row>
    <row r="4390">
      <c r="A4390" t="n">
        <v>4389</v>
      </c>
      <c r="B4390" t="inlineStr">
        <is>
          <t>MV̅CCCLXXXIX</t>
        </is>
      </c>
      <c r="C4390">
        <f>ROMAN(4389)</f>
        <v/>
      </c>
      <c r="D4390">
        <f>IF(B4390=C4390, "YES", "WRONG")</f>
        <v/>
      </c>
    </row>
    <row r="4391">
      <c r="A4391" t="n">
        <v>4390</v>
      </c>
      <c r="B4391" t="inlineStr">
        <is>
          <t>MV̅CCCXC</t>
        </is>
      </c>
      <c r="C4391">
        <f>ROMAN(4390)</f>
        <v/>
      </c>
      <c r="D4391">
        <f>IF(B4391=C4391, "YES", "WRONG")</f>
        <v/>
      </c>
    </row>
    <row r="4392">
      <c r="A4392" t="n">
        <v>4391</v>
      </c>
      <c r="B4392" t="inlineStr">
        <is>
          <t>MV̅CCCXCI</t>
        </is>
      </c>
      <c r="C4392">
        <f>ROMAN(4391)</f>
        <v/>
      </c>
      <c r="D4392">
        <f>IF(B4392=C4392, "YES", "WRONG")</f>
        <v/>
      </c>
    </row>
    <row r="4393">
      <c r="A4393" t="n">
        <v>4392</v>
      </c>
      <c r="B4393" t="inlineStr">
        <is>
          <t>MV̅CCCXCII</t>
        </is>
      </c>
      <c r="C4393">
        <f>ROMAN(4392)</f>
        <v/>
      </c>
      <c r="D4393">
        <f>IF(B4393=C4393, "YES", "WRONG")</f>
        <v/>
      </c>
    </row>
    <row r="4394">
      <c r="A4394" t="n">
        <v>4393</v>
      </c>
      <c r="B4394" t="inlineStr">
        <is>
          <t>MV̅CCCXCIII</t>
        </is>
      </c>
      <c r="C4394">
        <f>ROMAN(4393)</f>
        <v/>
      </c>
      <c r="D4394">
        <f>IF(B4394=C4394, "YES", "WRONG")</f>
        <v/>
      </c>
    </row>
    <row r="4395">
      <c r="A4395" t="n">
        <v>4394</v>
      </c>
      <c r="B4395" t="inlineStr">
        <is>
          <t>MV̅CCCXCIV</t>
        </is>
      </c>
      <c r="C4395">
        <f>ROMAN(4394)</f>
        <v/>
      </c>
      <c r="D4395">
        <f>IF(B4395=C4395, "YES", "WRONG")</f>
        <v/>
      </c>
    </row>
    <row r="4396">
      <c r="A4396" t="n">
        <v>4395</v>
      </c>
      <c r="B4396" t="inlineStr">
        <is>
          <t>MV̅CCCXCV</t>
        </is>
      </c>
      <c r="C4396">
        <f>ROMAN(4395)</f>
        <v/>
      </c>
      <c r="D4396">
        <f>IF(B4396=C4396, "YES", "WRONG")</f>
        <v/>
      </c>
    </row>
    <row r="4397">
      <c r="A4397" t="n">
        <v>4396</v>
      </c>
      <c r="B4397" t="inlineStr">
        <is>
          <t>MV̅CCCXCVI</t>
        </is>
      </c>
      <c r="C4397">
        <f>ROMAN(4396)</f>
        <v/>
      </c>
      <c r="D4397">
        <f>IF(B4397=C4397, "YES", "WRONG")</f>
        <v/>
      </c>
    </row>
    <row r="4398">
      <c r="A4398" t="n">
        <v>4397</v>
      </c>
      <c r="B4398" t="inlineStr">
        <is>
          <t>MV̅CCCXCVII</t>
        </is>
      </c>
      <c r="C4398">
        <f>ROMAN(4397)</f>
        <v/>
      </c>
      <c r="D4398">
        <f>IF(B4398=C4398, "YES", "WRONG")</f>
        <v/>
      </c>
    </row>
    <row r="4399">
      <c r="A4399" t="n">
        <v>4398</v>
      </c>
      <c r="B4399" t="inlineStr">
        <is>
          <t>MV̅CCCXCVIII</t>
        </is>
      </c>
      <c r="C4399">
        <f>ROMAN(4398)</f>
        <v/>
      </c>
      <c r="D4399">
        <f>IF(B4399=C4399, "YES", "WRONG")</f>
        <v/>
      </c>
    </row>
    <row r="4400">
      <c r="A4400" t="n">
        <v>4399</v>
      </c>
      <c r="B4400" t="inlineStr">
        <is>
          <t>MV̅CCCXCIX</t>
        </is>
      </c>
      <c r="C4400">
        <f>ROMAN(4399)</f>
        <v/>
      </c>
      <c r="D4400">
        <f>IF(B4400=C4400, "YES", "WRONG")</f>
        <v/>
      </c>
    </row>
    <row r="4401">
      <c r="A4401" t="n">
        <v>4400</v>
      </c>
      <c r="B4401" t="inlineStr">
        <is>
          <t>MV̅CD</t>
        </is>
      </c>
      <c r="C4401">
        <f>ROMAN(4400)</f>
        <v/>
      </c>
      <c r="D4401">
        <f>IF(B4401=C4401, "YES", "WRONG")</f>
        <v/>
      </c>
    </row>
    <row r="4402">
      <c r="A4402" t="n">
        <v>4401</v>
      </c>
      <c r="B4402" t="inlineStr">
        <is>
          <t>MV̅CDI</t>
        </is>
      </c>
      <c r="C4402">
        <f>ROMAN(4401)</f>
        <v/>
      </c>
      <c r="D4402">
        <f>IF(B4402=C4402, "YES", "WRONG")</f>
        <v/>
      </c>
    </row>
    <row r="4403">
      <c r="A4403" t="n">
        <v>4402</v>
      </c>
      <c r="B4403" t="inlineStr">
        <is>
          <t>MV̅CDII</t>
        </is>
      </c>
      <c r="C4403">
        <f>ROMAN(4402)</f>
        <v/>
      </c>
      <c r="D4403">
        <f>IF(B4403=C4403, "YES", "WRONG")</f>
        <v/>
      </c>
    </row>
    <row r="4404">
      <c r="A4404" t="n">
        <v>4403</v>
      </c>
      <c r="B4404" t="inlineStr">
        <is>
          <t>MV̅CDIII</t>
        </is>
      </c>
      <c r="C4404">
        <f>ROMAN(4403)</f>
        <v/>
      </c>
      <c r="D4404">
        <f>IF(B4404=C4404, "YES", "WRONG")</f>
        <v/>
      </c>
    </row>
    <row r="4405">
      <c r="A4405" t="n">
        <v>4404</v>
      </c>
      <c r="B4405" t="inlineStr">
        <is>
          <t>MV̅CDIV</t>
        </is>
      </c>
      <c r="C4405">
        <f>ROMAN(4404)</f>
        <v/>
      </c>
      <c r="D4405">
        <f>IF(B4405=C4405, "YES", "WRONG")</f>
        <v/>
      </c>
    </row>
    <row r="4406">
      <c r="A4406" t="n">
        <v>4405</v>
      </c>
      <c r="B4406" t="inlineStr">
        <is>
          <t>MV̅CDV</t>
        </is>
      </c>
      <c r="C4406">
        <f>ROMAN(4405)</f>
        <v/>
      </c>
      <c r="D4406">
        <f>IF(B4406=C4406, "YES", "WRONG")</f>
        <v/>
      </c>
    </row>
    <row r="4407">
      <c r="A4407" t="n">
        <v>4406</v>
      </c>
      <c r="B4407" t="inlineStr">
        <is>
          <t>MV̅CDVI</t>
        </is>
      </c>
      <c r="C4407">
        <f>ROMAN(4406)</f>
        <v/>
      </c>
      <c r="D4407">
        <f>IF(B4407=C4407, "YES", "WRONG")</f>
        <v/>
      </c>
    </row>
    <row r="4408">
      <c r="A4408" t="n">
        <v>4407</v>
      </c>
      <c r="B4408" t="inlineStr">
        <is>
          <t>MV̅CDVII</t>
        </is>
      </c>
      <c r="C4408">
        <f>ROMAN(4407)</f>
        <v/>
      </c>
      <c r="D4408">
        <f>IF(B4408=C4408, "YES", "WRONG")</f>
        <v/>
      </c>
    </row>
    <row r="4409">
      <c r="A4409" t="n">
        <v>4408</v>
      </c>
      <c r="B4409" t="inlineStr">
        <is>
          <t>MV̅CDVIII</t>
        </is>
      </c>
      <c r="C4409">
        <f>ROMAN(4408)</f>
        <v/>
      </c>
      <c r="D4409">
        <f>IF(B4409=C4409, "YES", "WRONG")</f>
        <v/>
      </c>
    </row>
    <row r="4410">
      <c r="A4410" t="n">
        <v>4409</v>
      </c>
      <c r="B4410" t="inlineStr">
        <is>
          <t>MV̅CDIX</t>
        </is>
      </c>
      <c r="C4410">
        <f>ROMAN(4409)</f>
        <v/>
      </c>
      <c r="D4410">
        <f>IF(B4410=C4410, "YES", "WRONG")</f>
        <v/>
      </c>
    </row>
    <row r="4411">
      <c r="A4411" t="n">
        <v>4410</v>
      </c>
      <c r="B4411" t="inlineStr">
        <is>
          <t>MV̅CDX</t>
        </is>
      </c>
      <c r="C4411">
        <f>ROMAN(4410)</f>
        <v/>
      </c>
      <c r="D4411">
        <f>IF(B4411=C4411, "YES", "WRONG")</f>
        <v/>
      </c>
    </row>
    <row r="4412">
      <c r="A4412" t="n">
        <v>4411</v>
      </c>
      <c r="B4412" t="inlineStr">
        <is>
          <t>MV̅CDXI</t>
        </is>
      </c>
      <c r="C4412">
        <f>ROMAN(4411)</f>
        <v/>
      </c>
      <c r="D4412">
        <f>IF(B4412=C4412, "YES", "WRONG")</f>
        <v/>
      </c>
    </row>
    <row r="4413">
      <c r="A4413" t="n">
        <v>4412</v>
      </c>
      <c r="B4413" t="inlineStr">
        <is>
          <t>MV̅CDXII</t>
        </is>
      </c>
      <c r="C4413">
        <f>ROMAN(4412)</f>
        <v/>
      </c>
      <c r="D4413">
        <f>IF(B4413=C4413, "YES", "WRONG")</f>
        <v/>
      </c>
    </row>
    <row r="4414">
      <c r="A4414" t="n">
        <v>4413</v>
      </c>
      <c r="B4414" t="inlineStr">
        <is>
          <t>MV̅CDXIII</t>
        </is>
      </c>
      <c r="C4414">
        <f>ROMAN(4413)</f>
        <v/>
      </c>
      <c r="D4414">
        <f>IF(B4414=C4414, "YES", "WRONG")</f>
        <v/>
      </c>
    </row>
    <row r="4415">
      <c r="A4415" t="n">
        <v>4414</v>
      </c>
      <c r="B4415" t="inlineStr">
        <is>
          <t>MV̅CDXIV</t>
        </is>
      </c>
      <c r="C4415">
        <f>ROMAN(4414)</f>
        <v/>
      </c>
      <c r="D4415">
        <f>IF(B4415=C4415, "YES", "WRONG")</f>
        <v/>
      </c>
    </row>
    <row r="4416">
      <c r="A4416" t="n">
        <v>4415</v>
      </c>
      <c r="B4416" t="inlineStr">
        <is>
          <t>MV̅CDXV</t>
        </is>
      </c>
      <c r="C4416">
        <f>ROMAN(4415)</f>
        <v/>
      </c>
      <c r="D4416">
        <f>IF(B4416=C4416, "YES", "WRONG")</f>
        <v/>
      </c>
    </row>
    <row r="4417">
      <c r="A4417" t="n">
        <v>4416</v>
      </c>
      <c r="B4417" t="inlineStr">
        <is>
          <t>MV̅CDXVI</t>
        </is>
      </c>
      <c r="C4417">
        <f>ROMAN(4416)</f>
        <v/>
      </c>
      <c r="D4417">
        <f>IF(B4417=C4417, "YES", "WRONG")</f>
        <v/>
      </c>
    </row>
    <row r="4418">
      <c r="A4418" t="n">
        <v>4417</v>
      </c>
      <c r="B4418" t="inlineStr">
        <is>
          <t>MV̅CDXVII</t>
        </is>
      </c>
      <c r="C4418">
        <f>ROMAN(4417)</f>
        <v/>
      </c>
      <c r="D4418">
        <f>IF(B4418=C4418, "YES", "WRONG")</f>
        <v/>
      </c>
    </row>
    <row r="4419">
      <c r="A4419" t="n">
        <v>4418</v>
      </c>
      <c r="B4419" t="inlineStr">
        <is>
          <t>MV̅CDXVIII</t>
        </is>
      </c>
      <c r="C4419">
        <f>ROMAN(4418)</f>
        <v/>
      </c>
      <c r="D4419">
        <f>IF(B4419=C4419, "YES", "WRONG")</f>
        <v/>
      </c>
    </row>
    <row r="4420">
      <c r="A4420" t="n">
        <v>4419</v>
      </c>
      <c r="B4420" t="inlineStr">
        <is>
          <t>MV̅CDXIX</t>
        </is>
      </c>
      <c r="C4420">
        <f>ROMAN(4419)</f>
        <v/>
      </c>
      <c r="D4420">
        <f>IF(B4420=C4420, "YES", "WRONG")</f>
        <v/>
      </c>
    </row>
    <row r="4421">
      <c r="A4421" t="n">
        <v>4420</v>
      </c>
      <c r="B4421" t="inlineStr">
        <is>
          <t>MV̅CDXX</t>
        </is>
      </c>
      <c r="C4421">
        <f>ROMAN(4420)</f>
        <v/>
      </c>
      <c r="D4421">
        <f>IF(B4421=C4421, "YES", "WRONG")</f>
        <v/>
      </c>
    </row>
    <row r="4422">
      <c r="A4422" t="n">
        <v>4421</v>
      </c>
      <c r="B4422" t="inlineStr">
        <is>
          <t>MV̅CDXXI</t>
        </is>
      </c>
      <c r="C4422">
        <f>ROMAN(4421)</f>
        <v/>
      </c>
      <c r="D4422">
        <f>IF(B4422=C4422, "YES", "WRONG")</f>
        <v/>
      </c>
    </row>
    <row r="4423">
      <c r="A4423" t="n">
        <v>4422</v>
      </c>
      <c r="B4423" t="inlineStr">
        <is>
          <t>MV̅CDXXII</t>
        </is>
      </c>
      <c r="C4423">
        <f>ROMAN(4422)</f>
        <v/>
      </c>
      <c r="D4423">
        <f>IF(B4423=C4423, "YES", "WRONG")</f>
        <v/>
      </c>
    </row>
    <row r="4424">
      <c r="A4424" t="n">
        <v>4423</v>
      </c>
      <c r="B4424" t="inlineStr">
        <is>
          <t>MV̅CDXXIII</t>
        </is>
      </c>
      <c r="C4424">
        <f>ROMAN(4423)</f>
        <v/>
      </c>
      <c r="D4424">
        <f>IF(B4424=C4424, "YES", "WRONG")</f>
        <v/>
      </c>
    </row>
    <row r="4425">
      <c r="A4425" t="n">
        <v>4424</v>
      </c>
      <c r="B4425" t="inlineStr">
        <is>
          <t>MV̅CDXXIV</t>
        </is>
      </c>
      <c r="C4425">
        <f>ROMAN(4424)</f>
        <v/>
      </c>
      <c r="D4425">
        <f>IF(B4425=C4425, "YES", "WRONG")</f>
        <v/>
      </c>
    </row>
    <row r="4426">
      <c r="A4426" t="n">
        <v>4425</v>
      </c>
      <c r="B4426" t="inlineStr">
        <is>
          <t>MV̅CDXXV</t>
        </is>
      </c>
      <c r="C4426">
        <f>ROMAN(4425)</f>
        <v/>
      </c>
      <c r="D4426">
        <f>IF(B4426=C4426, "YES", "WRONG")</f>
        <v/>
      </c>
    </row>
    <row r="4427">
      <c r="A4427" t="n">
        <v>4426</v>
      </c>
      <c r="B4427" t="inlineStr">
        <is>
          <t>MV̅CDXXVI</t>
        </is>
      </c>
      <c r="C4427">
        <f>ROMAN(4426)</f>
        <v/>
      </c>
      <c r="D4427">
        <f>IF(B4427=C4427, "YES", "WRONG")</f>
        <v/>
      </c>
    </row>
    <row r="4428">
      <c r="A4428" t="n">
        <v>4427</v>
      </c>
      <c r="B4428" t="inlineStr">
        <is>
          <t>MV̅CDXXVII</t>
        </is>
      </c>
      <c r="C4428">
        <f>ROMAN(4427)</f>
        <v/>
      </c>
      <c r="D4428">
        <f>IF(B4428=C4428, "YES", "WRONG")</f>
        <v/>
      </c>
    </row>
    <row r="4429">
      <c r="A4429" t="n">
        <v>4428</v>
      </c>
      <c r="B4429" t="inlineStr">
        <is>
          <t>MV̅CDXXVIII</t>
        </is>
      </c>
      <c r="C4429">
        <f>ROMAN(4428)</f>
        <v/>
      </c>
      <c r="D4429">
        <f>IF(B4429=C4429, "YES", "WRONG")</f>
        <v/>
      </c>
    </row>
    <row r="4430">
      <c r="A4430" t="n">
        <v>4429</v>
      </c>
      <c r="B4430" t="inlineStr">
        <is>
          <t>MV̅CDXXIX</t>
        </is>
      </c>
      <c r="C4430">
        <f>ROMAN(4429)</f>
        <v/>
      </c>
      <c r="D4430">
        <f>IF(B4430=C4430, "YES", "WRONG")</f>
        <v/>
      </c>
    </row>
    <row r="4431">
      <c r="A4431" t="n">
        <v>4430</v>
      </c>
      <c r="B4431" t="inlineStr">
        <is>
          <t>MV̅CDXXX</t>
        </is>
      </c>
      <c r="C4431">
        <f>ROMAN(4430)</f>
        <v/>
      </c>
      <c r="D4431">
        <f>IF(B4431=C4431, "YES", "WRONG")</f>
        <v/>
      </c>
    </row>
    <row r="4432">
      <c r="A4432" t="n">
        <v>4431</v>
      </c>
      <c r="B4432" t="inlineStr">
        <is>
          <t>MV̅CDXXXI</t>
        </is>
      </c>
      <c r="C4432">
        <f>ROMAN(4431)</f>
        <v/>
      </c>
      <c r="D4432">
        <f>IF(B4432=C4432, "YES", "WRONG")</f>
        <v/>
      </c>
    </row>
    <row r="4433">
      <c r="A4433" t="n">
        <v>4432</v>
      </c>
      <c r="B4433" t="inlineStr">
        <is>
          <t>MV̅CDXXXII</t>
        </is>
      </c>
      <c r="C4433">
        <f>ROMAN(4432)</f>
        <v/>
      </c>
      <c r="D4433">
        <f>IF(B4433=C4433, "YES", "WRONG")</f>
        <v/>
      </c>
    </row>
    <row r="4434">
      <c r="A4434" t="n">
        <v>4433</v>
      </c>
      <c r="B4434" t="inlineStr">
        <is>
          <t>MV̅CDXXXIII</t>
        </is>
      </c>
      <c r="C4434">
        <f>ROMAN(4433)</f>
        <v/>
      </c>
      <c r="D4434">
        <f>IF(B4434=C4434, "YES", "WRONG")</f>
        <v/>
      </c>
    </row>
    <row r="4435">
      <c r="A4435" t="n">
        <v>4434</v>
      </c>
      <c r="B4435" t="inlineStr">
        <is>
          <t>MV̅CDXXXIV</t>
        </is>
      </c>
      <c r="C4435">
        <f>ROMAN(4434)</f>
        <v/>
      </c>
      <c r="D4435">
        <f>IF(B4435=C4435, "YES", "WRONG")</f>
        <v/>
      </c>
    </row>
    <row r="4436">
      <c r="A4436" t="n">
        <v>4435</v>
      </c>
      <c r="B4436" t="inlineStr">
        <is>
          <t>MV̅CDXXXV</t>
        </is>
      </c>
      <c r="C4436">
        <f>ROMAN(4435)</f>
        <v/>
      </c>
      <c r="D4436">
        <f>IF(B4436=C4436, "YES", "WRONG")</f>
        <v/>
      </c>
    </row>
    <row r="4437">
      <c r="A4437" t="n">
        <v>4436</v>
      </c>
      <c r="B4437" t="inlineStr">
        <is>
          <t>MV̅CDXXXVI</t>
        </is>
      </c>
      <c r="C4437">
        <f>ROMAN(4436)</f>
        <v/>
      </c>
      <c r="D4437">
        <f>IF(B4437=C4437, "YES", "WRONG")</f>
        <v/>
      </c>
    </row>
    <row r="4438">
      <c r="A4438" t="n">
        <v>4437</v>
      </c>
      <c r="B4438" t="inlineStr">
        <is>
          <t>MV̅CDXXXVII</t>
        </is>
      </c>
      <c r="C4438">
        <f>ROMAN(4437)</f>
        <v/>
      </c>
      <c r="D4438">
        <f>IF(B4438=C4438, "YES", "WRONG")</f>
        <v/>
      </c>
    </row>
    <row r="4439">
      <c r="A4439" t="n">
        <v>4438</v>
      </c>
      <c r="B4439" t="inlineStr">
        <is>
          <t>MV̅CDXXXVIII</t>
        </is>
      </c>
      <c r="C4439">
        <f>ROMAN(4438)</f>
        <v/>
      </c>
      <c r="D4439">
        <f>IF(B4439=C4439, "YES", "WRONG")</f>
        <v/>
      </c>
    </row>
    <row r="4440">
      <c r="A4440" t="n">
        <v>4439</v>
      </c>
      <c r="B4440" t="inlineStr">
        <is>
          <t>MV̅CDXXXIX</t>
        </is>
      </c>
      <c r="C4440">
        <f>ROMAN(4439)</f>
        <v/>
      </c>
      <c r="D4440">
        <f>IF(B4440=C4440, "YES", "WRONG")</f>
        <v/>
      </c>
    </row>
    <row r="4441">
      <c r="A4441" t="n">
        <v>4440</v>
      </c>
      <c r="B4441" t="inlineStr">
        <is>
          <t>MV̅CDXL</t>
        </is>
      </c>
      <c r="C4441">
        <f>ROMAN(4440)</f>
        <v/>
      </c>
      <c r="D4441">
        <f>IF(B4441=C4441, "YES", "WRONG")</f>
        <v/>
      </c>
    </row>
    <row r="4442">
      <c r="A4442" t="n">
        <v>4441</v>
      </c>
      <c r="B4442" t="inlineStr">
        <is>
          <t>MV̅CDXLI</t>
        </is>
      </c>
      <c r="C4442">
        <f>ROMAN(4441)</f>
        <v/>
      </c>
      <c r="D4442">
        <f>IF(B4442=C4442, "YES", "WRONG")</f>
        <v/>
      </c>
    </row>
    <row r="4443">
      <c r="A4443" t="n">
        <v>4442</v>
      </c>
      <c r="B4443" t="inlineStr">
        <is>
          <t>MV̅CDXLII</t>
        </is>
      </c>
      <c r="C4443">
        <f>ROMAN(4442)</f>
        <v/>
      </c>
      <c r="D4443">
        <f>IF(B4443=C4443, "YES", "WRONG")</f>
        <v/>
      </c>
    </row>
    <row r="4444">
      <c r="A4444" t="n">
        <v>4443</v>
      </c>
      <c r="B4444" t="inlineStr">
        <is>
          <t>MV̅CDXLIII</t>
        </is>
      </c>
      <c r="C4444">
        <f>ROMAN(4443)</f>
        <v/>
      </c>
      <c r="D4444">
        <f>IF(B4444=C4444, "YES", "WRONG")</f>
        <v/>
      </c>
    </row>
    <row r="4445">
      <c r="A4445" t="n">
        <v>4444</v>
      </c>
      <c r="B4445" t="inlineStr">
        <is>
          <t>MV̅CDXLIV</t>
        </is>
      </c>
      <c r="C4445">
        <f>ROMAN(4444)</f>
        <v/>
      </c>
      <c r="D4445">
        <f>IF(B4445=C4445, "YES", "WRONG")</f>
        <v/>
      </c>
    </row>
    <row r="4446">
      <c r="A4446" t="n">
        <v>4445</v>
      </c>
      <c r="B4446" t="inlineStr">
        <is>
          <t>MV̅CDXLV</t>
        </is>
      </c>
      <c r="C4446">
        <f>ROMAN(4445)</f>
        <v/>
      </c>
      <c r="D4446">
        <f>IF(B4446=C4446, "YES", "WRONG")</f>
        <v/>
      </c>
    </row>
    <row r="4447">
      <c r="A4447" t="n">
        <v>4446</v>
      </c>
      <c r="B4447" t="inlineStr">
        <is>
          <t>MV̅CDXLVI</t>
        </is>
      </c>
      <c r="C4447">
        <f>ROMAN(4446)</f>
        <v/>
      </c>
      <c r="D4447">
        <f>IF(B4447=C4447, "YES", "WRONG")</f>
        <v/>
      </c>
    </row>
    <row r="4448">
      <c r="A4448" t="n">
        <v>4447</v>
      </c>
      <c r="B4448" t="inlineStr">
        <is>
          <t>MV̅CDXLVII</t>
        </is>
      </c>
      <c r="C4448">
        <f>ROMAN(4447)</f>
        <v/>
      </c>
      <c r="D4448">
        <f>IF(B4448=C4448, "YES", "WRONG")</f>
        <v/>
      </c>
    </row>
    <row r="4449">
      <c r="A4449" t="n">
        <v>4448</v>
      </c>
      <c r="B4449" t="inlineStr">
        <is>
          <t>MV̅CDXLVIII</t>
        </is>
      </c>
      <c r="C4449">
        <f>ROMAN(4448)</f>
        <v/>
      </c>
      <c r="D4449">
        <f>IF(B4449=C4449, "YES", "WRONG")</f>
        <v/>
      </c>
    </row>
    <row r="4450">
      <c r="A4450" t="n">
        <v>4449</v>
      </c>
      <c r="B4450" t="inlineStr">
        <is>
          <t>MV̅CDXLIX</t>
        </is>
      </c>
      <c r="C4450">
        <f>ROMAN(4449)</f>
        <v/>
      </c>
      <c r="D4450">
        <f>IF(B4450=C4450, "YES", "WRONG")</f>
        <v/>
      </c>
    </row>
    <row r="4451">
      <c r="A4451" t="n">
        <v>4450</v>
      </c>
      <c r="B4451" t="inlineStr">
        <is>
          <t>MV̅CDL</t>
        </is>
      </c>
      <c r="C4451">
        <f>ROMAN(4450)</f>
        <v/>
      </c>
      <c r="D4451">
        <f>IF(B4451=C4451, "YES", "WRONG")</f>
        <v/>
      </c>
    </row>
    <row r="4452">
      <c r="A4452" t="n">
        <v>4451</v>
      </c>
      <c r="B4452" t="inlineStr">
        <is>
          <t>MV̅CDLI</t>
        </is>
      </c>
      <c r="C4452">
        <f>ROMAN(4451)</f>
        <v/>
      </c>
      <c r="D4452">
        <f>IF(B4452=C4452, "YES", "WRONG")</f>
        <v/>
      </c>
    </row>
    <row r="4453">
      <c r="A4453" t="n">
        <v>4452</v>
      </c>
      <c r="B4453" t="inlineStr">
        <is>
          <t>MV̅CDLII</t>
        </is>
      </c>
      <c r="C4453">
        <f>ROMAN(4452)</f>
        <v/>
      </c>
      <c r="D4453">
        <f>IF(B4453=C4453, "YES", "WRONG")</f>
        <v/>
      </c>
    </row>
    <row r="4454">
      <c r="A4454" t="n">
        <v>4453</v>
      </c>
      <c r="B4454" t="inlineStr">
        <is>
          <t>MV̅CDLIII</t>
        </is>
      </c>
      <c r="C4454">
        <f>ROMAN(4453)</f>
        <v/>
      </c>
      <c r="D4454">
        <f>IF(B4454=C4454, "YES", "WRONG")</f>
        <v/>
      </c>
    </row>
    <row r="4455">
      <c r="A4455" t="n">
        <v>4454</v>
      </c>
      <c r="B4455" t="inlineStr">
        <is>
          <t>MV̅CDLIV</t>
        </is>
      </c>
      <c r="C4455">
        <f>ROMAN(4454)</f>
        <v/>
      </c>
      <c r="D4455">
        <f>IF(B4455=C4455, "YES", "WRONG")</f>
        <v/>
      </c>
    </row>
    <row r="4456">
      <c r="A4456" t="n">
        <v>4455</v>
      </c>
      <c r="B4456" t="inlineStr">
        <is>
          <t>MV̅CDLV</t>
        </is>
      </c>
      <c r="C4456">
        <f>ROMAN(4455)</f>
        <v/>
      </c>
      <c r="D4456">
        <f>IF(B4456=C4456, "YES", "WRONG")</f>
        <v/>
      </c>
    </row>
    <row r="4457">
      <c r="A4457" t="n">
        <v>4456</v>
      </c>
      <c r="B4457" t="inlineStr">
        <is>
          <t>MV̅CDLVI</t>
        </is>
      </c>
      <c r="C4457">
        <f>ROMAN(4456)</f>
        <v/>
      </c>
      <c r="D4457">
        <f>IF(B4457=C4457, "YES", "WRONG")</f>
        <v/>
      </c>
    </row>
    <row r="4458">
      <c r="A4458" t="n">
        <v>4457</v>
      </c>
      <c r="B4458" t="inlineStr">
        <is>
          <t>MV̅CDLVII</t>
        </is>
      </c>
      <c r="C4458">
        <f>ROMAN(4457)</f>
        <v/>
      </c>
      <c r="D4458">
        <f>IF(B4458=C4458, "YES", "WRONG")</f>
        <v/>
      </c>
    </row>
    <row r="4459">
      <c r="A4459" t="n">
        <v>4458</v>
      </c>
      <c r="B4459" t="inlineStr">
        <is>
          <t>MV̅CDLVIII</t>
        </is>
      </c>
      <c r="C4459">
        <f>ROMAN(4458)</f>
        <v/>
      </c>
      <c r="D4459">
        <f>IF(B4459=C4459, "YES", "WRONG")</f>
        <v/>
      </c>
    </row>
    <row r="4460">
      <c r="A4460" t="n">
        <v>4459</v>
      </c>
      <c r="B4460" t="inlineStr">
        <is>
          <t>MV̅CDLIX</t>
        </is>
      </c>
      <c r="C4460">
        <f>ROMAN(4459)</f>
        <v/>
      </c>
      <c r="D4460">
        <f>IF(B4460=C4460, "YES", "WRONG")</f>
        <v/>
      </c>
    </row>
    <row r="4461">
      <c r="A4461" t="n">
        <v>4460</v>
      </c>
      <c r="B4461" t="inlineStr">
        <is>
          <t>MV̅CDLX</t>
        </is>
      </c>
      <c r="C4461">
        <f>ROMAN(4460)</f>
        <v/>
      </c>
      <c r="D4461">
        <f>IF(B4461=C4461, "YES", "WRONG")</f>
        <v/>
      </c>
    </row>
    <row r="4462">
      <c r="A4462" t="n">
        <v>4461</v>
      </c>
      <c r="B4462" t="inlineStr">
        <is>
          <t>MV̅CDLXI</t>
        </is>
      </c>
      <c r="C4462">
        <f>ROMAN(4461)</f>
        <v/>
      </c>
      <c r="D4462">
        <f>IF(B4462=C4462, "YES", "WRONG")</f>
        <v/>
      </c>
    </row>
    <row r="4463">
      <c r="A4463" t="n">
        <v>4462</v>
      </c>
      <c r="B4463" t="inlineStr">
        <is>
          <t>MV̅CDLXII</t>
        </is>
      </c>
      <c r="C4463">
        <f>ROMAN(4462)</f>
        <v/>
      </c>
      <c r="D4463">
        <f>IF(B4463=C4463, "YES", "WRONG")</f>
        <v/>
      </c>
    </row>
    <row r="4464">
      <c r="A4464" t="n">
        <v>4463</v>
      </c>
      <c r="B4464" t="inlineStr">
        <is>
          <t>MV̅CDLXIII</t>
        </is>
      </c>
      <c r="C4464">
        <f>ROMAN(4463)</f>
        <v/>
      </c>
      <c r="D4464">
        <f>IF(B4464=C4464, "YES", "WRONG")</f>
        <v/>
      </c>
    </row>
    <row r="4465">
      <c r="A4465" t="n">
        <v>4464</v>
      </c>
      <c r="B4465" t="inlineStr">
        <is>
          <t>MV̅CDLXIV</t>
        </is>
      </c>
      <c r="C4465">
        <f>ROMAN(4464)</f>
        <v/>
      </c>
      <c r="D4465">
        <f>IF(B4465=C4465, "YES", "WRONG")</f>
        <v/>
      </c>
    </row>
    <row r="4466">
      <c r="A4466" t="n">
        <v>4465</v>
      </c>
      <c r="B4466" t="inlineStr">
        <is>
          <t>MV̅CDLXV</t>
        </is>
      </c>
      <c r="C4466">
        <f>ROMAN(4465)</f>
        <v/>
      </c>
      <c r="D4466">
        <f>IF(B4466=C4466, "YES", "WRONG")</f>
        <v/>
      </c>
    </row>
    <row r="4467">
      <c r="A4467" t="n">
        <v>4466</v>
      </c>
      <c r="B4467" t="inlineStr">
        <is>
          <t>MV̅CDLXVI</t>
        </is>
      </c>
      <c r="C4467">
        <f>ROMAN(4466)</f>
        <v/>
      </c>
      <c r="D4467">
        <f>IF(B4467=C4467, "YES", "WRONG")</f>
        <v/>
      </c>
    </row>
    <row r="4468">
      <c r="A4468" t="n">
        <v>4467</v>
      </c>
      <c r="B4468" t="inlineStr">
        <is>
          <t>MV̅CDLXVII</t>
        </is>
      </c>
      <c r="C4468">
        <f>ROMAN(4467)</f>
        <v/>
      </c>
      <c r="D4468">
        <f>IF(B4468=C4468, "YES", "WRONG")</f>
        <v/>
      </c>
    </row>
    <row r="4469">
      <c r="A4469" t="n">
        <v>4468</v>
      </c>
      <c r="B4469" t="inlineStr">
        <is>
          <t>MV̅CDLXVIII</t>
        </is>
      </c>
      <c r="C4469">
        <f>ROMAN(4468)</f>
        <v/>
      </c>
      <c r="D4469">
        <f>IF(B4469=C4469, "YES", "WRONG")</f>
        <v/>
      </c>
    </row>
    <row r="4470">
      <c r="A4470" t="n">
        <v>4469</v>
      </c>
      <c r="B4470" t="inlineStr">
        <is>
          <t>MV̅CDLXIX</t>
        </is>
      </c>
      <c r="C4470">
        <f>ROMAN(4469)</f>
        <v/>
      </c>
      <c r="D4470">
        <f>IF(B4470=C4470, "YES", "WRONG")</f>
        <v/>
      </c>
    </row>
    <row r="4471">
      <c r="A4471" t="n">
        <v>4470</v>
      </c>
      <c r="B4471" t="inlineStr">
        <is>
          <t>MV̅CDLXX</t>
        </is>
      </c>
      <c r="C4471">
        <f>ROMAN(4470)</f>
        <v/>
      </c>
      <c r="D4471">
        <f>IF(B4471=C4471, "YES", "WRONG")</f>
        <v/>
      </c>
    </row>
    <row r="4472">
      <c r="A4472" t="n">
        <v>4471</v>
      </c>
      <c r="B4472" t="inlineStr">
        <is>
          <t>MV̅CDLXXI</t>
        </is>
      </c>
      <c r="C4472">
        <f>ROMAN(4471)</f>
        <v/>
      </c>
      <c r="D4472">
        <f>IF(B4472=C4472, "YES", "WRONG")</f>
        <v/>
      </c>
    </row>
    <row r="4473">
      <c r="A4473" t="n">
        <v>4472</v>
      </c>
      <c r="B4473" t="inlineStr">
        <is>
          <t>MV̅CDLXXII</t>
        </is>
      </c>
      <c r="C4473">
        <f>ROMAN(4472)</f>
        <v/>
      </c>
      <c r="D4473">
        <f>IF(B4473=C4473, "YES", "WRONG")</f>
        <v/>
      </c>
    </row>
    <row r="4474">
      <c r="A4474" t="n">
        <v>4473</v>
      </c>
      <c r="B4474" t="inlineStr">
        <is>
          <t>MV̅CDLXXIII</t>
        </is>
      </c>
      <c r="C4474">
        <f>ROMAN(4473)</f>
        <v/>
      </c>
      <c r="D4474">
        <f>IF(B4474=C4474, "YES", "WRONG")</f>
        <v/>
      </c>
    </row>
    <row r="4475">
      <c r="A4475" t="n">
        <v>4474</v>
      </c>
      <c r="B4475" t="inlineStr">
        <is>
          <t>MV̅CDLXXIV</t>
        </is>
      </c>
      <c r="C4475">
        <f>ROMAN(4474)</f>
        <v/>
      </c>
      <c r="D4475">
        <f>IF(B4475=C4475, "YES", "WRONG")</f>
        <v/>
      </c>
    </row>
    <row r="4476">
      <c r="A4476" t="n">
        <v>4475</v>
      </c>
      <c r="B4476" t="inlineStr">
        <is>
          <t>MV̅CDLXXV</t>
        </is>
      </c>
      <c r="C4476">
        <f>ROMAN(4475)</f>
        <v/>
      </c>
      <c r="D4476">
        <f>IF(B4476=C4476, "YES", "WRONG")</f>
        <v/>
      </c>
    </row>
    <row r="4477">
      <c r="A4477" t="n">
        <v>4476</v>
      </c>
      <c r="B4477" t="inlineStr">
        <is>
          <t>MV̅CDLXXVI</t>
        </is>
      </c>
      <c r="C4477">
        <f>ROMAN(4476)</f>
        <v/>
      </c>
      <c r="D4477">
        <f>IF(B4477=C4477, "YES", "WRONG")</f>
        <v/>
      </c>
    </row>
    <row r="4478">
      <c r="A4478" t="n">
        <v>4477</v>
      </c>
      <c r="B4478" t="inlineStr">
        <is>
          <t>MV̅CDLXXVII</t>
        </is>
      </c>
      <c r="C4478">
        <f>ROMAN(4477)</f>
        <v/>
      </c>
      <c r="D4478">
        <f>IF(B4478=C4478, "YES", "WRONG")</f>
        <v/>
      </c>
    </row>
    <row r="4479">
      <c r="A4479" t="n">
        <v>4478</v>
      </c>
      <c r="B4479" t="inlineStr">
        <is>
          <t>MV̅CDLXXVIII</t>
        </is>
      </c>
      <c r="C4479">
        <f>ROMAN(4478)</f>
        <v/>
      </c>
      <c r="D4479">
        <f>IF(B4479=C4479, "YES", "WRONG")</f>
        <v/>
      </c>
    </row>
    <row r="4480">
      <c r="A4480" t="n">
        <v>4479</v>
      </c>
      <c r="B4480" t="inlineStr">
        <is>
          <t>MV̅CDLXXIX</t>
        </is>
      </c>
      <c r="C4480">
        <f>ROMAN(4479)</f>
        <v/>
      </c>
      <c r="D4480">
        <f>IF(B4480=C4480, "YES", "WRONG")</f>
        <v/>
      </c>
    </row>
    <row r="4481">
      <c r="A4481" t="n">
        <v>4480</v>
      </c>
      <c r="B4481" t="inlineStr">
        <is>
          <t>MV̅CDLXXX</t>
        </is>
      </c>
      <c r="C4481">
        <f>ROMAN(4480)</f>
        <v/>
      </c>
      <c r="D4481">
        <f>IF(B4481=C4481, "YES", "WRONG")</f>
        <v/>
      </c>
    </row>
    <row r="4482">
      <c r="A4482" t="n">
        <v>4481</v>
      </c>
      <c r="B4482" t="inlineStr">
        <is>
          <t>MV̅CDLXXXI</t>
        </is>
      </c>
      <c r="C4482">
        <f>ROMAN(4481)</f>
        <v/>
      </c>
      <c r="D4482">
        <f>IF(B4482=C4482, "YES", "WRONG")</f>
        <v/>
      </c>
    </row>
    <row r="4483">
      <c r="A4483" t="n">
        <v>4482</v>
      </c>
      <c r="B4483" t="inlineStr">
        <is>
          <t>MV̅CDLXXXII</t>
        </is>
      </c>
      <c r="C4483">
        <f>ROMAN(4482)</f>
        <v/>
      </c>
      <c r="D4483">
        <f>IF(B4483=C4483, "YES", "WRONG")</f>
        <v/>
      </c>
    </row>
    <row r="4484">
      <c r="A4484" t="n">
        <v>4483</v>
      </c>
      <c r="B4484" t="inlineStr">
        <is>
          <t>MV̅CDLXXXIII</t>
        </is>
      </c>
      <c r="C4484">
        <f>ROMAN(4483)</f>
        <v/>
      </c>
      <c r="D4484">
        <f>IF(B4484=C4484, "YES", "WRONG")</f>
        <v/>
      </c>
    </row>
    <row r="4485">
      <c r="A4485" t="n">
        <v>4484</v>
      </c>
      <c r="B4485" t="inlineStr">
        <is>
          <t>MV̅CDLXXXIV</t>
        </is>
      </c>
      <c r="C4485">
        <f>ROMAN(4484)</f>
        <v/>
      </c>
      <c r="D4485">
        <f>IF(B4485=C4485, "YES", "WRONG")</f>
        <v/>
      </c>
    </row>
    <row r="4486">
      <c r="A4486" t="n">
        <v>4485</v>
      </c>
      <c r="B4486" t="inlineStr">
        <is>
          <t>MV̅CDLXXXV</t>
        </is>
      </c>
      <c r="C4486">
        <f>ROMAN(4485)</f>
        <v/>
      </c>
      <c r="D4486">
        <f>IF(B4486=C4486, "YES", "WRONG")</f>
        <v/>
      </c>
    </row>
    <row r="4487">
      <c r="A4487" t="n">
        <v>4486</v>
      </c>
      <c r="B4487" t="inlineStr">
        <is>
          <t>MV̅CDLXXXVI</t>
        </is>
      </c>
      <c r="C4487">
        <f>ROMAN(4486)</f>
        <v/>
      </c>
      <c r="D4487">
        <f>IF(B4487=C4487, "YES", "WRONG")</f>
        <v/>
      </c>
    </row>
    <row r="4488">
      <c r="A4488" t="n">
        <v>4487</v>
      </c>
      <c r="B4488" t="inlineStr">
        <is>
          <t>MV̅CDLXXXVII</t>
        </is>
      </c>
      <c r="C4488">
        <f>ROMAN(4487)</f>
        <v/>
      </c>
      <c r="D4488">
        <f>IF(B4488=C4488, "YES", "WRONG")</f>
        <v/>
      </c>
    </row>
    <row r="4489">
      <c r="A4489" t="n">
        <v>4488</v>
      </c>
      <c r="B4489" t="inlineStr">
        <is>
          <t>MV̅CDLXXXVIII</t>
        </is>
      </c>
      <c r="C4489">
        <f>ROMAN(4488)</f>
        <v/>
      </c>
      <c r="D4489">
        <f>IF(B4489=C4489, "YES", "WRONG")</f>
        <v/>
      </c>
    </row>
    <row r="4490">
      <c r="A4490" t="n">
        <v>4489</v>
      </c>
      <c r="B4490" t="inlineStr">
        <is>
          <t>MV̅CDLXXXIX</t>
        </is>
      </c>
      <c r="C4490">
        <f>ROMAN(4489)</f>
        <v/>
      </c>
      <c r="D4490">
        <f>IF(B4490=C4490, "YES", "WRONG")</f>
        <v/>
      </c>
    </row>
    <row r="4491">
      <c r="A4491" t="n">
        <v>4490</v>
      </c>
      <c r="B4491" t="inlineStr">
        <is>
          <t>MV̅CDXC</t>
        </is>
      </c>
      <c r="C4491">
        <f>ROMAN(4490)</f>
        <v/>
      </c>
      <c r="D4491">
        <f>IF(B4491=C4491, "YES", "WRONG")</f>
        <v/>
      </c>
    </row>
    <row r="4492">
      <c r="A4492" t="n">
        <v>4491</v>
      </c>
      <c r="B4492" t="inlineStr">
        <is>
          <t>MV̅CDXCI</t>
        </is>
      </c>
      <c r="C4492">
        <f>ROMAN(4491)</f>
        <v/>
      </c>
      <c r="D4492">
        <f>IF(B4492=C4492, "YES", "WRONG")</f>
        <v/>
      </c>
    </row>
    <row r="4493">
      <c r="A4493" t="n">
        <v>4492</v>
      </c>
      <c r="B4493" t="inlineStr">
        <is>
          <t>MV̅CDXCII</t>
        </is>
      </c>
      <c r="C4493">
        <f>ROMAN(4492)</f>
        <v/>
      </c>
      <c r="D4493">
        <f>IF(B4493=C4493, "YES", "WRONG")</f>
        <v/>
      </c>
    </row>
    <row r="4494">
      <c r="A4494" t="n">
        <v>4493</v>
      </c>
      <c r="B4494" t="inlineStr">
        <is>
          <t>MV̅CDXCIII</t>
        </is>
      </c>
      <c r="C4494">
        <f>ROMAN(4493)</f>
        <v/>
      </c>
      <c r="D4494">
        <f>IF(B4494=C4494, "YES", "WRONG")</f>
        <v/>
      </c>
    </row>
    <row r="4495">
      <c r="A4495" t="n">
        <v>4494</v>
      </c>
      <c r="B4495" t="inlineStr">
        <is>
          <t>MV̅CDXCIV</t>
        </is>
      </c>
      <c r="C4495">
        <f>ROMAN(4494)</f>
        <v/>
      </c>
      <c r="D4495">
        <f>IF(B4495=C4495, "YES", "WRONG")</f>
        <v/>
      </c>
    </row>
    <row r="4496">
      <c r="A4496" t="n">
        <v>4495</v>
      </c>
      <c r="B4496" t="inlineStr">
        <is>
          <t>MV̅CDXCV</t>
        </is>
      </c>
      <c r="C4496">
        <f>ROMAN(4495)</f>
        <v/>
      </c>
      <c r="D4496">
        <f>IF(B4496=C4496, "YES", "WRONG")</f>
        <v/>
      </c>
    </row>
    <row r="4497">
      <c r="A4497" t="n">
        <v>4496</v>
      </c>
      <c r="B4497" t="inlineStr">
        <is>
          <t>MV̅CDXCVI</t>
        </is>
      </c>
      <c r="C4497">
        <f>ROMAN(4496)</f>
        <v/>
      </c>
      <c r="D4497">
        <f>IF(B4497=C4497, "YES", "WRONG")</f>
        <v/>
      </c>
    </row>
    <row r="4498">
      <c r="A4498" t="n">
        <v>4497</v>
      </c>
      <c r="B4498" t="inlineStr">
        <is>
          <t>MV̅CDXCVII</t>
        </is>
      </c>
      <c r="C4498">
        <f>ROMAN(4497)</f>
        <v/>
      </c>
      <c r="D4498">
        <f>IF(B4498=C4498, "YES", "WRONG")</f>
        <v/>
      </c>
    </row>
    <row r="4499">
      <c r="A4499" t="n">
        <v>4498</v>
      </c>
      <c r="B4499" t="inlineStr">
        <is>
          <t>MV̅CDXCVIII</t>
        </is>
      </c>
      <c r="C4499">
        <f>ROMAN(4498)</f>
        <v/>
      </c>
      <c r="D4499">
        <f>IF(B4499=C4499, "YES", "WRONG")</f>
        <v/>
      </c>
    </row>
    <row r="4500">
      <c r="A4500" t="n">
        <v>4499</v>
      </c>
      <c r="B4500" t="inlineStr">
        <is>
          <t>MV̅CDXCIX</t>
        </is>
      </c>
      <c r="C4500">
        <f>ROMAN(4499)</f>
        <v/>
      </c>
      <c r="D4500">
        <f>IF(B4500=C4500, "YES", "WRONG")</f>
        <v/>
      </c>
    </row>
    <row r="4501">
      <c r="A4501" t="n">
        <v>4500</v>
      </c>
      <c r="B4501" t="inlineStr">
        <is>
          <t>MV̅D</t>
        </is>
      </c>
      <c r="C4501">
        <f>ROMAN(4500)</f>
        <v/>
      </c>
      <c r="D4501">
        <f>IF(B4501=C4501, "YES", "WRONG")</f>
        <v/>
      </c>
    </row>
    <row r="4502">
      <c r="A4502" t="n">
        <v>4501</v>
      </c>
      <c r="B4502" t="inlineStr">
        <is>
          <t>MV̅DI</t>
        </is>
      </c>
      <c r="C4502">
        <f>ROMAN(4501)</f>
        <v/>
      </c>
      <c r="D4502">
        <f>IF(B4502=C4502, "YES", "WRONG")</f>
        <v/>
      </c>
    </row>
    <row r="4503">
      <c r="A4503" t="n">
        <v>4502</v>
      </c>
      <c r="B4503" t="inlineStr">
        <is>
          <t>MV̅DII</t>
        </is>
      </c>
      <c r="C4503">
        <f>ROMAN(4502)</f>
        <v/>
      </c>
      <c r="D4503">
        <f>IF(B4503=C4503, "YES", "WRONG")</f>
        <v/>
      </c>
    </row>
    <row r="4504">
      <c r="A4504" t="n">
        <v>4503</v>
      </c>
      <c r="B4504" t="inlineStr">
        <is>
          <t>MV̅DIII</t>
        </is>
      </c>
      <c r="C4504">
        <f>ROMAN(4503)</f>
        <v/>
      </c>
      <c r="D4504">
        <f>IF(B4504=C4504, "YES", "WRONG")</f>
        <v/>
      </c>
    </row>
    <row r="4505">
      <c r="A4505" t="n">
        <v>4504</v>
      </c>
      <c r="B4505" t="inlineStr">
        <is>
          <t>MV̅DIV</t>
        </is>
      </c>
      <c r="C4505">
        <f>ROMAN(4504)</f>
        <v/>
      </c>
      <c r="D4505">
        <f>IF(B4505=C4505, "YES", "WRONG")</f>
        <v/>
      </c>
    </row>
    <row r="4506">
      <c r="A4506" t="n">
        <v>4505</v>
      </c>
      <c r="B4506" t="inlineStr">
        <is>
          <t>MV̅DV</t>
        </is>
      </c>
      <c r="C4506">
        <f>ROMAN(4505)</f>
        <v/>
      </c>
      <c r="D4506">
        <f>IF(B4506=C4506, "YES", "WRONG")</f>
        <v/>
      </c>
    </row>
    <row r="4507">
      <c r="A4507" t="n">
        <v>4506</v>
      </c>
      <c r="B4507" t="inlineStr">
        <is>
          <t>MV̅DVI</t>
        </is>
      </c>
      <c r="C4507">
        <f>ROMAN(4506)</f>
        <v/>
      </c>
      <c r="D4507">
        <f>IF(B4507=C4507, "YES", "WRONG")</f>
        <v/>
      </c>
    </row>
    <row r="4508">
      <c r="A4508" t="n">
        <v>4507</v>
      </c>
      <c r="B4508" t="inlineStr">
        <is>
          <t>MV̅DVII</t>
        </is>
      </c>
      <c r="C4508">
        <f>ROMAN(4507)</f>
        <v/>
      </c>
      <c r="D4508">
        <f>IF(B4508=C4508, "YES", "WRONG")</f>
        <v/>
      </c>
    </row>
    <row r="4509">
      <c r="A4509" t="n">
        <v>4508</v>
      </c>
      <c r="B4509" t="inlineStr">
        <is>
          <t>MV̅DVIII</t>
        </is>
      </c>
      <c r="C4509">
        <f>ROMAN(4508)</f>
        <v/>
      </c>
      <c r="D4509">
        <f>IF(B4509=C4509, "YES", "WRONG")</f>
        <v/>
      </c>
    </row>
    <row r="4510">
      <c r="A4510" t="n">
        <v>4509</v>
      </c>
      <c r="B4510" t="inlineStr">
        <is>
          <t>MV̅DIX</t>
        </is>
      </c>
      <c r="C4510">
        <f>ROMAN(4509)</f>
        <v/>
      </c>
      <c r="D4510">
        <f>IF(B4510=C4510, "YES", "WRONG")</f>
        <v/>
      </c>
    </row>
    <row r="4511">
      <c r="A4511" t="n">
        <v>4510</v>
      </c>
      <c r="B4511" t="inlineStr">
        <is>
          <t>MV̅DX</t>
        </is>
      </c>
      <c r="C4511">
        <f>ROMAN(4510)</f>
        <v/>
      </c>
      <c r="D4511">
        <f>IF(B4511=C4511, "YES", "WRONG")</f>
        <v/>
      </c>
    </row>
    <row r="4512">
      <c r="A4512" t="n">
        <v>4511</v>
      </c>
      <c r="B4512" t="inlineStr">
        <is>
          <t>MV̅DXI</t>
        </is>
      </c>
      <c r="C4512">
        <f>ROMAN(4511)</f>
        <v/>
      </c>
      <c r="D4512">
        <f>IF(B4512=C4512, "YES", "WRONG")</f>
        <v/>
      </c>
    </row>
    <row r="4513">
      <c r="A4513" t="n">
        <v>4512</v>
      </c>
      <c r="B4513" t="inlineStr">
        <is>
          <t>MV̅DXII</t>
        </is>
      </c>
      <c r="C4513">
        <f>ROMAN(4512)</f>
        <v/>
      </c>
      <c r="D4513">
        <f>IF(B4513=C4513, "YES", "WRONG")</f>
        <v/>
      </c>
    </row>
    <row r="4514">
      <c r="A4514" t="n">
        <v>4513</v>
      </c>
      <c r="B4514" t="inlineStr">
        <is>
          <t>MV̅DXIII</t>
        </is>
      </c>
      <c r="C4514">
        <f>ROMAN(4513)</f>
        <v/>
      </c>
      <c r="D4514">
        <f>IF(B4514=C4514, "YES", "WRONG")</f>
        <v/>
      </c>
    </row>
    <row r="4515">
      <c r="A4515" t="n">
        <v>4514</v>
      </c>
      <c r="B4515" t="inlineStr">
        <is>
          <t>MV̅DXIV</t>
        </is>
      </c>
      <c r="C4515">
        <f>ROMAN(4514)</f>
        <v/>
      </c>
      <c r="D4515">
        <f>IF(B4515=C4515, "YES", "WRONG")</f>
        <v/>
      </c>
    </row>
    <row r="4516">
      <c r="A4516" t="n">
        <v>4515</v>
      </c>
      <c r="B4516" t="inlineStr">
        <is>
          <t>MV̅DXV</t>
        </is>
      </c>
      <c r="C4516">
        <f>ROMAN(4515)</f>
        <v/>
      </c>
      <c r="D4516">
        <f>IF(B4516=C4516, "YES", "WRONG")</f>
        <v/>
      </c>
    </row>
    <row r="4517">
      <c r="A4517" t="n">
        <v>4516</v>
      </c>
      <c r="B4517" t="inlineStr">
        <is>
          <t>MV̅DXVI</t>
        </is>
      </c>
      <c r="C4517">
        <f>ROMAN(4516)</f>
        <v/>
      </c>
      <c r="D4517">
        <f>IF(B4517=C4517, "YES", "WRONG")</f>
        <v/>
      </c>
    </row>
    <row r="4518">
      <c r="A4518" t="n">
        <v>4517</v>
      </c>
      <c r="B4518" t="inlineStr">
        <is>
          <t>MV̅DXVII</t>
        </is>
      </c>
      <c r="C4518">
        <f>ROMAN(4517)</f>
        <v/>
      </c>
      <c r="D4518">
        <f>IF(B4518=C4518, "YES", "WRONG")</f>
        <v/>
      </c>
    </row>
    <row r="4519">
      <c r="A4519" t="n">
        <v>4518</v>
      </c>
      <c r="B4519" t="inlineStr">
        <is>
          <t>MV̅DXVIII</t>
        </is>
      </c>
      <c r="C4519">
        <f>ROMAN(4518)</f>
        <v/>
      </c>
      <c r="D4519">
        <f>IF(B4519=C4519, "YES", "WRONG")</f>
        <v/>
      </c>
    </row>
    <row r="4520">
      <c r="A4520" t="n">
        <v>4519</v>
      </c>
      <c r="B4520" t="inlineStr">
        <is>
          <t>MV̅DXIX</t>
        </is>
      </c>
      <c r="C4520">
        <f>ROMAN(4519)</f>
        <v/>
      </c>
      <c r="D4520">
        <f>IF(B4520=C4520, "YES", "WRONG")</f>
        <v/>
      </c>
    </row>
    <row r="4521">
      <c r="A4521" t="n">
        <v>4520</v>
      </c>
      <c r="B4521" t="inlineStr">
        <is>
          <t>MV̅DXX</t>
        </is>
      </c>
      <c r="C4521">
        <f>ROMAN(4520)</f>
        <v/>
      </c>
      <c r="D4521">
        <f>IF(B4521=C4521, "YES", "WRONG")</f>
        <v/>
      </c>
    </row>
    <row r="4522">
      <c r="A4522" t="n">
        <v>4521</v>
      </c>
      <c r="B4522" t="inlineStr">
        <is>
          <t>MV̅DXXI</t>
        </is>
      </c>
      <c r="C4522">
        <f>ROMAN(4521)</f>
        <v/>
      </c>
      <c r="D4522">
        <f>IF(B4522=C4522, "YES", "WRONG")</f>
        <v/>
      </c>
    </row>
    <row r="4523">
      <c r="A4523" t="n">
        <v>4522</v>
      </c>
      <c r="B4523" t="inlineStr">
        <is>
          <t>MV̅DXXII</t>
        </is>
      </c>
      <c r="C4523">
        <f>ROMAN(4522)</f>
        <v/>
      </c>
      <c r="D4523">
        <f>IF(B4523=C4523, "YES", "WRONG")</f>
        <v/>
      </c>
    </row>
    <row r="4524">
      <c r="A4524" t="n">
        <v>4523</v>
      </c>
      <c r="B4524" t="inlineStr">
        <is>
          <t>MV̅DXXIII</t>
        </is>
      </c>
      <c r="C4524">
        <f>ROMAN(4523)</f>
        <v/>
      </c>
      <c r="D4524">
        <f>IF(B4524=C4524, "YES", "WRONG")</f>
        <v/>
      </c>
    </row>
    <row r="4525">
      <c r="A4525" t="n">
        <v>4524</v>
      </c>
      <c r="B4525" t="inlineStr">
        <is>
          <t>MV̅DXXIV</t>
        </is>
      </c>
      <c r="C4525">
        <f>ROMAN(4524)</f>
        <v/>
      </c>
      <c r="D4525">
        <f>IF(B4525=C4525, "YES", "WRONG")</f>
        <v/>
      </c>
    </row>
    <row r="4526">
      <c r="A4526" t="n">
        <v>4525</v>
      </c>
      <c r="B4526" t="inlineStr">
        <is>
          <t>MV̅DXXV</t>
        </is>
      </c>
      <c r="C4526">
        <f>ROMAN(4525)</f>
        <v/>
      </c>
      <c r="D4526">
        <f>IF(B4526=C4526, "YES", "WRONG")</f>
        <v/>
      </c>
    </row>
    <row r="4527">
      <c r="A4527" t="n">
        <v>4526</v>
      </c>
      <c r="B4527" t="inlineStr">
        <is>
          <t>MV̅DXXVI</t>
        </is>
      </c>
      <c r="C4527">
        <f>ROMAN(4526)</f>
        <v/>
      </c>
      <c r="D4527">
        <f>IF(B4527=C4527, "YES", "WRONG")</f>
        <v/>
      </c>
    </row>
    <row r="4528">
      <c r="A4528" t="n">
        <v>4527</v>
      </c>
      <c r="B4528" t="inlineStr">
        <is>
          <t>MV̅DXXVII</t>
        </is>
      </c>
      <c r="C4528">
        <f>ROMAN(4527)</f>
        <v/>
      </c>
      <c r="D4528">
        <f>IF(B4528=C4528, "YES", "WRONG")</f>
        <v/>
      </c>
    </row>
    <row r="4529">
      <c r="A4529" t="n">
        <v>4528</v>
      </c>
      <c r="B4529" t="inlineStr">
        <is>
          <t>MV̅DXXVIII</t>
        </is>
      </c>
      <c r="C4529">
        <f>ROMAN(4528)</f>
        <v/>
      </c>
      <c r="D4529">
        <f>IF(B4529=C4529, "YES", "WRONG")</f>
        <v/>
      </c>
    </row>
    <row r="4530">
      <c r="A4530" t="n">
        <v>4529</v>
      </c>
      <c r="B4530" t="inlineStr">
        <is>
          <t>MV̅DXXIX</t>
        </is>
      </c>
      <c r="C4530">
        <f>ROMAN(4529)</f>
        <v/>
      </c>
      <c r="D4530">
        <f>IF(B4530=C4530, "YES", "WRONG")</f>
        <v/>
      </c>
    </row>
    <row r="4531">
      <c r="A4531" t="n">
        <v>4530</v>
      </c>
      <c r="B4531" t="inlineStr">
        <is>
          <t>MV̅DXXX</t>
        </is>
      </c>
      <c r="C4531">
        <f>ROMAN(4530)</f>
        <v/>
      </c>
      <c r="D4531">
        <f>IF(B4531=C4531, "YES", "WRONG")</f>
        <v/>
      </c>
    </row>
    <row r="4532">
      <c r="A4532" t="n">
        <v>4531</v>
      </c>
      <c r="B4532" t="inlineStr">
        <is>
          <t>MV̅DXXXI</t>
        </is>
      </c>
      <c r="C4532">
        <f>ROMAN(4531)</f>
        <v/>
      </c>
      <c r="D4532">
        <f>IF(B4532=C4532, "YES", "WRONG")</f>
        <v/>
      </c>
    </row>
    <row r="4533">
      <c r="A4533" t="n">
        <v>4532</v>
      </c>
      <c r="B4533" t="inlineStr">
        <is>
          <t>MV̅DXXXII</t>
        </is>
      </c>
      <c r="C4533">
        <f>ROMAN(4532)</f>
        <v/>
      </c>
      <c r="D4533">
        <f>IF(B4533=C4533, "YES", "WRONG")</f>
        <v/>
      </c>
    </row>
    <row r="4534">
      <c r="A4534" t="n">
        <v>4533</v>
      </c>
      <c r="B4534" t="inlineStr">
        <is>
          <t>MV̅DXXXIII</t>
        </is>
      </c>
      <c r="C4534">
        <f>ROMAN(4533)</f>
        <v/>
      </c>
      <c r="D4534">
        <f>IF(B4534=C4534, "YES", "WRONG")</f>
        <v/>
      </c>
    </row>
    <row r="4535">
      <c r="A4535" t="n">
        <v>4534</v>
      </c>
      <c r="B4535" t="inlineStr">
        <is>
          <t>MV̅DXXXIV</t>
        </is>
      </c>
      <c r="C4535">
        <f>ROMAN(4534)</f>
        <v/>
      </c>
      <c r="D4535">
        <f>IF(B4535=C4535, "YES", "WRONG")</f>
        <v/>
      </c>
    </row>
    <row r="4536">
      <c r="A4536" t="n">
        <v>4535</v>
      </c>
      <c r="B4536" t="inlineStr">
        <is>
          <t>MV̅DXXXV</t>
        </is>
      </c>
      <c r="C4536">
        <f>ROMAN(4535)</f>
        <v/>
      </c>
      <c r="D4536">
        <f>IF(B4536=C4536, "YES", "WRONG")</f>
        <v/>
      </c>
    </row>
    <row r="4537">
      <c r="A4537" t="n">
        <v>4536</v>
      </c>
      <c r="B4537" t="inlineStr">
        <is>
          <t>MV̅DXXXVI</t>
        </is>
      </c>
      <c r="C4537">
        <f>ROMAN(4536)</f>
        <v/>
      </c>
      <c r="D4537">
        <f>IF(B4537=C4537, "YES", "WRONG")</f>
        <v/>
      </c>
    </row>
    <row r="4538">
      <c r="A4538" t="n">
        <v>4537</v>
      </c>
      <c r="B4538" t="inlineStr">
        <is>
          <t>MV̅DXXXVII</t>
        </is>
      </c>
      <c r="C4538">
        <f>ROMAN(4537)</f>
        <v/>
      </c>
      <c r="D4538">
        <f>IF(B4538=C4538, "YES", "WRONG")</f>
        <v/>
      </c>
    </row>
    <row r="4539">
      <c r="A4539" t="n">
        <v>4538</v>
      </c>
      <c r="B4539" t="inlineStr">
        <is>
          <t>MV̅DXXXVIII</t>
        </is>
      </c>
      <c r="C4539">
        <f>ROMAN(4538)</f>
        <v/>
      </c>
      <c r="D4539">
        <f>IF(B4539=C4539, "YES", "WRONG")</f>
        <v/>
      </c>
    </row>
    <row r="4540">
      <c r="A4540" t="n">
        <v>4539</v>
      </c>
      <c r="B4540" t="inlineStr">
        <is>
          <t>MV̅DXXXIX</t>
        </is>
      </c>
      <c r="C4540">
        <f>ROMAN(4539)</f>
        <v/>
      </c>
      <c r="D4540">
        <f>IF(B4540=C4540, "YES", "WRONG")</f>
        <v/>
      </c>
    </row>
    <row r="4541">
      <c r="A4541" t="n">
        <v>4540</v>
      </c>
      <c r="B4541" t="inlineStr">
        <is>
          <t>MV̅DXL</t>
        </is>
      </c>
      <c r="C4541">
        <f>ROMAN(4540)</f>
        <v/>
      </c>
      <c r="D4541">
        <f>IF(B4541=C4541, "YES", "WRONG")</f>
        <v/>
      </c>
    </row>
    <row r="4542">
      <c r="A4542" t="n">
        <v>4541</v>
      </c>
      <c r="B4542" t="inlineStr">
        <is>
          <t>MV̅DXLI</t>
        </is>
      </c>
      <c r="C4542">
        <f>ROMAN(4541)</f>
        <v/>
      </c>
      <c r="D4542">
        <f>IF(B4542=C4542, "YES", "WRONG")</f>
        <v/>
      </c>
    </row>
    <row r="4543">
      <c r="A4543" t="n">
        <v>4542</v>
      </c>
      <c r="B4543" t="inlineStr">
        <is>
          <t>MV̅DXLII</t>
        </is>
      </c>
      <c r="C4543">
        <f>ROMAN(4542)</f>
        <v/>
      </c>
      <c r="D4543">
        <f>IF(B4543=C4543, "YES", "WRONG")</f>
        <v/>
      </c>
    </row>
    <row r="4544">
      <c r="A4544" t="n">
        <v>4543</v>
      </c>
      <c r="B4544" t="inlineStr">
        <is>
          <t>MV̅DXLIII</t>
        </is>
      </c>
      <c r="C4544">
        <f>ROMAN(4543)</f>
        <v/>
      </c>
      <c r="D4544">
        <f>IF(B4544=C4544, "YES", "WRONG")</f>
        <v/>
      </c>
    </row>
    <row r="4545">
      <c r="A4545" t="n">
        <v>4544</v>
      </c>
      <c r="B4545" t="inlineStr">
        <is>
          <t>MV̅DXLIV</t>
        </is>
      </c>
      <c r="C4545">
        <f>ROMAN(4544)</f>
        <v/>
      </c>
      <c r="D4545">
        <f>IF(B4545=C4545, "YES", "WRONG")</f>
        <v/>
      </c>
    </row>
    <row r="4546">
      <c r="A4546" t="n">
        <v>4545</v>
      </c>
      <c r="B4546" t="inlineStr">
        <is>
          <t>MV̅DXLV</t>
        </is>
      </c>
      <c r="C4546">
        <f>ROMAN(4545)</f>
        <v/>
      </c>
      <c r="D4546">
        <f>IF(B4546=C4546, "YES", "WRONG")</f>
        <v/>
      </c>
    </row>
    <row r="4547">
      <c r="A4547" t="n">
        <v>4546</v>
      </c>
      <c r="B4547" t="inlineStr">
        <is>
          <t>MV̅DXLVI</t>
        </is>
      </c>
      <c r="C4547">
        <f>ROMAN(4546)</f>
        <v/>
      </c>
      <c r="D4547">
        <f>IF(B4547=C4547, "YES", "WRONG")</f>
        <v/>
      </c>
    </row>
    <row r="4548">
      <c r="A4548" t="n">
        <v>4547</v>
      </c>
      <c r="B4548" t="inlineStr">
        <is>
          <t>MV̅DXLVII</t>
        </is>
      </c>
      <c r="C4548">
        <f>ROMAN(4547)</f>
        <v/>
      </c>
      <c r="D4548">
        <f>IF(B4548=C4548, "YES", "WRONG")</f>
        <v/>
      </c>
    </row>
    <row r="4549">
      <c r="A4549" t="n">
        <v>4548</v>
      </c>
      <c r="B4549" t="inlineStr">
        <is>
          <t>MV̅DXLVIII</t>
        </is>
      </c>
      <c r="C4549">
        <f>ROMAN(4548)</f>
        <v/>
      </c>
      <c r="D4549">
        <f>IF(B4549=C4549, "YES", "WRONG")</f>
        <v/>
      </c>
    </row>
    <row r="4550">
      <c r="A4550" t="n">
        <v>4549</v>
      </c>
      <c r="B4550" t="inlineStr">
        <is>
          <t>MV̅DXLIX</t>
        </is>
      </c>
      <c r="C4550">
        <f>ROMAN(4549)</f>
        <v/>
      </c>
      <c r="D4550">
        <f>IF(B4550=C4550, "YES", "WRONG")</f>
        <v/>
      </c>
    </row>
    <row r="4551">
      <c r="A4551" t="n">
        <v>4550</v>
      </c>
      <c r="B4551" t="inlineStr">
        <is>
          <t>MV̅DL</t>
        </is>
      </c>
      <c r="C4551">
        <f>ROMAN(4550)</f>
        <v/>
      </c>
      <c r="D4551">
        <f>IF(B4551=C4551, "YES", "WRONG")</f>
        <v/>
      </c>
    </row>
    <row r="4552">
      <c r="A4552" t="n">
        <v>4551</v>
      </c>
      <c r="B4552" t="inlineStr">
        <is>
          <t>MV̅DLI</t>
        </is>
      </c>
      <c r="C4552">
        <f>ROMAN(4551)</f>
        <v/>
      </c>
      <c r="D4552">
        <f>IF(B4552=C4552, "YES", "WRONG")</f>
        <v/>
      </c>
    </row>
    <row r="4553">
      <c r="A4553" t="n">
        <v>4552</v>
      </c>
      <c r="B4553" t="inlineStr">
        <is>
          <t>MV̅DLII</t>
        </is>
      </c>
      <c r="C4553">
        <f>ROMAN(4552)</f>
        <v/>
      </c>
      <c r="D4553">
        <f>IF(B4553=C4553, "YES", "WRONG")</f>
        <v/>
      </c>
    </row>
    <row r="4554">
      <c r="A4554" t="n">
        <v>4553</v>
      </c>
      <c r="B4554" t="inlineStr">
        <is>
          <t>MV̅DLIII</t>
        </is>
      </c>
      <c r="C4554">
        <f>ROMAN(4553)</f>
        <v/>
      </c>
      <c r="D4554">
        <f>IF(B4554=C4554, "YES", "WRONG")</f>
        <v/>
      </c>
    </row>
    <row r="4555">
      <c r="A4555" t="n">
        <v>4554</v>
      </c>
      <c r="B4555" t="inlineStr">
        <is>
          <t>MV̅DLIV</t>
        </is>
      </c>
      <c r="C4555">
        <f>ROMAN(4554)</f>
        <v/>
      </c>
      <c r="D4555">
        <f>IF(B4555=C4555, "YES", "WRONG")</f>
        <v/>
      </c>
    </row>
    <row r="4556">
      <c r="A4556" t="n">
        <v>4555</v>
      </c>
      <c r="B4556" t="inlineStr">
        <is>
          <t>MV̅DLV</t>
        </is>
      </c>
      <c r="C4556">
        <f>ROMAN(4555)</f>
        <v/>
      </c>
      <c r="D4556">
        <f>IF(B4556=C4556, "YES", "WRONG")</f>
        <v/>
      </c>
    </row>
    <row r="4557">
      <c r="A4557" t="n">
        <v>4556</v>
      </c>
      <c r="B4557" t="inlineStr">
        <is>
          <t>MV̅DLVI</t>
        </is>
      </c>
      <c r="C4557">
        <f>ROMAN(4556)</f>
        <v/>
      </c>
      <c r="D4557">
        <f>IF(B4557=C4557, "YES", "WRONG")</f>
        <v/>
      </c>
    </row>
    <row r="4558">
      <c r="A4558" t="n">
        <v>4557</v>
      </c>
      <c r="B4558" t="inlineStr">
        <is>
          <t>MV̅DLVII</t>
        </is>
      </c>
      <c r="C4558">
        <f>ROMAN(4557)</f>
        <v/>
      </c>
      <c r="D4558">
        <f>IF(B4558=C4558, "YES", "WRONG")</f>
        <v/>
      </c>
    </row>
    <row r="4559">
      <c r="A4559" t="n">
        <v>4558</v>
      </c>
      <c r="B4559" t="inlineStr">
        <is>
          <t>MV̅DLVIII</t>
        </is>
      </c>
      <c r="C4559">
        <f>ROMAN(4558)</f>
        <v/>
      </c>
      <c r="D4559">
        <f>IF(B4559=C4559, "YES", "WRONG")</f>
        <v/>
      </c>
    </row>
    <row r="4560">
      <c r="A4560" t="n">
        <v>4559</v>
      </c>
      <c r="B4560" t="inlineStr">
        <is>
          <t>MV̅DLIX</t>
        </is>
      </c>
      <c r="C4560">
        <f>ROMAN(4559)</f>
        <v/>
      </c>
      <c r="D4560">
        <f>IF(B4560=C4560, "YES", "WRONG")</f>
        <v/>
      </c>
    </row>
    <row r="4561">
      <c r="A4561" t="n">
        <v>4560</v>
      </c>
      <c r="B4561" t="inlineStr">
        <is>
          <t>MV̅DLX</t>
        </is>
      </c>
      <c r="C4561">
        <f>ROMAN(4560)</f>
        <v/>
      </c>
      <c r="D4561">
        <f>IF(B4561=C4561, "YES", "WRONG")</f>
        <v/>
      </c>
    </row>
    <row r="4562">
      <c r="A4562" t="n">
        <v>4561</v>
      </c>
      <c r="B4562" t="inlineStr">
        <is>
          <t>MV̅DLXI</t>
        </is>
      </c>
      <c r="C4562">
        <f>ROMAN(4561)</f>
        <v/>
      </c>
      <c r="D4562">
        <f>IF(B4562=C4562, "YES", "WRONG")</f>
        <v/>
      </c>
    </row>
    <row r="4563">
      <c r="A4563" t="n">
        <v>4562</v>
      </c>
      <c r="B4563" t="inlineStr">
        <is>
          <t>MV̅DLXII</t>
        </is>
      </c>
      <c r="C4563">
        <f>ROMAN(4562)</f>
        <v/>
      </c>
      <c r="D4563">
        <f>IF(B4563=C4563, "YES", "WRONG")</f>
        <v/>
      </c>
    </row>
    <row r="4564">
      <c r="A4564" t="n">
        <v>4563</v>
      </c>
      <c r="B4564" t="inlineStr">
        <is>
          <t>MV̅DLXIII</t>
        </is>
      </c>
      <c r="C4564">
        <f>ROMAN(4563)</f>
        <v/>
      </c>
      <c r="D4564">
        <f>IF(B4564=C4564, "YES", "WRONG")</f>
        <v/>
      </c>
    </row>
    <row r="4565">
      <c r="A4565" t="n">
        <v>4564</v>
      </c>
      <c r="B4565" t="inlineStr">
        <is>
          <t>MV̅DLXIV</t>
        </is>
      </c>
      <c r="C4565">
        <f>ROMAN(4564)</f>
        <v/>
      </c>
      <c r="D4565">
        <f>IF(B4565=C4565, "YES", "WRONG")</f>
        <v/>
      </c>
    </row>
    <row r="4566">
      <c r="A4566" t="n">
        <v>4565</v>
      </c>
      <c r="B4566" t="inlineStr">
        <is>
          <t>MV̅DLXV</t>
        </is>
      </c>
      <c r="C4566">
        <f>ROMAN(4565)</f>
        <v/>
      </c>
      <c r="D4566">
        <f>IF(B4566=C4566, "YES", "WRONG")</f>
        <v/>
      </c>
    </row>
    <row r="4567">
      <c r="A4567" t="n">
        <v>4566</v>
      </c>
      <c r="B4567" t="inlineStr">
        <is>
          <t>MV̅DLXVI</t>
        </is>
      </c>
      <c r="C4567">
        <f>ROMAN(4566)</f>
        <v/>
      </c>
      <c r="D4567">
        <f>IF(B4567=C4567, "YES", "WRONG")</f>
        <v/>
      </c>
    </row>
    <row r="4568">
      <c r="A4568" t="n">
        <v>4567</v>
      </c>
      <c r="B4568" t="inlineStr">
        <is>
          <t>MV̅DLXVII</t>
        </is>
      </c>
      <c r="C4568">
        <f>ROMAN(4567)</f>
        <v/>
      </c>
      <c r="D4568">
        <f>IF(B4568=C4568, "YES", "WRONG")</f>
        <v/>
      </c>
    </row>
    <row r="4569">
      <c r="A4569" t="n">
        <v>4568</v>
      </c>
      <c r="B4569" t="inlineStr">
        <is>
          <t>MV̅DLXVIII</t>
        </is>
      </c>
      <c r="C4569">
        <f>ROMAN(4568)</f>
        <v/>
      </c>
      <c r="D4569">
        <f>IF(B4569=C4569, "YES", "WRONG")</f>
        <v/>
      </c>
    </row>
    <row r="4570">
      <c r="A4570" t="n">
        <v>4569</v>
      </c>
      <c r="B4570" t="inlineStr">
        <is>
          <t>MV̅DLXIX</t>
        </is>
      </c>
      <c r="C4570">
        <f>ROMAN(4569)</f>
        <v/>
      </c>
      <c r="D4570">
        <f>IF(B4570=C4570, "YES", "WRONG")</f>
        <v/>
      </c>
    </row>
    <row r="4571">
      <c r="A4571" t="n">
        <v>4570</v>
      </c>
      <c r="B4571" t="inlineStr">
        <is>
          <t>MV̅DLXX</t>
        </is>
      </c>
      <c r="C4571">
        <f>ROMAN(4570)</f>
        <v/>
      </c>
      <c r="D4571">
        <f>IF(B4571=C4571, "YES", "WRONG")</f>
        <v/>
      </c>
    </row>
    <row r="4572">
      <c r="A4572" t="n">
        <v>4571</v>
      </c>
      <c r="B4572" t="inlineStr">
        <is>
          <t>MV̅DLXXI</t>
        </is>
      </c>
      <c r="C4572">
        <f>ROMAN(4571)</f>
        <v/>
      </c>
      <c r="D4572">
        <f>IF(B4572=C4572, "YES", "WRONG")</f>
        <v/>
      </c>
    </row>
    <row r="4573">
      <c r="A4573" t="n">
        <v>4572</v>
      </c>
      <c r="B4573" t="inlineStr">
        <is>
          <t>MV̅DLXXII</t>
        </is>
      </c>
      <c r="C4573">
        <f>ROMAN(4572)</f>
        <v/>
      </c>
      <c r="D4573">
        <f>IF(B4573=C4573, "YES", "WRONG")</f>
        <v/>
      </c>
    </row>
    <row r="4574">
      <c r="A4574" t="n">
        <v>4573</v>
      </c>
      <c r="B4574" t="inlineStr">
        <is>
          <t>MV̅DLXXIII</t>
        </is>
      </c>
      <c r="C4574">
        <f>ROMAN(4573)</f>
        <v/>
      </c>
      <c r="D4574">
        <f>IF(B4574=C4574, "YES", "WRONG")</f>
        <v/>
      </c>
    </row>
    <row r="4575">
      <c r="A4575" t="n">
        <v>4574</v>
      </c>
      <c r="B4575" t="inlineStr">
        <is>
          <t>MV̅DLXXIV</t>
        </is>
      </c>
      <c r="C4575">
        <f>ROMAN(4574)</f>
        <v/>
      </c>
      <c r="D4575">
        <f>IF(B4575=C4575, "YES", "WRONG")</f>
        <v/>
      </c>
    </row>
    <row r="4576">
      <c r="A4576" t="n">
        <v>4575</v>
      </c>
      <c r="B4576" t="inlineStr">
        <is>
          <t>MV̅DLXXV</t>
        </is>
      </c>
      <c r="C4576">
        <f>ROMAN(4575)</f>
        <v/>
      </c>
      <c r="D4576">
        <f>IF(B4576=C4576, "YES", "WRONG")</f>
        <v/>
      </c>
    </row>
    <row r="4577">
      <c r="A4577" t="n">
        <v>4576</v>
      </c>
      <c r="B4577" t="inlineStr">
        <is>
          <t>MV̅DLXXVI</t>
        </is>
      </c>
      <c r="C4577">
        <f>ROMAN(4576)</f>
        <v/>
      </c>
      <c r="D4577">
        <f>IF(B4577=C4577, "YES", "WRONG")</f>
        <v/>
      </c>
    </row>
    <row r="4578">
      <c r="A4578" t="n">
        <v>4577</v>
      </c>
      <c r="B4578" t="inlineStr">
        <is>
          <t>MV̅DLXXVII</t>
        </is>
      </c>
      <c r="C4578">
        <f>ROMAN(4577)</f>
        <v/>
      </c>
      <c r="D4578">
        <f>IF(B4578=C4578, "YES", "WRONG")</f>
        <v/>
      </c>
    </row>
    <row r="4579">
      <c r="A4579" t="n">
        <v>4578</v>
      </c>
      <c r="B4579" t="inlineStr">
        <is>
          <t>MV̅DLXXVIII</t>
        </is>
      </c>
      <c r="C4579">
        <f>ROMAN(4578)</f>
        <v/>
      </c>
      <c r="D4579">
        <f>IF(B4579=C4579, "YES", "WRONG")</f>
        <v/>
      </c>
    </row>
    <row r="4580">
      <c r="A4580" t="n">
        <v>4579</v>
      </c>
      <c r="B4580" t="inlineStr">
        <is>
          <t>MV̅DLXXIX</t>
        </is>
      </c>
      <c r="C4580">
        <f>ROMAN(4579)</f>
        <v/>
      </c>
      <c r="D4580">
        <f>IF(B4580=C4580, "YES", "WRONG")</f>
        <v/>
      </c>
    </row>
    <row r="4581">
      <c r="A4581" t="n">
        <v>4580</v>
      </c>
      <c r="B4581" t="inlineStr">
        <is>
          <t>MV̅DLXXX</t>
        </is>
      </c>
      <c r="C4581">
        <f>ROMAN(4580)</f>
        <v/>
      </c>
      <c r="D4581">
        <f>IF(B4581=C4581, "YES", "WRONG")</f>
        <v/>
      </c>
    </row>
    <row r="4582">
      <c r="A4582" t="n">
        <v>4581</v>
      </c>
      <c r="B4582" t="inlineStr">
        <is>
          <t>MV̅DLXXXI</t>
        </is>
      </c>
      <c r="C4582">
        <f>ROMAN(4581)</f>
        <v/>
      </c>
      <c r="D4582">
        <f>IF(B4582=C4582, "YES", "WRONG")</f>
        <v/>
      </c>
    </row>
    <row r="4583">
      <c r="A4583" t="n">
        <v>4582</v>
      </c>
      <c r="B4583" t="inlineStr">
        <is>
          <t>MV̅DLXXXII</t>
        </is>
      </c>
      <c r="C4583">
        <f>ROMAN(4582)</f>
        <v/>
      </c>
      <c r="D4583">
        <f>IF(B4583=C4583, "YES", "WRONG")</f>
        <v/>
      </c>
    </row>
    <row r="4584">
      <c r="A4584" t="n">
        <v>4583</v>
      </c>
      <c r="B4584" t="inlineStr">
        <is>
          <t>MV̅DLXXXIII</t>
        </is>
      </c>
      <c r="C4584">
        <f>ROMAN(4583)</f>
        <v/>
      </c>
      <c r="D4584">
        <f>IF(B4584=C4584, "YES", "WRONG")</f>
        <v/>
      </c>
    </row>
    <row r="4585">
      <c r="A4585" t="n">
        <v>4584</v>
      </c>
      <c r="B4585" t="inlineStr">
        <is>
          <t>MV̅DLXXXIV</t>
        </is>
      </c>
      <c r="C4585">
        <f>ROMAN(4584)</f>
        <v/>
      </c>
      <c r="D4585">
        <f>IF(B4585=C4585, "YES", "WRONG")</f>
        <v/>
      </c>
    </row>
    <row r="4586">
      <c r="A4586" t="n">
        <v>4585</v>
      </c>
      <c r="B4586" t="inlineStr">
        <is>
          <t>MV̅DLXXXV</t>
        </is>
      </c>
      <c r="C4586">
        <f>ROMAN(4585)</f>
        <v/>
      </c>
      <c r="D4586">
        <f>IF(B4586=C4586, "YES", "WRONG")</f>
        <v/>
      </c>
    </row>
    <row r="4587">
      <c r="A4587" t="n">
        <v>4586</v>
      </c>
      <c r="B4587" t="inlineStr">
        <is>
          <t>MV̅DLXXXVI</t>
        </is>
      </c>
      <c r="C4587">
        <f>ROMAN(4586)</f>
        <v/>
      </c>
      <c r="D4587">
        <f>IF(B4587=C4587, "YES", "WRONG")</f>
        <v/>
      </c>
    </row>
    <row r="4588">
      <c r="A4588" t="n">
        <v>4587</v>
      </c>
      <c r="B4588" t="inlineStr">
        <is>
          <t>MV̅DLXXXVII</t>
        </is>
      </c>
      <c r="C4588">
        <f>ROMAN(4587)</f>
        <v/>
      </c>
      <c r="D4588">
        <f>IF(B4588=C4588, "YES", "WRONG")</f>
        <v/>
      </c>
    </row>
    <row r="4589">
      <c r="A4589" t="n">
        <v>4588</v>
      </c>
      <c r="B4589" t="inlineStr">
        <is>
          <t>MV̅DLXXXVIII</t>
        </is>
      </c>
      <c r="C4589">
        <f>ROMAN(4588)</f>
        <v/>
      </c>
      <c r="D4589">
        <f>IF(B4589=C4589, "YES", "WRONG")</f>
        <v/>
      </c>
    </row>
    <row r="4590">
      <c r="A4590" t="n">
        <v>4589</v>
      </c>
      <c r="B4590" t="inlineStr">
        <is>
          <t>MV̅DLXXXIX</t>
        </is>
      </c>
      <c r="C4590">
        <f>ROMAN(4589)</f>
        <v/>
      </c>
      <c r="D4590">
        <f>IF(B4590=C4590, "YES", "WRONG")</f>
        <v/>
      </c>
    </row>
    <row r="4591">
      <c r="A4591" t="n">
        <v>4590</v>
      </c>
      <c r="B4591" t="inlineStr">
        <is>
          <t>MV̅DXC</t>
        </is>
      </c>
      <c r="C4591">
        <f>ROMAN(4590)</f>
        <v/>
      </c>
      <c r="D4591">
        <f>IF(B4591=C4591, "YES", "WRONG")</f>
        <v/>
      </c>
    </row>
    <row r="4592">
      <c r="A4592" t="n">
        <v>4591</v>
      </c>
      <c r="B4592" t="inlineStr">
        <is>
          <t>MV̅DXCI</t>
        </is>
      </c>
      <c r="C4592">
        <f>ROMAN(4591)</f>
        <v/>
      </c>
      <c r="D4592">
        <f>IF(B4592=C4592, "YES", "WRONG")</f>
        <v/>
      </c>
    </row>
    <row r="4593">
      <c r="A4593" t="n">
        <v>4592</v>
      </c>
      <c r="B4593" t="inlineStr">
        <is>
          <t>MV̅DXCII</t>
        </is>
      </c>
      <c r="C4593">
        <f>ROMAN(4592)</f>
        <v/>
      </c>
      <c r="D4593">
        <f>IF(B4593=C4593, "YES", "WRONG")</f>
        <v/>
      </c>
    </row>
    <row r="4594">
      <c r="A4594" t="n">
        <v>4593</v>
      </c>
      <c r="B4594" t="inlineStr">
        <is>
          <t>MV̅DXCIII</t>
        </is>
      </c>
      <c r="C4594">
        <f>ROMAN(4593)</f>
        <v/>
      </c>
      <c r="D4594">
        <f>IF(B4594=C4594, "YES", "WRONG")</f>
        <v/>
      </c>
    </row>
    <row r="4595">
      <c r="A4595" t="n">
        <v>4594</v>
      </c>
      <c r="B4595" t="inlineStr">
        <is>
          <t>MV̅DXCIV</t>
        </is>
      </c>
      <c r="C4595">
        <f>ROMAN(4594)</f>
        <v/>
      </c>
      <c r="D4595">
        <f>IF(B4595=C4595, "YES", "WRONG")</f>
        <v/>
      </c>
    </row>
    <row r="4596">
      <c r="A4596" t="n">
        <v>4595</v>
      </c>
      <c r="B4596" t="inlineStr">
        <is>
          <t>MV̅DXCV</t>
        </is>
      </c>
      <c r="C4596">
        <f>ROMAN(4595)</f>
        <v/>
      </c>
      <c r="D4596">
        <f>IF(B4596=C4596, "YES", "WRONG")</f>
        <v/>
      </c>
    </row>
    <row r="4597">
      <c r="A4597" t="n">
        <v>4596</v>
      </c>
      <c r="B4597" t="inlineStr">
        <is>
          <t>MV̅DXCVI</t>
        </is>
      </c>
      <c r="C4597">
        <f>ROMAN(4596)</f>
        <v/>
      </c>
      <c r="D4597">
        <f>IF(B4597=C4597, "YES", "WRONG")</f>
        <v/>
      </c>
    </row>
    <row r="4598">
      <c r="A4598" t="n">
        <v>4597</v>
      </c>
      <c r="B4598" t="inlineStr">
        <is>
          <t>MV̅DXCVII</t>
        </is>
      </c>
      <c r="C4598">
        <f>ROMAN(4597)</f>
        <v/>
      </c>
      <c r="D4598">
        <f>IF(B4598=C4598, "YES", "WRONG")</f>
        <v/>
      </c>
    </row>
    <row r="4599">
      <c r="A4599" t="n">
        <v>4598</v>
      </c>
      <c r="B4599" t="inlineStr">
        <is>
          <t>MV̅DXCVIII</t>
        </is>
      </c>
      <c r="C4599">
        <f>ROMAN(4598)</f>
        <v/>
      </c>
      <c r="D4599">
        <f>IF(B4599=C4599, "YES", "WRONG")</f>
        <v/>
      </c>
    </row>
    <row r="4600">
      <c r="A4600" t="n">
        <v>4599</v>
      </c>
      <c r="B4600" t="inlineStr">
        <is>
          <t>MV̅DXCIX</t>
        </is>
      </c>
      <c r="C4600">
        <f>ROMAN(4599)</f>
        <v/>
      </c>
      <c r="D4600">
        <f>IF(B4600=C4600, "YES", "WRONG")</f>
        <v/>
      </c>
    </row>
    <row r="4601">
      <c r="A4601" t="n">
        <v>4600</v>
      </c>
      <c r="B4601" t="inlineStr">
        <is>
          <t>MV̅DC</t>
        </is>
      </c>
      <c r="C4601">
        <f>ROMAN(4600)</f>
        <v/>
      </c>
      <c r="D4601">
        <f>IF(B4601=C4601, "YES", "WRONG")</f>
        <v/>
      </c>
    </row>
    <row r="4602">
      <c r="A4602" t="n">
        <v>4601</v>
      </c>
      <c r="B4602" t="inlineStr">
        <is>
          <t>MV̅DCI</t>
        </is>
      </c>
      <c r="C4602">
        <f>ROMAN(4601)</f>
        <v/>
      </c>
      <c r="D4602">
        <f>IF(B4602=C4602, "YES", "WRONG")</f>
        <v/>
      </c>
    </row>
    <row r="4603">
      <c r="A4603" t="n">
        <v>4602</v>
      </c>
      <c r="B4603" t="inlineStr">
        <is>
          <t>MV̅DCII</t>
        </is>
      </c>
      <c r="C4603">
        <f>ROMAN(4602)</f>
        <v/>
      </c>
      <c r="D4603">
        <f>IF(B4603=C4603, "YES", "WRONG")</f>
        <v/>
      </c>
    </row>
    <row r="4604">
      <c r="A4604" t="n">
        <v>4603</v>
      </c>
      <c r="B4604" t="inlineStr">
        <is>
          <t>MV̅DCIII</t>
        </is>
      </c>
      <c r="C4604">
        <f>ROMAN(4603)</f>
        <v/>
      </c>
      <c r="D4604">
        <f>IF(B4604=C4604, "YES", "WRONG")</f>
        <v/>
      </c>
    </row>
    <row r="4605">
      <c r="A4605" t="n">
        <v>4604</v>
      </c>
      <c r="B4605" t="inlineStr">
        <is>
          <t>MV̅DCIV</t>
        </is>
      </c>
      <c r="C4605">
        <f>ROMAN(4604)</f>
        <v/>
      </c>
      <c r="D4605">
        <f>IF(B4605=C4605, "YES", "WRONG")</f>
        <v/>
      </c>
    </row>
    <row r="4606">
      <c r="A4606" t="n">
        <v>4605</v>
      </c>
      <c r="B4606" t="inlineStr">
        <is>
          <t>MV̅DCV</t>
        </is>
      </c>
      <c r="C4606">
        <f>ROMAN(4605)</f>
        <v/>
      </c>
      <c r="D4606">
        <f>IF(B4606=C4606, "YES", "WRONG")</f>
        <v/>
      </c>
    </row>
    <row r="4607">
      <c r="A4607" t="n">
        <v>4606</v>
      </c>
      <c r="B4607" t="inlineStr">
        <is>
          <t>MV̅DCVI</t>
        </is>
      </c>
      <c r="C4607">
        <f>ROMAN(4606)</f>
        <v/>
      </c>
      <c r="D4607">
        <f>IF(B4607=C4607, "YES", "WRONG")</f>
        <v/>
      </c>
    </row>
    <row r="4608">
      <c r="A4608" t="n">
        <v>4607</v>
      </c>
      <c r="B4608" t="inlineStr">
        <is>
          <t>MV̅DCVII</t>
        </is>
      </c>
      <c r="C4608">
        <f>ROMAN(4607)</f>
        <v/>
      </c>
      <c r="D4608">
        <f>IF(B4608=C4608, "YES", "WRONG")</f>
        <v/>
      </c>
    </row>
    <row r="4609">
      <c r="A4609" t="n">
        <v>4608</v>
      </c>
      <c r="B4609" t="inlineStr">
        <is>
          <t>MV̅DCVIII</t>
        </is>
      </c>
      <c r="C4609">
        <f>ROMAN(4608)</f>
        <v/>
      </c>
      <c r="D4609">
        <f>IF(B4609=C4609, "YES", "WRONG")</f>
        <v/>
      </c>
    </row>
    <row r="4610">
      <c r="A4610" t="n">
        <v>4609</v>
      </c>
      <c r="B4610" t="inlineStr">
        <is>
          <t>MV̅DCIX</t>
        </is>
      </c>
      <c r="C4610">
        <f>ROMAN(4609)</f>
        <v/>
      </c>
      <c r="D4610">
        <f>IF(B4610=C4610, "YES", "WRONG")</f>
        <v/>
      </c>
    </row>
    <row r="4611">
      <c r="A4611" t="n">
        <v>4610</v>
      </c>
      <c r="B4611" t="inlineStr">
        <is>
          <t>MV̅DCX</t>
        </is>
      </c>
      <c r="C4611">
        <f>ROMAN(4610)</f>
        <v/>
      </c>
      <c r="D4611">
        <f>IF(B4611=C4611, "YES", "WRONG")</f>
        <v/>
      </c>
    </row>
    <row r="4612">
      <c r="A4612" t="n">
        <v>4611</v>
      </c>
      <c r="B4612" t="inlineStr">
        <is>
          <t>MV̅DCXI</t>
        </is>
      </c>
      <c r="C4612">
        <f>ROMAN(4611)</f>
        <v/>
      </c>
      <c r="D4612">
        <f>IF(B4612=C4612, "YES", "WRONG")</f>
        <v/>
      </c>
    </row>
    <row r="4613">
      <c r="A4613" t="n">
        <v>4612</v>
      </c>
      <c r="B4613" t="inlineStr">
        <is>
          <t>MV̅DCXII</t>
        </is>
      </c>
      <c r="C4613">
        <f>ROMAN(4612)</f>
        <v/>
      </c>
      <c r="D4613">
        <f>IF(B4613=C4613, "YES", "WRONG")</f>
        <v/>
      </c>
    </row>
    <row r="4614">
      <c r="A4614" t="n">
        <v>4613</v>
      </c>
      <c r="B4614" t="inlineStr">
        <is>
          <t>MV̅DCXIII</t>
        </is>
      </c>
      <c r="C4614">
        <f>ROMAN(4613)</f>
        <v/>
      </c>
      <c r="D4614">
        <f>IF(B4614=C4614, "YES", "WRONG")</f>
        <v/>
      </c>
    </row>
    <row r="4615">
      <c r="A4615" t="n">
        <v>4614</v>
      </c>
      <c r="B4615" t="inlineStr">
        <is>
          <t>MV̅DCXIV</t>
        </is>
      </c>
      <c r="C4615">
        <f>ROMAN(4614)</f>
        <v/>
      </c>
      <c r="D4615">
        <f>IF(B4615=C4615, "YES", "WRONG")</f>
        <v/>
      </c>
    </row>
    <row r="4616">
      <c r="A4616" t="n">
        <v>4615</v>
      </c>
      <c r="B4616" t="inlineStr">
        <is>
          <t>MV̅DCXV</t>
        </is>
      </c>
      <c r="C4616">
        <f>ROMAN(4615)</f>
        <v/>
      </c>
      <c r="D4616">
        <f>IF(B4616=C4616, "YES", "WRONG")</f>
        <v/>
      </c>
    </row>
    <row r="4617">
      <c r="A4617" t="n">
        <v>4616</v>
      </c>
      <c r="B4617" t="inlineStr">
        <is>
          <t>MV̅DCXVI</t>
        </is>
      </c>
      <c r="C4617">
        <f>ROMAN(4616)</f>
        <v/>
      </c>
      <c r="D4617">
        <f>IF(B4617=C4617, "YES", "WRONG")</f>
        <v/>
      </c>
    </row>
    <row r="4618">
      <c r="A4618" t="n">
        <v>4617</v>
      </c>
      <c r="B4618" t="inlineStr">
        <is>
          <t>MV̅DCXVII</t>
        </is>
      </c>
      <c r="C4618">
        <f>ROMAN(4617)</f>
        <v/>
      </c>
      <c r="D4618">
        <f>IF(B4618=C4618, "YES", "WRONG")</f>
        <v/>
      </c>
    </row>
    <row r="4619">
      <c r="A4619" t="n">
        <v>4618</v>
      </c>
      <c r="B4619" t="inlineStr">
        <is>
          <t>MV̅DCXVIII</t>
        </is>
      </c>
      <c r="C4619">
        <f>ROMAN(4618)</f>
        <v/>
      </c>
      <c r="D4619">
        <f>IF(B4619=C4619, "YES", "WRONG")</f>
        <v/>
      </c>
    </row>
    <row r="4620">
      <c r="A4620" t="n">
        <v>4619</v>
      </c>
      <c r="B4620" t="inlineStr">
        <is>
          <t>MV̅DCXIX</t>
        </is>
      </c>
      <c r="C4620">
        <f>ROMAN(4619)</f>
        <v/>
      </c>
      <c r="D4620">
        <f>IF(B4620=C4620, "YES", "WRONG")</f>
        <v/>
      </c>
    </row>
    <row r="4621">
      <c r="A4621" t="n">
        <v>4620</v>
      </c>
      <c r="B4621" t="inlineStr">
        <is>
          <t>MV̅DCXX</t>
        </is>
      </c>
      <c r="C4621">
        <f>ROMAN(4620)</f>
        <v/>
      </c>
      <c r="D4621">
        <f>IF(B4621=C4621, "YES", "WRONG")</f>
        <v/>
      </c>
    </row>
    <row r="4622">
      <c r="A4622" t="n">
        <v>4621</v>
      </c>
      <c r="B4622" t="inlineStr">
        <is>
          <t>MV̅DCXXI</t>
        </is>
      </c>
      <c r="C4622">
        <f>ROMAN(4621)</f>
        <v/>
      </c>
      <c r="D4622">
        <f>IF(B4622=C4622, "YES", "WRONG")</f>
        <v/>
      </c>
    </row>
    <row r="4623">
      <c r="A4623" t="n">
        <v>4622</v>
      </c>
      <c r="B4623" t="inlineStr">
        <is>
          <t>MV̅DCXXII</t>
        </is>
      </c>
      <c r="C4623">
        <f>ROMAN(4622)</f>
        <v/>
      </c>
      <c r="D4623">
        <f>IF(B4623=C4623, "YES", "WRONG")</f>
        <v/>
      </c>
    </row>
    <row r="4624">
      <c r="A4624" t="n">
        <v>4623</v>
      </c>
      <c r="B4624" t="inlineStr">
        <is>
          <t>MV̅DCXXIII</t>
        </is>
      </c>
      <c r="C4624">
        <f>ROMAN(4623)</f>
        <v/>
      </c>
      <c r="D4624">
        <f>IF(B4624=C4624, "YES", "WRONG")</f>
        <v/>
      </c>
    </row>
    <row r="4625">
      <c r="A4625" t="n">
        <v>4624</v>
      </c>
      <c r="B4625" t="inlineStr">
        <is>
          <t>MV̅DCXXIV</t>
        </is>
      </c>
      <c r="C4625">
        <f>ROMAN(4624)</f>
        <v/>
      </c>
      <c r="D4625">
        <f>IF(B4625=C4625, "YES", "WRONG")</f>
        <v/>
      </c>
    </row>
    <row r="4626">
      <c r="A4626" t="n">
        <v>4625</v>
      </c>
      <c r="B4626" t="inlineStr">
        <is>
          <t>MV̅DCXXV</t>
        </is>
      </c>
      <c r="C4626">
        <f>ROMAN(4625)</f>
        <v/>
      </c>
      <c r="D4626">
        <f>IF(B4626=C4626, "YES", "WRONG")</f>
        <v/>
      </c>
    </row>
    <row r="4627">
      <c r="A4627" t="n">
        <v>4626</v>
      </c>
      <c r="B4627" t="inlineStr">
        <is>
          <t>MV̅DCXXVI</t>
        </is>
      </c>
      <c r="C4627">
        <f>ROMAN(4626)</f>
        <v/>
      </c>
      <c r="D4627">
        <f>IF(B4627=C4627, "YES", "WRONG")</f>
        <v/>
      </c>
    </row>
    <row r="4628">
      <c r="A4628" t="n">
        <v>4627</v>
      </c>
      <c r="B4628" t="inlineStr">
        <is>
          <t>MV̅DCXXVII</t>
        </is>
      </c>
      <c r="C4628">
        <f>ROMAN(4627)</f>
        <v/>
      </c>
      <c r="D4628">
        <f>IF(B4628=C4628, "YES", "WRONG")</f>
        <v/>
      </c>
    </row>
    <row r="4629">
      <c r="A4629" t="n">
        <v>4628</v>
      </c>
      <c r="B4629" t="inlineStr">
        <is>
          <t>MV̅DCXXVIII</t>
        </is>
      </c>
      <c r="C4629">
        <f>ROMAN(4628)</f>
        <v/>
      </c>
      <c r="D4629">
        <f>IF(B4629=C4629, "YES", "WRONG")</f>
        <v/>
      </c>
    </row>
    <row r="4630">
      <c r="A4630" t="n">
        <v>4629</v>
      </c>
      <c r="B4630" t="inlineStr">
        <is>
          <t>MV̅DCXXIX</t>
        </is>
      </c>
      <c r="C4630">
        <f>ROMAN(4629)</f>
        <v/>
      </c>
      <c r="D4630">
        <f>IF(B4630=C4630, "YES", "WRONG")</f>
        <v/>
      </c>
    </row>
    <row r="4631">
      <c r="A4631" t="n">
        <v>4630</v>
      </c>
      <c r="B4631" t="inlineStr">
        <is>
          <t>MV̅DCXXX</t>
        </is>
      </c>
      <c r="C4631">
        <f>ROMAN(4630)</f>
        <v/>
      </c>
      <c r="D4631">
        <f>IF(B4631=C4631, "YES", "WRONG")</f>
        <v/>
      </c>
    </row>
    <row r="4632">
      <c r="A4632" t="n">
        <v>4631</v>
      </c>
      <c r="B4632" t="inlineStr">
        <is>
          <t>MV̅DCXXXI</t>
        </is>
      </c>
      <c r="C4632">
        <f>ROMAN(4631)</f>
        <v/>
      </c>
      <c r="D4632">
        <f>IF(B4632=C4632, "YES", "WRONG")</f>
        <v/>
      </c>
    </row>
    <row r="4633">
      <c r="A4633" t="n">
        <v>4632</v>
      </c>
      <c r="B4633" t="inlineStr">
        <is>
          <t>MV̅DCXXXII</t>
        </is>
      </c>
      <c r="C4633">
        <f>ROMAN(4632)</f>
        <v/>
      </c>
      <c r="D4633">
        <f>IF(B4633=C4633, "YES", "WRONG")</f>
        <v/>
      </c>
    </row>
    <row r="4634">
      <c r="A4634" t="n">
        <v>4633</v>
      </c>
      <c r="B4634" t="inlineStr">
        <is>
          <t>MV̅DCXXXIII</t>
        </is>
      </c>
      <c r="C4634">
        <f>ROMAN(4633)</f>
        <v/>
      </c>
      <c r="D4634">
        <f>IF(B4634=C4634, "YES", "WRONG")</f>
        <v/>
      </c>
    </row>
    <row r="4635">
      <c r="A4635" t="n">
        <v>4634</v>
      </c>
      <c r="B4635" t="inlineStr">
        <is>
          <t>MV̅DCXXXIV</t>
        </is>
      </c>
      <c r="C4635">
        <f>ROMAN(4634)</f>
        <v/>
      </c>
      <c r="D4635">
        <f>IF(B4635=C4635, "YES", "WRONG")</f>
        <v/>
      </c>
    </row>
    <row r="4636">
      <c r="A4636" t="n">
        <v>4635</v>
      </c>
      <c r="B4636" t="inlineStr">
        <is>
          <t>MV̅DCXXXV</t>
        </is>
      </c>
      <c r="C4636">
        <f>ROMAN(4635)</f>
        <v/>
      </c>
      <c r="D4636">
        <f>IF(B4636=C4636, "YES", "WRONG")</f>
        <v/>
      </c>
    </row>
    <row r="4637">
      <c r="A4637" t="n">
        <v>4636</v>
      </c>
      <c r="B4637" t="inlineStr">
        <is>
          <t>MV̅DCXXXVI</t>
        </is>
      </c>
      <c r="C4637">
        <f>ROMAN(4636)</f>
        <v/>
      </c>
      <c r="D4637">
        <f>IF(B4637=C4637, "YES", "WRONG")</f>
        <v/>
      </c>
    </row>
    <row r="4638">
      <c r="A4638" t="n">
        <v>4637</v>
      </c>
      <c r="B4638" t="inlineStr">
        <is>
          <t>MV̅DCXXXVII</t>
        </is>
      </c>
      <c r="C4638">
        <f>ROMAN(4637)</f>
        <v/>
      </c>
      <c r="D4638">
        <f>IF(B4638=C4638, "YES", "WRONG")</f>
        <v/>
      </c>
    </row>
    <row r="4639">
      <c r="A4639" t="n">
        <v>4638</v>
      </c>
      <c r="B4639" t="inlineStr">
        <is>
          <t>MV̅DCXXXVIII</t>
        </is>
      </c>
      <c r="C4639">
        <f>ROMAN(4638)</f>
        <v/>
      </c>
      <c r="D4639">
        <f>IF(B4639=C4639, "YES", "WRONG")</f>
        <v/>
      </c>
    </row>
    <row r="4640">
      <c r="A4640" t="n">
        <v>4639</v>
      </c>
      <c r="B4640" t="inlineStr">
        <is>
          <t>MV̅DCXXXIX</t>
        </is>
      </c>
      <c r="C4640">
        <f>ROMAN(4639)</f>
        <v/>
      </c>
      <c r="D4640">
        <f>IF(B4640=C4640, "YES", "WRONG")</f>
        <v/>
      </c>
    </row>
    <row r="4641">
      <c r="A4641" t="n">
        <v>4640</v>
      </c>
      <c r="B4641" t="inlineStr">
        <is>
          <t>MV̅DCXL</t>
        </is>
      </c>
      <c r="C4641">
        <f>ROMAN(4640)</f>
        <v/>
      </c>
      <c r="D4641">
        <f>IF(B4641=C4641, "YES", "WRONG")</f>
        <v/>
      </c>
    </row>
    <row r="4642">
      <c r="A4642" t="n">
        <v>4641</v>
      </c>
      <c r="B4642" t="inlineStr">
        <is>
          <t>MV̅DCXLI</t>
        </is>
      </c>
      <c r="C4642">
        <f>ROMAN(4641)</f>
        <v/>
      </c>
      <c r="D4642">
        <f>IF(B4642=C4642, "YES", "WRONG")</f>
        <v/>
      </c>
    </row>
    <row r="4643">
      <c r="A4643" t="n">
        <v>4642</v>
      </c>
      <c r="B4643" t="inlineStr">
        <is>
          <t>MV̅DCXLII</t>
        </is>
      </c>
      <c r="C4643">
        <f>ROMAN(4642)</f>
        <v/>
      </c>
      <c r="D4643">
        <f>IF(B4643=C4643, "YES", "WRONG")</f>
        <v/>
      </c>
    </row>
    <row r="4644">
      <c r="A4644" t="n">
        <v>4643</v>
      </c>
      <c r="B4644" t="inlineStr">
        <is>
          <t>MV̅DCXLIII</t>
        </is>
      </c>
      <c r="C4644">
        <f>ROMAN(4643)</f>
        <v/>
      </c>
      <c r="D4644">
        <f>IF(B4644=C4644, "YES", "WRONG")</f>
        <v/>
      </c>
    </row>
    <row r="4645">
      <c r="A4645" t="n">
        <v>4644</v>
      </c>
      <c r="B4645" t="inlineStr">
        <is>
          <t>MV̅DCXLIV</t>
        </is>
      </c>
      <c r="C4645">
        <f>ROMAN(4644)</f>
        <v/>
      </c>
      <c r="D4645">
        <f>IF(B4645=C4645, "YES", "WRONG")</f>
        <v/>
      </c>
    </row>
    <row r="4646">
      <c r="A4646" t="n">
        <v>4645</v>
      </c>
      <c r="B4646" t="inlineStr">
        <is>
          <t>MV̅DCXLV</t>
        </is>
      </c>
      <c r="C4646">
        <f>ROMAN(4645)</f>
        <v/>
      </c>
      <c r="D4646">
        <f>IF(B4646=C4646, "YES", "WRONG")</f>
        <v/>
      </c>
    </row>
    <row r="4647">
      <c r="A4647" t="n">
        <v>4646</v>
      </c>
      <c r="B4647" t="inlineStr">
        <is>
          <t>MV̅DCXLVI</t>
        </is>
      </c>
      <c r="C4647">
        <f>ROMAN(4646)</f>
        <v/>
      </c>
      <c r="D4647">
        <f>IF(B4647=C4647, "YES", "WRONG")</f>
        <v/>
      </c>
    </row>
    <row r="4648">
      <c r="A4648" t="n">
        <v>4647</v>
      </c>
      <c r="B4648" t="inlineStr">
        <is>
          <t>MV̅DCXLVII</t>
        </is>
      </c>
      <c r="C4648">
        <f>ROMAN(4647)</f>
        <v/>
      </c>
      <c r="D4648">
        <f>IF(B4648=C4648, "YES", "WRONG")</f>
        <v/>
      </c>
    </row>
    <row r="4649">
      <c r="A4649" t="n">
        <v>4648</v>
      </c>
      <c r="B4649" t="inlineStr">
        <is>
          <t>MV̅DCXLVIII</t>
        </is>
      </c>
      <c r="C4649">
        <f>ROMAN(4648)</f>
        <v/>
      </c>
      <c r="D4649">
        <f>IF(B4649=C4649, "YES", "WRONG")</f>
        <v/>
      </c>
    </row>
    <row r="4650">
      <c r="A4650" t="n">
        <v>4649</v>
      </c>
      <c r="B4650" t="inlineStr">
        <is>
          <t>MV̅DCXLIX</t>
        </is>
      </c>
      <c r="C4650">
        <f>ROMAN(4649)</f>
        <v/>
      </c>
      <c r="D4650">
        <f>IF(B4650=C4650, "YES", "WRONG")</f>
        <v/>
      </c>
    </row>
    <row r="4651">
      <c r="A4651" t="n">
        <v>4650</v>
      </c>
      <c r="B4651" t="inlineStr">
        <is>
          <t>MV̅DCL</t>
        </is>
      </c>
      <c r="C4651">
        <f>ROMAN(4650)</f>
        <v/>
      </c>
      <c r="D4651">
        <f>IF(B4651=C4651, "YES", "WRONG")</f>
        <v/>
      </c>
    </row>
    <row r="4652">
      <c r="A4652" t="n">
        <v>4651</v>
      </c>
      <c r="B4652" t="inlineStr">
        <is>
          <t>MV̅DCLI</t>
        </is>
      </c>
      <c r="C4652">
        <f>ROMAN(4651)</f>
        <v/>
      </c>
      <c r="D4652">
        <f>IF(B4652=C4652, "YES", "WRONG")</f>
        <v/>
      </c>
    </row>
    <row r="4653">
      <c r="A4653" t="n">
        <v>4652</v>
      </c>
      <c r="B4653" t="inlineStr">
        <is>
          <t>MV̅DCLII</t>
        </is>
      </c>
      <c r="C4653">
        <f>ROMAN(4652)</f>
        <v/>
      </c>
      <c r="D4653">
        <f>IF(B4653=C4653, "YES", "WRONG")</f>
        <v/>
      </c>
    </row>
    <row r="4654">
      <c r="A4654" t="n">
        <v>4653</v>
      </c>
      <c r="B4654" t="inlineStr">
        <is>
          <t>MV̅DCLIII</t>
        </is>
      </c>
      <c r="C4654">
        <f>ROMAN(4653)</f>
        <v/>
      </c>
      <c r="D4654">
        <f>IF(B4654=C4654, "YES", "WRONG")</f>
        <v/>
      </c>
    </row>
    <row r="4655">
      <c r="A4655" t="n">
        <v>4654</v>
      </c>
      <c r="B4655" t="inlineStr">
        <is>
          <t>MV̅DCLIV</t>
        </is>
      </c>
      <c r="C4655">
        <f>ROMAN(4654)</f>
        <v/>
      </c>
      <c r="D4655">
        <f>IF(B4655=C4655, "YES", "WRONG")</f>
        <v/>
      </c>
    </row>
    <row r="4656">
      <c r="A4656" t="n">
        <v>4655</v>
      </c>
      <c r="B4656" t="inlineStr">
        <is>
          <t>MV̅DCLV</t>
        </is>
      </c>
      <c r="C4656">
        <f>ROMAN(4655)</f>
        <v/>
      </c>
      <c r="D4656">
        <f>IF(B4656=C4656, "YES", "WRONG")</f>
        <v/>
      </c>
    </row>
    <row r="4657">
      <c r="A4657" t="n">
        <v>4656</v>
      </c>
      <c r="B4657" t="inlineStr">
        <is>
          <t>MV̅DCLVI</t>
        </is>
      </c>
      <c r="C4657">
        <f>ROMAN(4656)</f>
        <v/>
      </c>
      <c r="D4657">
        <f>IF(B4657=C4657, "YES", "WRONG")</f>
        <v/>
      </c>
    </row>
    <row r="4658">
      <c r="A4658" t="n">
        <v>4657</v>
      </c>
      <c r="B4658" t="inlineStr">
        <is>
          <t>MV̅DCLVII</t>
        </is>
      </c>
      <c r="C4658">
        <f>ROMAN(4657)</f>
        <v/>
      </c>
      <c r="D4658">
        <f>IF(B4658=C4658, "YES", "WRONG")</f>
        <v/>
      </c>
    </row>
    <row r="4659">
      <c r="A4659" t="n">
        <v>4658</v>
      </c>
      <c r="B4659" t="inlineStr">
        <is>
          <t>MV̅DCLVIII</t>
        </is>
      </c>
      <c r="C4659">
        <f>ROMAN(4658)</f>
        <v/>
      </c>
      <c r="D4659">
        <f>IF(B4659=C4659, "YES", "WRONG")</f>
        <v/>
      </c>
    </row>
    <row r="4660">
      <c r="A4660" t="n">
        <v>4659</v>
      </c>
      <c r="B4660" t="inlineStr">
        <is>
          <t>MV̅DCLIX</t>
        </is>
      </c>
      <c r="C4660">
        <f>ROMAN(4659)</f>
        <v/>
      </c>
      <c r="D4660">
        <f>IF(B4660=C4660, "YES", "WRONG")</f>
        <v/>
      </c>
    </row>
    <row r="4661">
      <c r="A4661" t="n">
        <v>4660</v>
      </c>
      <c r="B4661" t="inlineStr">
        <is>
          <t>MV̅DCLX</t>
        </is>
      </c>
      <c r="C4661">
        <f>ROMAN(4660)</f>
        <v/>
      </c>
      <c r="D4661">
        <f>IF(B4661=C4661, "YES", "WRONG")</f>
        <v/>
      </c>
    </row>
    <row r="4662">
      <c r="A4662" t="n">
        <v>4661</v>
      </c>
      <c r="B4662" t="inlineStr">
        <is>
          <t>MV̅DCLXI</t>
        </is>
      </c>
      <c r="C4662">
        <f>ROMAN(4661)</f>
        <v/>
      </c>
      <c r="D4662">
        <f>IF(B4662=C4662, "YES", "WRONG")</f>
        <v/>
      </c>
    </row>
    <row r="4663">
      <c r="A4663" t="n">
        <v>4662</v>
      </c>
      <c r="B4663" t="inlineStr">
        <is>
          <t>MV̅DCLXII</t>
        </is>
      </c>
      <c r="C4663">
        <f>ROMAN(4662)</f>
        <v/>
      </c>
      <c r="D4663">
        <f>IF(B4663=C4663, "YES", "WRONG")</f>
        <v/>
      </c>
    </row>
    <row r="4664">
      <c r="A4664" t="n">
        <v>4663</v>
      </c>
      <c r="B4664" t="inlineStr">
        <is>
          <t>MV̅DCLXIII</t>
        </is>
      </c>
      <c r="C4664">
        <f>ROMAN(4663)</f>
        <v/>
      </c>
      <c r="D4664">
        <f>IF(B4664=C4664, "YES", "WRONG")</f>
        <v/>
      </c>
    </row>
    <row r="4665">
      <c r="A4665" t="n">
        <v>4664</v>
      </c>
      <c r="B4665" t="inlineStr">
        <is>
          <t>MV̅DCLXIV</t>
        </is>
      </c>
      <c r="C4665">
        <f>ROMAN(4664)</f>
        <v/>
      </c>
      <c r="D4665">
        <f>IF(B4665=C4665, "YES", "WRONG")</f>
        <v/>
      </c>
    </row>
    <row r="4666">
      <c r="A4666" t="n">
        <v>4665</v>
      </c>
      <c r="B4666" t="inlineStr">
        <is>
          <t>MV̅DCLXV</t>
        </is>
      </c>
      <c r="C4666">
        <f>ROMAN(4665)</f>
        <v/>
      </c>
      <c r="D4666">
        <f>IF(B4666=C4666, "YES", "WRONG")</f>
        <v/>
      </c>
    </row>
    <row r="4667">
      <c r="A4667" t="n">
        <v>4666</v>
      </c>
      <c r="B4667" t="inlineStr">
        <is>
          <t>MV̅DCLXVI</t>
        </is>
      </c>
      <c r="C4667">
        <f>ROMAN(4666)</f>
        <v/>
      </c>
      <c r="D4667">
        <f>IF(B4667=C4667, "YES", "WRONG")</f>
        <v/>
      </c>
    </row>
    <row r="4668">
      <c r="A4668" t="n">
        <v>4667</v>
      </c>
      <c r="B4668" t="inlineStr">
        <is>
          <t>MV̅DCLXVII</t>
        </is>
      </c>
      <c r="C4668">
        <f>ROMAN(4667)</f>
        <v/>
      </c>
      <c r="D4668">
        <f>IF(B4668=C4668, "YES", "WRONG")</f>
        <v/>
      </c>
    </row>
    <row r="4669">
      <c r="A4669" t="n">
        <v>4668</v>
      </c>
      <c r="B4669" t="inlineStr">
        <is>
          <t>MV̅DCLXVIII</t>
        </is>
      </c>
      <c r="C4669">
        <f>ROMAN(4668)</f>
        <v/>
      </c>
      <c r="D4669">
        <f>IF(B4669=C4669, "YES", "WRONG")</f>
        <v/>
      </c>
    </row>
    <row r="4670">
      <c r="A4670" t="n">
        <v>4669</v>
      </c>
      <c r="B4670" t="inlineStr">
        <is>
          <t>MV̅DCLXIX</t>
        </is>
      </c>
      <c r="C4670">
        <f>ROMAN(4669)</f>
        <v/>
      </c>
      <c r="D4670">
        <f>IF(B4670=C4670, "YES", "WRONG")</f>
        <v/>
      </c>
    </row>
    <row r="4671">
      <c r="A4671" t="n">
        <v>4670</v>
      </c>
      <c r="B4671" t="inlineStr">
        <is>
          <t>MV̅DCLXX</t>
        </is>
      </c>
      <c r="C4671">
        <f>ROMAN(4670)</f>
        <v/>
      </c>
      <c r="D4671">
        <f>IF(B4671=C4671, "YES", "WRONG")</f>
        <v/>
      </c>
    </row>
    <row r="4672">
      <c r="A4672" t="n">
        <v>4671</v>
      </c>
      <c r="B4672" t="inlineStr">
        <is>
          <t>MV̅DCLXXI</t>
        </is>
      </c>
      <c r="C4672">
        <f>ROMAN(4671)</f>
        <v/>
      </c>
      <c r="D4672">
        <f>IF(B4672=C4672, "YES", "WRONG")</f>
        <v/>
      </c>
    </row>
    <row r="4673">
      <c r="A4673" t="n">
        <v>4672</v>
      </c>
      <c r="B4673" t="inlineStr">
        <is>
          <t>MV̅DCLXXII</t>
        </is>
      </c>
      <c r="C4673">
        <f>ROMAN(4672)</f>
        <v/>
      </c>
      <c r="D4673">
        <f>IF(B4673=C4673, "YES", "WRONG")</f>
        <v/>
      </c>
    </row>
    <row r="4674">
      <c r="A4674" t="n">
        <v>4673</v>
      </c>
      <c r="B4674" t="inlineStr">
        <is>
          <t>MV̅DCLXXIII</t>
        </is>
      </c>
      <c r="C4674">
        <f>ROMAN(4673)</f>
        <v/>
      </c>
      <c r="D4674">
        <f>IF(B4674=C4674, "YES", "WRONG")</f>
        <v/>
      </c>
    </row>
    <row r="4675">
      <c r="A4675" t="n">
        <v>4674</v>
      </c>
      <c r="B4675" t="inlineStr">
        <is>
          <t>MV̅DCLXXIV</t>
        </is>
      </c>
      <c r="C4675">
        <f>ROMAN(4674)</f>
        <v/>
      </c>
      <c r="D4675">
        <f>IF(B4675=C4675, "YES", "WRONG")</f>
        <v/>
      </c>
    </row>
    <row r="4676">
      <c r="A4676" t="n">
        <v>4675</v>
      </c>
      <c r="B4676" t="inlineStr">
        <is>
          <t>MV̅DCLXXV</t>
        </is>
      </c>
      <c r="C4676">
        <f>ROMAN(4675)</f>
        <v/>
      </c>
      <c r="D4676">
        <f>IF(B4676=C4676, "YES", "WRONG")</f>
        <v/>
      </c>
    </row>
    <row r="4677">
      <c r="A4677" t="n">
        <v>4676</v>
      </c>
      <c r="B4677" t="inlineStr">
        <is>
          <t>MV̅DCLXXVI</t>
        </is>
      </c>
      <c r="C4677">
        <f>ROMAN(4676)</f>
        <v/>
      </c>
      <c r="D4677">
        <f>IF(B4677=C4677, "YES", "WRONG")</f>
        <v/>
      </c>
    </row>
    <row r="4678">
      <c r="A4678" t="n">
        <v>4677</v>
      </c>
      <c r="B4678" t="inlineStr">
        <is>
          <t>MV̅DCLXXVII</t>
        </is>
      </c>
      <c r="C4678">
        <f>ROMAN(4677)</f>
        <v/>
      </c>
      <c r="D4678">
        <f>IF(B4678=C4678, "YES", "WRONG")</f>
        <v/>
      </c>
    </row>
    <row r="4679">
      <c r="A4679" t="n">
        <v>4678</v>
      </c>
      <c r="B4679" t="inlineStr">
        <is>
          <t>MV̅DCLXXVIII</t>
        </is>
      </c>
      <c r="C4679">
        <f>ROMAN(4678)</f>
        <v/>
      </c>
      <c r="D4679">
        <f>IF(B4679=C4679, "YES", "WRONG")</f>
        <v/>
      </c>
    </row>
    <row r="4680">
      <c r="A4680" t="n">
        <v>4679</v>
      </c>
      <c r="B4680" t="inlineStr">
        <is>
          <t>MV̅DCLXXIX</t>
        </is>
      </c>
      <c r="C4680">
        <f>ROMAN(4679)</f>
        <v/>
      </c>
      <c r="D4680">
        <f>IF(B4680=C4680, "YES", "WRONG")</f>
        <v/>
      </c>
    </row>
    <row r="4681">
      <c r="A4681" t="n">
        <v>4680</v>
      </c>
      <c r="B4681" t="inlineStr">
        <is>
          <t>MV̅DCLXXX</t>
        </is>
      </c>
      <c r="C4681">
        <f>ROMAN(4680)</f>
        <v/>
      </c>
      <c r="D4681">
        <f>IF(B4681=C4681, "YES", "WRONG")</f>
        <v/>
      </c>
    </row>
    <row r="4682">
      <c r="A4682" t="n">
        <v>4681</v>
      </c>
      <c r="B4682" t="inlineStr">
        <is>
          <t>MV̅DCLXXXI</t>
        </is>
      </c>
      <c r="C4682">
        <f>ROMAN(4681)</f>
        <v/>
      </c>
      <c r="D4682">
        <f>IF(B4682=C4682, "YES", "WRONG")</f>
        <v/>
      </c>
    </row>
    <row r="4683">
      <c r="A4683" t="n">
        <v>4682</v>
      </c>
      <c r="B4683" t="inlineStr">
        <is>
          <t>MV̅DCLXXXII</t>
        </is>
      </c>
      <c r="C4683">
        <f>ROMAN(4682)</f>
        <v/>
      </c>
      <c r="D4683">
        <f>IF(B4683=C4683, "YES", "WRONG")</f>
        <v/>
      </c>
    </row>
    <row r="4684">
      <c r="A4684" t="n">
        <v>4683</v>
      </c>
      <c r="B4684" t="inlineStr">
        <is>
          <t>MV̅DCLXXXIII</t>
        </is>
      </c>
      <c r="C4684">
        <f>ROMAN(4683)</f>
        <v/>
      </c>
      <c r="D4684">
        <f>IF(B4684=C4684, "YES", "WRONG")</f>
        <v/>
      </c>
    </row>
    <row r="4685">
      <c r="A4685" t="n">
        <v>4684</v>
      </c>
      <c r="B4685" t="inlineStr">
        <is>
          <t>MV̅DCLXXXIV</t>
        </is>
      </c>
      <c r="C4685">
        <f>ROMAN(4684)</f>
        <v/>
      </c>
      <c r="D4685">
        <f>IF(B4685=C4685, "YES", "WRONG")</f>
        <v/>
      </c>
    </row>
    <row r="4686">
      <c r="A4686" t="n">
        <v>4685</v>
      </c>
      <c r="B4686" t="inlineStr">
        <is>
          <t>MV̅DCLXXXV</t>
        </is>
      </c>
      <c r="C4686">
        <f>ROMAN(4685)</f>
        <v/>
      </c>
      <c r="D4686">
        <f>IF(B4686=C4686, "YES", "WRONG")</f>
        <v/>
      </c>
    </row>
    <row r="4687">
      <c r="A4687" t="n">
        <v>4686</v>
      </c>
      <c r="B4687" t="inlineStr">
        <is>
          <t>MV̅DCLXXXVI</t>
        </is>
      </c>
      <c r="C4687">
        <f>ROMAN(4686)</f>
        <v/>
      </c>
      <c r="D4687">
        <f>IF(B4687=C4687, "YES", "WRONG")</f>
        <v/>
      </c>
    </row>
    <row r="4688">
      <c r="A4688" t="n">
        <v>4687</v>
      </c>
      <c r="B4688" t="inlineStr">
        <is>
          <t>MV̅DCLXXXVII</t>
        </is>
      </c>
      <c r="C4688">
        <f>ROMAN(4687)</f>
        <v/>
      </c>
      <c r="D4688">
        <f>IF(B4688=C4688, "YES", "WRONG")</f>
        <v/>
      </c>
    </row>
    <row r="4689">
      <c r="A4689" t="n">
        <v>4688</v>
      </c>
      <c r="B4689" t="inlineStr">
        <is>
          <t>MV̅DCLXXXVIII</t>
        </is>
      </c>
      <c r="C4689">
        <f>ROMAN(4688)</f>
        <v/>
      </c>
      <c r="D4689">
        <f>IF(B4689=C4689, "YES", "WRONG")</f>
        <v/>
      </c>
    </row>
    <row r="4690">
      <c r="A4690" t="n">
        <v>4689</v>
      </c>
      <c r="B4690" t="inlineStr">
        <is>
          <t>MV̅DCLXXXIX</t>
        </is>
      </c>
      <c r="C4690">
        <f>ROMAN(4689)</f>
        <v/>
      </c>
      <c r="D4690">
        <f>IF(B4690=C4690, "YES", "WRONG")</f>
        <v/>
      </c>
    </row>
    <row r="4691">
      <c r="A4691" t="n">
        <v>4690</v>
      </c>
      <c r="B4691" t="inlineStr">
        <is>
          <t>MV̅DCXC</t>
        </is>
      </c>
      <c r="C4691">
        <f>ROMAN(4690)</f>
        <v/>
      </c>
      <c r="D4691">
        <f>IF(B4691=C4691, "YES", "WRONG")</f>
        <v/>
      </c>
    </row>
    <row r="4692">
      <c r="A4692" t="n">
        <v>4691</v>
      </c>
      <c r="B4692" t="inlineStr">
        <is>
          <t>MV̅DCXCI</t>
        </is>
      </c>
      <c r="C4692">
        <f>ROMAN(4691)</f>
        <v/>
      </c>
      <c r="D4692">
        <f>IF(B4692=C4692, "YES", "WRONG")</f>
        <v/>
      </c>
    </row>
    <row r="4693">
      <c r="A4693" t="n">
        <v>4692</v>
      </c>
      <c r="B4693" t="inlineStr">
        <is>
          <t>MV̅DCXCII</t>
        </is>
      </c>
      <c r="C4693">
        <f>ROMAN(4692)</f>
        <v/>
      </c>
      <c r="D4693">
        <f>IF(B4693=C4693, "YES", "WRONG")</f>
        <v/>
      </c>
    </row>
    <row r="4694">
      <c r="A4694" t="n">
        <v>4693</v>
      </c>
      <c r="B4694" t="inlineStr">
        <is>
          <t>MV̅DCXCIII</t>
        </is>
      </c>
      <c r="C4694">
        <f>ROMAN(4693)</f>
        <v/>
      </c>
      <c r="D4694">
        <f>IF(B4694=C4694, "YES", "WRONG")</f>
        <v/>
      </c>
    </row>
    <row r="4695">
      <c r="A4695" t="n">
        <v>4694</v>
      </c>
      <c r="B4695" t="inlineStr">
        <is>
          <t>MV̅DCXCIV</t>
        </is>
      </c>
      <c r="C4695">
        <f>ROMAN(4694)</f>
        <v/>
      </c>
      <c r="D4695">
        <f>IF(B4695=C4695, "YES", "WRONG")</f>
        <v/>
      </c>
    </row>
    <row r="4696">
      <c r="A4696" t="n">
        <v>4695</v>
      </c>
      <c r="B4696" t="inlineStr">
        <is>
          <t>MV̅DCXCV</t>
        </is>
      </c>
      <c r="C4696">
        <f>ROMAN(4695)</f>
        <v/>
      </c>
      <c r="D4696">
        <f>IF(B4696=C4696, "YES", "WRONG")</f>
        <v/>
      </c>
    </row>
    <row r="4697">
      <c r="A4697" t="n">
        <v>4696</v>
      </c>
      <c r="B4697" t="inlineStr">
        <is>
          <t>MV̅DCXCVI</t>
        </is>
      </c>
      <c r="C4697">
        <f>ROMAN(4696)</f>
        <v/>
      </c>
      <c r="D4697">
        <f>IF(B4697=C4697, "YES", "WRONG")</f>
        <v/>
      </c>
    </row>
    <row r="4698">
      <c r="A4698" t="n">
        <v>4697</v>
      </c>
      <c r="B4698" t="inlineStr">
        <is>
          <t>MV̅DCXCVII</t>
        </is>
      </c>
      <c r="C4698">
        <f>ROMAN(4697)</f>
        <v/>
      </c>
      <c r="D4698">
        <f>IF(B4698=C4698, "YES", "WRONG")</f>
        <v/>
      </c>
    </row>
    <row r="4699">
      <c r="A4699" t="n">
        <v>4698</v>
      </c>
      <c r="B4699" t="inlineStr">
        <is>
          <t>MV̅DCXCVIII</t>
        </is>
      </c>
      <c r="C4699">
        <f>ROMAN(4698)</f>
        <v/>
      </c>
      <c r="D4699">
        <f>IF(B4699=C4699, "YES", "WRONG")</f>
        <v/>
      </c>
    </row>
    <row r="4700">
      <c r="A4700" t="n">
        <v>4699</v>
      </c>
      <c r="B4700" t="inlineStr">
        <is>
          <t>MV̅DCXCIX</t>
        </is>
      </c>
      <c r="C4700">
        <f>ROMAN(4699)</f>
        <v/>
      </c>
      <c r="D4700">
        <f>IF(B4700=C4700, "YES", "WRONG")</f>
        <v/>
      </c>
    </row>
    <row r="4701">
      <c r="A4701" t="n">
        <v>4700</v>
      </c>
      <c r="B4701" t="inlineStr">
        <is>
          <t>MV̅DCC</t>
        </is>
      </c>
      <c r="C4701">
        <f>ROMAN(4700)</f>
        <v/>
      </c>
      <c r="D4701">
        <f>IF(B4701=C4701, "YES", "WRONG")</f>
        <v/>
      </c>
    </row>
    <row r="4702">
      <c r="A4702" t="n">
        <v>4701</v>
      </c>
      <c r="B4702" t="inlineStr">
        <is>
          <t>MV̅DCCI</t>
        </is>
      </c>
      <c r="C4702">
        <f>ROMAN(4701)</f>
        <v/>
      </c>
      <c r="D4702">
        <f>IF(B4702=C4702, "YES", "WRONG")</f>
        <v/>
      </c>
    </row>
    <row r="4703">
      <c r="A4703" t="n">
        <v>4702</v>
      </c>
      <c r="B4703" t="inlineStr">
        <is>
          <t>MV̅DCCII</t>
        </is>
      </c>
      <c r="C4703">
        <f>ROMAN(4702)</f>
        <v/>
      </c>
      <c r="D4703">
        <f>IF(B4703=C4703, "YES", "WRONG")</f>
        <v/>
      </c>
    </row>
    <row r="4704">
      <c r="A4704" t="n">
        <v>4703</v>
      </c>
      <c r="B4704" t="inlineStr">
        <is>
          <t>MV̅DCCIII</t>
        </is>
      </c>
      <c r="C4704">
        <f>ROMAN(4703)</f>
        <v/>
      </c>
      <c r="D4704">
        <f>IF(B4704=C4704, "YES", "WRONG")</f>
        <v/>
      </c>
    </row>
    <row r="4705">
      <c r="A4705" t="n">
        <v>4704</v>
      </c>
      <c r="B4705" t="inlineStr">
        <is>
          <t>MV̅DCCIV</t>
        </is>
      </c>
      <c r="C4705">
        <f>ROMAN(4704)</f>
        <v/>
      </c>
      <c r="D4705">
        <f>IF(B4705=C4705, "YES", "WRONG")</f>
        <v/>
      </c>
    </row>
    <row r="4706">
      <c r="A4706" t="n">
        <v>4705</v>
      </c>
      <c r="B4706" t="inlineStr">
        <is>
          <t>MV̅DCCV</t>
        </is>
      </c>
      <c r="C4706">
        <f>ROMAN(4705)</f>
        <v/>
      </c>
      <c r="D4706">
        <f>IF(B4706=C4706, "YES", "WRONG")</f>
        <v/>
      </c>
    </row>
    <row r="4707">
      <c r="A4707" t="n">
        <v>4706</v>
      </c>
      <c r="B4707" t="inlineStr">
        <is>
          <t>MV̅DCCVI</t>
        </is>
      </c>
      <c r="C4707">
        <f>ROMAN(4706)</f>
        <v/>
      </c>
      <c r="D4707">
        <f>IF(B4707=C4707, "YES", "WRONG")</f>
        <v/>
      </c>
    </row>
    <row r="4708">
      <c r="A4708" t="n">
        <v>4707</v>
      </c>
      <c r="B4708" t="inlineStr">
        <is>
          <t>MV̅DCCVII</t>
        </is>
      </c>
      <c r="C4708">
        <f>ROMAN(4707)</f>
        <v/>
      </c>
      <c r="D4708">
        <f>IF(B4708=C4708, "YES", "WRONG")</f>
        <v/>
      </c>
    </row>
    <row r="4709">
      <c r="A4709" t="n">
        <v>4708</v>
      </c>
      <c r="B4709" t="inlineStr">
        <is>
          <t>MV̅DCCVIII</t>
        </is>
      </c>
      <c r="C4709">
        <f>ROMAN(4708)</f>
        <v/>
      </c>
      <c r="D4709">
        <f>IF(B4709=C4709, "YES", "WRONG")</f>
        <v/>
      </c>
    </row>
    <row r="4710">
      <c r="A4710" t="n">
        <v>4709</v>
      </c>
      <c r="B4710" t="inlineStr">
        <is>
          <t>MV̅DCCIX</t>
        </is>
      </c>
      <c r="C4710">
        <f>ROMAN(4709)</f>
        <v/>
      </c>
      <c r="D4710">
        <f>IF(B4710=C4710, "YES", "WRONG")</f>
        <v/>
      </c>
    </row>
    <row r="4711">
      <c r="A4711" t="n">
        <v>4710</v>
      </c>
      <c r="B4711" t="inlineStr">
        <is>
          <t>MV̅DCCX</t>
        </is>
      </c>
      <c r="C4711">
        <f>ROMAN(4710)</f>
        <v/>
      </c>
      <c r="D4711">
        <f>IF(B4711=C4711, "YES", "WRONG")</f>
        <v/>
      </c>
    </row>
    <row r="4712">
      <c r="A4712" t="n">
        <v>4711</v>
      </c>
      <c r="B4712" t="inlineStr">
        <is>
          <t>MV̅DCCXI</t>
        </is>
      </c>
      <c r="C4712">
        <f>ROMAN(4711)</f>
        <v/>
      </c>
      <c r="D4712">
        <f>IF(B4712=C4712, "YES", "WRONG")</f>
        <v/>
      </c>
    </row>
    <row r="4713">
      <c r="A4713" t="n">
        <v>4712</v>
      </c>
      <c r="B4713" t="inlineStr">
        <is>
          <t>MV̅DCCXII</t>
        </is>
      </c>
      <c r="C4713">
        <f>ROMAN(4712)</f>
        <v/>
      </c>
      <c r="D4713">
        <f>IF(B4713=C4713, "YES", "WRONG")</f>
        <v/>
      </c>
    </row>
    <row r="4714">
      <c r="A4714" t="n">
        <v>4713</v>
      </c>
      <c r="B4714" t="inlineStr">
        <is>
          <t>MV̅DCCXIII</t>
        </is>
      </c>
      <c r="C4714">
        <f>ROMAN(4713)</f>
        <v/>
      </c>
      <c r="D4714">
        <f>IF(B4714=C4714, "YES", "WRONG")</f>
        <v/>
      </c>
    </row>
    <row r="4715">
      <c r="A4715" t="n">
        <v>4714</v>
      </c>
      <c r="B4715" t="inlineStr">
        <is>
          <t>MV̅DCCXIV</t>
        </is>
      </c>
      <c r="C4715">
        <f>ROMAN(4714)</f>
        <v/>
      </c>
      <c r="D4715">
        <f>IF(B4715=C4715, "YES", "WRONG")</f>
        <v/>
      </c>
    </row>
    <row r="4716">
      <c r="A4716" t="n">
        <v>4715</v>
      </c>
      <c r="B4716" t="inlineStr">
        <is>
          <t>MV̅DCCXV</t>
        </is>
      </c>
      <c r="C4716">
        <f>ROMAN(4715)</f>
        <v/>
      </c>
      <c r="D4716">
        <f>IF(B4716=C4716, "YES", "WRONG")</f>
        <v/>
      </c>
    </row>
    <row r="4717">
      <c r="A4717" t="n">
        <v>4716</v>
      </c>
      <c r="B4717" t="inlineStr">
        <is>
          <t>MV̅DCCXVI</t>
        </is>
      </c>
      <c r="C4717">
        <f>ROMAN(4716)</f>
        <v/>
      </c>
      <c r="D4717">
        <f>IF(B4717=C4717, "YES", "WRONG")</f>
        <v/>
      </c>
    </row>
    <row r="4718">
      <c r="A4718" t="n">
        <v>4717</v>
      </c>
      <c r="B4718" t="inlineStr">
        <is>
          <t>MV̅DCCXVII</t>
        </is>
      </c>
      <c r="C4718">
        <f>ROMAN(4717)</f>
        <v/>
      </c>
      <c r="D4718">
        <f>IF(B4718=C4718, "YES", "WRONG")</f>
        <v/>
      </c>
    </row>
    <row r="4719">
      <c r="A4719" t="n">
        <v>4718</v>
      </c>
      <c r="B4719" t="inlineStr">
        <is>
          <t>MV̅DCCXVIII</t>
        </is>
      </c>
      <c r="C4719">
        <f>ROMAN(4718)</f>
        <v/>
      </c>
      <c r="D4719">
        <f>IF(B4719=C4719, "YES", "WRONG")</f>
        <v/>
      </c>
    </row>
    <row r="4720">
      <c r="A4720" t="n">
        <v>4719</v>
      </c>
      <c r="B4720" t="inlineStr">
        <is>
          <t>MV̅DCCXIX</t>
        </is>
      </c>
      <c r="C4720">
        <f>ROMAN(4719)</f>
        <v/>
      </c>
      <c r="D4720">
        <f>IF(B4720=C4720, "YES", "WRONG")</f>
        <v/>
      </c>
    </row>
    <row r="4721">
      <c r="A4721" t="n">
        <v>4720</v>
      </c>
      <c r="B4721" t="inlineStr">
        <is>
          <t>MV̅DCCXX</t>
        </is>
      </c>
      <c r="C4721">
        <f>ROMAN(4720)</f>
        <v/>
      </c>
      <c r="D4721">
        <f>IF(B4721=C4721, "YES", "WRONG")</f>
        <v/>
      </c>
    </row>
    <row r="4722">
      <c r="A4722" t="n">
        <v>4721</v>
      </c>
      <c r="B4722" t="inlineStr">
        <is>
          <t>MV̅DCCXXI</t>
        </is>
      </c>
      <c r="C4722">
        <f>ROMAN(4721)</f>
        <v/>
      </c>
      <c r="D4722">
        <f>IF(B4722=C4722, "YES", "WRONG")</f>
        <v/>
      </c>
    </row>
    <row r="4723">
      <c r="A4723" t="n">
        <v>4722</v>
      </c>
      <c r="B4723" t="inlineStr">
        <is>
          <t>MV̅DCCXXII</t>
        </is>
      </c>
      <c r="C4723">
        <f>ROMAN(4722)</f>
        <v/>
      </c>
      <c r="D4723">
        <f>IF(B4723=C4723, "YES", "WRONG")</f>
        <v/>
      </c>
    </row>
    <row r="4724">
      <c r="A4724" t="n">
        <v>4723</v>
      </c>
      <c r="B4724" t="inlineStr">
        <is>
          <t>MV̅DCCXXIII</t>
        </is>
      </c>
      <c r="C4724">
        <f>ROMAN(4723)</f>
        <v/>
      </c>
      <c r="D4724">
        <f>IF(B4724=C4724, "YES", "WRONG")</f>
        <v/>
      </c>
    </row>
    <row r="4725">
      <c r="A4725" t="n">
        <v>4724</v>
      </c>
      <c r="B4725" t="inlineStr">
        <is>
          <t>MV̅DCCXXIV</t>
        </is>
      </c>
      <c r="C4725">
        <f>ROMAN(4724)</f>
        <v/>
      </c>
      <c r="D4725">
        <f>IF(B4725=C4725, "YES", "WRONG")</f>
        <v/>
      </c>
    </row>
    <row r="4726">
      <c r="A4726" t="n">
        <v>4725</v>
      </c>
      <c r="B4726" t="inlineStr">
        <is>
          <t>MV̅DCCXXV</t>
        </is>
      </c>
      <c r="C4726">
        <f>ROMAN(4725)</f>
        <v/>
      </c>
      <c r="D4726">
        <f>IF(B4726=C4726, "YES", "WRONG")</f>
        <v/>
      </c>
    </row>
    <row r="4727">
      <c r="A4727" t="n">
        <v>4726</v>
      </c>
      <c r="B4727" t="inlineStr">
        <is>
          <t>MV̅DCCXXVI</t>
        </is>
      </c>
      <c r="C4727">
        <f>ROMAN(4726)</f>
        <v/>
      </c>
      <c r="D4727">
        <f>IF(B4727=C4727, "YES", "WRONG")</f>
        <v/>
      </c>
    </row>
    <row r="4728">
      <c r="A4728" t="n">
        <v>4727</v>
      </c>
      <c r="B4728" t="inlineStr">
        <is>
          <t>MV̅DCCXXVII</t>
        </is>
      </c>
      <c r="C4728">
        <f>ROMAN(4727)</f>
        <v/>
      </c>
      <c r="D4728">
        <f>IF(B4728=C4728, "YES", "WRONG")</f>
        <v/>
      </c>
    </row>
    <row r="4729">
      <c r="A4729" t="n">
        <v>4728</v>
      </c>
      <c r="B4729" t="inlineStr">
        <is>
          <t>MV̅DCCXXVIII</t>
        </is>
      </c>
      <c r="C4729">
        <f>ROMAN(4728)</f>
        <v/>
      </c>
      <c r="D4729">
        <f>IF(B4729=C4729, "YES", "WRONG")</f>
        <v/>
      </c>
    </row>
    <row r="4730">
      <c r="A4730" t="n">
        <v>4729</v>
      </c>
      <c r="B4730" t="inlineStr">
        <is>
          <t>MV̅DCCXXIX</t>
        </is>
      </c>
      <c r="C4730">
        <f>ROMAN(4729)</f>
        <v/>
      </c>
      <c r="D4730">
        <f>IF(B4730=C4730, "YES", "WRONG")</f>
        <v/>
      </c>
    </row>
    <row r="4731">
      <c r="A4731" t="n">
        <v>4730</v>
      </c>
      <c r="B4731" t="inlineStr">
        <is>
          <t>MV̅DCCXXX</t>
        </is>
      </c>
      <c r="C4731">
        <f>ROMAN(4730)</f>
        <v/>
      </c>
      <c r="D4731">
        <f>IF(B4731=C4731, "YES", "WRONG")</f>
        <v/>
      </c>
    </row>
    <row r="4732">
      <c r="A4732" t="n">
        <v>4731</v>
      </c>
      <c r="B4732" t="inlineStr">
        <is>
          <t>MV̅DCCXXXI</t>
        </is>
      </c>
      <c r="C4732">
        <f>ROMAN(4731)</f>
        <v/>
      </c>
      <c r="D4732">
        <f>IF(B4732=C4732, "YES", "WRONG")</f>
        <v/>
      </c>
    </row>
    <row r="4733">
      <c r="A4733" t="n">
        <v>4732</v>
      </c>
      <c r="B4733" t="inlineStr">
        <is>
          <t>MV̅DCCXXXII</t>
        </is>
      </c>
      <c r="C4733">
        <f>ROMAN(4732)</f>
        <v/>
      </c>
      <c r="D4733">
        <f>IF(B4733=C4733, "YES", "WRONG")</f>
        <v/>
      </c>
    </row>
    <row r="4734">
      <c r="A4734" t="n">
        <v>4733</v>
      </c>
      <c r="B4734" t="inlineStr">
        <is>
          <t>MV̅DCCXXXIII</t>
        </is>
      </c>
      <c r="C4734">
        <f>ROMAN(4733)</f>
        <v/>
      </c>
      <c r="D4734">
        <f>IF(B4734=C4734, "YES", "WRONG")</f>
        <v/>
      </c>
    </row>
    <row r="4735">
      <c r="A4735" t="n">
        <v>4734</v>
      </c>
      <c r="B4735" t="inlineStr">
        <is>
          <t>MV̅DCCXXXIV</t>
        </is>
      </c>
      <c r="C4735">
        <f>ROMAN(4734)</f>
        <v/>
      </c>
      <c r="D4735">
        <f>IF(B4735=C4735, "YES", "WRONG")</f>
        <v/>
      </c>
    </row>
    <row r="4736">
      <c r="A4736" t="n">
        <v>4735</v>
      </c>
      <c r="B4736" t="inlineStr">
        <is>
          <t>MV̅DCCXXXV</t>
        </is>
      </c>
      <c r="C4736">
        <f>ROMAN(4735)</f>
        <v/>
      </c>
      <c r="D4736">
        <f>IF(B4736=C4736, "YES", "WRONG")</f>
        <v/>
      </c>
    </row>
    <row r="4737">
      <c r="A4737" t="n">
        <v>4736</v>
      </c>
      <c r="B4737" t="inlineStr">
        <is>
          <t>MV̅DCCXXXVI</t>
        </is>
      </c>
      <c r="C4737">
        <f>ROMAN(4736)</f>
        <v/>
      </c>
      <c r="D4737">
        <f>IF(B4737=C4737, "YES", "WRONG")</f>
        <v/>
      </c>
    </row>
    <row r="4738">
      <c r="A4738" t="n">
        <v>4737</v>
      </c>
      <c r="B4738" t="inlineStr">
        <is>
          <t>MV̅DCCXXXVII</t>
        </is>
      </c>
      <c r="C4738">
        <f>ROMAN(4737)</f>
        <v/>
      </c>
      <c r="D4738">
        <f>IF(B4738=C4738, "YES", "WRONG")</f>
        <v/>
      </c>
    </row>
    <row r="4739">
      <c r="A4739" t="n">
        <v>4738</v>
      </c>
      <c r="B4739" t="inlineStr">
        <is>
          <t>MV̅DCCXXXVIII</t>
        </is>
      </c>
      <c r="C4739">
        <f>ROMAN(4738)</f>
        <v/>
      </c>
      <c r="D4739">
        <f>IF(B4739=C4739, "YES", "WRONG")</f>
        <v/>
      </c>
    </row>
    <row r="4740">
      <c r="A4740" t="n">
        <v>4739</v>
      </c>
      <c r="B4740" t="inlineStr">
        <is>
          <t>MV̅DCCXXXIX</t>
        </is>
      </c>
      <c r="C4740">
        <f>ROMAN(4739)</f>
        <v/>
      </c>
      <c r="D4740">
        <f>IF(B4740=C4740, "YES", "WRONG")</f>
        <v/>
      </c>
    </row>
    <row r="4741">
      <c r="A4741" t="n">
        <v>4740</v>
      </c>
      <c r="B4741" t="inlineStr">
        <is>
          <t>MV̅DCCXL</t>
        </is>
      </c>
      <c r="C4741">
        <f>ROMAN(4740)</f>
        <v/>
      </c>
      <c r="D4741">
        <f>IF(B4741=C4741, "YES", "WRONG")</f>
        <v/>
      </c>
    </row>
    <row r="4742">
      <c r="A4742" t="n">
        <v>4741</v>
      </c>
      <c r="B4742" t="inlineStr">
        <is>
          <t>MV̅DCCXLI</t>
        </is>
      </c>
      <c r="C4742">
        <f>ROMAN(4741)</f>
        <v/>
      </c>
      <c r="D4742">
        <f>IF(B4742=C4742, "YES", "WRONG")</f>
        <v/>
      </c>
    </row>
    <row r="4743">
      <c r="A4743" t="n">
        <v>4742</v>
      </c>
      <c r="B4743" t="inlineStr">
        <is>
          <t>MV̅DCCXLII</t>
        </is>
      </c>
      <c r="C4743">
        <f>ROMAN(4742)</f>
        <v/>
      </c>
      <c r="D4743">
        <f>IF(B4743=C4743, "YES", "WRONG")</f>
        <v/>
      </c>
    </row>
    <row r="4744">
      <c r="A4744" t="n">
        <v>4743</v>
      </c>
      <c r="B4744" t="inlineStr">
        <is>
          <t>MV̅DCCXLIII</t>
        </is>
      </c>
      <c r="C4744">
        <f>ROMAN(4743)</f>
        <v/>
      </c>
      <c r="D4744">
        <f>IF(B4744=C4744, "YES", "WRONG")</f>
        <v/>
      </c>
    </row>
    <row r="4745">
      <c r="A4745" t="n">
        <v>4744</v>
      </c>
      <c r="B4745" t="inlineStr">
        <is>
          <t>MV̅DCCXLIV</t>
        </is>
      </c>
      <c r="C4745">
        <f>ROMAN(4744)</f>
        <v/>
      </c>
      <c r="D4745">
        <f>IF(B4745=C4745, "YES", "WRONG")</f>
        <v/>
      </c>
    </row>
    <row r="4746">
      <c r="A4746" t="n">
        <v>4745</v>
      </c>
      <c r="B4746" t="inlineStr">
        <is>
          <t>MV̅DCCXLV</t>
        </is>
      </c>
      <c r="C4746">
        <f>ROMAN(4745)</f>
        <v/>
      </c>
      <c r="D4746">
        <f>IF(B4746=C4746, "YES", "WRONG")</f>
        <v/>
      </c>
    </row>
    <row r="4747">
      <c r="A4747" t="n">
        <v>4746</v>
      </c>
      <c r="B4747" t="inlineStr">
        <is>
          <t>MV̅DCCXLVI</t>
        </is>
      </c>
      <c r="C4747">
        <f>ROMAN(4746)</f>
        <v/>
      </c>
      <c r="D4747">
        <f>IF(B4747=C4747, "YES", "WRONG")</f>
        <v/>
      </c>
    </row>
    <row r="4748">
      <c r="A4748" t="n">
        <v>4747</v>
      </c>
      <c r="B4748" t="inlineStr">
        <is>
          <t>MV̅DCCXLVII</t>
        </is>
      </c>
      <c r="C4748">
        <f>ROMAN(4747)</f>
        <v/>
      </c>
      <c r="D4748">
        <f>IF(B4748=C4748, "YES", "WRONG")</f>
        <v/>
      </c>
    </row>
    <row r="4749">
      <c r="A4749" t="n">
        <v>4748</v>
      </c>
      <c r="B4749" t="inlineStr">
        <is>
          <t>MV̅DCCXLVIII</t>
        </is>
      </c>
      <c r="C4749">
        <f>ROMAN(4748)</f>
        <v/>
      </c>
      <c r="D4749">
        <f>IF(B4749=C4749, "YES", "WRONG")</f>
        <v/>
      </c>
    </row>
    <row r="4750">
      <c r="A4750" t="n">
        <v>4749</v>
      </c>
      <c r="B4750" t="inlineStr">
        <is>
          <t>MV̅DCCXLIX</t>
        </is>
      </c>
      <c r="C4750">
        <f>ROMAN(4749)</f>
        <v/>
      </c>
      <c r="D4750">
        <f>IF(B4750=C4750, "YES", "WRONG")</f>
        <v/>
      </c>
    </row>
    <row r="4751">
      <c r="A4751" t="n">
        <v>4750</v>
      </c>
      <c r="B4751" t="inlineStr">
        <is>
          <t>MV̅DCCL</t>
        </is>
      </c>
      <c r="C4751">
        <f>ROMAN(4750)</f>
        <v/>
      </c>
      <c r="D4751">
        <f>IF(B4751=C4751, "YES", "WRONG")</f>
        <v/>
      </c>
    </row>
    <row r="4752">
      <c r="A4752" t="n">
        <v>4751</v>
      </c>
      <c r="B4752" t="inlineStr">
        <is>
          <t>MV̅DCCLI</t>
        </is>
      </c>
      <c r="C4752">
        <f>ROMAN(4751)</f>
        <v/>
      </c>
      <c r="D4752">
        <f>IF(B4752=C4752, "YES", "WRONG")</f>
        <v/>
      </c>
    </row>
    <row r="4753">
      <c r="A4753" t="n">
        <v>4752</v>
      </c>
      <c r="B4753" t="inlineStr">
        <is>
          <t>MV̅DCCLII</t>
        </is>
      </c>
      <c r="C4753">
        <f>ROMAN(4752)</f>
        <v/>
      </c>
      <c r="D4753">
        <f>IF(B4753=C4753, "YES", "WRONG")</f>
        <v/>
      </c>
    </row>
    <row r="4754">
      <c r="A4754" t="n">
        <v>4753</v>
      </c>
      <c r="B4754" t="inlineStr">
        <is>
          <t>MV̅DCCLIII</t>
        </is>
      </c>
      <c r="C4754">
        <f>ROMAN(4753)</f>
        <v/>
      </c>
      <c r="D4754">
        <f>IF(B4754=C4754, "YES", "WRONG")</f>
        <v/>
      </c>
    </row>
    <row r="4755">
      <c r="A4755" t="n">
        <v>4754</v>
      </c>
      <c r="B4755" t="inlineStr">
        <is>
          <t>MV̅DCCLIV</t>
        </is>
      </c>
      <c r="C4755">
        <f>ROMAN(4754)</f>
        <v/>
      </c>
      <c r="D4755">
        <f>IF(B4755=C4755, "YES", "WRONG")</f>
        <v/>
      </c>
    </row>
    <row r="4756">
      <c r="A4756" t="n">
        <v>4755</v>
      </c>
      <c r="B4756" t="inlineStr">
        <is>
          <t>MV̅DCCLV</t>
        </is>
      </c>
      <c r="C4756">
        <f>ROMAN(4755)</f>
        <v/>
      </c>
      <c r="D4756">
        <f>IF(B4756=C4756, "YES", "WRONG")</f>
        <v/>
      </c>
    </row>
    <row r="4757">
      <c r="A4757" t="n">
        <v>4756</v>
      </c>
      <c r="B4757" t="inlineStr">
        <is>
          <t>MV̅DCCLVI</t>
        </is>
      </c>
      <c r="C4757">
        <f>ROMAN(4756)</f>
        <v/>
      </c>
      <c r="D4757">
        <f>IF(B4757=C4757, "YES", "WRONG")</f>
        <v/>
      </c>
    </row>
    <row r="4758">
      <c r="A4758" t="n">
        <v>4757</v>
      </c>
      <c r="B4758" t="inlineStr">
        <is>
          <t>MV̅DCCLVII</t>
        </is>
      </c>
      <c r="C4758">
        <f>ROMAN(4757)</f>
        <v/>
      </c>
      <c r="D4758">
        <f>IF(B4758=C4758, "YES", "WRONG")</f>
        <v/>
      </c>
    </row>
    <row r="4759">
      <c r="A4759" t="n">
        <v>4758</v>
      </c>
      <c r="B4759" t="inlineStr">
        <is>
          <t>MV̅DCCLVIII</t>
        </is>
      </c>
      <c r="C4759">
        <f>ROMAN(4758)</f>
        <v/>
      </c>
      <c r="D4759">
        <f>IF(B4759=C4759, "YES", "WRONG")</f>
        <v/>
      </c>
    </row>
    <row r="4760">
      <c r="A4760" t="n">
        <v>4759</v>
      </c>
      <c r="B4760" t="inlineStr">
        <is>
          <t>MV̅DCCLIX</t>
        </is>
      </c>
      <c r="C4760">
        <f>ROMAN(4759)</f>
        <v/>
      </c>
      <c r="D4760">
        <f>IF(B4760=C4760, "YES", "WRONG")</f>
        <v/>
      </c>
    </row>
    <row r="4761">
      <c r="A4761" t="n">
        <v>4760</v>
      </c>
      <c r="B4761" t="inlineStr">
        <is>
          <t>MV̅DCCLX</t>
        </is>
      </c>
      <c r="C4761">
        <f>ROMAN(4760)</f>
        <v/>
      </c>
      <c r="D4761">
        <f>IF(B4761=C4761, "YES", "WRONG")</f>
        <v/>
      </c>
    </row>
    <row r="4762">
      <c r="A4762" t="n">
        <v>4761</v>
      </c>
      <c r="B4762" t="inlineStr">
        <is>
          <t>MV̅DCCLXI</t>
        </is>
      </c>
      <c r="C4762">
        <f>ROMAN(4761)</f>
        <v/>
      </c>
      <c r="D4762">
        <f>IF(B4762=C4762, "YES", "WRONG")</f>
        <v/>
      </c>
    </row>
    <row r="4763">
      <c r="A4763" t="n">
        <v>4762</v>
      </c>
      <c r="B4763" t="inlineStr">
        <is>
          <t>MV̅DCCLXII</t>
        </is>
      </c>
      <c r="C4763">
        <f>ROMAN(4762)</f>
        <v/>
      </c>
      <c r="D4763">
        <f>IF(B4763=C4763, "YES", "WRONG")</f>
        <v/>
      </c>
    </row>
    <row r="4764">
      <c r="A4764" t="n">
        <v>4763</v>
      </c>
      <c r="B4764" t="inlineStr">
        <is>
          <t>MV̅DCCLXIII</t>
        </is>
      </c>
      <c r="C4764">
        <f>ROMAN(4763)</f>
        <v/>
      </c>
      <c r="D4764">
        <f>IF(B4764=C4764, "YES", "WRONG")</f>
        <v/>
      </c>
    </row>
    <row r="4765">
      <c r="A4765" t="n">
        <v>4764</v>
      </c>
      <c r="B4765" t="inlineStr">
        <is>
          <t>MV̅DCCLXIV</t>
        </is>
      </c>
      <c r="C4765">
        <f>ROMAN(4764)</f>
        <v/>
      </c>
      <c r="D4765">
        <f>IF(B4765=C4765, "YES", "WRONG")</f>
        <v/>
      </c>
    </row>
    <row r="4766">
      <c r="A4766" t="n">
        <v>4765</v>
      </c>
      <c r="B4766" t="inlineStr">
        <is>
          <t>MV̅DCCLXV</t>
        </is>
      </c>
      <c r="C4766">
        <f>ROMAN(4765)</f>
        <v/>
      </c>
      <c r="D4766">
        <f>IF(B4766=C4766, "YES", "WRONG")</f>
        <v/>
      </c>
    </row>
    <row r="4767">
      <c r="A4767" t="n">
        <v>4766</v>
      </c>
      <c r="B4767" t="inlineStr">
        <is>
          <t>MV̅DCCLXVI</t>
        </is>
      </c>
      <c r="C4767">
        <f>ROMAN(4766)</f>
        <v/>
      </c>
      <c r="D4767">
        <f>IF(B4767=C4767, "YES", "WRONG")</f>
        <v/>
      </c>
    </row>
    <row r="4768">
      <c r="A4768" t="n">
        <v>4767</v>
      </c>
      <c r="B4768" t="inlineStr">
        <is>
          <t>MV̅DCCLXVII</t>
        </is>
      </c>
      <c r="C4768">
        <f>ROMAN(4767)</f>
        <v/>
      </c>
      <c r="D4768">
        <f>IF(B4768=C4768, "YES", "WRONG")</f>
        <v/>
      </c>
    </row>
    <row r="4769">
      <c r="A4769" t="n">
        <v>4768</v>
      </c>
      <c r="B4769" t="inlineStr">
        <is>
          <t>MV̅DCCLXVIII</t>
        </is>
      </c>
      <c r="C4769">
        <f>ROMAN(4768)</f>
        <v/>
      </c>
      <c r="D4769">
        <f>IF(B4769=C4769, "YES", "WRONG")</f>
        <v/>
      </c>
    </row>
    <row r="4770">
      <c r="A4770" t="n">
        <v>4769</v>
      </c>
      <c r="B4770" t="inlineStr">
        <is>
          <t>MV̅DCCLXIX</t>
        </is>
      </c>
      <c r="C4770">
        <f>ROMAN(4769)</f>
        <v/>
      </c>
      <c r="D4770">
        <f>IF(B4770=C4770, "YES", "WRONG")</f>
        <v/>
      </c>
    </row>
    <row r="4771">
      <c r="A4771" t="n">
        <v>4770</v>
      </c>
      <c r="B4771" t="inlineStr">
        <is>
          <t>MV̅DCCLXX</t>
        </is>
      </c>
      <c r="C4771">
        <f>ROMAN(4770)</f>
        <v/>
      </c>
      <c r="D4771">
        <f>IF(B4771=C4771, "YES", "WRONG")</f>
        <v/>
      </c>
    </row>
    <row r="4772">
      <c r="A4772" t="n">
        <v>4771</v>
      </c>
      <c r="B4772" t="inlineStr">
        <is>
          <t>MV̅DCCLXXI</t>
        </is>
      </c>
      <c r="C4772">
        <f>ROMAN(4771)</f>
        <v/>
      </c>
      <c r="D4772">
        <f>IF(B4772=C4772, "YES", "WRONG")</f>
        <v/>
      </c>
    </row>
    <row r="4773">
      <c r="A4773" t="n">
        <v>4772</v>
      </c>
      <c r="B4773" t="inlineStr">
        <is>
          <t>MV̅DCCLXXII</t>
        </is>
      </c>
      <c r="C4773">
        <f>ROMAN(4772)</f>
        <v/>
      </c>
      <c r="D4773">
        <f>IF(B4773=C4773, "YES", "WRONG")</f>
        <v/>
      </c>
    </row>
    <row r="4774">
      <c r="A4774" t="n">
        <v>4773</v>
      </c>
      <c r="B4774" t="inlineStr">
        <is>
          <t>MV̅DCCLXXIII</t>
        </is>
      </c>
      <c r="C4774">
        <f>ROMAN(4773)</f>
        <v/>
      </c>
      <c r="D4774">
        <f>IF(B4774=C4774, "YES", "WRONG")</f>
        <v/>
      </c>
    </row>
    <row r="4775">
      <c r="A4775" t="n">
        <v>4774</v>
      </c>
      <c r="B4775" t="inlineStr">
        <is>
          <t>MV̅DCCLXXIV</t>
        </is>
      </c>
      <c r="C4775">
        <f>ROMAN(4774)</f>
        <v/>
      </c>
      <c r="D4775">
        <f>IF(B4775=C4775, "YES", "WRONG")</f>
        <v/>
      </c>
    </row>
    <row r="4776">
      <c r="A4776" t="n">
        <v>4775</v>
      </c>
      <c r="B4776" t="inlineStr">
        <is>
          <t>MV̅DCCLXXV</t>
        </is>
      </c>
      <c r="C4776">
        <f>ROMAN(4775)</f>
        <v/>
      </c>
      <c r="D4776">
        <f>IF(B4776=C4776, "YES", "WRONG")</f>
        <v/>
      </c>
    </row>
    <row r="4777">
      <c r="A4777" t="n">
        <v>4776</v>
      </c>
      <c r="B4777" t="inlineStr">
        <is>
          <t>MV̅DCCLXXVI</t>
        </is>
      </c>
      <c r="C4777">
        <f>ROMAN(4776)</f>
        <v/>
      </c>
      <c r="D4777">
        <f>IF(B4777=C4777, "YES", "WRONG")</f>
        <v/>
      </c>
    </row>
    <row r="4778">
      <c r="A4778" t="n">
        <v>4777</v>
      </c>
      <c r="B4778" t="inlineStr">
        <is>
          <t>MV̅DCCLXXVII</t>
        </is>
      </c>
      <c r="C4778">
        <f>ROMAN(4777)</f>
        <v/>
      </c>
      <c r="D4778">
        <f>IF(B4778=C4778, "YES", "WRONG")</f>
        <v/>
      </c>
    </row>
    <row r="4779">
      <c r="A4779" t="n">
        <v>4778</v>
      </c>
      <c r="B4779" t="inlineStr">
        <is>
          <t>MV̅DCCLXXVIII</t>
        </is>
      </c>
      <c r="C4779">
        <f>ROMAN(4778)</f>
        <v/>
      </c>
      <c r="D4779">
        <f>IF(B4779=C4779, "YES", "WRONG")</f>
        <v/>
      </c>
    </row>
    <row r="4780">
      <c r="A4780" t="n">
        <v>4779</v>
      </c>
      <c r="B4780" t="inlineStr">
        <is>
          <t>MV̅DCCLXXIX</t>
        </is>
      </c>
      <c r="C4780">
        <f>ROMAN(4779)</f>
        <v/>
      </c>
      <c r="D4780">
        <f>IF(B4780=C4780, "YES", "WRONG")</f>
        <v/>
      </c>
    </row>
    <row r="4781">
      <c r="A4781" t="n">
        <v>4780</v>
      </c>
      <c r="B4781" t="inlineStr">
        <is>
          <t>MV̅DCCLXXX</t>
        </is>
      </c>
      <c r="C4781">
        <f>ROMAN(4780)</f>
        <v/>
      </c>
      <c r="D4781">
        <f>IF(B4781=C4781, "YES", "WRONG")</f>
        <v/>
      </c>
    </row>
    <row r="4782">
      <c r="A4782" t="n">
        <v>4781</v>
      </c>
      <c r="B4782" t="inlineStr">
        <is>
          <t>MV̅DCCLXXXI</t>
        </is>
      </c>
      <c r="C4782">
        <f>ROMAN(4781)</f>
        <v/>
      </c>
      <c r="D4782">
        <f>IF(B4782=C4782, "YES", "WRONG")</f>
        <v/>
      </c>
    </row>
    <row r="4783">
      <c r="A4783" t="n">
        <v>4782</v>
      </c>
      <c r="B4783" t="inlineStr">
        <is>
          <t>MV̅DCCLXXXII</t>
        </is>
      </c>
      <c r="C4783">
        <f>ROMAN(4782)</f>
        <v/>
      </c>
      <c r="D4783">
        <f>IF(B4783=C4783, "YES", "WRONG")</f>
        <v/>
      </c>
    </row>
    <row r="4784">
      <c r="A4784" t="n">
        <v>4783</v>
      </c>
      <c r="B4784" t="inlineStr">
        <is>
          <t>MV̅DCCLXXXIII</t>
        </is>
      </c>
      <c r="C4784">
        <f>ROMAN(4783)</f>
        <v/>
      </c>
      <c r="D4784">
        <f>IF(B4784=C4784, "YES", "WRONG")</f>
        <v/>
      </c>
    </row>
    <row r="4785">
      <c r="A4785" t="n">
        <v>4784</v>
      </c>
      <c r="B4785" t="inlineStr">
        <is>
          <t>MV̅DCCLXXXIV</t>
        </is>
      </c>
      <c r="C4785">
        <f>ROMAN(4784)</f>
        <v/>
      </c>
      <c r="D4785">
        <f>IF(B4785=C4785, "YES", "WRONG")</f>
        <v/>
      </c>
    </row>
    <row r="4786">
      <c r="A4786" t="n">
        <v>4785</v>
      </c>
      <c r="B4786" t="inlineStr">
        <is>
          <t>MV̅DCCLXXXV</t>
        </is>
      </c>
      <c r="C4786">
        <f>ROMAN(4785)</f>
        <v/>
      </c>
      <c r="D4786">
        <f>IF(B4786=C4786, "YES", "WRONG")</f>
        <v/>
      </c>
    </row>
    <row r="4787">
      <c r="A4787" t="n">
        <v>4786</v>
      </c>
      <c r="B4787" t="inlineStr">
        <is>
          <t>MV̅DCCLXXXVI</t>
        </is>
      </c>
      <c r="C4787">
        <f>ROMAN(4786)</f>
        <v/>
      </c>
      <c r="D4787">
        <f>IF(B4787=C4787, "YES", "WRONG")</f>
        <v/>
      </c>
    </row>
    <row r="4788">
      <c r="A4788" t="n">
        <v>4787</v>
      </c>
      <c r="B4788" t="inlineStr">
        <is>
          <t>MV̅DCCLXXXVII</t>
        </is>
      </c>
      <c r="C4788">
        <f>ROMAN(4787)</f>
        <v/>
      </c>
      <c r="D4788">
        <f>IF(B4788=C4788, "YES", "WRONG")</f>
        <v/>
      </c>
    </row>
    <row r="4789">
      <c r="A4789" t="n">
        <v>4788</v>
      </c>
      <c r="B4789" t="inlineStr">
        <is>
          <t>MV̅DCCLXXXVIII</t>
        </is>
      </c>
      <c r="C4789">
        <f>ROMAN(4788)</f>
        <v/>
      </c>
      <c r="D4789">
        <f>IF(B4789=C4789, "YES", "WRONG")</f>
        <v/>
      </c>
    </row>
    <row r="4790">
      <c r="A4790" t="n">
        <v>4789</v>
      </c>
      <c r="B4790" t="inlineStr">
        <is>
          <t>MV̅DCCLXXXIX</t>
        </is>
      </c>
      <c r="C4790">
        <f>ROMAN(4789)</f>
        <v/>
      </c>
      <c r="D4790">
        <f>IF(B4790=C4790, "YES", "WRONG")</f>
        <v/>
      </c>
    </row>
    <row r="4791">
      <c r="A4791" t="n">
        <v>4790</v>
      </c>
      <c r="B4791" t="inlineStr">
        <is>
          <t>MV̅DCCXC</t>
        </is>
      </c>
      <c r="C4791">
        <f>ROMAN(4790)</f>
        <v/>
      </c>
      <c r="D4791">
        <f>IF(B4791=C4791, "YES", "WRONG")</f>
        <v/>
      </c>
    </row>
    <row r="4792">
      <c r="A4792" t="n">
        <v>4791</v>
      </c>
      <c r="B4792" t="inlineStr">
        <is>
          <t>MV̅DCCXCI</t>
        </is>
      </c>
      <c r="C4792">
        <f>ROMAN(4791)</f>
        <v/>
      </c>
      <c r="D4792">
        <f>IF(B4792=C4792, "YES", "WRONG")</f>
        <v/>
      </c>
    </row>
    <row r="4793">
      <c r="A4793" t="n">
        <v>4792</v>
      </c>
      <c r="B4793" t="inlineStr">
        <is>
          <t>MV̅DCCXCII</t>
        </is>
      </c>
      <c r="C4793">
        <f>ROMAN(4792)</f>
        <v/>
      </c>
      <c r="D4793">
        <f>IF(B4793=C4793, "YES", "WRONG")</f>
        <v/>
      </c>
    </row>
    <row r="4794">
      <c r="A4794" t="n">
        <v>4793</v>
      </c>
      <c r="B4794" t="inlineStr">
        <is>
          <t>MV̅DCCXCIII</t>
        </is>
      </c>
      <c r="C4794">
        <f>ROMAN(4793)</f>
        <v/>
      </c>
      <c r="D4794">
        <f>IF(B4794=C4794, "YES", "WRONG")</f>
        <v/>
      </c>
    </row>
    <row r="4795">
      <c r="A4795" t="n">
        <v>4794</v>
      </c>
      <c r="B4795" t="inlineStr">
        <is>
          <t>MV̅DCCXCIV</t>
        </is>
      </c>
      <c r="C4795">
        <f>ROMAN(4794)</f>
        <v/>
      </c>
      <c r="D4795">
        <f>IF(B4795=C4795, "YES", "WRONG")</f>
        <v/>
      </c>
    </row>
    <row r="4796">
      <c r="A4796" t="n">
        <v>4795</v>
      </c>
      <c r="B4796" t="inlineStr">
        <is>
          <t>MV̅DCCXCV</t>
        </is>
      </c>
      <c r="C4796">
        <f>ROMAN(4795)</f>
        <v/>
      </c>
      <c r="D4796">
        <f>IF(B4796=C4796, "YES", "WRONG")</f>
        <v/>
      </c>
    </row>
    <row r="4797">
      <c r="A4797" t="n">
        <v>4796</v>
      </c>
      <c r="B4797" t="inlineStr">
        <is>
          <t>MV̅DCCXCVI</t>
        </is>
      </c>
      <c r="C4797">
        <f>ROMAN(4796)</f>
        <v/>
      </c>
      <c r="D4797">
        <f>IF(B4797=C4797, "YES", "WRONG")</f>
        <v/>
      </c>
    </row>
    <row r="4798">
      <c r="A4798" t="n">
        <v>4797</v>
      </c>
      <c r="B4798" t="inlineStr">
        <is>
          <t>MV̅DCCXCVII</t>
        </is>
      </c>
      <c r="C4798">
        <f>ROMAN(4797)</f>
        <v/>
      </c>
      <c r="D4798">
        <f>IF(B4798=C4798, "YES", "WRONG")</f>
        <v/>
      </c>
    </row>
    <row r="4799">
      <c r="A4799" t="n">
        <v>4798</v>
      </c>
      <c r="B4799" t="inlineStr">
        <is>
          <t>MV̅DCCXCVIII</t>
        </is>
      </c>
      <c r="C4799">
        <f>ROMAN(4798)</f>
        <v/>
      </c>
      <c r="D4799">
        <f>IF(B4799=C4799, "YES", "WRONG")</f>
        <v/>
      </c>
    </row>
    <row r="4800">
      <c r="A4800" t="n">
        <v>4799</v>
      </c>
      <c r="B4800" t="inlineStr">
        <is>
          <t>MV̅DCCXCIX</t>
        </is>
      </c>
      <c r="C4800">
        <f>ROMAN(4799)</f>
        <v/>
      </c>
      <c r="D4800">
        <f>IF(B4800=C4800, "YES", "WRONG")</f>
        <v/>
      </c>
    </row>
    <row r="4801">
      <c r="A4801" t="n">
        <v>4800</v>
      </c>
      <c r="B4801" t="inlineStr">
        <is>
          <t>MV̅DCCC</t>
        </is>
      </c>
      <c r="C4801">
        <f>ROMAN(4800)</f>
        <v/>
      </c>
      <c r="D4801">
        <f>IF(B4801=C4801, "YES", "WRONG")</f>
        <v/>
      </c>
    </row>
    <row r="4802">
      <c r="A4802" t="n">
        <v>4801</v>
      </c>
      <c r="B4802" t="inlineStr">
        <is>
          <t>MV̅DCCCI</t>
        </is>
      </c>
      <c r="C4802">
        <f>ROMAN(4801)</f>
        <v/>
      </c>
      <c r="D4802">
        <f>IF(B4802=C4802, "YES", "WRONG")</f>
        <v/>
      </c>
    </row>
    <row r="4803">
      <c r="A4803" t="n">
        <v>4802</v>
      </c>
      <c r="B4803" t="inlineStr">
        <is>
          <t>MV̅DCCCII</t>
        </is>
      </c>
      <c r="C4803">
        <f>ROMAN(4802)</f>
        <v/>
      </c>
      <c r="D4803">
        <f>IF(B4803=C4803, "YES", "WRONG")</f>
        <v/>
      </c>
    </row>
    <row r="4804">
      <c r="A4804" t="n">
        <v>4803</v>
      </c>
      <c r="B4804" t="inlineStr">
        <is>
          <t>MV̅DCCCIII</t>
        </is>
      </c>
      <c r="C4804">
        <f>ROMAN(4803)</f>
        <v/>
      </c>
      <c r="D4804">
        <f>IF(B4804=C4804, "YES", "WRONG")</f>
        <v/>
      </c>
    </row>
    <row r="4805">
      <c r="A4805" t="n">
        <v>4804</v>
      </c>
      <c r="B4805" t="inlineStr">
        <is>
          <t>MV̅DCCCIV</t>
        </is>
      </c>
      <c r="C4805">
        <f>ROMAN(4804)</f>
        <v/>
      </c>
      <c r="D4805">
        <f>IF(B4805=C4805, "YES", "WRONG")</f>
        <v/>
      </c>
    </row>
    <row r="4806">
      <c r="A4806" t="n">
        <v>4805</v>
      </c>
      <c r="B4806" t="inlineStr">
        <is>
          <t>MV̅DCCCV</t>
        </is>
      </c>
      <c r="C4806">
        <f>ROMAN(4805)</f>
        <v/>
      </c>
      <c r="D4806">
        <f>IF(B4806=C4806, "YES", "WRONG")</f>
        <v/>
      </c>
    </row>
    <row r="4807">
      <c r="A4807" t="n">
        <v>4806</v>
      </c>
      <c r="B4807" t="inlineStr">
        <is>
          <t>MV̅DCCCVI</t>
        </is>
      </c>
      <c r="C4807">
        <f>ROMAN(4806)</f>
        <v/>
      </c>
      <c r="D4807">
        <f>IF(B4807=C4807, "YES", "WRONG")</f>
        <v/>
      </c>
    </row>
    <row r="4808">
      <c r="A4808" t="n">
        <v>4807</v>
      </c>
      <c r="B4808" t="inlineStr">
        <is>
          <t>MV̅DCCCVII</t>
        </is>
      </c>
      <c r="C4808">
        <f>ROMAN(4807)</f>
        <v/>
      </c>
      <c r="D4808">
        <f>IF(B4808=C4808, "YES", "WRONG")</f>
        <v/>
      </c>
    </row>
    <row r="4809">
      <c r="A4809" t="n">
        <v>4808</v>
      </c>
      <c r="B4809" t="inlineStr">
        <is>
          <t>MV̅DCCCVIII</t>
        </is>
      </c>
      <c r="C4809">
        <f>ROMAN(4808)</f>
        <v/>
      </c>
      <c r="D4809">
        <f>IF(B4809=C4809, "YES", "WRONG")</f>
        <v/>
      </c>
    </row>
    <row r="4810">
      <c r="A4810" t="n">
        <v>4809</v>
      </c>
      <c r="B4810" t="inlineStr">
        <is>
          <t>MV̅DCCCIX</t>
        </is>
      </c>
      <c r="C4810">
        <f>ROMAN(4809)</f>
        <v/>
      </c>
      <c r="D4810">
        <f>IF(B4810=C4810, "YES", "WRONG")</f>
        <v/>
      </c>
    </row>
    <row r="4811">
      <c r="A4811" t="n">
        <v>4810</v>
      </c>
      <c r="B4811" t="inlineStr">
        <is>
          <t>MV̅DCCCX</t>
        </is>
      </c>
      <c r="C4811">
        <f>ROMAN(4810)</f>
        <v/>
      </c>
      <c r="D4811">
        <f>IF(B4811=C4811, "YES", "WRONG")</f>
        <v/>
      </c>
    </row>
    <row r="4812">
      <c r="A4812" t="n">
        <v>4811</v>
      </c>
      <c r="B4812" t="inlineStr">
        <is>
          <t>MV̅DCCCXI</t>
        </is>
      </c>
      <c r="C4812">
        <f>ROMAN(4811)</f>
        <v/>
      </c>
      <c r="D4812">
        <f>IF(B4812=C4812, "YES", "WRONG")</f>
        <v/>
      </c>
    </row>
    <row r="4813">
      <c r="A4813" t="n">
        <v>4812</v>
      </c>
      <c r="B4813" t="inlineStr">
        <is>
          <t>MV̅DCCCXII</t>
        </is>
      </c>
      <c r="C4813">
        <f>ROMAN(4812)</f>
        <v/>
      </c>
      <c r="D4813">
        <f>IF(B4813=C4813, "YES", "WRONG")</f>
        <v/>
      </c>
    </row>
    <row r="4814">
      <c r="A4814" t="n">
        <v>4813</v>
      </c>
      <c r="B4814" t="inlineStr">
        <is>
          <t>MV̅DCCCXIII</t>
        </is>
      </c>
      <c r="C4814">
        <f>ROMAN(4813)</f>
        <v/>
      </c>
      <c r="D4814">
        <f>IF(B4814=C4814, "YES", "WRONG")</f>
        <v/>
      </c>
    </row>
    <row r="4815">
      <c r="A4815" t="n">
        <v>4814</v>
      </c>
      <c r="B4815" t="inlineStr">
        <is>
          <t>MV̅DCCCXIV</t>
        </is>
      </c>
      <c r="C4815">
        <f>ROMAN(4814)</f>
        <v/>
      </c>
      <c r="D4815">
        <f>IF(B4815=C4815, "YES", "WRONG")</f>
        <v/>
      </c>
    </row>
    <row r="4816">
      <c r="A4816" t="n">
        <v>4815</v>
      </c>
      <c r="B4816" t="inlineStr">
        <is>
          <t>MV̅DCCCXV</t>
        </is>
      </c>
      <c r="C4816">
        <f>ROMAN(4815)</f>
        <v/>
      </c>
      <c r="D4816">
        <f>IF(B4816=C4816, "YES", "WRONG")</f>
        <v/>
      </c>
    </row>
    <row r="4817">
      <c r="A4817" t="n">
        <v>4816</v>
      </c>
      <c r="B4817" t="inlineStr">
        <is>
          <t>MV̅DCCCXVI</t>
        </is>
      </c>
      <c r="C4817">
        <f>ROMAN(4816)</f>
        <v/>
      </c>
      <c r="D4817">
        <f>IF(B4817=C4817, "YES", "WRONG")</f>
        <v/>
      </c>
    </row>
    <row r="4818">
      <c r="A4818" t="n">
        <v>4817</v>
      </c>
      <c r="B4818" t="inlineStr">
        <is>
          <t>MV̅DCCCXVII</t>
        </is>
      </c>
      <c r="C4818">
        <f>ROMAN(4817)</f>
        <v/>
      </c>
      <c r="D4818">
        <f>IF(B4818=C4818, "YES", "WRONG")</f>
        <v/>
      </c>
    </row>
    <row r="4819">
      <c r="A4819" t="n">
        <v>4818</v>
      </c>
      <c r="B4819" t="inlineStr">
        <is>
          <t>MV̅DCCCXVIII</t>
        </is>
      </c>
      <c r="C4819">
        <f>ROMAN(4818)</f>
        <v/>
      </c>
      <c r="D4819">
        <f>IF(B4819=C4819, "YES", "WRONG")</f>
        <v/>
      </c>
    </row>
    <row r="4820">
      <c r="A4820" t="n">
        <v>4819</v>
      </c>
      <c r="B4820" t="inlineStr">
        <is>
          <t>MV̅DCCCXIX</t>
        </is>
      </c>
      <c r="C4820">
        <f>ROMAN(4819)</f>
        <v/>
      </c>
      <c r="D4820">
        <f>IF(B4820=C4820, "YES", "WRONG")</f>
        <v/>
      </c>
    </row>
    <row r="4821">
      <c r="A4821" t="n">
        <v>4820</v>
      </c>
      <c r="B4821" t="inlineStr">
        <is>
          <t>MV̅DCCCXX</t>
        </is>
      </c>
      <c r="C4821">
        <f>ROMAN(4820)</f>
        <v/>
      </c>
      <c r="D4821">
        <f>IF(B4821=C4821, "YES", "WRONG")</f>
        <v/>
      </c>
    </row>
    <row r="4822">
      <c r="A4822" t="n">
        <v>4821</v>
      </c>
      <c r="B4822" t="inlineStr">
        <is>
          <t>MV̅DCCCXXI</t>
        </is>
      </c>
      <c r="C4822">
        <f>ROMAN(4821)</f>
        <v/>
      </c>
      <c r="D4822">
        <f>IF(B4822=C4822, "YES", "WRONG")</f>
        <v/>
      </c>
    </row>
    <row r="4823">
      <c r="A4823" t="n">
        <v>4822</v>
      </c>
      <c r="B4823" t="inlineStr">
        <is>
          <t>MV̅DCCCXXII</t>
        </is>
      </c>
      <c r="C4823">
        <f>ROMAN(4822)</f>
        <v/>
      </c>
      <c r="D4823">
        <f>IF(B4823=C4823, "YES", "WRONG")</f>
        <v/>
      </c>
    </row>
    <row r="4824">
      <c r="A4824" t="n">
        <v>4823</v>
      </c>
      <c r="B4824" t="inlineStr">
        <is>
          <t>MV̅DCCCXXIII</t>
        </is>
      </c>
      <c r="C4824">
        <f>ROMAN(4823)</f>
        <v/>
      </c>
      <c r="D4824">
        <f>IF(B4824=C4824, "YES", "WRONG")</f>
        <v/>
      </c>
    </row>
    <row r="4825">
      <c r="A4825" t="n">
        <v>4824</v>
      </c>
      <c r="B4825" t="inlineStr">
        <is>
          <t>MV̅DCCCXXIV</t>
        </is>
      </c>
      <c r="C4825">
        <f>ROMAN(4824)</f>
        <v/>
      </c>
      <c r="D4825">
        <f>IF(B4825=C4825, "YES", "WRONG")</f>
        <v/>
      </c>
    </row>
    <row r="4826">
      <c r="A4826" t="n">
        <v>4825</v>
      </c>
      <c r="B4826" t="inlineStr">
        <is>
          <t>MV̅DCCCXXV</t>
        </is>
      </c>
      <c r="C4826">
        <f>ROMAN(4825)</f>
        <v/>
      </c>
      <c r="D4826">
        <f>IF(B4826=C4826, "YES", "WRONG")</f>
        <v/>
      </c>
    </row>
    <row r="4827">
      <c r="A4827" t="n">
        <v>4826</v>
      </c>
      <c r="B4827" t="inlineStr">
        <is>
          <t>MV̅DCCCXXVI</t>
        </is>
      </c>
      <c r="C4827">
        <f>ROMAN(4826)</f>
        <v/>
      </c>
      <c r="D4827">
        <f>IF(B4827=C4827, "YES", "WRONG")</f>
        <v/>
      </c>
    </row>
    <row r="4828">
      <c r="A4828" t="n">
        <v>4827</v>
      </c>
      <c r="B4828" t="inlineStr">
        <is>
          <t>MV̅DCCCXXVII</t>
        </is>
      </c>
      <c r="C4828">
        <f>ROMAN(4827)</f>
        <v/>
      </c>
      <c r="D4828">
        <f>IF(B4828=C4828, "YES", "WRONG")</f>
        <v/>
      </c>
    </row>
    <row r="4829">
      <c r="A4829" t="n">
        <v>4828</v>
      </c>
      <c r="B4829" t="inlineStr">
        <is>
          <t>MV̅DCCCXXVIII</t>
        </is>
      </c>
      <c r="C4829">
        <f>ROMAN(4828)</f>
        <v/>
      </c>
      <c r="D4829">
        <f>IF(B4829=C4829, "YES", "WRONG")</f>
        <v/>
      </c>
    </row>
    <row r="4830">
      <c r="A4830" t="n">
        <v>4829</v>
      </c>
      <c r="B4830" t="inlineStr">
        <is>
          <t>MV̅DCCCXXIX</t>
        </is>
      </c>
      <c r="C4830">
        <f>ROMAN(4829)</f>
        <v/>
      </c>
      <c r="D4830">
        <f>IF(B4830=C4830, "YES", "WRONG")</f>
        <v/>
      </c>
    </row>
    <row r="4831">
      <c r="A4831" t="n">
        <v>4830</v>
      </c>
      <c r="B4831" t="inlineStr">
        <is>
          <t>MV̅DCCCXXX</t>
        </is>
      </c>
      <c r="C4831">
        <f>ROMAN(4830)</f>
        <v/>
      </c>
      <c r="D4831">
        <f>IF(B4831=C4831, "YES", "WRONG")</f>
        <v/>
      </c>
    </row>
    <row r="4832">
      <c r="A4832" t="n">
        <v>4831</v>
      </c>
      <c r="B4832" t="inlineStr">
        <is>
          <t>MV̅DCCCXXXI</t>
        </is>
      </c>
      <c r="C4832">
        <f>ROMAN(4831)</f>
        <v/>
      </c>
      <c r="D4832">
        <f>IF(B4832=C4832, "YES", "WRONG")</f>
        <v/>
      </c>
    </row>
    <row r="4833">
      <c r="A4833" t="n">
        <v>4832</v>
      </c>
      <c r="B4833" t="inlineStr">
        <is>
          <t>MV̅DCCCXXXII</t>
        </is>
      </c>
      <c r="C4833">
        <f>ROMAN(4832)</f>
        <v/>
      </c>
      <c r="D4833">
        <f>IF(B4833=C4833, "YES", "WRONG")</f>
        <v/>
      </c>
    </row>
    <row r="4834">
      <c r="A4834" t="n">
        <v>4833</v>
      </c>
      <c r="B4834" t="inlineStr">
        <is>
          <t>MV̅DCCCXXXIII</t>
        </is>
      </c>
      <c r="C4834">
        <f>ROMAN(4833)</f>
        <v/>
      </c>
      <c r="D4834">
        <f>IF(B4834=C4834, "YES", "WRONG")</f>
        <v/>
      </c>
    </row>
    <row r="4835">
      <c r="A4835" t="n">
        <v>4834</v>
      </c>
      <c r="B4835" t="inlineStr">
        <is>
          <t>MV̅DCCCXXXIV</t>
        </is>
      </c>
      <c r="C4835">
        <f>ROMAN(4834)</f>
        <v/>
      </c>
      <c r="D4835">
        <f>IF(B4835=C4835, "YES", "WRONG")</f>
        <v/>
      </c>
    </row>
    <row r="4836">
      <c r="A4836" t="n">
        <v>4835</v>
      </c>
      <c r="B4836" t="inlineStr">
        <is>
          <t>MV̅DCCCXXXV</t>
        </is>
      </c>
      <c r="C4836">
        <f>ROMAN(4835)</f>
        <v/>
      </c>
      <c r="D4836">
        <f>IF(B4836=C4836, "YES", "WRONG")</f>
        <v/>
      </c>
    </row>
    <row r="4837">
      <c r="A4837" t="n">
        <v>4836</v>
      </c>
      <c r="B4837" t="inlineStr">
        <is>
          <t>MV̅DCCCXXXVI</t>
        </is>
      </c>
      <c r="C4837">
        <f>ROMAN(4836)</f>
        <v/>
      </c>
      <c r="D4837">
        <f>IF(B4837=C4837, "YES", "WRONG")</f>
        <v/>
      </c>
    </row>
    <row r="4838">
      <c r="A4838" t="n">
        <v>4837</v>
      </c>
      <c r="B4838" t="inlineStr">
        <is>
          <t>MV̅DCCCXXXVII</t>
        </is>
      </c>
      <c r="C4838">
        <f>ROMAN(4837)</f>
        <v/>
      </c>
      <c r="D4838">
        <f>IF(B4838=C4838, "YES", "WRONG")</f>
        <v/>
      </c>
    </row>
    <row r="4839">
      <c r="A4839" t="n">
        <v>4838</v>
      </c>
      <c r="B4839" t="inlineStr">
        <is>
          <t>MV̅DCCCXXXVIII</t>
        </is>
      </c>
      <c r="C4839">
        <f>ROMAN(4838)</f>
        <v/>
      </c>
      <c r="D4839">
        <f>IF(B4839=C4839, "YES", "WRONG")</f>
        <v/>
      </c>
    </row>
    <row r="4840">
      <c r="A4840" t="n">
        <v>4839</v>
      </c>
      <c r="B4840" t="inlineStr">
        <is>
          <t>MV̅DCCCXXXIX</t>
        </is>
      </c>
      <c r="C4840">
        <f>ROMAN(4839)</f>
        <v/>
      </c>
      <c r="D4840">
        <f>IF(B4840=C4840, "YES", "WRONG")</f>
        <v/>
      </c>
    </row>
    <row r="4841">
      <c r="A4841" t="n">
        <v>4840</v>
      </c>
      <c r="B4841" t="inlineStr">
        <is>
          <t>MV̅DCCCXL</t>
        </is>
      </c>
      <c r="C4841">
        <f>ROMAN(4840)</f>
        <v/>
      </c>
      <c r="D4841">
        <f>IF(B4841=C4841, "YES", "WRONG")</f>
        <v/>
      </c>
    </row>
    <row r="4842">
      <c r="A4842" t="n">
        <v>4841</v>
      </c>
      <c r="B4842" t="inlineStr">
        <is>
          <t>MV̅DCCCXLI</t>
        </is>
      </c>
      <c r="C4842">
        <f>ROMAN(4841)</f>
        <v/>
      </c>
      <c r="D4842">
        <f>IF(B4842=C4842, "YES", "WRONG")</f>
        <v/>
      </c>
    </row>
    <row r="4843">
      <c r="A4843" t="n">
        <v>4842</v>
      </c>
      <c r="B4843" t="inlineStr">
        <is>
          <t>MV̅DCCCXLII</t>
        </is>
      </c>
      <c r="C4843">
        <f>ROMAN(4842)</f>
        <v/>
      </c>
      <c r="D4843">
        <f>IF(B4843=C4843, "YES", "WRONG")</f>
        <v/>
      </c>
    </row>
    <row r="4844">
      <c r="A4844" t="n">
        <v>4843</v>
      </c>
      <c r="B4844" t="inlineStr">
        <is>
          <t>MV̅DCCCXLIII</t>
        </is>
      </c>
      <c r="C4844">
        <f>ROMAN(4843)</f>
        <v/>
      </c>
      <c r="D4844">
        <f>IF(B4844=C4844, "YES", "WRONG")</f>
        <v/>
      </c>
    </row>
    <row r="4845">
      <c r="A4845" t="n">
        <v>4844</v>
      </c>
      <c r="B4845" t="inlineStr">
        <is>
          <t>MV̅DCCCXLIV</t>
        </is>
      </c>
      <c r="C4845">
        <f>ROMAN(4844)</f>
        <v/>
      </c>
      <c r="D4845">
        <f>IF(B4845=C4845, "YES", "WRONG")</f>
        <v/>
      </c>
    </row>
    <row r="4846">
      <c r="A4846" t="n">
        <v>4845</v>
      </c>
      <c r="B4846" t="inlineStr">
        <is>
          <t>MV̅DCCCXLV</t>
        </is>
      </c>
      <c r="C4846">
        <f>ROMAN(4845)</f>
        <v/>
      </c>
      <c r="D4846">
        <f>IF(B4846=C4846, "YES", "WRONG")</f>
        <v/>
      </c>
    </row>
    <row r="4847">
      <c r="A4847" t="n">
        <v>4846</v>
      </c>
      <c r="B4847" t="inlineStr">
        <is>
          <t>MV̅DCCCXLVI</t>
        </is>
      </c>
      <c r="C4847">
        <f>ROMAN(4846)</f>
        <v/>
      </c>
      <c r="D4847">
        <f>IF(B4847=C4847, "YES", "WRONG")</f>
        <v/>
      </c>
    </row>
    <row r="4848">
      <c r="A4848" t="n">
        <v>4847</v>
      </c>
      <c r="B4848" t="inlineStr">
        <is>
          <t>MV̅DCCCXLVII</t>
        </is>
      </c>
      <c r="C4848">
        <f>ROMAN(4847)</f>
        <v/>
      </c>
      <c r="D4848">
        <f>IF(B4848=C4848, "YES", "WRONG")</f>
        <v/>
      </c>
    </row>
    <row r="4849">
      <c r="A4849" t="n">
        <v>4848</v>
      </c>
      <c r="B4849" t="inlineStr">
        <is>
          <t>MV̅DCCCXLVIII</t>
        </is>
      </c>
      <c r="C4849">
        <f>ROMAN(4848)</f>
        <v/>
      </c>
      <c r="D4849">
        <f>IF(B4849=C4849, "YES", "WRONG")</f>
        <v/>
      </c>
    </row>
    <row r="4850">
      <c r="A4850" t="n">
        <v>4849</v>
      </c>
      <c r="B4850" t="inlineStr">
        <is>
          <t>MV̅DCCCXLIX</t>
        </is>
      </c>
      <c r="C4850">
        <f>ROMAN(4849)</f>
        <v/>
      </c>
      <c r="D4850">
        <f>IF(B4850=C4850, "YES", "WRONG")</f>
        <v/>
      </c>
    </row>
    <row r="4851">
      <c r="A4851" t="n">
        <v>4850</v>
      </c>
      <c r="B4851" t="inlineStr">
        <is>
          <t>MV̅DCCCL</t>
        </is>
      </c>
      <c r="C4851">
        <f>ROMAN(4850)</f>
        <v/>
      </c>
      <c r="D4851">
        <f>IF(B4851=C4851, "YES", "WRONG")</f>
        <v/>
      </c>
    </row>
    <row r="4852">
      <c r="A4852" t="n">
        <v>4851</v>
      </c>
      <c r="B4852" t="inlineStr">
        <is>
          <t>MV̅DCCCLI</t>
        </is>
      </c>
      <c r="C4852">
        <f>ROMAN(4851)</f>
        <v/>
      </c>
      <c r="D4852">
        <f>IF(B4852=C4852, "YES", "WRONG")</f>
        <v/>
      </c>
    </row>
    <row r="4853">
      <c r="A4853" t="n">
        <v>4852</v>
      </c>
      <c r="B4853" t="inlineStr">
        <is>
          <t>MV̅DCCCLII</t>
        </is>
      </c>
      <c r="C4853">
        <f>ROMAN(4852)</f>
        <v/>
      </c>
      <c r="D4853">
        <f>IF(B4853=C4853, "YES", "WRONG")</f>
        <v/>
      </c>
    </row>
    <row r="4854">
      <c r="A4854" t="n">
        <v>4853</v>
      </c>
      <c r="B4854" t="inlineStr">
        <is>
          <t>MV̅DCCCLIII</t>
        </is>
      </c>
      <c r="C4854">
        <f>ROMAN(4853)</f>
        <v/>
      </c>
      <c r="D4854">
        <f>IF(B4854=C4854, "YES", "WRONG")</f>
        <v/>
      </c>
    </row>
    <row r="4855">
      <c r="A4855" t="n">
        <v>4854</v>
      </c>
      <c r="B4855" t="inlineStr">
        <is>
          <t>MV̅DCCCLIV</t>
        </is>
      </c>
      <c r="C4855">
        <f>ROMAN(4854)</f>
        <v/>
      </c>
      <c r="D4855">
        <f>IF(B4855=C4855, "YES", "WRONG")</f>
        <v/>
      </c>
    </row>
    <row r="4856">
      <c r="A4856" t="n">
        <v>4855</v>
      </c>
      <c r="B4856" t="inlineStr">
        <is>
          <t>MV̅DCCCLV</t>
        </is>
      </c>
      <c r="C4856">
        <f>ROMAN(4855)</f>
        <v/>
      </c>
      <c r="D4856">
        <f>IF(B4856=C4856, "YES", "WRONG")</f>
        <v/>
      </c>
    </row>
    <row r="4857">
      <c r="A4857" t="n">
        <v>4856</v>
      </c>
      <c r="B4857" t="inlineStr">
        <is>
          <t>MV̅DCCCLVI</t>
        </is>
      </c>
      <c r="C4857">
        <f>ROMAN(4856)</f>
        <v/>
      </c>
      <c r="D4857">
        <f>IF(B4857=C4857, "YES", "WRONG")</f>
        <v/>
      </c>
    </row>
    <row r="4858">
      <c r="A4858" t="n">
        <v>4857</v>
      </c>
      <c r="B4858" t="inlineStr">
        <is>
          <t>MV̅DCCCLVII</t>
        </is>
      </c>
      <c r="C4858">
        <f>ROMAN(4857)</f>
        <v/>
      </c>
      <c r="D4858">
        <f>IF(B4858=C4858, "YES", "WRONG")</f>
        <v/>
      </c>
    </row>
    <row r="4859">
      <c r="A4859" t="n">
        <v>4858</v>
      </c>
      <c r="B4859" t="inlineStr">
        <is>
          <t>MV̅DCCCLVIII</t>
        </is>
      </c>
      <c r="C4859">
        <f>ROMAN(4858)</f>
        <v/>
      </c>
      <c r="D4859">
        <f>IF(B4859=C4859, "YES", "WRONG")</f>
        <v/>
      </c>
    </row>
    <row r="4860">
      <c r="A4860" t="n">
        <v>4859</v>
      </c>
      <c r="B4860" t="inlineStr">
        <is>
          <t>MV̅DCCCLIX</t>
        </is>
      </c>
      <c r="C4860">
        <f>ROMAN(4859)</f>
        <v/>
      </c>
      <c r="D4860">
        <f>IF(B4860=C4860, "YES", "WRONG")</f>
        <v/>
      </c>
    </row>
    <row r="4861">
      <c r="A4861" t="n">
        <v>4860</v>
      </c>
      <c r="B4861" t="inlineStr">
        <is>
          <t>MV̅DCCCLX</t>
        </is>
      </c>
      <c r="C4861">
        <f>ROMAN(4860)</f>
        <v/>
      </c>
      <c r="D4861">
        <f>IF(B4861=C4861, "YES", "WRONG")</f>
        <v/>
      </c>
    </row>
    <row r="4862">
      <c r="A4862" t="n">
        <v>4861</v>
      </c>
      <c r="B4862" t="inlineStr">
        <is>
          <t>MV̅DCCCLXI</t>
        </is>
      </c>
      <c r="C4862">
        <f>ROMAN(4861)</f>
        <v/>
      </c>
      <c r="D4862">
        <f>IF(B4862=C4862, "YES", "WRONG")</f>
        <v/>
      </c>
    </row>
    <row r="4863">
      <c r="A4863" t="n">
        <v>4862</v>
      </c>
      <c r="B4863" t="inlineStr">
        <is>
          <t>MV̅DCCCLXII</t>
        </is>
      </c>
      <c r="C4863">
        <f>ROMAN(4862)</f>
        <v/>
      </c>
      <c r="D4863">
        <f>IF(B4863=C4863, "YES", "WRONG")</f>
        <v/>
      </c>
    </row>
    <row r="4864">
      <c r="A4864" t="n">
        <v>4863</v>
      </c>
      <c r="B4864" t="inlineStr">
        <is>
          <t>MV̅DCCCLXIII</t>
        </is>
      </c>
      <c r="C4864">
        <f>ROMAN(4863)</f>
        <v/>
      </c>
      <c r="D4864">
        <f>IF(B4864=C4864, "YES", "WRONG")</f>
        <v/>
      </c>
    </row>
    <row r="4865">
      <c r="A4865" t="n">
        <v>4864</v>
      </c>
      <c r="B4865" t="inlineStr">
        <is>
          <t>MV̅DCCCLXIV</t>
        </is>
      </c>
      <c r="C4865">
        <f>ROMAN(4864)</f>
        <v/>
      </c>
      <c r="D4865">
        <f>IF(B4865=C4865, "YES", "WRONG")</f>
        <v/>
      </c>
    </row>
    <row r="4866">
      <c r="A4866" t="n">
        <v>4865</v>
      </c>
      <c r="B4866" t="inlineStr">
        <is>
          <t>MV̅DCCCLXV</t>
        </is>
      </c>
      <c r="C4866">
        <f>ROMAN(4865)</f>
        <v/>
      </c>
      <c r="D4866">
        <f>IF(B4866=C4866, "YES", "WRONG")</f>
        <v/>
      </c>
    </row>
    <row r="4867">
      <c r="A4867" t="n">
        <v>4866</v>
      </c>
      <c r="B4867" t="inlineStr">
        <is>
          <t>MV̅DCCCLXVI</t>
        </is>
      </c>
      <c r="C4867">
        <f>ROMAN(4866)</f>
        <v/>
      </c>
      <c r="D4867">
        <f>IF(B4867=C4867, "YES", "WRONG")</f>
        <v/>
      </c>
    </row>
    <row r="4868">
      <c r="A4868" t="n">
        <v>4867</v>
      </c>
      <c r="B4868" t="inlineStr">
        <is>
          <t>MV̅DCCCLXVII</t>
        </is>
      </c>
      <c r="C4868">
        <f>ROMAN(4867)</f>
        <v/>
      </c>
      <c r="D4868">
        <f>IF(B4868=C4868, "YES", "WRONG")</f>
        <v/>
      </c>
    </row>
    <row r="4869">
      <c r="A4869" t="n">
        <v>4868</v>
      </c>
      <c r="B4869" t="inlineStr">
        <is>
          <t>MV̅DCCCLXVIII</t>
        </is>
      </c>
      <c r="C4869">
        <f>ROMAN(4868)</f>
        <v/>
      </c>
      <c r="D4869">
        <f>IF(B4869=C4869, "YES", "WRONG")</f>
        <v/>
      </c>
    </row>
    <row r="4870">
      <c r="A4870" t="n">
        <v>4869</v>
      </c>
      <c r="B4870" t="inlineStr">
        <is>
          <t>MV̅DCCCLXIX</t>
        </is>
      </c>
      <c r="C4870">
        <f>ROMAN(4869)</f>
        <v/>
      </c>
      <c r="D4870">
        <f>IF(B4870=C4870, "YES", "WRONG")</f>
        <v/>
      </c>
    </row>
    <row r="4871">
      <c r="A4871" t="n">
        <v>4870</v>
      </c>
      <c r="B4871" t="inlineStr">
        <is>
          <t>MV̅DCCCLXX</t>
        </is>
      </c>
      <c r="C4871">
        <f>ROMAN(4870)</f>
        <v/>
      </c>
      <c r="D4871">
        <f>IF(B4871=C4871, "YES", "WRONG")</f>
        <v/>
      </c>
    </row>
    <row r="4872">
      <c r="A4872" t="n">
        <v>4871</v>
      </c>
      <c r="B4872" t="inlineStr">
        <is>
          <t>MV̅DCCCLXXI</t>
        </is>
      </c>
      <c r="C4872">
        <f>ROMAN(4871)</f>
        <v/>
      </c>
      <c r="D4872">
        <f>IF(B4872=C4872, "YES", "WRONG")</f>
        <v/>
      </c>
    </row>
    <row r="4873">
      <c r="A4873" t="n">
        <v>4872</v>
      </c>
      <c r="B4873" t="inlineStr">
        <is>
          <t>MV̅DCCCLXXII</t>
        </is>
      </c>
      <c r="C4873">
        <f>ROMAN(4872)</f>
        <v/>
      </c>
      <c r="D4873">
        <f>IF(B4873=C4873, "YES", "WRONG")</f>
        <v/>
      </c>
    </row>
    <row r="4874">
      <c r="A4874" t="n">
        <v>4873</v>
      </c>
      <c r="B4874" t="inlineStr">
        <is>
          <t>MV̅DCCCLXXIII</t>
        </is>
      </c>
      <c r="C4874">
        <f>ROMAN(4873)</f>
        <v/>
      </c>
      <c r="D4874">
        <f>IF(B4874=C4874, "YES", "WRONG")</f>
        <v/>
      </c>
    </row>
    <row r="4875">
      <c r="A4875" t="n">
        <v>4874</v>
      </c>
      <c r="B4875" t="inlineStr">
        <is>
          <t>MV̅DCCCLXXIV</t>
        </is>
      </c>
      <c r="C4875">
        <f>ROMAN(4874)</f>
        <v/>
      </c>
      <c r="D4875">
        <f>IF(B4875=C4875, "YES", "WRONG")</f>
        <v/>
      </c>
    </row>
    <row r="4876">
      <c r="A4876" t="n">
        <v>4875</v>
      </c>
      <c r="B4876" t="inlineStr">
        <is>
          <t>MV̅DCCCLXXV</t>
        </is>
      </c>
      <c r="C4876">
        <f>ROMAN(4875)</f>
        <v/>
      </c>
      <c r="D4876">
        <f>IF(B4876=C4876, "YES", "WRONG")</f>
        <v/>
      </c>
    </row>
    <row r="4877">
      <c r="A4877" t="n">
        <v>4876</v>
      </c>
      <c r="B4877" t="inlineStr">
        <is>
          <t>MV̅DCCCLXXVI</t>
        </is>
      </c>
      <c r="C4877">
        <f>ROMAN(4876)</f>
        <v/>
      </c>
      <c r="D4877">
        <f>IF(B4877=C4877, "YES", "WRONG")</f>
        <v/>
      </c>
    </row>
    <row r="4878">
      <c r="A4878" t="n">
        <v>4877</v>
      </c>
      <c r="B4878" t="inlineStr">
        <is>
          <t>MV̅DCCCLXXVII</t>
        </is>
      </c>
      <c r="C4878">
        <f>ROMAN(4877)</f>
        <v/>
      </c>
      <c r="D4878">
        <f>IF(B4878=C4878, "YES", "WRONG")</f>
        <v/>
      </c>
    </row>
    <row r="4879">
      <c r="A4879" t="n">
        <v>4878</v>
      </c>
      <c r="B4879" t="inlineStr">
        <is>
          <t>MV̅DCCCLXXVIII</t>
        </is>
      </c>
      <c r="C4879">
        <f>ROMAN(4878)</f>
        <v/>
      </c>
      <c r="D4879">
        <f>IF(B4879=C4879, "YES", "WRONG")</f>
        <v/>
      </c>
    </row>
    <row r="4880">
      <c r="A4880" t="n">
        <v>4879</v>
      </c>
      <c r="B4880" t="inlineStr">
        <is>
          <t>MV̅DCCCLXXIX</t>
        </is>
      </c>
      <c r="C4880">
        <f>ROMAN(4879)</f>
        <v/>
      </c>
      <c r="D4880">
        <f>IF(B4880=C4880, "YES", "WRONG")</f>
        <v/>
      </c>
    </row>
    <row r="4881">
      <c r="A4881" t="n">
        <v>4880</v>
      </c>
      <c r="B4881" t="inlineStr">
        <is>
          <t>MV̅DCCCLXXX</t>
        </is>
      </c>
      <c r="C4881">
        <f>ROMAN(4880)</f>
        <v/>
      </c>
      <c r="D4881">
        <f>IF(B4881=C4881, "YES", "WRONG")</f>
        <v/>
      </c>
    </row>
    <row r="4882">
      <c r="A4882" t="n">
        <v>4881</v>
      </c>
      <c r="B4882" t="inlineStr">
        <is>
          <t>MV̅DCCCLXXXI</t>
        </is>
      </c>
      <c r="C4882">
        <f>ROMAN(4881)</f>
        <v/>
      </c>
      <c r="D4882">
        <f>IF(B4882=C4882, "YES", "WRONG")</f>
        <v/>
      </c>
    </row>
    <row r="4883">
      <c r="A4883" t="n">
        <v>4882</v>
      </c>
      <c r="B4883" t="inlineStr">
        <is>
          <t>MV̅DCCCLXXXII</t>
        </is>
      </c>
      <c r="C4883">
        <f>ROMAN(4882)</f>
        <v/>
      </c>
      <c r="D4883">
        <f>IF(B4883=C4883, "YES", "WRONG")</f>
        <v/>
      </c>
    </row>
    <row r="4884">
      <c r="A4884" t="n">
        <v>4883</v>
      </c>
      <c r="B4884" t="inlineStr">
        <is>
          <t>MV̅DCCCLXXXIII</t>
        </is>
      </c>
      <c r="C4884">
        <f>ROMAN(4883)</f>
        <v/>
      </c>
      <c r="D4884">
        <f>IF(B4884=C4884, "YES", "WRONG")</f>
        <v/>
      </c>
    </row>
    <row r="4885">
      <c r="A4885" t="n">
        <v>4884</v>
      </c>
      <c r="B4885" t="inlineStr">
        <is>
          <t>MV̅DCCCLXXXIV</t>
        </is>
      </c>
      <c r="C4885">
        <f>ROMAN(4884)</f>
        <v/>
      </c>
      <c r="D4885">
        <f>IF(B4885=C4885, "YES", "WRONG")</f>
        <v/>
      </c>
    </row>
    <row r="4886">
      <c r="A4886" t="n">
        <v>4885</v>
      </c>
      <c r="B4886" t="inlineStr">
        <is>
          <t>MV̅DCCCLXXXV</t>
        </is>
      </c>
      <c r="C4886">
        <f>ROMAN(4885)</f>
        <v/>
      </c>
      <c r="D4886">
        <f>IF(B4886=C4886, "YES", "WRONG")</f>
        <v/>
      </c>
    </row>
    <row r="4887">
      <c r="A4887" t="n">
        <v>4886</v>
      </c>
      <c r="B4887" t="inlineStr">
        <is>
          <t>MV̅DCCCLXXXVI</t>
        </is>
      </c>
      <c r="C4887">
        <f>ROMAN(4886)</f>
        <v/>
      </c>
      <c r="D4887">
        <f>IF(B4887=C4887, "YES", "WRONG")</f>
        <v/>
      </c>
    </row>
    <row r="4888">
      <c r="A4888" t="n">
        <v>4887</v>
      </c>
      <c r="B4888" t="inlineStr">
        <is>
          <t>MV̅DCCCLXXXVII</t>
        </is>
      </c>
      <c r="C4888">
        <f>ROMAN(4887)</f>
        <v/>
      </c>
      <c r="D4888">
        <f>IF(B4888=C4888, "YES", "WRONG")</f>
        <v/>
      </c>
    </row>
    <row r="4889">
      <c r="A4889" t="n">
        <v>4888</v>
      </c>
      <c r="B4889" t="inlineStr">
        <is>
          <t>MV̅DCCCLXXXVIII</t>
        </is>
      </c>
      <c r="C4889">
        <f>ROMAN(4888)</f>
        <v/>
      </c>
      <c r="D4889">
        <f>IF(B4889=C4889, "YES", "WRONG")</f>
        <v/>
      </c>
    </row>
    <row r="4890">
      <c r="A4890" t="n">
        <v>4889</v>
      </c>
      <c r="B4890" t="inlineStr">
        <is>
          <t>MV̅DCCCLXXXIX</t>
        </is>
      </c>
      <c r="C4890">
        <f>ROMAN(4889)</f>
        <v/>
      </c>
      <c r="D4890">
        <f>IF(B4890=C4890, "YES", "WRONG")</f>
        <v/>
      </c>
    </row>
    <row r="4891">
      <c r="A4891" t="n">
        <v>4890</v>
      </c>
      <c r="B4891" t="inlineStr">
        <is>
          <t>MV̅DCCCXC</t>
        </is>
      </c>
      <c r="C4891">
        <f>ROMAN(4890)</f>
        <v/>
      </c>
      <c r="D4891">
        <f>IF(B4891=C4891, "YES", "WRONG")</f>
        <v/>
      </c>
    </row>
    <row r="4892">
      <c r="A4892" t="n">
        <v>4891</v>
      </c>
      <c r="B4892" t="inlineStr">
        <is>
          <t>MV̅DCCCXCI</t>
        </is>
      </c>
      <c r="C4892">
        <f>ROMAN(4891)</f>
        <v/>
      </c>
      <c r="D4892">
        <f>IF(B4892=C4892, "YES", "WRONG")</f>
        <v/>
      </c>
    </row>
    <row r="4893">
      <c r="A4893" t="n">
        <v>4892</v>
      </c>
      <c r="B4893" t="inlineStr">
        <is>
          <t>MV̅DCCCXCII</t>
        </is>
      </c>
      <c r="C4893">
        <f>ROMAN(4892)</f>
        <v/>
      </c>
      <c r="D4893">
        <f>IF(B4893=C4893, "YES", "WRONG")</f>
        <v/>
      </c>
    </row>
    <row r="4894">
      <c r="A4894" t="n">
        <v>4893</v>
      </c>
      <c r="B4894" t="inlineStr">
        <is>
          <t>MV̅DCCCXCIII</t>
        </is>
      </c>
      <c r="C4894">
        <f>ROMAN(4893)</f>
        <v/>
      </c>
      <c r="D4894">
        <f>IF(B4894=C4894, "YES", "WRONG")</f>
        <v/>
      </c>
    </row>
    <row r="4895">
      <c r="A4895" t="n">
        <v>4894</v>
      </c>
      <c r="B4895" t="inlineStr">
        <is>
          <t>MV̅DCCCXCIV</t>
        </is>
      </c>
      <c r="C4895">
        <f>ROMAN(4894)</f>
        <v/>
      </c>
      <c r="D4895">
        <f>IF(B4895=C4895, "YES", "WRONG")</f>
        <v/>
      </c>
    </row>
    <row r="4896">
      <c r="A4896" t="n">
        <v>4895</v>
      </c>
      <c r="B4896" t="inlineStr">
        <is>
          <t>MV̅DCCCXCV</t>
        </is>
      </c>
      <c r="C4896">
        <f>ROMAN(4895)</f>
        <v/>
      </c>
      <c r="D4896">
        <f>IF(B4896=C4896, "YES", "WRONG")</f>
        <v/>
      </c>
    </row>
    <row r="4897">
      <c r="A4897" t="n">
        <v>4896</v>
      </c>
      <c r="B4897" t="inlineStr">
        <is>
          <t>MV̅DCCCXCVI</t>
        </is>
      </c>
      <c r="C4897">
        <f>ROMAN(4896)</f>
        <v/>
      </c>
      <c r="D4897">
        <f>IF(B4897=C4897, "YES", "WRONG")</f>
        <v/>
      </c>
    </row>
    <row r="4898">
      <c r="A4898" t="n">
        <v>4897</v>
      </c>
      <c r="B4898" t="inlineStr">
        <is>
          <t>MV̅DCCCXCVII</t>
        </is>
      </c>
      <c r="C4898">
        <f>ROMAN(4897)</f>
        <v/>
      </c>
      <c r="D4898">
        <f>IF(B4898=C4898, "YES", "WRONG")</f>
        <v/>
      </c>
    </row>
    <row r="4899">
      <c r="A4899" t="n">
        <v>4898</v>
      </c>
      <c r="B4899" t="inlineStr">
        <is>
          <t>MV̅DCCCXCVIII</t>
        </is>
      </c>
      <c r="C4899">
        <f>ROMAN(4898)</f>
        <v/>
      </c>
      <c r="D4899">
        <f>IF(B4899=C4899, "YES", "WRONG")</f>
        <v/>
      </c>
    </row>
    <row r="4900">
      <c r="A4900" t="n">
        <v>4899</v>
      </c>
      <c r="B4900" t="inlineStr">
        <is>
          <t>MV̅DCCCXCIX</t>
        </is>
      </c>
      <c r="C4900">
        <f>ROMAN(4899)</f>
        <v/>
      </c>
      <c r="D4900">
        <f>IF(B4900=C4900, "YES", "WRONG")</f>
        <v/>
      </c>
    </row>
    <row r="4901">
      <c r="A4901" t="n">
        <v>4900</v>
      </c>
      <c r="B4901" t="inlineStr">
        <is>
          <t>MV̅CM</t>
        </is>
      </c>
      <c r="C4901">
        <f>ROMAN(4900)</f>
        <v/>
      </c>
      <c r="D4901">
        <f>IF(B4901=C4901, "YES", "WRONG")</f>
        <v/>
      </c>
    </row>
    <row r="4902">
      <c r="A4902" t="n">
        <v>4901</v>
      </c>
      <c r="B4902" t="inlineStr">
        <is>
          <t>MV̅CMI</t>
        </is>
      </c>
      <c r="C4902">
        <f>ROMAN(4901)</f>
        <v/>
      </c>
      <c r="D4902">
        <f>IF(B4902=C4902, "YES", "WRONG")</f>
        <v/>
      </c>
    </row>
    <row r="4903">
      <c r="A4903" t="n">
        <v>4902</v>
      </c>
      <c r="B4903" t="inlineStr">
        <is>
          <t>MV̅CMII</t>
        </is>
      </c>
      <c r="C4903">
        <f>ROMAN(4902)</f>
        <v/>
      </c>
      <c r="D4903">
        <f>IF(B4903=C4903, "YES", "WRONG")</f>
        <v/>
      </c>
    </row>
    <row r="4904">
      <c r="A4904" t="n">
        <v>4903</v>
      </c>
      <c r="B4904" t="inlineStr">
        <is>
          <t>MV̅CMIII</t>
        </is>
      </c>
      <c r="C4904">
        <f>ROMAN(4903)</f>
        <v/>
      </c>
      <c r="D4904">
        <f>IF(B4904=C4904, "YES", "WRONG")</f>
        <v/>
      </c>
    </row>
    <row r="4905">
      <c r="A4905" t="n">
        <v>4904</v>
      </c>
      <c r="B4905" t="inlineStr">
        <is>
          <t>MV̅CMIV</t>
        </is>
      </c>
      <c r="C4905">
        <f>ROMAN(4904)</f>
        <v/>
      </c>
      <c r="D4905">
        <f>IF(B4905=C4905, "YES", "WRONG")</f>
        <v/>
      </c>
    </row>
    <row r="4906">
      <c r="A4906" t="n">
        <v>4905</v>
      </c>
      <c r="B4906" t="inlineStr">
        <is>
          <t>MV̅CMV</t>
        </is>
      </c>
      <c r="C4906">
        <f>ROMAN(4905)</f>
        <v/>
      </c>
      <c r="D4906">
        <f>IF(B4906=C4906, "YES", "WRONG")</f>
        <v/>
      </c>
    </row>
    <row r="4907">
      <c r="A4907" t="n">
        <v>4906</v>
      </c>
      <c r="B4907" t="inlineStr">
        <is>
          <t>MV̅CMVI</t>
        </is>
      </c>
      <c r="C4907">
        <f>ROMAN(4906)</f>
        <v/>
      </c>
      <c r="D4907">
        <f>IF(B4907=C4907, "YES", "WRONG")</f>
        <v/>
      </c>
    </row>
    <row r="4908">
      <c r="A4908" t="n">
        <v>4907</v>
      </c>
      <c r="B4908" t="inlineStr">
        <is>
          <t>MV̅CMVII</t>
        </is>
      </c>
      <c r="C4908">
        <f>ROMAN(4907)</f>
        <v/>
      </c>
      <c r="D4908">
        <f>IF(B4908=C4908, "YES", "WRONG")</f>
        <v/>
      </c>
    </row>
    <row r="4909">
      <c r="A4909" t="n">
        <v>4908</v>
      </c>
      <c r="B4909" t="inlineStr">
        <is>
          <t>MV̅CMVIII</t>
        </is>
      </c>
      <c r="C4909">
        <f>ROMAN(4908)</f>
        <v/>
      </c>
      <c r="D4909">
        <f>IF(B4909=C4909, "YES", "WRONG")</f>
        <v/>
      </c>
    </row>
    <row r="4910">
      <c r="A4910" t="n">
        <v>4909</v>
      </c>
      <c r="B4910" t="inlineStr">
        <is>
          <t>MV̅CMIX</t>
        </is>
      </c>
      <c r="C4910">
        <f>ROMAN(4909)</f>
        <v/>
      </c>
      <c r="D4910">
        <f>IF(B4910=C4910, "YES", "WRONG")</f>
        <v/>
      </c>
    </row>
    <row r="4911">
      <c r="A4911" t="n">
        <v>4910</v>
      </c>
      <c r="B4911" t="inlineStr">
        <is>
          <t>MV̅CMX</t>
        </is>
      </c>
      <c r="C4911">
        <f>ROMAN(4910)</f>
        <v/>
      </c>
      <c r="D4911">
        <f>IF(B4911=C4911, "YES", "WRONG")</f>
        <v/>
      </c>
    </row>
    <row r="4912">
      <c r="A4912" t="n">
        <v>4911</v>
      </c>
      <c r="B4912" t="inlineStr">
        <is>
          <t>MV̅CMXI</t>
        </is>
      </c>
      <c r="C4912">
        <f>ROMAN(4911)</f>
        <v/>
      </c>
      <c r="D4912">
        <f>IF(B4912=C4912, "YES", "WRONG")</f>
        <v/>
      </c>
    </row>
    <row r="4913">
      <c r="A4913" t="n">
        <v>4912</v>
      </c>
      <c r="B4913" t="inlineStr">
        <is>
          <t>MV̅CMXII</t>
        </is>
      </c>
      <c r="C4913">
        <f>ROMAN(4912)</f>
        <v/>
      </c>
      <c r="D4913">
        <f>IF(B4913=C4913, "YES", "WRONG")</f>
        <v/>
      </c>
    </row>
    <row r="4914">
      <c r="A4914" t="n">
        <v>4913</v>
      </c>
      <c r="B4914" t="inlineStr">
        <is>
          <t>MV̅CMXIII</t>
        </is>
      </c>
      <c r="C4914">
        <f>ROMAN(4913)</f>
        <v/>
      </c>
      <c r="D4914">
        <f>IF(B4914=C4914, "YES", "WRONG")</f>
        <v/>
      </c>
    </row>
    <row r="4915">
      <c r="A4915" t="n">
        <v>4914</v>
      </c>
      <c r="B4915" t="inlineStr">
        <is>
          <t>MV̅CMXIV</t>
        </is>
      </c>
      <c r="C4915">
        <f>ROMAN(4914)</f>
        <v/>
      </c>
      <c r="D4915">
        <f>IF(B4915=C4915, "YES", "WRONG")</f>
        <v/>
      </c>
    </row>
    <row r="4916">
      <c r="A4916" t="n">
        <v>4915</v>
      </c>
      <c r="B4916" t="inlineStr">
        <is>
          <t>MV̅CMXV</t>
        </is>
      </c>
      <c r="C4916">
        <f>ROMAN(4915)</f>
        <v/>
      </c>
      <c r="D4916">
        <f>IF(B4916=C4916, "YES", "WRONG")</f>
        <v/>
      </c>
    </row>
    <row r="4917">
      <c r="A4917" t="n">
        <v>4916</v>
      </c>
      <c r="B4917" t="inlineStr">
        <is>
          <t>MV̅CMXVI</t>
        </is>
      </c>
      <c r="C4917">
        <f>ROMAN(4916)</f>
        <v/>
      </c>
      <c r="D4917">
        <f>IF(B4917=C4917, "YES", "WRONG")</f>
        <v/>
      </c>
    </row>
    <row r="4918">
      <c r="A4918" t="n">
        <v>4917</v>
      </c>
      <c r="B4918" t="inlineStr">
        <is>
          <t>MV̅CMXVII</t>
        </is>
      </c>
      <c r="C4918">
        <f>ROMAN(4917)</f>
        <v/>
      </c>
      <c r="D4918">
        <f>IF(B4918=C4918, "YES", "WRONG")</f>
        <v/>
      </c>
    </row>
    <row r="4919">
      <c r="A4919" t="n">
        <v>4918</v>
      </c>
      <c r="B4919" t="inlineStr">
        <is>
          <t>MV̅CMXVIII</t>
        </is>
      </c>
      <c r="C4919">
        <f>ROMAN(4918)</f>
        <v/>
      </c>
      <c r="D4919">
        <f>IF(B4919=C4919, "YES", "WRONG")</f>
        <v/>
      </c>
    </row>
    <row r="4920">
      <c r="A4920" t="n">
        <v>4919</v>
      </c>
      <c r="B4920" t="inlineStr">
        <is>
          <t>MV̅CMXIX</t>
        </is>
      </c>
      <c r="C4920">
        <f>ROMAN(4919)</f>
        <v/>
      </c>
      <c r="D4920">
        <f>IF(B4920=C4920, "YES", "WRONG")</f>
        <v/>
      </c>
    </row>
    <row r="4921">
      <c r="A4921" t="n">
        <v>4920</v>
      </c>
      <c r="B4921" t="inlineStr">
        <is>
          <t>MV̅CMXX</t>
        </is>
      </c>
      <c r="C4921">
        <f>ROMAN(4920)</f>
        <v/>
      </c>
      <c r="D4921">
        <f>IF(B4921=C4921, "YES", "WRONG")</f>
        <v/>
      </c>
    </row>
    <row r="4922">
      <c r="A4922" t="n">
        <v>4921</v>
      </c>
      <c r="B4922" t="inlineStr">
        <is>
          <t>MV̅CMXXI</t>
        </is>
      </c>
      <c r="C4922">
        <f>ROMAN(4921)</f>
        <v/>
      </c>
      <c r="D4922">
        <f>IF(B4922=C4922, "YES", "WRONG")</f>
        <v/>
      </c>
    </row>
    <row r="4923">
      <c r="A4923" t="n">
        <v>4922</v>
      </c>
      <c r="B4923" t="inlineStr">
        <is>
          <t>MV̅CMXXII</t>
        </is>
      </c>
      <c r="C4923">
        <f>ROMAN(4922)</f>
        <v/>
      </c>
      <c r="D4923">
        <f>IF(B4923=C4923, "YES", "WRONG")</f>
        <v/>
      </c>
    </row>
    <row r="4924">
      <c r="A4924" t="n">
        <v>4923</v>
      </c>
      <c r="B4924" t="inlineStr">
        <is>
          <t>MV̅CMXXIII</t>
        </is>
      </c>
      <c r="C4924">
        <f>ROMAN(4923)</f>
        <v/>
      </c>
      <c r="D4924">
        <f>IF(B4924=C4924, "YES", "WRONG")</f>
        <v/>
      </c>
    </row>
    <row r="4925">
      <c r="A4925" t="n">
        <v>4924</v>
      </c>
      <c r="B4925" t="inlineStr">
        <is>
          <t>MV̅CMXXIV</t>
        </is>
      </c>
      <c r="C4925">
        <f>ROMAN(4924)</f>
        <v/>
      </c>
      <c r="D4925">
        <f>IF(B4925=C4925, "YES", "WRONG")</f>
        <v/>
      </c>
    </row>
    <row r="4926">
      <c r="A4926" t="n">
        <v>4925</v>
      </c>
      <c r="B4926" t="inlineStr">
        <is>
          <t>MV̅CMXXV</t>
        </is>
      </c>
      <c r="C4926">
        <f>ROMAN(4925)</f>
        <v/>
      </c>
      <c r="D4926">
        <f>IF(B4926=C4926, "YES", "WRONG")</f>
        <v/>
      </c>
    </row>
    <row r="4927">
      <c r="A4927" t="n">
        <v>4926</v>
      </c>
      <c r="B4927" t="inlineStr">
        <is>
          <t>MV̅CMXXVI</t>
        </is>
      </c>
      <c r="C4927">
        <f>ROMAN(4926)</f>
        <v/>
      </c>
      <c r="D4927">
        <f>IF(B4927=C4927, "YES", "WRONG")</f>
        <v/>
      </c>
    </row>
    <row r="4928">
      <c r="A4928" t="n">
        <v>4927</v>
      </c>
      <c r="B4928" t="inlineStr">
        <is>
          <t>MV̅CMXXVII</t>
        </is>
      </c>
      <c r="C4928">
        <f>ROMAN(4927)</f>
        <v/>
      </c>
      <c r="D4928">
        <f>IF(B4928=C4928, "YES", "WRONG")</f>
        <v/>
      </c>
    </row>
    <row r="4929">
      <c r="A4929" t="n">
        <v>4928</v>
      </c>
      <c r="B4929" t="inlineStr">
        <is>
          <t>MV̅CMXXVIII</t>
        </is>
      </c>
      <c r="C4929">
        <f>ROMAN(4928)</f>
        <v/>
      </c>
      <c r="D4929">
        <f>IF(B4929=C4929, "YES", "WRONG")</f>
        <v/>
      </c>
    </row>
    <row r="4930">
      <c r="A4930" t="n">
        <v>4929</v>
      </c>
      <c r="B4930" t="inlineStr">
        <is>
          <t>MV̅CMXXIX</t>
        </is>
      </c>
      <c r="C4930">
        <f>ROMAN(4929)</f>
        <v/>
      </c>
      <c r="D4930">
        <f>IF(B4930=C4930, "YES", "WRONG")</f>
        <v/>
      </c>
    </row>
    <row r="4931">
      <c r="A4931" t="n">
        <v>4930</v>
      </c>
      <c r="B4931" t="inlineStr">
        <is>
          <t>MV̅CMXXX</t>
        </is>
      </c>
      <c r="C4931">
        <f>ROMAN(4930)</f>
        <v/>
      </c>
      <c r="D4931">
        <f>IF(B4931=C4931, "YES", "WRONG")</f>
        <v/>
      </c>
    </row>
    <row r="4932">
      <c r="A4932" t="n">
        <v>4931</v>
      </c>
      <c r="B4932" t="inlineStr">
        <is>
          <t>MV̅CMXXXI</t>
        </is>
      </c>
      <c r="C4932">
        <f>ROMAN(4931)</f>
        <v/>
      </c>
      <c r="D4932">
        <f>IF(B4932=C4932, "YES", "WRONG")</f>
        <v/>
      </c>
    </row>
    <row r="4933">
      <c r="A4933" t="n">
        <v>4932</v>
      </c>
      <c r="B4933" t="inlineStr">
        <is>
          <t>MV̅CMXXXII</t>
        </is>
      </c>
      <c r="C4933">
        <f>ROMAN(4932)</f>
        <v/>
      </c>
      <c r="D4933">
        <f>IF(B4933=C4933, "YES", "WRONG")</f>
        <v/>
      </c>
    </row>
    <row r="4934">
      <c r="A4934" t="n">
        <v>4933</v>
      </c>
      <c r="B4934" t="inlineStr">
        <is>
          <t>MV̅CMXXXIII</t>
        </is>
      </c>
      <c r="C4934">
        <f>ROMAN(4933)</f>
        <v/>
      </c>
      <c r="D4934">
        <f>IF(B4934=C4934, "YES", "WRONG")</f>
        <v/>
      </c>
    </row>
    <row r="4935">
      <c r="A4935" t="n">
        <v>4934</v>
      </c>
      <c r="B4935" t="inlineStr">
        <is>
          <t>MV̅CMXXXIV</t>
        </is>
      </c>
      <c r="C4935">
        <f>ROMAN(4934)</f>
        <v/>
      </c>
      <c r="D4935">
        <f>IF(B4935=C4935, "YES", "WRONG")</f>
        <v/>
      </c>
    </row>
    <row r="4936">
      <c r="A4936" t="n">
        <v>4935</v>
      </c>
      <c r="B4936" t="inlineStr">
        <is>
          <t>MV̅CMXXXV</t>
        </is>
      </c>
      <c r="C4936">
        <f>ROMAN(4935)</f>
        <v/>
      </c>
      <c r="D4936">
        <f>IF(B4936=C4936, "YES", "WRONG")</f>
        <v/>
      </c>
    </row>
    <row r="4937">
      <c r="A4937" t="n">
        <v>4936</v>
      </c>
      <c r="B4937" t="inlineStr">
        <is>
          <t>MV̅CMXXXVI</t>
        </is>
      </c>
      <c r="C4937">
        <f>ROMAN(4936)</f>
        <v/>
      </c>
      <c r="D4937">
        <f>IF(B4937=C4937, "YES", "WRONG")</f>
        <v/>
      </c>
    </row>
    <row r="4938">
      <c r="A4938" t="n">
        <v>4937</v>
      </c>
      <c r="B4938" t="inlineStr">
        <is>
          <t>MV̅CMXXXVII</t>
        </is>
      </c>
      <c r="C4938">
        <f>ROMAN(4937)</f>
        <v/>
      </c>
      <c r="D4938">
        <f>IF(B4938=C4938, "YES", "WRONG")</f>
        <v/>
      </c>
    </row>
    <row r="4939">
      <c r="A4939" t="n">
        <v>4938</v>
      </c>
      <c r="B4939" t="inlineStr">
        <is>
          <t>MV̅CMXXXVIII</t>
        </is>
      </c>
      <c r="C4939">
        <f>ROMAN(4938)</f>
        <v/>
      </c>
      <c r="D4939">
        <f>IF(B4939=C4939, "YES", "WRONG")</f>
        <v/>
      </c>
    </row>
    <row r="4940">
      <c r="A4940" t="n">
        <v>4939</v>
      </c>
      <c r="B4940" t="inlineStr">
        <is>
          <t>MV̅CMXXXIX</t>
        </is>
      </c>
      <c r="C4940">
        <f>ROMAN(4939)</f>
        <v/>
      </c>
      <c r="D4940">
        <f>IF(B4940=C4940, "YES", "WRONG")</f>
        <v/>
      </c>
    </row>
    <row r="4941">
      <c r="A4941" t="n">
        <v>4940</v>
      </c>
      <c r="B4941" t="inlineStr">
        <is>
          <t>MV̅CMXL</t>
        </is>
      </c>
      <c r="C4941">
        <f>ROMAN(4940)</f>
        <v/>
      </c>
      <c r="D4941">
        <f>IF(B4941=C4941, "YES", "WRONG")</f>
        <v/>
      </c>
    </row>
    <row r="4942">
      <c r="A4942" t="n">
        <v>4941</v>
      </c>
      <c r="B4942" t="inlineStr">
        <is>
          <t>MV̅CMXLI</t>
        </is>
      </c>
      <c r="C4942">
        <f>ROMAN(4941)</f>
        <v/>
      </c>
      <c r="D4942">
        <f>IF(B4942=C4942, "YES", "WRONG")</f>
        <v/>
      </c>
    </row>
    <row r="4943">
      <c r="A4943" t="n">
        <v>4942</v>
      </c>
      <c r="B4943" t="inlineStr">
        <is>
          <t>MV̅CMXLII</t>
        </is>
      </c>
      <c r="C4943">
        <f>ROMAN(4942)</f>
        <v/>
      </c>
      <c r="D4943">
        <f>IF(B4943=C4943, "YES", "WRONG")</f>
        <v/>
      </c>
    </row>
    <row r="4944">
      <c r="A4944" t="n">
        <v>4943</v>
      </c>
      <c r="B4944" t="inlineStr">
        <is>
          <t>MV̅CMXLIII</t>
        </is>
      </c>
      <c r="C4944">
        <f>ROMAN(4943)</f>
        <v/>
      </c>
      <c r="D4944">
        <f>IF(B4944=C4944, "YES", "WRONG")</f>
        <v/>
      </c>
    </row>
    <row r="4945">
      <c r="A4945" t="n">
        <v>4944</v>
      </c>
      <c r="B4945" t="inlineStr">
        <is>
          <t>MV̅CMXLIV</t>
        </is>
      </c>
      <c r="C4945">
        <f>ROMAN(4944)</f>
        <v/>
      </c>
      <c r="D4945">
        <f>IF(B4945=C4945, "YES", "WRONG")</f>
        <v/>
      </c>
    </row>
    <row r="4946">
      <c r="A4946" t="n">
        <v>4945</v>
      </c>
      <c r="B4946" t="inlineStr">
        <is>
          <t>MV̅CMXLV</t>
        </is>
      </c>
      <c r="C4946">
        <f>ROMAN(4945)</f>
        <v/>
      </c>
      <c r="D4946">
        <f>IF(B4946=C4946, "YES", "WRONG")</f>
        <v/>
      </c>
    </row>
    <row r="4947">
      <c r="A4947" t="n">
        <v>4946</v>
      </c>
      <c r="B4947" t="inlineStr">
        <is>
          <t>MV̅CMXLVI</t>
        </is>
      </c>
      <c r="C4947">
        <f>ROMAN(4946)</f>
        <v/>
      </c>
      <c r="D4947">
        <f>IF(B4947=C4947, "YES", "WRONG")</f>
        <v/>
      </c>
    </row>
    <row r="4948">
      <c r="A4948" t="n">
        <v>4947</v>
      </c>
      <c r="B4948" t="inlineStr">
        <is>
          <t>MV̅CMXLVII</t>
        </is>
      </c>
      <c r="C4948">
        <f>ROMAN(4947)</f>
        <v/>
      </c>
      <c r="D4948">
        <f>IF(B4948=C4948, "YES", "WRONG")</f>
        <v/>
      </c>
    </row>
    <row r="4949">
      <c r="A4949" t="n">
        <v>4948</v>
      </c>
      <c r="B4949" t="inlineStr">
        <is>
          <t>MV̅CMXLVIII</t>
        </is>
      </c>
      <c r="C4949">
        <f>ROMAN(4948)</f>
        <v/>
      </c>
      <c r="D4949">
        <f>IF(B4949=C4949, "YES", "WRONG")</f>
        <v/>
      </c>
    </row>
    <row r="4950">
      <c r="A4950" t="n">
        <v>4949</v>
      </c>
      <c r="B4950" t="inlineStr">
        <is>
          <t>MV̅CMXLIX</t>
        </is>
      </c>
      <c r="C4950">
        <f>ROMAN(4949)</f>
        <v/>
      </c>
      <c r="D4950">
        <f>IF(B4950=C4950, "YES", "WRONG")</f>
        <v/>
      </c>
    </row>
    <row r="4951">
      <c r="A4951" t="n">
        <v>4950</v>
      </c>
      <c r="B4951" t="inlineStr">
        <is>
          <t>MV̅CML</t>
        </is>
      </c>
      <c r="C4951">
        <f>ROMAN(4950)</f>
        <v/>
      </c>
      <c r="D4951">
        <f>IF(B4951=C4951, "YES", "WRONG")</f>
        <v/>
      </c>
    </row>
    <row r="4952">
      <c r="A4952" t="n">
        <v>4951</v>
      </c>
      <c r="B4952" t="inlineStr">
        <is>
          <t>MV̅CMLI</t>
        </is>
      </c>
      <c r="C4952">
        <f>ROMAN(4951)</f>
        <v/>
      </c>
      <c r="D4952">
        <f>IF(B4952=C4952, "YES", "WRONG")</f>
        <v/>
      </c>
    </row>
    <row r="4953">
      <c r="A4953" t="n">
        <v>4952</v>
      </c>
      <c r="B4953" t="inlineStr">
        <is>
          <t>MV̅CMLII</t>
        </is>
      </c>
      <c r="C4953">
        <f>ROMAN(4952)</f>
        <v/>
      </c>
      <c r="D4953">
        <f>IF(B4953=C4953, "YES", "WRONG")</f>
        <v/>
      </c>
    </row>
    <row r="4954">
      <c r="A4954" t="n">
        <v>4953</v>
      </c>
      <c r="B4954" t="inlineStr">
        <is>
          <t>MV̅CMLIII</t>
        </is>
      </c>
      <c r="C4954">
        <f>ROMAN(4953)</f>
        <v/>
      </c>
      <c r="D4954">
        <f>IF(B4954=C4954, "YES", "WRONG")</f>
        <v/>
      </c>
    </row>
    <row r="4955">
      <c r="A4955" t="n">
        <v>4954</v>
      </c>
      <c r="B4955" t="inlineStr">
        <is>
          <t>MV̅CMLIV</t>
        </is>
      </c>
      <c r="C4955">
        <f>ROMAN(4954)</f>
        <v/>
      </c>
      <c r="D4955">
        <f>IF(B4955=C4955, "YES", "WRONG")</f>
        <v/>
      </c>
    </row>
    <row r="4956">
      <c r="A4956" t="n">
        <v>4955</v>
      </c>
      <c r="B4956" t="inlineStr">
        <is>
          <t>MV̅CMLV</t>
        </is>
      </c>
      <c r="C4956">
        <f>ROMAN(4955)</f>
        <v/>
      </c>
      <c r="D4956">
        <f>IF(B4956=C4956, "YES", "WRONG")</f>
        <v/>
      </c>
    </row>
    <row r="4957">
      <c r="A4957" t="n">
        <v>4956</v>
      </c>
      <c r="B4957" t="inlineStr">
        <is>
          <t>MV̅CMLVI</t>
        </is>
      </c>
      <c r="C4957">
        <f>ROMAN(4956)</f>
        <v/>
      </c>
      <c r="D4957">
        <f>IF(B4957=C4957, "YES", "WRONG")</f>
        <v/>
      </c>
    </row>
    <row r="4958">
      <c r="A4958" t="n">
        <v>4957</v>
      </c>
      <c r="B4958" t="inlineStr">
        <is>
          <t>MV̅CMLVII</t>
        </is>
      </c>
      <c r="C4958">
        <f>ROMAN(4957)</f>
        <v/>
      </c>
      <c r="D4958">
        <f>IF(B4958=C4958, "YES", "WRONG")</f>
        <v/>
      </c>
    </row>
    <row r="4959">
      <c r="A4959" t="n">
        <v>4958</v>
      </c>
      <c r="B4959" t="inlineStr">
        <is>
          <t>MV̅CMLVIII</t>
        </is>
      </c>
      <c r="C4959">
        <f>ROMAN(4958)</f>
        <v/>
      </c>
      <c r="D4959">
        <f>IF(B4959=C4959, "YES", "WRONG")</f>
        <v/>
      </c>
    </row>
    <row r="4960">
      <c r="A4960" t="n">
        <v>4959</v>
      </c>
      <c r="B4960" t="inlineStr">
        <is>
          <t>MV̅CMLIX</t>
        </is>
      </c>
      <c r="C4960">
        <f>ROMAN(4959)</f>
        <v/>
      </c>
      <c r="D4960">
        <f>IF(B4960=C4960, "YES", "WRONG")</f>
        <v/>
      </c>
    </row>
    <row r="4961">
      <c r="A4961" t="n">
        <v>4960</v>
      </c>
      <c r="B4961" t="inlineStr">
        <is>
          <t>MV̅CMLX</t>
        </is>
      </c>
      <c r="C4961">
        <f>ROMAN(4960)</f>
        <v/>
      </c>
      <c r="D4961">
        <f>IF(B4961=C4961, "YES", "WRONG")</f>
        <v/>
      </c>
    </row>
    <row r="4962">
      <c r="A4962" t="n">
        <v>4961</v>
      </c>
      <c r="B4962" t="inlineStr">
        <is>
          <t>MV̅CMLXI</t>
        </is>
      </c>
      <c r="C4962">
        <f>ROMAN(4961)</f>
        <v/>
      </c>
      <c r="D4962">
        <f>IF(B4962=C4962, "YES", "WRONG")</f>
        <v/>
      </c>
    </row>
    <row r="4963">
      <c r="A4963" t="n">
        <v>4962</v>
      </c>
      <c r="B4963" t="inlineStr">
        <is>
          <t>MV̅CMLXII</t>
        </is>
      </c>
      <c r="C4963">
        <f>ROMAN(4962)</f>
        <v/>
      </c>
      <c r="D4963">
        <f>IF(B4963=C4963, "YES", "WRONG")</f>
        <v/>
      </c>
    </row>
    <row r="4964">
      <c r="A4964" t="n">
        <v>4963</v>
      </c>
      <c r="B4964" t="inlineStr">
        <is>
          <t>MV̅CMLXIII</t>
        </is>
      </c>
      <c r="C4964">
        <f>ROMAN(4963)</f>
        <v/>
      </c>
      <c r="D4964">
        <f>IF(B4964=C4964, "YES", "WRONG")</f>
        <v/>
      </c>
    </row>
    <row r="4965">
      <c r="A4965" t="n">
        <v>4964</v>
      </c>
      <c r="B4965" t="inlineStr">
        <is>
          <t>MV̅CMLXIV</t>
        </is>
      </c>
      <c r="C4965">
        <f>ROMAN(4964)</f>
        <v/>
      </c>
      <c r="D4965">
        <f>IF(B4965=C4965, "YES", "WRONG")</f>
        <v/>
      </c>
    </row>
    <row r="4966">
      <c r="A4966" t="n">
        <v>4965</v>
      </c>
      <c r="B4966" t="inlineStr">
        <is>
          <t>MV̅CMLXV</t>
        </is>
      </c>
      <c r="C4966">
        <f>ROMAN(4965)</f>
        <v/>
      </c>
      <c r="D4966">
        <f>IF(B4966=C4966, "YES", "WRONG")</f>
        <v/>
      </c>
    </row>
    <row r="4967">
      <c r="A4967" t="n">
        <v>4966</v>
      </c>
      <c r="B4967" t="inlineStr">
        <is>
          <t>MV̅CMLXVI</t>
        </is>
      </c>
      <c r="C4967">
        <f>ROMAN(4966)</f>
        <v/>
      </c>
      <c r="D4967">
        <f>IF(B4967=C4967, "YES", "WRONG")</f>
        <v/>
      </c>
    </row>
    <row r="4968">
      <c r="A4968" t="n">
        <v>4967</v>
      </c>
      <c r="B4968" t="inlineStr">
        <is>
          <t>MV̅CMLXVII</t>
        </is>
      </c>
      <c r="C4968">
        <f>ROMAN(4967)</f>
        <v/>
      </c>
      <c r="D4968">
        <f>IF(B4968=C4968, "YES", "WRONG")</f>
        <v/>
      </c>
    </row>
    <row r="4969">
      <c r="A4969" t="n">
        <v>4968</v>
      </c>
      <c r="B4969" t="inlineStr">
        <is>
          <t>MV̅CMLXVIII</t>
        </is>
      </c>
      <c r="C4969">
        <f>ROMAN(4968)</f>
        <v/>
      </c>
      <c r="D4969">
        <f>IF(B4969=C4969, "YES", "WRONG")</f>
        <v/>
      </c>
    </row>
    <row r="4970">
      <c r="A4970" t="n">
        <v>4969</v>
      </c>
      <c r="B4970" t="inlineStr">
        <is>
          <t>MV̅CMLXIX</t>
        </is>
      </c>
      <c r="C4970">
        <f>ROMAN(4969)</f>
        <v/>
      </c>
      <c r="D4970">
        <f>IF(B4970=C4970, "YES", "WRONG")</f>
        <v/>
      </c>
    </row>
    <row r="4971">
      <c r="A4971" t="n">
        <v>4970</v>
      </c>
      <c r="B4971" t="inlineStr">
        <is>
          <t>MV̅CMLXX</t>
        </is>
      </c>
      <c r="C4971">
        <f>ROMAN(4970)</f>
        <v/>
      </c>
      <c r="D4971">
        <f>IF(B4971=C4971, "YES", "WRONG")</f>
        <v/>
      </c>
    </row>
    <row r="4972">
      <c r="A4972" t="n">
        <v>4971</v>
      </c>
      <c r="B4972" t="inlineStr">
        <is>
          <t>MV̅CMLXXI</t>
        </is>
      </c>
      <c r="C4972">
        <f>ROMAN(4971)</f>
        <v/>
      </c>
      <c r="D4972">
        <f>IF(B4972=C4972, "YES", "WRONG")</f>
        <v/>
      </c>
    </row>
    <row r="4973">
      <c r="A4973" t="n">
        <v>4972</v>
      </c>
      <c r="B4973" t="inlineStr">
        <is>
          <t>MV̅CMLXXII</t>
        </is>
      </c>
      <c r="C4973">
        <f>ROMAN(4972)</f>
        <v/>
      </c>
      <c r="D4973">
        <f>IF(B4973=C4973, "YES", "WRONG")</f>
        <v/>
      </c>
    </row>
    <row r="4974">
      <c r="A4974" t="n">
        <v>4973</v>
      </c>
      <c r="B4974" t="inlineStr">
        <is>
          <t>MV̅CMLXXIII</t>
        </is>
      </c>
      <c r="C4974">
        <f>ROMAN(4973)</f>
        <v/>
      </c>
      <c r="D4974">
        <f>IF(B4974=C4974, "YES", "WRONG")</f>
        <v/>
      </c>
    </row>
    <row r="4975">
      <c r="A4975" t="n">
        <v>4974</v>
      </c>
      <c r="B4975" t="inlineStr">
        <is>
          <t>MV̅CMLXXIV</t>
        </is>
      </c>
      <c r="C4975">
        <f>ROMAN(4974)</f>
        <v/>
      </c>
      <c r="D4975">
        <f>IF(B4975=C4975, "YES", "WRONG")</f>
        <v/>
      </c>
    </row>
    <row r="4976">
      <c r="A4976" t="n">
        <v>4975</v>
      </c>
      <c r="B4976" t="inlineStr">
        <is>
          <t>MV̅CMLXXV</t>
        </is>
      </c>
      <c r="C4976">
        <f>ROMAN(4975)</f>
        <v/>
      </c>
      <c r="D4976">
        <f>IF(B4976=C4976, "YES", "WRONG")</f>
        <v/>
      </c>
    </row>
    <row r="4977">
      <c r="A4977" t="n">
        <v>4976</v>
      </c>
      <c r="B4977" t="inlineStr">
        <is>
          <t>MV̅CMLXXVI</t>
        </is>
      </c>
      <c r="C4977">
        <f>ROMAN(4976)</f>
        <v/>
      </c>
      <c r="D4977">
        <f>IF(B4977=C4977, "YES", "WRONG")</f>
        <v/>
      </c>
    </row>
    <row r="4978">
      <c r="A4978" t="n">
        <v>4977</v>
      </c>
      <c r="B4978" t="inlineStr">
        <is>
          <t>MV̅CMLXXVII</t>
        </is>
      </c>
      <c r="C4978">
        <f>ROMAN(4977)</f>
        <v/>
      </c>
      <c r="D4978">
        <f>IF(B4978=C4978, "YES", "WRONG")</f>
        <v/>
      </c>
    </row>
    <row r="4979">
      <c r="A4979" t="n">
        <v>4978</v>
      </c>
      <c r="B4979" t="inlineStr">
        <is>
          <t>MV̅CMLXXVIII</t>
        </is>
      </c>
      <c r="C4979">
        <f>ROMAN(4978)</f>
        <v/>
      </c>
      <c r="D4979">
        <f>IF(B4979=C4979, "YES", "WRONG")</f>
        <v/>
      </c>
    </row>
    <row r="4980">
      <c r="A4980" t="n">
        <v>4979</v>
      </c>
      <c r="B4980" t="inlineStr">
        <is>
          <t>MV̅CMLXXIX</t>
        </is>
      </c>
      <c r="C4980">
        <f>ROMAN(4979)</f>
        <v/>
      </c>
      <c r="D4980">
        <f>IF(B4980=C4980, "YES", "WRONG")</f>
        <v/>
      </c>
    </row>
    <row r="4981">
      <c r="A4981" t="n">
        <v>4980</v>
      </c>
      <c r="B4981" t="inlineStr">
        <is>
          <t>MV̅CMLXXX</t>
        </is>
      </c>
      <c r="C4981">
        <f>ROMAN(4980)</f>
        <v/>
      </c>
      <c r="D4981">
        <f>IF(B4981=C4981, "YES", "WRONG")</f>
        <v/>
      </c>
    </row>
    <row r="4982">
      <c r="A4982" t="n">
        <v>4981</v>
      </c>
      <c r="B4982" t="inlineStr">
        <is>
          <t>MV̅CMLXXXI</t>
        </is>
      </c>
      <c r="C4982">
        <f>ROMAN(4981)</f>
        <v/>
      </c>
      <c r="D4982">
        <f>IF(B4982=C4982, "YES", "WRONG")</f>
        <v/>
      </c>
    </row>
    <row r="4983">
      <c r="A4983" t="n">
        <v>4982</v>
      </c>
      <c r="B4983" t="inlineStr">
        <is>
          <t>MV̅CMLXXXII</t>
        </is>
      </c>
      <c r="C4983">
        <f>ROMAN(4982)</f>
        <v/>
      </c>
      <c r="D4983">
        <f>IF(B4983=C4983, "YES", "WRONG")</f>
        <v/>
      </c>
    </row>
    <row r="4984">
      <c r="A4984" t="n">
        <v>4983</v>
      </c>
      <c r="B4984" t="inlineStr">
        <is>
          <t>MV̅CMLXXXIII</t>
        </is>
      </c>
      <c r="C4984">
        <f>ROMAN(4983)</f>
        <v/>
      </c>
      <c r="D4984">
        <f>IF(B4984=C4984, "YES", "WRONG")</f>
        <v/>
      </c>
    </row>
    <row r="4985">
      <c r="A4985" t="n">
        <v>4984</v>
      </c>
      <c r="B4985" t="inlineStr">
        <is>
          <t>MV̅CMLXXXIV</t>
        </is>
      </c>
      <c r="C4985">
        <f>ROMAN(4984)</f>
        <v/>
      </c>
      <c r="D4985">
        <f>IF(B4985=C4985, "YES", "WRONG")</f>
        <v/>
      </c>
    </row>
    <row r="4986">
      <c r="A4986" t="n">
        <v>4985</v>
      </c>
      <c r="B4986" t="inlineStr">
        <is>
          <t>MV̅CMLXXXV</t>
        </is>
      </c>
      <c r="C4986">
        <f>ROMAN(4985)</f>
        <v/>
      </c>
      <c r="D4986">
        <f>IF(B4986=C4986, "YES", "WRONG")</f>
        <v/>
      </c>
    </row>
    <row r="4987">
      <c r="A4987" t="n">
        <v>4986</v>
      </c>
      <c r="B4987" t="inlineStr">
        <is>
          <t>MV̅CMLXXXVI</t>
        </is>
      </c>
      <c r="C4987">
        <f>ROMAN(4986)</f>
        <v/>
      </c>
      <c r="D4987">
        <f>IF(B4987=C4987, "YES", "WRONG")</f>
        <v/>
      </c>
    </row>
    <row r="4988">
      <c r="A4988" t="n">
        <v>4987</v>
      </c>
      <c r="B4988" t="inlineStr">
        <is>
          <t>MV̅CMLXXXVII</t>
        </is>
      </c>
      <c r="C4988">
        <f>ROMAN(4987)</f>
        <v/>
      </c>
      <c r="D4988">
        <f>IF(B4988=C4988, "YES", "WRONG")</f>
        <v/>
      </c>
    </row>
    <row r="4989">
      <c r="A4989" t="n">
        <v>4988</v>
      </c>
      <c r="B4989" t="inlineStr">
        <is>
          <t>MV̅CMLXXXVIII</t>
        </is>
      </c>
      <c r="C4989">
        <f>ROMAN(4988)</f>
        <v/>
      </c>
      <c r="D4989">
        <f>IF(B4989=C4989, "YES", "WRONG")</f>
        <v/>
      </c>
    </row>
    <row r="4990">
      <c r="A4990" t="n">
        <v>4989</v>
      </c>
      <c r="B4990" t="inlineStr">
        <is>
          <t>MV̅CMLXXXIX</t>
        </is>
      </c>
      <c r="C4990">
        <f>ROMAN(4989)</f>
        <v/>
      </c>
      <c r="D4990">
        <f>IF(B4990=C4990, "YES", "WRONG")</f>
        <v/>
      </c>
    </row>
    <row r="4991">
      <c r="A4991" t="n">
        <v>4990</v>
      </c>
      <c r="B4991" t="inlineStr">
        <is>
          <t>MV̅CMXC</t>
        </is>
      </c>
      <c r="C4991">
        <f>ROMAN(4990)</f>
        <v/>
      </c>
      <c r="D4991">
        <f>IF(B4991=C4991, "YES", "WRONG")</f>
        <v/>
      </c>
    </row>
    <row r="4992">
      <c r="A4992" t="n">
        <v>4991</v>
      </c>
      <c r="B4992" t="inlineStr">
        <is>
          <t>MV̅CMXCI</t>
        </is>
      </c>
      <c r="C4992">
        <f>ROMAN(4991)</f>
        <v/>
      </c>
      <c r="D4992">
        <f>IF(B4992=C4992, "YES", "WRONG")</f>
        <v/>
      </c>
    </row>
    <row r="4993">
      <c r="A4993" t="n">
        <v>4992</v>
      </c>
      <c r="B4993" t="inlineStr">
        <is>
          <t>MV̅CMXCII</t>
        </is>
      </c>
      <c r="C4993">
        <f>ROMAN(4992)</f>
        <v/>
      </c>
      <c r="D4993">
        <f>IF(B4993=C4993, "YES", "WRONG")</f>
        <v/>
      </c>
    </row>
    <row r="4994">
      <c r="A4994" t="n">
        <v>4993</v>
      </c>
      <c r="B4994" t="inlineStr">
        <is>
          <t>MV̅CMXCIII</t>
        </is>
      </c>
      <c r="C4994">
        <f>ROMAN(4993)</f>
        <v/>
      </c>
      <c r="D4994">
        <f>IF(B4994=C4994, "YES", "WRONG")</f>
        <v/>
      </c>
    </row>
    <row r="4995">
      <c r="A4995" t="n">
        <v>4994</v>
      </c>
      <c r="B4995" t="inlineStr">
        <is>
          <t>MV̅CMXCIV</t>
        </is>
      </c>
      <c r="C4995">
        <f>ROMAN(4994)</f>
        <v/>
      </c>
      <c r="D4995">
        <f>IF(B4995=C4995, "YES", "WRONG")</f>
        <v/>
      </c>
    </row>
    <row r="4996">
      <c r="A4996" t="n">
        <v>4995</v>
      </c>
      <c r="B4996" t="inlineStr">
        <is>
          <t>MV̅CMXCV</t>
        </is>
      </c>
      <c r="C4996">
        <f>ROMAN(4995)</f>
        <v/>
      </c>
      <c r="D4996">
        <f>IF(B4996=C4996, "YES", "WRONG")</f>
        <v/>
      </c>
    </row>
    <row r="4997">
      <c r="A4997" t="n">
        <v>4996</v>
      </c>
      <c r="B4997" t="inlineStr">
        <is>
          <t>MV̅CMXCVI</t>
        </is>
      </c>
      <c r="C4997">
        <f>ROMAN(4996)</f>
        <v/>
      </c>
      <c r="D4997">
        <f>IF(B4997=C4997, "YES", "WRONG")</f>
        <v/>
      </c>
    </row>
    <row r="4998">
      <c r="A4998" t="n">
        <v>4997</v>
      </c>
      <c r="B4998" t="inlineStr">
        <is>
          <t>MV̅CMXCVII</t>
        </is>
      </c>
      <c r="C4998">
        <f>ROMAN(4997)</f>
        <v/>
      </c>
      <c r="D4998">
        <f>IF(B4998=C4998, "YES", "WRONG")</f>
        <v/>
      </c>
    </row>
    <row r="4999">
      <c r="A4999" t="n">
        <v>4998</v>
      </c>
      <c r="B4999" t="inlineStr">
        <is>
          <t>MV̅CMXCVIII</t>
        </is>
      </c>
      <c r="C4999">
        <f>ROMAN(4998)</f>
        <v/>
      </c>
      <c r="D4999">
        <f>IF(B4999=C4999, "YES", "WRONG")</f>
        <v/>
      </c>
    </row>
    <row r="5000">
      <c r="A5000" t="n">
        <v>4999</v>
      </c>
      <c r="B5000" t="inlineStr">
        <is>
          <t>MV̅CMXCIX</t>
        </is>
      </c>
      <c r="C5000">
        <f>ROMAN(4999)</f>
        <v/>
      </c>
      <c r="D5000">
        <f>IF(B5000=C5000, "YES", "WRONG")</f>
        <v/>
      </c>
    </row>
    <row r="5001">
      <c r="A5001" t="n">
        <v>5000</v>
      </c>
      <c r="B5001" t="inlineStr">
        <is>
          <t>V̅</t>
        </is>
      </c>
      <c r="C5001">
        <f>ROMAN(5000)</f>
        <v/>
      </c>
      <c r="D5001">
        <f>IF(B5001=C5001, "YES", "WRONG")</f>
        <v/>
      </c>
    </row>
    <row r="5002">
      <c r="A5002" t="n">
        <v>5001</v>
      </c>
      <c r="B5002" t="inlineStr">
        <is>
          <t>V̅I</t>
        </is>
      </c>
      <c r="C5002">
        <f>ROMAN(5001)</f>
        <v/>
      </c>
      <c r="D5002">
        <f>IF(B5002=C5002, "YES", "WRONG")</f>
        <v/>
      </c>
    </row>
    <row r="5003">
      <c r="A5003" t="n">
        <v>5002</v>
      </c>
      <c r="B5003" t="inlineStr">
        <is>
          <t>V̅II</t>
        </is>
      </c>
      <c r="C5003">
        <f>ROMAN(5002)</f>
        <v/>
      </c>
      <c r="D5003">
        <f>IF(B5003=C5003, "YES", "WRONG")</f>
        <v/>
      </c>
    </row>
    <row r="5004">
      <c r="A5004" t="n">
        <v>5003</v>
      </c>
      <c r="B5004" t="inlineStr">
        <is>
          <t>V̅III</t>
        </is>
      </c>
      <c r="C5004">
        <f>ROMAN(5003)</f>
        <v/>
      </c>
      <c r="D5004">
        <f>IF(B5004=C5004, "YES", "WRONG")</f>
        <v/>
      </c>
    </row>
    <row r="5005">
      <c r="A5005" t="n">
        <v>5004</v>
      </c>
      <c r="B5005" t="inlineStr">
        <is>
          <t>V̅IV</t>
        </is>
      </c>
      <c r="C5005">
        <f>ROMAN(5004)</f>
        <v/>
      </c>
      <c r="D5005">
        <f>IF(B5005=C5005, "YES", "WRONG")</f>
        <v/>
      </c>
    </row>
    <row r="5006">
      <c r="A5006" t="n">
        <v>5005</v>
      </c>
      <c r="B5006" t="inlineStr">
        <is>
          <t>V̅V</t>
        </is>
      </c>
      <c r="C5006">
        <f>ROMAN(5005)</f>
        <v/>
      </c>
      <c r="D5006">
        <f>IF(B5006=C5006, "YES", "WRONG")</f>
        <v/>
      </c>
    </row>
    <row r="5007">
      <c r="A5007" t="n">
        <v>5006</v>
      </c>
      <c r="B5007" t="inlineStr">
        <is>
          <t>V̅VI</t>
        </is>
      </c>
      <c r="C5007">
        <f>ROMAN(5006)</f>
        <v/>
      </c>
      <c r="D5007">
        <f>IF(B5007=C5007, "YES", "WRONG")</f>
        <v/>
      </c>
    </row>
    <row r="5008">
      <c r="A5008" t="n">
        <v>5007</v>
      </c>
      <c r="B5008" t="inlineStr">
        <is>
          <t>V̅VII</t>
        </is>
      </c>
      <c r="C5008">
        <f>ROMAN(5007)</f>
        <v/>
      </c>
      <c r="D5008">
        <f>IF(B5008=C5008, "YES", "WRONG")</f>
        <v/>
      </c>
    </row>
    <row r="5009">
      <c r="A5009" t="n">
        <v>5008</v>
      </c>
      <c r="B5009" t="inlineStr">
        <is>
          <t>V̅VIII</t>
        </is>
      </c>
      <c r="C5009">
        <f>ROMAN(5008)</f>
        <v/>
      </c>
      <c r="D5009">
        <f>IF(B5009=C5009, "YES", "WRONG")</f>
        <v/>
      </c>
    </row>
    <row r="5010">
      <c r="A5010" t="n">
        <v>5009</v>
      </c>
      <c r="B5010" t="inlineStr">
        <is>
          <t>V̅IX</t>
        </is>
      </c>
      <c r="C5010">
        <f>ROMAN(5009)</f>
        <v/>
      </c>
      <c r="D5010">
        <f>IF(B5010=C5010, "YES", "WRONG")</f>
        <v/>
      </c>
    </row>
    <row r="5011">
      <c r="A5011" t="n">
        <v>5010</v>
      </c>
      <c r="B5011" t="inlineStr">
        <is>
          <t>V̅X</t>
        </is>
      </c>
      <c r="C5011">
        <f>ROMAN(5010)</f>
        <v/>
      </c>
      <c r="D5011">
        <f>IF(B5011=C5011, "YES", "WRONG")</f>
        <v/>
      </c>
    </row>
    <row r="5012">
      <c r="A5012" t="n">
        <v>5011</v>
      </c>
      <c r="B5012" t="inlineStr">
        <is>
          <t>V̅XI</t>
        </is>
      </c>
      <c r="C5012">
        <f>ROMAN(5011)</f>
        <v/>
      </c>
      <c r="D5012">
        <f>IF(B5012=C5012, "YES", "WRONG")</f>
        <v/>
      </c>
    </row>
    <row r="5013">
      <c r="A5013" t="n">
        <v>5012</v>
      </c>
      <c r="B5013" t="inlineStr">
        <is>
          <t>V̅XII</t>
        </is>
      </c>
      <c r="C5013">
        <f>ROMAN(5012)</f>
        <v/>
      </c>
      <c r="D5013">
        <f>IF(B5013=C5013, "YES", "WRONG")</f>
        <v/>
      </c>
    </row>
    <row r="5014">
      <c r="A5014" t="n">
        <v>5013</v>
      </c>
      <c r="B5014" t="inlineStr">
        <is>
          <t>V̅XIII</t>
        </is>
      </c>
      <c r="C5014">
        <f>ROMAN(5013)</f>
        <v/>
      </c>
      <c r="D5014">
        <f>IF(B5014=C5014, "YES", "WRONG")</f>
        <v/>
      </c>
    </row>
    <row r="5015">
      <c r="A5015" t="n">
        <v>5014</v>
      </c>
      <c r="B5015" t="inlineStr">
        <is>
          <t>V̅XIV</t>
        </is>
      </c>
      <c r="C5015">
        <f>ROMAN(5014)</f>
        <v/>
      </c>
      <c r="D5015">
        <f>IF(B5015=C5015, "YES", "WRONG")</f>
        <v/>
      </c>
    </row>
    <row r="5016">
      <c r="A5016" t="n">
        <v>5015</v>
      </c>
      <c r="B5016" t="inlineStr">
        <is>
          <t>V̅XV</t>
        </is>
      </c>
      <c r="C5016">
        <f>ROMAN(5015)</f>
        <v/>
      </c>
      <c r="D5016">
        <f>IF(B5016=C5016, "YES", "WRONG")</f>
        <v/>
      </c>
    </row>
    <row r="5017">
      <c r="A5017" t="n">
        <v>5016</v>
      </c>
      <c r="B5017" t="inlineStr">
        <is>
          <t>V̅XVI</t>
        </is>
      </c>
      <c r="C5017">
        <f>ROMAN(5016)</f>
        <v/>
      </c>
      <c r="D5017">
        <f>IF(B5017=C5017, "YES", "WRONG")</f>
        <v/>
      </c>
    </row>
    <row r="5018">
      <c r="A5018" t="n">
        <v>5017</v>
      </c>
      <c r="B5018" t="inlineStr">
        <is>
          <t>V̅XVII</t>
        </is>
      </c>
      <c r="C5018">
        <f>ROMAN(5017)</f>
        <v/>
      </c>
      <c r="D5018">
        <f>IF(B5018=C5018, "YES", "WRONG")</f>
        <v/>
      </c>
    </row>
    <row r="5019">
      <c r="A5019" t="n">
        <v>5018</v>
      </c>
      <c r="B5019" t="inlineStr">
        <is>
          <t>V̅XVIII</t>
        </is>
      </c>
      <c r="C5019">
        <f>ROMAN(5018)</f>
        <v/>
      </c>
      <c r="D5019">
        <f>IF(B5019=C5019, "YES", "WRONG")</f>
        <v/>
      </c>
    </row>
    <row r="5020">
      <c r="A5020" t="n">
        <v>5019</v>
      </c>
      <c r="B5020" t="inlineStr">
        <is>
          <t>V̅XIX</t>
        </is>
      </c>
      <c r="C5020">
        <f>ROMAN(5019)</f>
        <v/>
      </c>
      <c r="D5020">
        <f>IF(B5020=C5020, "YES", "WRONG")</f>
        <v/>
      </c>
    </row>
    <row r="5021">
      <c r="A5021" t="n">
        <v>5020</v>
      </c>
      <c r="B5021" t="inlineStr">
        <is>
          <t>V̅XX</t>
        </is>
      </c>
      <c r="C5021">
        <f>ROMAN(5020)</f>
        <v/>
      </c>
      <c r="D5021">
        <f>IF(B5021=C5021, "YES", "WRONG")</f>
        <v/>
      </c>
    </row>
    <row r="5022">
      <c r="A5022" t="n">
        <v>5021</v>
      </c>
      <c r="B5022" t="inlineStr">
        <is>
          <t>V̅XXI</t>
        </is>
      </c>
      <c r="C5022">
        <f>ROMAN(5021)</f>
        <v/>
      </c>
      <c r="D5022">
        <f>IF(B5022=C5022, "YES", "WRONG")</f>
        <v/>
      </c>
    </row>
    <row r="5023">
      <c r="A5023" t="n">
        <v>5022</v>
      </c>
      <c r="B5023" t="inlineStr">
        <is>
          <t>V̅XXII</t>
        </is>
      </c>
      <c r="C5023">
        <f>ROMAN(5022)</f>
        <v/>
      </c>
      <c r="D5023">
        <f>IF(B5023=C5023, "YES", "WRONG")</f>
        <v/>
      </c>
    </row>
    <row r="5024">
      <c r="A5024" t="n">
        <v>5023</v>
      </c>
      <c r="B5024" t="inlineStr">
        <is>
          <t>V̅XXIII</t>
        </is>
      </c>
      <c r="C5024">
        <f>ROMAN(5023)</f>
        <v/>
      </c>
      <c r="D5024">
        <f>IF(B5024=C5024, "YES", "WRONG")</f>
        <v/>
      </c>
    </row>
    <row r="5025">
      <c r="A5025" t="n">
        <v>5024</v>
      </c>
      <c r="B5025" t="inlineStr">
        <is>
          <t>V̅XXIV</t>
        </is>
      </c>
      <c r="C5025">
        <f>ROMAN(5024)</f>
        <v/>
      </c>
      <c r="D5025">
        <f>IF(B5025=C5025, "YES", "WRONG")</f>
        <v/>
      </c>
    </row>
    <row r="5026">
      <c r="A5026" t="n">
        <v>5025</v>
      </c>
      <c r="B5026" t="inlineStr">
        <is>
          <t>V̅XXV</t>
        </is>
      </c>
      <c r="C5026">
        <f>ROMAN(5025)</f>
        <v/>
      </c>
      <c r="D5026">
        <f>IF(B5026=C5026, "YES", "WRONG")</f>
        <v/>
      </c>
    </row>
    <row r="5027">
      <c r="A5027" t="n">
        <v>5026</v>
      </c>
      <c r="B5027" t="inlineStr">
        <is>
          <t>V̅XXVI</t>
        </is>
      </c>
      <c r="C5027">
        <f>ROMAN(5026)</f>
        <v/>
      </c>
      <c r="D5027">
        <f>IF(B5027=C5027, "YES", "WRONG")</f>
        <v/>
      </c>
    </row>
    <row r="5028">
      <c r="A5028" t="n">
        <v>5027</v>
      </c>
      <c r="B5028" t="inlineStr">
        <is>
          <t>V̅XXVII</t>
        </is>
      </c>
      <c r="C5028">
        <f>ROMAN(5027)</f>
        <v/>
      </c>
      <c r="D5028">
        <f>IF(B5028=C5028, "YES", "WRONG")</f>
        <v/>
      </c>
    </row>
    <row r="5029">
      <c r="A5029" t="n">
        <v>5028</v>
      </c>
      <c r="B5029" t="inlineStr">
        <is>
          <t>V̅XXVIII</t>
        </is>
      </c>
      <c r="C5029">
        <f>ROMAN(5028)</f>
        <v/>
      </c>
      <c r="D5029">
        <f>IF(B5029=C5029, "YES", "WRONG")</f>
        <v/>
      </c>
    </row>
    <row r="5030">
      <c r="A5030" t="n">
        <v>5029</v>
      </c>
      <c r="B5030" t="inlineStr">
        <is>
          <t>V̅XXIX</t>
        </is>
      </c>
      <c r="C5030">
        <f>ROMAN(5029)</f>
        <v/>
      </c>
      <c r="D5030">
        <f>IF(B5030=C5030, "YES", "WRONG")</f>
        <v/>
      </c>
    </row>
    <row r="5031">
      <c r="A5031" t="n">
        <v>5030</v>
      </c>
      <c r="B5031" t="inlineStr">
        <is>
          <t>V̅XXX</t>
        </is>
      </c>
      <c r="C5031">
        <f>ROMAN(5030)</f>
        <v/>
      </c>
      <c r="D5031">
        <f>IF(B5031=C5031, "YES", "WRONG")</f>
        <v/>
      </c>
    </row>
    <row r="5032">
      <c r="A5032" t="n">
        <v>5031</v>
      </c>
      <c r="B5032" t="inlineStr">
        <is>
          <t>V̅XXXI</t>
        </is>
      </c>
      <c r="C5032">
        <f>ROMAN(5031)</f>
        <v/>
      </c>
      <c r="D5032">
        <f>IF(B5032=C5032, "YES", "WRONG")</f>
        <v/>
      </c>
    </row>
    <row r="5033">
      <c r="A5033" t="n">
        <v>5032</v>
      </c>
      <c r="B5033" t="inlineStr">
        <is>
          <t>V̅XXXII</t>
        </is>
      </c>
      <c r="C5033">
        <f>ROMAN(5032)</f>
        <v/>
      </c>
      <c r="D5033">
        <f>IF(B5033=C5033, "YES", "WRONG")</f>
        <v/>
      </c>
    </row>
    <row r="5034">
      <c r="A5034" t="n">
        <v>5033</v>
      </c>
      <c r="B5034" t="inlineStr">
        <is>
          <t>V̅XXXIII</t>
        </is>
      </c>
      <c r="C5034">
        <f>ROMAN(5033)</f>
        <v/>
      </c>
      <c r="D5034">
        <f>IF(B5034=C5034, "YES", "WRONG")</f>
        <v/>
      </c>
    </row>
    <row r="5035">
      <c r="A5035" t="n">
        <v>5034</v>
      </c>
      <c r="B5035" t="inlineStr">
        <is>
          <t>V̅XXXIV</t>
        </is>
      </c>
      <c r="C5035">
        <f>ROMAN(5034)</f>
        <v/>
      </c>
      <c r="D5035">
        <f>IF(B5035=C5035, "YES", "WRONG")</f>
        <v/>
      </c>
    </row>
    <row r="5036">
      <c r="A5036" t="n">
        <v>5035</v>
      </c>
      <c r="B5036" t="inlineStr">
        <is>
          <t>V̅XXXV</t>
        </is>
      </c>
      <c r="C5036">
        <f>ROMAN(5035)</f>
        <v/>
      </c>
      <c r="D5036">
        <f>IF(B5036=C5036, "YES", "WRONG")</f>
        <v/>
      </c>
    </row>
    <row r="5037">
      <c r="A5037" t="n">
        <v>5036</v>
      </c>
      <c r="B5037" t="inlineStr">
        <is>
          <t>V̅XXXVI</t>
        </is>
      </c>
      <c r="C5037">
        <f>ROMAN(5036)</f>
        <v/>
      </c>
      <c r="D5037">
        <f>IF(B5037=C5037, "YES", "WRONG")</f>
        <v/>
      </c>
    </row>
    <row r="5038">
      <c r="A5038" t="n">
        <v>5037</v>
      </c>
      <c r="B5038" t="inlineStr">
        <is>
          <t>V̅XXXVII</t>
        </is>
      </c>
      <c r="C5038">
        <f>ROMAN(5037)</f>
        <v/>
      </c>
      <c r="D5038">
        <f>IF(B5038=C5038, "YES", "WRONG")</f>
        <v/>
      </c>
    </row>
    <row r="5039">
      <c r="A5039" t="n">
        <v>5038</v>
      </c>
      <c r="B5039" t="inlineStr">
        <is>
          <t>V̅XXXVIII</t>
        </is>
      </c>
      <c r="C5039">
        <f>ROMAN(5038)</f>
        <v/>
      </c>
      <c r="D5039">
        <f>IF(B5039=C5039, "YES", "WRONG")</f>
        <v/>
      </c>
    </row>
    <row r="5040">
      <c r="A5040" t="n">
        <v>5039</v>
      </c>
      <c r="B5040" t="inlineStr">
        <is>
          <t>V̅XXXIX</t>
        </is>
      </c>
      <c r="C5040">
        <f>ROMAN(5039)</f>
        <v/>
      </c>
      <c r="D5040">
        <f>IF(B5040=C5040, "YES", "WRONG")</f>
        <v/>
      </c>
    </row>
    <row r="5041">
      <c r="A5041" t="n">
        <v>5040</v>
      </c>
      <c r="B5041" t="inlineStr">
        <is>
          <t>V̅XL</t>
        </is>
      </c>
      <c r="C5041">
        <f>ROMAN(5040)</f>
        <v/>
      </c>
      <c r="D5041">
        <f>IF(B5041=C5041, "YES", "WRONG")</f>
        <v/>
      </c>
    </row>
    <row r="5042">
      <c r="A5042" t="n">
        <v>5041</v>
      </c>
      <c r="B5042" t="inlineStr">
        <is>
          <t>V̅XLI</t>
        </is>
      </c>
      <c r="C5042">
        <f>ROMAN(5041)</f>
        <v/>
      </c>
      <c r="D5042">
        <f>IF(B5042=C5042, "YES", "WRONG")</f>
        <v/>
      </c>
    </row>
    <row r="5043">
      <c r="A5043" t="n">
        <v>5042</v>
      </c>
      <c r="B5043" t="inlineStr">
        <is>
          <t>V̅XLII</t>
        </is>
      </c>
      <c r="C5043">
        <f>ROMAN(5042)</f>
        <v/>
      </c>
      <c r="D5043">
        <f>IF(B5043=C5043, "YES", "WRONG")</f>
        <v/>
      </c>
    </row>
    <row r="5044">
      <c r="A5044" t="n">
        <v>5043</v>
      </c>
      <c r="B5044" t="inlineStr">
        <is>
          <t>V̅XLIII</t>
        </is>
      </c>
      <c r="C5044">
        <f>ROMAN(5043)</f>
        <v/>
      </c>
      <c r="D5044">
        <f>IF(B5044=C5044, "YES", "WRONG")</f>
        <v/>
      </c>
    </row>
    <row r="5045">
      <c r="A5045" t="n">
        <v>5044</v>
      </c>
      <c r="B5045" t="inlineStr">
        <is>
          <t>V̅XLIV</t>
        </is>
      </c>
      <c r="C5045">
        <f>ROMAN(5044)</f>
        <v/>
      </c>
      <c r="D5045">
        <f>IF(B5045=C5045, "YES", "WRONG")</f>
        <v/>
      </c>
    </row>
    <row r="5046">
      <c r="A5046" t="n">
        <v>5045</v>
      </c>
      <c r="B5046" t="inlineStr">
        <is>
          <t>V̅XLV</t>
        </is>
      </c>
      <c r="C5046">
        <f>ROMAN(5045)</f>
        <v/>
      </c>
      <c r="D5046">
        <f>IF(B5046=C5046, "YES", "WRONG")</f>
        <v/>
      </c>
    </row>
    <row r="5047">
      <c r="A5047" t="n">
        <v>5046</v>
      </c>
      <c r="B5047" t="inlineStr">
        <is>
          <t>V̅XLVI</t>
        </is>
      </c>
      <c r="C5047">
        <f>ROMAN(5046)</f>
        <v/>
      </c>
      <c r="D5047">
        <f>IF(B5047=C5047, "YES", "WRONG")</f>
        <v/>
      </c>
    </row>
    <row r="5048">
      <c r="A5048" t="n">
        <v>5047</v>
      </c>
      <c r="B5048" t="inlineStr">
        <is>
          <t>V̅XLVII</t>
        </is>
      </c>
      <c r="C5048">
        <f>ROMAN(5047)</f>
        <v/>
      </c>
      <c r="D5048">
        <f>IF(B5048=C5048, "YES", "WRONG")</f>
        <v/>
      </c>
    </row>
    <row r="5049">
      <c r="A5049" t="n">
        <v>5048</v>
      </c>
      <c r="B5049" t="inlineStr">
        <is>
          <t>V̅XLVIII</t>
        </is>
      </c>
      <c r="C5049">
        <f>ROMAN(5048)</f>
        <v/>
      </c>
      <c r="D5049">
        <f>IF(B5049=C5049, "YES", "WRONG")</f>
        <v/>
      </c>
    </row>
    <row r="5050">
      <c r="A5050" t="n">
        <v>5049</v>
      </c>
      <c r="B5050" t="inlineStr">
        <is>
          <t>V̅XLIX</t>
        </is>
      </c>
      <c r="C5050">
        <f>ROMAN(5049)</f>
        <v/>
      </c>
      <c r="D5050">
        <f>IF(B5050=C5050, "YES", "WRONG")</f>
        <v/>
      </c>
    </row>
    <row r="5051">
      <c r="A5051" t="n">
        <v>5050</v>
      </c>
      <c r="B5051" t="inlineStr">
        <is>
          <t>V̅L</t>
        </is>
      </c>
      <c r="C5051">
        <f>ROMAN(5050)</f>
        <v/>
      </c>
      <c r="D5051">
        <f>IF(B5051=C5051, "YES", "WRONG")</f>
        <v/>
      </c>
    </row>
    <row r="5052">
      <c r="A5052" t="n">
        <v>5051</v>
      </c>
      <c r="B5052" t="inlineStr">
        <is>
          <t>V̅LI</t>
        </is>
      </c>
      <c r="C5052">
        <f>ROMAN(5051)</f>
        <v/>
      </c>
      <c r="D5052">
        <f>IF(B5052=C5052, "YES", "WRONG")</f>
        <v/>
      </c>
    </row>
    <row r="5053">
      <c r="A5053" t="n">
        <v>5052</v>
      </c>
      <c r="B5053" t="inlineStr">
        <is>
          <t>V̅LII</t>
        </is>
      </c>
      <c r="C5053">
        <f>ROMAN(5052)</f>
        <v/>
      </c>
      <c r="D5053">
        <f>IF(B5053=C5053, "YES", "WRONG")</f>
        <v/>
      </c>
    </row>
    <row r="5054">
      <c r="A5054" t="n">
        <v>5053</v>
      </c>
      <c r="B5054" t="inlineStr">
        <is>
          <t>V̅LIII</t>
        </is>
      </c>
      <c r="C5054">
        <f>ROMAN(5053)</f>
        <v/>
      </c>
      <c r="D5054">
        <f>IF(B5054=C5054, "YES", "WRONG")</f>
        <v/>
      </c>
    </row>
    <row r="5055">
      <c r="A5055" t="n">
        <v>5054</v>
      </c>
      <c r="B5055" t="inlineStr">
        <is>
          <t>V̅LIV</t>
        </is>
      </c>
      <c r="C5055">
        <f>ROMAN(5054)</f>
        <v/>
      </c>
      <c r="D5055">
        <f>IF(B5055=C5055, "YES", "WRONG")</f>
        <v/>
      </c>
    </row>
    <row r="5056">
      <c r="A5056" t="n">
        <v>5055</v>
      </c>
      <c r="B5056" t="inlineStr">
        <is>
          <t>V̅LV</t>
        </is>
      </c>
      <c r="C5056">
        <f>ROMAN(5055)</f>
        <v/>
      </c>
      <c r="D5056">
        <f>IF(B5056=C5056, "YES", "WRONG")</f>
        <v/>
      </c>
    </row>
    <row r="5057">
      <c r="A5057" t="n">
        <v>5056</v>
      </c>
      <c r="B5057" t="inlineStr">
        <is>
          <t>V̅LVI</t>
        </is>
      </c>
      <c r="C5057">
        <f>ROMAN(5056)</f>
        <v/>
      </c>
      <c r="D5057">
        <f>IF(B5057=C5057, "YES", "WRONG")</f>
        <v/>
      </c>
    </row>
    <row r="5058">
      <c r="A5058" t="n">
        <v>5057</v>
      </c>
      <c r="B5058" t="inlineStr">
        <is>
          <t>V̅LVII</t>
        </is>
      </c>
      <c r="C5058">
        <f>ROMAN(5057)</f>
        <v/>
      </c>
      <c r="D5058">
        <f>IF(B5058=C5058, "YES", "WRONG")</f>
        <v/>
      </c>
    </row>
    <row r="5059">
      <c r="A5059" t="n">
        <v>5058</v>
      </c>
      <c r="B5059" t="inlineStr">
        <is>
          <t>V̅LVIII</t>
        </is>
      </c>
      <c r="C5059">
        <f>ROMAN(5058)</f>
        <v/>
      </c>
      <c r="D5059">
        <f>IF(B5059=C5059, "YES", "WRONG")</f>
        <v/>
      </c>
    </row>
    <row r="5060">
      <c r="A5060" t="n">
        <v>5059</v>
      </c>
      <c r="B5060" t="inlineStr">
        <is>
          <t>V̅LIX</t>
        </is>
      </c>
      <c r="C5060">
        <f>ROMAN(5059)</f>
        <v/>
      </c>
      <c r="D5060">
        <f>IF(B5060=C5060, "YES", "WRONG")</f>
        <v/>
      </c>
    </row>
    <row r="5061">
      <c r="A5061" t="n">
        <v>5060</v>
      </c>
      <c r="B5061" t="inlineStr">
        <is>
          <t>V̅LX</t>
        </is>
      </c>
      <c r="C5061">
        <f>ROMAN(5060)</f>
        <v/>
      </c>
      <c r="D5061">
        <f>IF(B5061=C5061, "YES", "WRONG")</f>
        <v/>
      </c>
    </row>
    <row r="5062">
      <c r="A5062" t="n">
        <v>5061</v>
      </c>
      <c r="B5062" t="inlineStr">
        <is>
          <t>V̅LXI</t>
        </is>
      </c>
      <c r="C5062">
        <f>ROMAN(5061)</f>
        <v/>
      </c>
      <c r="D5062">
        <f>IF(B5062=C5062, "YES", "WRONG")</f>
        <v/>
      </c>
    </row>
    <row r="5063">
      <c r="A5063" t="n">
        <v>5062</v>
      </c>
      <c r="B5063" t="inlineStr">
        <is>
          <t>V̅LXII</t>
        </is>
      </c>
      <c r="C5063">
        <f>ROMAN(5062)</f>
        <v/>
      </c>
      <c r="D5063">
        <f>IF(B5063=C5063, "YES", "WRONG")</f>
        <v/>
      </c>
    </row>
    <row r="5064">
      <c r="A5064" t="n">
        <v>5063</v>
      </c>
      <c r="B5064" t="inlineStr">
        <is>
          <t>V̅LXIII</t>
        </is>
      </c>
      <c r="C5064">
        <f>ROMAN(5063)</f>
        <v/>
      </c>
      <c r="D5064">
        <f>IF(B5064=C5064, "YES", "WRONG")</f>
        <v/>
      </c>
    </row>
    <row r="5065">
      <c r="A5065" t="n">
        <v>5064</v>
      </c>
      <c r="B5065" t="inlineStr">
        <is>
          <t>V̅LXIV</t>
        </is>
      </c>
      <c r="C5065">
        <f>ROMAN(5064)</f>
        <v/>
      </c>
      <c r="D5065">
        <f>IF(B5065=C5065, "YES", "WRONG")</f>
        <v/>
      </c>
    </row>
    <row r="5066">
      <c r="A5066" t="n">
        <v>5065</v>
      </c>
      <c r="B5066" t="inlineStr">
        <is>
          <t>V̅LXV</t>
        </is>
      </c>
      <c r="C5066">
        <f>ROMAN(5065)</f>
        <v/>
      </c>
      <c r="D5066">
        <f>IF(B5066=C5066, "YES", "WRONG")</f>
        <v/>
      </c>
    </row>
    <row r="5067">
      <c r="A5067" t="n">
        <v>5066</v>
      </c>
      <c r="B5067" t="inlineStr">
        <is>
          <t>V̅LXVI</t>
        </is>
      </c>
      <c r="C5067">
        <f>ROMAN(5066)</f>
        <v/>
      </c>
      <c r="D5067">
        <f>IF(B5067=C5067, "YES", "WRONG")</f>
        <v/>
      </c>
    </row>
    <row r="5068">
      <c r="A5068" t="n">
        <v>5067</v>
      </c>
      <c r="B5068" t="inlineStr">
        <is>
          <t>V̅LXVII</t>
        </is>
      </c>
      <c r="C5068">
        <f>ROMAN(5067)</f>
        <v/>
      </c>
      <c r="D5068">
        <f>IF(B5068=C5068, "YES", "WRONG")</f>
        <v/>
      </c>
    </row>
    <row r="5069">
      <c r="A5069" t="n">
        <v>5068</v>
      </c>
      <c r="B5069" t="inlineStr">
        <is>
          <t>V̅LXVIII</t>
        </is>
      </c>
      <c r="C5069">
        <f>ROMAN(5068)</f>
        <v/>
      </c>
      <c r="D5069">
        <f>IF(B5069=C5069, "YES", "WRONG")</f>
        <v/>
      </c>
    </row>
    <row r="5070">
      <c r="A5070" t="n">
        <v>5069</v>
      </c>
      <c r="B5070" t="inlineStr">
        <is>
          <t>V̅LXIX</t>
        </is>
      </c>
      <c r="C5070">
        <f>ROMAN(5069)</f>
        <v/>
      </c>
      <c r="D5070">
        <f>IF(B5070=C5070, "YES", "WRONG")</f>
        <v/>
      </c>
    </row>
    <row r="5071">
      <c r="A5071" t="n">
        <v>5070</v>
      </c>
      <c r="B5071" t="inlineStr">
        <is>
          <t>V̅LXX</t>
        </is>
      </c>
      <c r="C5071">
        <f>ROMAN(5070)</f>
        <v/>
      </c>
      <c r="D5071">
        <f>IF(B5071=C5071, "YES", "WRONG")</f>
        <v/>
      </c>
    </row>
    <row r="5072">
      <c r="A5072" t="n">
        <v>5071</v>
      </c>
      <c r="B5072" t="inlineStr">
        <is>
          <t>V̅LXXI</t>
        </is>
      </c>
      <c r="C5072">
        <f>ROMAN(5071)</f>
        <v/>
      </c>
      <c r="D5072">
        <f>IF(B5072=C5072, "YES", "WRONG")</f>
        <v/>
      </c>
    </row>
    <row r="5073">
      <c r="A5073" t="n">
        <v>5072</v>
      </c>
      <c r="B5073" t="inlineStr">
        <is>
          <t>V̅LXXII</t>
        </is>
      </c>
      <c r="C5073">
        <f>ROMAN(5072)</f>
        <v/>
      </c>
      <c r="D5073">
        <f>IF(B5073=C5073, "YES", "WRONG")</f>
        <v/>
      </c>
    </row>
    <row r="5074">
      <c r="A5074" t="n">
        <v>5073</v>
      </c>
      <c r="B5074" t="inlineStr">
        <is>
          <t>V̅LXXIII</t>
        </is>
      </c>
      <c r="C5074">
        <f>ROMAN(5073)</f>
        <v/>
      </c>
      <c r="D5074">
        <f>IF(B5074=C5074, "YES", "WRONG")</f>
        <v/>
      </c>
    </row>
    <row r="5075">
      <c r="A5075" t="n">
        <v>5074</v>
      </c>
      <c r="B5075" t="inlineStr">
        <is>
          <t>V̅LXXIV</t>
        </is>
      </c>
      <c r="C5075">
        <f>ROMAN(5074)</f>
        <v/>
      </c>
      <c r="D5075">
        <f>IF(B5075=C5075, "YES", "WRONG")</f>
        <v/>
      </c>
    </row>
    <row r="5076">
      <c r="A5076" t="n">
        <v>5075</v>
      </c>
      <c r="B5076" t="inlineStr">
        <is>
          <t>V̅LXXV</t>
        </is>
      </c>
      <c r="C5076">
        <f>ROMAN(5075)</f>
        <v/>
      </c>
      <c r="D5076">
        <f>IF(B5076=C5076, "YES", "WRONG")</f>
        <v/>
      </c>
    </row>
    <row r="5077">
      <c r="A5077" t="n">
        <v>5076</v>
      </c>
      <c r="B5077" t="inlineStr">
        <is>
          <t>V̅LXXVI</t>
        </is>
      </c>
      <c r="C5077">
        <f>ROMAN(5076)</f>
        <v/>
      </c>
      <c r="D5077">
        <f>IF(B5077=C5077, "YES", "WRONG")</f>
        <v/>
      </c>
    </row>
    <row r="5078">
      <c r="A5078" t="n">
        <v>5077</v>
      </c>
      <c r="B5078" t="inlineStr">
        <is>
          <t>V̅LXXVII</t>
        </is>
      </c>
      <c r="C5078">
        <f>ROMAN(5077)</f>
        <v/>
      </c>
      <c r="D5078">
        <f>IF(B5078=C5078, "YES", "WRONG")</f>
        <v/>
      </c>
    </row>
    <row r="5079">
      <c r="A5079" t="n">
        <v>5078</v>
      </c>
      <c r="B5079" t="inlineStr">
        <is>
          <t>V̅LXXVIII</t>
        </is>
      </c>
      <c r="C5079">
        <f>ROMAN(5078)</f>
        <v/>
      </c>
      <c r="D5079">
        <f>IF(B5079=C5079, "YES", "WRONG")</f>
        <v/>
      </c>
    </row>
    <row r="5080">
      <c r="A5080" t="n">
        <v>5079</v>
      </c>
      <c r="B5080" t="inlineStr">
        <is>
          <t>V̅LXXIX</t>
        </is>
      </c>
      <c r="C5080">
        <f>ROMAN(5079)</f>
        <v/>
      </c>
      <c r="D5080">
        <f>IF(B5080=C5080, "YES", "WRONG")</f>
        <v/>
      </c>
    </row>
    <row r="5081">
      <c r="A5081" t="n">
        <v>5080</v>
      </c>
      <c r="B5081" t="inlineStr">
        <is>
          <t>V̅LXXX</t>
        </is>
      </c>
      <c r="C5081">
        <f>ROMAN(5080)</f>
        <v/>
      </c>
      <c r="D5081">
        <f>IF(B5081=C5081, "YES", "WRONG")</f>
        <v/>
      </c>
    </row>
    <row r="5082">
      <c r="A5082" t="n">
        <v>5081</v>
      </c>
      <c r="B5082" t="inlineStr">
        <is>
          <t>V̅LXXXI</t>
        </is>
      </c>
      <c r="C5082">
        <f>ROMAN(5081)</f>
        <v/>
      </c>
      <c r="D5082">
        <f>IF(B5082=C5082, "YES", "WRONG")</f>
        <v/>
      </c>
    </row>
    <row r="5083">
      <c r="A5083" t="n">
        <v>5082</v>
      </c>
      <c r="B5083" t="inlineStr">
        <is>
          <t>V̅LXXXII</t>
        </is>
      </c>
      <c r="C5083">
        <f>ROMAN(5082)</f>
        <v/>
      </c>
      <c r="D5083">
        <f>IF(B5083=C5083, "YES", "WRONG")</f>
        <v/>
      </c>
    </row>
    <row r="5084">
      <c r="A5084" t="n">
        <v>5083</v>
      </c>
      <c r="B5084" t="inlineStr">
        <is>
          <t>V̅LXXXIII</t>
        </is>
      </c>
      <c r="C5084">
        <f>ROMAN(5083)</f>
        <v/>
      </c>
      <c r="D5084">
        <f>IF(B5084=C5084, "YES", "WRONG")</f>
        <v/>
      </c>
    </row>
    <row r="5085">
      <c r="A5085" t="n">
        <v>5084</v>
      </c>
      <c r="B5085" t="inlineStr">
        <is>
          <t>V̅LXXXIV</t>
        </is>
      </c>
      <c r="C5085">
        <f>ROMAN(5084)</f>
        <v/>
      </c>
      <c r="D5085">
        <f>IF(B5085=C5085, "YES", "WRONG")</f>
        <v/>
      </c>
    </row>
    <row r="5086">
      <c r="A5086" t="n">
        <v>5085</v>
      </c>
      <c r="B5086" t="inlineStr">
        <is>
          <t>V̅LXXXV</t>
        </is>
      </c>
      <c r="C5086">
        <f>ROMAN(5085)</f>
        <v/>
      </c>
      <c r="D5086">
        <f>IF(B5086=C5086, "YES", "WRONG")</f>
        <v/>
      </c>
    </row>
    <row r="5087">
      <c r="A5087" t="n">
        <v>5086</v>
      </c>
      <c r="B5087" t="inlineStr">
        <is>
          <t>V̅LXXXVI</t>
        </is>
      </c>
      <c r="C5087">
        <f>ROMAN(5086)</f>
        <v/>
      </c>
      <c r="D5087">
        <f>IF(B5087=C5087, "YES", "WRONG")</f>
        <v/>
      </c>
    </row>
    <row r="5088">
      <c r="A5088" t="n">
        <v>5087</v>
      </c>
      <c r="B5088" t="inlineStr">
        <is>
          <t>V̅LXXXVII</t>
        </is>
      </c>
      <c r="C5088">
        <f>ROMAN(5087)</f>
        <v/>
      </c>
      <c r="D5088">
        <f>IF(B5088=C5088, "YES", "WRONG")</f>
        <v/>
      </c>
    </row>
    <row r="5089">
      <c r="A5089" t="n">
        <v>5088</v>
      </c>
      <c r="B5089" t="inlineStr">
        <is>
          <t>V̅LXXXVIII</t>
        </is>
      </c>
      <c r="C5089">
        <f>ROMAN(5088)</f>
        <v/>
      </c>
      <c r="D5089">
        <f>IF(B5089=C5089, "YES", "WRONG")</f>
        <v/>
      </c>
    </row>
    <row r="5090">
      <c r="A5090" t="n">
        <v>5089</v>
      </c>
      <c r="B5090" t="inlineStr">
        <is>
          <t>V̅LXXXIX</t>
        </is>
      </c>
      <c r="C5090">
        <f>ROMAN(5089)</f>
        <v/>
      </c>
      <c r="D5090">
        <f>IF(B5090=C5090, "YES", "WRONG")</f>
        <v/>
      </c>
    </row>
    <row r="5091">
      <c r="A5091" t="n">
        <v>5090</v>
      </c>
      <c r="B5091" t="inlineStr">
        <is>
          <t>V̅XC</t>
        </is>
      </c>
      <c r="C5091">
        <f>ROMAN(5090)</f>
        <v/>
      </c>
      <c r="D5091">
        <f>IF(B5091=C5091, "YES", "WRONG")</f>
        <v/>
      </c>
    </row>
    <row r="5092">
      <c r="A5092" t="n">
        <v>5091</v>
      </c>
      <c r="B5092" t="inlineStr">
        <is>
          <t>V̅XCI</t>
        </is>
      </c>
      <c r="C5092">
        <f>ROMAN(5091)</f>
        <v/>
      </c>
      <c r="D5092">
        <f>IF(B5092=C5092, "YES", "WRONG")</f>
        <v/>
      </c>
    </row>
    <row r="5093">
      <c r="A5093" t="n">
        <v>5092</v>
      </c>
      <c r="B5093" t="inlineStr">
        <is>
          <t>V̅XCII</t>
        </is>
      </c>
      <c r="C5093">
        <f>ROMAN(5092)</f>
        <v/>
      </c>
      <c r="D5093">
        <f>IF(B5093=C5093, "YES", "WRONG")</f>
        <v/>
      </c>
    </row>
    <row r="5094">
      <c r="A5094" t="n">
        <v>5093</v>
      </c>
      <c r="B5094" t="inlineStr">
        <is>
          <t>V̅XCIII</t>
        </is>
      </c>
      <c r="C5094">
        <f>ROMAN(5093)</f>
        <v/>
      </c>
      <c r="D5094">
        <f>IF(B5094=C5094, "YES", "WRONG")</f>
        <v/>
      </c>
    </row>
    <row r="5095">
      <c r="A5095" t="n">
        <v>5094</v>
      </c>
      <c r="B5095" t="inlineStr">
        <is>
          <t>V̅XCIV</t>
        </is>
      </c>
      <c r="C5095">
        <f>ROMAN(5094)</f>
        <v/>
      </c>
      <c r="D5095">
        <f>IF(B5095=C5095, "YES", "WRONG")</f>
        <v/>
      </c>
    </row>
    <row r="5096">
      <c r="A5096" t="n">
        <v>5095</v>
      </c>
      <c r="B5096" t="inlineStr">
        <is>
          <t>V̅XCV</t>
        </is>
      </c>
      <c r="C5096">
        <f>ROMAN(5095)</f>
        <v/>
      </c>
      <c r="D5096">
        <f>IF(B5096=C5096, "YES", "WRONG")</f>
        <v/>
      </c>
    </row>
    <row r="5097">
      <c r="A5097" t="n">
        <v>5096</v>
      </c>
      <c r="B5097" t="inlineStr">
        <is>
          <t>V̅XCVI</t>
        </is>
      </c>
      <c r="C5097">
        <f>ROMAN(5096)</f>
        <v/>
      </c>
      <c r="D5097">
        <f>IF(B5097=C5097, "YES", "WRONG")</f>
        <v/>
      </c>
    </row>
    <row r="5098">
      <c r="A5098" t="n">
        <v>5097</v>
      </c>
      <c r="B5098" t="inlineStr">
        <is>
          <t>V̅XCVII</t>
        </is>
      </c>
      <c r="C5098">
        <f>ROMAN(5097)</f>
        <v/>
      </c>
      <c r="D5098">
        <f>IF(B5098=C5098, "YES", "WRONG")</f>
        <v/>
      </c>
    </row>
    <row r="5099">
      <c r="A5099" t="n">
        <v>5098</v>
      </c>
      <c r="B5099" t="inlineStr">
        <is>
          <t>V̅XCVIII</t>
        </is>
      </c>
      <c r="C5099">
        <f>ROMAN(5098)</f>
        <v/>
      </c>
      <c r="D5099">
        <f>IF(B5099=C5099, "YES", "WRONG")</f>
        <v/>
      </c>
    </row>
    <row r="5100">
      <c r="A5100" t="n">
        <v>5099</v>
      </c>
      <c r="B5100" t="inlineStr">
        <is>
          <t>V̅XCIX</t>
        </is>
      </c>
      <c r="C5100">
        <f>ROMAN(5099)</f>
        <v/>
      </c>
      <c r="D5100">
        <f>IF(B5100=C5100, "YES", "WRONG")</f>
        <v/>
      </c>
    </row>
    <row r="5101">
      <c r="A5101" t="n">
        <v>5100</v>
      </c>
      <c r="B5101" t="inlineStr">
        <is>
          <t>V̅C</t>
        </is>
      </c>
      <c r="C5101">
        <f>ROMAN(5100)</f>
        <v/>
      </c>
      <c r="D5101">
        <f>IF(B5101=C5101, "YES", "WRONG")</f>
        <v/>
      </c>
    </row>
    <row r="5102">
      <c r="A5102" t="n">
        <v>5101</v>
      </c>
      <c r="B5102" t="inlineStr">
        <is>
          <t>V̅CI</t>
        </is>
      </c>
      <c r="C5102">
        <f>ROMAN(5101)</f>
        <v/>
      </c>
      <c r="D5102">
        <f>IF(B5102=C5102, "YES", "WRONG")</f>
        <v/>
      </c>
    </row>
    <row r="5103">
      <c r="A5103" t="n">
        <v>5102</v>
      </c>
      <c r="B5103" t="inlineStr">
        <is>
          <t>V̅CII</t>
        </is>
      </c>
      <c r="C5103">
        <f>ROMAN(5102)</f>
        <v/>
      </c>
      <c r="D5103">
        <f>IF(B5103=C5103, "YES", "WRONG")</f>
        <v/>
      </c>
    </row>
    <row r="5104">
      <c r="A5104" t="n">
        <v>5103</v>
      </c>
      <c r="B5104" t="inlineStr">
        <is>
          <t>V̅CIII</t>
        </is>
      </c>
      <c r="C5104">
        <f>ROMAN(5103)</f>
        <v/>
      </c>
      <c r="D5104">
        <f>IF(B5104=C5104, "YES", "WRONG")</f>
        <v/>
      </c>
    </row>
    <row r="5105">
      <c r="A5105" t="n">
        <v>5104</v>
      </c>
      <c r="B5105" t="inlineStr">
        <is>
          <t>V̅CIV</t>
        </is>
      </c>
      <c r="C5105">
        <f>ROMAN(5104)</f>
        <v/>
      </c>
      <c r="D5105">
        <f>IF(B5105=C5105, "YES", "WRONG")</f>
        <v/>
      </c>
    </row>
    <row r="5106">
      <c r="A5106" t="n">
        <v>5105</v>
      </c>
      <c r="B5106" t="inlineStr">
        <is>
          <t>V̅CV</t>
        </is>
      </c>
      <c r="C5106">
        <f>ROMAN(5105)</f>
        <v/>
      </c>
      <c r="D5106">
        <f>IF(B5106=C5106, "YES", "WRONG")</f>
        <v/>
      </c>
    </row>
    <row r="5107">
      <c r="A5107" t="n">
        <v>5106</v>
      </c>
      <c r="B5107" t="inlineStr">
        <is>
          <t>V̅CVI</t>
        </is>
      </c>
      <c r="C5107">
        <f>ROMAN(5106)</f>
        <v/>
      </c>
      <c r="D5107">
        <f>IF(B5107=C5107, "YES", "WRONG")</f>
        <v/>
      </c>
    </row>
    <row r="5108">
      <c r="A5108" t="n">
        <v>5107</v>
      </c>
      <c r="B5108" t="inlineStr">
        <is>
          <t>V̅CVII</t>
        </is>
      </c>
      <c r="C5108">
        <f>ROMAN(5107)</f>
        <v/>
      </c>
      <c r="D5108">
        <f>IF(B5108=C5108, "YES", "WRONG")</f>
        <v/>
      </c>
    </row>
    <row r="5109">
      <c r="A5109" t="n">
        <v>5108</v>
      </c>
      <c r="B5109" t="inlineStr">
        <is>
          <t>V̅CVIII</t>
        </is>
      </c>
      <c r="C5109">
        <f>ROMAN(5108)</f>
        <v/>
      </c>
      <c r="D5109">
        <f>IF(B5109=C5109, "YES", "WRONG")</f>
        <v/>
      </c>
    </row>
    <row r="5110">
      <c r="A5110" t="n">
        <v>5109</v>
      </c>
      <c r="B5110" t="inlineStr">
        <is>
          <t>V̅CIX</t>
        </is>
      </c>
      <c r="C5110">
        <f>ROMAN(5109)</f>
        <v/>
      </c>
      <c r="D5110">
        <f>IF(B5110=C5110, "YES", "WRONG")</f>
        <v/>
      </c>
    </row>
    <row r="5111">
      <c r="A5111" t="n">
        <v>5110</v>
      </c>
      <c r="B5111" t="inlineStr">
        <is>
          <t>V̅CX</t>
        </is>
      </c>
      <c r="C5111">
        <f>ROMAN(5110)</f>
        <v/>
      </c>
      <c r="D5111">
        <f>IF(B5111=C5111, "YES", "WRONG")</f>
        <v/>
      </c>
    </row>
    <row r="5112">
      <c r="A5112" t="n">
        <v>5111</v>
      </c>
      <c r="B5112" t="inlineStr">
        <is>
          <t>V̅CXI</t>
        </is>
      </c>
      <c r="C5112">
        <f>ROMAN(5111)</f>
        <v/>
      </c>
      <c r="D5112">
        <f>IF(B5112=C5112, "YES", "WRONG")</f>
        <v/>
      </c>
    </row>
    <row r="5113">
      <c r="A5113" t="n">
        <v>5112</v>
      </c>
      <c r="B5113" t="inlineStr">
        <is>
          <t>V̅CXII</t>
        </is>
      </c>
      <c r="C5113">
        <f>ROMAN(5112)</f>
        <v/>
      </c>
      <c r="D5113">
        <f>IF(B5113=C5113, "YES", "WRONG")</f>
        <v/>
      </c>
    </row>
    <row r="5114">
      <c r="A5114" t="n">
        <v>5113</v>
      </c>
      <c r="B5114" t="inlineStr">
        <is>
          <t>V̅CXIII</t>
        </is>
      </c>
      <c r="C5114">
        <f>ROMAN(5113)</f>
        <v/>
      </c>
      <c r="D5114">
        <f>IF(B5114=C5114, "YES", "WRONG")</f>
        <v/>
      </c>
    </row>
    <row r="5115">
      <c r="A5115" t="n">
        <v>5114</v>
      </c>
      <c r="B5115" t="inlineStr">
        <is>
          <t>V̅CXIV</t>
        </is>
      </c>
      <c r="C5115">
        <f>ROMAN(5114)</f>
        <v/>
      </c>
      <c r="D5115">
        <f>IF(B5115=C5115, "YES", "WRONG")</f>
        <v/>
      </c>
    </row>
    <row r="5116">
      <c r="A5116" t="n">
        <v>5115</v>
      </c>
      <c r="B5116" t="inlineStr">
        <is>
          <t>V̅CXV</t>
        </is>
      </c>
      <c r="C5116">
        <f>ROMAN(5115)</f>
        <v/>
      </c>
      <c r="D5116">
        <f>IF(B5116=C5116, "YES", "WRONG")</f>
        <v/>
      </c>
    </row>
    <row r="5117">
      <c r="A5117" t="n">
        <v>5116</v>
      </c>
      <c r="B5117" t="inlineStr">
        <is>
          <t>V̅CXVI</t>
        </is>
      </c>
      <c r="C5117">
        <f>ROMAN(5116)</f>
        <v/>
      </c>
      <c r="D5117">
        <f>IF(B5117=C5117, "YES", "WRONG")</f>
        <v/>
      </c>
    </row>
    <row r="5118">
      <c r="A5118" t="n">
        <v>5117</v>
      </c>
      <c r="B5118" t="inlineStr">
        <is>
          <t>V̅CXVII</t>
        </is>
      </c>
      <c r="C5118">
        <f>ROMAN(5117)</f>
        <v/>
      </c>
      <c r="D5118">
        <f>IF(B5118=C5118, "YES", "WRONG")</f>
        <v/>
      </c>
    </row>
    <row r="5119">
      <c r="A5119" t="n">
        <v>5118</v>
      </c>
      <c r="B5119" t="inlineStr">
        <is>
          <t>V̅CXVIII</t>
        </is>
      </c>
      <c r="C5119">
        <f>ROMAN(5118)</f>
        <v/>
      </c>
      <c r="D5119">
        <f>IF(B5119=C5119, "YES", "WRONG")</f>
        <v/>
      </c>
    </row>
    <row r="5120">
      <c r="A5120" t="n">
        <v>5119</v>
      </c>
      <c r="B5120" t="inlineStr">
        <is>
          <t>V̅CXIX</t>
        </is>
      </c>
      <c r="C5120">
        <f>ROMAN(5119)</f>
        <v/>
      </c>
      <c r="D5120">
        <f>IF(B5120=C5120, "YES", "WRONG")</f>
        <v/>
      </c>
    </row>
    <row r="5121">
      <c r="A5121" t="n">
        <v>5120</v>
      </c>
      <c r="B5121" t="inlineStr">
        <is>
          <t>V̅CXX</t>
        </is>
      </c>
      <c r="C5121">
        <f>ROMAN(5120)</f>
        <v/>
      </c>
      <c r="D5121">
        <f>IF(B5121=C5121, "YES", "WRONG")</f>
        <v/>
      </c>
    </row>
    <row r="5122">
      <c r="A5122" t="n">
        <v>5121</v>
      </c>
      <c r="B5122" t="inlineStr">
        <is>
          <t>V̅CXXI</t>
        </is>
      </c>
      <c r="C5122">
        <f>ROMAN(5121)</f>
        <v/>
      </c>
      <c r="D5122">
        <f>IF(B5122=C5122, "YES", "WRONG")</f>
        <v/>
      </c>
    </row>
    <row r="5123">
      <c r="A5123" t="n">
        <v>5122</v>
      </c>
      <c r="B5123" t="inlineStr">
        <is>
          <t>V̅CXXII</t>
        </is>
      </c>
      <c r="C5123">
        <f>ROMAN(5122)</f>
        <v/>
      </c>
      <c r="D5123">
        <f>IF(B5123=C5123, "YES", "WRONG")</f>
        <v/>
      </c>
    </row>
    <row r="5124">
      <c r="A5124" t="n">
        <v>5123</v>
      </c>
      <c r="B5124" t="inlineStr">
        <is>
          <t>V̅CXXIII</t>
        </is>
      </c>
      <c r="C5124">
        <f>ROMAN(5123)</f>
        <v/>
      </c>
      <c r="D5124">
        <f>IF(B5124=C5124, "YES", "WRONG")</f>
        <v/>
      </c>
    </row>
    <row r="5125">
      <c r="A5125" t="n">
        <v>5124</v>
      </c>
      <c r="B5125" t="inlineStr">
        <is>
          <t>V̅CXXIV</t>
        </is>
      </c>
      <c r="C5125">
        <f>ROMAN(5124)</f>
        <v/>
      </c>
      <c r="D5125">
        <f>IF(B5125=C5125, "YES", "WRONG")</f>
        <v/>
      </c>
    </row>
    <row r="5126">
      <c r="A5126" t="n">
        <v>5125</v>
      </c>
      <c r="B5126" t="inlineStr">
        <is>
          <t>V̅CXXV</t>
        </is>
      </c>
      <c r="C5126">
        <f>ROMAN(5125)</f>
        <v/>
      </c>
      <c r="D5126">
        <f>IF(B5126=C5126, "YES", "WRONG")</f>
        <v/>
      </c>
    </row>
    <row r="5127">
      <c r="A5127" t="n">
        <v>5126</v>
      </c>
      <c r="B5127" t="inlineStr">
        <is>
          <t>V̅CXXVI</t>
        </is>
      </c>
      <c r="C5127">
        <f>ROMAN(5126)</f>
        <v/>
      </c>
      <c r="D5127">
        <f>IF(B5127=C5127, "YES", "WRONG")</f>
        <v/>
      </c>
    </row>
    <row r="5128">
      <c r="A5128" t="n">
        <v>5127</v>
      </c>
      <c r="B5128" t="inlineStr">
        <is>
          <t>V̅CXXVII</t>
        </is>
      </c>
      <c r="C5128">
        <f>ROMAN(5127)</f>
        <v/>
      </c>
      <c r="D5128">
        <f>IF(B5128=C5128, "YES", "WRONG")</f>
        <v/>
      </c>
    </row>
    <row r="5129">
      <c r="A5129" t="n">
        <v>5128</v>
      </c>
      <c r="B5129" t="inlineStr">
        <is>
          <t>V̅CXXVIII</t>
        </is>
      </c>
      <c r="C5129">
        <f>ROMAN(5128)</f>
        <v/>
      </c>
      <c r="D5129">
        <f>IF(B5129=C5129, "YES", "WRONG")</f>
        <v/>
      </c>
    </row>
    <row r="5130">
      <c r="A5130" t="n">
        <v>5129</v>
      </c>
      <c r="B5130" t="inlineStr">
        <is>
          <t>V̅CXXIX</t>
        </is>
      </c>
      <c r="C5130">
        <f>ROMAN(5129)</f>
        <v/>
      </c>
      <c r="D5130">
        <f>IF(B5130=C5130, "YES", "WRONG")</f>
        <v/>
      </c>
    </row>
    <row r="5131">
      <c r="A5131" t="n">
        <v>5130</v>
      </c>
      <c r="B5131" t="inlineStr">
        <is>
          <t>V̅CXXX</t>
        </is>
      </c>
      <c r="C5131">
        <f>ROMAN(5130)</f>
        <v/>
      </c>
      <c r="D5131">
        <f>IF(B5131=C5131, "YES", "WRONG")</f>
        <v/>
      </c>
    </row>
    <row r="5132">
      <c r="A5132" t="n">
        <v>5131</v>
      </c>
      <c r="B5132" t="inlineStr">
        <is>
          <t>V̅CXXXI</t>
        </is>
      </c>
      <c r="C5132">
        <f>ROMAN(5131)</f>
        <v/>
      </c>
      <c r="D5132">
        <f>IF(B5132=C5132, "YES", "WRONG")</f>
        <v/>
      </c>
    </row>
    <row r="5133">
      <c r="A5133" t="n">
        <v>5132</v>
      </c>
      <c r="B5133" t="inlineStr">
        <is>
          <t>V̅CXXXII</t>
        </is>
      </c>
      <c r="C5133">
        <f>ROMAN(5132)</f>
        <v/>
      </c>
      <c r="D5133">
        <f>IF(B5133=C5133, "YES", "WRONG")</f>
        <v/>
      </c>
    </row>
    <row r="5134">
      <c r="A5134" t="n">
        <v>5133</v>
      </c>
      <c r="B5134" t="inlineStr">
        <is>
          <t>V̅CXXXIII</t>
        </is>
      </c>
      <c r="C5134">
        <f>ROMAN(5133)</f>
        <v/>
      </c>
      <c r="D5134">
        <f>IF(B5134=C5134, "YES", "WRONG")</f>
        <v/>
      </c>
    </row>
    <row r="5135">
      <c r="A5135" t="n">
        <v>5134</v>
      </c>
      <c r="B5135" t="inlineStr">
        <is>
          <t>V̅CXXXIV</t>
        </is>
      </c>
      <c r="C5135">
        <f>ROMAN(5134)</f>
        <v/>
      </c>
      <c r="D5135">
        <f>IF(B5135=C5135, "YES", "WRONG")</f>
        <v/>
      </c>
    </row>
    <row r="5136">
      <c r="A5136" t="n">
        <v>5135</v>
      </c>
      <c r="B5136" t="inlineStr">
        <is>
          <t>V̅CXXXV</t>
        </is>
      </c>
      <c r="C5136">
        <f>ROMAN(5135)</f>
        <v/>
      </c>
      <c r="D5136">
        <f>IF(B5136=C5136, "YES", "WRONG")</f>
        <v/>
      </c>
    </row>
    <row r="5137">
      <c r="A5137" t="n">
        <v>5136</v>
      </c>
      <c r="B5137" t="inlineStr">
        <is>
          <t>V̅CXXXVI</t>
        </is>
      </c>
      <c r="C5137">
        <f>ROMAN(5136)</f>
        <v/>
      </c>
      <c r="D5137">
        <f>IF(B5137=C5137, "YES", "WRONG")</f>
        <v/>
      </c>
    </row>
    <row r="5138">
      <c r="A5138" t="n">
        <v>5137</v>
      </c>
      <c r="B5138" t="inlineStr">
        <is>
          <t>V̅CXXXVII</t>
        </is>
      </c>
      <c r="C5138">
        <f>ROMAN(5137)</f>
        <v/>
      </c>
      <c r="D5138">
        <f>IF(B5138=C5138, "YES", "WRONG")</f>
        <v/>
      </c>
    </row>
    <row r="5139">
      <c r="A5139" t="n">
        <v>5138</v>
      </c>
      <c r="B5139" t="inlineStr">
        <is>
          <t>V̅CXXXVIII</t>
        </is>
      </c>
      <c r="C5139">
        <f>ROMAN(5138)</f>
        <v/>
      </c>
      <c r="D5139">
        <f>IF(B5139=C5139, "YES", "WRONG")</f>
        <v/>
      </c>
    </row>
    <row r="5140">
      <c r="A5140" t="n">
        <v>5139</v>
      </c>
      <c r="B5140" t="inlineStr">
        <is>
          <t>V̅CXXXIX</t>
        </is>
      </c>
      <c r="C5140">
        <f>ROMAN(5139)</f>
        <v/>
      </c>
      <c r="D5140">
        <f>IF(B5140=C5140, "YES", "WRONG")</f>
        <v/>
      </c>
    </row>
    <row r="5141">
      <c r="A5141" t="n">
        <v>5140</v>
      </c>
      <c r="B5141" t="inlineStr">
        <is>
          <t>V̅CXL</t>
        </is>
      </c>
      <c r="C5141">
        <f>ROMAN(5140)</f>
        <v/>
      </c>
      <c r="D5141">
        <f>IF(B5141=C5141, "YES", "WRONG")</f>
        <v/>
      </c>
    </row>
    <row r="5142">
      <c r="A5142" t="n">
        <v>5141</v>
      </c>
      <c r="B5142" t="inlineStr">
        <is>
          <t>V̅CXLI</t>
        </is>
      </c>
      <c r="C5142">
        <f>ROMAN(5141)</f>
        <v/>
      </c>
      <c r="D5142">
        <f>IF(B5142=C5142, "YES", "WRONG")</f>
        <v/>
      </c>
    </row>
    <row r="5143">
      <c r="A5143" t="n">
        <v>5142</v>
      </c>
      <c r="B5143" t="inlineStr">
        <is>
          <t>V̅CXLII</t>
        </is>
      </c>
      <c r="C5143">
        <f>ROMAN(5142)</f>
        <v/>
      </c>
      <c r="D5143">
        <f>IF(B5143=C5143, "YES", "WRONG")</f>
        <v/>
      </c>
    </row>
    <row r="5144">
      <c r="A5144" t="n">
        <v>5143</v>
      </c>
      <c r="B5144" t="inlineStr">
        <is>
          <t>V̅CXLIII</t>
        </is>
      </c>
      <c r="C5144">
        <f>ROMAN(5143)</f>
        <v/>
      </c>
      <c r="D5144">
        <f>IF(B5144=C5144, "YES", "WRONG")</f>
        <v/>
      </c>
    </row>
    <row r="5145">
      <c r="A5145" t="n">
        <v>5144</v>
      </c>
      <c r="B5145" t="inlineStr">
        <is>
          <t>V̅CXLIV</t>
        </is>
      </c>
      <c r="C5145">
        <f>ROMAN(5144)</f>
        <v/>
      </c>
      <c r="D5145">
        <f>IF(B5145=C5145, "YES", "WRONG")</f>
        <v/>
      </c>
    </row>
    <row r="5146">
      <c r="A5146" t="n">
        <v>5145</v>
      </c>
      <c r="B5146" t="inlineStr">
        <is>
          <t>V̅CXLV</t>
        </is>
      </c>
      <c r="C5146">
        <f>ROMAN(5145)</f>
        <v/>
      </c>
      <c r="D5146">
        <f>IF(B5146=C5146, "YES", "WRONG")</f>
        <v/>
      </c>
    </row>
    <row r="5147">
      <c r="A5147" t="n">
        <v>5146</v>
      </c>
      <c r="B5147" t="inlineStr">
        <is>
          <t>V̅CXLVI</t>
        </is>
      </c>
      <c r="C5147">
        <f>ROMAN(5146)</f>
        <v/>
      </c>
      <c r="D5147">
        <f>IF(B5147=C5147, "YES", "WRONG")</f>
        <v/>
      </c>
    </row>
    <row r="5148">
      <c r="A5148" t="n">
        <v>5147</v>
      </c>
      <c r="B5148" t="inlineStr">
        <is>
          <t>V̅CXLVII</t>
        </is>
      </c>
      <c r="C5148">
        <f>ROMAN(5147)</f>
        <v/>
      </c>
      <c r="D5148">
        <f>IF(B5148=C5148, "YES", "WRONG")</f>
        <v/>
      </c>
    </row>
    <row r="5149">
      <c r="A5149" t="n">
        <v>5148</v>
      </c>
      <c r="B5149" t="inlineStr">
        <is>
          <t>V̅CXLVIII</t>
        </is>
      </c>
      <c r="C5149">
        <f>ROMAN(5148)</f>
        <v/>
      </c>
      <c r="D5149">
        <f>IF(B5149=C5149, "YES", "WRONG")</f>
        <v/>
      </c>
    </row>
    <row r="5150">
      <c r="A5150" t="n">
        <v>5149</v>
      </c>
      <c r="B5150" t="inlineStr">
        <is>
          <t>V̅CXLIX</t>
        </is>
      </c>
      <c r="C5150">
        <f>ROMAN(5149)</f>
        <v/>
      </c>
      <c r="D5150">
        <f>IF(B5150=C5150, "YES", "WRONG")</f>
        <v/>
      </c>
    </row>
    <row r="5151">
      <c r="A5151" t="n">
        <v>5150</v>
      </c>
      <c r="B5151" t="inlineStr">
        <is>
          <t>V̅CL</t>
        </is>
      </c>
      <c r="C5151">
        <f>ROMAN(5150)</f>
        <v/>
      </c>
      <c r="D5151">
        <f>IF(B5151=C5151, "YES", "WRONG")</f>
        <v/>
      </c>
    </row>
    <row r="5152">
      <c r="A5152" t="n">
        <v>5151</v>
      </c>
      <c r="B5152" t="inlineStr">
        <is>
          <t>V̅CLI</t>
        </is>
      </c>
      <c r="C5152">
        <f>ROMAN(5151)</f>
        <v/>
      </c>
      <c r="D5152">
        <f>IF(B5152=C5152, "YES", "WRONG")</f>
        <v/>
      </c>
    </row>
    <row r="5153">
      <c r="A5153" t="n">
        <v>5152</v>
      </c>
      <c r="B5153" t="inlineStr">
        <is>
          <t>V̅CLII</t>
        </is>
      </c>
      <c r="C5153">
        <f>ROMAN(5152)</f>
        <v/>
      </c>
      <c r="D5153">
        <f>IF(B5153=C5153, "YES", "WRONG")</f>
        <v/>
      </c>
    </row>
    <row r="5154">
      <c r="A5154" t="n">
        <v>5153</v>
      </c>
      <c r="B5154" t="inlineStr">
        <is>
          <t>V̅CLIII</t>
        </is>
      </c>
      <c r="C5154">
        <f>ROMAN(5153)</f>
        <v/>
      </c>
      <c r="D5154">
        <f>IF(B5154=C5154, "YES", "WRONG")</f>
        <v/>
      </c>
    </row>
    <row r="5155">
      <c r="A5155" t="n">
        <v>5154</v>
      </c>
      <c r="B5155" t="inlineStr">
        <is>
          <t>V̅CLIV</t>
        </is>
      </c>
      <c r="C5155">
        <f>ROMAN(5154)</f>
        <v/>
      </c>
      <c r="D5155">
        <f>IF(B5155=C5155, "YES", "WRONG")</f>
        <v/>
      </c>
    </row>
    <row r="5156">
      <c r="A5156" t="n">
        <v>5155</v>
      </c>
      <c r="B5156" t="inlineStr">
        <is>
          <t>V̅CLV</t>
        </is>
      </c>
      <c r="C5156">
        <f>ROMAN(5155)</f>
        <v/>
      </c>
      <c r="D5156">
        <f>IF(B5156=C5156, "YES", "WRONG")</f>
        <v/>
      </c>
    </row>
    <row r="5157">
      <c r="A5157" t="n">
        <v>5156</v>
      </c>
      <c r="B5157" t="inlineStr">
        <is>
          <t>V̅CLVI</t>
        </is>
      </c>
      <c r="C5157">
        <f>ROMAN(5156)</f>
        <v/>
      </c>
      <c r="D5157">
        <f>IF(B5157=C5157, "YES", "WRONG")</f>
        <v/>
      </c>
    </row>
    <row r="5158">
      <c r="A5158" t="n">
        <v>5157</v>
      </c>
      <c r="B5158" t="inlineStr">
        <is>
          <t>V̅CLVII</t>
        </is>
      </c>
      <c r="C5158">
        <f>ROMAN(5157)</f>
        <v/>
      </c>
      <c r="D5158">
        <f>IF(B5158=C5158, "YES", "WRONG")</f>
        <v/>
      </c>
    </row>
    <row r="5159">
      <c r="A5159" t="n">
        <v>5158</v>
      </c>
      <c r="B5159" t="inlineStr">
        <is>
          <t>V̅CLVIII</t>
        </is>
      </c>
      <c r="C5159">
        <f>ROMAN(5158)</f>
        <v/>
      </c>
      <c r="D5159">
        <f>IF(B5159=C5159, "YES", "WRONG")</f>
        <v/>
      </c>
    </row>
    <row r="5160">
      <c r="A5160" t="n">
        <v>5159</v>
      </c>
      <c r="B5160" t="inlineStr">
        <is>
          <t>V̅CLIX</t>
        </is>
      </c>
      <c r="C5160">
        <f>ROMAN(5159)</f>
        <v/>
      </c>
      <c r="D5160">
        <f>IF(B5160=C5160, "YES", "WRONG")</f>
        <v/>
      </c>
    </row>
    <row r="5161">
      <c r="A5161" t="n">
        <v>5160</v>
      </c>
      <c r="B5161" t="inlineStr">
        <is>
          <t>V̅CLX</t>
        </is>
      </c>
      <c r="C5161">
        <f>ROMAN(5160)</f>
        <v/>
      </c>
      <c r="D5161">
        <f>IF(B5161=C5161, "YES", "WRONG")</f>
        <v/>
      </c>
    </row>
    <row r="5162">
      <c r="A5162" t="n">
        <v>5161</v>
      </c>
      <c r="B5162" t="inlineStr">
        <is>
          <t>V̅CLXI</t>
        </is>
      </c>
      <c r="C5162">
        <f>ROMAN(5161)</f>
        <v/>
      </c>
      <c r="D5162">
        <f>IF(B5162=C5162, "YES", "WRONG")</f>
        <v/>
      </c>
    </row>
    <row r="5163">
      <c r="A5163" t="n">
        <v>5162</v>
      </c>
      <c r="B5163" t="inlineStr">
        <is>
          <t>V̅CLXII</t>
        </is>
      </c>
      <c r="C5163">
        <f>ROMAN(5162)</f>
        <v/>
      </c>
      <c r="D5163">
        <f>IF(B5163=C5163, "YES", "WRONG")</f>
        <v/>
      </c>
    </row>
    <row r="5164">
      <c r="A5164" t="n">
        <v>5163</v>
      </c>
      <c r="B5164" t="inlineStr">
        <is>
          <t>V̅CLXIII</t>
        </is>
      </c>
      <c r="C5164">
        <f>ROMAN(5163)</f>
        <v/>
      </c>
      <c r="D5164">
        <f>IF(B5164=C5164, "YES", "WRONG")</f>
        <v/>
      </c>
    </row>
    <row r="5165">
      <c r="A5165" t="n">
        <v>5164</v>
      </c>
      <c r="B5165" t="inlineStr">
        <is>
          <t>V̅CLXIV</t>
        </is>
      </c>
      <c r="C5165">
        <f>ROMAN(5164)</f>
        <v/>
      </c>
      <c r="D5165">
        <f>IF(B5165=C5165, "YES", "WRONG")</f>
        <v/>
      </c>
    </row>
    <row r="5166">
      <c r="A5166" t="n">
        <v>5165</v>
      </c>
      <c r="B5166" t="inlineStr">
        <is>
          <t>V̅CLXV</t>
        </is>
      </c>
      <c r="C5166">
        <f>ROMAN(5165)</f>
        <v/>
      </c>
      <c r="D5166">
        <f>IF(B5166=C5166, "YES", "WRONG")</f>
        <v/>
      </c>
    </row>
    <row r="5167">
      <c r="A5167" t="n">
        <v>5166</v>
      </c>
      <c r="B5167" t="inlineStr">
        <is>
          <t>V̅CLXVI</t>
        </is>
      </c>
      <c r="C5167">
        <f>ROMAN(5166)</f>
        <v/>
      </c>
      <c r="D5167">
        <f>IF(B5167=C5167, "YES", "WRONG")</f>
        <v/>
      </c>
    </row>
    <row r="5168">
      <c r="A5168" t="n">
        <v>5167</v>
      </c>
      <c r="B5168" t="inlineStr">
        <is>
          <t>V̅CLXVII</t>
        </is>
      </c>
      <c r="C5168">
        <f>ROMAN(5167)</f>
        <v/>
      </c>
      <c r="D5168">
        <f>IF(B5168=C5168, "YES", "WRONG")</f>
        <v/>
      </c>
    </row>
    <row r="5169">
      <c r="A5169" t="n">
        <v>5168</v>
      </c>
      <c r="B5169" t="inlineStr">
        <is>
          <t>V̅CLXVIII</t>
        </is>
      </c>
      <c r="C5169">
        <f>ROMAN(5168)</f>
        <v/>
      </c>
      <c r="D5169">
        <f>IF(B5169=C5169, "YES", "WRONG")</f>
        <v/>
      </c>
    </row>
    <row r="5170">
      <c r="A5170" t="n">
        <v>5169</v>
      </c>
      <c r="B5170" t="inlineStr">
        <is>
          <t>V̅CLXIX</t>
        </is>
      </c>
      <c r="C5170">
        <f>ROMAN(5169)</f>
        <v/>
      </c>
      <c r="D5170">
        <f>IF(B5170=C5170, "YES", "WRONG")</f>
        <v/>
      </c>
    </row>
    <row r="5171">
      <c r="A5171" t="n">
        <v>5170</v>
      </c>
      <c r="B5171" t="inlineStr">
        <is>
          <t>V̅CLXX</t>
        </is>
      </c>
      <c r="C5171">
        <f>ROMAN(5170)</f>
        <v/>
      </c>
      <c r="D5171">
        <f>IF(B5171=C5171, "YES", "WRONG")</f>
        <v/>
      </c>
    </row>
    <row r="5172">
      <c r="A5172" t="n">
        <v>5171</v>
      </c>
      <c r="B5172" t="inlineStr">
        <is>
          <t>V̅CLXXI</t>
        </is>
      </c>
      <c r="C5172">
        <f>ROMAN(5171)</f>
        <v/>
      </c>
      <c r="D5172">
        <f>IF(B5172=C5172, "YES", "WRONG")</f>
        <v/>
      </c>
    </row>
    <row r="5173">
      <c r="A5173" t="n">
        <v>5172</v>
      </c>
      <c r="B5173" t="inlineStr">
        <is>
          <t>V̅CLXXII</t>
        </is>
      </c>
      <c r="C5173">
        <f>ROMAN(5172)</f>
        <v/>
      </c>
      <c r="D5173">
        <f>IF(B5173=C5173, "YES", "WRONG")</f>
        <v/>
      </c>
    </row>
    <row r="5174">
      <c r="A5174" t="n">
        <v>5173</v>
      </c>
      <c r="B5174" t="inlineStr">
        <is>
          <t>V̅CLXXIII</t>
        </is>
      </c>
      <c r="C5174">
        <f>ROMAN(5173)</f>
        <v/>
      </c>
      <c r="D5174">
        <f>IF(B5174=C5174, "YES", "WRONG")</f>
        <v/>
      </c>
    </row>
    <row r="5175">
      <c r="A5175" t="n">
        <v>5174</v>
      </c>
      <c r="B5175" t="inlineStr">
        <is>
          <t>V̅CLXXIV</t>
        </is>
      </c>
      <c r="C5175">
        <f>ROMAN(5174)</f>
        <v/>
      </c>
      <c r="D5175">
        <f>IF(B5175=C5175, "YES", "WRONG")</f>
        <v/>
      </c>
    </row>
    <row r="5176">
      <c r="A5176" t="n">
        <v>5175</v>
      </c>
      <c r="B5176" t="inlineStr">
        <is>
          <t>V̅CLXXV</t>
        </is>
      </c>
      <c r="C5176">
        <f>ROMAN(5175)</f>
        <v/>
      </c>
      <c r="D5176">
        <f>IF(B5176=C5176, "YES", "WRONG")</f>
        <v/>
      </c>
    </row>
    <row r="5177">
      <c r="A5177" t="n">
        <v>5176</v>
      </c>
      <c r="B5177" t="inlineStr">
        <is>
          <t>V̅CLXXVI</t>
        </is>
      </c>
      <c r="C5177">
        <f>ROMAN(5176)</f>
        <v/>
      </c>
      <c r="D5177">
        <f>IF(B5177=C5177, "YES", "WRONG")</f>
        <v/>
      </c>
    </row>
    <row r="5178">
      <c r="A5178" t="n">
        <v>5177</v>
      </c>
      <c r="B5178" t="inlineStr">
        <is>
          <t>V̅CLXXVII</t>
        </is>
      </c>
      <c r="C5178">
        <f>ROMAN(5177)</f>
        <v/>
      </c>
      <c r="D5178">
        <f>IF(B5178=C5178, "YES", "WRONG")</f>
        <v/>
      </c>
    </row>
    <row r="5179">
      <c r="A5179" t="n">
        <v>5178</v>
      </c>
      <c r="B5179" t="inlineStr">
        <is>
          <t>V̅CLXXVIII</t>
        </is>
      </c>
      <c r="C5179">
        <f>ROMAN(5178)</f>
        <v/>
      </c>
      <c r="D5179">
        <f>IF(B5179=C5179, "YES", "WRONG")</f>
        <v/>
      </c>
    </row>
    <row r="5180">
      <c r="A5180" t="n">
        <v>5179</v>
      </c>
      <c r="B5180" t="inlineStr">
        <is>
          <t>V̅CLXXIX</t>
        </is>
      </c>
      <c r="C5180">
        <f>ROMAN(5179)</f>
        <v/>
      </c>
      <c r="D5180">
        <f>IF(B5180=C5180, "YES", "WRONG")</f>
        <v/>
      </c>
    </row>
    <row r="5181">
      <c r="A5181" t="n">
        <v>5180</v>
      </c>
      <c r="B5181" t="inlineStr">
        <is>
          <t>V̅CLXXX</t>
        </is>
      </c>
      <c r="C5181">
        <f>ROMAN(5180)</f>
        <v/>
      </c>
      <c r="D5181">
        <f>IF(B5181=C5181, "YES", "WRONG")</f>
        <v/>
      </c>
    </row>
    <row r="5182">
      <c r="A5182" t="n">
        <v>5181</v>
      </c>
      <c r="B5182" t="inlineStr">
        <is>
          <t>V̅CLXXXI</t>
        </is>
      </c>
      <c r="C5182">
        <f>ROMAN(5181)</f>
        <v/>
      </c>
      <c r="D5182">
        <f>IF(B5182=C5182, "YES", "WRONG")</f>
        <v/>
      </c>
    </row>
    <row r="5183">
      <c r="A5183" t="n">
        <v>5182</v>
      </c>
      <c r="B5183" t="inlineStr">
        <is>
          <t>V̅CLXXXII</t>
        </is>
      </c>
      <c r="C5183">
        <f>ROMAN(5182)</f>
        <v/>
      </c>
      <c r="D5183">
        <f>IF(B5183=C5183, "YES", "WRONG")</f>
        <v/>
      </c>
    </row>
    <row r="5184">
      <c r="A5184" t="n">
        <v>5183</v>
      </c>
      <c r="B5184" t="inlineStr">
        <is>
          <t>V̅CLXXXIII</t>
        </is>
      </c>
      <c r="C5184">
        <f>ROMAN(5183)</f>
        <v/>
      </c>
      <c r="D5184">
        <f>IF(B5184=C5184, "YES", "WRONG")</f>
        <v/>
      </c>
    </row>
    <row r="5185">
      <c r="A5185" t="n">
        <v>5184</v>
      </c>
      <c r="B5185" t="inlineStr">
        <is>
          <t>V̅CLXXXIV</t>
        </is>
      </c>
      <c r="C5185">
        <f>ROMAN(5184)</f>
        <v/>
      </c>
      <c r="D5185">
        <f>IF(B5185=C5185, "YES", "WRONG")</f>
        <v/>
      </c>
    </row>
    <row r="5186">
      <c r="A5186" t="n">
        <v>5185</v>
      </c>
      <c r="B5186" t="inlineStr">
        <is>
          <t>V̅CLXXXV</t>
        </is>
      </c>
      <c r="C5186">
        <f>ROMAN(5185)</f>
        <v/>
      </c>
      <c r="D5186">
        <f>IF(B5186=C5186, "YES", "WRONG")</f>
        <v/>
      </c>
    </row>
    <row r="5187">
      <c r="A5187" t="n">
        <v>5186</v>
      </c>
      <c r="B5187" t="inlineStr">
        <is>
          <t>V̅CLXXXVI</t>
        </is>
      </c>
      <c r="C5187">
        <f>ROMAN(5186)</f>
        <v/>
      </c>
      <c r="D5187">
        <f>IF(B5187=C5187, "YES", "WRONG")</f>
        <v/>
      </c>
    </row>
    <row r="5188">
      <c r="A5188" t="n">
        <v>5187</v>
      </c>
      <c r="B5188" t="inlineStr">
        <is>
          <t>V̅CLXXXVII</t>
        </is>
      </c>
      <c r="C5188">
        <f>ROMAN(5187)</f>
        <v/>
      </c>
      <c r="D5188">
        <f>IF(B5188=C5188, "YES", "WRONG")</f>
        <v/>
      </c>
    </row>
    <row r="5189">
      <c r="A5189" t="n">
        <v>5188</v>
      </c>
      <c r="B5189" t="inlineStr">
        <is>
          <t>V̅CLXXXVIII</t>
        </is>
      </c>
      <c r="C5189">
        <f>ROMAN(5188)</f>
        <v/>
      </c>
      <c r="D5189">
        <f>IF(B5189=C5189, "YES", "WRONG")</f>
        <v/>
      </c>
    </row>
    <row r="5190">
      <c r="A5190" t="n">
        <v>5189</v>
      </c>
      <c r="B5190" t="inlineStr">
        <is>
          <t>V̅CLXXXIX</t>
        </is>
      </c>
      <c r="C5190">
        <f>ROMAN(5189)</f>
        <v/>
      </c>
      <c r="D5190">
        <f>IF(B5190=C5190, "YES", "WRONG")</f>
        <v/>
      </c>
    </row>
    <row r="5191">
      <c r="A5191" t="n">
        <v>5190</v>
      </c>
      <c r="B5191" t="inlineStr">
        <is>
          <t>V̅CXC</t>
        </is>
      </c>
      <c r="C5191">
        <f>ROMAN(5190)</f>
        <v/>
      </c>
      <c r="D5191">
        <f>IF(B5191=C5191, "YES", "WRONG")</f>
        <v/>
      </c>
    </row>
    <row r="5192">
      <c r="A5192" t="n">
        <v>5191</v>
      </c>
      <c r="B5192" t="inlineStr">
        <is>
          <t>V̅CXCI</t>
        </is>
      </c>
      <c r="C5192">
        <f>ROMAN(5191)</f>
        <v/>
      </c>
      <c r="D5192">
        <f>IF(B5192=C5192, "YES", "WRONG")</f>
        <v/>
      </c>
    </row>
    <row r="5193">
      <c r="A5193" t="n">
        <v>5192</v>
      </c>
      <c r="B5193" t="inlineStr">
        <is>
          <t>V̅CXCII</t>
        </is>
      </c>
      <c r="C5193">
        <f>ROMAN(5192)</f>
        <v/>
      </c>
      <c r="D5193">
        <f>IF(B5193=C5193, "YES", "WRONG")</f>
        <v/>
      </c>
    </row>
    <row r="5194">
      <c r="A5194" t="n">
        <v>5193</v>
      </c>
      <c r="B5194" t="inlineStr">
        <is>
          <t>V̅CXCIII</t>
        </is>
      </c>
      <c r="C5194">
        <f>ROMAN(5193)</f>
        <v/>
      </c>
      <c r="D5194">
        <f>IF(B5194=C5194, "YES", "WRONG")</f>
        <v/>
      </c>
    </row>
    <row r="5195">
      <c r="A5195" t="n">
        <v>5194</v>
      </c>
      <c r="B5195" t="inlineStr">
        <is>
          <t>V̅CXCIV</t>
        </is>
      </c>
      <c r="C5195">
        <f>ROMAN(5194)</f>
        <v/>
      </c>
      <c r="D5195">
        <f>IF(B5195=C5195, "YES", "WRONG")</f>
        <v/>
      </c>
    </row>
    <row r="5196">
      <c r="A5196" t="n">
        <v>5195</v>
      </c>
      <c r="B5196" t="inlineStr">
        <is>
          <t>V̅CXCV</t>
        </is>
      </c>
      <c r="C5196">
        <f>ROMAN(5195)</f>
        <v/>
      </c>
      <c r="D5196">
        <f>IF(B5196=C5196, "YES", "WRONG")</f>
        <v/>
      </c>
    </row>
    <row r="5197">
      <c r="A5197" t="n">
        <v>5196</v>
      </c>
      <c r="B5197" t="inlineStr">
        <is>
          <t>V̅CXCVI</t>
        </is>
      </c>
      <c r="C5197">
        <f>ROMAN(5196)</f>
        <v/>
      </c>
      <c r="D5197">
        <f>IF(B5197=C5197, "YES", "WRONG")</f>
        <v/>
      </c>
    </row>
    <row r="5198">
      <c r="A5198" t="n">
        <v>5197</v>
      </c>
      <c r="B5198" t="inlineStr">
        <is>
          <t>V̅CXCVII</t>
        </is>
      </c>
      <c r="C5198">
        <f>ROMAN(5197)</f>
        <v/>
      </c>
      <c r="D5198">
        <f>IF(B5198=C5198, "YES", "WRONG")</f>
        <v/>
      </c>
    </row>
    <row r="5199">
      <c r="A5199" t="n">
        <v>5198</v>
      </c>
      <c r="B5199" t="inlineStr">
        <is>
          <t>V̅CXCVIII</t>
        </is>
      </c>
      <c r="C5199">
        <f>ROMAN(5198)</f>
        <v/>
      </c>
      <c r="D5199">
        <f>IF(B5199=C5199, "YES", "WRONG")</f>
        <v/>
      </c>
    </row>
    <row r="5200">
      <c r="A5200" t="n">
        <v>5199</v>
      </c>
      <c r="B5200" t="inlineStr">
        <is>
          <t>V̅CXCIX</t>
        </is>
      </c>
      <c r="C5200">
        <f>ROMAN(5199)</f>
        <v/>
      </c>
      <c r="D5200">
        <f>IF(B5200=C5200, "YES", "WRONG")</f>
        <v/>
      </c>
    </row>
    <row r="5201">
      <c r="A5201" t="n">
        <v>5200</v>
      </c>
      <c r="B5201" t="inlineStr">
        <is>
          <t>V̅CC</t>
        </is>
      </c>
      <c r="C5201">
        <f>ROMAN(5200)</f>
        <v/>
      </c>
      <c r="D5201">
        <f>IF(B5201=C5201, "YES", "WRONG")</f>
        <v/>
      </c>
    </row>
    <row r="5202">
      <c r="A5202" t="n">
        <v>5201</v>
      </c>
      <c r="B5202" t="inlineStr">
        <is>
          <t>V̅CCI</t>
        </is>
      </c>
      <c r="C5202">
        <f>ROMAN(5201)</f>
        <v/>
      </c>
      <c r="D5202">
        <f>IF(B5202=C5202, "YES", "WRONG")</f>
        <v/>
      </c>
    </row>
    <row r="5203">
      <c r="A5203" t="n">
        <v>5202</v>
      </c>
      <c r="B5203" t="inlineStr">
        <is>
          <t>V̅CCII</t>
        </is>
      </c>
      <c r="C5203">
        <f>ROMAN(5202)</f>
        <v/>
      </c>
      <c r="D5203">
        <f>IF(B5203=C5203, "YES", "WRONG")</f>
        <v/>
      </c>
    </row>
    <row r="5204">
      <c r="A5204" t="n">
        <v>5203</v>
      </c>
      <c r="B5204" t="inlineStr">
        <is>
          <t>V̅CCIII</t>
        </is>
      </c>
      <c r="C5204">
        <f>ROMAN(5203)</f>
        <v/>
      </c>
      <c r="D5204">
        <f>IF(B5204=C5204, "YES", "WRONG")</f>
        <v/>
      </c>
    </row>
    <row r="5205">
      <c r="A5205" t="n">
        <v>5204</v>
      </c>
      <c r="B5205" t="inlineStr">
        <is>
          <t>V̅CCIV</t>
        </is>
      </c>
      <c r="C5205">
        <f>ROMAN(5204)</f>
        <v/>
      </c>
      <c r="D5205">
        <f>IF(B5205=C5205, "YES", "WRONG")</f>
        <v/>
      </c>
    </row>
    <row r="5206">
      <c r="A5206" t="n">
        <v>5205</v>
      </c>
      <c r="B5206" t="inlineStr">
        <is>
          <t>V̅CCV</t>
        </is>
      </c>
      <c r="C5206">
        <f>ROMAN(5205)</f>
        <v/>
      </c>
      <c r="D5206">
        <f>IF(B5206=C5206, "YES", "WRONG")</f>
        <v/>
      </c>
    </row>
    <row r="5207">
      <c r="A5207" t="n">
        <v>5206</v>
      </c>
      <c r="B5207" t="inlineStr">
        <is>
          <t>V̅CCVI</t>
        </is>
      </c>
      <c r="C5207">
        <f>ROMAN(5206)</f>
        <v/>
      </c>
      <c r="D5207">
        <f>IF(B5207=C5207, "YES", "WRONG")</f>
        <v/>
      </c>
    </row>
    <row r="5208">
      <c r="A5208" t="n">
        <v>5207</v>
      </c>
      <c r="B5208" t="inlineStr">
        <is>
          <t>V̅CCVII</t>
        </is>
      </c>
      <c r="C5208">
        <f>ROMAN(5207)</f>
        <v/>
      </c>
      <c r="D5208">
        <f>IF(B5208=C5208, "YES", "WRONG")</f>
        <v/>
      </c>
    </row>
    <row r="5209">
      <c r="A5209" t="n">
        <v>5208</v>
      </c>
      <c r="B5209" t="inlineStr">
        <is>
          <t>V̅CCVIII</t>
        </is>
      </c>
      <c r="C5209">
        <f>ROMAN(5208)</f>
        <v/>
      </c>
      <c r="D5209">
        <f>IF(B5209=C5209, "YES", "WRONG")</f>
        <v/>
      </c>
    </row>
    <row r="5210">
      <c r="A5210" t="n">
        <v>5209</v>
      </c>
      <c r="B5210" t="inlineStr">
        <is>
          <t>V̅CCIX</t>
        </is>
      </c>
      <c r="C5210">
        <f>ROMAN(5209)</f>
        <v/>
      </c>
      <c r="D5210">
        <f>IF(B5210=C5210, "YES", "WRONG")</f>
        <v/>
      </c>
    </row>
    <row r="5211">
      <c r="A5211" t="n">
        <v>5210</v>
      </c>
      <c r="B5211" t="inlineStr">
        <is>
          <t>V̅CCX</t>
        </is>
      </c>
      <c r="C5211">
        <f>ROMAN(5210)</f>
        <v/>
      </c>
      <c r="D5211">
        <f>IF(B5211=C5211, "YES", "WRONG")</f>
        <v/>
      </c>
    </row>
    <row r="5212">
      <c r="A5212" t="n">
        <v>5211</v>
      </c>
      <c r="B5212" t="inlineStr">
        <is>
          <t>V̅CCXI</t>
        </is>
      </c>
      <c r="C5212">
        <f>ROMAN(5211)</f>
        <v/>
      </c>
      <c r="D5212">
        <f>IF(B5212=C5212, "YES", "WRONG")</f>
        <v/>
      </c>
    </row>
    <row r="5213">
      <c r="A5213" t="n">
        <v>5212</v>
      </c>
      <c r="B5213" t="inlineStr">
        <is>
          <t>V̅CCXII</t>
        </is>
      </c>
      <c r="C5213">
        <f>ROMAN(5212)</f>
        <v/>
      </c>
      <c r="D5213">
        <f>IF(B5213=C5213, "YES", "WRONG")</f>
        <v/>
      </c>
    </row>
    <row r="5214">
      <c r="A5214" t="n">
        <v>5213</v>
      </c>
      <c r="B5214" t="inlineStr">
        <is>
          <t>V̅CCXIII</t>
        </is>
      </c>
      <c r="C5214">
        <f>ROMAN(5213)</f>
        <v/>
      </c>
      <c r="D5214">
        <f>IF(B5214=C5214, "YES", "WRONG")</f>
        <v/>
      </c>
    </row>
    <row r="5215">
      <c r="A5215" t="n">
        <v>5214</v>
      </c>
      <c r="B5215" t="inlineStr">
        <is>
          <t>V̅CCXIV</t>
        </is>
      </c>
      <c r="C5215">
        <f>ROMAN(5214)</f>
        <v/>
      </c>
      <c r="D5215">
        <f>IF(B5215=C5215, "YES", "WRONG")</f>
        <v/>
      </c>
    </row>
    <row r="5216">
      <c r="A5216" t="n">
        <v>5215</v>
      </c>
      <c r="B5216" t="inlineStr">
        <is>
          <t>V̅CCXV</t>
        </is>
      </c>
      <c r="C5216">
        <f>ROMAN(5215)</f>
        <v/>
      </c>
      <c r="D5216">
        <f>IF(B5216=C5216, "YES", "WRONG")</f>
        <v/>
      </c>
    </row>
    <row r="5217">
      <c r="A5217" t="n">
        <v>5216</v>
      </c>
      <c r="B5217" t="inlineStr">
        <is>
          <t>V̅CCXVI</t>
        </is>
      </c>
      <c r="C5217">
        <f>ROMAN(5216)</f>
        <v/>
      </c>
      <c r="D5217">
        <f>IF(B5217=C5217, "YES", "WRONG")</f>
        <v/>
      </c>
    </row>
    <row r="5218">
      <c r="A5218" t="n">
        <v>5217</v>
      </c>
      <c r="B5218" t="inlineStr">
        <is>
          <t>V̅CCXVII</t>
        </is>
      </c>
      <c r="C5218">
        <f>ROMAN(5217)</f>
        <v/>
      </c>
      <c r="D5218">
        <f>IF(B5218=C5218, "YES", "WRONG")</f>
        <v/>
      </c>
    </row>
    <row r="5219">
      <c r="A5219" t="n">
        <v>5218</v>
      </c>
      <c r="B5219" t="inlineStr">
        <is>
          <t>V̅CCXVIII</t>
        </is>
      </c>
      <c r="C5219">
        <f>ROMAN(5218)</f>
        <v/>
      </c>
      <c r="D5219">
        <f>IF(B5219=C5219, "YES", "WRONG")</f>
        <v/>
      </c>
    </row>
    <row r="5220">
      <c r="A5220" t="n">
        <v>5219</v>
      </c>
      <c r="B5220" t="inlineStr">
        <is>
          <t>V̅CCXIX</t>
        </is>
      </c>
      <c r="C5220">
        <f>ROMAN(5219)</f>
        <v/>
      </c>
      <c r="D5220">
        <f>IF(B5220=C5220, "YES", "WRONG")</f>
        <v/>
      </c>
    </row>
    <row r="5221">
      <c r="A5221" t="n">
        <v>5220</v>
      </c>
      <c r="B5221" t="inlineStr">
        <is>
          <t>V̅CCXX</t>
        </is>
      </c>
      <c r="C5221">
        <f>ROMAN(5220)</f>
        <v/>
      </c>
      <c r="D5221">
        <f>IF(B5221=C5221, "YES", "WRONG")</f>
        <v/>
      </c>
    </row>
    <row r="5222">
      <c r="A5222" t="n">
        <v>5221</v>
      </c>
      <c r="B5222" t="inlineStr">
        <is>
          <t>V̅CCXXI</t>
        </is>
      </c>
      <c r="C5222">
        <f>ROMAN(5221)</f>
        <v/>
      </c>
      <c r="D5222">
        <f>IF(B5222=C5222, "YES", "WRONG")</f>
        <v/>
      </c>
    </row>
    <row r="5223">
      <c r="A5223" t="n">
        <v>5222</v>
      </c>
      <c r="B5223" t="inlineStr">
        <is>
          <t>V̅CCXXII</t>
        </is>
      </c>
      <c r="C5223">
        <f>ROMAN(5222)</f>
        <v/>
      </c>
      <c r="D5223">
        <f>IF(B5223=C5223, "YES", "WRONG")</f>
        <v/>
      </c>
    </row>
    <row r="5224">
      <c r="A5224" t="n">
        <v>5223</v>
      </c>
      <c r="B5224" t="inlineStr">
        <is>
          <t>V̅CCXXIII</t>
        </is>
      </c>
      <c r="C5224">
        <f>ROMAN(5223)</f>
        <v/>
      </c>
      <c r="D5224">
        <f>IF(B5224=C5224, "YES", "WRONG")</f>
        <v/>
      </c>
    </row>
    <row r="5225">
      <c r="A5225" t="n">
        <v>5224</v>
      </c>
      <c r="B5225" t="inlineStr">
        <is>
          <t>V̅CCXXIV</t>
        </is>
      </c>
      <c r="C5225">
        <f>ROMAN(5224)</f>
        <v/>
      </c>
      <c r="D5225">
        <f>IF(B5225=C5225, "YES", "WRONG")</f>
        <v/>
      </c>
    </row>
    <row r="5226">
      <c r="A5226" t="n">
        <v>5225</v>
      </c>
      <c r="B5226" t="inlineStr">
        <is>
          <t>V̅CCXXV</t>
        </is>
      </c>
      <c r="C5226">
        <f>ROMAN(5225)</f>
        <v/>
      </c>
      <c r="D5226">
        <f>IF(B5226=C5226, "YES", "WRONG")</f>
        <v/>
      </c>
    </row>
    <row r="5227">
      <c r="A5227" t="n">
        <v>5226</v>
      </c>
      <c r="B5227" t="inlineStr">
        <is>
          <t>V̅CCXXVI</t>
        </is>
      </c>
      <c r="C5227">
        <f>ROMAN(5226)</f>
        <v/>
      </c>
      <c r="D5227">
        <f>IF(B5227=C5227, "YES", "WRONG")</f>
        <v/>
      </c>
    </row>
    <row r="5228">
      <c r="A5228" t="n">
        <v>5227</v>
      </c>
      <c r="B5228" t="inlineStr">
        <is>
          <t>V̅CCXXVII</t>
        </is>
      </c>
      <c r="C5228">
        <f>ROMAN(5227)</f>
        <v/>
      </c>
      <c r="D5228">
        <f>IF(B5228=C5228, "YES", "WRONG")</f>
        <v/>
      </c>
    </row>
    <row r="5229">
      <c r="A5229" t="n">
        <v>5228</v>
      </c>
      <c r="B5229" t="inlineStr">
        <is>
          <t>V̅CCXXVIII</t>
        </is>
      </c>
      <c r="C5229">
        <f>ROMAN(5228)</f>
        <v/>
      </c>
      <c r="D5229">
        <f>IF(B5229=C5229, "YES", "WRONG")</f>
        <v/>
      </c>
    </row>
    <row r="5230">
      <c r="A5230" t="n">
        <v>5229</v>
      </c>
      <c r="B5230" t="inlineStr">
        <is>
          <t>V̅CCXXIX</t>
        </is>
      </c>
      <c r="C5230">
        <f>ROMAN(5229)</f>
        <v/>
      </c>
      <c r="D5230">
        <f>IF(B5230=C5230, "YES", "WRONG")</f>
        <v/>
      </c>
    </row>
    <row r="5231">
      <c r="A5231" t="n">
        <v>5230</v>
      </c>
      <c r="B5231" t="inlineStr">
        <is>
          <t>V̅CCXXX</t>
        </is>
      </c>
      <c r="C5231">
        <f>ROMAN(5230)</f>
        <v/>
      </c>
      <c r="D5231">
        <f>IF(B5231=C5231, "YES", "WRONG")</f>
        <v/>
      </c>
    </row>
    <row r="5232">
      <c r="A5232" t="n">
        <v>5231</v>
      </c>
      <c r="B5232" t="inlineStr">
        <is>
          <t>V̅CCXXXI</t>
        </is>
      </c>
      <c r="C5232">
        <f>ROMAN(5231)</f>
        <v/>
      </c>
      <c r="D5232">
        <f>IF(B5232=C5232, "YES", "WRONG")</f>
        <v/>
      </c>
    </row>
    <row r="5233">
      <c r="A5233" t="n">
        <v>5232</v>
      </c>
      <c r="B5233" t="inlineStr">
        <is>
          <t>V̅CCXXXII</t>
        </is>
      </c>
      <c r="C5233">
        <f>ROMAN(5232)</f>
        <v/>
      </c>
      <c r="D5233">
        <f>IF(B5233=C5233, "YES", "WRONG")</f>
        <v/>
      </c>
    </row>
    <row r="5234">
      <c r="A5234" t="n">
        <v>5233</v>
      </c>
      <c r="B5234" t="inlineStr">
        <is>
          <t>V̅CCXXXIII</t>
        </is>
      </c>
      <c r="C5234">
        <f>ROMAN(5233)</f>
        <v/>
      </c>
      <c r="D5234">
        <f>IF(B5234=C5234, "YES", "WRONG")</f>
        <v/>
      </c>
    </row>
    <row r="5235">
      <c r="A5235" t="n">
        <v>5234</v>
      </c>
      <c r="B5235" t="inlineStr">
        <is>
          <t>V̅CCXXXIV</t>
        </is>
      </c>
      <c r="C5235">
        <f>ROMAN(5234)</f>
        <v/>
      </c>
      <c r="D5235">
        <f>IF(B5235=C5235, "YES", "WRONG")</f>
        <v/>
      </c>
    </row>
    <row r="5236">
      <c r="A5236" t="n">
        <v>5235</v>
      </c>
      <c r="B5236" t="inlineStr">
        <is>
          <t>V̅CCXXXV</t>
        </is>
      </c>
      <c r="C5236">
        <f>ROMAN(5235)</f>
        <v/>
      </c>
      <c r="D5236">
        <f>IF(B5236=C5236, "YES", "WRONG")</f>
        <v/>
      </c>
    </row>
    <row r="5237">
      <c r="A5237" t="n">
        <v>5236</v>
      </c>
      <c r="B5237" t="inlineStr">
        <is>
          <t>V̅CCXXXVI</t>
        </is>
      </c>
      <c r="C5237">
        <f>ROMAN(5236)</f>
        <v/>
      </c>
      <c r="D5237">
        <f>IF(B5237=C5237, "YES", "WRONG")</f>
        <v/>
      </c>
    </row>
    <row r="5238">
      <c r="A5238" t="n">
        <v>5237</v>
      </c>
      <c r="B5238" t="inlineStr">
        <is>
          <t>V̅CCXXXVII</t>
        </is>
      </c>
      <c r="C5238">
        <f>ROMAN(5237)</f>
        <v/>
      </c>
      <c r="D5238">
        <f>IF(B5238=C5238, "YES", "WRONG")</f>
        <v/>
      </c>
    </row>
    <row r="5239">
      <c r="A5239" t="n">
        <v>5238</v>
      </c>
      <c r="B5239" t="inlineStr">
        <is>
          <t>V̅CCXXXVIII</t>
        </is>
      </c>
      <c r="C5239">
        <f>ROMAN(5238)</f>
        <v/>
      </c>
      <c r="D5239">
        <f>IF(B5239=C5239, "YES", "WRONG")</f>
        <v/>
      </c>
    </row>
    <row r="5240">
      <c r="A5240" t="n">
        <v>5239</v>
      </c>
      <c r="B5240" t="inlineStr">
        <is>
          <t>V̅CCXXXIX</t>
        </is>
      </c>
      <c r="C5240">
        <f>ROMAN(5239)</f>
        <v/>
      </c>
      <c r="D5240">
        <f>IF(B5240=C5240, "YES", "WRONG")</f>
        <v/>
      </c>
    </row>
    <row r="5241">
      <c r="A5241" t="n">
        <v>5240</v>
      </c>
      <c r="B5241" t="inlineStr">
        <is>
          <t>V̅CCXL</t>
        </is>
      </c>
      <c r="C5241">
        <f>ROMAN(5240)</f>
        <v/>
      </c>
      <c r="D5241">
        <f>IF(B5241=C5241, "YES", "WRONG")</f>
        <v/>
      </c>
    </row>
    <row r="5242">
      <c r="A5242" t="n">
        <v>5241</v>
      </c>
      <c r="B5242" t="inlineStr">
        <is>
          <t>V̅CCXLI</t>
        </is>
      </c>
      <c r="C5242">
        <f>ROMAN(5241)</f>
        <v/>
      </c>
      <c r="D5242">
        <f>IF(B5242=C5242, "YES", "WRONG")</f>
        <v/>
      </c>
    </row>
    <row r="5243">
      <c r="A5243" t="n">
        <v>5242</v>
      </c>
      <c r="B5243" t="inlineStr">
        <is>
          <t>V̅CCXLII</t>
        </is>
      </c>
      <c r="C5243">
        <f>ROMAN(5242)</f>
        <v/>
      </c>
      <c r="D5243">
        <f>IF(B5243=C5243, "YES", "WRONG")</f>
        <v/>
      </c>
    </row>
    <row r="5244">
      <c r="A5244" t="n">
        <v>5243</v>
      </c>
      <c r="B5244" t="inlineStr">
        <is>
          <t>V̅CCXLIII</t>
        </is>
      </c>
      <c r="C5244">
        <f>ROMAN(5243)</f>
        <v/>
      </c>
      <c r="D5244">
        <f>IF(B5244=C5244, "YES", "WRONG")</f>
        <v/>
      </c>
    </row>
    <row r="5245">
      <c r="A5245" t="n">
        <v>5244</v>
      </c>
      <c r="B5245" t="inlineStr">
        <is>
          <t>V̅CCXLIV</t>
        </is>
      </c>
      <c r="C5245">
        <f>ROMAN(5244)</f>
        <v/>
      </c>
      <c r="D5245">
        <f>IF(B5245=C5245, "YES", "WRONG")</f>
        <v/>
      </c>
    </row>
    <row r="5246">
      <c r="A5246" t="n">
        <v>5245</v>
      </c>
      <c r="B5246" t="inlineStr">
        <is>
          <t>V̅CCXLV</t>
        </is>
      </c>
      <c r="C5246">
        <f>ROMAN(5245)</f>
        <v/>
      </c>
      <c r="D5246">
        <f>IF(B5246=C5246, "YES", "WRONG")</f>
        <v/>
      </c>
    </row>
    <row r="5247">
      <c r="A5247" t="n">
        <v>5246</v>
      </c>
      <c r="B5247" t="inlineStr">
        <is>
          <t>V̅CCXLVI</t>
        </is>
      </c>
      <c r="C5247">
        <f>ROMAN(5246)</f>
        <v/>
      </c>
      <c r="D5247">
        <f>IF(B5247=C5247, "YES", "WRONG")</f>
        <v/>
      </c>
    </row>
    <row r="5248">
      <c r="A5248" t="n">
        <v>5247</v>
      </c>
      <c r="B5248" t="inlineStr">
        <is>
          <t>V̅CCXLVII</t>
        </is>
      </c>
      <c r="C5248">
        <f>ROMAN(5247)</f>
        <v/>
      </c>
      <c r="D5248">
        <f>IF(B5248=C5248, "YES", "WRONG")</f>
        <v/>
      </c>
    </row>
    <row r="5249">
      <c r="A5249" t="n">
        <v>5248</v>
      </c>
      <c r="B5249" t="inlineStr">
        <is>
          <t>V̅CCXLVIII</t>
        </is>
      </c>
      <c r="C5249">
        <f>ROMAN(5248)</f>
        <v/>
      </c>
      <c r="D5249">
        <f>IF(B5249=C5249, "YES", "WRONG")</f>
        <v/>
      </c>
    </row>
    <row r="5250">
      <c r="A5250" t="n">
        <v>5249</v>
      </c>
      <c r="B5250" t="inlineStr">
        <is>
          <t>V̅CCXLIX</t>
        </is>
      </c>
      <c r="C5250">
        <f>ROMAN(5249)</f>
        <v/>
      </c>
      <c r="D5250">
        <f>IF(B5250=C5250, "YES", "WRONG")</f>
        <v/>
      </c>
    </row>
    <row r="5251">
      <c r="A5251" t="n">
        <v>5250</v>
      </c>
      <c r="B5251" t="inlineStr">
        <is>
          <t>V̅CCL</t>
        </is>
      </c>
      <c r="C5251">
        <f>ROMAN(5250)</f>
        <v/>
      </c>
      <c r="D5251">
        <f>IF(B5251=C5251, "YES", "WRONG")</f>
        <v/>
      </c>
    </row>
    <row r="5252">
      <c r="A5252" t="n">
        <v>5251</v>
      </c>
      <c r="B5252" t="inlineStr">
        <is>
          <t>V̅CCLI</t>
        </is>
      </c>
      <c r="C5252">
        <f>ROMAN(5251)</f>
        <v/>
      </c>
      <c r="D5252">
        <f>IF(B5252=C5252, "YES", "WRONG")</f>
        <v/>
      </c>
    </row>
    <row r="5253">
      <c r="A5253" t="n">
        <v>5252</v>
      </c>
      <c r="B5253" t="inlineStr">
        <is>
          <t>V̅CCLII</t>
        </is>
      </c>
      <c r="C5253">
        <f>ROMAN(5252)</f>
        <v/>
      </c>
      <c r="D5253">
        <f>IF(B5253=C5253, "YES", "WRONG")</f>
        <v/>
      </c>
    </row>
    <row r="5254">
      <c r="A5254" t="n">
        <v>5253</v>
      </c>
      <c r="B5254" t="inlineStr">
        <is>
          <t>V̅CCLIII</t>
        </is>
      </c>
      <c r="C5254">
        <f>ROMAN(5253)</f>
        <v/>
      </c>
      <c r="D5254">
        <f>IF(B5254=C5254, "YES", "WRONG")</f>
        <v/>
      </c>
    </row>
    <row r="5255">
      <c r="A5255" t="n">
        <v>5254</v>
      </c>
      <c r="B5255" t="inlineStr">
        <is>
          <t>V̅CCLIV</t>
        </is>
      </c>
      <c r="C5255">
        <f>ROMAN(5254)</f>
        <v/>
      </c>
      <c r="D5255">
        <f>IF(B5255=C5255, "YES", "WRONG")</f>
        <v/>
      </c>
    </row>
    <row r="5256">
      <c r="A5256" t="n">
        <v>5255</v>
      </c>
      <c r="B5256" t="inlineStr">
        <is>
          <t>V̅CCLV</t>
        </is>
      </c>
      <c r="C5256">
        <f>ROMAN(5255)</f>
        <v/>
      </c>
      <c r="D5256">
        <f>IF(B5256=C5256, "YES", "WRONG")</f>
        <v/>
      </c>
    </row>
    <row r="5257">
      <c r="A5257" t="n">
        <v>5256</v>
      </c>
      <c r="B5257" t="inlineStr">
        <is>
          <t>V̅CCLVI</t>
        </is>
      </c>
      <c r="C5257">
        <f>ROMAN(5256)</f>
        <v/>
      </c>
      <c r="D5257">
        <f>IF(B5257=C5257, "YES", "WRONG")</f>
        <v/>
      </c>
    </row>
    <row r="5258">
      <c r="A5258" t="n">
        <v>5257</v>
      </c>
      <c r="B5258" t="inlineStr">
        <is>
          <t>V̅CCLVII</t>
        </is>
      </c>
      <c r="C5258">
        <f>ROMAN(5257)</f>
        <v/>
      </c>
      <c r="D5258">
        <f>IF(B5258=C5258, "YES", "WRONG")</f>
        <v/>
      </c>
    </row>
    <row r="5259">
      <c r="A5259" t="n">
        <v>5258</v>
      </c>
      <c r="B5259" t="inlineStr">
        <is>
          <t>V̅CCLVIII</t>
        </is>
      </c>
      <c r="C5259">
        <f>ROMAN(5258)</f>
        <v/>
      </c>
      <c r="D5259">
        <f>IF(B5259=C5259, "YES", "WRONG")</f>
        <v/>
      </c>
    </row>
    <row r="5260">
      <c r="A5260" t="n">
        <v>5259</v>
      </c>
      <c r="B5260" t="inlineStr">
        <is>
          <t>V̅CCLIX</t>
        </is>
      </c>
      <c r="C5260">
        <f>ROMAN(5259)</f>
        <v/>
      </c>
      <c r="D5260">
        <f>IF(B5260=C5260, "YES", "WRONG")</f>
        <v/>
      </c>
    </row>
    <row r="5261">
      <c r="A5261" t="n">
        <v>5260</v>
      </c>
      <c r="B5261" t="inlineStr">
        <is>
          <t>V̅CCLX</t>
        </is>
      </c>
      <c r="C5261">
        <f>ROMAN(5260)</f>
        <v/>
      </c>
      <c r="D5261">
        <f>IF(B5261=C5261, "YES", "WRONG")</f>
        <v/>
      </c>
    </row>
    <row r="5262">
      <c r="A5262" t="n">
        <v>5261</v>
      </c>
      <c r="B5262" t="inlineStr">
        <is>
          <t>V̅CCLXI</t>
        </is>
      </c>
      <c r="C5262">
        <f>ROMAN(5261)</f>
        <v/>
      </c>
      <c r="D5262">
        <f>IF(B5262=C5262, "YES", "WRONG")</f>
        <v/>
      </c>
    </row>
    <row r="5263">
      <c r="A5263" t="n">
        <v>5262</v>
      </c>
      <c r="B5263" t="inlineStr">
        <is>
          <t>V̅CCLXII</t>
        </is>
      </c>
      <c r="C5263">
        <f>ROMAN(5262)</f>
        <v/>
      </c>
      <c r="D5263">
        <f>IF(B5263=C5263, "YES", "WRONG")</f>
        <v/>
      </c>
    </row>
    <row r="5264">
      <c r="A5264" t="n">
        <v>5263</v>
      </c>
      <c r="B5264" t="inlineStr">
        <is>
          <t>V̅CCLXIII</t>
        </is>
      </c>
      <c r="C5264">
        <f>ROMAN(5263)</f>
        <v/>
      </c>
      <c r="D5264">
        <f>IF(B5264=C5264, "YES", "WRONG")</f>
        <v/>
      </c>
    </row>
    <row r="5265">
      <c r="A5265" t="n">
        <v>5264</v>
      </c>
      <c r="B5265" t="inlineStr">
        <is>
          <t>V̅CCLXIV</t>
        </is>
      </c>
      <c r="C5265">
        <f>ROMAN(5264)</f>
        <v/>
      </c>
      <c r="D5265">
        <f>IF(B5265=C5265, "YES", "WRONG")</f>
        <v/>
      </c>
    </row>
    <row r="5266">
      <c r="A5266" t="n">
        <v>5265</v>
      </c>
      <c r="B5266" t="inlineStr">
        <is>
          <t>V̅CCLXV</t>
        </is>
      </c>
      <c r="C5266">
        <f>ROMAN(5265)</f>
        <v/>
      </c>
      <c r="D5266">
        <f>IF(B5266=C5266, "YES", "WRONG")</f>
        <v/>
      </c>
    </row>
    <row r="5267">
      <c r="A5267" t="n">
        <v>5266</v>
      </c>
      <c r="B5267" t="inlineStr">
        <is>
          <t>V̅CCLXVI</t>
        </is>
      </c>
      <c r="C5267">
        <f>ROMAN(5266)</f>
        <v/>
      </c>
      <c r="D5267">
        <f>IF(B5267=C5267, "YES", "WRONG")</f>
        <v/>
      </c>
    </row>
    <row r="5268">
      <c r="A5268" t="n">
        <v>5267</v>
      </c>
      <c r="B5268" t="inlineStr">
        <is>
          <t>V̅CCLXVII</t>
        </is>
      </c>
      <c r="C5268">
        <f>ROMAN(5267)</f>
        <v/>
      </c>
      <c r="D5268">
        <f>IF(B5268=C5268, "YES", "WRONG")</f>
        <v/>
      </c>
    </row>
    <row r="5269">
      <c r="A5269" t="n">
        <v>5268</v>
      </c>
      <c r="B5269" t="inlineStr">
        <is>
          <t>V̅CCLXVIII</t>
        </is>
      </c>
      <c r="C5269">
        <f>ROMAN(5268)</f>
        <v/>
      </c>
      <c r="D5269">
        <f>IF(B5269=C5269, "YES", "WRONG")</f>
        <v/>
      </c>
    </row>
    <row r="5270">
      <c r="A5270" t="n">
        <v>5269</v>
      </c>
      <c r="B5270" t="inlineStr">
        <is>
          <t>V̅CCLXIX</t>
        </is>
      </c>
      <c r="C5270">
        <f>ROMAN(5269)</f>
        <v/>
      </c>
      <c r="D5270">
        <f>IF(B5270=C5270, "YES", "WRONG")</f>
        <v/>
      </c>
    </row>
    <row r="5271">
      <c r="A5271" t="n">
        <v>5270</v>
      </c>
      <c r="B5271" t="inlineStr">
        <is>
          <t>V̅CCLXX</t>
        </is>
      </c>
      <c r="C5271">
        <f>ROMAN(5270)</f>
        <v/>
      </c>
      <c r="D5271">
        <f>IF(B5271=C5271, "YES", "WRONG")</f>
        <v/>
      </c>
    </row>
    <row r="5272">
      <c r="A5272" t="n">
        <v>5271</v>
      </c>
      <c r="B5272" t="inlineStr">
        <is>
          <t>V̅CCLXXI</t>
        </is>
      </c>
      <c r="C5272">
        <f>ROMAN(5271)</f>
        <v/>
      </c>
      <c r="D5272">
        <f>IF(B5272=C5272, "YES", "WRONG")</f>
        <v/>
      </c>
    </row>
    <row r="5273">
      <c r="A5273" t="n">
        <v>5272</v>
      </c>
      <c r="B5273" t="inlineStr">
        <is>
          <t>V̅CCLXXII</t>
        </is>
      </c>
      <c r="C5273">
        <f>ROMAN(5272)</f>
        <v/>
      </c>
      <c r="D5273">
        <f>IF(B5273=C5273, "YES", "WRONG")</f>
        <v/>
      </c>
    </row>
    <row r="5274">
      <c r="A5274" t="n">
        <v>5273</v>
      </c>
      <c r="B5274" t="inlineStr">
        <is>
          <t>V̅CCLXXIII</t>
        </is>
      </c>
      <c r="C5274">
        <f>ROMAN(5273)</f>
        <v/>
      </c>
      <c r="D5274">
        <f>IF(B5274=C5274, "YES", "WRONG")</f>
        <v/>
      </c>
    </row>
    <row r="5275">
      <c r="A5275" t="n">
        <v>5274</v>
      </c>
      <c r="B5275" t="inlineStr">
        <is>
          <t>V̅CCLXXIV</t>
        </is>
      </c>
      <c r="C5275">
        <f>ROMAN(5274)</f>
        <v/>
      </c>
      <c r="D5275">
        <f>IF(B5275=C5275, "YES", "WRONG")</f>
        <v/>
      </c>
    </row>
    <row r="5276">
      <c r="A5276" t="n">
        <v>5275</v>
      </c>
      <c r="B5276" t="inlineStr">
        <is>
          <t>V̅CCLXXV</t>
        </is>
      </c>
      <c r="C5276">
        <f>ROMAN(5275)</f>
        <v/>
      </c>
      <c r="D5276">
        <f>IF(B5276=C5276, "YES", "WRONG")</f>
        <v/>
      </c>
    </row>
    <row r="5277">
      <c r="A5277" t="n">
        <v>5276</v>
      </c>
      <c r="B5277" t="inlineStr">
        <is>
          <t>V̅CCLXXVI</t>
        </is>
      </c>
      <c r="C5277">
        <f>ROMAN(5276)</f>
        <v/>
      </c>
      <c r="D5277">
        <f>IF(B5277=C5277, "YES", "WRONG")</f>
        <v/>
      </c>
    </row>
    <row r="5278">
      <c r="A5278" t="n">
        <v>5277</v>
      </c>
      <c r="B5278" t="inlineStr">
        <is>
          <t>V̅CCLXXVII</t>
        </is>
      </c>
      <c r="C5278">
        <f>ROMAN(5277)</f>
        <v/>
      </c>
      <c r="D5278">
        <f>IF(B5278=C5278, "YES", "WRONG")</f>
        <v/>
      </c>
    </row>
    <row r="5279">
      <c r="A5279" t="n">
        <v>5278</v>
      </c>
      <c r="B5279" t="inlineStr">
        <is>
          <t>V̅CCLXXVIII</t>
        </is>
      </c>
      <c r="C5279">
        <f>ROMAN(5278)</f>
        <v/>
      </c>
      <c r="D5279">
        <f>IF(B5279=C5279, "YES", "WRONG")</f>
        <v/>
      </c>
    </row>
    <row r="5280">
      <c r="A5280" t="n">
        <v>5279</v>
      </c>
      <c r="B5280" t="inlineStr">
        <is>
          <t>V̅CCLXXIX</t>
        </is>
      </c>
      <c r="C5280">
        <f>ROMAN(5279)</f>
        <v/>
      </c>
      <c r="D5280">
        <f>IF(B5280=C5280, "YES", "WRONG")</f>
        <v/>
      </c>
    </row>
    <row r="5281">
      <c r="A5281" t="n">
        <v>5280</v>
      </c>
      <c r="B5281" t="inlineStr">
        <is>
          <t>V̅CCLXXX</t>
        </is>
      </c>
      <c r="C5281">
        <f>ROMAN(5280)</f>
        <v/>
      </c>
      <c r="D5281">
        <f>IF(B5281=C5281, "YES", "WRONG")</f>
        <v/>
      </c>
    </row>
    <row r="5282">
      <c r="A5282" t="n">
        <v>5281</v>
      </c>
      <c r="B5282" t="inlineStr">
        <is>
          <t>V̅CCLXXXI</t>
        </is>
      </c>
      <c r="C5282">
        <f>ROMAN(5281)</f>
        <v/>
      </c>
      <c r="D5282">
        <f>IF(B5282=C5282, "YES", "WRONG")</f>
        <v/>
      </c>
    </row>
    <row r="5283">
      <c r="A5283" t="n">
        <v>5282</v>
      </c>
      <c r="B5283" t="inlineStr">
        <is>
          <t>V̅CCLXXXII</t>
        </is>
      </c>
      <c r="C5283">
        <f>ROMAN(5282)</f>
        <v/>
      </c>
      <c r="D5283">
        <f>IF(B5283=C5283, "YES", "WRONG")</f>
        <v/>
      </c>
    </row>
    <row r="5284">
      <c r="A5284" t="n">
        <v>5283</v>
      </c>
      <c r="B5284" t="inlineStr">
        <is>
          <t>V̅CCLXXXIII</t>
        </is>
      </c>
      <c r="C5284">
        <f>ROMAN(5283)</f>
        <v/>
      </c>
      <c r="D5284">
        <f>IF(B5284=C5284, "YES", "WRONG")</f>
        <v/>
      </c>
    </row>
    <row r="5285">
      <c r="A5285" t="n">
        <v>5284</v>
      </c>
      <c r="B5285" t="inlineStr">
        <is>
          <t>V̅CCLXXXIV</t>
        </is>
      </c>
      <c r="C5285">
        <f>ROMAN(5284)</f>
        <v/>
      </c>
      <c r="D5285">
        <f>IF(B5285=C5285, "YES", "WRONG")</f>
        <v/>
      </c>
    </row>
    <row r="5286">
      <c r="A5286" t="n">
        <v>5285</v>
      </c>
      <c r="B5286" t="inlineStr">
        <is>
          <t>V̅CCLXXXV</t>
        </is>
      </c>
      <c r="C5286">
        <f>ROMAN(5285)</f>
        <v/>
      </c>
      <c r="D5286">
        <f>IF(B5286=C5286, "YES", "WRONG")</f>
        <v/>
      </c>
    </row>
    <row r="5287">
      <c r="A5287" t="n">
        <v>5286</v>
      </c>
      <c r="B5287" t="inlineStr">
        <is>
          <t>V̅CCLXXXVI</t>
        </is>
      </c>
      <c r="C5287">
        <f>ROMAN(5286)</f>
        <v/>
      </c>
      <c r="D5287">
        <f>IF(B5287=C5287, "YES", "WRONG")</f>
        <v/>
      </c>
    </row>
    <row r="5288">
      <c r="A5288" t="n">
        <v>5287</v>
      </c>
      <c r="B5288" t="inlineStr">
        <is>
          <t>V̅CCLXXXVII</t>
        </is>
      </c>
      <c r="C5288">
        <f>ROMAN(5287)</f>
        <v/>
      </c>
      <c r="D5288">
        <f>IF(B5288=C5288, "YES", "WRONG")</f>
        <v/>
      </c>
    </row>
    <row r="5289">
      <c r="A5289" t="n">
        <v>5288</v>
      </c>
      <c r="B5289" t="inlineStr">
        <is>
          <t>V̅CCLXXXVIII</t>
        </is>
      </c>
      <c r="C5289">
        <f>ROMAN(5288)</f>
        <v/>
      </c>
      <c r="D5289">
        <f>IF(B5289=C5289, "YES", "WRONG")</f>
        <v/>
      </c>
    </row>
    <row r="5290">
      <c r="A5290" t="n">
        <v>5289</v>
      </c>
      <c r="B5290" t="inlineStr">
        <is>
          <t>V̅CCLXXXIX</t>
        </is>
      </c>
      <c r="C5290">
        <f>ROMAN(5289)</f>
        <v/>
      </c>
      <c r="D5290">
        <f>IF(B5290=C5290, "YES", "WRONG")</f>
        <v/>
      </c>
    </row>
    <row r="5291">
      <c r="A5291" t="n">
        <v>5290</v>
      </c>
      <c r="B5291" t="inlineStr">
        <is>
          <t>V̅CCXC</t>
        </is>
      </c>
      <c r="C5291">
        <f>ROMAN(5290)</f>
        <v/>
      </c>
      <c r="D5291">
        <f>IF(B5291=C5291, "YES", "WRONG")</f>
        <v/>
      </c>
    </row>
    <row r="5292">
      <c r="A5292" t="n">
        <v>5291</v>
      </c>
      <c r="B5292" t="inlineStr">
        <is>
          <t>V̅CCXCI</t>
        </is>
      </c>
      <c r="C5292">
        <f>ROMAN(5291)</f>
        <v/>
      </c>
      <c r="D5292">
        <f>IF(B5292=C5292, "YES", "WRONG")</f>
        <v/>
      </c>
    </row>
    <row r="5293">
      <c r="A5293" t="n">
        <v>5292</v>
      </c>
      <c r="B5293" t="inlineStr">
        <is>
          <t>V̅CCXCII</t>
        </is>
      </c>
      <c r="C5293">
        <f>ROMAN(5292)</f>
        <v/>
      </c>
      <c r="D5293">
        <f>IF(B5293=C5293, "YES", "WRONG")</f>
        <v/>
      </c>
    </row>
    <row r="5294">
      <c r="A5294" t="n">
        <v>5293</v>
      </c>
      <c r="B5294" t="inlineStr">
        <is>
          <t>V̅CCXCIII</t>
        </is>
      </c>
      <c r="C5294">
        <f>ROMAN(5293)</f>
        <v/>
      </c>
      <c r="D5294">
        <f>IF(B5294=C5294, "YES", "WRONG")</f>
        <v/>
      </c>
    </row>
    <row r="5295">
      <c r="A5295" t="n">
        <v>5294</v>
      </c>
      <c r="B5295" t="inlineStr">
        <is>
          <t>V̅CCXCIV</t>
        </is>
      </c>
      <c r="C5295">
        <f>ROMAN(5294)</f>
        <v/>
      </c>
      <c r="D5295">
        <f>IF(B5295=C5295, "YES", "WRONG")</f>
        <v/>
      </c>
    </row>
    <row r="5296">
      <c r="A5296" t="n">
        <v>5295</v>
      </c>
      <c r="B5296" t="inlineStr">
        <is>
          <t>V̅CCXCV</t>
        </is>
      </c>
      <c r="C5296">
        <f>ROMAN(5295)</f>
        <v/>
      </c>
      <c r="D5296">
        <f>IF(B5296=C5296, "YES", "WRONG")</f>
        <v/>
      </c>
    </row>
    <row r="5297">
      <c r="A5297" t="n">
        <v>5296</v>
      </c>
      <c r="B5297" t="inlineStr">
        <is>
          <t>V̅CCXCVI</t>
        </is>
      </c>
      <c r="C5297">
        <f>ROMAN(5296)</f>
        <v/>
      </c>
      <c r="D5297">
        <f>IF(B5297=C5297, "YES", "WRONG")</f>
        <v/>
      </c>
    </row>
    <row r="5298">
      <c r="A5298" t="n">
        <v>5297</v>
      </c>
      <c r="B5298" t="inlineStr">
        <is>
          <t>V̅CCXCVII</t>
        </is>
      </c>
      <c r="C5298">
        <f>ROMAN(5297)</f>
        <v/>
      </c>
      <c r="D5298">
        <f>IF(B5298=C5298, "YES", "WRONG")</f>
        <v/>
      </c>
    </row>
    <row r="5299">
      <c r="A5299" t="n">
        <v>5298</v>
      </c>
      <c r="B5299" t="inlineStr">
        <is>
          <t>V̅CCXCVIII</t>
        </is>
      </c>
      <c r="C5299">
        <f>ROMAN(5298)</f>
        <v/>
      </c>
      <c r="D5299">
        <f>IF(B5299=C5299, "YES", "WRONG")</f>
        <v/>
      </c>
    </row>
    <row r="5300">
      <c r="A5300" t="n">
        <v>5299</v>
      </c>
      <c r="B5300" t="inlineStr">
        <is>
          <t>V̅CCXCIX</t>
        </is>
      </c>
      <c r="C5300">
        <f>ROMAN(5299)</f>
        <v/>
      </c>
      <c r="D5300">
        <f>IF(B5300=C5300, "YES", "WRONG")</f>
        <v/>
      </c>
    </row>
    <row r="5301">
      <c r="A5301" t="n">
        <v>5300</v>
      </c>
      <c r="B5301" t="inlineStr">
        <is>
          <t>V̅CCC</t>
        </is>
      </c>
      <c r="C5301">
        <f>ROMAN(5300)</f>
        <v/>
      </c>
      <c r="D5301">
        <f>IF(B5301=C5301, "YES", "WRONG")</f>
        <v/>
      </c>
    </row>
    <row r="5302">
      <c r="A5302" t="n">
        <v>5301</v>
      </c>
      <c r="B5302" t="inlineStr">
        <is>
          <t>V̅CCCI</t>
        </is>
      </c>
      <c r="C5302">
        <f>ROMAN(5301)</f>
        <v/>
      </c>
      <c r="D5302">
        <f>IF(B5302=C5302, "YES", "WRONG")</f>
        <v/>
      </c>
    </row>
    <row r="5303">
      <c r="A5303" t="n">
        <v>5302</v>
      </c>
      <c r="B5303" t="inlineStr">
        <is>
          <t>V̅CCCII</t>
        </is>
      </c>
      <c r="C5303">
        <f>ROMAN(5302)</f>
        <v/>
      </c>
      <c r="D5303">
        <f>IF(B5303=C5303, "YES", "WRONG")</f>
        <v/>
      </c>
    </row>
    <row r="5304">
      <c r="A5304" t="n">
        <v>5303</v>
      </c>
      <c r="B5304" t="inlineStr">
        <is>
          <t>V̅CCCIII</t>
        </is>
      </c>
      <c r="C5304">
        <f>ROMAN(5303)</f>
        <v/>
      </c>
      <c r="D5304">
        <f>IF(B5304=C5304, "YES", "WRONG")</f>
        <v/>
      </c>
    </row>
    <row r="5305">
      <c r="A5305" t="n">
        <v>5304</v>
      </c>
      <c r="B5305" t="inlineStr">
        <is>
          <t>V̅CCCIV</t>
        </is>
      </c>
      <c r="C5305">
        <f>ROMAN(5304)</f>
        <v/>
      </c>
      <c r="D5305">
        <f>IF(B5305=C5305, "YES", "WRONG")</f>
        <v/>
      </c>
    </row>
    <row r="5306">
      <c r="A5306" t="n">
        <v>5305</v>
      </c>
      <c r="B5306" t="inlineStr">
        <is>
          <t>V̅CCCV</t>
        </is>
      </c>
      <c r="C5306">
        <f>ROMAN(5305)</f>
        <v/>
      </c>
      <c r="D5306">
        <f>IF(B5306=C5306, "YES", "WRONG")</f>
        <v/>
      </c>
    </row>
    <row r="5307">
      <c r="A5307" t="n">
        <v>5306</v>
      </c>
      <c r="B5307" t="inlineStr">
        <is>
          <t>V̅CCCVI</t>
        </is>
      </c>
      <c r="C5307">
        <f>ROMAN(5306)</f>
        <v/>
      </c>
      <c r="D5307">
        <f>IF(B5307=C5307, "YES", "WRONG")</f>
        <v/>
      </c>
    </row>
    <row r="5308">
      <c r="A5308" t="n">
        <v>5307</v>
      </c>
      <c r="B5308" t="inlineStr">
        <is>
          <t>V̅CCCVII</t>
        </is>
      </c>
      <c r="C5308">
        <f>ROMAN(5307)</f>
        <v/>
      </c>
      <c r="D5308">
        <f>IF(B5308=C5308, "YES", "WRONG")</f>
        <v/>
      </c>
    </row>
    <row r="5309">
      <c r="A5309" t="n">
        <v>5308</v>
      </c>
      <c r="B5309" t="inlineStr">
        <is>
          <t>V̅CCCVIII</t>
        </is>
      </c>
      <c r="C5309">
        <f>ROMAN(5308)</f>
        <v/>
      </c>
      <c r="D5309">
        <f>IF(B5309=C5309, "YES", "WRONG")</f>
        <v/>
      </c>
    </row>
    <row r="5310">
      <c r="A5310" t="n">
        <v>5309</v>
      </c>
      <c r="B5310" t="inlineStr">
        <is>
          <t>V̅CCCIX</t>
        </is>
      </c>
      <c r="C5310">
        <f>ROMAN(5309)</f>
        <v/>
      </c>
      <c r="D5310">
        <f>IF(B5310=C5310, "YES", "WRONG")</f>
        <v/>
      </c>
    </row>
    <row r="5311">
      <c r="A5311" t="n">
        <v>5310</v>
      </c>
      <c r="B5311" t="inlineStr">
        <is>
          <t>V̅CCCX</t>
        </is>
      </c>
      <c r="C5311">
        <f>ROMAN(5310)</f>
        <v/>
      </c>
      <c r="D5311">
        <f>IF(B5311=C5311, "YES", "WRONG")</f>
        <v/>
      </c>
    </row>
    <row r="5312">
      <c r="A5312" t="n">
        <v>5311</v>
      </c>
      <c r="B5312" t="inlineStr">
        <is>
          <t>V̅CCCXI</t>
        </is>
      </c>
      <c r="C5312">
        <f>ROMAN(5311)</f>
        <v/>
      </c>
      <c r="D5312">
        <f>IF(B5312=C5312, "YES", "WRONG")</f>
        <v/>
      </c>
    </row>
    <row r="5313">
      <c r="A5313" t="n">
        <v>5312</v>
      </c>
      <c r="B5313" t="inlineStr">
        <is>
          <t>V̅CCCXII</t>
        </is>
      </c>
      <c r="C5313">
        <f>ROMAN(5312)</f>
        <v/>
      </c>
      <c r="D5313">
        <f>IF(B5313=C5313, "YES", "WRONG")</f>
        <v/>
      </c>
    </row>
    <row r="5314">
      <c r="A5314" t="n">
        <v>5313</v>
      </c>
      <c r="B5314" t="inlineStr">
        <is>
          <t>V̅CCCXIII</t>
        </is>
      </c>
      <c r="C5314">
        <f>ROMAN(5313)</f>
        <v/>
      </c>
      <c r="D5314">
        <f>IF(B5314=C5314, "YES", "WRONG")</f>
        <v/>
      </c>
    </row>
    <row r="5315">
      <c r="A5315" t="n">
        <v>5314</v>
      </c>
      <c r="B5315" t="inlineStr">
        <is>
          <t>V̅CCCXIV</t>
        </is>
      </c>
      <c r="C5315">
        <f>ROMAN(5314)</f>
        <v/>
      </c>
      <c r="D5315">
        <f>IF(B5315=C5315, "YES", "WRONG")</f>
        <v/>
      </c>
    </row>
    <row r="5316">
      <c r="A5316" t="n">
        <v>5315</v>
      </c>
      <c r="B5316" t="inlineStr">
        <is>
          <t>V̅CCCXV</t>
        </is>
      </c>
      <c r="C5316">
        <f>ROMAN(5315)</f>
        <v/>
      </c>
      <c r="D5316">
        <f>IF(B5316=C5316, "YES", "WRONG")</f>
        <v/>
      </c>
    </row>
    <row r="5317">
      <c r="A5317" t="n">
        <v>5316</v>
      </c>
      <c r="B5317" t="inlineStr">
        <is>
          <t>V̅CCCXVI</t>
        </is>
      </c>
      <c r="C5317">
        <f>ROMAN(5316)</f>
        <v/>
      </c>
      <c r="D5317">
        <f>IF(B5317=C5317, "YES", "WRONG")</f>
        <v/>
      </c>
    </row>
    <row r="5318">
      <c r="A5318" t="n">
        <v>5317</v>
      </c>
      <c r="B5318" t="inlineStr">
        <is>
          <t>V̅CCCXVII</t>
        </is>
      </c>
      <c r="C5318">
        <f>ROMAN(5317)</f>
        <v/>
      </c>
      <c r="D5318">
        <f>IF(B5318=C5318, "YES", "WRONG")</f>
        <v/>
      </c>
    </row>
    <row r="5319">
      <c r="A5319" t="n">
        <v>5318</v>
      </c>
      <c r="B5319" t="inlineStr">
        <is>
          <t>V̅CCCXVIII</t>
        </is>
      </c>
      <c r="C5319">
        <f>ROMAN(5318)</f>
        <v/>
      </c>
      <c r="D5319">
        <f>IF(B5319=C5319, "YES", "WRONG")</f>
        <v/>
      </c>
    </row>
    <row r="5320">
      <c r="A5320" t="n">
        <v>5319</v>
      </c>
      <c r="B5320" t="inlineStr">
        <is>
          <t>V̅CCCXIX</t>
        </is>
      </c>
      <c r="C5320">
        <f>ROMAN(5319)</f>
        <v/>
      </c>
      <c r="D5320">
        <f>IF(B5320=C5320, "YES", "WRONG")</f>
        <v/>
      </c>
    </row>
    <row r="5321">
      <c r="A5321" t="n">
        <v>5320</v>
      </c>
      <c r="B5321" t="inlineStr">
        <is>
          <t>V̅CCCXX</t>
        </is>
      </c>
      <c r="C5321">
        <f>ROMAN(5320)</f>
        <v/>
      </c>
      <c r="D5321">
        <f>IF(B5321=C5321, "YES", "WRONG")</f>
        <v/>
      </c>
    </row>
    <row r="5322">
      <c r="A5322" t="n">
        <v>5321</v>
      </c>
      <c r="B5322" t="inlineStr">
        <is>
          <t>V̅CCCXXI</t>
        </is>
      </c>
      <c r="C5322">
        <f>ROMAN(5321)</f>
        <v/>
      </c>
      <c r="D5322">
        <f>IF(B5322=C5322, "YES", "WRONG")</f>
        <v/>
      </c>
    </row>
    <row r="5323">
      <c r="A5323" t="n">
        <v>5322</v>
      </c>
      <c r="B5323" t="inlineStr">
        <is>
          <t>V̅CCCXXII</t>
        </is>
      </c>
      <c r="C5323">
        <f>ROMAN(5322)</f>
        <v/>
      </c>
      <c r="D5323">
        <f>IF(B5323=C5323, "YES", "WRONG")</f>
        <v/>
      </c>
    </row>
    <row r="5324">
      <c r="A5324" t="n">
        <v>5323</v>
      </c>
      <c r="B5324" t="inlineStr">
        <is>
          <t>V̅CCCXXIII</t>
        </is>
      </c>
      <c r="C5324">
        <f>ROMAN(5323)</f>
        <v/>
      </c>
      <c r="D5324">
        <f>IF(B5324=C5324, "YES", "WRONG")</f>
        <v/>
      </c>
    </row>
    <row r="5325">
      <c r="A5325" t="n">
        <v>5324</v>
      </c>
      <c r="B5325" t="inlineStr">
        <is>
          <t>V̅CCCXXIV</t>
        </is>
      </c>
      <c r="C5325">
        <f>ROMAN(5324)</f>
        <v/>
      </c>
      <c r="D5325">
        <f>IF(B5325=C5325, "YES", "WRONG")</f>
        <v/>
      </c>
    </row>
    <row r="5326">
      <c r="A5326" t="n">
        <v>5325</v>
      </c>
      <c r="B5326" t="inlineStr">
        <is>
          <t>V̅CCCXXV</t>
        </is>
      </c>
      <c r="C5326">
        <f>ROMAN(5325)</f>
        <v/>
      </c>
      <c r="D5326">
        <f>IF(B5326=C5326, "YES", "WRONG")</f>
        <v/>
      </c>
    </row>
    <row r="5327">
      <c r="A5327" t="n">
        <v>5326</v>
      </c>
      <c r="B5327" t="inlineStr">
        <is>
          <t>V̅CCCXXVI</t>
        </is>
      </c>
      <c r="C5327">
        <f>ROMAN(5326)</f>
        <v/>
      </c>
      <c r="D5327">
        <f>IF(B5327=C5327, "YES", "WRONG")</f>
        <v/>
      </c>
    </row>
    <row r="5328">
      <c r="A5328" t="n">
        <v>5327</v>
      </c>
      <c r="B5328" t="inlineStr">
        <is>
          <t>V̅CCCXXVII</t>
        </is>
      </c>
      <c r="C5328">
        <f>ROMAN(5327)</f>
        <v/>
      </c>
      <c r="D5328">
        <f>IF(B5328=C5328, "YES", "WRONG")</f>
        <v/>
      </c>
    </row>
    <row r="5329">
      <c r="A5329" t="n">
        <v>5328</v>
      </c>
      <c r="B5329" t="inlineStr">
        <is>
          <t>V̅CCCXXVIII</t>
        </is>
      </c>
      <c r="C5329">
        <f>ROMAN(5328)</f>
        <v/>
      </c>
      <c r="D5329">
        <f>IF(B5329=C5329, "YES", "WRONG")</f>
        <v/>
      </c>
    </row>
    <row r="5330">
      <c r="A5330" t="n">
        <v>5329</v>
      </c>
      <c r="B5330" t="inlineStr">
        <is>
          <t>V̅CCCXXIX</t>
        </is>
      </c>
      <c r="C5330">
        <f>ROMAN(5329)</f>
        <v/>
      </c>
      <c r="D5330">
        <f>IF(B5330=C5330, "YES", "WRONG")</f>
        <v/>
      </c>
    </row>
    <row r="5331">
      <c r="A5331" t="n">
        <v>5330</v>
      </c>
      <c r="B5331" t="inlineStr">
        <is>
          <t>V̅CCCXXX</t>
        </is>
      </c>
      <c r="C5331">
        <f>ROMAN(5330)</f>
        <v/>
      </c>
      <c r="D5331">
        <f>IF(B5331=C5331, "YES", "WRONG")</f>
        <v/>
      </c>
    </row>
    <row r="5332">
      <c r="A5332" t="n">
        <v>5331</v>
      </c>
      <c r="B5332" t="inlineStr">
        <is>
          <t>V̅CCCXXXI</t>
        </is>
      </c>
      <c r="C5332">
        <f>ROMAN(5331)</f>
        <v/>
      </c>
      <c r="D5332">
        <f>IF(B5332=C5332, "YES", "WRONG")</f>
        <v/>
      </c>
    </row>
    <row r="5333">
      <c r="A5333" t="n">
        <v>5332</v>
      </c>
      <c r="B5333" t="inlineStr">
        <is>
          <t>V̅CCCXXXII</t>
        </is>
      </c>
      <c r="C5333">
        <f>ROMAN(5332)</f>
        <v/>
      </c>
      <c r="D5333">
        <f>IF(B5333=C5333, "YES", "WRONG")</f>
        <v/>
      </c>
    </row>
    <row r="5334">
      <c r="A5334" t="n">
        <v>5333</v>
      </c>
      <c r="B5334" t="inlineStr">
        <is>
          <t>V̅CCCXXXIII</t>
        </is>
      </c>
      <c r="C5334">
        <f>ROMAN(5333)</f>
        <v/>
      </c>
      <c r="D5334">
        <f>IF(B5334=C5334, "YES", "WRONG")</f>
        <v/>
      </c>
    </row>
    <row r="5335">
      <c r="A5335" t="n">
        <v>5334</v>
      </c>
      <c r="B5335" t="inlineStr">
        <is>
          <t>V̅CCCXXXIV</t>
        </is>
      </c>
      <c r="C5335">
        <f>ROMAN(5334)</f>
        <v/>
      </c>
      <c r="D5335">
        <f>IF(B5335=C5335, "YES", "WRONG")</f>
        <v/>
      </c>
    </row>
    <row r="5336">
      <c r="A5336" t="n">
        <v>5335</v>
      </c>
      <c r="B5336" t="inlineStr">
        <is>
          <t>V̅CCCXXXV</t>
        </is>
      </c>
      <c r="C5336">
        <f>ROMAN(5335)</f>
        <v/>
      </c>
      <c r="D5336">
        <f>IF(B5336=C5336, "YES", "WRONG")</f>
        <v/>
      </c>
    </row>
    <row r="5337">
      <c r="A5337" t="n">
        <v>5336</v>
      </c>
      <c r="B5337" t="inlineStr">
        <is>
          <t>V̅CCCXXXVI</t>
        </is>
      </c>
      <c r="C5337">
        <f>ROMAN(5336)</f>
        <v/>
      </c>
      <c r="D5337">
        <f>IF(B5337=C5337, "YES", "WRONG")</f>
        <v/>
      </c>
    </row>
    <row r="5338">
      <c r="A5338" t="n">
        <v>5337</v>
      </c>
      <c r="B5338" t="inlineStr">
        <is>
          <t>V̅CCCXXXVII</t>
        </is>
      </c>
      <c r="C5338">
        <f>ROMAN(5337)</f>
        <v/>
      </c>
      <c r="D5338">
        <f>IF(B5338=C5338, "YES", "WRONG")</f>
        <v/>
      </c>
    </row>
    <row r="5339">
      <c r="A5339" t="n">
        <v>5338</v>
      </c>
      <c r="B5339" t="inlineStr">
        <is>
          <t>V̅CCCXXXVIII</t>
        </is>
      </c>
      <c r="C5339">
        <f>ROMAN(5338)</f>
        <v/>
      </c>
      <c r="D5339">
        <f>IF(B5339=C5339, "YES", "WRONG")</f>
        <v/>
      </c>
    </row>
    <row r="5340">
      <c r="A5340" t="n">
        <v>5339</v>
      </c>
      <c r="B5340" t="inlineStr">
        <is>
          <t>V̅CCCXXXIX</t>
        </is>
      </c>
      <c r="C5340">
        <f>ROMAN(5339)</f>
        <v/>
      </c>
      <c r="D5340">
        <f>IF(B5340=C5340, "YES", "WRONG")</f>
        <v/>
      </c>
    </row>
    <row r="5341">
      <c r="A5341" t="n">
        <v>5340</v>
      </c>
      <c r="B5341" t="inlineStr">
        <is>
          <t>V̅CCCXL</t>
        </is>
      </c>
      <c r="C5341">
        <f>ROMAN(5340)</f>
        <v/>
      </c>
      <c r="D5341">
        <f>IF(B5341=C5341, "YES", "WRONG")</f>
        <v/>
      </c>
    </row>
    <row r="5342">
      <c r="A5342" t="n">
        <v>5341</v>
      </c>
      <c r="B5342" t="inlineStr">
        <is>
          <t>V̅CCCXLI</t>
        </is>
      </c>
      <c r="C5342">
        <f>ROMAN(5341)</f>
        <v/>
      </c>
      <c r="D5342">
        <f>IF(B5342=C5342, "YES", "WRONG")</f>
        <v/>
      </c>
    </row>
    <row r="5343">
      <c r="A5343" t="n">
        <v>5342</v>
      </c>
      <c r="B5343" t="inlineStr">
        <is>
          <t>V̅CCCXLII</t>
        </is>
      </c>
      <c r="C5343">
        <f>ROMAN(5342)</f>
        <v/>
      </c>
      <c r="D5343">
        <f>IF(B5343=C5343, "YES", "WRONG")</f>
        <v/>
      </c>
    </row>
    <row r="5344">
      <c r="A5344" t="n">
        <v>5343</v>
      </c>
      <c r="B5344" t="inlineStr">
        <is>
          <t>V̅CCCXLIII</t>
        </is>
      </c>
      <c r="C5344">
        <f>ROMAN(5343)</f>
        <v/>
      </c>
      <c r="D5344">
        <f>IF(B5344=C5344, "YES", "WRONG")</f>
        <v/>
      </c>
    </row>
    <row r="5345">
      <c r="A5345" t="n">
        <v>5344</v>
      </c>
      <c r="B5345" t="inlineStr">
        <is>
          <t>V̅CCCXLIV</t>
        </is>
      </c>
      <c r="C5345">
        <f>ROMAN(5344)</f>
        <v/>
      </c>
      <c r="D5345">
        <f>IF(B5345=C5345, "YES", "WRONG")</f>
        <v/>
      </c>
    </row>
    <row r="5346">
      <c r="A5346" t="n">
        <v>5345</v>
      </c>
      <c r="B5346" t="inlineStr">
        <is>
          <t>V̅CCCXLV</t>
        </is>
      </c>
      <c r="C5346">
        <f>ROMAN(5345)</f>
        <v/>
      </c>
      <c r="D5346">
        <f>IF(B5346=C5346, "YES", "WRONG")</f>
        <v/>
      </c>
    </row>
    <row r="5347">
      <c r="A5347" t="n">
        <v>5346</v>
      </c>
      <c r="B5347" t="inlineStr">
        <is>
          <t>V̅CCCXLVI</t>
        </is>
      </c>
      <c r="C5347">
        <f>ROMAN(5346)</f>
        <v/>
      </c>
      <c r="D5347">
        <f>IF(B5347=C5347, "YES", "WRONG")</f>
        <v/>
      </c>
    </row>
    <row r="5348">
      <c r="A5348" t="n">
        <v>5347</v>
      </c>
      <c r="B5348" t="inlineStr">
        <is>
          <t>V̅CCCXLVII</t>
        </is>
      </c>
      <c r="C5348">
        <f>ROMAN(5347)</f>
        <v/>
      </c>
      <c r="D5348">
        <f>IF(B5348=C5348, "YES", "WRONG")</f>
        <v/>
      </c>
    </row>
    <row r="5349">
      <c r="A5349" t="n">
        <v>5348</v>
      </c>
      <c r="B5349" t="inlineStr">
        <is>
          <t>V̅CCCXLVIII</t>
        </is>
      </c>
      <c r="C5349">
        <f>ROMAN(5348)</f>
        <v/>
      </c>
      <c r="D5349">
        <f>IF(B5349=C5349, "YES", "WRONG")</f>
        <v/>
      </c>
    </row>
    <row r="5350">
      <c r="A5350" t="n">
        <v>5349</v>
      </c>
      <c r="B5350" t="inlineStr">
        <is>
          <t>V̅CCCXLIX</t>
        </is>
      </c>
      <c r="C5350">
        <f>ROMAN(5349)</f>
        <v/>
      </c>
      <c r="D5350">
        <f>IF(B5350=C5350, "YES", "WRONG")</f>
        <v/>
      </c>
    </row>
    <row r="5351">
      <c r="A5351" t="n">
        <v>5350</v>
      </c>
      <c r="B5351" t="inlineStr">
        <is>
          <t>V̅CCCL</t>
        </is>
      </c>
      <c r="C5351">
        <f>ROMAN(5350)</f>
        <v/>
      </c>
      <c r="D5351">
        <f>IF(B5351=C5351, "YES", "WRONG")</f>
        <v/>
      </c>
    </row>
    <row r="5352">
      <c r="A5352" t="n">
        <v>5351</v>
      </c>
      <c r="B5352" t="inlineStr">
        <is>
          <t>V̅CCCLI</t>
        </is>
      </c>
      <c r="C5352">
        <f>ROMAN(5351)</f>
        <v/>
      </c>
      <c r="D5352">
        <f>IF(B5352=C5352, "YES", "WRONG")</f>
        <v/>
      </c>
    </row>
    <row r="5353">
      <c r="A5353" t="n">
        <v>5352</v>
      </c>
      <c r="B5353" t="inlineStr">
        <is>
          <t>V̅CCCLII</t>
        </is>
      </c>
      <c r="C5353">
        <f>ROMAN(5352)</f>
        <v/>
      </c>
      <c r="D5353">
        <f>IF(B5353=C5353, "YES", "WRONG")</f>
        <v/>
      </c>
    </row>
    <row r="5354">
      <c r="A5354" t="n">
        <v>5353</v>
      </c>
      <c r="B5354" t="inlineStr">
        <is>
          <t>V̅CCCLIII</t>
        </is>
      </c>
      <c r="C5354">
        <f>ROMAN(5353)</f>
        <v/>
      </c>
      <c r="D5354">
        <f>IF(B5354=C5354, "YES", "WRONG")</f>
        <v/>
      </c>
    </row>
    <row r="5355">
      <c r="A5355" t="n">
        <v>5354</v>
      </c>
      <c r="B5355" t="inlineStr">
        <is>
          <t>V̅CCCLIV</t>
        </is>
      </c>
      <c r="C5355">
        <f>ROMAN(5354)</f>
        <v/>
      </c>
      <c r="D5355">
        <f>IF(B5355=C5355, "YES", "WRONG")</f>
        <v/>
      </c>
    </row>
    <row r="5356">
      <c r="A5356" t="n">
        <v>5355</v>
      </c>
      <c r="B5356" t="inlineStr">
        <is>
          <t>V̅CCCLV</t>
        </is>
      </c>
      <c r="C5356">
        <f>ROMAN(5355)</f>
        <v/>
      </c>
      <c r="D5356">
        <f>IF(B5356=C5356, "YES", "WRONG")</f>
        <v/>
      </c>
    </row>
    <row r="5357">
      <c r="A5357" t="n">
        <v>5356</v>
      </c>
      <c r="B5357" t="inlineStr">
        <is>
          <t>V̅CCCLVI</t>
        </is>
      </c>
      <c r="C5357">
        <f>ROMAN(5356)</f>
        <v/>
      </c>
      <c r="D5357">
        <f>IF(B5357=C5357, "YES", "WRONG")</f>
        <v/>
      </c>
    </row>
    <row r="5358">
      <c r="A5358" t="n">
        <v>5357</v>
      </c>
      <c r="B5358" t="inlineStr">
        <is>
          <t>V̅CCCLVII</t>
        </is>
      </c>
      <c r="C5358">
        <f>ROMAN(5357)</f>
        <v/>
      </c>
      <c r="D5358">
        <f>IF(B5358=C5358, "YES", "WRONG")</f>
        <v/>
      </c>
    </row>
    <row r="5359">
      <c r="A5359" t="n">
        <v>5358</v>
      </c>
      <c r="B5359" t="inlineStr">
        <is>
          <t>V̅CCCLVIII</t>
        </is>
      </c>
      <c r="C5359">
        <f>ROMAN(5358)</f>
        <v/>
      </c>
      <c r="D5359">
        <f>IF(B5359=C5359, "YES", "WRONG")</f>
        <v/>
      </c>
    </row>
    <row r="5360">
      <c r="A5360" t="n">
        <v>5359</v>
      </c>
      <c r="B5360" t="inlineStr">
        <is>
          <t>V̅CCCLIX</t>
        </is>
      </c>
      <c r="C5360">
        <f>ROMAN(5359)</f>
        <v/>
      </c>
      <c r="D5360">
        <f>IF(B5360=C5360, "YES", "WRONG")</f>
        <v/>
      </c>
    </row>
    <row r="5361">
      <c r="A5361" t="n">
        <v>5360</v>
      </c>
      <c r="B5361" t="inlineStr">
        <is>
          <t>V̅CCCLX</t>
        </is>
      </c>
      <c r="C5361">
        <f>ROMAN(5360)</f>
        <v/>
      </c>
      <c r="D5361">
        <f>IF(B5361=C5361, "YES", "WRONG")</f>
        <v/>
      </c>
    </row>
    <row r="5362">
      <c r="A5362" t="n">
        <v>5361</v>
      </c>
      <c r="B5362" t="inlineStr">
        <is>
          <t>V̅CCCLXI</t>
        </is>
      </c>
      <c r="C5362">
        <f>ROMAN(5361)</f>
        <v/>
      </c>
      <c r="D5362">
        <f>IF(B5362=C5362, "YES", "WRONG")</f>
        <v/>
      </c>
    </row>
    <row r="5363">
      <c r="A5363" t="n">
        <v>5362</v>
      </c>
      <c r="B5363" t="inlineStr">
        <is>
          <t>V̅CCCLXII</t>
        </is>
      </c>
      <c r="C5363">
        <f>ROMAN(5362)</f>
        <v/>
      </c>
      <c r="D5363">
        <f>IF(B5363=C5363, "YES", "WRONG")</f>
        <v/>
      </c>
    </row>
    <row r="5364">
      <c r="A5364" t="n">
        <v>5363</v>
      </c>
      <c r="B5364" t="inlineStr">
        <is>
          <t>V̅CCCLXIII</t>
        </is>
      </c>
      <c r="C5364">
        <f>ROMAN(5363)</f>
        <v/>
      </c>
      <c r="D5364">
        <f>IF(B5364=C5364, "YES", "WRONG")</f>
        <v/>
      </c>
    </row>
    <row r="5365">
      <c r="A5365" t="n">
        <v>5364</v>
      </c>
      <c r="B5365" t="inlineStr">
        <is>
          <t>V̅CCCLXIV</t>
        </is>
      </c>
      <c r="C5365">
        <f>ROMAN(5364)</f>
        <v/>
      </c>
      <c r="D5365">
        <f>IF(B5365=C5365, "YES", "WRONG")</f>
        <v/>
      </c>
    </row>
    <row r="5366">
      <c r="A5366" t="n">
        <v>5365</v>
      </c>
      <c r="B5366" t="inlineStr">
        <is>
          <t>V̅CCCLXV</t>
        </is>
      </c>
      <c r="C5366">
        <f>ROMAN(5365)</f>
        <v/>
      </c>
      <c r="D5366">
        <f>IF(B5366=C5366, "YES", "WRONG")</f>
        <v/>
      </c>
    </row>
    <row r="5367">
      <c r="A5367" t="n">
        <v>5366</v>
      </c>
      <c r="B5367" t="inlineStr">
        <is>
          <t>V̅CCCLXVI</t>
        </is>
      </c>
      <c r="C5367">
        <f>ROMAN(5366)</f>
        <v/>
      </c>
      <c r="D5367">
        <f>IF(B5367=C5367, "YES", "WRONG")</f>
        <v/>
      </c>
    </row>
    <row r="5368">
      <c r="A5368" t="n">
        <v>5367</v>
      </c>
      <c r="B5368" t="inlineStr">
        <is>
          <t>V̅CCCLXVII</t>
        </is>
      </c>
      <c r="C5368">
        <f>ROMAN(5367)</f>
        <v/>
      </c>
      <c r="D5368">
        <f>IF(B5368=C5368, "YES", "WRONG")</f>
        <v/>
      </c>
    </row>
    <row r="5369">
      <c r="A5369" t="n">
        <v>5368</v>
      </c>
      <c r="B5369" t="inlineStr">
        <is>
          <t>V̅CCCLXVIII</t>
        </is>
      </c>
      <c r="C5369">
        <f>ROMAN(5368)</f>
        <v/>
      </c>
      <c r="D5369">
        <f>IF(B5369=C5369, "YES", "WRONG")</f>
        <v/>
      </c>
    </row>
    <row r="5370">
      <c r="A5370" t="n">
        <v>5369</v>
      </c>
      <c r="B5370" t="inlineStr">
        <is>
          <t>V̅CCCLXIX</t>
        </is>
      </c>
      <c r="C5370">
        <f>ROMAN(5369)</f>
        <v/>
      </c>
      <c r="D5370">
        <f>IF(B5370=C5370, "YES", "WRONG")</f>
        <v/>
      </c>
    </row>
    <row r="5371">
      <c r="A5371" t="n">
        <v>5370</v>
      </c>
      <c r="B5371" t="inlineStr">
        <is>
          <t>V̅CCCLXX</t>
        </is>
      </c>
      <c r="C5371">
        <f>ROMAN(5370)</f>
        <v/>
      </c>
      <c r="D5371">
        <f>IF(B5371=C5371, "YES", "WRONG")</f>
        <v/>
      </c>
    </row>
    <row r="5372">
      <c r="A5372" t="n">
        <v>5371</v>
      </c>
      <c r="B5372" t="inlineStr">
        <is>
          <t>V̅CCCLXXI</t>
        </is>
      </c>
      <c r="C5372">
        <f>ROMAN(5371)</f>
        <v/>
      </c>
      <c r="D5372">
        <f>IF(B5372=C5372, "YES", "WRONG")</f>
        <v/>
      </c>
    </row>
    <row r="5373">
      <c r="A5373" t="n">
        <v>5372</v>
      </c>
      <c r="B5373" t="inlineStr">
        <is>
          <t>V̅CCCLXXII</t>
        </is>
      </c>
      <c r="C5373">
        <f>ROMAN(5372)</f>
        <v/>
      </c>
      <c r="D5373">
        <f>IF(B5373=C5373, "YES", "WRONG")</f>
        <v/>
      </c>
    </row>
    <row r="5374">
      <c r="A5374" t="n">
        <v>5373</v>
      </c>
      <c r="B5374" t="inlineStr">
        <is>
          <t>V̅CCCLXXIII</t>
        </is>
      </c>
      <c r="C5374">
        <f>ROMAN(5373)</f>
        <v/>
      </c>
      <c r="D5374">
        <f>IF(B5374=C5374, "YES", "WRONG")</f>
        <v/>
      </c>
    </row>
    <row r="5375">
      <c r="A5375" t="n">
        <v>5374</v>
      </c>
      <c r="B5375" t="inlineStr">
        <is>
          <t>V̅CCCLXXIV</t>
        </is>
      </c>
      <c r="C5375">
        <f>ROMAN(5374)</f>
        <v/>
      </c>
      <c r="D5375">
        <f>IF(B5375=C5375, "YES", "WRONG")</f>
        <v/>
      </c>
    </row>
    <row r="5376">
      <c r="A5376" t="n">
        <v>5375</v>
      </c>
      <c r="B5376" t="inlineStr">
        <is>
          <t>V̅CCCLXXV</t>
        </is>
      </c>
      <c r="C5376">
        <f>ROMAN(5375)</f>
        <v/>
      </c>
      <c r="D5376">
        <f>IF(B5376=C5376, "YES", "WRONG")</f>
        <v/>
      </c>
    </row>
    <row r="5377">
      <c r="A5377" t="n">
        <v>5376</v>
      </c>
      <c r="B5377" t="inlineStr">
        <is>
          <t>V̅CCCLXXVI</t>
        </is>
      </c>
      <c r="C5377">
        <f>ROMAN(5376)</f>
        <v/>
      </c>
      <c r="D5377">
        <f>IF(B5377=C5377, "YES", "WRONG")</f>
        <v/>
      </c>
    </row>
    <row r="5378">
      <c r="A5378" t="n">
        <v>5377</v>
      </c>
      <c r="B5378" t="inlineStr">
        <is>
          <t>V̅CCCLXXVII</t>
        </is>
      </c>
      <c r="C5378">
        <f>ROMAN(5377)</f>
        <v/>
      </c>
      <c r="D5378">
        <f>IF(B5378=C5378, "YES", "WRONG")</f>
        <v/>
      </c>
    </row>
    <row r="5379">
      <c r="A5379" t="n">
        <v>5378</v>
      </c>
      <c r="B5379" t="inlineStr">
        <is>
          <t>V̅CCCLXXVIII</t>
        </is>
      </c>
      <c r="C5379">
        <f>ROMAN(5378)</f>
        <v/>
      </c>
      <c r="D5379">
        <f>IF(B5379=C5379, "YES", "WRONG")</f>
        <v/>
      </c>
    </row>
    <row r="5380">
      <c r="A5380" t="n">
        <v>5379</v>
      </c>
      <c r="B5380" t="inlineStr">
        <is>
          <t>V̅CCCLXXIX</t>
        </is>
      </c>
      <c r="C5380">
        <f>ROMAN(5379)</f>
        <v/>
      </c>
      <c r="D5380">
        <f>IF(B5380=C5380, "YES", "WRONG")</f>
        <v/>
      </c>
    </row>
    <row r="5381">
      <c r="A5381" t="n">
        <v>5380</v>
      </c>
      <c r="B5381" t="inlineStr">
        <is>
          <t>V̅CCCLXXX</t>
        </is>
      </c>
      <c r="C5381">
        <f>ROMAN(5380)</f>
        <v/>
      </c>
      <c r="D5381">
        <f>IF(B5381=C5381, "YES", "WRONG")</f>
        <v/>
      </c>
    </row>
    <row r="5382">
      <c r="A5382" t="n">
        <v>5381</v>
      </c>
      <c r="B5382" t="inlineStr">
        <is>
          <t>V̅CCCLXXXI</t>
        </is>
      </c>
      <c r="C5382">
        <f>ROMAN(5381)</f>
        <v/>
      </c>
      <c r="D5382">
        <f>IF(B5382=C5382, "YES", "WRONG")</f>
        <v/>
      </c>
    </row>
    <row r="5383">
      <c r="A5383" t="n">
        <v>5382</v>
      </c>
      <c r="B5383" t="inlineStr">
        <is>
          <t>V̅CCCLXXXII</t>
        </is>
      </c>
      <c r="C5383">
        <f>ROMAN(5382)</f>
        <v/>
      </c>
      <c r="D5383">
        <f>IF(B5383=C5383, "YES", "WRONG")</f>
        <v/>
      </c>
    </row>
    <row r="5384">
      <c r="A5384" t="n">
        <v>5383</v>
      </c>
      <c r="B5384" t="inlineStr">
        <is>
          <t>V̅CCCLXXXIII</t>
        </is>
      </c>
      <c r="C5384">
        <f>ROMAN(5383)</f>
        <v/>
      </c>
      <c r="D5384">
        <f>IF(B5384=C5384, "YES", "WRONG")</f>
        <v/>
      </c>
    </row>
    <row r="5385">
      <c r="A5385" t="n">
        <v>5384</v>
      </c>
      <c r="B5385" t="inlineStr">
        <is>
          <t>V̅CCCLXXXIV</t>
        </is>
      </c>
      <c r="C5385">
        <f>ROMAN(5384)</f>
        <v/>
      </c>
      <c r="D5385">
        <f>IF(B5385=C5385, "YES", "WRONG")</f>
        <v/>
      </c>
    </row>
    <row r="5386">
      <c r="A5386" t="n">
        <v>5385</v>
      </c>
      <c r="B5386" t="inlineStr">
        <is>
          <t>V̅CCCLXXXV</t>
        </is>
      </c>
      <c r="C5386">
        <f>ROMAN(5385)</f>
        <v/>
      </c>
      <c r="D5386">
        <f>IF(B5386=C5386, "YES", "WRONG")</f>
        <v/>
      </c>
    </row>
    <row r="5387">
      <c r="A5387" t="n">
        <v>5386</v>
      </c>
      <c r="B5387" t="inlineStr">
        <is>
          <t>V̅CCCLXXXVI</t>
        </is>
      </c>
      <c r="C5387">
        <f>ROMAN(5386)</f>
        <v/>
      </c>
      <c r="D5387">
        <f>IF(B5387=C5387, "YES", "WRONG")</f>
        <v/>
      </c>
    </row>
    <row r="5388">
      <c r="A5388" t="n">
        <v>5387</v>
      </c>
      <c r="B5388" t="inlineStr">
        <is>
          <t>V̅CCCLXXXVII</t>
        </is>
      </c>
      <c r="C5388">
        <f>ROMAN(5387)</f>
        <v/>
      </c>
      <c r="D5388">
        <f>IF(B5388=C5388, "YES", "WRONG")</f>
        <v/>
      </c>
    </row>
    <row r="5389">
      <c r="A5389" t="n">
        <v>5388</v>
      </c>
      <c r="B5389" t="inlineStr">
        <is>
          <t>V̅CCCLXXXVIII</t>
        </is>
      </c>
      <c r="C5389">
        <f>ROMAN(5388)</f>
        <v/>
      </c>
      <c r="D5389">
        <f>IF(B5389=C5389, "YES", "WRONG")</f>
        <v/>
      </c>
    </row>
    <row r="5390">
      <c r="A5390" t="n">
        <v>5389</v>
      </c>
      <c r="B5390" t="inlineStr">
        <is>
          <t>V̅CCCLXXXIX</t>
        </is>
      </c>
      <c r="C5390">
        <f>ROMAN(5389)</f>
        <v/>
      </c>
      <c r="D5390">
        <f>IF(B5390=C5390, "YES", "WRONG")</f>
        <v/>
      </c>
    </row>
    <row r="5391">
      <c r="A5391" t="n">
        <v>5390</v>
      </c>
      <c r="B5391" t="inlineStr">
        <is>
          <t>V̅CCCXC</t>
        </is>
      </c>
      <c r="C5391">
        <f>ROMAN(5390)</f>
        <v/>
      </c>
      <c r="D5391">
        <f>IF(B5391=C5391, "YES", "WRONG")</f>
        <v/>
      </c>
    </row>
    <row r="5392">
      <c r="A5392" t="n">
        <v>5391</v>
      </c>
      <c r="B5392" t="inlineStr">
        <is>
          <t>V̅CCCXCI</t>
        </is>
      </c>
      <c r="C5392">
        <f>ROMAN(5391)</f>
        <v/>
      </c>
      <c r="D5392">
        <f>IF(B5392=C5392, "YES", "WRONG")</f>
        <v/>
      </c>
    </row>
    <row r="5393">
      <c r="A5393" t="n">
        <v>5392</v>
      </c>
      <c r="B5393" t="inlineStr">
        <is>
          <t>V̅CCCXCII</t>
        </is>
      </c>
      <c r="C5393">
        <f>ROMAN(5392)</f>
        <v/>
      </c>
      <c r="D5393">
        <f>IF(B5393=C5393, "YES", "WRONG")</f>
        <v/>
      </c>
    </row>
    <row r="5394">
      <c r="A5394" t="n">
        <v>5393</v>
      </c>
      <c r="B5394" t="inlineStr">
        <is>
          <t>V̅CCCXCIII</t>
        </is>
      </c>
      <c r="C5394">
        <f>ROMAN(5393)</f>
        <v/>
      </c>
      <c r="D5394">
        <f>IF(B5394=C5394, "YES", "WRONG")</f>
        <v/>
      </c>
    </row>
    <row r="5395">
      <c r="A5395" t="n">
        <v>5394</v>
      </c>
      <c r="B5395" t="inlineStr">
        <is>
          <t>V̅CCCXCIV</t>
        </is>
      </c>
      <c r="C5395">
        <f>ROMAN(5394)</f>
        <v/>
      </c>
      <c r="D5395">
        <f>IF(B5395=C5395, "YES", "WRONG")</f>
        <v/>
      </c>
    </row>
    <row r="5396">
      <c r="A5396" t="n">
        <v>5395</v>
      </c>
      <c r="B5396" t="inlineStr">
        <is>
          <t>V̅CCCXCV</t>
        </is>
      </c>
      <c r="C5396">
        <f>ROMAN(5395)</f>
        <v/>
      </c>
      <c r="D5396">
        <f>IF(B5396=C5396, "YES", "WRONG")</f>
        <v/>
      </c>
    </row>
    <row r="5397">
      <c r="A5397" t="n">
        <v>5396</v>
      </c>
      <c r="B5397" t="inlineStr">
        <is>
          <t>V̅CCCXCVI</t>
        </is>
      </c>
      <c r="C5397">
        <f>ROMAN(5396)</f>
        <v/>
      </c>
      <c r="D5397">
        <f>IF(B5397=C5397, "YES", "WRONG")</f>
        <v/>
      </c>
    </row>
    <row r="5398">
      <c r="A5398" t="n">
        <v>5397</v>
      </c>
      <c r="B5398" t="inlineStr">
        <is>
          <t>V̅CCCXCVII</t>
        </is>
      </c>
      <c r="C5398">
        <f>ROMAN(5397)</f>
        <v/>
      </c>
      <c r="D5398">
        <f>IF(B5398=C5398, "YES", "WRONG")</f>
        <v/>
      </c>
    </row>
    <row r="5399">
      <c r="A5399" t="n">
        <v>5398</v>
      </c>
      <c r="B5399" t="inlineStr">
        <is>
          <t>V̅CCCXCVIII</t>
        </is>
      </c>
      <c r="C5399">
        <f>ROMAN(5398)</f>
        <v/>
      </c>
      <c r="D5399">
        <f>IF(B5399=C5399, "YES", "WRONG")</f>
        <v/>
      </c>
    </row>
    <row r="5400">
      <c r="A5400" t="n">
        <v>5399</v>
      </c>
      <c r="B5400" t="inlineStr">
        <is>
          <t>V̅CCCXCIX</t>
        </is>
      </c>
      <c r="C5400">
        <f>ROMAN(5399)</f>
        <v/>
      </c>
      <c r="D5400">
        <f>IF(B5400=C5400, "YES", "WRONG")</f>
        <v/>
      </c>
    </row>
    <row r="5401">
      <c r="A5401" t="n">
        <v>5400</v>
      </c>
      <c r="B5401" t="inlineStr">
        <is>
          <t>V̅CD</t>
        </is>
      </c>
      <c r="C5401">
        <f>ROMAN(5400)</f>
        <v/>
      </c>
      <c r="D5401">
        <f>IF(B5401=C5401, "YES", "WRONG")</f>
        <v/>
      </c>
    </row>
    <row r="5402">
      <c r="A5402" t="n">
        <v>5401</v>
      </c>
      <c r="B5402" t="inlineStr">
        <is>
          <t>V̅CDI</t>
        </is>
      </c>
      <c r="C5402">
        <f>ROMAN(5401)</f>
        <v/>
      </c>
      <c r="D5402">
        <f>IF(B5402=C5402, "YES", "WRONG")</f>
        <v/>
      </c>
    </row>
    <row r="5403">
      <c r="A5403" t="n">
        <v>5402</v>
      </c>
      <c r="B5403" t="inlineStr">
        <is>
          <t>V̅CDII</t>
        </is>
      </c>
      <c r="C5403">
        <f>ROMAN(5402)</f>
        <v/>
      </c>
      <c r="D5403">
        <f>IF(B5403=C5403, "YES", "WRONG")</f>
        <v/>
      </c>
    </row>
    <row r="5404">
      <c r="A5404" t="n">
        <v>5403</v>
      </c>
      <c r="B5404" t="inlineStr">
        <is>
          <t>V̅CDIII</t>
        </is>
      </c>
      <c r="C5404">
        <f>ROMAN(5403)</f>
        <v/>
      </c>
      <c r="D5404">
        <f>IF(B5404=C5404, "YES", "WRONG")</f>
        <v/>
      </c>
    </row>
    <row r="5405">
      <c r="A5405" t="n">
        <v>5404</v>
      </c>
      <c r="B5405" t="inlineStr">
        <is>
          <t>V̅CDIV</t>
        </is>
      </c>
      <c r="C5405">
        <f>ROMAN(5404)</f>
        <v/>
      </c>
      <c r="D5405">
        <f>IF(B5405=C5405, "YES", "WRONG")</f>
        <v/>
      </c>
    </row>
    <row r="5406">
      <c r="A5406" t="n">
        <v>5405</v>
      </c>
      <c r="B5406" t="inlineStr">
        <is>
          <t>V̅CDV</t>
        </is>
      </c>
      <c r="C5406">
        <f>ROMAN(5405)</f>
        <v/>
      </c>
      <c r="D5406">
        <f>IF(B5406=C5406, "YES", "WRONG")</f>
        <v/>
      </c>
    </row>
    <row r="5407">
      <c r="A5407" t="n">
        <v>5406</v>
      </c>
      <c r="B5407" t="inlineStr">
        <is>
          <t>V̅CDVI</t>
        </is>
      </c>
      <c r="C5407">
        <f>ROMAN(5406)</f>
        <v/>
      </c>
      <c r="D5407">
        <f>IF(B5407=C5407, "YES", "WRONG")</f>
        <v/>
      </c>
    </row>
    <row r="5408">
      <c r="A5408" t="n">
        <v>5407</v>
      </c>
      <c r="B5408" t="inlineStr">
        <is>
          <t>V̅CDVII</t>
        </is>
      </c>
      <c r="C5408">
        <f>ROMAN(5407)</f>
        <v/>
      </c>
      <c r="D5408">
        <f>IF(B5408=C5408, "YES", "WRONG")</f>
        <v/>
      </c>
    </row>
    <row r="5409">
      <c r="A5409" t="n">
        <v>5408</v>
      </c>
      <c r="B5409" t="inlineStr">
        <is>
          <t>V̅CDVIII</t>
        </is>
      </c>
      <c r="C5409">
        <f>ROMAN(5408)</f>
        <v/>
      </c>
      <c r="D5409">
        <f>IF(B5409=C5409, "YES", "WRONG")</f>
        <v/>
      </c>
    </row>
    <row r="5410">
      <c r="A5410" t="n">
        <v>5409</v>
      </c>
      <c r="B5410" t="inlineStr">
        <is>
          <t>V̅CDIX</t>
        </is>
      </c>
      <c r="C5410">
        <f>ROMAN(5409)</f>
        <v/>
      </c>
      <c r="D5410">
        <f>IF(B5410=C5410, "YES", "WRONG")</f>
        <v/>
      </c>
    </row>
    <row r="5411">
      <c r="A5411" t="n">
        <v>5410</v>
      </c>
      <c r="B5411" t="inlineStr">
        <is>
          <t>V̅CDX</t>
        </is>
      </c>
      <c r="C5411">
        <f>ROMAN(5410)</f>
        <v/>
      </c>
      <c r="D5411">
        <f>IF(B5411=C5411, "YES", "WRONG")</f>
        <v/>
      </c>
    </row>
    <row r="5412">
      <c r="A5412" t="n">
        <v>5411</v>
      </c>
      <c r="B5412" t="inlineStr">
        <is>
          <t>V̅CDXI</t>
        </is>
      </c>
      <c r="C5412">
        <f>ROMAN(5411)</f>
        <v/>
      </c>
      <c r="D5412">
        <f>IF(B5412=C5412, "YES", "WRONG")</f>
        <v/>
      </c>
    </row>
    <row r="5413">
      <c r="A5413" t="n">
        <v>5412</v>
      </c>
      <c r="B5413" t="inlineStr">
        <is>
          <t>V̅CDXII</t>
        </is>
      </c>
      <c r="C5413">
        <f>ROMAN(5412)</f>
        <v/>
      </c>
      <c r="D5413">
        <f>IF(B5413=C5413, "YES", "WRONG")</f>
        <v/>
      </c>
    </row>
    <row r="5414">
      <c r="A5414" t="n">
        <v>5413</v>
      </c>
      <c r="B5414" t="inlineStr">
        <is>
          <t>V̅CDXIII</t>
        </is>
      </c>
      <c r="C5414">
        <f>ROMAN(5413)</f>
        <v/>
      </c>
      <c r="D5414">
        <f>IF(B5414=C5414, "YES", "WRONG")</f>
        <v/>
      </c>
    </row>
    <row r="5415">
      <c r="A5415" t="n">
        <v>5414</v>
      </c>
      <c r="B5415" t="inlineStr">
        <is>
          <t>V̅CDXIV</t>
        </is>
      </c>
      <c r="C5415">
        <f>ROMAN(5414)</f>
        <v/>
      </c>
      <c r="D5415">
        <f>IF(B5415=C5415, "YES", "WRONG")</f>
        <v/>
      </c>
    </row>
    <row r="5416">
      <c r="A5416" t="n">
        <v>5415</v>
      </c>
      <c r="B5416" t="inlineStr">
        <is>
          <t>V̅CDXV</t>
        </is>
      </c>
      <c r="C5416">
        <f>ROMAN(5415)</f>
        <v/>
      </c>
      <c r="D5416">
        <f>IF(B5416=C5416, "YES", "WRONG")</f>
        <v/>
      </c>
    </row>
    <row r="5417">
      <c r="A5417" t="n">
        <v>5416</v>
      </c>
      <c r="B5417" t="inlineStr">
        <is>
          <t>V̅CDXVI</t>
        </is>
      </c>
      <c r="C5417">
        <f>ROMAN(5416)</f>
        <v/>
      </c>
      <c r="D5417">
        <f>IF(B5417=C5417, "YES", "WRONG")</f>
        <v/>
      </c>
    </row>
    <row r="5418">
      <c r="A5418" t="n">
        <v>5417</v>
      </c>
      <c r="B5418" t="inlineStr">
        <is>
          <t>V̅CDXVII</t>
        </is>
      </c>
      <c r="C5418">
        <f>ROMAN(5417)</f>
        <v/>
      </c>
      <c r="D5418">
        <f>IF(B5418=C5418, "YES", "WRONG")</f>
        <v/>
      </c>
    </row>
    <row r="5419">
      <c r="A5419" t="n">
        <v>5418</v>
      </c>
      <c r="B5419" t="inlineStr">
        <is>
          <t>V̅CDXVIII</t>
        </is>
      </c>
      <c r="C5419">
        <f>ROMAN(5418)</f>
        <v/>
      </c>
      <c r="D5419">
        <f>IF(B5419=C5419, "YES", "WRONG")</f>
        <v/>
      </c>
    </row>
    <row r="5420">
      <c r="A5420" t="n">
        <v>5419</v>
      </c>
      <c r="B5420" t="inlineStr">
        <is>
          <t>V̅CDXIX</t>
        </is>
      </c>
      <c r="C5420">
        <f>ROMAN(5419)</f>
        <v/>
      </c>
      <c r="D5420">
        <f>IF(B5420=C5420, "YES", "WRONG")</f>
        <v/>
      </c>
    </row>
    <row r="5421">
      <c r="A5421" t="n">
        <v>5420</v>
      </c>
      <c r="B5421" t="inlineStr">
        <is>
          <t>V̅CDXX</t>
        </is>
      </c>
      <c r="C5421">
        <f>ROMAN(5420)</f>
        <v/>
      </c>
      <c r="D5421">
        <f>IF(B5421=C5421, "YES", "WRONG")</f>
        <v/>
      </c>
    </row>
    <row r="5422">
      <c r="A5422" t="n">
        <v>5421</v>
      </c>
      <c r="B5422" t="inlineStr">
        <is>
          <t>V̅CDXXI</t>
        </is>
      </c>
      <c r="C5422">
        <f>ROMAN(5421)</f>
        <v/>
      </c>
      <c r="D5422">
        <f>IF(B5422=C5422, "YES", "WRONG")</f>
        <v/>
      </c>
    </row>
    <row r="5423">
      <c r="A5423" t="n">
        <v>5422</v>
      </c>
      <c r="B5423" t="inlineStr">
        <is>
          <t>V̅CDXXII</t>
        </is>
      </c>
      <c r="C5423">
        <f>ROMAN(5422)</f>
        <v/>
      </c>
      <c r="D5423">
        <f>IF(B5423=C5423, "YES", "WRONG")</f>
        <v/>
      </c>
    </row>
    <row r="5424">
      <c r="A5424" t="n">
        <v>5423</v>
      </c>
      <c r="B5424" t="inlineStr">
        <is>
          <t>V̅CDXXIII</t>
        </is>
      </c>
      <c r="C5424">
        <f>ROMAN(5423)</f>
        <v/>
      </c>
      <c r="D5424">
        <f>IF(B5424=C5424, "YES", "WRONG")</f>
        <v/>
      </c>
    </row>
    <row r="5425">
      <c r="A5425" t="n">
        <v>5424</v>
      </c>
      <c r="B5425" t="inlineStr">
        <is>
          <t>V̅CDXXIV</t>
        </is>
      </c>
      <c r="C5425">
        <f>ROMAN(5424)</f>
        <v/>
      </c>
      <c r="D5425">
        <f>IF(B5425=C5425, "YES", "WRONG")</f>
        <v/>
      </c>
    </row>
    <row r="5426">
      <c r="A5426" t="n">
        <v>5425</v>
      </c>
      <c r="B5426" t="inlineStr">
        <is>
          <t>V̅CDXXV</t>
        </is>
      </c>
      <c r="C5426">
        <f>ROMAN(5425)</f>
        <v/>
      </c>
      <c r="D5426">
        <f>IF(B5426=C5426, "YES", "WRONG")</f>
        <v/>
      </c>
    </row>
    <row r="5427">
      <c r="A5427" t="n">
        <v>5426</v>
      </c>
      <c r="B5427" t="inlineStr">
        <is>
          <t>V̅CDXXVI</t>
        </is>
      </c>
      <c r="C5427">
        <f>ROMAN(5426)</f>
        <v/>
      </c>
      <c r="D5427">
        <f>IF(B5427=C5427, "YES", "WRONG")</f>
        <v/>
      </c>
    </row>
    <row r="5428">
      <c r="A5428" t="n">
        <v>5427</v>
      </c>
      <c r="B5428" t="inlineStr">
        <is>
          <t>V̅CDXXVII</t>
        </is>
      </c>
      <c r="C5428">
        <f>ROMAN(5427)</f>
        <v/>
      </c>
      <c r="D5428">
        <f>IF(B5428=C5428, "YES", "WRONG")</f>
        <v/>
      </c>
    </row>
    <row r="5429">
      <c r="A5429" t="n">
        <v>5428</v>
      </c>
      <c r="B5429" t="inlineStr">
        <is>
          <t>V̅CDXXVIII</t>
        </is>
      </c>
      <c r="C5429">
        <f>ROMAN(5428)</f>
        <v/>
      </c>
      <c r="D5429">
        <f>IF(B5429=C5429, "YES", "WRONG")</f>
        <v/>
      </c>
    </row>
    <row r="5430">
      <c r="A5430" t="n">
        <v>5429</v>
      </c>
      <c r="B5430" t="inlineStr">
        <is>
          <t>V̅CDXXIX</t>
        </is>
      </c>
      <c r="C5430">
        <f>ROMAN(5429)</f>
        <v/>
      </c>
      <c r="D5430">
        <f>IF(B5430=C5430, "YES", "WRONG")</f>
        <v/>
      </c>
    </row>
    <row r="5431">
      <c r="A5431" t="n">
        <v>5430</v>
      </c>
      <c r="B5431" t="inlineStr">
        <is>
          <t>V̅CDXXX</t>
        </is>
      </c>
      <c r="C5431">
        <f>ROMAN(5430)</f>
        <v/>
      </c>
      <c r="D5431">
        <f>IF(B5431=C5431, "YES", "WRONG")</f>
        <v/>
      </c>
    </row>
    <row r="5432">
      <c r="A5432" t="n">
        <v>5431</v>
      </c>
      <c r="B5432" t="inlineStr">
        <is>
          <t>V̅CDXXXI</t>
        </is>
      </c>
      <c r="C5432">
        <f>ROMAN(5431)</f>
        <v/>
      </c>
      <c r="D5432">
        <f>IF(B5432=C5432, "YES", "WRONG")</f>
        <v/>
      </c>
    </row>
    <row r="5433">
      <c r="A5433" t="n">
        <v>5432</v>
      </c>
      <c r="B5433" t="inlineStr">
        <is>
          <t>V̅CDXXXII</t>
        </is>
      </c>
      <c r="C5433">
        <f>ROMAN(5432)</f>
        <v/>
      </c>
      <c r="D5433">
        <f>IF(B5433=C5433, "YES", "WRONG")</f>
        <v/>
      </c>
    </row>
    <row r="5434">
      <c r="A5434" t="n">
        <v>5433</v>
      </c>
      <c r="B5434" t="inlineStr">
        <is>
          <t>V̅CDXXXIII</t>
        </is>
      </c>
      <c r="C5434">
        <f>ROMAN(5433)</f>
        <v/>
      </c>
      <c r="D5434">
        <f>IF(B5434=C5434, "YES", "WRONG")</f>
        <v/>
      </c>
    </row>
    <row r="5435">
      <c r="A5435" t="n">
        <v>5434</v>
      </c>
      <c r="B5435" t="inlineStr">
        <is>
          <t>V̅CDXXXIV</t>
        </is>
      </c>
      <c r="C5435">
        <f>ROMAN(5434)</f>
        <v/>
      </c>
      <c r="D5435">
        <f>IF(B5435=C5435, "YES", "WRONG")</f>
        <v/>
      </c>
    </row>
    <row r="5436">
      <c r="A5436" t="n">
        <v>5435</v>
      </c>
      <c r="B5436" t="inlineStr">
        <is>
          <t>V̅CDXXXV</t>
        </is>
      </c>
      <c r="C5436">
        <f>ROMAN(5435)</f>
        <v/>
      </c>
      <c r="D5436">
        <f>IF(B5436=C5436, "YES", "WRONG")</f>
        <v/>
      </c>
    </row>
    <row r="5437">
      <c r="A5437" t="n">
        <v>5436</v>
      </c>
      <c r="B5437" t="inlineStr">
        <is>
          <t>V̅CDXXXVI</t>
        </is>
      </c>
      <c r="C5437">
        <f>ROMAN(5436)</f>
        <v/>
      </c>
      <c r="D5437">
        <f>IF(B5437=C5437, "YES", "WRONG")</f>
        <v/>
      </c>
    </row>
    <row r="5438">
      <c r="A5438" t="n">
        <v>5437</v>
      </c>
      <c r="B5438" t="inlineStr">
        <is>
          <t>V̅CDXXXVII</t>
        </is>
      </c>
      <c r="C5438">
        <f>ROMAN(5437)</f>
        <v/>
      </c>
      <c r="D5438">
        <f>IF(B5438=C5438, "YES", "WRONG")</f>
        <v/>
      </c>
    </row>
    <row r="5439">
      <c r="A5439" t="n">
        <v>5438</v>
      </c>
      <c r="B5439" t="inlineStr">
        <is>
          <t>V̅CDXXXVIII</t>
        </is>
      </c>
      <c r="C5439">
        <f>ROMAN(5438)</f>
        <v/>
      </c>
      <c r="D5439">
        <f>IF(B5439=C5439, "YES", "WRONG")</f>
        <v/>
      </c>
    </row>
    <row r="5440">
      <c r="A5440" t="n">
        <v>5439</v>
      </c>
      <c r="B5440" t="inlineStr">
        <is>
          <t>V̅CDXXXIX</t>
        </is>
      </c>
      <c r="C5440">
        <f>ROMAN(5439)</f>
        <v/>
      </c>
      <c r="D5440">
        <f>IF(B5440=C5440, "YES", "WRONG")</f>
        <v/>
      </c>
    </row>
    <row r="5441">
      <c r="A5441" t="n">
        <v>5440</v>
      </c>
      <c r="B5441" t="inlineStr">
        <is>
          <t>V̅CDXL</t>
        </is>
      </c>
      <c r="C5441">
        <f>ROMAN(5440)</f>
        <v/>
      </c>
      <c r="D5441">
        <f>IF(B5441=C5441, "YES", "WRONG")</f>
        <v/>
      </c>
    </row>
    <row r="5442">
      <c r="A5442" t="n">
        <v>5441</v>
      </c>
      <c r="B5442" t="inlineStr">
        <is>
          <t>V̅CDXLI</t>
        </is>
      </c>
      <c r="C5442">
        <f>ROMAN(5441)</f>
        <v/>
      </c>
      <c r="D5442">
        <f>IF(B5442=C5442, "YES", "WRONG")</f>
        <v/>
      </c>
    </row>
    <row r="5443">
      <c r="A5443" t="n">
        <v>5442</v>
      </c>
      <c r="B5443" t="inlineStr">
        <is>
          <t>V̅CDXLII</t>
        </is>
      </c>
      <c r="C5443">
        <f>ROMAN(5442)</f>
        <v/>
      </c>
      <c r="D5443">
        <f>IF(B5443=C5443, "YES", "WRONG")</f>
        <v/>
      </c>
    </row>
    <row r="5444">
      <c r="A5444" t="n">
        <v>5443</v>
      </c>
      <c r="B5444" t="inlineStr">
        <is>
          <t>V̅CDXLIII</t>
        </is>
      </c>
      <c r="C5444">
        <f>ROMAN(5443)</f>
        <v/>
      </c>
      <c r="D5444">
        <f>IF(B5444=C5444, "YES", "WRONG")</f>
        <v/>
      </c>
    </row>
    <row r="5445">
      <c r="A5445" t="n">
        <v>5444</v>
      </c>
      <c r="B5445" t="inlineStr">
        <is>
          <t>V̅CDXLIV</t>
        </is>
      </c>
      <c r="C5445">
        <f>ROMAN(5444)</f>
        <v/>
      </c>
      <c r="D5445">
        <f>IF(B5445=C5445, "YES", "WRONG")</f>
        <v/>
      </c>
    </row>
    <row r="5446">
      <c r="A5446" t="n">
        <v>5445</v>
      </c>
      <c r="B5446" t="inlineStr">
        <is>
          <t>V̅CDXLV</t>
        </is>
      </c>
      <c r="C5446">
        <f>ROMAN(5445)</f>
        <v/>
      </c>
      <c r="D5446">
        <f>IF(B5446=C5446, "YES", "WRONG")</f>
        <v/>
      </c>
    </row>
    <row r="5447">
      <c r="A5447" t="n">
        <v>5446</v>
      </c>
      <c r="B5447" t="inlineStr">
        <is>
          <t>V̅CDXLVI</t>
        </is>
      </c>
      <c r="C5447">
        <f>ROMAN(5446)</f>
        <v/>
      </c>
      <c r="D5447">
        <f>IF(B5447=C5447, "YES", "WRONG")</f>
        <v/>
      </c>
    </row>
    <row r="5448">
      <c r="A5448" t="n">
        <v>5447</v>
      </c>
      <c r="B5448" t="inlineStr">
        <is>
          <t>V̅CDXLVII</t>
        </is>
      </c>
      <c r="C5448">
        <f>ROMAN(5447)</f>
        <v/>
      </c>
      <c r="D5448">
        <f>IF(B5448=C5448, "YES", "WRONG")</f>
        <v/>
      </c>
    </row>
    <row r="5449">
      <c r="A5449" t="n">
        <v>5448</v>
      </c>
      <c r="B5449" t="inlineStr">
        <is>
          <t>V̅CDXLVIII</t>
        </is>
      </c>
      <c r="C5449">
        <f>ROMAN(5448)</f>
        <v/>
      </c>
      <c r="D5449">
        <f>IF(B5449=C5449, "YES", "WRONG")</f>
        <v/>
      </c>
    </row>
    <row r="5450">
      <c r="A5450" t="n">
        <v>5449</v>
      </c>
      <c r="B5450" t="inlineStr">
        <is>
          <t>V̅CDXLIX</t>
        </is>
      </c>
      <c r="C5450">
        <f>ROMAN(5449)</f>
        <v/>
      </c>
      <c r="D5450">
        <f>IF(B5450=C5450, "YES", "WRONG")</f>
        <v/>
      </c>
    </row>
    <row r="5451">
      <c r="A5451" t="n">
        <v>5450</v>
      </c>
      <c r="B5451" t="inlineStr">
        <is>
          <t>V̅CDL</t>
        </is>
      </c>
      <c r="C5451">
        <f>ROMAN(5450)</f>
        <v/>
      </c>
      <c r="D5451">
        <f>IF(B5451=C5451, "YES", "WRONG")</f>
        <v/>
      </c>
    </row>
    <row r="5452">
      <c r="A5452" t="n">
        <v>5451</v>
      </c>
      <c r="B5452" t="inlineStr">
        <is>
          <t>V̅CDLI</t>
        </is>
      </c>
      <c r="C5452">
        <f>ROMAN(5451)</f>
        <v/>
      </c>
      <c r="D5452">
        <f>IF(B5452=C5452, "YES", "WRONG")</f>
        <v/>
      </c>
    </row>
    <row r="5453">
      <c r="A5453" t="n">
        <v>5452</v>
      </c>
      <c r="B5453" t="inlineStr">
        <is>
          <t>V̅CDLII</t>
        </is>
      </c>
      <c r="C5453">
        <f>ROMAN(5452)</f>
        <v/>
      </c>
      <c r="D5453">
        <f>IF(B5453=C5453, "YES", "WRONG")</f>
        <v/>
      </c>
    </row>
    <row r="5454">
      <c r="A5454" t="n">
        <v>5453</v>
      </c>
      <c r="B5454" t="inlineStr">
        <is>
          <t>V̅CDLIII</t>
        </is>
      </c>
      <c r="C5454">
        <f>ROMAN(5453)</f>
        <v/>
      </c>
      <c r="D5454">
        <f>IF(B5454=C5454, "YES", "WRONG")</f>
        <v/>
      </c>
    </row>
    <row r="5455">
      <c r="A5455" t="n">
        <v>5454</v>
      </c>
      <c r="B5455" t="inlineStr">
        <is>
          <t>V̅CDLIV</t>
        </is>
      </c>
      <c r="C5455">
        <f>ROMAN(5454)</f>
        <v/>
      </c>
      <c r="D5455">
        <f>IF(B5455=C5455, "YES", "WRONG")</f>
        <v/>
      </c>
    </row>
    <row r="5456">
      <c r="A5456" t="n">
        <v>5455</v>
      </c>
      <c r="B5456" t="inlineStr">
        <is>
          <t>V̅CDLV</t>
        </is>
      </c>
      <c r="C5456">
        <f>ROMAN(5455)</f>
        <v/>
      </c>
      <c r="D5456">
        <f>IF(B5456=C5456, "YES", "WRONG")</f>
        <v/>
      </c>
    </row>
    <row r="5457">
      <c r="A5457" t="n">
        <v>5456</v>
      </c>
      <c r="B5457" t="inlineStr">
        <is>
          <t>V̅CDLVI</t>
        </is>
      </c>
      <c r="C5457">
        <f>ROMAN(5456)</f>
        <v/>
      </c>
      <c r="D5457">
        <f>IF(B5457=C5457, "YES", "WRONG")</f>
        <v/>
      </c>
    </row>
    <row r="5458">
      <c r="A5458" t="n">
        <v>5457</v>
      </c>
      <c r="B5458" t="inlineStr">
        <is>
          <t>V̅CDLVII</t>
        </is>
      </c>
      <c r="C5458">
        <f>ROMAN(5457)</f>
        <v/>
      </c>
      <c r="D5458">
        <f>IF(B5458=C5458, "YES", "WRONG")</f>
        <v/>
      </c>
    </row>
    <row r="5459">
      <c r="A5459" t="n">
        <v>5458</v>
      </c>
      <c r="B5459" t="inlineStr">
        <is>
          <t>V̅CDLVIII</t>
        </is>
      </c>
      <c r="C5459">
        <f>ROMAN(5458)</f>
        <v/>
      </c>
      <c r="D5459">
        <f>IF(B5459=C5459, "YES", "WRONG")</f>
        <v/>
      </c>
    </row>
    <row r="5460">
      <c r="A5460" t="n">
        <v>5459</v>
      </c>
      <c r="B5460" t="inlineStr">
        <is>
          <t>V̅CDLIX</t>
        </is>
      </c>
      <c r="C5460">
        <f>ROMAN(5459)</f>
        <v/>
      </c>
      <c r="D5460">
        <f>IF(B5460=C5460, "YES", "WRONG")</f>
        <v/>
      </c>
    </row>
    <row r="5461">
      <c r="A5461" t="n">
        <v>5460</v>
      </c>
      <c r="B5461" t="inlineStr">
        <is>
          <t>V̅CDLX</t>
        </is>
      </c>
      <c r="C5461">
        <f>ROMAN(5460)</f>
        <v/>
      </c>
      <c r="D5461">
        <f>IF(B5461=C5461, "YES", "WRONG")</f>
        <v/>
      </c>
    </row>
    <row r="5462">
      <c r="A5462" t="n">
        <v>5461</v>
      </c>
      <c r="B5462" t="inlineStr">
        <is>
          <t>V̅CDLXI</t>
        </is>
      </c>
      <c r="C5462">
        <f>ROMAN(5461)</f>
        <v/>
      </c>
      <c r="D5462">
        <f>IF(B5462=C5462, "YES", "WRONG")</f>
        <v/>
      </c>
    </row>
    <row r="5463">
      <c r="A5463" t="n">
        <v>5462</v>
      </c>
      <c r="B5463" t="inlineStr">
        <is>
          <t>V̅CDLXII</t>
        </is>
      </c>
      <c r="C5463">
        <f>ROMAN(5462)</f>
        <v/>
      </c>
      <c r="D5463">
        <f>IF(B5463=C5463, "YES", "WRONG")</f>
        <v/>
      </c>
    </row>
    <row r="5464">
      <c r="A5464" t="n">
        <v>5463</v>
      </c>
      <c r="B5464" t="inlineStr">
        <is>
          <t>V̅CDLXIII</t>
        </is>
      </c>
      <c r="C5464">
        <f>ROMAN(5463)</f>
        <v/>
      </c>
      <c r="D5464">
        <f>IF(B5464=C5464, "YES", "WRONG")</f>
        <v/>
      </c>
    </row>
    <row r="5465">
      <c r="A5465" t="n">
        <v>5464</v>
      </c>
      <c r="B5465" t="inlineStr">
        <is>
          <t>V̅CDLXIV</t>
        </is>
      </c>
      <c r="C5465">
        <f>ROMAN(5464)</f>
        <v/>
      </c>
      <c r="D5465">
        <f>IF(B5465=C5465, "YES", "WRONG")</f>
        <v/>
      </c>
    </row>
    <row r="5466">
      <c r="A5466" t="n">
        <v>5465</v>
      </c>
      <c r="B5466" t="inlineStr">
        <is>
          <t>V̅CDLXV</t>
        </is>
      </c>
      <c r="C5466">
        <f>ROMAN(5465)</f>
        <v/>
      </c>
      <c r="D5466">
        <f>IF(B5466=C5466, "YES", "WRONG")</f>
        <v/>
      </c>
    </row>
    <row r="5467">
      <c r="A5467" t="n">
        <v>5466</v>
      </c>
      <c r="B5467" t="inlineStr">
        <is>
          <t>V̅CDLXVI</t>
        </is>
      </c>
      <c r="C5467">
        <f>ROMAN(5466)</f>
        <v/>
      </c>
      <c r="D5467">
        <f>IF(B5467=C5467, "YES", "WRONG")</f>
        <v/>
      </c>
    </row>
    <row r="5468">
      <c r="A5468" t="n">
        <v>5467</v>
      </c>
      <c r="B5468" t="inlineStr">
        <is>
          <t>V̅CDLXVII</t>
        </is>
      </c>
      <c r="C5468">
        <f>ROMAN(5467)</f>
        <v/>
      </c>
      <c r="D5468">
        <f>IF(B5468=C5468, "YES", "WRONG")</f>
        <v/>
      </c>
    </row>
    <row r="5469">
      <c r="A5469" t="n">
        <v>5468</v>
      </c>
      <c r="B5469" t="inlineStr">
        <is>
          <t>V̅CDLXVIII</t>
        </is>
      </c>
      <c r="C5469">
        <f>ROMAN(5468)</f>
        <v/>
      </c>
      <c r="D5469">
        <f>IF(B5469=C5469, "YES", "WRONG")</f>
        <v/>
      </c>
    </row>
    <row r="5470">
      <c r="A5470" t="n">
        <v>5469</v>
      </c>
      <c r="B5470" t="inlineStr">
        <is>
          <t>V̅CDLXIX</t>
        </is>
      </c>
      <c r="C5470">
        <f>ROMAN(5469)</f>
        <v/>
      </c>
      <c r="D5470">
        <f>IF(B5470=C5470, "YES", "WRONG")</f>
        <v/>
      </c>
    </row>
    <row r="5471">
      <c r="A5471" t="n">
        <v>5470</v>
      </c>
      <c r="B5471" t="inlineStr">
        <is>
          <t>V̅CDLXX</t>
        </is>
      </c>
      <c r="C5471">
        <f>ROMAN(5470)</f>
        <v/>
      </c>
      <c r="D5471">
        <f>IF(B5471=C5471, "YES", "WRONG")</f>
        <v/>
      </c>
    </row>
    <row r="5472">
      <c r="A5472" t="n">
        <v>5471</v>
      </c>
      <c r="B5472" t="inlineStr">
        <is>
          <t>V̅CDLXXI</t>
        </is>
      </c>
      <c r="C5472">
        <f>ROMAN(5471)</f>
        <v/>
      </c>
      <c r="D5472">
        <f>IF(B5472=C5472, "YES", "WRONG")</f>
        <v/>
      </c>
    </row>
    <row r="5473">
      <c r="A5473" t="n">
        <v>5472</v>
      </c>
      <c r="B5473" t="inlineStr">
        <is>
          <t>V̅CDLXXII</t>
        </is>
      </c>
      <c r="C5473">
        <f>ROMAN(5472)</f>
        <v/>
      </c>
      <c r="D5473">
        <f>IF(B5473=C5473, "YES", "WRONG")</f>
        <v/>
      </c>
    </row>
    <row r="5474">
      <c r="A5474" t="n">
        <v>5473</v>
      </c>
      <c r="B5474" t="inlineStr">
        <is>
          <t>V̅CDLXXIII</t>
        </is>
      </c>
      <c r="C5474">
        <f>ROMAN(5473)</f>
        <v/>
      </c>
      <c r="D5474">
        <f>IF(B5474=C5474, "YES", "WRONG")</f>
        <v/>
      </c>
    </row>
    <row r="5475">
      <c r="A5475" t="n">
        <v>5474</v>
      </c>
      <c r="B5475" t="inlineStr">
        <is>
          <t>V̅CDLXXIV</t>
        </is>
      </c>
      <c r="C5475">
        <f>ROMAN(5474)</f>
        <v/>
      </c>
      <c r="D5475">
        <f>IF(B5475=C5475, "YES", "WRONG")</f>
        <v/>
      </c>
    </row>
    <row r="5476">
      <c r="A5476" t="n">
        <v>5475</v>
      </c>
      <c r="B5476" t="inlineStr">
        <is>
          <t>V̅CDLXXV</t>
        </is>
      </c>
      <c r="C5476">
        <f>ROMAN(5475)</f>
        <v/>
      </c>
      <c r="D5476">
        <f>IF(B5476=C5476, "YES", "WRONG")</f>
        <v/>
      </c>
    </row>
    <row r="5477">
      <c r="A5477" t="n">
        <v>5476</v>
      </c>
      <c r="B5477" t="inlineStr">
        <is>
          <t>V̅CDLXXVI</t>
        </is>
      </c>
      <c r="C5477">
        <f>ROMAN(5476)</f>
        <v/>
      </c>
      <c r="D5477">
        <f>IF(B5477=C5477, "YES", "WRONG")</f>
        <v/>
      </c>
    </row>
    <row r="5478">
      <c r="A5478" t="n">
        <v>5477</v>
      </c>
      <c r="B5478" t="inlineStr">
        <is>
          <t>V̅CDLXXVII</t>
        </is>
      </c>
      <c r="C5478">
        <f>ROMAN(5477)</f>
        <v/>
      </c>
      <c r="D5478">
        <f>IF(B5478=C5478, "YES", "WRONG")</f>
        <v/>
      </c>
    </row>
    <row r="5479">
      <c r="A5479" t="n">
        <v>5478</v>
      </c>
      <c r="B5479" t="inlineStr">
        <is>
          <t>V̅CDLXXVIII</t>
        </is>
      </c>
      <c r="C5479">
        <f>ROMAN(5478)</f>
        <v/>
      </c>
      <c r="D5479">
        <f>IF(B5479=C5479, "YES", "WRONG")</f>
        <v/>
      </c>
    </row>
    <row r="5480">
      <c r="A5480" t="n">
        <v>5479</v>
      </c>
      <c r="B5480" t="inlineStr">
        <is>
          <t>V̅CDLXXIX</t>
        </is>
      </c>
      <c r="C5480">
        <f>ROMAN(5479)</f>
        <v/>
      </c>
      <c r="D5480">
        <f>IF(B5480=C5480, "YES", "WRONG")</f>
        <v/>
      </c>
    </row>
    <row r="5481">
      <c r="A5481" t="n">
        <v>5480</v>
      </c>
      <c r="B5481" t="inlineStr">
        <is>
          <t>V̅CDLXXX</t>
        </is>
      </c>
      <c r="C5481">
        <f>ROMAN(5480)</f>
        <v/>
      </c>
      <c r="D5481">
        <f>IF(B5481=C5481, "YES", "WRONG")</f>
        <v/>
      </c>
    </row>
    <row r="5482">
      <c r="A5482" t="n">
        <v>5481</v>
      </c>
      <c r="B5482" t="inlineStr">
        <is>
          <t>V̅CDLXXXI</t>
        </is>
      </c>
      <c r="C5482">
        <f>ROMAN(5481)</f>
        <v/>
      </c>
      <c r="D5482">
        <f>IF(B5482=C5482, "YES", "WRONG")</f>
        <v/>
      </c>
    </row>
    <row r="5483">
      <c r="A5483" t="n">
        <v>5482</v>
      </c>
      <c r="B5483" t="inlineStr">
        <is>
          <t>V̅CDLXXXII</t>
        </is>
      </c>
      <c r="C5483">
        <f>ROMAN(5482)</f>
        <v/>
      </c>
      <c r="D5483">
        <f>IF(B5483=C5483, "YES", "WRONG")</f>
        <v/>
      </c>
    </row>
    <row r="5484">
      <c r="A5484" t="n">
        <v>5483</v>
      </c>
      <c r="B5484" t="inlineStr">
        <is>
          <t>V̅CDLXXXIII</t>
        </is>
      </c>
      <c r="C5484">
        <f>ROMAN(5483)</f>
        <v/>
      </c>
      <c r="D5484">
        <f>IF(B5484=C5484, "YES", "WRONG")</f>
        <v/>
      </c>
    </row>
    <row r="5485">
      <c r="A5485" t="n">
        <v>5484</v>
      </c>
      <c r="B5485" t="inlineStr">
        <is>
          <t>V̅CDLXXXIV</t>
        </is>
      </c>
      <c r="C5485">
        <f>ROMAN(5484)</f>
        <v/>
      </c>
      <c r="D5485">
        <f>IF(B5485=C5485, "YES", "WRONG")</f>
        <v/>
      </c>
    </row>
    <row r="5486">
      <c r="A5486" t="n">
        <v>5485</v>
      </c>
      <c r="B5486" t="inlineStr">
        <is>
          <t>V̅CDLXXXV</t>
        </is>
      </c>
      <c r="C5486">
        <f>ROMAN(5485)</f>
        <v/>
      </c>
      <c r="D5486">
        <f>IF(B5486=C5486, "YES", "WRONG")</f>
        <v/>
      </c>
    </row>
    <row r="5487">
      <c r="A5487" t="n">
        <v>5486</v>
      </c>
      <c r="B5487" t="inlineStr">
        <is>
          <t>V̅CDLXXXVI</t>
        </is>
      </c>
      <c r="C5487">
        <f>ROMAN(5486)</f>
        <v/>
      </c>
      <c r="D5487">
        <f>IF(B5487=C5487, "YES", "WRONG")</f>
        <v/>
      </c>
    </row>
    <row r="5488">
      <c r="A5488" t="n">
        <v>5487</v>
      </c>
      <c r="B5488" t="inlineStr">
        <is>
          <t>V̅CDLXXXVII</t>
        </is>
      </c>
      <c r="C5488">
        <f>ROMAN(5487)</f>
        <v/>
      </c>
      <c r="D5488">
        <f>IF(B5488=C5488, "YES", "WRONG")</f>
        <v/>
      </c>
    </row>
    <row r="5489">
      <c r="A5489" t="n">
        <v>5488</v>
      </c>
      <c r="B5489" t="inlineStr">
        <is>
          <t>V̅CDLXXXVIII</t>
        </is>
      </c>
      <c r="C5489">
        <f>ROMAN(5488)</f>
        <v/>
      </c>
      <c r="D5489">
        <f>IF(B5489=C5489, "YES", "WRONG")</f>
        <v/>
      </c>
    </row>
    <row r="5490">
      <c r="A5490" t="n">
        <v>5489</v>
      </c>
      <c r="B5490" t="inlineStr">
        <is>
          <t>V̅CDLXXXIX</t>
        </is>
      </c>
      <c r="C5490">
        <f>ROMAN(5489)</f>
        <v/>
      </c>
      <c r="D5490">
        <f>IF(B5490=C5490, "YES", "WRONG")</f>
        <v/>
      </c>
    </row>
    <row r="5491">
      <c r="A5491" t="n">
        <v>5490</v>
      </c>
      <c r="B5491" t="inlineStr">
        <is>
          <t>V̅CDXC</t>
        </is>
      </c>
      <c r="C5491">
        <f>ROMAN(5490)</f>
        <v/>
      </c>
      <c r="D5491">
        <f>IF(B5491=C5491, "YES", "WRONG")</f>
        <v/>
      </c>
    </row>
    <row r="5492">
      <c r="A5492" t="n">
        <v>5491</v>
      </c>
      <c r="B5492" t="inlineStr">
        <is>
          <t>V̅CDXCI</t>
        </is>
      </c>
      <c r="C5492">
        <f>ROMAN(5491)</f>
        <v/>
      </c>
      <c r="D5492">
        <f>IF(B5492=C5492, "YES", "WRONG")</f>
        <v/>
      </c>
    </row>
    <row r="5493">
      <c r="A5493" t="n">
        <v>5492</v>
      </c>
      <c r="B5493" t="inlineStr">
        <is>
          <t>V̅CDXCII</t>
        </is>
      </c>
      <c r="C5493">
        <f>ROMAN(5492)</f>
        <v/>
      </c>
      <c r="D5493">
        <f>IF(B5493=C5493, "YES", "WRONG")</f>
        <v/>
      </c>
    </row>
    <row r="5494">
      <c r="A5494" t="n">
        <v>5493</v>
      </c>
      <c r="B5494" t="inlineStr">
        <is>
          <t>V̅CDXCIII</t>
        </is>
      </c>
      <c r="C5494">
        <f>ROMAN(5493)</f>
        <v/>
      </c>
      <c r="D5494">
        <f>IF(B5494=C5494, "YES", "WRONG")</f>
        <v/>
      </c>
    </row>
    <row r="5495">
      <c r="A5495" t="n">
        <v>5494</v>
      </c>
      <c r="B5495" t="inlineStr">
        <is>
          <t>V̅CDXCIV</t>
        </is>
      </c>
      <c r="C5495">
        <f>ROMAN(5494)</f>
        <v/>
      </c>
      <c r="D5495">
        <f>IF(B5495=C5495, "YES", "WRONG")</f>
        <v/>
      </c>
    </row>
    <row r="5496">
      <c r="A5496" t="n">
        <v>5495</v>
      </c>
      <c r="B5496" t="inlineStr">
        <is>
          <t>V̅CDXCV</t>
        </is>
      </c>
      <c r="C5496">
        <f>ROMAN(5495)</f>
        <v/>
      </c>
      <c r="D5496">
        <f>IF(B5496=C5496, "YES", "WRONG")</f>
        <v/>
      </c>
    </row>
    <row r="5497">
      <c r="A5497" t="n">
        <v>5496</v>
      </c>
      <c r="B5497" t="inlineStr">
        <is>
          <t>V̅CDXCVI</t>
        </is>
      </c>
      <c r="C5497">
        <f>ROMAN(5496)</f>
        <v/>
      </c>
      <c r="D5497">
        <f>IF(B5497=C5497, "YES", "WRONG")</f>
        <v/>
      </c>
    </row>
    <row r="5498">
      <c r="A5498" t="n">
        <v>5497</v>
      </c>
      <c r="B5498" t="inlineStr">
        <is>
          <t>V̅CDXCVII</t>
        </is>
      </c>
      <c r="C5498">
        <f>ROMAN(5497)</f>
        <v/>
      </c>
      <c r="D5498">
        <f>IF(B5498=C5498, "YES", "WRONG")</f>
        <v/>
      </c>
    </row>
    <row r="5499">
      <c r="A5499" t="n">
        <v>5498</v>
      </c>
      <c r="B5499" t="inlineStr">
        <is>
          <t>V̅CDXCVIII</t>
        </is>
      </c>
      <c r="C5499">
        <f>ROMAN(5498)</f>
        <v/>
      </c>
      <c r="D5499">
        <f>IF(B5499=C5499, "YES", "WRONG")</f>
        <v/>
      </c>
    </row>
    <row r="5500">
      <c r="A5500" t="n">
        <v>5499</v>
      </c>
      <c r="B5500" t="inlineStr">
        <is>
          <t>V̅CDXCIX</t>
        </is>
      </c>
      <c r="C5500">
        <f>ROMAN(5499)</f>
        <v/>
      </c>
      <c r="D5500">
        <f>IF(B5500=C5500, "YES", "WRONG")</f>
        <v/>
      </c>
    </row>
    <row r="5501">
      <c r="A5501" t="n">
        <v>5500</v>
      </c>
      <c r="B5501" t="inlineStr">
        <is>
          <t>V̅D</t>
        </is>
      </c>
      <c r="C5501">
        <f>ROMAN(5500)</f>
        <v/>
      </c>
      <c r="D5501">
        <f>IF(B5501=C5501, "YES", "WRONG")</f>
        <v/>
      </c>
    </row>
    <row r="5502">
      <c r="A5502" t="n">
        <v>5501</v>
      </c>
      <c r="B5502" t="inlineStr">
        <is>
          <t>V̅DI</t>
        </is>
      </c>
      <c r="C5502">
        <f>ROMAN(5501)</f>
        <v/>
      </c>
      <c r="D5502">
        <f>IF(B5502=C5502, "YES", "WRONG")</f>
        <v/>
      </c>
    </row>
    <row r="5503">
      <c r="A5503" t="n">
        <v>5502</v>
      </c>
      <c r="B5503" t="inlineStr">
        <is>
          <t>V̅DII</t>
        </is>
      </c>
      <c r="C5503">
        <f>ROMAN(5502)</f>
        <v/>
      </c>
      <c r="D5503">
        <f>IF(B5503=C5503, "YES", "WRONG")</f>
        <v/>
      </c>
    </row>
    <row r="5504">
      <c r="A5504" t="n">
        <v>5503</v>
      </c>
      <c r="B5504" t="inlineStr">
        <is>
          <t>V̅DIII</t>
        </is>
      </c>
      <c r="C5504">
        <f>ROMAN(5503)</f>
        <v/>
      </c>
      <c r="D5504">
        <f>IF(B5504=C5504, "YES", "WRONG")</f>
        <v/>
      </c>
    </row>
    <row r="5505">
      <c r="A5505" t="n">
        <v>5504</v>
      </c>
      <c r="B5505" t="inlineStr">
        <is>
          <t>V̅DIV</t>
        </is>
      </c>
      <c r="C5505">
        <f>ROMAN(5504)</f>
        <v/>
      </c>
      <c r="D5505">
        <f>IF(B5505=C5505, "YES", "WRONG")</f>
        <v/>
      </c>
    </row>
    <row r="5506">
      <c r="A5506" t="n">
        <v>5505</v>
      </c>
      <c r="B5506" t="inlineStr">
        <is>
          <t>V̅DV</t>
        </is>
      </c>
      <c r="C5506">
        <f>ROMAN(5505)</f>
        <v/>
      </c>
      <c r="D5506">
        <f>IF(B5506=C5506, "YES", "WRONG")</f>
        <v/>
      </c>
    </row>
    <row r="5507">
      <c r="A5507" t="n">
        <v>5506</v>
      </c>
      <c r="B5507" t="inlineStr">
        <is>
          <t>V̅DVI</t>
        </is>
      </c>
      <c r="C5507">
        <f>ROMAN(5506)</f>
        <v/>
      </c>
      <c r="D5507">
        <f>IF(B5507=C5507, "YES", "WRONG")</f>
        <v/>
      </c>
    </row>
    <row r="5508">
      <c r="A5508" t="n">
        <v>5507</v>
      </c>
      <c r="B5508" t="inlineStr">
        <is>
          <t>V̅DVII</t>
        </is>
      </c>
      <c r="C5508">
        <f>ROMAN(5507)</f>
        <v/>
      </c>
      <c r="D5508">
        <f>IF(B5508=C5508, "YES", "WRONG")</f>
        <v/>
      </c>
    </row>
    <row r="5509">
      <c r="A5509" t="n">
        <v>5508</v>
      </c>
      <c r="B5509" t="inlineStr">
        <is>
          <t>V̅DVIII</t>
        </is>
      </c>
      <c r="C5509">
        <f>ROMAN(5508)</f>
        <v/>
      </c>
      <c r="D5509">
        <f>IF(B5509=C5509, "YES", "WRONG")</f>
        <v/>
      </c>
    </row>
    <row r="5510">
      <c r="A5510" t="n">
        <v>5509</v>
      </c>
      <c r="B5510" t="inlineStr">
        <is>
          <t>V̅DIX</t>
        </is>
      </c>
      <c r="C5510">
        <f>ROMAN(5509)</f>
        <v/>
      </c>
      <c r="D5510">
        <f>IF(B5510=C5510, "YES", "WRONG")</f>
        <v/>
      </c>
    </row>
    <row r="5511">
      <c r="A5511" t="n">
        <v>5510</v>
      </c>
      <c r="B5511" t="inlineStr">
        <is>
          <t>V̅DX</t>
        </is>
      </c>
      <c r="C5511">
        <f>ROMAN(5510)</f>
        <v/>
      </c>
      <c r="D5511">
        <f>IF(B5511=C5511, "YES", "WRONG")</f>
        <v/>
      </c>
    </row>
    <row r="5512">
      <c r="A5512" t="n">
        <v>5511</v>
      </c>
      <c r="B5512" t="inlineStr">
        <is>
          <t>V̅DXI</t>
        </is>
      </c>
      <c r="C5512">
        <f>ROMAN(5511)</f>
        <v/>
      </c>
      <c r="D5512">
        <f>IF(B5512=C5512, "YES", "WRONG")</f>
        <v/>
      </c>
    </row>
    <row r="5513">
      <c r="A5513" t="n">
        <v>5512</v>
      </c>
      <c r="B5513" t="inlineStr">
        <is>
          <t>V̅DXII</t>
        </is>
      </c>
      <c r="C5513">
        <f>ROMAN(5512)</f>
        <v/>
      </c>
      <c r="D5513">
        <f>IF(B5513=C5513, "YES", "WRONG")</f>
        <v/>
      </c>
    </row>
    <row r="5514">
      <c r="A5514" t="n">
        <v>5513</v>
      </c>
      <c r="B5514" t="inlineStr">
        <is>
          <t>V̅DXIII</t>
        </is>
      </c>
      <c r="C5514">
        <f>ROMAN(5513)</f>
        <v/>
      </c>
      <c r="D5514">
        <f>IF(B5514=C5514, "YES", "WRONG")</f>
        <v/>
      </c>
    </row>
    <row r="5515">
      <c r="A5515" t="n">
        <v>5514</v>
      </c>
      <c r="B5515" t="inlineStr">
        <is>
          <t>V̅DXIV</t>
        </is>
      </c>
      <c r="C5515">
        <f>ROMAN(5514)</f>
        <v/>
      </c>
      <c r="D5515">
        <f>IF(B5515=C5515, "YES", "WRONG")</f>
        <v/>
      </c>
    </row>
    <row r="5516">
      <c r="A5516" t="n">
        <v>5515</v>
      </c>
      <c r="B5516" t="inlineStr">
        <is>
          <t>V̅DXV</t>
        </is>
      </c>
      <c r="C5516">
        <f>ROMAN(5515)</f>
        <v/>
      </c>
      <c r="D5516">
        <f>IF(B5516=C5516, "YES", "WRONG")</f>
        <v/>
      </c>
    </row>
    <row r="5517">
      <c r="A5517" t="n">
        <v>5516</v>
      </c>
      <c r="B5517" t="inlineStr">
        <is>
          <t>V̅DXVI</t>
        </is>
      </c>
      <c r="C5517">
        <f>ROMAN(5516)</f>
        <v/>
      </c>
      <c r="D5517">
        <f>IF(B5517=C5517, "YES", "WRONG")</f>
        <v/>
      </c>
    </row>
    <row r="5518">
      <c r="A5518" t="n">
        <v>5517</v>
      </c>
      <c r="B5518" t="inlineStr">
        <is>
          <t>V̅DXVII</t>
        </is>
      </c>
      <c r="C5518">
        <f>ROMAN(5517)</f>
        <v/>
      </c>
      <c r="D5518">
        <f>IF(B5518=C5518, "YES", "WRONG")</f>
        <v/>
      </c>
    </row>
    <row r="5519">
      <c r="A5519" t="n">
        <v>5518</v>
      </c>
      <c r="B5519" t="inlineStr">
        <is>
          <t>V̅DXVIII</t>
        </is>
      </c>
      <c r="C5519">
        <f>ROMAN(5518)</f>
        <v/>
      </c>
      <c r="D5519">
        <f>IF(B5519=C5519, "YES", "WRONG")</f>
        <v/>
      </c>
    </row>
    <row r="5520">
      <c r="A5520" t="n">
        <v>5519</v>
      </c>
      <c r="B5520" t="inlineStr">
        <is>
          <t>V̅DXIX</t>
        </is>
      </c>
      <c r="C5520">
        <f>ROMAN(5519)</f>
        <v/>
      </c>
      <c r="D5520">
        <f>IF(B5520=C5520, "YES", "WRONG")</f>
        <v/>
      </c>
    </row>
    <row r="5521">
      <c r="A5521" t="n">
        <v>5520</v>
      </c>
      <c r="B5521" t="inlineStr">
        <is>
          <t>V̅DXX</t>
        </is>
      </c>
      <c r="C5521">
        <f>ROMAN(5520)</f>
        <v/>
      </c>
      <c r="D5521">
        <f>IF(B5521=C5521, "YES", "WRONG")</f>
        <v/>
      </c>
    </row>
    <row r="5522">
      <c r="A5522" t="n">
        <v>5521</v>
      </c>
      <c r="B5522" t="inlineStr">
        <is>
          <t>V̅DXXI</t>
        </is>
      </c>
      <c r="C5522">
        <f>ROMAN(5521)</f>
        <v/>
      </c>
      <c r="D5522">
        <f>IF(B5522=C5522, "YES", "WRONG")</f>
        <v/>
      </c>
    </row>
    <row r="5523">
      <c r="A5523" t="n">
        <v>5522</v>
      </c>
      <c r="B5523" t="inlineStr">
        <is>
          <t>V̅DXXII</t>
        </is>
      </c>
      <c r="C5523">
        <f>ROMAN(5522)</f>
        <v/>
      </c>
      <c r="D5523">
        <f>IF(B5523=C5523, "YES", "WRONG")</f>
        <v/>
      </c>
    </row>
    <row r="5524">
      <c r="A5524" t="n">
        <v>5523</v>
      </c>
      <c r="B5524" t="inlineStr">
        <is>
          <t>V̅DXXIII</t>
        </is>
      </c>
      <c r="C5524">
        <f>ROMAN(5523)</f>
        <v/>
      </c>
      <c r="D5524">
        <f>IF(B5524=C5524, "YES", "WRONG")</f>
        <v/>
      </c>
    </row>
    <row r="5525">
      <c r="A5525" t="n">
        <v>5524</v>
      </c>
      <c r="B5525" t="inlineStr">
        <is>
          <t>V̅DXXIV</t>
        </is>
      </c>
      <c r="C5525">
        <f>ROMAN(5524)</f>
        <v/>
      </c>
      <c r="D5525">
        <f>IF(B5525=C5525, "YES", "WRONG")</f>
        <v/>
      </c>
    </row>
    <row r="5526">
      <c r="A5526" t="n">
        <v>5525</v>
      </c>
      <c r="B5526" t="inlineStr">
        <is>
          <t>V̅DXXV</t>
        </is>
      </c>
      <c r="C5526">
        <f>ROMAN(5525)</f>
        <v/>
      </c>
      <c r="D5526">
        <f>IF(B5526=C5526, "YES", "WRONG")</f>
        <v/>
      </c>
    </row>
    <row r="5527">
      <c r="A5527" t="n">
        <v>5526</v>
      </c>
      <c r="B5527" t="inlineStr">
        <is>
          <t>V̅DXXVI</t>
        </is>
      </c>
      <c r="C5527">
        <f>ROMAN(5526)</f>
        <v/>
      </c>
      <c r="D5527">
        <f>IF(B5527=C5527, "YES", "WRONG")</f>
        <v/>
      </c>
    </row>
    <row r="5528">
      <c r="A5528" t="n">
        <v>5527</v>
      </c>
      <c r="B5528" t="inlineStr">
        <is>
          <t>V̅DXXVII</t>
        </is>
      </c>
      <c r="C5528">
        <f>ROMAN(5527)</f>
        <v/>
      </c>
      <c r="D5528">
        <f>IF(B5528=C5528, "YES", "WRONG")</f>
        <v/>
      </c>
    </row>
    <row r="5529">
      <c r="A5529" t="n">
        <v>5528</v>
      </c>
      <c r="B5529" t="inlineStr">
        <is>
          <t>V̅DXXVIII</t>
        </is>
      </c>
      <c r="C5529">
        <f>ROMAN(5528)</f>
        <v/>
      </c>
      <c r="D5529">
        <f>IF(B5529=C5529, "YES", "WRONG")</f>
        <v/>
      </c>
    </row>
    <row r="5530">
      <c r="A5530" t="n">
        <v>5529</v>
      </c>
      <c r="B5530" t="inlineStr">
        <is>
          <t>V̅DXXIX</t>
        </is>
      </c>
      <c r="C5530">
        <f>ROMAN(5529)</f>
        <v/>
      </c>
      <c r="D5530">
        <f>IF(B5530=C5530, "YES", "WRONG")</f>
        <v/>
      </c>
    </row>
    <row r="5531">
      <c r="A5531" t="n">
        <v>5530</v>
      </c>
      <c r="B5531" t="inlineStr">
        <is>
          <t>V̅DXXX</t>
        </is>
      </c>
      <c r="C5531">
        <f>ROMAN(5530)</f>
        <v/>
      </c>
      <c r="D5531">
        <f>IF(B5531=C5531, "YES", "WRONG")</f>
        <v/>
      </c>
    </row>
    <row r="5532">
      <c r="A5532" t="n">
        <v>5531</v>
      </c>
      <c r="B5532" t="inlineStr">
        <is>
          <t>V̅DXXXI</t>
        </is>
      </c>
      <c r="C5532">
        <f>ROMAN(5531)</f>
        <v/>
      </c>
      <c r="D5532">
        <f>IF(B5532=C5532, "YES", "WRONG")</f>
        <v/>
      </c>
    </row>
    <row r="5533">
      <c r="A5533" t="n">
        <v>5532</v>
      </c>
      <c r="B5533" t="inlineStr">
        <is>
          <t>V̅DXXXII</t>
        </is>
      </c>
      <c r="C5533">
        <f>ROMAN(5532)</f>
        <v/>
      </c>
      <c r="D5533">
        <f>IF(B5533=C5533, "YES", "WRONG")</f>
        <v/>
      </c>
    </row>
    <row r="5534">
      <c r="A5534" t="n">
        <v>5533</v>
      </c>
      <c r="B5534" t="inlineStr">
        <is>
          <t>V̅DXXXIII</t>
        </is>
      </c>
      <c r="C5534">
        <f>ROMAN(5533)</f>
        <v/>
      </c>
      <c r="D5534">
        <f>IF(B5534=C5534, "YES", "WRONG")</f>
        <v/>
      </c>
    </row>
    <row r="5535">
      <c r="A5535" t="n">
        <v>5534</v>
      </c>
      <c r="B5535" t="inlineStr">
        <is>
          <t>V̅DXXXIV</t>
        </is>
      </c>
      <c r="C5535">
        <f>ROMAN(5534)</f>
        <v/>
      </c>
      <c r="D5535">
        <f>IF(B5535=C5535, "YES", "WRONG")</f>
        <v/>
      </c>
    </row>
    <row r="5536">
      <c r="A5536" t="n">
        <v>5535</v>
      </c>
      <c r="B5536" t="inlineStr">
        <is>
          <t>V̅DXXXV</t>
        </is>
      </c>
      <c r="C5536">
        <f>ROMAN(5535)</f>
        <v/>
      </c>
      <c r="D5536">
        <f>IF(B5536=C5536, "YES", "WRONG")</f>
        <v/>
      </c>
    </row>
    <row r="5537">
      <c r="A5537" t="n">
        <v>5536</v>
      </c>
      <c r="B5537" t="inlineStr">
        <is>
          <t>V̅DXXXVI</t>
        </is>
      </c>
      <c r="C5537">
        <f>ROMAN(5536)</f>
        <v/>
      </c>
      <c r="D5537">
        <f>IF(B5537=C5537, "YES", "WRONG")</f>
        <v/>
      </c>
    </row>
    <row r="5538">
      <c r="A5538" t="n">
        <v>5537</v>
      </c>
      <c r="B5538" t="inlineStr">
        <is>
          <t>V̅DXXXVII</t>
        </is>
      </c>
      <c r="C5538">
        <f>ROMAN(5537)</f>
        <v/>
      </c>
      <c r="D5538">
        <f>IF(B5538=C5538, "YES", "WRONG")</f>
        <v/>
      </c>
    </row>
    <row r="5539">
      <c r="A5539" t="n">
        <v>5538</v>
      </c>
      <c r="B5539" t="inlineStr">
        <is>
          <t>V̅DXXXVIII</t>
        </is>
      </c>
      <c r="C5539">
        <f>ROMAN(5538)</f>
        <v/>
      </c>
      <c r="D5539">
        <f>IF(B5539=C5539, "YES", "WRONG")</f>
        <v/>
      </c>
    </row>
    <row r="5540">
      <c r="A5540" t="n">
        <v>5539</v>
      </c>
      <c r="B5540" t="inlineStr">
        <is>
          <t>V̅DXXXIX</t>
        </is>
      </c>
      <c r="C5540">
        <f>ROMAN(5539)</f>
        <v/>
      </c>
      <c r="D5540">
        <f>IF(B5540=C5540, "YES", "WRONG")</f>
        <v/>
      </c>
    </row>
    <row r="5541">
      <c r="A5541" t="n">
        <v>5540</v>
      </c>
      <c r="B5541" t="inlineStr">
        <is>
          <t>V̅DXL</t>
        </is>
      </c>
      <c r="C5541">
        <f>ROMAN(5540)</f>
        <v/>
      </c>
      <c r="D5541">
        <f>IF(B5541=C5541, "YES", "WRONG")</f>
        <v/>
      </c>
    </row>
    <row r="5542">
      <c r="A5542" t="n">
        <v>5541</v>
      </c>
      <c r="B5542" t="inlineStr">
        <is>
          <t>V̅DXLI</t>
        </is>
      </c>
      <c r="C5542">
        <f>ROMAN(5541)</f>
        <v/>
      </c>
      <c r="D5542">
        <f>IF(B5542=C5542, "YES", "WRONG")</f>
        <v/>
      </c>
    </row>
    <row r="5543">
      <c r="A5543" t="n">
        <v>5542</v>
      </c>
      <c r="B5543" t="inlineStr">
        <is>
          <t>V̅DXLII</t>
        </is>
      </c>
      <c r="C5543">
        <f>ROMAN(5542)</f>
        <v/>
      </c>
      <c r="D5543">
        <f>IF(B5543=C5543, "YES", "WRONG")</f>
        <v/>
      </c>
    </row>
    <row r="5544">
      <c r="A5544" t="n">
        <v>5543</v>
      </c>
      <c r="B5544" t="inlineStr">
        <is>
          <t>V̅DXLIII</t>
        </is>
      </c>
      <c r="C5544">
        <f>ROMAN(5543)</f>
        <v/>
      </c>
      <c r="D5544">
        <f>IF(B5544=C5544, "YES", "WRONG")</f>
        <v/>
      </c>
    </row>
    <row r="5545">
      <c r="A5545" t="n">
        <v>5544</v>
      </c>
      <c r="B5545" t="inlineStr">
        <is>
          <t>V̅DXLIV</t>
        </is>
      </c>
      <c r="C5545">
        <f>ROMAN(5544)</f>
        <v/>
      </c>
      <c r="D5545">
        <f>IF(B5545=C5545, "YES", "WRONG")</f>
        <v/>
      </c>
    </row>
    <row r="5546">
      <c r="A5546" t="n">
        <v>5545</v>
      </c>
      <c r="B5546" t="inlineStr">
        <is>
          <t>V̅DXLV</t>
        </is>
      </c>
      <c r="C5546">
        <f>ROMAN(5545)</f>
        <v/>
      </c>
      <c r="D5546">
        <f>IF(B5546=C5546, "YES", "WRONG")</f>
        <v/>
      </c>
    </row>
    <row r="5547">
      <c r="A5547" t="n">
        <v>5546</v>
      </c>
      <c r="B5547" t="inlineStr">
        <is>
          <t>V̅DXLVI</t>
        </is>
      </c>
      <c r="C5547">
        <f>ROMAN(5546)</f>
        <v/>
      </c>
      <c r="D5547">
        <f>IF(B5547=C5547, "YES", "WRONG")</f>
        <v/>
      </c>
    </row>
    <row r="5548">
      <c r="A5548" t="n">
        <v>5547</v>
      </c>
      <c r="B5548" t="inlineStr">
        <is>
          <t>V̅DXLVII</t>
        </is>
      </c>
      <c r="C5548">
        <f>ROMAN(5547)</f>
        <v/>
      </c>
      <c r="D5548">
        <f>IF(B5548=C5548, "YES", "WRONG")</f>
        <v/>
      </c>
    </row>
    <row r="5549">
      <c r="A5549" t="n">
        <v>5548</v>
      </c>
      <c r="B5549" t="inlineStr">
        <is>
          <t>V̅DXLVIII</t>
        </is>
      </c>
      <c r="C5549">
        <f>ROMAN(5548)</f>
        <v/>
      </c>
      <c r="D5549">
        <f>IF(B5549=C5549, "YES", "WRONG")</f>
        <v/>
      </c>
    </row>
    <row r="5550">
      <c r="A5550" t="n">
        <v>5549</v>
      </c>
      <c r="B5550" t="inlineStr">
        <is>
          <t>V̅DXLIX</t>
        </is>
      </c>
      <c r="C5550">
        <f>ROMAN(5549)</f>
        <v/>
      </c>
      <c r="D5550">
        <f>IF(B5550=C5550, "YES", "WRONG")</f>
        <v/>
      </c>
    </row>
    <row r="5551">
      <c r="A5551" t="n">
        <v>5550</v>
      </c>
      <c r="B5551" t="inlineStr">
        <is>
          <t>V̅DL</t>
        </is>
      </c>
      <c r="C5551">
        <f>ROMAN(5550)</f>
        <v/>
      </c>
      <c r="D5551">
        <f>IF(B5551=C5551, "YES", "WRONG")</f>
        <v/>
      </c>
    </row>
    <row r="5552">
      <c r="A5552" t="n">
        <v>5551</v>
      </c>
      <c r="B5552" t="inlineStr">
        <is>
          <t>V̅DLI</t>
        </is>
      </c>
      <c r="C5552">
        <f>ROMAN(5551)</f>
        <v/>
      </c>
      <c r="D5552">
        <f>IF(B5552=C5552, "YES", "WRONG")</f>
        <v/>
      </c>
    </row>
    <row r="5553">
      <c r="A5553" t="n">
        <v>5552</v>
      </c>
      <c r="B5553" t="inlineStr">
        <is>
          <t>V̅DLII</t>
        </is>
      </c>
      <c r="C5553">
        <f>ROMAN(5552)</f>
        <v/>
      </c>
      <c r="D5553">
        <f>IF(B5553=C5553, "YES", "WRONG")</f>
        <v/>
      </c>
    </row>
    <row r="5554">
      <c r="A5554" t="n">
        <v>5553</v>
      </c>
      <c r="B5554" t="inlineStr">
        <is>
          <t>V̅DLIII</t>
        </is>
      </c>
      <c r="C5554">
        <f>ROMAN(5553)</f>
        <v/>
      </c>
      <c r="D5554">
        <f>IF(B5554=C5554, "YES", "WRONG")</f>
        <v/>
      </c>
    </row>
    <row r="5555">
      <c r="A5555" t="n">
        <v>5554</v>
      </c>
      <c r="B5555" t="inlineStr">
        <is>
          <t>V̅DLIV</t>
        </is>
      </c>
      <c r="C5555">
        <f>ROMAN(5554)</f>
        <v/>
      </c>
      <c r="D5555">
        <f>IF(B5555=C5555, "YES", "WRONG")</f>
        <v/>
      </c>
    </row>
    <row r="5556">
      <c r="A5556" t="n">
        <v>5555</v>
      </c>
      <c r="B5556" t="inlineStr">
        <is>
          <t>V̅DLV</t>
        </is>
      </c>
      <c r="C5556">
        <f>ROMAN(5555)</f>
        <v/>
      </c>
      <c r="D5556">
        <f>IF(B5556=C5556, "YES", "WRONG")</f>
        <v/>
      </c>
    </row>
    <row r="5557">
      <c r="A5557" t="n">
        <v>5556</v>
      </c>
      <c r="B5557" t="inlineStr">
        <is>
          <t>V̅DLVI</t>
        </is>
      </c>
      <c r="C5557">
        <f>ROMAN(5556)</f>
        <v/>
      </c>
      <c r="D5557">
        <f>IF(B5557=C5557, "YES", "WRONG")</f>
        <v/>
      </c>
    </row>
    <row r="5558">
      <c r="A5558" t="n">
        <v>5557</v>
      </c>
      <c r="B5558" t="inlineStr">
        <is>
          <t>V̅DLVII</t>
        </is>
      </c>
      <c r="C5558">
        <f>ROMAN(5557)</f>
        <v/>
      </c>
      <c r="D5558">
        <f>IF(B5558=C5558, "YES", "WRONG")</f>
        <v/>
      </c>
    </row>
    <row r="5559">
      <c r="A5559" t="n">
        <v>5558</v>
      </c>
      <c r="B5559" t="inlineStr">
        <is>
          <t>V̅DLVIII</t>
        </is>
      </c>
      <c r="C5559">
        <f>ROMAN(5558)</f>
        <v/>
      </c>
      <c r="D5559">
        <f>IF(B5559=C5559, "YES", "WRONG")</f>
        <v/>
      </c>
    </row>
    <row r="5560">
      <c r="A5560" t="n">
        <v>5559</v>
      </c>
      <c r="B5560" t="inlineStr">
        <is>
          <t>V̅DLIX</t>
        </is>
      </c>
      <c r="C5560">
        <f>ROMAN(5559)</f>
        <v/>
      </c>
      <c r="D5560">
        <f>IF(B5560=C5560, "YES", "WRONG")</f>
        <v/>
      </c>
    </row>
    <row r="5561">
      <c r="A5561" t="n">
        <v>5560</v>
      </c>
      <c r="B5561" t="inlineStr">
        <is>
          <t>V̅DLX</t>
        </is>
      </c>
      <c r="C5561">
        <f>ROMAN(5560)</f>
        <v/>
      </c>
      <c r="D5561">
        <f>IF(B5561=C5561, "YES", "WRONG")</f>
        <v/>
      </c>
    </row>
    <row r="5562">
      <c r="A5562" t="n">
        <v>5561</v>
      </c>
      <c r="B5562" t="inlineStr">
        <is>
          <t>V̅DLXI</t>
        </is>
      </c>
      <c r="C5562">
        <f>ROMAN(5561)</f>
        <v/>
      </c>
      <c r="D5562">
        <f>IF(B5562=C5562, "YES", "WRONG")</f>
        <v/>
      </c>
    </row>
    <row r="5563">
      <c r="A5563" t="n">
        <v>5562</v>
      </c>
      <c r="B5563" t="inlineStr">
        <is>
          <t>V̅DLXII</t>
        </is>
      </c>
      <c r="C5563">
        <f>ROMAN(5562)</f>
        <v/>
      </c>
      <c r="D5563">
        <f>IF(B5563=C5563, "YES", "WRONG")</f>
        <v/>
      </c>
    </row>
    <row r="5564">
      <c r="A5564" t="n">
        <v>5563</v>
      </c>
      <c r="B5564" t="inlineStr">
        <is>
          <t>V̅DLXIII</t>
        </is>
      </c>
      <c r="C5564">
        <f>ROMAN(5563)</f>
        <v/>
      </c>
      <c r="D5564">
        <f>IF(B5564=C5564, "YES", "WRONG")</f>
        <v/>
      </c>
    </row>
    <row r="5565">
      <c r="A5565" t="n">
        <v>5564</v>
      </c>
      <c r="B5565" t="inlineStr">
        <is>
          <t>V̅DLXIV</t>
        </is>
      </c>
      <c r="C5565">
        <f>ROMAN(5564)</f>
        <v/>
      </c>
      <c r="D5565">
        <f>IF(B5565=C5565, "YES", "WRONG")</f>
        <v/>
      </c>
    </row>
    <row r="5566">
      <c r="A5566" t="n">
        <v>5565</v>
      </c>
      <c r="B5566" t="inlineStr">
        <is>
          <t>V̅DLXV</t>
        </is>
      </c>
      <c r="C5566">
        <f>ROMAN(5565)</f>
        <v/>
      </c>
      <c r="D5566">
        <f>IF(B5566=C5566, "YES", "WRONG")</f>
        <v/>
      </c>
    </row>
    <row r="5567">
      <c r="A5567" t="n">
        <v>5566</v>
      </c>
      <c r="B5567" t="inlineStr">
        <is>
          <t>V̅DLXVI</t>
        </is>
      </c>
      <c r="C5567">
        <f>ROMAN(5566)</f>
        <v/>
      </c>
      <c r="D5567">
        <f>IF(B5567=C5567, "YES", "WRONG")</f>
        <v/>
      </c>
    </row>
    <row r="5568">
      <c r="A5568" t="n">
        <v>5567</v>
      </c>
      <c r="B5568" t="inlineStr">
        <is>
          <t>V̅DLXVII</t>
        </is>
      </c>
      <c r="C5568">
        <f>ROMAN(5567)</f>
        <v/>
      </c>
      <c r="D5568">
        <f>IF(B5568=C5568, "YES", "WRONG")</f>
        <v/>
      </c>
    </row>
    <row r="5569">
      <c r="A5569" t="n">
        <v>5568</v>
      </c>
      <c r="B5569" t="inlineStr">
        <is>
          <t>V̅DLXVIII</t>
        </is>
      </c>
      <c r="C5569">
        <f>ROMAN(5568)</f>
        <v/>
      </c>
      <c r="D5569">
        <f>IF(B5569=C5569, "YES", "WRONG")</f>
        <v/>
      </c>
    </row>
    <row r="5570">
      <c r="A5570" t="n">
        <v>5569</v>
      </c>
      <c r="B5570" t="inlineStr">
        <is>
          <t>V̅DLXIX</t>
        </is>
      </c>
      <c r="C5570">
        <f>ROMAN(5569)</f>
        <v/>
      </c>
      <c r="D5570">
        <f>IF(B5570=C5570, "YES", "WRONG")</f>
        <v/>
      </c>
    </row>
    <row r="5571">
      <c r="A5571" t="n">
        <v>5570</v>
      </c>
      <c r="B5571" t="inlineStr">
        <is>
          <t>V̅DLXX</t>
        </is>
      </c>
      <c r="C5571">
        <f>ROMAN(5570)</f>
        <v/>
      </c>
      <c r="D5571">
        <f>IF(B5571=C5571, "YES", "WRONG")</f>
        <v/>
      </c>
    </row>
    <row r="5572">
      <c r="A5572" t="n">
        <v>5571</v>
      </c>
      <c r="B5572" t="inlineStr">
        <is>
          <t>V̅DLXXI</t>
        </is>
      </c>
      <c r="C5572">
        <f>ROMAN(5571)</f>
        <v/>
      </c>
      <c r="D5572">
        <f>IF(B5572=C5572, "YES", "WRONG")</f>
        <v/>
      </c>
    </row>
    <row r="5573">
      <c r="A5573" t="n">
        <v>5572</v>
      </c>
      <c r="B5573" t="inlineStr">
        <is>
          <t>V̅DLXXII</t>
        </is>
      </c>
      <c r="C5573">
        <f>ROMAN(5572)</f>
        <v/>
      </c>
      <c r="D5573">
        <f>IF(B5573=C5573, "YES", "WRONG")</f>
        <v/>
      </c>
    </row>
    <row r="5574">
      <c r="A5574" t="n">
        <v>5573</v>
      </c>
      <c r="B5574" t="inlineStr">
        <is>
          <t>V̅DLXXIII</t>
        </is>
      </c>
      <c r="C5574">
        <f>ROMAN(5573)</f>
        <v/>
      </c>
      <c r="D5574">
        <f>IF(B5574=C5574, "YES", "WRONG")</f>
        <v/>
      </c>
    </row>
    <row r="5575">
      <c r="A5575" t="n">
        <v>5574</v>
      </c>
      <c r="B5575" t="inlineStr">
        <is>
          <t>V̅DLXXIV</t>
        </is>
      </c>
      <c r="C5575">
        <f>ROMAN(5574)</f>
        <v/>
      </c>
      <c r="D5575">
        <f>IF(B5575=C5575, "YES", "WRONG")</f>
        <v/>
      </c>
    </row>
    <row r="5576">
      <c r="A5576" t="n">
        <v>5575</v>
      </c>
      <c r="B5576" t="inlineStr">
        <is>
          <t>V̅DLXXV</t>
        </is>
      </c>
      <c r="C5576">
        <f>ROMAN(5575)</f>
        <v/>
      </c>
      <c r="D5576">
        <f>IF(B5576=C5576, "YES", "WRONG")</f>
        <v/>
      </c>
    </row>
    <row r="5577">
      <c r="A5577" t="n">
        <v>5576</v>
      </c>
      <c r="B5577" t="inlineStr">
        <is>
          <t>V̅DLXXVI</t>
        </is>
      </c>
      <c r="C5577">
        <f>ROMAN(5576)</f>
        <v/>
      </c>
      <c r="D5577">
        <f>IF(B5577=C5577, "YES", "WRONG")</f>
        <v/>
      </c>
    </row>
    <row r="5578">
      <c r="A5578" t="n">
        <v>5577</v>
      </c>
      <c r="B5578" t="inlineStr">
        <is>
          <t>V̅DLXXVII</t>
        </is>
      </c>
      <c r="C5578">
        <f>ROMAN(5577)</f>
        <v/>
      </c>
      <c r="D5578">
        <f>IF(B5578=C5578, "YES", "WRONG")</f>
        <v/>
      </c>
    </row>
    <row r="5579">
      <c r="A5579" t="n">
        <v>5578</v>
      </c>
      <c r="B5579" t="inlineStr">
        <is>
          <t>V̅DLXXVIII</t>
        </is>
      </c>
      <c r="C5579">
        <f>ROMAN(5578)</f>
        <v/>
      </c>
      <c r="D5579">
        <f>IF(B5579=C5579, "YES", "WRONG")</f>
        <v/>
      </c>
    </row>
    <row r="5580">
      <c r="A5580" t="n">
        <v>5579</v>
      </c>
      <c r="B5580" t="inlineStr">
        <is>
          <t>V̅DLXXIX</t>
        </is>
      </c>
      <c r="C5580">
        <f>ROMAN(5579)</f>
        <v/>
      </c>
      <c r="D5580">
        <f>IF(B5580=C5580, "YES", "WRONG")</f>
        <v/>
      </c>
    </row>
    <row r="5581">
      <c r="A5581" t="n">
        <v>5580</v>
      </c>
      <c r="B5581" t="inlineStr">
        <is>
          <t>V̅DLXXX</t>
        </is>
      </c>
      <c r="C5581">
        <f>ROMAN(5580)</f>
        <v/>
      </c>
      <c r="D5581">
        <f>IF(B5581=C5581, "YES", "WRONG")</f>
        <v/>
      </c>
    </row>
    <row r="5582">
      <c r="A5582" t="n">
        <v>5581</v>
      </c>
      <c r="B5582" t="inlineStr">
        <is>
          <t>V̅DLXXXI</t>
        </is>
      </c>
      <c r="C5582">
        <f>ROMAN(5581)</f>
        <v/>
      </c>
      <c r="D5582">
        <f>IF(B5582=C5582, "YES", "WRONG")</f>
        <v/>
      </c>
    </row>
    <row r="5583">
      <c r="A5583" t="n">
        <v>5582</v>
      </c>
      <c r="B5583" t="inlineStr">
        <is>
          <t>V̅DLXXXII</t>
        </is>
      </c>
      <c r="C5583">
        <f>ROMAN(5582)</f>
        <v/>
      </c>
      <c r="D5583">
        <f>IF(B5583=C5583, "YES", "WRONG")</f>
        <v/>
      </c>
    </row>
    <row r="5584">
      <c r="A5584" t="n">
        <v>5583</v>
      </c>
      <c r="B5584" t="inlineStr">
        <is>
          <t>V̅DLXXXIII</t>
        </is>
      </c>
      <c r="C5584">
        <f>ROMAN(5583)</f>
        <v/>
      </c>
      <c r="D5584">
        <f>IF(B5584=C5584, "YES", "WRONG")</f>
        <v/>
      </c>
    </row>
    <row r="5585">
      <c r="A5585" t="n">
        <v>5584</v>
      </c>
      <c r="B5585" t="inlineStr">
        <is>
          <t>V̅DLXXXIV</t>
        </is>
      </c>
      <c r="C5585">
        <f>ROMAN(5584)</f>
        <v/>
      </c>
      <c r="D5585">
        <f>IF(B5585=C5585, "YES", "WRONG")</f>
        <v/>
      </c>
    </row>
    <row r="5586">
      <c r="A5586" t="n">
        <v>5585</v>
      </c>
      <c r="B5586" t="inlineStr">
        <is>
          <t>V̅DLXXXV</t>
        </is>
      </c>
      <c r="C5586">
        <f>ROMAN(5585)</f>
        <v/>
      </c>
      <c r="D5586">
        <f>IF(B5586=C5586, "YES", "WRONG")</f>
        <v/>
      </c>
    </row>
    <row r="5587">
      <c r="A5587" t="n">
        <v>5586</v>
      </c>
      <c r="B5587" t="inlineStr">
        <is>
          <t>V̅DLXXXVI</t>
        </is>
      </c>
      <c r="C5587">
        <f>ROMAN(5586)</f>
        <v/>
      </c>
      <c r="D5587">
        <f>IF(B5587=C5587, "YES", "WRONG")</f>
        <v/>
      </c>
    </row>
    <row r="5588">
      <c r="A5588" t="n">
        <v>5587</v>
      </c>
      <c r="B5588" t="inlineStr">
        <is>
          <t>V̅DLXXXVII</t>
        </is>
      </c>
      <c r="C5588">
        <f>ROMAN(5587)</f>
        <v/>
      </c>
      <c r="D5588">
        <f>IF(B5588=C5588, "YES", "WRONG")</f>
        <v/>
      </c>
    </row>
    <row r="5589">
      <c r="A5589" t="n">
        <v>5588</v>
      </c>
      <c r="B5589" t="inlineStr">
        <is>
          <t>V̅DLXXXVIII</t>
        </is>
      </c>
      <c r="C5589">
        <f>ROMAN(5588)</f>
        <v/>
      </c>
      <c r="D5589">
        <f>IF(B5589=C5589, "YES", "WRONG")</f>
        <v/>
      </c>
    </row>
    <row r="5590">
      <c r="A5590" t="n">
        <v>5589</v>
      </c>
      <c r="B5590" t="inlineStr">
        <is>
          <t>V̅DLXXXIX</t>
        </is>
      </c>
      <c r="C5590">
        <f>ROMAN(5589)</f>
        <v/>
      </c>
      <c r="D5590">
        <f>IF(B5590=C5590, "YES", "WRONG")</f>
        <v/>
      </c>
    </row>
    <row r="5591">
      <c r="A5591" t="n">
        <v>5590</v>
      </c>
      <c r="B5591" t="inlineStr">
        <is>
          <t>V̅DXC</t>
        </is>
      </c>
      <c r="C5591">
        <f>ROMAN(5590)</f>
        <v/>
      </c>
      <c r="D5591">
        <f>IF(B5591=C5591, "YES", "WRONG")</f>
        <v/>
      </c>
    </row>
    <row r="5592">
      <c r="A5592" t="n">
        <v>5591</v>
      </c>
      <c r="B5592" t="inlineStr">
        <is>
          <t>V̅DXCI</t>
        </is>
      </c>
      <c r="C5592">
        <f>ROMAN(5591)</f>
        <v/>
      </c>
      <c r="D5592">
        <f>IF(B5592=C5592, "YES", "WRONG")</f>
        <v/>
      </c>
    </row>
    <row r="5593">
      <c r="A5593" t="n">
        <v>5592</v>
      </c>
      <c r="B5593" t="inlineStr">
        <is>
          <t>V̅DXCII</t>
        </is>
      </c>
      <c r="C5593">
        <f>ROMAN(5592)</f>
        <v/>
      </c>
      <c r="D5593">
        <f>IF(B5593=C5593, "YES", "WRONG")</f>
        <v/>
      </c>
    </row>
    <row r="5594">
      <c r="A5594" t="n">
        <v>5593</v>
      </c>
      <c r="B5594" t="inlineStr">
        <is>
          <t>V̅DXCIII</t>
        </is>
      </c>
      <c r="C5594">
        <f>ROMAN(5593)</f>
        <v/>
      </c>
      <c r="D5594">
        <f>IF(B5594=C5594, "YES", "WRONG")</f>
        <v/>
      </c>
    </row>
    <row r="5595">
      <c r="A5595" t="n">
        <v>5594</v>
      </c>
      <c r="B5595" t="inlineStr">
        <is>
          <t>V̅DXCIV</t>
        </is>
      </c>
      <c r="C5595">
        <f>ROMAN(5594)</f>
        <v/>
      </c>
      <c r="D5595">
        <f>IF(B5595=C5595, "YES", "WRONG")</f>
        <v/>
      </c>
    </row>
    <row r="5596">
      <c r="A5596" t="n">
        <v>5595</v>
      </c>
      <c r="B5596" t="inlineStr">
        <is>
          <t>V̅DXCV</t>
        </is>
      </c>
      <c r="C5596">
        <f>ROMAN(5595)</f>
        <v/>
      </c>
      <c r="D5596">
        <f>IF(B5596=C5596, "YES", "WRONG")</f>
        <v/>
      </c>
    </row>
    <row r="5597">
      <c r="A5597" t="n">
        <v>5596</v>
      </c>
      <c r="B5597" t="inlineStr">
        <is>
          <t>V̅DXCVI</t>
        </is>
      </c>
      <c r="C5597">
        <f>ROMAN(5596)</f>
        <v/>
      </c>
      <c r="D5597">
        <f>IF(B5597=C5597, "YES", "WRONG")</f>
        <v/>
      </c>
    </row>
    <row r="5598">
      <c r="A5598" t="n">
        <v>5597</v>
      </c>
      <c r="B5598" t="inlineStr">
        <is>
          <t>V̅DXCVII</t>
        </is>
      </c>
      <c r="C5598">
        <f>ROMAN(5597)</f>
        <v/>
      </c>
      <c r="D5598">
        <f>IF(B5598=C5598, "YES", "WRONG")</f>
        <v/>
      </c>
    </row>
    <row r="5599">
      <c r="A5599" t="n">
        <v>5598</v>
      </c>
      <c r="B5599" t="inlineStr">
        <is>
          <t>V̅DXCVIII</t>
        </is>
      </c>
      <c r="C5599">
        <f>ROMAN(5598)</f>
        <v/>
      </c>
      <c r="D5599">
        <f>IF(B5599=C5599, "YES", "WRONG")</f>
        <v/>
      </c>
    </row>
    <row r="5600">
      <c r="A5600" t="n">
        <v>5599</v>
      </c>
      <c r="B5600" t="inlineStr">
        <is>
          <t>V̅DXCIX</t>
        </is>
      </c>
      <c r="C5600">
        <f>ROMAN(5599)</f>
        <v/>
      </c>
      <c r="D5600">
        <f>IF(B5600=C5600, "YES", "WRONG")</f>
        <v/>
      </c>
    </row>
    <row r="5601">
      <c r="A5601" t="n">
        <v>5600</v>
      </c>
      <c r="B5601" t="inlineStr">
        <is>
          <t>V̅DC</t>
        </is>
      </c>
      <c r="C5601">
        <f>ROMAN(5600)</f>
        <v/>
      </c>
      <c r="D5601">
        <f>IF(B5601=C5601, "YES", "WRONG")</f>
        <v/>
      </c>
    </row>
    <row r="5602">
      <c r="A5602" t="n">
        <v>5601</v>
      </c>
      <c r="B5602" t="inlineStr">
        <is>
          <t>V̅DCI</t>
        </is>
      </c>
      <c r="C5602">
        <f>ROMAN(5601)</f>
        <v/>
      </c>
      <c r="D5602">
        <f>IF(B5602=C5602, "YES", "WRONG")</f>
        <v/>
      </c>
    </row>
    <row r="5603">
      <c r="A5603" t="n">
        <v>5602</v>
      </c>
      <c r="B5603" t="inlineStr">
        <is>
          <t>V̅DCII</t>
        </is>
      </c>
      <c r="C5603">
        <f>ROMAN(5602)</f>
        <v/>
      </c>
      <c r="D5603">
        <f>IF(B5603=C5603, "YES", "WRONG")</f>
        <v/>
      </c>
    </row>
    <row r="5604">
      <c r="A5604" t="n">
        <v>5603</v>
      </c>
      <c r="B5604" t="inlineStr">
        <is>
          <t>V̅DCIII</t>
        </is>
      </c>
      <c r="C5604">
        <f>ROMAN(5603)</f>
        <v/>
      </c>
      <c r="D5604">
        <f>IF(B5604=C5604, "YES", "WRONG")</f>
        <v/>
      </c>
    </row>
    <row r="5605">
      <c r="A5605" t="n">
        <v>5604</v>
      </c>
      <c r="B5605" t="inlineStr">
        <is>
          <t>V̅DCIV</t>
        </is>
      </c>
      <c r="C5605">
        <f>ROMAN(5604)</f>
        <v/>
      </c>
      <c r="D5605">
        <f>IF(B5605=C5605, "YES", "WRONG")</f>
        <v/>
      </c>
    </row>
    <row r="5606">
      <c r="A5606" t="n">
        <v>5605</v>
      </c>
      <c r="B5606" t="inlineStr">
        <is>
          <t>V̅DCV</t>
        </is>
      </c>
      <c r="C5606">
        <f>ROMAN(5605)</f>
        <v/>
      </c>
      <c r="D5606">
        <f>IF(B5606=C5606, "YES", "WRONG")</f>
        <v/>
      </c>
    </row>
    <row r="5607">
      <c r="A5607" t="n">
        <v>5606</v>
      </c>
      <c r="B5607" t="inlineStr">
        <is>
          <t>V̅DCVI</t>
        </is>
      </c>
      <c r="C5607">
        <f>ROMAN(5606)</f>
        <v/>
      </c>
      <c r="D5607">
        <f>IF(B5607=C5607, "YES", "WRONG")</f>
        <v/>
      </c>
    </row>
    <row r="5608">
      <c r="A5608" t="n">
        <v>5607</v>
      </c>
      <c r="B5608" t="inlineStr">
        <is>
          <t>V̅DCVII</t>
        </is>
      </c>
      <c r="C5608">
        <f>ROMAN(5607)</f>
        <v/>
      </c>
      <c r="D5608">
        <f>IF(B5608=C5608, "YES", "WRONG")</f>
        <v/>
      </c>
    </row>
    <row r="5609">
      <c r="A5609" t="n">
        <v>5608</v>
      </c>
      <c r="B5609" t="inlineStr">
        <is>
          <t>V̅DCVIII</t>
        </is>
      </c>
      <c r="C5609">
        <f>ROMAN(5608)</f>
        <v/>
      </c>
      <c r="D5609">
        <f>IF(B5609=C5609, "YES", "WRONG")</f>
        <v/>
      </c>
    </row>
    <row r="5610">
      <c r="A5610" t="n">
        <v>5609</v>
      </c>
      <c r="B5610" t="inlineStr">
        <is>
          <t>V̅DCIX</t>
        </is>
      </c>
      <c r="C5610">
        <f>ROMAN(5609)</f>
        <v/>
      </c>
      <c r="D5610">
        <f>IF(B5610=C5610, "YES", "WRONG")</f>
        <v/>
      </c>
    </row>
    <row r="5611">
      <c r="A5611" t="n">
        <v>5610</v>
      </c>
      <c r="B5611" t="inlineStr">
        <is>
          <t>V̅DCX</t>
        </is>
      </c>
      <c r="C5611">
        <f>ROMAN(5610)</f>
        <v/>
      </c>
      <c r="D5611">
        <f>IF(B5611=C5611, "YES", "WRONG")</f>
        <v/>
      </c>
    </row>
    <row r="5612">
      <c r="A5612" t="n">
        <v>5611</v>
      </c>
      <c r="B5612" t="inlineStr">
        <is>
          <t>V̅DCXI</t>
        </is>
      </c>
      <c r="C5612">
        <f>ROMAN(5611)</f>
        <v/>
      </c>
      <c r="D5612">
        <f>IF(B5612=C5612, "YES", "WRONG")</f>
        <v/>
      </c>
    </row>
    <row r="5613">
      <c r="A5613" t="n">
        <v>5612</v>
      </c>
      <c r="B5613" t="inlineStr">
        <is>
          <t>V̅DCXII</t>
        </is>
      </c>
      <c r="C5613">
        <f>ROMAN(5612)</f>
        <v/>
      </c>
      <c r="D5613">
        <f>IF(B5613=C5613, "YES", "WRONG")</f>
        <v/>
      </c>
    </row>
    <row r="5614">
      <c r="A5614" t="n">
        <v>5613</v>
      </c>
      <c r="B5614" t="inlineStr">
        <is>
          <t>V̅DCXIII</t>
        </is>
      </c>
      <c r="C5614">
        <f>ROMAN(5613)</f>
        <v/>
      </c>
      <c r="D5614">
        <f>IF(B5614=C5614, "YES", "WRONG")</f>
        <v/>
      </c>
    </row>
    <row r="5615">
      <c r="A5615" t="n">
        <v>5614</v>
      </c>
      <c r="B5615" t="inlineStr">
        <is>
          <t>V̅DCXIV</t>
        </is>
      </c>
      <c r="C5615">
        <f>ROMAN(5614)</f>
        <v/>
      </c>
      <c r="D5615">
        <f>IF(B5615=C5615, "YES", "WRONG")</f>
        <v/>
      </c>
    </row>
    <row r="5616">
      <c r="A5616" t="n">
        <v>5615</v>
      </c>
      <c r="B5616" t="inlineStr">
        <is>
          <t>V̅DCXV</t>
        </is>
      </c>
      <c r="C5616">
        <f>ROMAN(5615)</f>
        <v/>
      </c>
      <c r="D5616">
        <f>IF(B5616=C5616, "YES", "WRONG")</f>
        <v/>
      </c>
    </row>
    <row r="5617">
      <c r="A5617" t="n">
        <v>5616</v>
      </c>
      <c r="B5617" t="inlineStr">
        <is>
          <t>V̅DCXVI</t>
        </is>
      </c>
      <c r="C5617">
        <f>ROMAN(5616)</f>
        <v/>
      </c>
      <c r="D5617">
        <f>IF(B5617=C5617, "YES", "WRONG")</f>
        <v/>
      </c>
    </row>
    <row r="5618">
      <c r="A5618" t="n">
        <v>5617</v>
      </c>
      <c r="B5618" t="inlineStr">
        <is>
          <t>V̅DCXVII</t>
        </is>
      </c>
      <c r="C5618">
        <f>ROMAN(5617)</f>
        <v/>
      </c>
      <c r="D5618">
        <f>IF(B5618=C5618, "YES", "WRONG")</f>
        <v/>
      </c>
    </row>
    <row r="5619">
      <c r="A5619" t="n">
        <v>5618</v>
      </c>
      <c r="B5619" t="inlineStr">
        <is>
          <t>V̅DCXVIII</t>
        </is>
      </c>
      <c r="C5619">
        <f>ROMAN(5618)</f>
        <v/>
      </c>
      <c r="D5619">
        <f>IF(B5619=C5619, "YES", "WRONG")</f>
        <v/>
      </c>
    </row>
    <row r="5620">
      <c r="A5620" t="n">
        <v>5619</v>
      </c>
      <c r="B5620" t="inlineStr">
        <is>
          <t>V̅DCXIX</t>
        </is>
      </c>
      <c r="C5620">
        <f>ROMAN(5619)</f>
        <v/>
      </c>
      <c r="D5620">
        <f>IF(B5620=C5620, "YES", "WRONG")</f>
        <v/>
      </c>
    </row>
    <row r="5621">
      <c r="A5621" t="n">
        <v>5620</v>
      </c>
      <c r="B5621" t="inlineStr">
        <is>
          <t>V̅DCXX</t>
        </is>
      </c>
      <c r="C5621">
        <f>ROMAN(5620)</f>
        <v/>
      </c>
      <c r="D5621">
        <f>IF(B5621=C5621, "YES", "WRONG")</f>
        <v/>
      </c>
    </row>
    <row r="5622">
      <c r="A5622" t="n">
        <v>5621</v>
      </c>
      <c r="B5622" t="inlineStr">
        <is>
          <t>V̅DCXXI</t>
        </is>
      </c>
      <c r="C5622">
        <f>ROMAN(5621)</f>
        <v/>
      </c>
      <c r="D5622">
        <f>IF(B5622=C5622, "YES", "WRONG")</f>
        <v/>
      </c>
    </row>
    <row r="5623">
      <c r="A5623" t="n">
        <v>5622</v>
      </c>
      <c r="B5623" t="inlineStr">
        <is>
          <t>V̅DCXXII</t>
        </is>
      </c>
      <c r="C5623">
        <f>ROMAN(5622)</f>
        <v/>
      </c>
      <c r="D5623">
        <f>IF(B5623=C5623, "YES", "WRONG")</f>
        <v/>
      </c>
    </row>
    <row r="5624">
      <c r="A5624" t="n">
        <v>5623</v>
      </c>
      <c r="B5624" t="inlineStr">
        <is>
          <t>V̅DCXXIII</t>
        </is>
      </c>
      <c r="C5624">
        <f>ROMAN(5623)</f>
        <v/>
      </c>
      <c r="D5624">
        <f>IF(B5624=C5624, "YES", "WRONG")</f>
        <v/>
      </c>
    </row>
    <row r="5625">
      <c r="A5625" t="n">
        <v>5624</v>
      </c>
      <c r="B5625" t="inlineStr">
        <is>
          <t>V̅DCXXIV</t>
        </is>
      </c>
      <c r="C5625">
        <f>ROMAN(5624)</f>
        <v/>
      </c>
      <c r="D5625">
        <f>IF(B5625=C5625, "YES", "WRONG")</f>
        <v/>
      </c>
    </row>
    <row r="5626">
      <c r="A5626" t="n">
        <v>5625</v>
      </c>
      <c r="B5626" t="inlineStr">
        <is>
          <t>V̅DCXXV</t>
        </is>
      </c>
      <c r="C5626">
        <f>ROMAN(5625)</f>
        <v/>
      </c>
      <c r="D5626">
        <f>IF(B5626=C5626, "YES", "WRONG")</f>
        <v/>
      </c>
    </row>
    <row r="5627">
      <c r="A5627" t="n">
        <v>5626</v>
      </c>
      <c r="B5627" t="inlineStr">
        <is>
          <t>V̅DCXXVI</t>
        </is>
      </c>
      <c r="C5627">
        <f>ROMAN(5626)</f>
        <v/>
      </c>
      <c r="D5627">
        <f>IF(B5627=C5627, "YES", "WRONG")</f>
        <v/>
      </c>
    </row>
    <row r="5628">
      <c r="A5628" t="n">
        <v>5627</v>
      </c>
      <c r="B5628" t="inlineStr">
        <is>
          <t>V̅DCXXVII</t>
        </is>
      </c>
      <c r="C5628">
        <f>ROMAN(5627)</f>
        <v/>
      </c>
      <c r="D5628">
        <f>IF(B5628=C5628, "YES", "WRONG")</f>
        <v/>
      </c>
    </row>
    <row r="5629">
      <c r="A5629" t="n">
        <v>5628</v>
      </c>
      <c r="B5629" t="inlineStr">
        <is>
          <t>V̅DCXXVIII</t>
        </is>
      </c>
      <c r="C5629">
        <f>ROMAN(5628)</f>
        <v/>
      </c>
      <c r="D5629">
        <f>IF(B5629=C5629, "YES", "WRONG")</f>
        <v/>
      </c>
    </row>
    <row r="5630">
      <c r="A5630" t="n">
        <v>5629</v>
      </c>
      <c r="B5630" t="inlineStr">
        <is>
          <t>V̅DCXXIX</t>
        </is>
      </c>
      <c r="C5630">
        <f>ROMAN(5629)</f>
        <v/>
      </c>
      <c r="D5630">
        <f>IF(B5630=C5630, "YES", "WRONG")</f>
        <v/>
      </c>
    </row>
    <row r="5631">
      <c r="A5631" t="n">
        <v>5630</v>
      </c>
      <c r="B5631" t="inlineStr">
        <is>
          <t>V̅DCXXX</t>
        </is>
      </c>
      <c r="C5631">
        <f>ROMAN(5630)</f>
        <v/>
      </c>
      <c r="D5631">
        <f>IF(B5631=C5631, "YES", "WRONG")</f>
        <v/>
      </c>
    </row>
    <row r="5632">
      <c r="A5632" t="n">
        <v>5631</v>
      </c>
      <c r="B5632" t="inlineStr">
        <is>
          <t>V̅DCXXXI</t>
        </is>
      </c>
      <c r="C5632">
        <f>ROMAN(5631)</f>
        <v/>
      </c>
      <c r="D5632">
        <f>IF(B5632=C5632, "YES", "WRONG")</f>
        <v/>
      </c>
    </row>
    <row r="5633">
      <c r="A5633" t="n">
        <v>5632</v>
      </c>
      <c r="B5633" t="inlineStr">
        <is>
          <t>V̅DCXXXII</t>
        </is>
      </c>
      <c r="C5633">
        <f>ROMAN(5632)</f>
        <v/>
      </c>
      <c r="D5633">
        <f>IF(B5633=C5633, "YES", "WRONG")</f>
        <v/>
      </c>
    </row>
    <row r="5634">
      <c r="A5634" t="n">
        <v>5633</v>
      </c>
      <c r="B5634" t="inlineStr">
        <is>
          <t>V̅DCXXXIII</t>
        </is>
      </c>
      <c r="C5634">
        <f>ROMAN(5633)</f>
        <v/>
      </c>
      <c r="D5634">
        <f>IF(B5634=C5634, "YES", "WRONG")</f>
        <v/>
      </c>
    </row>
    <row r="5635">
      <c r="A5635" t="n">
        <v>5634</v>
      </c>
      <c r="B5635" t="inlineStr">
        <is>
          <t>V̅DCXXXIV</t>
        </is>
      </c>
      <c r="C5635">
        <f>ROMAN(5634)</f>
        <v/>
      </c>
      <c r="D5635">
        <f>IF(B5635=C5635, "YES", "WRONG")</f>
        <v/>
      </c>
    </row>
    <row r="5636">
      <c r="A5636" t="n">
        <v>5635</v>
      </c>
      <c r="B5636" t="inlineStr">
        <is>
          <t>V̅DCXXXV</t>
        </is>
      </c>
      <c r="C5636">
        <f>ROMAN(5635)</f>
        <v/>
      </c>
      <c r="D5636">
        <f>IF(B5636=C5636, "YES", "WRONG")</f>
        <v/>
      </c>
    </row>
    <row r="5637">
      <c r="A5637" t="n">
        <v>5636</v>
      </c>
      <c r="B5637" t="inlineStr">
        <is>
          <t>V̅DCXXXVI</t>
        </is>
      </c>
      <c r="C5637">
        <f>ROMAN(5636)</f>
        <v/>
      </c>
      <c r="D5637">
        <f>IF(B5637=C5637, "YES", "WRONG")</f>
        <v/>
      </c>
    </row>
    <row r="5638">
      <c r="A5638" t="n">
        <v>5637</v>
      </c>
      <c r="B5638" t="inlineStr">
        <is>
          <t>V̅DCXXXVII</t>
        </is>
      </c>
      <c r="C5638">
        <f>ROMAN(5637)</f>
        <v/>
      </c>
      <c r="D5638">
        <f>IF(B5638=C5638, "YES", "WRONG")</f>
        <v/>
      </c>
    </row>
    <row r="5639">
      <c r="A5639" t="n">
        <v>5638</v>
      </c>
      <c r="B5639" t="inlineStr">
        <is>
          <t>V̅DCXXXVIII</t>
        </is>
      </c>
      <c r="C5639">
        <f>ROMAN(5638)</f>
        <v/>
      </c>
      <c r="D5639">
        <f>IF(B5639=C5639, "YES", "WRONG")</f>
        <v/>
      </c>
    </row>
    <row r="5640">
      <c r="A5640" t="n">
        <v>5639</v>
      </c>
      <c r="B5640" t="inlineStr">
        <is>
          <t>V̅DCXXXIX</t>
        </is>
      </c>
      <c r="C5640">
        <f>ROMAN(5639)</f>
        <v/>
      </c>
      <c r="D5640">
        <f>IF(B5640=C5640, "YES", "WRONG")</f>
        <v/>
      </c>
    </row>
    <row r="5641">
      <c r="A5641" t="n">
        <v>5640</v>
      </c>
      <c r="B5641" t="inlineStr">
        <is>
          <t>V̅DCXL</t>
        </is>
      </c>
      <c r="C5641">
        <f>ROMAN(5640)</f>
        <v/>
      </c>
      <c r="D5641">
        <f>IF(B5641=C5641, "YES", "WRONG")</f>
        <v/>
      </c>
    </row>
    <row r="5642">
      <c r="A5642" t="n">
        <v>5641</v>
      </c>
      <c r="B5642" t="inlineStr">
        <is>
          <t>V̅DCXLI</t>
        </is>
      </c>
      <c r="C5642">
        <f>ROMAN(5641)</f>
        <v/>
      </c>
      <c r="D5642">
        <f>IF(B5642=C5642, "YES", "WRONG")</f>
        <v/>
      </c>
    </row>
    <row r="5643">
      <c r="A5643" t="n">
        <v>5642</v>
      </c>
      <c r="B5643" t="inlineStr">
        <is>
          <t>V̅DCXLII</t>
        </is>
      </c>
      <c r="C5643">
        <f>ROMAN(5642)</f>
        <v/>
      </c>
      <c r="D5643">
        <f>IF(B5643=C5643, "YES", "WRONG")</f>
        <v/>
      </c>
    </row>
    <row r="5644">
      <c r="A5644" t="n">
        <v>5643</v>
      </c>
      <c r="B5644" t="inlineStr">
        <is>
          <t>V̅DCXLIII</t>
        </is>
      </c>
      <c r="C5644">
        <f>ROMAN(5643)</f>
        <v/>
      </c>
      <c r="D5644">
        <f>IF(B5644=C5644, "YES", "WRONG")</f>
        <v/>
      </c>
    </row>
    <row r="5645">
      <c r="A5645" t="n">
        <v>5644</v>
      </c>
      <c r="B5645" t="inlineStr">
        <is>
          <t>V̅DCXLIV</t>
        </is>
      </c>
      <c r="C5645">
        <f>ROMAN(5644)</f>
        <v/>
      </c>
      <c r="D5645">
        <f>IF(B5645=C5645, "YES", "WRONG")</f>
        <v/>
      </c>
    </row>
    <row r="5646">
      <c r="A5646" t="n">
        <v>5645</v>
      </c>
      <c r="B5646" t="inlineStr">
        <is>
          <t>V̅DCXLV</t>
        </is>
      </c>
      <c r="C5646">
        <f>ROMAN(5645)</f>
        <v/>
      </c>
      <c r="D5646">
        <f>IF(B5646=C5646, "YES", "WRONG")</f>
        <v/>
      </c>
    </row>
    <row r="5647">
      <c r="A5647" t="n">
        <v>5646</v>
      </c>
      <c r="B5647" t="inlineStr">
        <is>
          <t>V̅DCXLVI</t>
        </is>
      </c>
      <c r="C5647">
        <f>ROMAN(5646)</f>
        <v/>
      </c>
      <c r="D5647">
        <f>IF(B5647=C5647, "YES", "WRONG")</f>
        <v/>
      </c>
    </row>
    <row r="5648">
      <c r="A5648" t="n">
        <v>5647</v>
      </c>
      <c r="B5648" t="inlineStr">
        <is>
          <t>V̅DCXLVII</t>
        </is>
      </c>
      <c r="C5648">
        <f>ROMAN(5647)</f>
        <v/>
      </c>
      <c r="D5648">
        <f>IF(B5648=C5648, "YES", "WRONG")</f>
        <v/>
      </c>
    </row>
    <row r="5649">
      <c r="A5649" t="n">
        <v>5648</v>
      </c>
      <c r="B5649" t="inlineStr">
        <is>
          <t>V̅DCXLVIII</t>
        </is>
      </c>
      <c r="C5649">
        <f>ROMAN(5648)</f>
        <v/>
      </c>
      <c r="D5649">
        <f>IF(B5649=C5649, "YES", "WRONG")</f>
        <v/>
      </c>
    </row>
    <row r="5650">
      <c r="A5650" t="n">
        <v>5649</v>
      </c>
      <c r="B5650" t="inlineStr">
        <is>
          <t>V̅DCXLIX</t>
        </is>
      </c>
      <c r="C5650">
        <f>ROMAN(5649)</f>
        <v/>
      </c>
      <c r="D5650">
        <f>IF(B5650=C5650, "YES", "WRONG")</f>
        <v/>
      </c>
    </row>
    <row r="5651">
      <c r="A5651" t="n">
        <v>5650</v>
      </c>
      <c r="B5651" t="inlineStr">
        <is>
          <t>V̅DCL</t>
        </is>
      </c>
      <c r="C5651">
        <f>ROMAN(5650)</f>
        <v/>
      </c>
      <c r="D5651">
        <f>IF(B5651=C5651, "YES", "WRONG")</f>
        <v/>
      </c>
    </row>
    <row r="5652">
      <c r="A5652" t="n">
        <v>5651</v>
      </c>
      <c r="B5652" t="inlineStr">
        <is>
          <t>V̅DCLI</t>
        </is>
      </c>
      <c r="C5652">
        <f>ROMAN(5651)</f>
        <v/>
      </c>
      <c r="D5652">
        <f>IF(B5652=C5652, "YES", "WRONG")</f>
        <v/>
      </c>
    </row>
    <row r="5653">
      <c r="A5653" t="n">
        <v>5652</v>
      </c>
      <c r="B5653" t="inlineStr">
        <is>
          <t>V̅DCLII</t>
        </is>
      </c>
      <c r="C5653">
        <f>ROMAN(5652)</f>
        <v/>
      </c>
      <c r="D5653">
        <f>IF(B5653=C5653, "YES", "WRONG")</f>
        <v/>
      </c>
    </row>
    <row r="5654">
      <c r="A5654" t="n">
        <v>5653</v>
      </c>
      <c r="B5654" t="inlineStr">
        <is>
          <t>V̅DCLIII</t>
        </is>
      </c>
      <c r="C5654">
        <f>ROMAN(5653)</f>
        <v/>
      </c>
      <c r="D5654">
        <f>IF(B5654=C5654, "YES", "WRONG")</f>
        <v/>
      </c>
    </row>
    <row r="5655">
      <c r="A5655" t="n">
        <v>5654</v>
      </c>
      <c r="B5655" t="inlineStr">
        <is>
          <t>V̅DCLIV</t>
        </is>
      </c>
      <c r="C5655">
        <f>ROMAN(5654)</f>
        <v/>
      </c>
      <c r="D5655">
        <f>IF(B5655=C5655, "YES", "WRONG")</f>
        <v/>
      </c>
    </row>
    <row r="5656">
      <c r="A5656" t="n">
        <v>5655</v>
      </c>
      <c r="B5656" t="inlineStr">
        <is>
          <t>V̅DCLV</t>
        </is>
      </c>
      <c r="C5656">
        <f>ROMAN(5655)</f>
        <v/>
      </c>
      <c r="D5656">
        <f>IF(B5656=C5656, "YES", "WRONG")</f>
        <v/>
      </c>
    </row>
    <row r="5657">
      <c r="A5657" t="n">
        <v>5656</v>
      </c>
      <c r="B5657" t="inlineStr">
        <is>
          <t>V̅DCLVI</t>
        </is>
      </c>
      <c r="C5657">
        <f>ROMAN(5656)</f>
        <v/>
      </c>
      <c r="D5657">
        <f>IF(B5657=C5657, "YES", "WRONG")</f>
        <v/>
      </c>
    </row>
    <row r="5658">
      <c r="A5658" t="n">
        <v>5657</v>
      </c>
      <c r="B5658" t="inlineStr">
        <is>
          <t>V̅DCLVII</t>
        </is>
      </c>
      <c r="C5658">
        <f>ROMAN(5657)</f>
        <v/>
      </c>
      <c r="D5658">
        <f>IF(B5658=C5658, "YES", "WRONG")</f>
        <v/>
      </c>
    </row>
    <row r="5659">
      <c r="A5659" t="n">
        <v>5658</v>
      </c>
      <c r="B5659" t="inlineStr">
        <is>
          <t>V̅DCLVIII</t>
        </is>
      </c>
      <c r="C5659">
        <f>ROMAN(5658)</f>
        <v/>
      </c>
      <c r="D5659">
        <f>IF(B5659=C5659, "YES", "WRONG")</f>
        <v/>
      </c>
    </row>
    <row r="5660">
      <c r="A5660" t="n">
        <v>5659</v>
      </c>
      <c r="B5660" t="inlineStr">
        <is>
          <t>V̅DCLIX</t>
        </is>
      </c>
      <c r="C5660">
        <f>ROMAN(5659)</f>
        <v/>
      </c>
      <c r="D5660">
        <f>IF(B5660=C5660, "YES", "WRONG")</f>
        <v/>
      </c>
    </row>
    <row r="5661">
      <c r="A5661" t="n">
        <v>5660</v>
      </c>
      <c r="B5661" t="inlineStr">
        <is>
          <t>V̅DCLX</t>
        </is>
      </c>
      <c r="C5661">
        <f>ROMAN(5660)</f>
        <v/>
      </c>
      <c r="D5661">
        <f>IF(B5661=C5661, "YES", "WRONG")</f>
        <v/>
      </c>
    </row>
    <row r="5662">
      <c r="A5662" t="n">
        <v>5661</v>
      </c>
      <c r="B5662" t="inlineStr">
        <is>
          <t>V̅DCLXI</t>
        </is>
      </c>
      <c r="C5662">
        <f>ROMAN(5661)</f>
        <v/>
      </c>
      <c r="D5662">
        <f>IF(B5662=C5662, "YES", "WRONG")</f>
        <v/>
      </c>
    </row>
    <row r="5663">
      <c r="A5663" t="n">
        <v>5662</v>
      </c>
      <c r="B5663" t="inlineStr">
        <is>
          <t>V̅DCLXII</t>
        </is>
      </c>
      <c r="C5663">
        <f>ROMAN(5662)</f>
        <v/>
      </c>
      <c r="D5663">
        <f>IF(B5663=C5663, "YES", "WRONG")</f>
        <v/>
      </c>
    </row>
    <row r="5664">
      <c r="A5664" t="n">
        <v>5663</v>
      </c>
      <c r="B5664" t="inlineStr">
        <is>
          <t>V̅DCLXIII</t>
        </is>
      </c>
      <c r="C5664">
        <f>ROMAN(5663)</f>
        <v/>
      </c>
      <c r="D5664">
        <f>IF(B5664=C5664, "YES", "WRONG")</f>
        <v/>
      </c>
    </row>
    <row r="5665">
      <c r="A5665" t="n">
        <v>5664</v>
      </c>
      <c r="B5665" t="inlineStr">
        <is>
          <t>V̅DCLXIV</t>
        </is>
      </c>
      <c r="C5665">
        <f>ROMAN(5664)</f>
        <v/>
      </c>
      <c r="D5665">
        <f>IF(B5665=C5665, "YES", "WRONG")</f>
        <v/>
      </c>
    </row>
    <row r="5666">
      <c r="A5666" t="n">
        <v>5665</v>
      </c>
      <c r="B5666" t="inlineStr">
        <is>
          <t>V̅DCLXV</t>
        </is>
      </c>
      <c r="C5666">
        <f>ROMAN(5665)</f>
        <v/>
      </c>
      <c r="D5666">
        <f>IF(B5666=C5666, "YES", "WRONG")</f>
        <v/>
      </c>
    </row>
    <row r="5667">
      <c r="A5667" t="n">
        <v>5666</v>
      </c>
      <c r="B5667" t="inlineStr">
        <is>
          <t>V̅DCLXVI</t>
        </is>
      </c>
      <c r="C5667">
        <f>ROMAN(5666)</f>
        <v/>
      </c>
      <c r="D5667">
        <f>IF(B5667=C5667, "YES", "WRONG")</f>
        <v/>
      </c>
    </row>
    <row r="5668">
      <c r="A5668" t="n">
        <v>5667</v>
      </c>
      <c r="B5668" t="inlineStr">
        <is>
          <t>V̅DCLXVII</t>
        </is>
      </c>
      <c r="C5668">
        <f>ROMAN(5667)</f>
        <v/>
      </c>
      <c r="D5668">
        <f>IF(B5668=C5668, "YES", "WRONG")</f>
        <v/>
      </c>
    </row>
    <row r="5669">
      <c r="A5669" t="n">
        <v>5668</v>
      </c>
      <c r="B5669" t="inlineStr">
        <is>
          <t>V̅DCLXVIII</t>
        </is>
      </c>
      <c r="C5669">
        <f>ROMAN(5668)</f>
        <v/>
      </c>
      <c r="D5669">
        <f>IF(B5669=C5669, "YES", "WRONG")</f>
        <v/>
      </c>
    </row>
    <row r="5670">
      <c r="A5670" t="n">
        <v>5669</v>
      </c>
      <c r="B5670" t="inlineStr">
        <is>
          <t>V̅DCLXIX</t>
        </is>
      </c>
      <c r="C5670">
        <f>ROMAN(5669)</f>
        <v/>
      </c>
      <c r="D5670">
        <f>IF(B5670=C5670, "YES", "WRONG")</f>
        <v/>
      </c>
    </row>
    <row r="5671">
      <c r="A5671" t="n">
        <v>5670</v>
      </c>
      <c r="B5671" t="inlineStr">
        <is>
          <t>V̅DCLXX</t>
        </is>
      </c>
      <c r="C5671">
        <f>ROMAN(5670)</f>
        <v/>
      </c>
      <c r="D5671">
        <f>IF(B5671=C5671, "YES", "WRONG")</f>
        <v/>
      </c>
    </row>
    <row r="5672">
      <c r="A5672" t="n">
        <v>5671</v>
      </c>
      <c r="B5672" t="inlineStr">
        <is>
          <t>V̅DCLXXI</t>
        </is>
      </c>
      <c r="C5672">
        <f>ROMAN(5671)</f>
        <v/>
      </c>
      <c r="D5672">
        <f>IF(B5672=C5672, "YES", "WRONG")</f>
        <v/>
      </c>
    </row>
    <row r="5673">
      <c r="A5673" t="n">
        <v>5672</v>
      </c>
      <c r="B5673" t="inlineStr">
        <is>
          <t>V̅DCLXXII</t>
        </is>
      </c>
      <c r="C5673">
        <f>ROMAN(5672)</f>
        <v/>
      </c>
      <c r="D5673">
        <f>IF(B5673=C5673, "YES", "WRONG")</f>
        <v/>
      </c>
    </row>
    <row r="5674">
      <c r="A5674" t="n">
        <v>5673</v>
      </c>
      <c r="B5674" t="inlineStr">
        <is>
          <t>V̅DCLXXIII</t>
        </is>
      </c>
      <c r="C5674">
        <f>ROMAN(5673)</f>
        <v/>
      </c>
      <c r="D5674">
        <f>IF(B5674=C5674, "YES", "WRONG")</f>
        <v/>
      </c>
    </row>
    <row r="5675">
      <c r="A5675" t="n">
        <v>5674</v>
      </c>
      <c r="B5675" t="inlineStr">
        <is>
          <t>V̅DCLXXIV</t>
        </is>
      </c>
      <c r="C5675">
        <f>ROMAN(5674)</f>
        <v/>
      </c>
      <c r="D5675">
        <f>IF(B5675=C5675, "YES", "WRONG")</f>
        <v/>
      </c>
    </row>
    <row r="5676">
      <c r="A5676" t="n">
        <v>5675</v>
      </c>
      <c r="B5676" t="inlineStr">
        <is>
          <t>V̅DCLXXV</t>
        </is>
      </c>
      <c r="C5676">
        <f>ROMAN(5675)</f>
        <v/>
      </c>
      <c r="D5676">
        <f>IF(B5676=C5676, "YES", "WRONG")</f>
        <v/>
      </c>
    </row>
    <row r="5677">
      <c r="A5677" t="n">
        <v>5676</v>
      </c>
      <c r="B5677" t="inlineStr">
        <is>
          <t>V̅DCLXXVI</t>
        </is>
      </c>
      <c r="C5677">
        <f>ROMAN(5676)</f>
        <v/>
      </c>
      <c r="D5677">
        <f>IF(B5677=C5677, "YES", "WRONG")</f>
        <v/>
      </c>
    </row>
    <row r="5678">
      <c r="A5678" t="n">
        <v>5677</v>
      </c>
      <c r="B5678" t="inlineStr">
        <is>
          <t>V̅DCLXXVII</t>
        </is>
      </c>
      <c r="C5678">
        <f>ROMAN(5677)</f>
        <v/>
      </c>
      <c r="D5678">
        <f>IF(B5678=C5678, "YES", "WRONG")</f>
        <v/>
      </c>
    </row>
    <row r="5679">
      <c r="A5679" t="n">
        <v>5678</v>
      </c>
      <c r="B5679" t="inlineStr">
        <is>
          <t>V̅DCLXXVIII</t>
        </is>
      </c>
      <c r="C5679">
        <f>ROMAN(5678)</f>
        <v/>
      </c>
      <c r="D5679">
        <f>IF(B5679=C5679, "YES", "WRONG")</f>
        <v/>
      </c>
    </row>
    <row r="5680">
      <c r="A5680" t="n">
        <v>5679</v>
      </c>
      <c r="B5680" t="inlineStr">
        <is>
          <t>V̅DCLXXIX</t>
        </is>
      </c>
      <c r="C5680">
        <f>ROMAN(5679)</f>
        <v/>
      </c>
      <c r="D5680">
        <f>IF(B5680=C5680, "YES", "WRONG")</f>
        <v/>
      </c>
    </row>
    <row r="5681">
      <c r="A5681" t="n">
        <v>5680</v>
      </c>
      <c r="B5681" t="inlineStr">
        <is>
          <t>V̅DCLXXX</t>
        </is>
      </c>
      <c r="C5681">
        <f>ROMAN(5680)</f>
        <v/>
      </c>
      <c r="D5681">
        <f>IF(B5681=C5681, "YES", "WRONG")</f>
        <v/>
      </c>
    </row>
    <row r="5682">
      <c r="A5682" t="n">
        <v>5681</v>
      </c>
      <c r="B5682" t="inlineStr">
        <is>
          <t>V̅DCLXXXI</t>
        </is>
      </c>
      <c r="C5682">
        <f>ROMAN(5681)</f>
        <v/>
      </c>
      <c r="D5682">
        <f>IF(B5682=C5682, "YES", "WRONG")</f>
        <v/>
      </c>
    </row>
    <row r="5683">
      <c r="A5683" t="n">
        <v>5682</v>
      </c>
      <c r="B5683" t="inlineStr">
        <is>
          <t>V̅DCLXXXII</t>
        </is>
      </c>
      <c r="C5683">
        <f>ROMAN(5682)</f>
        <v/>
      </c>
      <c r="D5683">
        <f>IF(B5683=C5683, "YES", "WRONG")</f>
        <v/>
      </c>
    </row>
    <row r="5684">
      <c r="A5684" t="n">
        <v>5683</v>
      </c>
      <c r="B5684" t="inlineStr">
        <is>
          <t>V̅DCLXXXIII</t>
        </is>
      </c>
      <c r="C5684">
        <f>ROMAN(5683)</f>
        <v/>
      </c>
      <c r="D5684">
        <f>IF(B5684=C5684, "YES", "WRONG")</f>
        <v/>
      </c>
    </row>
    <row r="5685">
      <c r="A5685" t="n">
        <v>5684</v>
      </c>
      <c r="B5685" t="inlineStr">
        <is>
          <t>V̅DCLXXXIV</t>
        </is>
      </c>
      <c r="C5685">
        <f>ROMAN(5684)</f>
        <v/>
      </c>
      <c r="D5685">
        <f>IF(B5685=C5685, "YES", "WRONG")</f>
        <v/>
      </c>
    </row>
    <row r="5686">
      <c r="A5686" t="n">
        <v>5685</v>
      </c>
      <c r="B5686" t="inlineStr">
        <is>
          <t>V̅DCLXXXV</t>
        </is>
      </c>
      <c r="C5686">
        <f>ROMAN(5685)</f>
        <v/>
      </c>
      <c r="D5686">
        <f>IF(B5686=C5686, "YES", "WRONG")</f>
        <v/>
      </c>
    </row>
    <row r="5687">
      <c r="A5687" t="n">
        <v>5686</v>
      </c>
      <c r="B5687" t="inlineStr">
        <is>
          <t>V̅DCLXXXVI</t>
        </is>
      </c>
      <c r="C5687">
        <f>ROMAN(5686)</f>
        <v/>
      </c>
      <c r="D5687">
        <f>IF(B5687=C5687, "YES", "WRONG")</f>
        <v/>
      </c>
    </row>
    <row r="5688">
      <c r="A5688" t="n">
        <v>5687</v>
      </c>
      <c r="B5688" t="inlineStr">
        <is>
          <t>V̅DCLXXXVII</t>
        </is>
      </c>
      <c r="C5688">
        <f>ROMAN(5687)</f>
        <v/>
      </c>
      <c r="D5688">
        <f>IF(B5688=C5688, "YES", "WRONG")</f>
        <v/>
      </c>
    </row>
    <row r="5689">
      <c r="A5689" t="n">
        <v>5688</v>
      </c>
      <c r="B5689" t="inlineStr">
        <is>
          <t>V̅DCLXXXVIII</t>
        </is>
      </c>
      <c r="C5689">
        <f>ROMAN(5688)</f>
        <v/>
      </c>
      <c r="D5689">
        <f>IF(B5689=C5689, "YES", "WRONG")</f>
        <v/>
      </c>
    </row>
    <row r="5690">
      <c r="A5690" t="n">
        <v>5689</v>
      </c>
      <c r="B5690" t="inlineStr">
        <is>
          <t>V̅DCLXXXIX</t>
        </is>
      </c>
      <c r="C5690">
        <f>ROMAN(5689)</f>
        <v/>
      </c>
      <c r="D5690">
        <f>IF(B5690=C5690, "YES", "WRONG")</f>
        <v/>
      </c>
    </row>
    <row r="5691">
      <c r="A5691" t="n">
        <v>5690</v>
      </c>
      <c r="B5691" t="inlineStr">
        <is>
          <t>V̅DCXC</t>
        </is>
      </c>
      <c r="C5691">
        <f>ROMAN(5690)</f>
        <v/>
      </c>
      <c r="D5691">
        <f>IF(B5691=C5691, "YES", "WRONG")</f>
        <v/>
      </c>
    </row>
    <row r="5692">
      <c r="A5692" t="n">
        <v>5691</v>
      </c>
      <c r="B5692" t="inlineStr">
        <is>
          <t>V̅DCXCI</t>
        </is>
      </c>
      <c r="C5692">
        <f>ROMAN(5691)</f>
        <v/>
      </c>
      <c r="D5692">
        <f>IF(B5692=C5692, "YES", "WRONG")</f>
        <v/>
      </c>
    </row>
    <row r="5693">
      <c r="A5693" t="n">
        <v>5692</v>
      </c>
      <c r="B5693" t="inlineStr">
        <is>
          <t>V̅DCXCII</t>
        </is>
      </c>
      <c r="C5693">
        <f>ROMAN(5692)</f>
        <v/>
      </c>
      <c r="D5693">
        <f>IF(B5693=C5693, "YES", "WRONG")</f>
        <v/>
      </c>
    </row>
    <row r="5694">
      <c r="A5694" t="n">
        <v>5693</v>
      </c>
      <c r="B5694" t="inlineStr">
        <is>
          <t>V̅DCXCIII</t>
        </is>
      </c>
      <c r="C5694">
        <f>ROMAN(5693)</f>
        <v/>
      </c>
      <c r="D5694">
        <f>IF(B5694=C5694, "YES", "WRONG")</f>
        <v/>
      </c>
    </row>
    <row r="5695">
      <c r="A5695" t="n">
        <v>5694</v>
      </c>
      <c r="B5695" t="inlineStr">
        <is>
          <t>V̅DCXCIV</t>
        </is>
      </c>
      <c r="C5695">
        <f>ROMAN(5694)</f>
        <v/>
      </c>
      <c r="D5695">
        <f>IF(B5695=C5695, "YES", "WRONG")</f>
        <v/>
      </c>
    </row>
    <row r="5696">
      <c r="A5696" t="n">
        <v>5695</v>
      </c>
      <c r="B5696" t="inlineStr">
        <is>
          <t>V̅DCXCV</t>
        </is>
      </c>
      <c r="C5696">
        <f>ROMAN(5695)</f>
        <v/>
      </c>
      <c r="D5696">
        <f>IF(B5696=C5696, "YES", "WRONG")</f>
        <v/>
      </c>
    </row>
    <row r="5697">
      <c r="A5697" t="n">
        <v>5696</v>
      </c>
      <c r="B5697" t="inlineStr">
        <is>
          <t>V̅DCXCVI</t>
        </is>
      </c>
      <c r="C5697">
        <f>ROMAN(5696)</f>
        <v/>
      </c>
      <c r="D5697">
        <f>IF(B5697=C5697, "YES", "WRONG")</f>
        <v/>
      </c>
    </row>
    <row r="5698">
      <c r="A5698" t="n">
        <v>5697</v>
      </c>
      <c r="B5698" t="inlineStr">
        <is>
          <t>V̅DCXCVII</t>
        </is>
      </c>
      <c r="C5698">
        <f>ROMAN(5697)</f>
        <v/>
      </c>
      <c r="D5698">
        <f>IF(B5698=C5698, "YES", "WRONG")</f>
        <v/>
      </c>
    </row>
    <row r="5699">
      <c r="A5699" t="n">
        <v>5698</v>
      </c>
      <c r="B5699" t="inlineStr">
        <is>
          <t>V̅DCXCVIII</t>
        </is>
      </c>
      <c r="C5699">
        <f>ROMAN(5698)</f>
        <v/>
      </c>
      <c r="D5699">
        <f>IF(B5699=C5699, "YES", "WRONG")</f>
        <v/>
      </c>
    </row>
    <row r="5700">
      <c r="A5700" t="n">
        <v>5699</v>
      </c>
      <c r="B5700" t="inlineStr">
        <is>
          <t>V̅DCXCIX</t>
        </is>
      </c>
      <c r="C5700">
        <f>ROMAN(5699)</f>
        <v/>
      </c>
      <c r="D5700">
        <f>IF(B5700=C5700, "YES", "WRONG")</f>
        <v/>
      </c>
    </row>
    <row r="5701">
      <c r="A5701" t="n">
        <v>5700</v>
      </c>
      <c r="B5701" t="inlineStr">
        <is>
          <t>V̅DCC</t>
        </is>
      </c>
      <c r="C5701">
        <f>ROMAN(5700)</f>
        <v/>
      </c>
      <c r="D5701">
        <f>IF(B5701=C5701, "YES", "WRONG")</f>
        <v/>
      </c>
    </row>
    <row r="5702">
      <c r="A5702" t="n">
        <v>5701</v>
      </c>
      <c r="B5702" t="inlineStr">
        <is>
          <t>V̅DCCI</t>
        </is>
      </c>
      <c r="C5702">
        <f>ROMAN(5701)</f>
        <v/>
      </c>
      <c r="D5702">
        <f>IF(B5702=C5702, "YES", "WRONG")</f>
        <v/>
      </c>
    </row>
    <row r="5703">
      <c r="A5703" t="n">
        <v>5702</v>
      </c>
      <c r="B5703" t="inlineStr">
        <is>
          <t>V̅DCCII</t>
        </is>
      </c>
      <c r="C5703">
        <f>ROMAN(5702)</f>
        <v/>
      </c>
      <c r="D5703">
        <f>IF(B5703=C5703, "YES", "WRONG")</f>
        <v/>
      </c>
    </row>
    <row r="5704">
      <c r="A5704" t="n">
        <v>5703</v>
      </c>
      <c r="B5704" t="inlineStr">
        <is>
          <t>V̅DCCIII</t>
        </is>
      </c>
      <c r="C5704">
        <f>ROMAN(5703)</f>
        <v/>
      </c>
      <c r="D5704">
        <f>IF(B5704=C5704, "YES", "WRONG")</f>
        <v/>
      </c>
    </row>
    <row r="5705">
      <c r="A5705" t="n">
        <v>5704</v>
      </c>
      <c r="B5705" t="inlineStr">
        <is>
          <t>V̅DCCIV</t>
        </is>
      </c>
      <c r="C5705">
        <f>ROMAN(5704)</f>
        <v/>
      </c>
      <c r="D5705">
        <f>IF(B5705=C5705, "YES", "WRONG")</f>
        <v/>
      </c>
    </row>
    <row r="5706">
      <c r="A5706" t="n">
        <v>5705</v>
      </c>
      <c r="B5706" t="inlineStr">
        <is>
          <t>V̅DCCV</t>
        </is>
      </c>
      <c r="C5706">
        <f>ROMAN(5705)</f>
        <v/>
      </c>
      <c r="D5706">
        <f>IF(B5706=C5706, "YES", "WRONG")</f>
        <v/>
      </c>
    </row>
    <row r="5707">
      <c r="A5707" t="n">
        <v>5706</v>
      </c>
      <c r="B5707" t="inlineStr">
        <is>
          <t>V̅DCCVI</t>
        </is>
      </c>
      <c r="C5707">
        <f>ROMAN(5706)</f>
        <v/>
      </c>
      <c r="D5707">
        <f>IF(B5707=C5707, "YES", "WRONG")</f>
        <v/>
      </c>
    </row>
    <row r="5708">
      <c r="A5708" t="n">
        <v>5707</v>
      </c>
      <c r="B5708" t="inlineStr">
        <is>
          <t>V̅DCCVII</t>
        </is>
      </c>
      <c r="C5708">
        <f>ROMAN(5707)</f>
        <v/>
      </c>
      <c r="D5708">
        <f>IF(B5708=C5708, "YES", "WRONG")</f>
        <v/>
      </c>
    </row>
    <row r="5709">
      <c r="A5709" t="n">
        <v>5708</v>
      </c>
      <c r="B5709" t="inlineStr">
        <is>
          <t>V̅DCCVIII</t>
        </is>
      </c>
      <c r="C5709">
        <f>ROMAN(5708)</f>
        <v/>
      </c>
      <c r="D5709">
        <f>IF(B5709=C5709, "YES", "WRONG")</f>
        <v/>
      </c>
    </row>
    <row r="5710">
      <c r="A5710" t="n">
        <v>5709</v>
      </c>
      <c r="B5710" t="inlineStr">
        <is>
          <t>V̅DCCIX</t>
        </is>
      </c>
      <c r="C5710">
        <f>ROMAN(5709)</f>
        <v/>
      </c>
      <c r="D5710">
        <f>IF(B5710=C5710, "YES", "WRONG")</f>
        <v/>
      </c>
    </row>
    <row r="5711">
      <c r="A5711" t="n">
        <v>5710</v>
      </c>
      <c r="B5711" t="inlineStr">
        <is>
          <t>V̅DCCX</t>
        </is>
      </c>
      <c r="C5711">
        <f>ROMAN(5710)</f>
        <v/>
      </c>
      <c r="D5711">
        <f>IF(B5711=C5711, "YES", "WRONG")</f>
        <v/>
      </c>
    </row>
    <row r="5712">
      <c r="A5712" t="n">
        <v>5711</v>
      </c>
      <c r="B5712" t="inlineStr">
        <is>
          <t>V̅DCCXI</t>
        </is>
      </c>
      <c r="C5712">
        <f>ROMAN(5711)</f>
        <v/>
      </c>
      <c r="D5712">
        <f>IF(B5712=C5712, "YES", "WRONG")</f>
        <v/>
      </c>
    </row>
    <row r="5713">
      <c r="A5713" t="n">
        <v>5712</v>
      </c>
      <c r="B5713" t="inlineStr">
        <is>
          <t>V̅DCCXII</t>
        </is>
      </c>
      <c r="C5713">
        <f>ROMAN(5712)</f>
        <v/>
      </c>
      <c r="D5713">
        <f>IF(B5713=C5713, "YES", "WRONG")</f>
        <v/>
      </c>
    </row>
    <row r="5714">
      <c r="A5714" t="n">
        <v>5713</v>
      </c>
      <c r="B5714" t="inlineStr">
        <is>
          <t>V̅DCCXIII</t>
        </is>
      </c>
      <c r="C5714">
        <f>ROMAN(5713)</f>
        <v/>
      </c>
      <c r="D5714">
        <f>IF(B5714=C5714, "YES", "WRONG")</f>
        <v/>
      </c>
    </row>
    <row r="5715">
      <c r="A5715" t="n">
        <v>5714</v>
      </c>
      <c r="B5715" t="inlineStr">
        <is>
          <t>V̅DCCXIV</t>
        </is>
      </c>
      <c r="C5715">
        <f>ROMAN(5714)</f>
        <v/>
      </c>
      <c r="D5715">
        <f>IF(B5715=C5715, "YES", "WRONG")</f>
        <v/>
      </c>
    </row>
    <row r="5716">
      <c r="A5716" t="n">
        <v>5715</v>
      </c>
      <c r="B5716" t="inlineStr">
        <is>
          <t>V̅DCCXV</t>
        </is>
      </c>
      <c r="C5716">
        <f>ROMAN(5715)</f>
        <v/>
      </c>
      <c r="D5716">
        <f>IF(B5716=C5716, "YES", "WRONG")</f>
        <v/>
      </c>
    </row>
    <row r="5717">
      <c r="A5717" t="n">
        <v>5716</v>
      </c>
      <c r="B5717" t="inlineStr">
        <is>
          <t>V̅DCCXVI</t>
        </is>
      </c>
      <c r="C5717">
        <f>ROMAN(5716)</f>
        <v/>
      </c>
      <c r="D5717">
        <f>IF(B5717=C5717, "YES", "WRONG")</f>
        <v/>
      </c>
    </row>
    <row r="5718">
      <c r="A5718" t="n">
        <v>5717</v>
      </c>
      <c r="B5718" t="inlineStr">
        <is>
          <t>V̅DCCXVII</t>
        </is>
      </c>
      <c r="C5718">
        <f>ROMAN(5717)</f>
        <v/>
      </c>
      <c r="D5718">
        <f>IF(B5718=C5718, "YES", "WRONG")</f>
        <v/>
      </c>
    </row>
    <row r="5719">
      <c r="A5719" t="n">
        <v>5718</v>
      </c>
      <c r="B5719" t="inlineStr">
        <is>
          <t>V̅DCCXVIII</t>
        </is>
      </c>
      <c r="C5719">
        <f>ROMAN(5718)</f>
        <v/>
      </c>
      <c r="D5719">
        <f>IF(B5719=C5719, "YES", "WRONG")</f>
        <v/>
      </c>
    </row>
    <row r="5720">
      <c r="A5720" t="n">
        <v>5719</v>
      </c>
      <c r="B5720" t="inlineStr">
        <is>
          <t>V̅DCCXIX</t>
        </is>
      </c>
      <c r="C5720">
        <f>ROMAN(5719)</f>
        <v/>
      </c>
      <c r="D5720">
        <f>IF(B5720=C5720, "YES", "WRONG")</f>
        <v/>
      </c>
    </row>
    <row r="5721">
      <c r="A5721" t="n">
        <v>5720</v>
      </c>
      <c r="B5721" t="inlineStr">
        <is>
          <t>V̅DCCXX</t>
        </is>
      </c>
      <c r="C5721">
        <f>ROMAN(5720)</f>
        <v/>
      </c>
      <c r="D5721">
        <f>IF(B5721=C5721, "YES", "WRONG")</f>
        <v/>
      </c>
    </row>
    <row r="5722">
      <c r="A5722" t="n">
        <v>5721</v>
      </c>
      <c r="B5722" t="inlineStr">
        <is>
          <t>V̅DCCXXI</t>
        </is>
      </c>
      <c r="C5722">
        <f>ROMAN(5721)</f>
        <v/>
      </c>
      <c r="D5722">
        <f>IF(B5722=C5722, "YES", "WRONG")</f>
        <v/>
      </c>
    </row>
    <row r="5723">
      <c r="A5723" t="n">
        <v>5722</v>
      </c>
      <c r="B5723" t="inlineStr">
        <is>
          <t>V̅DCCXXII</t>
        </is>
      </c>
      <c r="C5723">
        <f>ROMAN(5722)</f>
        <v/>
      </c>
      <c r="D5723">
        <f>IF(B5723=C5723, "YES", "WRONG")</f>
        <v/>
      </c>
    </row>
    <row r="5724">
      <c r="A5724" t="n">
        <v>5723</v>
      </c>
      <c r="B5724" t="inlineStr">
        <is>
          <t>V̅DCCXXIII</t>
        </is>
      </c>
      <c r="C5724">
        <f>ROMAN(5723)</f>
        <v/>
      </c>
      <c r="D5724">
        <f>IF(B5724=C5724, "YES", "WRONG")</f>
        <v/>
      </c>
    </row>
    <row r="5725">
      <c r="A5725" t="n">
        <v>5724</v>
      </c>
      <c r="B5725" t="inlineStr">
        <is>
          <t>V̅DCCXXIV</t>
        </is>
      </c>
      <c r="C5725">
        <f>ROMAN(5724)</f>
        <v/>
      </c>
      <c r="D5725">
        <f>IF(B5725=C5725, "YES", "WRONG")</f>
        <v/>
      </c>
    </row>
    <row r="5726">
      <c r="A5726" t="n">
        <v>5725</v>
      </c>
      <c r="B5726" t="inlineStr">
        <is>
          <t>V̅DCCXXV</t>
        </is>
      </c>
      <c r="C5726">
        <f>ROMAN(5725)</f>
        <v/>
      </c>
      <c r="D5726">
        <f>IF(B5726=C5726, "YES", "WRONG")</f>
        <v/>
      </c>
    </row>
    <row r="5727">
      <c r="A5727" t="n">
        <v>5726</v>
      </c>
      <c r="B5727" t="inlineStr">
        <is>
          <t>V̅DCCXXVI</t>
        </is>
      </c>
      <c r="C5727">
        <f>ROMAN(5726)</f>
        <v/>
      </c>
      <c r="D5727">
        <f>IF(B5727=C5727, "YES", "WRONG")</f>
        <v/>
      </c>
    </row>
    <row r="5728">
      <c r="A5728" t="n">
        <v>5727</v>
      </c>
      <c r="B5728" t="inlineStr">
        <is>
          <t>V̅DCCXXVII</t>
        </is>
      </c>
      <c r="C5728">
        <f>ROMAN(5727)</f>
        <v/>
      </c>
      <c r="D5728">
        <f>IF(B5728=C5728, "YES", "WRONG")</f>
        <v/>
      </c>
    </row>
    <row r="5729">
      <c r="A5729" t="n">
        <v>5728</v>
      </c>
      <c r="B5729" t="inlineStr">
        <is>
          <t>V̅DCCXXVIII</t>
        </is>
      </c>
      <c r="C5729">
        <f>ROMAN(5728)</f>
        <v/>
      </c>
      <c r="D5729">
        <f>IF(B5729=C5729, "YES", "WRONG")</f>
        <v/>
      </c>
    </row>
    <row r="5730">
      <c r="A5730" t="n">
        <v>5729</v>
      </c>
      <c r="B5730" t="inlineStr">
        <is>
          <t>V̅DCCXXIX</t>
        </is>
      </c>
      <c r="C5730">
        <f>ROMAN(5729)</f>
        <v/>
      </c>
      <c r="D5730">
        <f>IF(B5730=C5730, "YES", "WRONG")</f>
        <v/>
      </c>
    </row>
    <row r="5731">
      <c r="A5731" t="n">
        <v>5730</v>
      </c>
      <c r="B5731" t="inlineStr">
        <is>
          <t>V̅DCCXXX</t>
        </is>
      </c>
      <c r="C5731">
        <f>ROMAN(5730)</f>
        <v/>
      </c>
      <c r="D5731">
        <f>IF(B5731=C5731, "YES", "WRONG")</f>
        <v/>
      </c>
    </row>
    <row r="5732">
      <c r="A5732" t="n">
        <v>5731</v>
      </c>
      <c r="B5732" t="inlineStr">
        <is>
          <t>V̅DCCXXXI</t>
        </is>
      </c>
      <c r="C5732">
        <f>ROMAN(5731)</f>
        <v/>
      </c>
      <c r="D5732">
        <f>IF(B5732=C5732, "YES", "WRONG")</f>
        <v/>
      </c>
    </row>
    <row r="5733">
      <c r="A5733" t="n">
        <v>5732</v>
      </c>
      <c r="B5733" t="inlineStr">
        <is>
          <t>V̅DCCXXXII</t>
        </is>
      </c>
      <c r="C5733">
        <f>ROMAN(5732)</f>
        <v/>
      </c>
      <c r="D5733">
        <f>IF(B5733=C5733, "YES", "WRONG")</f>
        <v/>
      </c>
    </row>
    <row r="5734">
      <c r="A5734" t="n">
        <v>5733</v>
      </c>
      <c r="B5734" t="inlineStr">
        <is>
          <t>V̅DCCXXXIII</t>
        </is>
      </c>
      <c r="C5734">
        <f>ROMAN(5733)</f>
        <v/>
      </c>
      <c r="D5734">
        <f>IF(B5734=C5734, "YES", "WRONG")</f>
        <v/>
      </c>
    </row>
    <row r="5735">
      <c r="A5735" t="n">
        <v>5734</v>
      </c>
      <c r="B5735" t="inlineStr">
        <is>
          <t>V̅DCCXXXIV</t>
        </is>
      </c>
      <c r="C5735">
        <f>ROMAN(5734)</f>
        <v/>
      </c>
      <c r="D5735">
        <f>IF(B5735=C5735, "YES", "WRONG")</f>
        <v/>
      </c>
    </row>
    <row r="5736">
      <c r="A5736" t="n">
        <v>5735</v>
      </c>
      <c r="B5736" t="inlineStr">
        <is>
          <t>V̅DCCXXXV</t>
        </is>
      </c>
      <c r="C5736">
        <f>ROMAN(5735)</f>
        <v/>
      </c>
      <c r="D5736">
        <f>IF(B5736=C5736, "YES", "WRONG")</f>
        <v/>
      </c>
    </row>
    <row r="5737">
      <c r="A5737" t="n">
        <v>5736</v>
      </c>
      <c r="B5737" t="inlineStr">
        <is>
          <t>V̅DCCXXXVI</t>
        </is>
      </c>
      <c r="C5737">
        <f>ROMAN(5736)</f>
        <v/>
      </c>
      <c r="D5737">
        <f>IF(B5737=C5737, "YES", "WRONG")</f>
        <v/>
      </c>
    </row>
    <row r="5738">
      <c r="A5738" t="n">
        <v>5737</v>
      </c>
      <c r="B5738" t="inlineStr">
        <is>
          <t>V̅DCCXXXVII</t>
        </is>
      </c>
      <c r="C5738">
        <f>ROMAN(5737)</f>
        <v/>
      </c>
      <c r="D5738">
        <f>IF(B5738=C5738, "YES", "WRONG")</f>
        <v/>
      </c>
    </row>
    <row r="5739">
      <c r="A5739" t="n">
        <v>5738</v>
      </c>
      <c r="B5739" t="inlineStr">
        <is>
          <t>V̅DCCXXXVIII</t>
        </is>
      </c>
      <c r="C5739">
        <f>ROMAN(5738)</f>
        <v/>
      </c>
      <c r="D5739">
        <f>IF(B5739=C5739, "YES", "WRONG")</f>
        <v/>
      </c>
    </row>
    <row r="5740">
      <c r="A5740" t="n">
        <v>5739</v>
      </c>
      <c r="B5740" t="inlineStr">
        <is>
          <t>V̅DCCXXXIX</t>
        </is>
      </c>
      <c r="C5740">
        <f>ROMAN(5739)</f>
        <v/>
      </c>
      <c r="D5740">
        <f>IF(B5740=C5740, "YES", "WRONG")</f>
        <v/>
      </c>
    </row>
    <row r="5741">
      <c r="A5741" t="n">
        <v>5740</v>
      </c>
      <c r="B5741" t="inlineStr">
        <is>
          <t>V̅DCCXL</t>
        </is>
      </c>
      <c r="C5741">
        <f>ROMAN(5740)</f>
        <v/>
      </c>
      <c r="D5741">
        <f>IF(B5741=C5741, "YES", "WRONG")</f>
        <v/>
      </c>
    </row>
    <row r="5742">
      <c r="A5742" t="n">
        <v>5741</v>
      </c>
      <c r="B5742" t="inlineStr">
        <is>
          <t>V̅DCCXLI</t>
        </is>
      </c>
      <c r="C5742">
        <f>ROMAN(5741)</f>
        <v/>
      </c>
      <c r="D5742">
        <f>IF(B5742=C5742, "YES", "WRONG")</f>
        <v/>
      </c>
    </row>
    <row r="5743">
      <c r="A5743" t="n">
        <v>5742</v>
      </c>
      <c r="B5743" t="inlineStr">
        <is>
          <t>V̅DCCXLII</t>
        </is>
      </c>
      <c r="C5743">
        <f>ROMAN(5742)</f>
        <v/>
      </c>
      <c r="D5743">
        <f>IF(B5743=C5743, "YES", "WRONG")</f>
        <v/>
      </c>
    </row>
    <row r="5744">
      <c r="A5744" t="n">
        <v>5743</v>
      </c>
      <c r="B5744" t="inlineStr">
        <is>
          <t>V̅DCCXLIII</t>
        </is>
      </c>
      <c r="C5744">
        <f>ROMAN(5743)</f>
        <v/>
      </c>
      <c r="D5744">
        <f>IF(B5744=C5744, "YES", "WRONG")</f>
        <v/>
      </c>
    </row>
    <row r="5745">
      <c r="A5745" t="n">
        <v>5744</v>
      </c>
      <c r="B5745" t="inlineStr">
        <is>
          <t>V̅DCCXLIV</t>
        </is>
      </c>
      <c r="C5745">
        <f>ROMAN(5744)</f>
        <v/>
      </c>
      <c r="D5745">
        <f>IF(B5745=C5745, "YES", "WRONG")</f>
        <v/>
      </c>
    </row>
    <row r="5746">
      <c r="A5746" t="n">
        <v>5745</v>
      </c>
      <c r="B5746" t="inlineStr">
        <is>
          <t>V̅DCCXLV</t>
        </is>
      </c>
      <c r="C5746">
        <f>ROMAN(5745)</f>
        <v/>
      </c>
      <c r="D5746">
        <f>IF(B5746=C5746, "YES", "WRONG")</f>
        <v/>
      </c>
    </row>
    <row r="5747">
      <c r="A5747" t="n">
        <v>5746</v>
      </c>
      <c r="B5747" t="inlineStr">
        <is>
          <t>V̅DCCXLVI</t>
        </is>
      </c>
      <c r="C5747">
        <f>ROMAN(5746)</f>
        <v/>
      </c>
      <c r="D5747">
        <f>IF(B5747=C5747, "YES", "WRONG")</f>
        <v/>
      </c>
    </row>
    <row r="5748">
      <c r="A5748" t="n">
        <v>5747</v>
      </c>
      <c r="B5748" t="inlineStr">
        <is>
          <t>V̅DCCXLVII</t>
        </is>
      </c>
      <c r="C5748">
        <f>ROMAN(5747)</f>
        <v/>
      </c>
      <c r="D5748">
        <f>IF(B5748=C5748, "YES", "WRONG")</f>
        <v/>
      </c>
    </row>
    <row r="5749">
      <c r="A5749" t="n">
        <v>5748</v>
      </c>
      <c r="B5749" t="inlineStr">
        <is>
          <t>V̅DCCXLVIII</t>
        </is>
      </c>
      <c r="C5749">
        <f>ROMAN(5748)</f>
        <v/>
      </c>
      <c r="D5749">
        <f>IF(B5749=C5749, "YES", "WRONG")</f>
        <v/>
      </c>
    </row>
    <row r="5750">
      <c r="A5750" t="n">
        <v>5749</v>
      </c>
      <c r="B5750" t="inlineStr">
        <is>
          <t>V̅DCCXLIX</t>
        </is>
      </c>
      <c r="C5750">
        <f>ROMAN(5749)</f>
        <v/>
      </c>
      <c r="D5750">
        <f>IF(B5750=C5750, "YES", "WRONG")</f>
        <v/>
      </c>
    </row>
    <row r="5751">
      <c r="A5751" t="n">
        <v>5750</v>
      </c>
      <c r="B5751" t="inlineStr">
        <is>
          <t>V̅DCCL</t>
        </is>
      </c>
      <c r="C5751">
        <f>ROMAN(5750)</f>
        <v/>
      </c>
      <c r="D5751">
        <f>IF(B5751=C5751, "YES", "WRONG")</f>
        <v/>
      </c>
    </row>
    <row r="5752">
      <c r="A5752" t="n">
        <v>5751</v>
      </c>
      <c r="B5752" t="inlineStr">
        <is>
          <t>V̅DCCLI</t>
        </is>
      </c>
      <c r="C5752">
        <f>ROMAN(5751)</f>
        <v/>
      </c>
      <c r="D5752">
        <f>IF(B5752=C5752, "YES", "WRONG")</f>
        <v/>
      </c>
    </row>
    <row r="5753">
      <c r="A5753" t="n">
        <v>5752</v>
      </c>
      <c r="B5753" t="inlineStr">
        <is>
          <t>V̅DCCLII</t>
        </is>
      </c>
      <c r="C5753">
        <f>ROMAN(5752)</f>
        <v/>
      </c>
      <c r="D5753">
        <f>IF(B5753=C5753, "YES", "WRONG")</f>
        <v/>
      </c>
    </row>
    <row r="5754">
      <c r="A5754" t="n">
        <v>5753</v>
      </c>
      <c r="B5754" t="inlineStr">
        <is>
          <t>V̅DCCLIII</t>
        </is>
      </c>
      <c r="C5754">
        <f>ROMAN(5753)</f>
        <v/>
      </c>
      <c r="D5754">
        <f>IF(B5754=C5754, "YES", "WRONG")</f>
        <v/>
      </c>
    </row>
    <row r="5755">
      <c r="A5755" t="n">
        <v>5754</v>
      </c>
      <c r="B5755" t="inlineStr">
        <is>
          <t>V̅DCCLIV</t>
        </is>
      </c>
      <c r="C5755">
        <f>ROMAN(5754)</f>
        <v/>
      </c>
      <c r="D5755">
        <f>IF(B5755=C5755, "YES", "WRONG")</f>
        <v/>
      </c>
    </row>
    <row r="5756">
      <c r="A5756" t="n">
        <v>5755</v>
      </c>
      <c r="B5756" t="inlineStr">
        <is>
          <t>V̅DCCLV</t>
        </is>
      </c>
      <c r="C5756">
        <f>ROMAN(5755)</f>
        <v/>
      </c>
      <c r="D5756">
        <f>IF(B5756=C5756, "YES", "WRONG")</f>
        <v/>
      </c>
    </row>
    <row r="5757">
      <c r="A5757" t="n">
        <v>5756</v>
      </c>
      <c r="B5757" t="inlineStr">
        <is>
          <t>V̅DCCLVI</t>
        </is>
      </c>
      <c r="C5757">
        <f>ROMAN(5756)</f>
        <v/>
      </c>
      <c r="D5757">
        <f>IF(B5757=C5757, "YES", "WRONG")</f>
        <v/>
      </c>
    </row>
    <row r="5758">
      <c r="A5758" t="n">
        <v>5757</v>
      </c>
      <c r="B5758" t="inlineStr">
        <is>
          <t>V̅DCCLVII</t>
        </is>
      </c>
      <c r="C5758">
        <f>ROMAN(5757)</f>
        <v/>
      </c>
      <c r="D5758">
        <f>IF(B5758=C5758, "YES", "WRONG")</f>
        <v/>
      </c>
    </row>
    <row r="5759">
      <c r="A5759" t="n">
        <v>5758</v>
      </c>
      <c r="B5759" t="inlineStr">
        <is>
          <t>V̅DCCLVIII</t>
        </is>
      </c>
      <c r="C5759">
        <f>ROMAN(5758)</f>
        <v/>
      </c>
      <c r="D5759">
        <f>IF(B5759=C5759, "YES", "WRONG")</f>
        <v/>
      </c>
    </row>
    <row r="5760">
      <c r="A5760" t="n">
        <v>5759</v>
      </c>
      <c r="B5760" t="inlineStr">
        <is>
          <t>V̅DCCLIX</t>
        </is>
      </c>
      <c r="C5760">
        <f>ROMAN(5759)</f>
        <v/>
      </c>
      <c r="D5760">
        <f>IF(B5760=C5760, "YES", "WRONG")</f>
        <v/>
      </c>
    </row>
    <row r="5761">
      <c r="A5761" t="n">
        <v>5760</v>
      </c>
      <c r="B5761" t="inlineStr">
        <is>
          <t>V̅DCCLX</t>
        </is>
      </c>
      <c r="C5761">
        <f>ROMAN(5760)</f>
        <v/>
      </c>
      <c r="D5761">
        <f>IF(B5761=C5761, "YES", "WRONG")</f>
        <v/>
      </c>
    </row>
    <row r="5762">
      <c r="A5762" t="n">
        <v>5761</v>
      </c>
      <c r="B5762" t="inlineStr">
        <is>
          <t>V̅DCCLXI</t>
        </is>
      </c>
      <c r="C5762">
        <f>ROMAN(5761)</f>
        <v/>
      </c>
      <c r="D5762">
        <f>IF(B5762=C5762, "YES", "WRONG")</f>
        <v/>
      </c>
    </row>
    <row r="5763">
      <c r="A5763" t="n">
        <v>5762</v>
      </c>
      <c r="B5763" t="inlineStr">
        <is>
          <t>V̅DCCLXII</t>
        </is>
      </c>
      <c r="C5763">
        <f>ROMAN(5762)</f>
        <v/>
      </c>
      <c r="D5763">
        <f>IF(B5763=C5763, "YES", "WRONG")</f>
        <v/>
      </c>
    </row>
    <row r="5764">
      <c r="A5764" t="n">
        <v>5763</v>
      </c>
      <c r="B5764" t="inlineStr">
        <is>
          <t>V̅DCCLXIII</t>
        </is>
      </c>
      <c r="C5764">
        <f>ROMAN(5763)</f>
        <v/>
      </c>
      <c r="D5764">
        <f>IF(B5764=C5764, "YES", "WRONG")</f>
        <v/>
      </c>
    </row>
    <row r="5765">
      <c r="A5765" t="n">
        <v>5764</v>
      </c>
      <c r="B5765" t="inlineStr">
        <is>
          <t>V̅DCCLXIV</t>
        </is>
      </c>
      <c r="C5765">
        <f>ROMAN(5764)</f>
        <v/>
      </c>
      <c r="D5765">
        <f>IF(B5765=C5765, "YES", "WRONG")</f>
        <v/>
      </c>
    </row>
    <row r="5766">
      <c r="A5766" t="n">
        <v>5765</v>
      </c>
      <c r="B5766" t="inlineStr">
        <is>
          <t>V̅DCCLXV</t>
        </is>
      </c>
      <c r="C5766">
        <f>ROMAN(5765)</f>
        <v/>
      </c>
      <c r="D5766">
        <f>IF(B5766=C5766, "YES", "WRONG")</f>
        <v/>
      </c>
    </row>
    <row r="5767">
      <c r="A5767" t="n">
        <v>5766</v>
      </c>
      <c r="B5767" t="inlineStr">
        <is>
          <t>V̅DCCLXVI</t>
        </is>
      </c>
      <c r="C5767">
        <f>ROMAN(5766)</f>
        <v/>
      </c>
      <c r="D5767">
        <f>IF(B5767=C5767, "YES", "WRONG")</f>
        <v/>
      </c>
    </row>
    <row r="5768">
      <c r="A5768" t="n">
        <v>5767</v>
      </c>
      <c r="B5768" t="inlineStr">
        <is>
          <t>V̅DCCLXVII</t>
        </is>
      </c>
      <c r="C5768">
        <f>ROMAN(5767)</f>
        <v/>
      </c>
      <c r="D5768">
        <f>IF(B5768=C5768, "YES", "WRONG")</f>
        <v/>
      </c>
    </row>
    <row r="5769">
      <c r="A5769" t="n">
        <v>5768</v>
      </c>
      <c r="B5769" t="inlineStr">
        <is>
          <t>V̅DCCLXVIII</t>
        </is>
      </c>
      <c r="C5769">
        <f>ROMAN(5768)</f>
        <v/>
      </c>
      <c r="D5769">
        <f>IF(B5769=C5769, "YES", "WRONG")</f>
        <v/>
      </c>
    </row>
    <row r="5770">
      <c r="A5770" t="n">
        <v>5769</v>
      </c>
      <c r="B5770" t="inlineStr">
        <is>
          <t>V̅DCCLXIX</t>
        </is>
      </c>
      <c r="C5770">
        <f>ROMAN(5769)</f>
        <v/>
      </c>
      <c r="D5770">
        <f>IF(B5770=C5770, "YES", "WRONG")</f>
        <v/>
      </c>
    </row>
    <row r="5771">
      <c r="A5771" t="n">
        <v>5770</v>
      </c>
      <c r="B5771" t="inlineStr">
        <is>
          <t>V̅DCCLXX</t>
        </is>
      </c>
      <c r="C5771">
        <f>ROMAN(5770)</f>
        <v/>
      </c>
      <c r="D5771">
        <f>IF(B5771=C5771, "YES", "WRONG")</f>
        <v/>
      </c>
    </row>
    <row r="5772">
      <c r="A5772" t="n">
        <v>5771</v>
      </c>
      <c r="B5772" t="inlineStr">
        <is>
          <t>V̅DCCLXXI</t>
        </is>
      </c>
      <c r="C5772">
        <f>ROMAN(5771)</f>
        <v/>
      </c>
      <c r="D5772">
        <f>IF(B5772=C5772, "YES", "WRONG")</f>
        <v/>
      </c>
    </row>
    <row r="5773">
      <c r="A5773" t="n">
        <v>5772</v>
      </c>
      <c r="B5773" t="inlineStr">
        <is>
          <t>V̅DCCLXXII</t>
        </is>
      </c>
      <c r="C5773">
        <f>ROMAN(5772)</f>
        <v/>
      </c>
      <c r="D5773">
        <f>IF(B5773=C5773, "YES", "WRONG")</f>
        <v/>
      </c>
    </row>
    <row r="5774">
      <c r="A5774" t="n">
        <v>5773</v>
      </c>
      <c r="B5774" t="inlineStr">
        <is>
          <t>V̅DCCLXXIII</t>
        </is>
      </c>
      <c r="C5774">
        <f>ROMAN(5773)</f>
        <v/>
      </c>
      <c r="D5774">
        <f>IF(B5774=C5774, "YES", "WRONG")</f>
        <v/>
      </c>
    </row>
    <row r="5775">
      <c r="A5775" t="n">
        <v>5774</v>
      </c>
      <c r="B5775" t="inlineStr">
        <is>
          <t>V̅DCCLXXIV</t>
        </is>
      </c>
      <c r="C5775">
        <f>ROMAN(5774)</f>
        <v/>
      </c>
      <c r="D5775">
        <f>IF(B5775=C5775, "YES", "WRONG")</f>
        <v/>
      </c>
    </row>
    <row r="5776">
      <c r="A5776" t="n">
        <v>5775</v>
      </c>
      <c r="B5776" t="inlineStr">
        <is>
          <t>V̅DCCLXXV</t>
        </is>
      </c>
      <c r="C5776">
        <f>ROMAN(5775)</f>
        <v/>
      </c>
      <c r="D5776">
        <f>IF(B5776=C5776, "YES", "WRONG")</f>
        <v/>
      </c>
    </row>
    <row r="5777">
      <c r="A5777" t="n">
        <v>5776</v>
      </c>
      <c r="B5777" t="inlineStr">
        <is>
          <t>V̅DCCLXXVI</t>
        </is>
      </c>
      <c r="C5777">
        <f>ROMAN(5776)</f>
        <v/>
      </c>
      <c r="D5777">
        <f>IF(B5777=C5777, "YES", "WRONG")</f>
        <v/>
      </c>
    </row>
    <row r="5778">
      <c r="A5778" t="n">
        <v>5777</v>
      </c>
      <c r="B5778" t="inlineStr">
        <is>
          <t>V̅DCCLXXVII</t>
        </is>
      </c>
      <c r="C5778">
        <f>ROMAN(5777)</f>
        <v/>
      </c>
      <c r="D5778">
        <f>IF(B5778=C5778, "YES", "WRONG")</f>
        <v/>
      </c>
    </row>
    <row r="5779">
      <c r="A5779" t="n">
        <v>5778</v>
      </c>
      <c r="B5779" t="inlineStr">
        <is>
          <t>V̅DCCLXXVIII</t>
        </is>
      </c>
      <c r="C5779">
        <f>ROMAN(5778)</f>
        <v/>
      </c>
      <c r="D5779">
        <f>IF(B5779=C5779, "YES", "WRONG")</f>
        <v/>
      </c>
    </row>
    <row r="5780">
      <c r="A5780" t="n">
        <v>5779</v>
      </c>
      <c r="B5780" t="inlineStr">
        <is>
          <t>V̅DCCLXXIX</t>
        </is>
      </c>
      <c r="C5780">
        <f>ROMAN(5779)</f>
        <v/>
      </c>
      <c r="D5780">
        <f>IF(B5780=C5780, "YES", "WRONG")</f>
        <v/>
      </c>
    </row>
    <row r="5781">
      <c r="A5781" t="n">
        <v>5780</v>
      </c>
      <c r="B5781" t="inlineStr">
        <is>
          <t>V̅DCCLXXX</t>
        </is>
      </c>
      <c r="C5781">
        <f>ROMAN(5780)</f>
        <v/>
      </c>
      <c r="D5781">
        <f>IF(B5781=C5781, "YES", "WRONG")</f>
        <v/>
      </c>
    </row>
    <row r="5782">
      <c r="A5782" t="n">
        <v>5781</v>
      </c>
      <c r="B5782" t="inlineStr">
        <is>
          <t>V̅DCCLXXXI</t>
        </is>
      </c>
      <c r="C5782">
        <f>ROMAN(5781)</f>
        <v/>
      </c>
      <c r="D5782">
        <f>IF(B5782=C5782, "YES", "WRONG")</f>
        <v/>
      </c>
    </row>
    <row r="5783">
      <c r="A5783" t="n">
        <v>5782</v>
      </c>
      <c r="B5783" t="inlineStr">
        <is>
          <t>V̅DCCLXXXII</t>
        </is>
      </c>
      <c r="C5783">
        <f>ROMAN(5782)</f>
        <v/>
      </c>
      <c r="D5783">
        <f>IF(B5783=C5783, "YES", "WRONG")</f>
        <v/>
      </c>
    </row>
    <row r="5784">
      <c r="A5784" t="n">
        <v>5783</v>
      </c>
      <c r="B5784" t="inlineStr">
        <is>
          <t>V̅DCCLXXXIII</t>
        </is>
      </c>
      <c r="C5784">
        <f>ROMAN(5783)</f>
        <v/>
      </c>
      <c r="D5784">
        <f>IF(B5784=C5784, "YES", "WRONG")</f>
        <v/>
      </c>
    </row>
    <row r="5785">
      <c r="A5785" t="n">
        <v>5784</v>
      </c>
      <c r="B5785" t="inlineStr">
        <is>
          <t>V̅DCCLXXXIV</t>
        </is>
      </c>
      <c r="C5785">
        <f>ROMAN(5784)</f>
        <v/>
      </c>
      <c r="D5785">
        <f>IF(B5785=C5785, "YES", "WRONG")</f>
        <v/>
      </c>
    </row>
    <row r="5786">
      <c r="A5786" t="n">
        <v>5785</v>
      </c>
      <c r="B5786" t="inlineStr">
        <is>
          <t>V̅DCCLXXXV</t>
        </is>
      </c>
      <c r="C5786">
        <f>ROMAN(5785)</f>
        <v/>
      </c>
      <c r="D5786">
        <f>IF(B5786=C5786, "YES", "WRONG")</f>
        <v/>
      </c>
    </row>
    <row r="5787">
      <c r="A5787" t="n">
        <v>5786</v>
      </c>
      <c r="B5787" t="inlineStr">
        <is>
          <t>V̅DCCLXXXVI</t>
        </is>
      </c>
      <c r="C5787">
        <f>ROMAN(5786)</f>
        <v/>
      </c>
      <c r="D5787">
        <f>IF(B5787=C5787, "YES", "WRONG")</f>
        <v/>
      </c>
    </row>
    <row r="5788">
      <c r="A5788" t="n">
        <v>5787</v>
      </c>
      <c r="B5788" t="inlineStr">
        <is>
          <t>V̅DCCLXXXVII</t>
        </is>
      </c>
      <c r="C5788">
        <f>ROMAN(5787)</f>
        <v/>
      </c>
      <c r="D5788">
        <f>IF(B5788=C5788, "YES", "WRONG")</f>
        <v/>
      </c>
    </row>
    <row r="5789">
      <c r="A5789" t="n">
        <v>5788</v>
      </c>
      <c r="B5789" t="inlineStr">
        <is>
          <t>V̅DCCLXXXVIII</t>
        </is>
      </c>
      <c r="C5789">
        <f>ROMAN(5788)</f>
        <v/>
      </c>
      <c r="D5789">
        <f>IF(B5789=C5789, "YES", "WRONG")</f>
        <v/>
      </c>
    </row>
    <row r="5790">
      <c r="A5790" t="n">
        <v>5789</v>
      </c>
      <c r="B5790" t="inlineStr">
        <is>
          <t>V̅DCCLXXXIX</t>
        </is>
      </c>
      <c r="C5790">
        <f>ROMAN(5789)</f>
        <v/>
      </c>
      <c r="D5790">
        <f>IF(B5790=C5790, "YES", "WRONG")</f>
        <v/>
      </c>
    </row>
    <row r="5791">
      <c r="A5791" t="n">
        <v>5790</v>
      </c>
      <c r="B5791" t="inlineStr">
        <is>
          <t>V̅DCCXC</t>
        </is>
      </c>
      <c r="C5791">
        <f>ROMAN(5790)</f>
        <v/>
      </c>
      <c r="D5791">
        <f>IF(B5791=C5791, "YES", "WRONG")</f>
        <v/>
      </c>
    </row>
    <row r="5792">
      <c r="A5792" t="n">
        <v>5791</v>
      </c>
      <c r="B5792" t="inlineStr">
        <is>
          <t>V̅DCCXCI</t>
        </is>
      </c>
      <c r="C5792">
        <f>ROMAN(5791)</f>
        <v/>
      </c>
      <c r="D5792">
        <f>IF(B5792=C5792, "YES", "WRONG")</f>
        <v/>
      </c>
    </row>
    <row r="5793">
      <c r="A5793" t="n">
        <v>5792</v>
      </c>
      <c r="B5793" t="inlineStr">
        <is>
          <t>V̅DCCXCII</t>
        </is>
      </c>
      <c r="C5793">
        <f>ROMAN(5792)</f>
        <v/>
      </c>
      <c r="D5793">
        <f>IF(B5793=C5793, "YES", "WRONG")</f>
        <v/>
      </c>
    </row>
    <row r="5794">
      <c r="A5794" t="n">
        <v>5793</v>
      </c>
      <c r="B5794" t="inlineStr">
        <is>
          <t>V̅DCCXCIII</t>
        </is>
      </c>
      <c r="C5794">
        <f>ROMAN(5793)</f>
        <v/>
      </c>
      <c r="D5794">
        <f>IF(B5794=C5794, "YES", "WRONG")</f>
        <v/>
      </c>
    </row>
    <row r="5795">
      <c r="A5795" t="n">
        <v>5794</v>
      </c>
      <c r="B5795" t="inlineStr">
        <is>
          <t>V̅DCCXCIV</t>
        </is>
      </c>
      <c r="C5795">
        <f>ROMAN(5794)</f>
        <v/>
      </c>
      <c r="D5795">
        <f>IF(B5795=C5795, "YES", "WRONG")</f>
        <v/>
      </c>
    </row>
    <row r="5796">
      <c r="A5796" t="n">
        <v>5795</v>
      </c>
      <c r="B5796" t="inlineStr">
        <is>
          <t>V̅DCCXCV</t>
        </is>
      </c>
      <c r="C5796">
        <f>ROMAN(5795)</f>
        <v/>
      </c>
      <c r="D5796">
        <f>IF(B5796=C5796, "YES", "WRONG")</f>
        <v/>
      </c>
    </row>
    <row r="5797">
      <c r="A5797" t="n">
        <v>5796</v>
      </c>
      <c r="B5797" t="inlineStr">
        <is>
          <t>V̅DCCXCVI</t>
        </is>
      </c>
      <c r="C5797">
        <f>ROMAN(5796)</f>
        <v/>
      </c>
      <c r="D5797">
        <f>IF(B5797=C5797, "YES", "WRONG")</f>
        <v/>
      </c>
    </row>
    <row r="5798">
      <c r="A5798" t="n">
        <v>5797</v>
      </c>
      <c r="B5798" t="inlineStr">
        <is>
          <t>V̅DCCXCVII</t>
        </is>
      </c>
      <c r="C5798">
        <f>ROMAN(5797)</f>
        <v/>
      </c>
      <c r="D5798">
        <f>IF(B5798=C5798, "YES", "WRONG")</f>
        <v/>
      </c>
    </row>
    <row r="5799">
      <c r="A5799" t="n">
        <v>5798</v>
      </c>
      <c r="B5799" t="inlineStr">
        <is>
          <t>V̅DCCXCVIII</t>
        </is>
      </c>
      <c r="C5799">
        <f>ROMAN(5798)</f>
        <v/>
      </c>
      <c r="D5799">
        <f>IF(B5799=C5799, "YES", "WRONG")</f>
        <v/>
      </c>
    </row>
    <row r="5800">
      <c r="A5800" t="n">
        <v>5799</v>
      </c>
      <c r="B5800" t="inlineStr">
        <is>
          <t>V̅DCCXCIX</t>
        </is>
      </c>
      <c r="C5800">
        <f>ROMAN(5799)</f>
        <v/>
      </c>
      <c r="D5800">
        <f>IF(B5800=C5800, "YES", "WRONG")</f>
        <v/>
      </c>
    </row>
    <row r="5801">
      <c r="A5801" t="n">
        <v>5800</v>
      </c>
      <c r="B5801" t="inlineStr">
        <is>
          <t>V̅DCCC</t>
        </is>
      </c>
      <c r="C5801">
        <f>ROMAN(5800)</f>
        <v/>
      </c>
      <c r="D5801">
        <f>IF(B5801=C5801, "YES", "WRONG")</f>
        <v/>
      </c>
    </row>
    <row r="5802">
      <c r="A5802" t="n">
        <v>5801</v>
      </c>
      <c r="B5802" t="inlineStr">
        <is>
          <t>V̅DCCCI</t>
        </is>
      </c>
      <c r="C5802">
        <f>ROMAN(5801)</f>
        <v/>
      </c>
      <c r="D5802">
        <f>IF(B5802=C5802, "YES", "WRONG")</f>
        <v/>
      </c>
    </row>
    <row r="5803">
      <c r="A5803" t="n">
        <v>5802</v>
      </c>
      <c r="B5803" t="inlineStr">
        <is>
          <t>V̅DCCCII</t>
        </is>
      </c>
      <c r="C5803">
        <f>ROMAN(5802)</f>
        <v/>
      </c>
      <c r="D5803">
        <f>IF(B5803=C5803, "YES", "WRONG")</f>
        <v/>
      </c>
    </row>
    <row r="5804">
      <c r="A5804" t="n">
        <v>5803</v>
      </c>
      <c r="B5804" t="inlineStr">
        <is>
          <t>V̅DCCCIII</t>
        </is>
      </c>
      <c r="C5804">
        <f>ROMAN(5803)</f>
        <v/>
      </c>
      <c r="D5804">
        <f>IF(B5804=C5804, "YES", "WRONG")</f>
        <v/>
      </c>
    </row>
    <row r="5805">
      <c r="A5805" t="n">
        <v>5804</v>
      </c>
      <c r="B5805" t="inlineStr">
        <is>
          <t>V̅DCCCIV</t>
        </is>
      </c>
      <c r="C5805">
        <f>ROMAN(5804)</f>
        <v/>
      </c>
      <c r="D5805">
        <f>IF(B5805=C5805, "YES", "WRONG")</f>
        <v/>
      </c>
    </row>
    <row r="5806">
      <c r="A5806" t="n">
        <v>5805</v>
      </c>
      <c r="B5806" t="inlineStr">
        <is>
          <t>V̅DCCCV</t>
        </is>
      </c>
      <c r="C5806">
        <f>ROMAN(5805)</f>
        <v/>
      </c>
      <c r="D5806">
        <f>IF(B5806=C5806, "YES", "WRONG")</f>
        <v/>
      </c>
    </row>
    <row r="5807">
      <c r="A5807" t="n">
        <v>5806</v>
      </c>
      <c r="B5807" t="inlineStr">
        <is>
          <t>V̅DCCCVI</t>
        </is>
      </c>
      <c r="C5807">
        <f>ROMAN(5806)</f>
        <v/>
      </c>
      <c r="D5807">
        <f>IF(B5807=C5807, "YES", "WRONG")</f>
        <v/>
      </c>
    </row>
    <row r="5808">
      <c r="A5808" t="n">
        <v>5807</v>
      </c>
      <c r="B5808" t="inlineStr">
        <is>
          <t>V̅DCCCVII</t>
        </is>
      </c>
      <c r="C5808">
        <f>ROMAN(5807)</f>
        <v/>
      </c>
      <c r="D5808">
        <f>IF(B5808=C5808, "YES", "WRONG")</f>
        <v/>
      </c>
    </row>
    <row r="5809">
      <c r="A5809" t="n">
        <v>5808</v>
      </c>
      <c r="B5809" t="inlineStr">
        <is>
          <t>V̅DCCCVIII</t>
        </is>
      </c>
      <c r="C5809">
        <f>ROMAN(5808)</f>
        <v/>
      </c>
      <c r="D5809">
        <f>IF(B5809=C5809, "YES", "WRONG")</f>
        <v/>
      </c>
    </row>
    <row r="5810">
      <c r="A5810" t="n">
        <v>5809</v>
      </c>
      <c r="B5810" t="inlineStr">
        <is>
          <t>V̅DCCCIX</t>
        </is>
      </c>
      <c r="C5810">
        <f>ROMAN(5809)</f>
        <v/>
      </c>
      <c r="D5810">
        <f>IF(B5810=C5810, "YES", "WRONG")</f>
        <v/>
      </c>
    </row>
    <row r="5811">
      <c r="A5811" t="n">
        <v>5810</v>
      </c>
      <c r="B5811" t="inlineStr">
        <is>
          <t>V̅DCCCX</t>
        </is>
      </c>
      <c r="C5811">
        <f>ROMAN(5810)</f>
        <v/>
      </c>
      <c r="D5811">
        <f>IF(B5811=C5811, "YES", "WRONG")</f>
        <v/>
      </c>
    </row>
    <row r="5812">
      <c r="A5812" t="n">
        <v>5811</v>
      </c>
      <c r="B5812" t="inlineStr">
        <is>
          <t>V̅DCCCXI</t>
        </is>
      </c>
      <c r="C5812">
        <f>ROMAN(5811)</f>
        <v/>
      </c>
      <c r="D5812">
        <f>IF(B5812=C5812, "YES", "WRONG")</f>
        <v/>
      </c>
    </row>
    <row r="5813">
      <c r="A5813" t="n">
        <v>5812</v>
      </c>
      <c r="B5813" t="inlineStr">
        <is>
          <t>V̅DCCCXII</t>
        </is>
      </c>
      <c r="C5813">
        <f>ROMAN(5812)</f>
        <v/>
      </c>
      <c r="D5813">
        <f>IF(B5813=C5813, "YES", "WRONG")</f>
        <v/>
      </c>
    </row>
    <row r="5814">
      <c r="A5814" t="n">
        <v>5813</v>
      </c>
      <c r="B5814" t="inlineStr">
        <is>
          <t>V̅DCCCXIII</t>
        </is>
      </c>
      <c r="C5814">
        <f>ROMAN(5813)</f>
        <v/>
      </c>
      <c r="D5814">
        <f>IF(B5814=C5814, "YES", "WRONG")</f>
        <v/>
      </c>
    </row>
    <row r="5815">
      <c r="A5815" t="n">
        <v>5814</v>
      </c>
      <c r="B5815" t="inlineStr">
        <is>
          <t>V̅DCCCXIV</t>
        </is>
      </c>
      <c r="C5815">
        <f>ROMAN(5814)</f>
        <v/>
      </c>
      <c r="D5815">
        <f>IF(B5815=C5815, "YES", "WRONG")</f>
        <v/>
      </c>
    </row>
    <row r="5816">
      <c r="A5816" t="n">
        <v>5815</v>
      </c>
      <c r="B5816" t="inlineStr">
        <is>
          <t>V̅DCCCXV</t>
        </is>
      </c>
      <c r="C5816">
        <f>ROMAN(5815)</f>
        <v/>
      </c>
      <c r="D5816">
        <f>IF(B5816=C5816, "YES", "WRONG")</f>
        <v/>
      </c>
    </row>
    <row r="5817">
      <c r="A5817" t="n">
        <v>5816</v>
      </c>
      <c r="B5817" t="inlineStr">
        <is>
          <t>V̅DCCCXVI</t>
        </is>
      </c>
      <c r="C5817">
        <f>ROMAN(5816)</f>
        <v/>
      </c>
      <c r="D5817">
        <f>IF(B5817=C5817, "YES", "WRONG")</f>
        <v/>
      </c>
    </row>
    <row r="5818">
      <c r="A5818" t="n">
        <v>5817</v>
      </c>
      <c r="B5818" t="inlineStr">
        <is>
          <t>V̅DCCCXVII</t>
        </is>
      </c>
      <c r="C5818">
        <f>ROMAN(5817)</f>
        <v/>
      </c>
      <c r="D5818">
        <f>IF(B5818=C5818, "YES", "WRONG")</f>
        <v/>
      </c>
    </row>
    <row r="5819">
      <c r="A5819" t="n">
        <v>5818</v>
      </c>
      <c r="B5819" t="inlineStr">
        <is>
          <t>V̅DCCCXVIII</t>
        </is>
      </c>
      <c r="C5819">
        <f>ROMAN(5818)</f>
        <v/>
      </c>
      <c r="D5819">
        <f>IF(B5819=C5819, "YES", "WRONG")</f>
        <v/>
      </c>
    </row>
    <row r="5820">
      <c r="A5820" t="n">
        <v>5819</v>
      </c>
      <c r="B5820" t="inlineStr">
        <is>
          <t>V̅DCCCXIX</t>
        </is>
      </c>
      <c r="C5820">
        <f>ROMAN(5819)</f>
        <v/>
      </c>
      <c r="D5820">
        <f>IF(B5820=C5820, "YES", "WRONG")</f>
        <v/>
      </c>
    </row>
    <row r="5821">
      <c r="A5821" t="n">
        <v>5820</v>
      </c>
      <c r="B5821" t="inlineStr">
        <is>
          <t>V̅DCCCXX</t>
        </is>
      </c>
      <c r="C5821">
        <f>ROMAN(5820)</f>
        <v/>
      </c>
      <c r="D5821">
        <f>IF(B5821=C5821, "YES", "WRONG")</f>
        <v/>
      </c>
    </row>
    <row r="5822">
      <c r="A5822" t="n">
        <v>5821</v>
      </c>
      <c r="B5822" t="inlineStr">
        <is>
          <t>V̅DCCCXXI</t>
        </is>
      </c>
      <c r="C5822">
        <f>ROMAN(5821)</f>
        <v/>
      </c>
      <c r="D5822">
        <f>IF(B5822=C5822, "YES", "WRONG")</f>
        <v/>
      </c>
    </row>
    <row r="5823">
      <c r="A5823" t="n">
        <v>5822</v>
      </c>
      <c r="B5823" t="inlineStr">
        <is>
          <t>V̅DCCCXXII</t>
        </is>
      </c>
      <c r="C5823">
        <f>ROMAN(5822)</f>
        <v/>
      </c>
      <c r="D5823">
        <f>IF(B5823=C5823, "YES", "WRONG")</f>
        <v/>
      </c>
    </row>
    <row r="5824">
      <c r="A5824" t="n">
        <v>5823</v>
      </c>
      <c r="B5824" t="inlineStr">
        <is>
          <t>V̅DCCCXXIII</t>
        </is>
      </c>
      <c r="C5824">
        <f>ROMAN(5823)</f>
        <v/>
      </c>
      <c r="D5824">
        <f>IF(B5824=C5824, "YES", "WRONG")</f>
        <v/>
      </c>
    </row>
    <row r="5825">
      <c r="A5825" t="n">
        <v>5824</v>
      </c>
      <c r="B5825" t="inlineStr">
        <is>
          <t>V̅DCCCXXIV</t>
        </is>
      </c>
      <c r="C5825">
        <f>ROMAN(5824)</f>
        <v/>
      </c>
      <c r="D5825">
        <f>IF(B5825=C5825, "YES", "WRONG")</f>
        <v/>
      </c>
    </row>
    <row r="5826">
      <c r="A5826" t="n">
        <v>5825</v>
      </c>
      <c r="B5826" t="inlineStr">
        <is>
          <t>V̅DCCCXXV</t>
        </is>
      </c>
      <c r="C5826">
        <f>ROMAN(5825)</f>
        <v/>
      </c>
      <c r="D5826">
        <f>IF(B5826=C5826, "YES", "WRONG")</f>
        <v/>
      </c>
    </row>
    <row r="5827">
      <c r="A5827" t="n">
        <v>5826</v>
      </c>
      <c r="B5827" t="inlineStr">
        <is>
          <t>V̅DCCCXXVI</t>
        </is>
      </c>
      <c r="C5827">
        <f>ROMAN(5826)</f>
        <v/>
      </c>
      <c r="D5827">
        <f>IF(B5827=C5827, "YES", "WRONG")</f>
        <v/>
      </c>
    </row>
    <row r="5828">
      <c r="A5828" t="n">
        <v>5827</v>
      </c>
      <c r="B5828" t="inlineStr">
        <is>
          <t>V̅DCCCXXVII</t>
        </is>
      </c>
      <c r="C5828">
        <f>ROMAN(5827)</f>
        <v/>
      </c>
      <c r="D5828">
        <f>IF(B5828=C5828, "YES", "WRONG")</f>
        <v/>
      </c>
    </row>
    <row r="5829">
      <c r="A5829" t="n">
        <v>5828</v>
      </c>
      <c r="B5829" t="inlineStr">
        <is>
          <t>V̅DCCCXXVIII</t>
        </is>
      </c>
      <c r="C5829">
        <f>ROMAN(5828)</f>
        <v/>
      </c>
      <c r="D5829">
        <f>IF(B5829=C5829, "YES", "WRONG")</f>
        <v/>
      </c>
    </row>
    <row r="5830">
      <c r="A5830" t="n">
        <v>5829</v>
      </c>
      <c r="B5830" t="inlineStr">
        <is>
          <t>V̅DCCCXXIX</t>
        </is>
      </c>
      <c r="C5830">
        <f>ROMAN(5829)</f>
        <v/>
      </c>
      <c r="D5830">
        <f>IF(B5830=C5830, "YES", "WRONG")</f>
        <v/>
      </c>
    </row>
    <row r="5831">
      <c r="A5831" t="n">
        <v>5830</v>
      </c>
      <c r="B5831" t="inlineStr">
        <is>
          <t>V̅DCCCXXX</t>
        </is>
      </c>
      <c r="C5831">
        <f>ROMAN(5830)</f>
        <v/>
      </c>
      <c r="D5831">
        <f>IF(B5831=C5831, "YES", "WRONG")</f>
        <v/>
      </c>
    </row>
    <row r="5832">
      <c r="A5832" t="n">
        <v>5831</v>
      </c>
      <c r="B5832" t="inlineStr">
        <is>
          <t>V̅DCCCXXXI</t>
        </is>
      </c>
      <c r="C5832">
        <f>ROMAN(5831)</f>
        <v/>
      </c>
      <c r="D5832">
        <f>IF(B5832=C5832, "YES", "WRONG")</f>
        <v/>
      </c>
    </row>
    <row r="5833">
      <c r="A5833" t="n">
        <v>5832</v>
      </c>
      <c r="B5833" t="inlineStr">
        <is>
          <t>V̅DCCCXXXII</t>
        </is>
      </c>
      <c r="C5833">
        <f>ROMAN(5832)</f>
        <v/>
      </c>
      <c r="D5833">
        <f>IF(B5833=C5833, "YES", "WRONG")</f>
        <v/>
      </c>
    </row>
    <row r="5834">
      <c r="A5834" t="n">
        <v>5833</v>
      </c>
      <c r="B5834" t="inlineStr">
        <is>
          <t>V̅DCCCXXXIII</t>
        </is>
      </c>
      <c r="C5834">
        <f>ROMAN(5833)</f>
        <v/>
      </c>
      <c r="D5834">
        <f>IF(B5834=C5834, "YES", "WRONG")</f>
        <v/>
      </c>
    </row>
    <row r="5835">
      <c r="A5835" t="n">
        <v>5834</v>
      </c>
      <c r="B5835" t="inlineStr">
        <is>
          <t>V̅DCCCXXXIV</t>
        </is>
      </c>
      <c r="C5835">
        <f>ROMAN(5834)</f>
        <v/>
      </c>
      <c r="D5835">
        <f>IF(B5835=C5835, "YES", "WRONG")</f>
        <v/>
      </c>
    </row>
    <row r="5836">
      <c r="A5836" t="n">
        <v>5835</v>
      </c>
      <c r="B5836" t="inlineStr">
        <is>
          <t>V̅DCCCXXXV</t>
        </is>
      </c>
      <c r="C5836">
        <f>ROMAN(5835)</f>
        <v/>
      </c>
      <c r="D5836">
        <f>IF(B5836=C5836, "YES", "WRONG")</f>
        <v/>
      </c>
    </row>
    <row r="5837">
      <c r="A5837" t="n">
        <v>5836</v>
      </c>
      <c r="B5837" t="inlineStr">
        <is>
          <t>V̅DCCCXXXVI</t>
        </is>
      </c>
      <c r="C5837">
        <f>ROMAN(5836)</f>
        <v/>
      </c>
      <c r="D5837">
        <f>IF(B5837=C5837, "YES", "WRONG")</f>
        <v/>
      </c>
    </row>
    <row r="5838">
      <c r="A5838" t="n">
        <v>5837</v>
      </c>
      <c r="B5838" t="inlineStr">
        <is>
          <t>V̅DCCCXXXVII</t>
        </is>
      </c>
      <c r="C5838">
        <f>ROMAN(5837)</f>
        <v/>
      </c>
      <c r="D5838">
        <f>IF(B5838=C5838, "YES", "WRONG")</f>
        <v/>
      </c>
    </row>
    <row r="5839">
      <c r="A5839" t="n">
        <v>5838</v>
      </c>
      <c r="B5839" t="inlineStr">
        <is>
          <t>V̅DCCCXXXVIII</t>
        </is>
      </c>
      <c r="C5839">
        <f>ROMAN(5838)</f>
        <v/>
      </c>
      <c r="D5839">
        <f>IF(B5839=C5839, "YES", "WRONG")</f>
        <v/>
      </c>
    </row>
    <row r="5840">
      <c r="A5840" t="n">
        <v>5839</v>
      </c>
      <c r="B5840" t="inlineStr">
        <is>
          <t>V̅DCCCXXXIX</t>
        </is>
      </c>
      <c r="C5840">
        <f>ROMAN(5839)</f>
        <v/>
      </c>
      <c r="D5840">
        <f>IF(B5840=C5840, "YES", "WRONG")</f>
        <v/>
      </c>
    </row>
    <row r="5841">
      <c r="A5841" t="n">
        <v>5840</v>
      </c>
      <c r="B5841" t="inlineStr">
        <is>
          <t>V̅DCCCXL</t>
        </is>
      </c>
      <c r="C5841">
        <f>ROMAN(5840)</f>
        <v/>
      </c>
      <c r="D5841">
        <f>IF(B5841=C5841, "YES", "WRONG")</f>
        <v/>
      </c>
    </row>
    <row r="5842">
      <c r="A5842" t="n">
        <v>5841</v>
      </c>
      <c r="B5842" t="inlineStr">
        <is>
          <t>V̅DCCCXLI</t>
        </is>
      </c>
      <c r="C5842">
        <f>ROMAN(5841)</f>
        <v/>
      </c>
      <c r="D5842">
        <f>IF(B5842=C5842, "YES", "WRONG")</f>
        <v/>
      </c>
    </row>
    <row r="5843">
      <c r="A5843" t="n">
        <v>5842</v>
      </c>
      <c r="B5843" t="inlineStr">
        <is>
          <t>V̅DCCCXLII</t>
        </is>
      </c>
      <c r="C5843">
        <f>ROMAN(5842)</f>
        <v/>
      </c>
      <c r="D5843">
        <f>IF(B5843=C5843, "YES", "WRONG")</f>
        <v/>
      </c>
    </row>
    <row r="5844">
      <c r="A5844" t="n">
        <v>5843</v>
      </c>
      <c r="B5844" t="inlineStr">
        <is>
          <t>V̅DCCCXLIII</t>
        </is>
      </c>
      <c r="C5844">
        <f>ROMAN(5843)</f>
        <v/>
      </c>
      <c r="D5844">
        <f>IF(B5844=C5844, "YES", "WRONG")</f>
        <v/>
      </c>
    </row>
    <row r="5845">
      <c r="A5845" t="n">
        <v>5844</v>
      </c>
      <c r="B5845" t="inlineStr">
        <is>
          <t>V̅DCCCXLIV</t>
        </is>
      </c>
      <c r="C5845">
        <f>ROMAN(5844)</f>
        <v/>
      </c>
      <c r="D5845">
        <f>IF(B5845=C5845, "YES", "WRONG")</f>
        <v/>
      </c>
    </row>
    <row r="5846">
      <c r="A5846" t="n">
        <v>5845</v>
      </c>
      <c r="B5846" t="inlineStr">
        <is>
          <t>V̅DCCCXLV</t>
        </is>
      </c>
      <c r="C5846">
        <f>ROMAN(5845)</f>
        <v/>
      </c>
      <c r="D5846">
        <f>IF(B5846=C5846, "YES", "WRONG")</f>
        <v/>
      </c>
    </row>
    <row r="5847">
      <c r="A5847" t="n">
        <v>5846</v>
      </c>
      <c r="B5847" t="inlineStr">
        <is>
          <t>V̅DCCCXLVI</t>
        </is>
      </c>
      <c r="C5847">
        <f>ROMAN(5846)</f>
        <v/>
      </c>
      <c r="D5847">
        <f>IF(B5847=C5847, "YES", "WRONG")</f>
        <v/>
      </c>
    </row>
    <row r="5848">
      <c r="A5848" t="n">
        <v>5847</v>
      </c>
      <c r="B5848" t="inlineStr">
        <is>
          <t>V̅DCCCXLVII</t>
        </is>
      </c>
      <c r="C5848">
        <f>ROMAN(5847)</f>
        <v/>
      </c>
      <c r="D5848">
        <f>IF(B5848=C5848, "YES", "WRONG")</f>
        <v/>
      </c>
    </row>
    <row r="5849">
      <c r="A5849" t="n">
        <v>5848</v>
      </c>
      <c r="B5849" t="inlineStr">
        <is>
          <t>V̅DCCCXLVIII</t>
        </is>
      </c>
      <c r="C5849">
        <f>ROMAN(5848)</f>
        <v/>
      </c>
      <c r="D5849">
        <f>IF(B5849=C5849, "YES", "WRONG")</f>
        <v/>
      </c>
    </row>
    <row r="5850">
      <c r="A5850" t="n">
        <v>5849</v>
      </c>
      <c r="B5850" t="inlineStr">
        <is>
          <t>V̅DCCCXLIX</t>
        </is>
      </c>
      <c r="C5850">
        <f>ROMAN(5849)</f>
        <v/>
      </c>
      <c r="D5850">
        <f>IF(B5850=C5850, "YES", "WRONG")</f>
        <v/>
      </c>
    </row>
    <row r="5851">
      <c r="A5851" t="n">
        <v>5850</v>
      </c>
      <c r="B5851" t="inlineStr">
        <is>
          <t>V̅DCCCL</t>
        </is>
      </c>
      <c r="C5851">
        <f>ROMAN(5850)</f>
        <v/>
      </c>
      <c r="D5851">
        <f>IF(B5851=C5851, "YES", "WRONG")</f>
        <v/>
      </c>
    </row>
    <row r="5852">
      <c r="A5852" t="n">
        <v>5851</v>
      </c>
      <c r="B5852" t="inlineStr">
        <is>
          <t>V̅DCCCLI</t>
        </is>
      </c>
      <c r="C5852">
        <f>ROMAN(5851)</f>
        <v/>
      </c>
      <c r="D5852">
        <f>IF(B5852=C5852, "YES", "WRONG")</f>
        <v/>
      </c>
    </row>
    <row r="5853">
      <c r="A5853" t="n">
        <v>5852</v>
      </c>
      <c r="B5853" t="inlineStr">
        <is>
          <t>V̅DCCCLII</t>
        </is>
      </c>
      <c r="C5853">
        <f>ROMAN(5852)</f>
        <v/>
      </c>
      <c r="D5853">
        <f>IF(B5853=C5853, "YES", "WRONG")</f>
        <v/>
      </c>
    </row>
    <row r="5854">
      <c r="A5854" t="n">
        <v>5853</v>
      </c>
      <c r="B5854" t="inlineStr">
        <is>
          <t>V̅DCCCLIII</t>
        </is>
      </c>
      <c r="C5854">
        <f>ROMAN(5853)</f>
        <v/>
      </c>
      <c r="D5854">
        <f>IF(B5854=C5854, "YES", "WRONG")</f>
        <v/>
      </c>
    </row>
    <row r="5855">
      <c r="A5855" t="n">
        <v>5854</v>
      </c>
      <c r="B5855" t="inlineStr">
        <is>
          <t>V̅DCCCLIV</t>
        </is>
      </c>
      <c r="C5855">
        <f>ROMAN(5854)</f>
        <v/>
      </c>
      <c r="D5855">
        <f>IF(B5855=C5855, "YES", "WRONG")</f>
        <v/>
      </c>
    </row>
    <row r="5856">
      <c r="A5856" t="n">
        <v>5855</v>
      </c>
      <c r="B5856" t="inlineStr">
        <is>
          <t>V̅DCCCLV</t>
        </is>
      </c>
      <c r="C5856">
        <f>ROMAN(5855)</f>
        <v/>
      </c>
      <c r="D5856">
        <f>IF(B5856=C5856, "YES", "WRONG")</f>
        <v/>
      </c>
    </row>
    <row r="5857">
      <c r="A5857" t="n">
        <v>5856</v>
      </c>
      <c r="B5857" t="inlineStr">
        <is>
          <t>V̅DCCCLVI</t>
        </is>
      </c>
      <c r="C5857">
        <f>ROMAN(5856)</f>
        <v/>
      </c>
      <c r="D5857">
        <f>IF(B5857=C5857, "YES", "WRONG")</f>
        <v/>
      </c>
    </row>
    <row r="5858">
      <c r="A5858" t="n">
        <v>5857</v>
      </c>
      <c r="B5858" t="inlineStr">
        <is>
          <t>V̅DCCCLVII</t>
        </is>
      </c>
      <c r="C5858">
        <f>ROMAN(5857)</f>
        <v/>
      </c>
      <c r="D5858">
        <f>IF(B5858=C5858, "YES", "WRONG")</f>
        <v/>
      </c>
    </row>
    <row r="5859">
      <c r="A5859" t="n">
        <v>5858</v>
      </c>
      <c r="B5859" t="inlineStr">
        <is>
          <t>V̅DCCCLVIII</t>
        </is>
      </c>
      <c r="C5859">
        <f>ROMAN(5858)</f>
        <v/>
      </c>
      <c r="D5859">
        <f>IF(B5859=C5859, "YES", "WRONG")</f>
        <v/>
      </c>
    </row>
    <row r="5860">
      <c r="A5860" t="n">
        <v>5859</v>
      </c>
      <c r="B5860" t="inlineStr">
        <is>
          <t>V̅DCCCLIX</t>
        </is>
      </c>
      <c r="C5860">
        <f>ROMAN(5859)</f>
        <v/>
      </c>
      <c r="D5860">
        <f>IF(B5860=C5860, "YES", "WRONG")</f>
        <v/>
      </c>
    </row>
    <row r="5861">
      <c r="A5861" t="n">
        <v>5860</v>
      </c>
      <c r="B5861" t="inlineStr">
        <is>
          <t>V̅DCCCLX</t>
        </is>
      </c>
      <c r="C5861">
        <f>ROMAN(5860)</f>
        <v/>
      </c>
      <c r="D5861">
        <f>IF(B5861=C5861, "YES", "WRONG")</f>
        <v/>
      </c>
    </row>
    <row r="5862">
      <c r="A5862" t="n">
        <v>5861</v>
      </c>
      <c r="B5862" t="inlineStr">
        <is>
          <t>V̅DCCCLXI</t>
        </is>
      </c>
      <c r="C5862">
        <f>ROMAN(5861)</f>
        <v/>
      </c>
      <c r="D5862">
        <f>IF(B5862=C5862, "YES", "WRONG")</f>
        <v/>
      </c>
    </row>
    <row r="5863">
      <c r="A5863" t="n">
        <v>5862</v>
      </c>
      <c r="B5863" t="inlineStr">
        <is>
          <t>V̅DCCCLXII</t>
        </is>
      </c>
      <c r="C5863">
        <f>ROMAN(5862)</f>
        <v/>
      </c>
      <c r="D5863">
        <f>IF(B5863=C5863, "YES", "WRONG")</f>
        <v/>
      </c>
    </row>
    <row r="5864">
      <c r="A5864" t="n">
        <v>5863</v>
      </c>
      <c r="B5864" t="inlineStr">
        <is>
          <t>V̅DCCCLXIII</t>
        </is>
      </c>
      <c r="C5864">
        <f>ROMAN(5863)</f>
        <v/>
      </c>
      <c r="D5864">
        <f>IF(B5864=C5864, "YES", "WRONG")</f>
        <v/>
      </c>
    </row>
    <row r="5865">
      <c r="A5865" t="n">
        <v>5864</v>
      </c>
      <c r="B5865" t="inlineStr">
        <is>
          <t>V̅DCCCLXIV</t>
        </is>
      </c>
      <c r="C5865">
        <f>ROMAN(5864)</f>
        <v/>
      </c>
      <c r="D5865">
        <f>IF(B5865=C5865, "YES", "WRONG")</f>
        <v/>
      </c>
    </row>
    <row r="5866">
      <c r="A5866" t="n">
        <v>5865</v>
      </c>
      <c r="B5866" t="inlineStr">
        <is>
          <t>V̅DCCCLXV</t>
        </is>
      </c>
      <c r="C5866">
        <f>ROMAN(5865)</f>
        <v/>
      </c>
      <c r="D5866">
        <f>IF(B5866=C5866, "YES", "WRONG")</f>
        <v/>
      </c>
    </row>
    <row r="5867">
      <c r="A5867" t="n">
        <v>5866</v>
      </c>
      <c r="B5867" t="inlineStr">
        <is>
          <t>V̅DCCCLXVI</t>
        </is>
      </c>
      <c r="C5867">
        <f>ROMAN(5866)</f>
        <v/>
      </c>
      <c r="D5867">
        <f>IF(B5867=C5867, "YES", "WRONG")</f>
        <v/>
      </c>
    </row>
    <row r="5868">
      <c r="A5868" t="n">
        <v>5867</v>
      </c>
      <c r="B5868" t="inlineStr">
        <is>
          <t>V̅DCCCLXVII</t>
        </is>
      </c>
      <c r="C5868">
        <f>ROMAN(5867)</f>
        <v/>
      </c>
      <c r="D5868">
        <f>IF(B5868=C5868, "YES", "WRONG")</f>
        <v/>
      </c>
    </row>
    <row r="5869">
      <c r="A5869" t="n">
        <v>5868</v>
      </c>
      <c r="B5869" t="inlineStr">
        <is>
          <t>V̅DCCCLXVIII</t>
        </is>
      </c>
      <c r="C5869">
        <f>ROMAN(5868)</f>
        <v/>
      </c>
      <c r="D5869">
        <f>IF(B5869=C5869, "YES", "WRONG")</f>
        <v/>
      </c>
    </row>
    <row r="5870">
      <c r="A5870" t="n">
        <v>5869</v>
      </c>
      <c r="B5870" t="inlineStr">
        <is>
          <t>V̅DCCCLXIX</t>
        </is>
      </c>
      <c r="C5870">
        <f>ROMAN(5869)</f>
        <v/>
      </c>
      <c r="D5870">
        <f>IF(B5870=C5870, "YES", "WRONG")</f>
        <v/>
      </c>
    </row>
    <row r="5871">
      <c r="A5871" t="n">
        <v>5870</v>
      </c>
      <c r="B5871" t="inlineStr">
        <is>
          <t>V̅DCCCLXX</t>
        </is>
      </c>
      <c r="C5871">
        <f>ROMAN(5870)</f>
        <v/>
      </c>
      <c r="D5871">
        <f>IF(B5871=C5871, "YES", "WRONG")</f>
        <v/>
      </c>
    </row>
    <row r="5872">
      <c r="A5872" t="n">
        <v>5871</v>
      </c>
      <c r="B5872" t="inlineStr">
        <is>
          <t>V̅DCCCLXXI</t>
        </is>
      </c>
      <c r="C5872">
        <f>ROMAN(5871)</f>
        <v/>
      </c>
      <c r="D5872">
        <f>IF(B5872=C5872, "YES", "WRONG")</f>
        <v/>
      </c>
    </row>
    <row r="5873">
      <c r="A5873" t="n">
        <v>5872</v>
      </c>
      <c r="B5873" t="inlineStr">
        <is>
          <t>V̅DCCCLXXII</t>
        </is>
      </c>
      <c r="C5873">
        <f>ROMAN(5872)</f>
        <v/>
      </c>
      <c r="D5873">
        <f>IF(B5873=C5873, "YES", "WRONG")</f>
        <v/>
      </c>
    </row>
    <row r="5874">
      <c r="A5874" t="n">
        <v>5873</v>
      </c>
      <c r="B5874" t="inlineStr">
        <is>
          <t>V̅DCCCLXXIII</t>
        </is>
      </c>
      <c r="C5874">
        <f>ROMAN(5873)</f>
        <v/>
      </c>
      <c r="D5874">
        <f>IF(B5874=C5874, "YES", "WRONG")</f>
        <v/>
      </c>
    </row>
    <row r="5875">
      <c r="A5875" t="n">
        <v>5874</v>
      </c>
      <c r="B5875" t="inlineStr">
        <is>
          <t>V̅DCCCLXXIV</t>
        </is>
      </c>
      <c r="C5875">
        <f>ROMAN(5874)</f>
        <v/>
      </c>
      <c r="D5875">
        <f>IF(B5875=C5875, "YES", "WRONG")</f>
        <v/>
      </c>
    </row>
    <row r="5876">
      <c r="A5876" t="n">
        <v>5875</v>
      </c>
      <c r="B5876" t="inlineStr">
        <is>
          <t>V̅DCCCLXXV</t>
        </is>
      </c>
      <c r="C5876">
        <f>ROMAN(5875)</f>
        <v/>
      </c>
      <c r="D5876">
        <f>IF(B5876=C5876, "YES", "WRONG")</f>
        <v/>
      </c>
    </row>
    <row r="5877">
      <c r="A5877" t="n">
        <v>5876</v>
      </c>
      <c r="B5877" t="inlineStr">
        <is>
          <t>V̅DCCCLXXVI</t>
        </is>
      </c>
      <c r="C5877">
        <f>ROMAN(5876)</f>
        <v/>
      </c>
      <c r="D5877">
        <f>IF(B5877=C5877, "YES", "WRONG")</f>
        <v/>
      </c>
    </row>
    <row r="5878">
      <c r="A5878" t="n">
        <v>5877</v>
      </c>
      <c r="B5878" t="inlineStr">
        <is>
          <t>V̅DCCCLXXVII</t>
        </is>
      </c>
      <c r="C5878">
        <f>ROMAN(5877)</f>
        <v/>
      </c>
      <c r="D5878">
        <f>IF(B5878=C5878, "YES", "WRONG")</f>
        <v/>
      </c>
    </row>
    <row r="5879">
      <c r="A5879" t="n">
        <v>5878</v>
      </c>
      <c r="B5879" t="inlineStr">
        <is>
          <t>V̅DCCCLXXVIII</t>
        </is>
      </c>
      <c r="C5879">
        <f>ROMAN(5878)</f>
        <v/>
      </c>
      <c r="D5879">
        <f>IF(B5879=C5879, "YES", "WRONG")</f>
        <v/>
      </c>
    </row>
    <row r="5880">
      <c r="A5880" t="n">
        <v>5879</v>
      </c>
      <c r="B5880" t="inlineStr">
        <is>
          <t>V̅DCCCLXXIX</t>
        </is>
      </c>
      <c r="C5880">
        <f>ROMAN(5879)</f>
        <v/>
      </c>
      <c r="D5880">
        <f>IF(B5880=C5880, "YES", "WRONG")</f>
        <v/>
      </c>
    </row>
    <row r="5881">
      <c r="A5881" t="n">
        <v>5880</v>
      </c>
      <c r="B5881" t="inlineStr">
        <is>
          <t>V̅DCCCLXXX</t>
        </is>
      </c>
      <c r="C5881">
        <f>ROMAN(5880)</f>
        <v/>
      </c>
      <c r="D5881">
        <f>IF(B5881=C5881, "YES", "WRONG")</f>
        <v/>
      </c>
    </row>
    <row r="5882">
      <c r="A5882" t="n">
        <v>5881</v>
      </c>
      <c r="B5882" t="inlineStr">
        <is>
          <t>V̅DCCCLXXXI</t>
        </is>
      </c>
      <c r="C5882">
        <f>ROMAN(5881)</f>
        <v/>
      </c>
      <c r="D5882">
        <f>IF(B5882=C5882, "YES", "WRONG")</f>
        <v/>
      </c>
    </row>
    <row r="5883">
      <c r="A5883" t="n">
        <v>5882</v>
      </c>
      <c r="B5883" t="inlineStr">
        <is>
          <t>V̅DCCCLXXXII</t>
        </is>
      </c>
      <c r="C5883">
        <f>ROMAN(5882)</f>
        <v/>
      </c>
      <c r="D5883">
        <f>IF(B5883=C5883, "YES", "WRONG")</f>
        <v/>
      </c>
    </row>
    <row r="5884">
      <c r="A5884" t="n">
        <v>5883</v>
      </c>
      <c r="B5884" t="inlineStr">
        <is>
          <t>V̅DCCCLXXXIII</t>
        </is>
      </c>
      <c r="C5884">
        <f>ROMAN(5883)</f>
        <v/>
      </c>
      <c r="D5884">
        <f>IF(B5884=C5884, "YES", "WRONG")</f>
        <v/>
      </c>
    </row>
    <row r="5885">
      <c r="A5885" t="n">
        <v>5884</v>
      </c>
      <c r="B5885" t="inlineStr">
        <is>
          <t>V̅DCCCLXXXIV</t>
        </is>
      </c>
      <c r="C5885">
        <f>ROMAN(5884)</f>
        <v/>
      </c>
      <c r="D5885">
        <f>IF(B5885=C5885, "YES", "WRONG")</f>
        <v/>
      </c>
    </row>
    <row r="5886">
      <c r="A5886" t="n">
        <v>5885</v>
      </c>
      <c r="B5886" t="inlineStr">
        <is>
          <t>V̅DCCCLXXXV</t>
        </is>
      </c>
      <c r="C5886">
        <f>ROMAN(5885)</f>
        <v/>
      </c>
      <c r="D5886">
        <f>IF(B5886=C5886, "YES", "WRONG")</f>
        <v/>
      </c>
    </row>
    <row r="5887">
      <c r="A5887" t="n">
        <v>5886</v>
      </c>
      <c r="B5887" t="inlineStr">
        <is>
          <t>V̅DCCCLXXXVI</t>
        </is>
      </c>
      <c r="C5887">
        <f>ROMAN(5886)</f>
        <v/>
      </c>
      <c r="D5887">
        <f>IF(B5887=C5887, "YES", "WRONG")</f>
        <v/>
      </c>
    </row>
    <row r="5888">
      <c r="A5888" t="n">
        <v>5887</v>
      </c>
      <c r="B5888" t="inlineStr">
        <is>
          <t>V̅DCCCLXXXVII</t>
        </is>
      </c>
      <c r="C5888">
        <f>ROMAN(5887)</f>
        <v/>
      </c>
      <c r="D5888">
        <f>IF(B5888=C5888, "YES", "WRONG")</f>
        <v/>
      </c>
    </row>
    <row r="5889">
      <c r="A5889" t="n">
        <v>5888</v>
      </c>
      <c r="B5889" t="inlineStr">
        <is>
          <t>V̅DCCCLXXXVIII</t>
        </is>
      </c>
      <c r="C5889">
        <f>ROMAN(5888)</f>
        <v/>
      </c>
      <c r="D5889">
        <f>IF(B5889=C5889, "YES", "WRONG")</f>
        <v/>
      </c>
    </row>
    <row r="5890">
      <c r="A5890" t="n">
        <v>5889</v>
      </c>
      <c r="B5890" t="inlineStr">
        <is>
          <t>V̅DCCCLXXXIX</t>
        </is>
      </c>
      <c r="C5890">
        <f>ROMAN(5889)</f>
        <v/>
      </c>
      <c r="D5890">
        <f>IF(B5890=C5890, "YES", "WRONG")</f>
        <v/>
      </c>
    </row>
    <row r="5891">
      <c r="A5891" t="n">
        <v>5890</v>
      </c>
      <c r="B5891" t="inlineStr">
        <is>
          <t>V̅DCCCXC</t>
        </is>
      </c>
      <c r="C5891">
        <f>ROMAN(5890)</f>
        <v/>
      </c>
      <c r="D5891">
        <f>IF(B5891=C5891, "YES", "WRONG")</f>
        <v/>
      </c>
    </row>
    <row r="5892">
      <c r="A5892" t="n">
        <v>5891</v>
      </c>
      <c r="B5892" t="inlineStr">
        <is>
          <t>V̅DCCCXCI</t>
        </is>
      </c>
      <c r="C5892">
        <f>ROMAN(5891)</f>
        <v/>
      </c>
      <c r="D5892">
        <f>IF(B5892=C5892, "YES", "WRONG")</f>
        <v/>
      </c>
    </row>
    <row r="5893">
      <c r="A5893" t="n">
        <v>5892</v>
      </c>
      <c r="B5893" t="inlineStr">
        <is>
          <t>V̅DCCCXCII</t>
        </is>
      </c>
      <c r="C5893">
        <f>ROMAN(5892)</f>
        <v/>
      </c>
      <c r="D5893">
        <f>IF(B5893=C5893, "YES", "WRONG")</f>
        <v/>
      </c>
    </row>
    <row r="5894">
      <c r="A5894" t="n">
        <v>5893</v>
      </c>
      <c r="B5894" t="inlineStr">
        <is>
          <t>V̅DCCCXCIII</t>
        </is>
      </c>
      <c r="C5894">
        <f>ROMAN(5893)</f>
        <v/>
      </c>
      <c r="D5894">
        <f>IF(B5894=C5894, "YES", "WRONG")</f>
        <v/>
      </c>
    </row>
    <row r="5895">
      <c r="A5895" t="n">
        <v>5894</v>
      </c>
      <c r="B5895" t="inlineStr">
        <is>
          <t>V̅DCCCXCIV</t>
        </is>
      </c>
      <c r="C5895">
        <f>ROMAN(5894)</f>
        <v/>
      </c>
      <c r="D5895">
        <f>IF(B5895=C5895, "YES", "WRONG")</f>
        <v/>
      </c>
    </row>
    <row r="5896">
      <c r="A5896" t="n">
        <v>5895</v>
      </c>
      <c r="B5896" t="inlineStr">
        <is>
          <t>V̅DCCCXCV</t>
        </is>
      </c>
      <c r="C5896">
        <f>ROMAN(5895)</f>
        <v/>
      </c>
      <c r="D5896">
        <f>IF(B5896=C5896, "YES", "WRONG")</f>
        <v/>
      </c>
    </row>
    <row r="5897">
      <c r="A5897" t="n">
        <v>5896</v>
      </c>
      <c r="B5897" t="inlineStr">
        <is>
          <t>V̅DCCCXCVI</t>
        </is>
      </c>
      <c r="C5897">
        <f>ROMAN(5896)</f>
        <v/>
      </c>
      <c r="D5897">
        <f>IF(B5897=C5897, "YES", "WRONG")</f>
        <v/>
      </c>
    </row>
    <row r="5898">
      <c r="A5898" t="n">
        <v>5897</v>
      </c>
      <c r="B5898" t="inlineStr">
        <is>
          <t>V̅DCCCXCVII</t>
        </is>
      </c>
      <c r="C5898">
        <f>ROMAN(5897)</f>
        <v/>
      </c>
      <c r="D5898">
        <f>IF(B5898=C5898, "YES", "WRONG")</f>
        <v/>
      </c>
    </row>
    <row r="5899">
      <c r="A5899" t="n">
        <v>5898</v>
      </c>
      <c r="B5899" t="inlineStr">
        <is>
          <t>V̅DCCCXCVIII</t>
        </is>
      </c>
      <c r="C5899">
        <f>ROMAN(5898)</f>
        <v/>
      </c>
      <c r="D5899">
        <f>IF(B5899=C5899, "YES", "WRONG")</f>
        <v/>
      </c>
    </row>
    <row r="5900">
      <c r="A5900" t="n">
        <v>5899</v>
      </c>
      <c r="B5900" t="inlineStr">
        <is>
          <t>V̅DCCCXCIX</t>
        </is>
      </c>
      <c r="C5900">
        <f>ROMAN(5899)</f>
        <v/>
      </c>
      <c r="D5900">
        <f>IF(B5900=C5900, "YES", "WRONG")</f>
        <v/>
      </c>
    </row>
    <row r="5901">
      <c r="A5901" t="n">
        <v>5900</v>
      </c>
      <c r="B5901" t="inlineStr">
        <is>
          <t>V̅CM</t>
        </is>
      </c>
      <c r="C5901">
        <f>ROMAN(5900)</f>
        <v/>
      </c>
      <c r="D5901">
        <f>IF(B5901=C5901, "YES", "WRONG")</f>
        <v/>
      </c>
    </row>
    <row r="5902">
      <c r="A5902" t="n">
        <v>5901</v>
      </c>
      <c r="B5902" t="inlineStr">
        <is>
          <t>V̅CMI</t>
        </is>
      </c>
      <c r="C5902">
        <f>ROMAN(5901)</f>
        <v/>
      </c>
      <c r="D5902">
        <f>IF(B5902=C5902, "YES", "WRONG")</f>
        <v/>
      </c>
    </row>
    <row r="5903">
      <c r="A5903" t="n">
        <v>5902</v>
      </c>
      <c r="B5903" t="inlineStr">
        <is>
          <t>V̅CMII</t>
        </is>
      </c>
      <c r="C5903">
        <f>ROMAN(5902)</f>
        <v/>
      </c>
      <c r="D5903">
        <f>IF(B5903=C5903, "YES", "WRONG")</f>
        <v/>
      </c>
    </row>
    <row r="5904">
      <c r="A5904" t="n">
        <v>5903</v>
      </c>
      <c r="B5904" t="inlineStr">
        <is>
          <t>V̅CMIII</t>
        </is>
      </c>
      <c r="C5904">
        <f>ROMAN(5903)</f>
        <v/>
      </c>
      <c r="D5904">
        <f>IF(B5904=C5904, "YES", "WRONG")</f>
        <v/>
      </c>
    </row>
    <row r="5905">
      <c r="A5905" t="n">
        <v>5904</v>
      </c>
      <c r="B5905" t="inlineStr">
        <is>
          <t>V̅CMIV</t>
        </is>
      </c>
      <c r="C5905">
        <f>ROMAN(5904)</f>
        <v/>
      </c>
      <c r="D5905">
        <f>IF(B5905=C5905, "YES", "WRONG")</f>
        <v/>
      </c>
    </row>
    <row r="5906">
      <c r="A5906" t="n">
        <v>5905</v>
      </c>
      <c r="B5906" t="inlineStr">
        <is>
          <t>V̅CMV</t>
        </is>
      </c>
      <c r="C5906">
        <f>ROMAN(5905)</f>
        <v/>
      </c>
      <c r="D5906">
        <f>IF(B5906=C5906, "YES", "WRONG")</f>
        <v/>
      </c>
    </row>
    <row r="5907">
      <c r="A5907" t="n">
        <v>5906</v>
      </c>
      <c r="B5907" t="inlineStr">
        <is>
          <t>V̅CMVI</t>
        </is>
      </c>
      <c r="C5907">
        <f>ROMAN(5906)</f>
        <v/>
      </c>
      <c r="D5907">
        <f>IF(B5907=C5907, "YES", "WRONG")</f>
        <v/>
      </c>
    </row>
    <row r="5908">
      <c r="A5908" t="n">
        <v>5907</v>
      </c>
      <c r="B5908" t="inlineStr">
        <is>
          <t>V̅CMVII</t>
        </is>
      </c>
      <c r="C5908">
        <f>ROMAN(5907)</f>
        <v/>
      </c>
      <c r="D5908">
        <f>IF(B5908=C5908, "YES", "WRONG")</f>
        <v/>
      </c>
    </row>
    <row r="5909">
      <c r="A5909" t="n">
        <v>5908</v>
      </c>
      <c r="B5909" t="inlineStr">
        <is>
          <t>V̅CMVIII</t>
        </is>
      </c>
      <c r="C5909">
        <f>ROMAN(5908)</f>
        <v/>
      </c>
      <c r="D5909">
        <f>IF(B5909=C5909, "YES", "WRONG")</f>
        <v/>
      </c>
    </row>
    <row r="5910">
      <c r="A5910" t="n">
        <v>5909</v>
      </c>
      <c r="B5910" t="inlineStr">
        <is>
          <t>V̅CMIX</t>
        </is>
      </c>
      <c r="C5910">
        <f>ROMAN(5909)</f>
        <v/>
      </c>
      <c r="D5910">
        <f>IF(B5910=C5910, "YES", "WRONG")</f>
        <v/>
      </c>
    </row>
    <row r="5911">
      <c r="A5911" t="n">
        <v>5910</v>
      </c>
      <c r="B5911" t="inlineStr">
        <is>
          <t>V̅CMX</t>
        </is>
      </c>
      <c r="C5911">
        <f>ROMAN(5910)</f>
        <v/>
      </c>
      <c r="D5911">
        <f>IF(B5911=C5911, "YES", "WRONG")</f>
        <v/>
      </c>
    </row>
    <row r="5912">
      <c r="A5912" t="n">
        <v>5911</v>
      </c>
      <c r="B5912" t="inlineStr">
        <is>
          <t>V̅CMXI</t>
        </is>
      </c>
      <c r="C5912">
        <f>ROMAN(5911)</f>
        <v/>
      </c>
      <c r="D5912">
        <f>IF(B5912=C5912, "YES", "WRONG")</f>
        <v/>
      </c>
    </row>
    <row r="5913">
      <c r="A5913" t="n">
        <v>5912</v>
      </c>
      <c r="B5913" t="inlineStr">
        <is>
          <t>V̅CMXII</t>
        </is>
      </c>
      <c r="C5913">
        <f>ROMAN(5912)</f>
        <v/>
      </c>
      <c r="D5913">
        <f>IF(B5913=C5913, "YES", "WRONG")</f>
        <v/>
      </c>
    </row>
    <row r="5914">
      <c r="A5914" t="n">
        <v>5913</v>
      </c>
      <c r="B5914" t="inlineStr">
        <is>
          <t>V̅CMXIII</t>
        </is>
      </c>
      <c r="C5914">
        <f>ROMAN(5913)</f>
        <v/>
      </c>
      <c r="D5914">
        <f>IF(B5914=C5914, "YES", "WRONG")</f>
        <v/>
      </c>
    </row>
    <row r="5915">
      <c r="A5915" t="n">
        <v>5914</v>
      </c>
      <c r="B5915" t="inlineStr">
        <is>
          <t>V̅CMXIV</t>
        </is>
      </c>
      <c r="C5915">
        <f>ROMAN(5914)</f>
        <v/>
      </c>
      <c r="D5915">
        <f>IF(B5915=C5915, "YES", "WRONG")</f>
        <v/>
      </c>
    </row>
    <row r="5916">
      <c r="A5916" t="n">
        <v>5915</v>
      </c>
      <c r="B5916" t="inlineStr">
        <is>
          <t>V̅CMXV</t>
        </is>
      </c>
      <c r="C5916">
        <f>ROMAN(5915)</f>
        <v/>
      </c>
      <c r="D5916">
        <f>IF(B5916=C5916, "YES", "WRONG")</f>
        <v/>
      </c>
    </row>
    <row r="5917">
      <c r="A5917" t="n">
        <v>5916</v>
      </c>
      <c r="B5917" t="inlineStr">
        <is>
          <t>V̅CMXVI</t>
        </is>
      </c>
      <c r="C5917">
        <f>ROMAN(5916)</f>
        <v/>
      </c>
      <c r="D5917">
        <f>IF(B5917=C5917, "YES", "WRONG")</f>
        <v/>
      </c>
    </row>
    <row r="5918">
      <c r="A5918" t="n">
        <v>5917</v>
      </c>
      <c r="B5918" t="inlineStr">
        <is>
          <t>V̅CMXVII</t>
        </is>
      </c>
      <c r="C5918">
        <f>ROMAN(5917)</f>
        <v/>
      </c>
      <c r="D5918">
        <f>IF(B5918=C5918, "YES", "WRONG")</f>
        <v/>
      </c>
    </row>
    <row r="5919">
      <c r="A5919" t="n">
        <v>5918</v>
      </c>
      <c r="B5919" t="inlineStr">
        <is>
          <t>V̅CMXVIII</t>
        </is>
      </c>
      <c r="C5919">
        <f>ROMAN(5918)</f>
        <v/>
      </c>
      <c r="D5919">
        <f>IF(B5919=C5919, "YES", "WRONG")</f>
        <v/>
      </c>
    </row>
    <row r="5920">
      <c r="A5920" t="n">
        <v>5919</v>
      </c>
      <c r="B5920" t="inlineStr">
        <is>
          <t>V̅CMXIX</t>
        </is>
      </c>
      <c r="C5920">
        <f>ROMAN(5919)</f>
        <v/>
      </c>
      <c r="D5920">
        <f>IF(B5920=C5920, "YES", "WRONG")</f>
        <v/>
      </c>
    </row>
    <row r="5921">
      <c r="A5921" t="n">
        <v>5920</v>
      </c>
      <c r="B5921" t="inlineStr">
        <is>
          <t>V̅CMXX</t>
        </is>
      </c>
      <c r="C5921">
        <f>ROMAN(5920)</f>
        <v/>
      </c>
      <c r="D5921">
        <f>IF(B5921=C5921, "YES", "WRONG")</f>
        <v/>
      </c>
    </row>
    <row r="5922">
      <c r="A5922" t="n">
        <v>5921</v>
      </c>
      <c r="B5922" t="inlineStr">
        <is>
          <t>V̅CMXXI</t>
        </is>
      </c>
      <c r="C5922">
        <f>ROMAN(5921)</f>
        <v/>
      </c>
      <c r="D5922">
        <f>IF(B5922=C5922, "YES", "WRONG")</f>
        <v/>
      </c>
    </row>
    <row r="5923">
      <c r="A5923" t="n">
        <v>5922</v>
      </c>
      <c r="B5923" t="inlineStr">
        <is>
          <t>V̅CMXXII</t>
        </is>
      </c>
      <c r="C5923">
        <f>ROMAN(5922)</f>
        <v/>
      </c>
      <c r="D5923">
        <f>IF(B5923=C5923, "YES", "WRONG")</f>
        <v/>
      </c>
    </row>
    <row r="5924">
      <c r="A5924" t="n">
        <v>5923</v>
      </c>
      <c r="B5924" t="inlineStr">
        <is>
          <t>V̅CMXXIII</t>
        </is>
      </c>
      <c r="C5924">
        <f>ROMAN(5923)</f>
        <v/>
      </c>
      <c r="D5924">
        <f>IF(B5924=C5924, "YES", "WRONG")</f>
        <v/>
      </c>
    </row>
    <row r="5925">
      <c r="A5925" t="n">
        <v>5924</v>
      </c>
      <c r="B5925" t="inlineStr">
        <is>
          <t>V̅CMXXIV</t>
        </is>
      </c>
      <c r="C5925">
        <f>ROMAN(5924)</f>
        <v/>
      </c>
      <c r="D5925">
        <f>IF(B5925=C5925, "YES", "WRONG")</f>
        <v/>
      </c>
    </row>
    <row r="5926">
      <c r="A5926" t="n">
        <v>5925</v>
      </c>
      <c r="B5926" t="inlineStr">
        <is>
          <t>V̅CMXXV</t>
        </is>
      </c>
      <c r="C5926">
        <f>ROMAN(5925)</f>
        <v/>
      </c>
      <c r="D5926">
        <f>IF(B5926=C5926, "YES", "WRONG")</f>
        <v/>
      </c>
    </row>
    <row r="5927">
      <c r="A5927" t="n">
        <v>5926</v>
      </c>
      <c r="B5927" t="inlineStr">
        <is>
          <t>V̅CMXXVI</t>
        </is>
      </c>
      <c r="C5927">
        <f>ROMAN(5926)</f>
        <v/>
      </c>
      <c r="D5927">
        <f>IF(B5927=C5927, "YES", "WRONG")</f>
        <v/>
      </c>
    </row>
    <row r="5928">
      <c r="A5928" t="n">
        <v>5927</v>
      </c>
      <c r="B5928" t="inlineStr">
        <is>
          <t>V̅CMXXVII</t>
        </is>
      </c>
      <c r="C5928">
        <f>ROMAN(5927)</f>
        <v/>
      </c>
      <c r="D5928">
        <f>IF(B5928=C5928, "YES", "WRONG")</f>
        <v/>
      </c>
    </row>
    <row r="5929">
      <c r="A5929" t="n">
        <v>5928</v>
      </c>
      <c r="B5929" t="inlineStr">
        <is>
          <t>V̅CMXXVIII</t>
        </is>
      </c>
      <c r="C5929">
        <f>ROMAN(5928)</f>
        <v/>
      </c>
      <c r="D5929">
        <f>IF(B5929=C5929, "YES", "WRONG")</f>
        <v/>
      </c>
    </row>
    <row r="5930">
      <c r="A5930" t="n">
        <v>5929</v>
      </c>
      <c r="B5930" t="inlineStr">
        <is>
          <t>V̅CMXXIX</t>
        </is>
      </c>
      <c r="C5930">
        <f>ROMAN(5929)</f>
        <v/>
      </c>
      <c r="D5930">
        <f>IF(B5930=C5930, "YES", "WRONG")</f>
        <v/>
      </c>
    </row>
    <row r="5931">
      <c r="A5931" t="n">
        <v>5930</v>
      </c>
      <c r="B5931" t="inlineStr">
        <is>
          <t>V̅CMXXX</t>
        </is>
      </c>
      <c r="C5931">
        <f>ROMAN(5930)</f>
        <v/>
      </c>
      <c r="D5931">
        <f>IF(B5931=C5931, "YES", "WRONG")</f>
        <v/>
      </c>
    </row>
    <row r="5932">
      <c r="A5932" t="n">
        <v>5931</v>
      </c>
      <c r="B5932" t="inlineStr">
        <is>
          <t>V̅CMXXXI</t>
        </is>
      </c>
      <c r="C5932">
        <f>ROMAN(5931)</f>
        <v/>
      </c>
      <c r="D5932">
        <f>IF(B5932=C5932, "YES", "WRONG")</f>
        <v/>
      </c>
    </row>
    <row r="5933">
      <c r="A5933" t="n">
        <v>5932</v>
      </c>
      <c r="B5933" t="inlineStr">
        <is>
          <t>V̅CMXXXII</t>
        </is>
      </c>
      <c r="C5933">
        <f>ROMAN(5932)</f>
        <v/>
      </c>
      <c r="D5933">
        <f>IF(B5933=C5933, "YES", "WRONG")</f>
        <v/>
      </c>
    </row>
    <row r="5934">
      <c r="A5934" t="n">
        <v>5933</v>
      </c>
      <c r="B5934" t="inlineStr">
        <is>
          <t>V̅CMXXXIII</t>
        </is>
      </c>
      <c r="C5934">
        <f>ROMAN(5933)</f>
        <v/>
      </c>
      <c r="D5934">
        <f>IF(B5934=C5934, "YES", "WRONG")</f>
        <v/>
      </c>
    </row>
    <row r="5935">
      <c r="A5935" t="n">
        <v>5934</v>
      </c>
      <c r="B5935" t="inlineStr">
        <is>
          <t>V̅CMXXXIV</t>
        </is>
      </c>
      <c r="C5935">
        <f>ROMAN(5934)</f>
        <v/>
      </c>
      <c r="D5935">
        <f>IF(B5935=C5935, "YES", "WRONG")</f>
        <v/>
      </c>
    </row>
    <row r="5936">
      <c r="A5936" t="n">
        <v>5935</v>
      </c>
      <c r="B5936" t="inlineStr">
        <is>
          <t>V̅CMXXXV</t>
        </is>
      </c>
      <c r="C5936">
        <f>ROMAN(5935)</f>
        <v/>
      </c>
      <c r="D5936">
        <f>IF(B5936=C5936, "YES", "WRONG")</f>
        <v/>
      </c>
    </row>
    <row r="5937">
      <c r="A5937" t="n">
        <v>5936</v>
      </c>
      <c r="B5937" t="inlineStr">
        <is>
          <t>V̅CMXXXVI</t>
        </is>
      </c>
      <c r="C5937">
        <f>ROMAN(5936)</f>
        <v/>
      </c>
      <c r="D5937">
        <f>IF(B5937=C5937, "YES", "WRONG")</f>
        <v/>
      </c>
    </row>
    <row r="5938">
      <c r="A5938" t="n">
        <v>5937</v>
      </c>
      <c r="B5938" t="inlineStr">
        <is>
          <t>V̅CMXXXVII</t>
        </is>
      </c>
      <c r="C5938">
        <f>ROMAN(5937)</f>
        <v/>
      </c>
      <c r="D5938">
        <f>IF(B5938=C5938, "YES", "WRONG")</f>
        <v/>
      </c>
    </row>
    <row r="5939">
      <c r="A5939" t="n">
        <v>5938</v>
      </c>
      <c r="B5939" t="inlineStr">
        <is>
          <t>V̅CMXXXVIII</t>
        </is>
      </c>
      <c r="C5939">
        <f>ROMAN(5938)</f>
        <v/>
      </c>
      <c r="D5939">
        <f>IF(B5939=C5939, "YES", "WRONG")</f>
        <v/>
      </c>
    </row>
    <row r="5940">
      <c r="A5940" t="n">
        <v>5939</v>
      </c>
      <c r="B5940" t="inlineStr">
        <is>
          <t>V̅CMXXXIX</t>
        </is>
      </c>
      <c r="C5940">
        <f>ROMAN(5939)</f>
        <v/>
      </c>
      <c r="D5940">
        <f>IF(B5940=C5940, "YES", "WRONG")</f>
        <v/>
      </c>
    </row>
    <row r="5941">
      <c r="A5941" t="n">
        <v>5940</v>
      </c>
      <c r="B5941" t="inlineStr">
        <is>
          <t>V̅CMXL</t>
        </is>
      </c>
      <c r="C5941">
        <f>ROMAN(5940)</f>
        <v/>
      </c>
      <c r="D5941">
        <f>IF(B5941=C5941, "YES", "WRONG")</f>
        <v/>
      </c>
    </row>
    <row r="5942">
      <c r="A5942" t="n">
        <v>5941</v>
      </c>
      <c r="B5942" t="inlineStr">
        <is>
          <t>V̅CMXLI</t>
        </is>
      </c>
      <c r="C5942">
        <f>ROMAN(5941)</f>
        <v/>
      </c>
      <c r="D5942">
        <f>IF(B5942=C5942, "YES", "WRONG")</f>
        <v/>
      </c>
    </row>
    <row r="5943">
      <c r="A5943" t="n">
        <v>5942</v>
      </c>
      <c r="B5943" t="inlineStr">
        <is>
          <t>V̅CMXLII</t>
        </is>
      </c>
      <c r="C5943">
        <f>ROMAN(5942)</f>
        <v/>
      </c>
      <c r="D5943">
        <f>IF(B5943=C5943, "YES", "WRONG")</f>
        <v/>
      </c>
    </row>
    <row r="5944">
      <c r="A5944" t="n">
        <v>5943</v>
      </c>
      <c r="B5944" t="inlineStr">
        <is>
          <t>V̅CMXLIII</t>
        </is>
      </c>
      <c r="C5944">
        <f>ROMAN(5943)</f>
        <v/>
      </c>
      <c r="D5944">
        <f>IF(B5944=C5944, "YES", "WRONG")</f>
        <v/>
      </c>
    </row>
    <row r="5945">
      <c r="A5945" t="n">
        <v>5944</v>
      </c>
      <c r="B5945" t="inlineStr">
        <is>
          <t>V̅CMXLIV</t>
        </is>
      </c>
      <c r="C5945">
        <f>ROMAN(5944)</f>
        <v/>
      </c>
      <c r="D5945">
        <f>IF(B5945=C5945, "YES", "WRONG")</f>
        <v/>
      </c>
    </row>
    <row r="5946">
      <c r="A5946" t="n">
        <v>5945</v>
      </c>
      <c r="B5946" t="inlineStr">
        <is>
          <t>V̅CMXLV</t>
        </is>
      </c>
      <c r="C5946">
        <f>ROMAN(5945)</f>
        <v/>
      </c>
      <c r="D5946">
        <f>IF(B5946=C5946, "YES", "WRONG")</f>
        <v/>
      </c>
    </row>
    <row r="5947">
      <c r="A5947" t="n">
        <v>5946</v>
      </c>
      <c r="B5947" t="inlineStr">
        <is>
          <t>V̅CMXLVI</t>
        </is>
      </c>
      <c r="C5947">
        <f>ROMAN(5946)</f>
        <v/>
      </c>
      <c r="D5947">
        <f>IF(B5947=C5947, "YES", "WRONG")</f>
        <v/>
      </c>
    </row>
    <row r="5948">
      <c r="A5948" t="n">
        <v>5947</v>
      </c>
      <c r="B5948" t="inlineStr">
        <is>
          <t>V̅CMXLVII</t>
        </is>
      </c>
      <c r="C5948">
        <f>ROMAN(5947)</f>
        <v/>
      </c>
      <c r="D5948">
        <f>IF(B5948=C5948, "YES", "WRONG")</f>
        <v/>
      </c>
    </row>
    <row r="5949">
      <c r="A5949" t="n">
        <v>5948</v>
      </c>
      <c r="B5949" t="inlineStr">
        <is>
          <t>V̅CMXLVIII</t>
        </is>
      </c>
      <c r="C5949">
        <f>ROMAN(5948)</f>
        <v/>
      </c>
      <c r="D5949">
        <f>IF(B5949=C5949, "YES", "WRONG")</f>
        <v/>
      </c>
    </row>
    <row r="5950">
      <c r="A5950" t="n">
        <v>5949</v>
      </c>
      <c r="B5950" t="inlineStr">
        <is>
          <t>V̅CMXLIX</t>
        </is>
      </c>
      <c r="C5950">
        <f>ROMAN(5949)</f>
        <v/>
      </c>
      <c r="D5950">
        <f>IF(B5950=C5950, "YES", "WRONG")</f>
        <v/>
      </c>
    </row>
    <row r="5951">
      <c r="A5951" t="n">
        <v>5950</v>
      </c>
      <c r="B5951" t="inlineStr">
        <is>
          <t>V̅CML</t>
        </is>
      </c>
      <c r="C5951">
        <f>ROMAN(5950)</f>
        <v/>
      </c>
      <c r="D5951">
        <f>IF(B5951=C5951, "YES", "WRONG")</f>
        <v/>
      </c>
    </row>
    <row r="5952">
      <c r="A5952" t="n">
        <v>5951</v>
      </c>
      <c r="B5952" t="inlineStr">
        <is>
          <t>V̅CMLI</t>
        </is>
      </c>
      <c r="C5952">
        <f>ROMAN(5951)</f>
        <v/>
      </c>
      <c r="D5952">
        <f>IF(B5952=C5952, "YES", "WRONG")</f>
        <v/>
      </c>
    </row>
    <row r="5953">
      <c r="A5953" t="n">
        <v>5952</v>
      </c>
      <c r="B5953" t="inlineStr">
        <is>
          <t>V̅CMLII</t>
        </is>
      </c>
      <c r="C5953">
        <f>ROMAN(5952)</f>
        <v/>
      </c>
      <c r="D5953">
        <f>IF(B5953=C5953, "YES", "WRONG")</f>
        <v/>
      </c>
    </row>
    <row r="5954">
      <c r="A5954" t="n">
        <v>5953</v>
      </c>
      <c r="B5954" t="inlineStr">
        <is>
          <t>V̅CMLIII</t>
        </is>
      </c>
      <c r="C5954">
        <f>ROMAN(5953)</f>
        <v/>
      </c>
      <c r="D5954">
        <f>IF(B5954=C5954, "YES", "WRONG")</f>
        <v/>
      </c>
    </row>
    <row r="5955">
      <c r="A5955" t="n">
        <v>5954</v>
      </c>
      <c r="B5955" t="inlineStr">
        <is>
          <t>V̅CMLIV</t>
        </is>
      </c>
      <c r="C5955">
        <f>ROMAN(5954)</f>
        <v/>
      </c>
      <c r="D5955">
        <f>IF(B5955=C5955, "YES", "WRONG")</f>
        <v/>
      </c>
    </row>
    <row r="5956">
      <c r="A5956" t="n">
        <v>5955</v>
      </c>
      <c r="B5956" t="inlineStr">
        <is>
          <t>V̅CMLV</t>
        </is>
      </c>
      <c r="C5956">
        <f>ROMAN(5955)</f>
        <v/>
      </c>
      <c r="D5956">
        <f>IF(B5956=C5956, "YES", "WRONG")</f>
        <v/>
      </c>
    </row>
    <row r="5957">
      <c r="A5957" t="n">
        <v>5956</v>
      </c>
      <c r="B5957" t="inlineStr">
        <is>
          <t>V̅CMLVI</t>
        </is>
      </c>
      <c r="C5957">
        <f>ROMAN(5956)</f>
        <v/>
      </c>
      <c r="D5957">
        <f>IF(B5957=C5957, "YES", "WRONG")</f>
        <v/>
      </c>
    </row>
    <row r="5958">
      <c r="A5958" t="n">
        <v>5957</v>
      </c>
      <c r="B5958" t="inlineStr">
        <is>
          <t>V̅CMLVII</t>
        </is>
      </c>
      <c r="C5958">
        <f>ROMAN(5957)</f>
        <v/>
      </c>
      <c r="D5958">
        <f>IF(B5958=C5958, "YES", "WRONG")</f>
        <v/>
      </c>
    </row>
    <row r="5959">
      <c r="A5959" t="n">
        <v>5958</v>
      </c>
      <c r="B5959" t="inlineStr">
        <is>
          <t>V̅CMLVIII</t>
        </is>
      </c>
      <c r="C5959">
        <f>ROMAN(5958)</f>
        <v/>
      </c>
      <c r="D5959">
        <f>IF(B5959=C5959, "YES", "WRONG")</f>
        <v/>
      </c>
    </row>
    <row r="5960">
      <c r="A5960" t="n">
        <v>5959</v>
      </c>
      <c r="B5960" t="inlineStr">
        <is>
          <t>V̅CMLIX</t>
        </is>
      </c>
      <c r="C5960">
        <f>ROMAN(5959)</f>
        <v/>
      </c>
      <c r="D5960">
        <f>IF(B5960=C5960, "YES", "WRONG")</f>
        <v/>
      </c>
    </row>
    <row r="5961">
      <c r="A5961" t="n">
        <v>5960</v>
      </c>
      <c r="B5961" t="inlineStr">
        <is>
          <t>V̅CMLX</t>
        </is>
      </c>
      <c r="C5961">
        <f>ROMAN(5960)</f>
        <v/>
      </c>
      <c r="D5961">
        <f>IF(B5961=C5961, "YES", "WRONG")</f>
        <v/>
      </c>
    </row>
    <row r="5962">
      <c r="A5962" t="n">
        <v>5961</v>
      </c>
      <c r="B5962" t="inlineStr">
        <is>
          <t>V̅CMLXI</t>
        </is>
      </c>
      <c r="C5962">
        <f>ROMAN(5961)</f>
        <v/>
      </c>
      <c r="D5962">
        <f>IF(B5962=C5962, "YES", "WRONG")</f>
        <v/>
      </c>
    </row>
    <row r="5963">
      <c r="A5963" t="n">
        <v>5962</v>
      </c>
      <c r="B5963" t="inlineStr">
        <is>
          <t>V̅CMLXII</t>
        </is>
      </c>
      <c r="C5963">
        <f>ROMAN(5962)</f>
        <v/>
      </c>
      <c r="D5963">
        <f>IF(B5963=C5963, "YES", "WRONG")</f>
        <v/>
      </c>
    </row>
    <row r="5964">
      <c r="A5964" t="n">
        <v>5963</v>
      </c>
      <c r="B5964" t="inlineStr">
        <is>
          <t>V̅CMLXIII</t>
        </is>
      </c>
      <c r="C5964">
        <f>ROMAN(5963)</f>
        <v/>
      </c>
      <c r="D5964">
        <f>IF(B5964=C5964, "YES", "WRONG")</f>
        <v/>
      </c>
    </row>
    <row r="5965">
      <c r="A5965" t="n">
        <v>5964</v>
      </c>
      <c r="B5965" t="inlineStr">
        <is>
          <t>V̅CMLXIV</t>
        </is>
      </c>
      <c r="C5965">
        <f>ROMAN(5964)</f>
        <v/>
      </c>
      <c r="D5965">
        <f>IF(B5965=C5965, "YES", "WRONG")</f>
        <v/>
      </c>
    </row>
    <row r="5966">
      <c r="A5966" t="n">
        <v>5965</v>
      </c>
      <c r="B5966" t="inlineStr">
        <is>
          <t>V̅CMLXV</t>
        </is>
      </c>
      <c r="C5966">
        <f>ROMAN(5965)</f>
        <v/>
      </c>
      <c r="D5966">
        <f>IF(B5966=C5966, "YES", "WRONG")</f>
        <v/>
      </c>
    </row>
    <row r="5967">
      <c r="A5967" t="n">
        <v>5966</v>
      </c>
      <c r="B5967" t="inlineStr">
        <is>
          <t>V̅CMLXVI</t>
        </is>
      </c>
      <c r="C5967">
        <f>ROMAN(5966)</f>
        <v/>
      </c>
      <c r="D5967">
        <f>IF(B5967=C5967, "YES", "WRONG")</f>
        <v/>
      </c>
    </row>
    <row r="5968">
      <c r="A5968" t="n">
        <v>5967</v>
      </c>
      <c r="B5968" t="inlineStr">
        <is>
          <t>V̅CMLXVII</t>
        </is>
      </c>
      <c r="C5968">
        <f>ROMAN(5967)</f>
        <v/>
      </c>
      <c r="D5968">
        <f>IF(B5968=C5968, "YES", "WRONG")</f>
        <v/>
      </c>
    </row>
    <row r="5969">
      <c r="A5969" t="n">
        <v>5968</v>
      </c>
      <c r="B5969" t="inlineStr">
        <is>
          <t>V̅CMLXVIII</t>
        </is>
      </c>
      <c r="C5969">
        <f>ROMAN(5968)</f>
        <v/>
      </c>
      <c r="D5969">
        <f>IF(B5969=C5969, "YES", "WRONG")</f>
        <v/>
      </c>
    </row>
    <row r="5970">
      <c r="A5970" t="n">
        <v>5969</v>
      </c>
      <c r="B5970" t="inlineStr">
        <is>
          <t>V̅CMLXIX</t>
        </is>
      </c>
      <c r="C5970">
        <f>ROMAN(5969)</f>
        <v/>
      </c>
      <c r="D5970">
        <f>IF(B5970=C5970, "YES", "WRONG")</f>
        <v/>
      </c>
    </row>
    <row r="5971">
      <c r="A5971" t="n">
        <v>5970</v>
      </c>
      <c r="B5971" t="inlineStr">
        <is>
          <t>V̅CMLXX</t>
        </is>
      </c>
      <c r="C5971">
        <f>ROMAN(5970)</f>
        <v/>
      </c>
      <c r="D5971">
        <f>IF(B5971=C5971, "YES", "WRONG")</f>
        <v/>
      </c>
    </row>
    <row r="5972">
      <c r="A5972" t="n">
        <v>5971</v>
      </c>
      <c r="B5972" t="inlineStr">
        <is>
          <t>V̅CMLXXI</t>
        </is>
      </c>
      <c r="C5972">
        <f>ROMAN(5971)</f>
        <v/>
      </c>
      <c r="D5972">
        <f>IF(B5972=C5972, "YES", "WRONG")</f>
        <v/>
      </c>
    </row>
    <row r="5973">
      <c r="A5973" t="n">
        <v>5972</v>
      </c>
      <c r="B5973" t="inlineStr">
        <is>
          <t>V̅CMLXXII</t>
        </is>
      </c>
      <c r="C5973">
        <f>ROMAN(5972)</f>
        <v/>
      </c>
      <c r="D5973">
        <f>IF(B5973=C5973, "YES", "WRONG")</f>
        <v/>
      </c>
    </row>
    <row r="5974">
      <c r="A5974" t="n">
        <v>5973</v>
      </c>
      <c r="B5974" t="inlineStr">
        <is>
          <t>V̅CMLXXIII</t>
        </is>
      </c>
      <c r="C5974">
        <f>ROMAN(5973)</f>
        <v/>
      </c>
      <c r="D5974">
        <f>IF(B5974=C5974, "YES", "WRONG")</f>
        <v/>
      </c>
    </row>
    <row r="5975">
      <c r="A5975" t="n">
        <v>5974</v>
      </c>
      <c r="B5975" t="inlineStr">
        <is>
          <t>V̅CMLXXIV</t>
        </is>
      </c>
      <c r="C5975">
        <f>ROMAN(5974)</f>
        <v/>
      </c>
      <c r="D5975">
        <f>IF(B5975=C5975, "YES", "WRONG")</f>
        <v/>
      </c>
    </row>
    <row r="5976">
      <c r="A5976" t="n">
        <v>5975</v>
      </c>
      <c r="B5976" t="inlineStr">
        <is>
          <t>V̅CMLXXV</t>
        </is>
      </c>
      <c r="C5976">
        <f>ROMAN(5975)</f>
        <v/>
      </c>
      <c r="D5976">
        <f>IF(B5976=C5976, "YES", "WRONG")</f>
        <v/>
      </c>
    </row>
    <row r="5977">
      <c r="A5977" t="n">
        <v>5976</v>
      </c>
      <c r="B5977" t="inlineStr">
        <is>
          <t>V̅CMLXXVI</t>
        </is>
      </c>
      <c r="C5977">
        <f>ROMAN(5976)</f>
        <v/>
      </c>
      <c r="D5977">
        <f>IF(B5977=C5977, "YES", "WRONG")</f>
        <v/>
      </c>
    </row>
    <row r="5978">
      <c r="A5978" t="n">
        <v>5977</v>
      </c>
      <c r="B5978" t="inlineStr">
        <is>
          <t>V̅CMLXXVII</t>
        </is>
      </c>
      <c r="C5978">
        <f>ROMAN(5977)</f>
        <v/>
      </c>
      <c r="D5978">
        <f>IF(B5978=C5978, "YES", "WRONG")</f>
        <v/>
      </c>
    </row>
    <row r="5979">
      <c r="A5979" t="n">
        <v>5978</v>
      </c>
      <c r="B5979" t="inlineStr">
        <is>
          <t>V̅CMLXXVIII</t>
        </is>
      </c>
      <c r="C5979">
        <f>ROMAN(5978)</f>
        <v/>
      </c>
      <c r="D5979">
        <f>IF(B5979=C5979, "YES", "WRONG")</f>
        <v/>
      </c>
    </row>
    <row r="5980">
      <c r="A5980" t="n">
        <v>5979</v>
      </c>
      <c r="B5980" t="inlineStr">
        <is>
          <t>V̅CMLXXIX</t>
        </is>
      </c>
      <c r="C5980">
        <f>ROMAN(5979)</f>
        <v/>
      </c>
      <c r="D5980">
        <f>IF(B5980=C5980, "YES", "WRONG")</f>
        <v/>
      </c>
    </row>
    <row r="5981">
      <c r="A5981" t="n">
        <v>5980</v>
      </c>
      <c r="B5981" t="inlineStr">
        <is>
          <t>V̅CMLXXX</t>
        </is>
      </c>
      <c r="C5981">
        <f>ROMAN(5980)</f>
        <v/>
      </c>
      <c r="D5981">
        <f>IF(B5981=C5981, "YES", "WRONG")</f>
        <v/>
      </c>
    </row>
    <row r="5982">
      <c r="A5982" t="n">
        <v>5981</v>
      </c>
      <c r="B5982" t="inlineStr">
        <is>
          <t>V̅CMLXXXI</t>
        </is>
      </c>
      <c r="C5982">
        <f>ROMAN(5981)</f>
        <v/>
      </c>
      <c r="D5982">
        <f>IF(B5982=C5982, "YES", "WRONG")</f>
        <v/>
      </c>
    </row>
    <row r="5983">
      <c r="A5983" t="n">
        <v>5982</v>
      </c>
      <c r="B5983" t="inlineStr">
        <is>
          <t>V̅CMLXXXII</t>
        </is>
      </c>
      <c r="C5983">
        <f>ROMAN(5982)</f>
        <v/>
      </c>
      <c r="D5983">
        <f>IF(B5983=C5983, "YES", "WRONG")</f>
        <v/>
      </c>
    </row>
    <row r="5984">
      <c r="A5984" t="n">
        <v>5983</v>
      </c>
      <c r="B5984" t="inlineStr">
        <is>
          <t>V̅CMLXXXIII</t>
        </is>
      </c>
      <c r="C5984">
        <f>ROMAN(5983)</f>
        <v/>
      </c>
      <c r="D5984">
        <f>IF(B5984=C5984, "YES", "WRONG")</f>
        <v/>
      </c>
    </row>
    <row r="5985">
      <c r="A5985" t="n">
        <v>5984</v>
      </c>
      <c r="B5985" t="inlineStr">
        <is>
          <t>V̅CMLXXXIV</t>
        </is>
      </c>
      <c r="C5985">
        <f>ROMAN(5984)</f>
        <v/>
      </c>
      <c r="D5985">
        <f>IF(B5985=C5985, "YES", "WRONG")</f>
        <v/>
      </c>
    </row>
    <row r="5986">
      <c r="A5986" t="n">
        <v>5985</v>
      </c>
      <c r="B5986" t="inlineStr">
        <is>
          <t>V̅CMLXXXV</t>
        </is>
      </c>
      <c r="C5986">
        <f>ROMAN(5985)</f>
        <v/>
      </c>
      <c r="D5986">
        <f>IF(B5986=C5986, "YES", "WRONG")</f>
        <v/>
      </c>
    </row>
    <row r="5987">
      <c r="A5987" t="n">
        <v>5986</v>
      </c>
      <c r="B5987" t="inlineStr">
        <is>
          <t>V̅CMLXXXVI</t>
        </is>
      </c>
      <c r="C5987">
        <f>ROMAN(5986)</f>
        <v/>
      </c>
      <c r="D5987">
        <f>IF(B5987=C5987, "YES", "WRONG")</f>
        <v/>
      </c>
    </row>
    <row r="5988">
      <c r="A5988" t="n">
        <v>5987</v>
      </c>
      <c r="B5988" t="inlineStr">
        <is>
          <t>V̅CMLXXXVII</t>
        </is>
      </c>
      <c r="C5988">
        <f>ROMAN(5987)</f>
        <v/>
      </c>
      <c r="D5988">
        <f>IF(B5988=C5988, "YES", "WRONG")</f>
        <v/>
      </c>
    </row>
    <row r="5989">
      <c r="A5989" t="n">
        <v>5988</v>
      </c>
      <c r="B5989" t="inlineStr">
        <is>
          <t>V̅CMLXXXVIII</t>
        </is>
      </c>
      <c r="C5989">
        <f>ROMAN(5988)</f>
        <v/>
      </c>
      <c r="D5989">
        <f>IF(B5989=C5989, "YES", "WRONG")</f>
        <v/>
      </c>
    </row>
    <row r="5990">
      <c r="A5990" t="n">
        <v>5989</v>
      </c>
      <c r="B5990" t="inlineStr">
        <is>
          <t>V̅CMLXXXIX</t>
        </is>
      </c>
      <c r="C5990">
        <f>ROMAN(5989)</f>
        <v/>
      </c>
      <c r="D5990">
        <f>IF(B5990=C5990, "YES", "WRONG")</f>
        <v/>
      </c>
    </row>
    <row r="5991">
      <c r="A5991" t="n">
        <v>5990</v>
      </c>
      <c r="B5991" t="inlineStr">
        <is>
          <t>V̅CMXC</t>
        </is>
      </c>
      <c r="C5991">
        <f>ROMAN(5990)</f>
        <v/>
      </c>
      <c r="D5991">
        <f>IF(B5991=C5991, "YES", "WRONG")</f>
        <v/>
      </c>
    </row>
    <row r="5992">
      <c r="A5992" t="n">
        <v>5991</v>
      </c>
      <c r="B5992" t="inlineStr">
        <is>
          <t>V̅CMXCI</t>
        </is>
      </c>
      <c r="C5992">
        <f>ROMAN(5991)</f>
        <v/>
      </c>
      <c r="D5992">
        <f>IF(B5992=C5992, "YES", "WRONG")</f>
        <v/>
      </c>
    </row>
    <row r="5993">
      <c r="A5993" t="n">
        <v>5992</v>
      </c>
      <c r="B5993" t="inlineStr">
        <is>
          <t>V̅CMXCII</t>
        </is>
      </c>
      <c r="C5993">
        <f>ROMAN(5992)</f>
        <v/>
      </c>
      <c r="D5993">
        <f>IF(B5993=C5993, "YES", "WRONG")</f>
        <v/>
      </c>
    </row>
    <row r="5994">
      <c r="A5994" t="n">
        <v>5993</v>
      </c>
      <c r="B5994" t="inlineStr">
        <is>
          <t>V̅CMXCIII</t>
        </is>
      </c>
      <c r="C5994">
        <f>ROMAN(5993)</f>
        <v/>
      </c>
      <c r="D5994">
        <f>IF(B5994=C5994, "YES", "WRONG")</f>
        <v/>
      </c>
    </row>
    <row r="5995">
      <c r="A5995" t="n">
        <v>5994</v>
      </c>
      <c r="B5995" t="inlineStr">
        <is>
          <t>V̅CMXCIV</t>
        </is>
      </c>
      <c r="C5995">
        <f>ROMAN(5994)</f>
        <v/>
      </c>
      <c r="D5995">
        <f>IF(B5995=C5995, "YES", "WRONG")</f>
        <v/>
      </c>
    </row>
    <row r="5996">
      <c r="A5996" t="n">
        <v>5995</v>
      </c>
      <c r="B5996" t="inlineStr">
        <is>
          <t>V̅CMXCV</t>
        </is>
      </c>
      <c r="C5996">
        <f>ROMAN(5995)</f>
        <v/>
      </c>
      <c r="D5996">
        <f>IF(B5996=C5996, "YES", "WRONG")</f>
        <v/>
      </c>
    </row>
    <row r="5997">
      <c r="A5997" t="n">
        <v>5996</v>
      </c>
      <c r="B5997" t="inlineStr">
        <is>
          <t>V̅CMXCVI</t>
        </is>
      </c>
      <c r="C5997">
        <f>ROMAN(5996)</f>
        <v/>
      </c>
      <c r="D5997">
        <f>IF(B5997=C5997, "YES", "WRONG")</f>
        <v/>
      </c>
    </row>
    <row r="5998">
      <c r="A5998" t="n">
        <v>5997</v>
      </c>
      <c r="B5998" t="inlineStr">
        <is>
          <t>V̅CMXCVII</t>
        </is>
      </c>
      <c r="C5998">
        <f>ROMAN(5997)</f>
        <v/>
      </c>
      <c r="D5998">
        <f>IF(B5998=C5998, "YES", "WRONG")</f>
        <v/>
      </c>
    </row>
    <row r="5999">
      <c r="A5999" t="n">
        <v>5998</v>
      </c>
      <c r="B5999" t="inlineStr">
        <is>
          <t>V̅CMXCVIII</t>
        </is>
      </c>
      <c r="C5999">
        <f>ROMAN(5998)</f>
        <v/>
      </c>
      <c r="D5999">
        <f>IF(B5999=C5999, "YES", "WRONG")</f>
        <v/>
      </c>
    </row>
    <row r="6000">
      <c r="A6000" t="n">
        <v>5999</v>
      </c>
      <c r="B6000" t="inlineStr">
        <is>
          <t>V̅CMXCIX</t>
        </is>
      </c>
      <c r="C6000">
        <f>ROMAN(5999)</f>
        <v/>
      </c>
      <c r="D6000">
        <f>IF(B6000=C6000, "YES", "WRONG")</f>
        <v/>
      </c>
    </row>
    <row r="6001">
      <c r="A6001" t="n">
        <v>6000</v>
      </c>
      <c r="B6001" t="inlineStr">
        <is>
          <t>V̅M</t>
        </is>
      </c>
      <c r="C6001">
        <f>ROMAN(6000)</f>
        <v/>
      </c>
      <c r="D6001">
        <f>IF(B6001=C6001, "YES", "WRONG")</f>
        <v/>
      </c>
    </row>
    <row r="6002">
      <c r="A6002" t="n">
        <v>6001</v>
      </c>
      <c r="B6002" t="inlineStr">
        <is>
          <t>V̅MI</t>
        </is>
      </c>
      <c r="C6002">
        <f>ROMAN(6001)</f>
        <v/>
      </c>
      <c r="D6002">
        <f>IF(B6002=C6002, "YES", "WRONG")</f>
        <v/>
      </c>
    </row>
    <row r="6003">
      <c r="A6003" t="n">
        <v>6002</v>
      </c>
      <c r="B6003" t="inlineStr">
        <is>
          <t>V̅MII</t>
        </is>
      </c>
      <c r="C6003">
        <f>ROMAN(6002)</f>
        <v/>
      </c>
      <c r="D6003">
        <f>IF(B6003=C6003, "YES", "WRONG")</f>
        <v/>
      </c>
    </row>
    <row r="6004">
      <c r="A6004" t="n">
        <v>6003</v>
      </c>
      <c r="B6004" t="inlineStr">
        <is>
          <t>V̅MIII</t>
        </is>
      </c>
      <c r="C6004">
        <f>ROMAN(6003)</f>
        <v/>
      </c>
      <c r="D6004">
        <f>IF(B6004=C6004, "YES", "WRONG")</f>
        <v/>
      </c>
    </row>
    <row r="6005">
      <c r="A6005" t="n">
        <v>6004</v>
      </c>
      <c r="B6005" t="inlineStr">
        <is>
          <t>V̅MIV</t>
        </is>
      </c>
      <c r="C6005">
        <f>ROMAN(6004)</f>
        <v/>
      </c>
      <c r="D6005">
        <f>IF(B6005=C6005, "YES", "WRONG")</f>
        <v/>
      </c>
    </row>
    <row r="6006">
      <c r="A6006" t="n">
        <v>6005</v>
      </c>
      <c r="B6006" t="inlineStr">
        <is>
          <t>V̅MV</t>
        </is>
      </c>
      <c r="C6006">
        <f>ROMAN(6005)</f>
        <v/>
      </c>
      <c r="D6006">
        <f>IF(B6006=C6006, "YES", "WRONG")</f>
        <v/>
      </c>
    </row>
    <row r="6007">
      <c r="A6007" t="n">
        <v>6006</v>
      </c>
      <c r="B6007" t="inlineStr">
        <is>
          <t>V̅MVI</t>
        </is>
      </c>
      <c r="C6007">
        <f>ROMAN(6006)</f>
        <v/>
      </c>
      <c r="D6007">
        <f>IF(B6007=C6007, "YES", "WRONG")</f>
        <v/>
      </c>
    </row>
    <row r="6008">
      <c r="A6008" t="n">
        <v>6007</v>
      </c>
      <c r="B6008" t="inlineStr">
        <is>
          <t>V̅MVII</t>
        </is>
      </c>
      <c r="C6008">
        <f>ROMAN(6007)</f>
        <v/>
      </c>
      <c r="D6008">
        <f>IF(B6008=C6008, "YES", "WRONG")</f>
        <v/>
      </c>
    </row>
    <row r="6009">
      <c r="A6009" t="n">
        <v>6008</v>
      </c>
      <c r="B6009" t="inlineStr">
        <is>
          <t>V̅MVIII</t>
        </is>
      </c>
      <c r="C6009">
        <f>ROMAN(6008)</f>
        <v/>
      </c>
      <c r="D6009">
        <f>IF(B6009=C6009, "YES", "WRONG")</f>
        <v/>
      </c>
    </row>
    <row r="6010">
      <c r="A6010" t="n">
        <v>6009</v>
      </c>
      <c r="B6010" t="inlineStr">
        <is>
          <t>V̅MIX</t>
        </is>
      </c>
      <c r="C6010">
        <f>ROMAN(6009)</f>
        <v/>
      </c>
      <c r="D6010">
        <f>IF(B6010=C6010, "YES", "WRONG")</f>
        <v/>
      </c>
    </row>
    <row r="6011">
      <c r="A6011" t="n">
        <v>6010</v>
      </c>
      <c r="B6011" t="inlineStr">
        <is>
          <t>V̅MX</t>
        </is>
      </c>
      <c r="C6011">
        <f>ROMAN(6010)</f>
        <v/>
      </c>
      <c r="D6011">
        <f>IF(B6011=C6011, "YES", "WRONG")</f>
        <v/>
      </c>
    </row>
    <row r="6012">
      <c r="A6012" t="n">
        <v>6011</v>
      </c>
      <c r="B6012" t="inlineStr">
        <is>
          <t>V̅MXI</t>
        </is>
      </c>
      <c r="C6012">
        <f>ROMAN(6011)</f>
        <v/>
      </c>
      <c r="D6012">
        <f>IF(B6012=C6012, "YES", "WRONG")</f>
        <v/>
      </c>
    </row>
    <row r="6013">
      <c r="A6013" t="n">
        <v>6012</v>
      </c>
      <c r="B6013" t="inlineStr">
        <is>
          <t>V̅MXII</t>
        </is>
      </c>
      <c r="C6013">
        <f>ROMAN(6012)</f>
        <v/>
      </c>
      <c r="D6013">
        <f>IF(B6013=C6013, "YES", "WRONG")</f>
        <v/>
      </c>
    </row>
    <row r="6014">
      <c r="A6014" t="n">
        <v>6013</v>
      </c>
      <c r="B6014" t="inlineStr">
        <is>
          <t>V̅MXIII</t>
        </is>
      </c>
      <c r="C6014">
        <f>ROMAN(6013)</f>
        <v/>
      </c>
      <c r="D6014">
        <f>IF(B6014=C6014, "YES", "WRONG")</f>
        <v/>
      </c>
    </row>
    <row r="6015">
      <c r="A6015" t="n">
        <v>6014</v>
      </c>
      <c r="B6015" t="inlineStr">
        <is>
          <t>V̅MXIV</t>
        </is>
      </c>
      <c r="C6015">
        <f>ROMAN(6014)</f>
        <v/>
      </c>
      <c r="D6015">
        <f>IF(B6015=C6015, "YES", "WRONG")</f>
        <v/>
      </c>
    </row>
    <row r="6016">
      <c r="A6016" t="n">
        <v>6015</v>
      </c>
      <c r="B6016" t="inlineStr">
        <is>
          <t>V̅MXV</t>
        </is>
      </c>
      <c r="C6016">
        <f>ROMAN(6015)</f>
        <v/>
      </c>
      <c r="D6016">
        <f>IF(B6016=C6016, "YES", "WRONG")</f>
        <v/>
      </c>
    </row>
    <row r="6017">
      <c r="A6017" t="n">
        <v>6016</v>
      </c>
      <c r="B6017" t="inlineStr">
        <is>
          <t>V̅MXVI</t>
        </is>
      </c>
      <c r="C6017">
        <f>ROMAN(6016)</f>
        <v/>
      </c>
      <c r="D6017">
        <f>IF(B6017=C6017, "YES", "WRONG")</f>
        <v/>
      </c>
    </row>
    <row r="6018">
      <c r="A6018" t="n">
        <v>6017</v>
      </c>
      <c r="B6018" t="inlineStr">
        <is>
          <t>V̅MXVII</t>
        </is>
      </c>
      <c r="C6018">
        <f>ROMAN(6017)</f>
        <v/>
      </c>
      <c r="D6018">
        <f>IF(B6018=C6018, "YES", "WRONG")</f>
        <v/>
      </c>
    </row>
    <row r="6019">
      <c r="A6019" t="n">
        <v>6018</v>
      </c>
      <c r="B6019" t="inlineStr">
        <is>
          <t>V̅MXVIII</t>
        </is>
      </c>
      <c r="C6019">
        <f>ROMAN(6018)</f>
        <v/>
      </c>
      <c r="D6019">
        <f>IF(B6019=C6019, "YES", "WRONG")</f>
        <v/>
      </c>
    </row>
    <row r="6020">
      <c r="A6020" t="n">
        <v>6019</v>
      </c>
      <c r="B6020" t="inlineStr">
        <is>
          <t>V̅MXIX</t>
        </is>
      </c>
      <c r="C6020">
        <f>ROMAN(6019)</f>
        <v/>
      </c>
      <c r="D6020">
        <f>IF(B6020=C6020, "YES", "WRONG")</f>
        <v/>
      </c>
    </row>
    <row r="6021">
      <c r="A6021" t="n">
        <v>6020</v>
      </c>
      <c r="B6021" t="inlineStr">
        <is>
          <t>V̅MXX</t>
        </is>
      </c>
      <c r="C6021">
        <f>ROMAN(6020)</f>
        <v/>
      </c>
      <c r="D6021">
        <f>IF(B6021=C6021, "YES", "WRONG")</f>
        <v/>
      </c>
    </row>
    <row r="6022">
      <c r="A6022" t="n">
        <v>6021</v>
      </c>
      <c r="B6022" t="inlineStr">
        <is>
          <t>V̅MXXI</t>
        </is>
      </c>
      <c r="C6022">
        <f>ROMAN(6021)</f>
        <v/>
      </c>
      <c r="D6022">
        <f>IF(B6022=C6022, "YES", "WRONG")</f>
        <v/>
      </c>
    </row>
    <row r="6023">
      <c r="A6023" t="n">
        <v>6022</v>
      </c>
      <c r="B6023" t="inlineStr">
        <is>
          <t>V̅MXXII</t>
        </is>
      </c>
      <c r="C6023">
        <f>ROMAN(6022)</f>
        <v/>
      </c>
      <c r="D6023">
        <f>IF(B6023=C6023, "YES", "WRONG")</f>
        <v/>
      </c>
    </row>
    <row r="6024">
      <c r="A6024" t="n">
        <v>6023</v>
      </c>
      <c r="B6024" t="inlineStr">
        <is>
          <t>V̅MXXIII</t>
        </is>
      </c>
      <c r="C6024">
        <f>ROMAN(6023)</f>
        <v/>
      </c>
      <c r="D6024">
        <f>IF(B6024=C6024, "YES", "WRONG")</f>
        <v/>
      </c>
    </row>
    <row r="6025">
      <c r="A6025" t="n">
        <v>6024</v>
      </c>
      <c r="B6025" t="inlineStr">
        <is>
          <t>V̅MXXIV</t>
        </is>
      </c>
      <c r="C6025">
        <f>ROMAN(6024)</f>
        <v/>
      </c>
      <c r="D6025">
        <f>IF(B6025=C6025, "YES", "WRONG")</f>
        <v/>
      </c>
    </row>
    <row r="6026">
      <c r="A6026" t="n">
        <v>6025</v>
      </c>
      <c r="B6026" t="inlineStr">
        <is>
          <t>V̅MXXV</t>
        </is>
      </c>
      <c r="C6026">
        <f>ROMAN(6025)</f>
        <v/>
      </c>
      <c r="D6026">
        <f>IF(B6026=C6026, "YES", "WRONG")</f>
        <v/>
      </c>
    </row>
    <row r="6027">
      <c r="A6027" t="n">
        <v>6026</v>
      </c>
      <c r="B6027" t="inlineStr">
        <is>
          <t>V̅MXXVI</t>
        </is>
      </c>
      <c r="C6027">
        <f>ROMAN(6026)</f>
        <v/>
      </c>
      <c r="D6027">
        <f>IF(B6027=C6027, "YES", "WRONG")</f>
        <v/>
      </c>
    </row>
    <row r="6028">
      <c r="A6028" t="n">
        <v>6027</v>
      </c>
      <c r="B6028" t="inlineStr">
        <is>
          <t>V̅MXXVII</t>
        </is>
      </c>
      <c r="C6028">
        <f>ROMAN(6027)</f>
        <v/>
      </c>
      <c r="D6028">
        <f>IF(B6028=C6028, "YES", "WRONG")</f>
        <v/>
      </c>
    </row>
    <row r="6029">
      <c r="A6029" t="n">
        <v>6028</v>
      </c>
      <c r="B6029" t="inlineStr">
        <is>
          <t>V̅MXXVIII</t>
        </is>
      </c>
      <c r="C6029">
        <f>ROMAN(6028)</f>
        <v/>
      </c>
      <c r="D6029">
        <f>IF(B6029=C6029, "YES", "WRONG")</f>
        <v/>
      </c>
    </row>
    <row r="6030">
      <c r="A6030" t="n">
        <v>6029</v>
      </c>
      <c r="B6030" t="inlineStr">
        <is>
          <t>V̅MXXIX</t>
        </is>
      </c>
      <c r="C6030">
        <f>ROMAN(6029)</f>
        <v/>
      </c>
      <c r="D6030">
        <f>IF(B6030=C6030, "YES", "WRONG")</f>
        <v/>
      </c>
    </row>
    <row r="6031">
      <c r="A6031" t="n">
        <v>6030</v>
      </c>
      <c r="B6031" t="inlineStr">
        <is>
          <t>V̅MXXX</t>
        </is>
      </c>
      <c r="C6031">
        <f>ROMAN(6030)</f>
        <v/>
      </c>
      <c r="D6031">
        <f>IF(B6031=C6031, "YES", "WRONG")</f>
        <v/>
      </c>
    </row>
    <row r="6032">
      <c r="A6032" t="n">
        <v>6031</v>
      </c>
      <c r="B6032" t="inlineStr">
        <is>
          <t>V̅MXXXI</t>
        </is>
      </c>
      <c r="C6032">
        <f>ROMAN(6031)</f>
        <v/>
      </c>
      <c r="D6032">
        <f>IF(B6032=C6032, "YES", "WRONG")</f>
        <v/>
      </c>
    </row>
    <row r="6033">
      <c r="A6033" t="n">
        <v>6032</v>
      </c>
      <c r="B6033" t="inlineStr">
        <is>
          <t>V̅MXXXII</t>
        </is>
      </c>
      <c r="C6033">
        <f>ROMAN(6032)</f>
        <v/>
      </c>
      <c r="D6033">
        <f>IF(B6033=C6033, "YES", "WRONG")</f>
        <v/>
      </c>
    </row>
    <row r="6034">
      <c r="A6034" t="n">
        <v>6033</v>
      </c>
      <c r="B6034" t="inlineStr">
        <is>
          <t>V̅MXXXIII</t>
        </is>
      </c>
      <c r="C6034">
        <f>ROMAN(6033)</f>
        <v/>
      </c>
      <c r="D6034">
        <f>IF(B6034=C6034, "YES", "WRONG")</f>
        <v/>
      </c>
    </row>
    <row r="6035">
      <c r="A6035" t="n">
        <v>6034</v>
      </c>
      <c r="B6035" t="inlineStr">
        <is>
          <t>V̅MXXXIV</t>
        </is>
      </c>
      <c r="C6035">
        <f>ROMAN(6034)</f>
        <v/>
      </c>
      <c r="D6035">
        <f>IF(B6035=C6035, "YES", "WRONG")</f>
        <v/>
      </c>
    </row>
    <row r="6036">
      <c r="A6036" t="n">
        <v>6035</v>
      </c>
      <c r="B6036" t="inlineStr">
        <is>
          <t>V̅MXXXV</t>
        </is>
      </c>
      <c r="C6036">
        <f>ROMAN(6035)</f>
        <v/>
      </c>
      <c r="D6036">
        <f>IF(B6036=C6036, "YES", "WRONG")</f>
        <v/>
      </c>
    </row>
    <row r="6037">
      <c r="A6037" t="n">
        <v>6036</v>
      </c>
      <c r="B6037" t="inlineStr">
        <is>
          <t>V̅MXXXVI</t>
        </is>
      </c>
      <c r="C6037">
        <f>ROMAN(6036)</f>
        <v/>
      </c>
      <c r="D6037">
        <f>IF(B6037=C6037, "YES", "WRONG")</f>
        <v/>
      </c>
    </row>
    <row r="6038">
      <c r="A6038" t="n">
        <v>6037</v>
      </c>
      <c r="B6038" t="inlineStr">
        <is>
          <t>V̅MXXXVII</t>
        </is>
      </c>
      <c r="C6038">
        <f>ROMAN(6037)</f>
        <v/>
      </c>
      <c r="D6038">
        <f>IF(B6038=C6038, "YES", "WRONG")</f>
        <v/>
      </c>
    </row>
    <row r="6039">
      <c r="A6039" t="n">
        <v>6038</v>
      </c>
      <c r="B6039" t="inlineStr">
        <is>
          <t>V̅MXXXVIII</t>
        </is>
      </c>
      <c r="C6039">
        <f>ROMAN(6038)</f>
        <v/>
      </c>
      <c r="D6039">
        <f>IF(B6039=C6039, "YES", "WRONG")</f>
        <v/>
      </c>
    </row>
    <row r="6040">
      <c r="A6040" t="n">
        <v>6039</v>
      </c>
      <c r="B6040" t="inlineStr">
        <is>
          <t>V̅MXXXIX</t>
        </is>
      </c>
      <c r="C6040">
        <f>ROMAN(6039)</f>
        <v/>
      </c>
      <c r="D6040">
        <f>IF(B6040=C6040, "YES", "WRONG")</f>
        <v/>
      </c>
    </row>
    <row r="6041">
      <c r="A6041" t="n">
        <v>6040</v>
      </c>
      <c r="B6041" t="inlineStr">
        <is>
          <t>V̅MXL</t>
        </is>
      </c>
      <c r="C6041">
        <f>ROMAN(6040)</f>
        <v/>
      </c>
      <c r="D6041">
        <f>IF(B6041=C6041, "YES", "WRONG")</f>
        <v/>
      </c>
    </row>
    <row r="6042">
      <c r="A6042" t="n">
        <v>6041</v>
      </c>
      <c r="B6042" t="inlineStr">
        <is>
          <t>V̅MXLI</t>
        </is>
      </c>
      <c r="C6042">
        <f>ROMAN(6041)</f>
        <v/>
      </c>
      <c r="D6042">
        <f>IF(B6042=C6042, "YES", "WRONG")</f>
        <v/>
      </c>
    </row>
    <row r="6043">
      <c r="A6043" t="n">
        <v>6042</v>
      </c>
      <c r="B6043" t="inlineStr">
        <is>
          <t>V̅MXLII</t>
        </is>
      </c>
      <c r="C6043">
        <f>ROMAN(6042)</f>
        <v/>
      </c>
      <c r="D6043">
        <f>IF(B6043=C6043, "YES", "WRONG")</f>
        <v/>
      </c>
    </row>
    <row r="6044">
      <c r="A6044" t="n">
        <v>6043</v>
      </c>
      <c r="B6044" t="inlineStr">
        <is>
          <t>V̅MXLIII</t>
        </is>
      </c>
      <c r="C6044">
        <f>ROMAN(6043)</f>
        <v/>
      </c>
      <c r="D6044">
        <f>IF(B6044=C6044, "YES", "WRONG")</f>
        <v/>
      </c>
    </row>
    <row r="6045">
      <c r="A6045" t="n">
        <v>6044</v>
      </c>
      <c r="B6045" t="inlineStr">
        <is>
          <t>V̅MXLIV</t>
        </is>
      </c>
      <c r="C6045">
        <f>ROMAN(6044)</f>
        <v/>
      </c>
      <c r="D6045">
        <f>IF(B6045=C6045, "YES", "WRONG")</f>
        <v/>
      </c>
    </row>
    <row r="6046">
      <c r="A6046" t="n">
        <v>6045</v>
      </c>
      <c r="B6046" t="inlineStr">
        <is>
          <t>V̅MXLV</t>
        </is>
      </c>
      <c r="C6046">
        <f>ROMAN(6045)</f>
        <v/>
      </c>
      <c r="D6046">
        <f>IF(B6046=C6046, "YES", "WRONG")</f>
        <v/>
      </c>
    </row>
    <row r="6047">
      <c r="A6047" t="n">
        <v>6046</v>
      </c>
      <c r="B6047" t="inlineStr">
        <is>
          <t>V̅MXLVI</t>
        </is>
      </c>
      <c r="C6047">
        <f>ROMAN(6046)</f>
        <v/>
      </c>
      <c r="D6047">
        <f>IF(B6047=C6047, "YES", "WRONG")</f>
        <v/>
      </c>
    </row>
    <row r="6048">
      <c r="A6048" t="n">
        <v>6047</v>
      </c>
      <c r="B6048" t="inlineStr">
        <is>
          <t>V̅MXLVII</t>
        </is>
      </c>
      <c r="C6048">
        <f>ROMAN(6047)</f>
        <v/>
      </c>
      <c r="D6048">
        <f>IF(B6048=C6048, "YES", "WRONG")</f>
        <v/>
      </c>
    </row>
    <row r="6049">
      <c r="A6049" t="n">
        <v>6048</v>
      </c>
      <c r="B6049" t="inlineStr">
        <is>
          <t>V̅MXLVIII</t>
        </is>
      </c>
      <c r="C6049">
        <f>ROMAN(6048)</f>
        <v/>
      </c>
      <c r="D6049">
        <f>IF(B6049=C6049, "YES", "WRONG")</f>
        <v/>
      </c>
    </row>
    <row r="6050">
      <c r="A6050" t="n">
        <v>6049</v>
      </c>
      <c r="B6050" t="inlineStr">
        <is>
          <t>V̅MXLIX</t>
        </is>
      </c>
      <c r="C6050">
        <f>ROMAN(6049)</f>
        <v/>
      </c>
      <c r="D6050">
        <f>IF(B6050=C6050, "YES", "WRONG")</f>
        <v/>
      </c>
    </row>
    <row r="6051">
      <c r="A6051" t="n">
        <v>6050</v>
      </c>
      <c r="B6051" t="inlineStr">
        <is>
          <t>V̅ML</t>
        </is>
      </c>
      <c r="C6051">
        <f>ROMAN(6050)</f>
        <v/>
      </c>
      <c r="D6051">
        <f>IF(B6051=C6051, "YES", "WRONG")</f>
        <v/>
      </c>
    </row>
    <row r="6052">
      <c r="A6052" t="n">
        <v>6051</v>
      </c>
      <c r="B6052" t="inlineStr">
        <is>
          <t>V̅MLI</t>
        </is>
      </c>
      <c r="C6052">
        <f>ROMAN(6051)</f>
        <v/>
      </c>
      <c r="D6052">
        <f>IF(B6052=C6052, "YES", "WRONG")</f>
        <v/>
      </c>
    </row>
    <row r="6053">
      <c r="A6053" t="n">
        <v>6052</v>
      </c>
      <c r="B6053" t="inlineStr">
        <is>
          <t>V̅MLII</t>
        </is>
      </c>
      <c r="C6053">
        <f>ROMAN(6052)</f>
        <v/>
      </c>
      <c r="D6053">
        <f>IF(B6053=C6053, "YES", "WRONG")</f>
        <v/>
      </c>
    </row>
    <row r="6054">
      <c r="A6054" t="n">
        <v>6053</v>
      </c>
      <c r="B6054" t="inlineStr">
        <is>
          <t>V̅MLIII</t>
        </is>
      </c>
      <c r="C6054">
        <f>ROMAN(6053)</f>
        <v/>
      </c>
      <c r="D6054">
        <f>IF(B6054=C6054, "YES", "WRONG")</f>
        <v/>
      </c>
    </row>
    <row r="6055">
      <c r="A6055" t="n">
        <v>6054</v>
      </c>
      <c r="B6055" t="inlineStr">
        <is>
          <t>V̅MLIV</t>
        </is>
      </c>
      <c r="C6055">
        <f>ROMAN(6054)</f>
        <v/>
      </c>
      <c r="D6055">
        <f>IF(B6055=C6055, "YES", "WRONG")</f>
        <v/>
      </c>
    </row>
    <row r="6056">
      <c r="A6056" t="n">
        <v>6055</v>
      </c>
      <c r="B6056" t="inlineStr">
        <is>
          <t>V̅MLV</t>
        </is>
      </c>
      <c r="C6056">
        <f>ROMAN(6055)</f>
        <v/>
      </c>
      <c r="D6056">
        <f>IF(B6056=C6056, "YES", "WRONG")</f>
        <v/>
      </c>
    </row>
    <row r="6057">
      <c r="A6057" t="n">
        <v>6056</v>
      </c>
      <c r="B6057" t="inlineStr">
        <is>
          <t>V̅MLVI</t>
        </is>
      </c>
      <c r="C6057">
        <f>ROMAN(6056)</f>
        <v/>
      </c>
      <c r="D6057">
        <f>IF(B6057=C6057, "YES", "WRONG")</f>
        <v/>
      </c>
    </row>
    <row r="6058">
      <c r="A6058" t="n">
        <v>6057</v>
      </c>
      <c r="B6058" t="inlineStr">
        <is>
          <t>V̅MLVII</t>
        </is>
      </c>
      <c r="C6058">
        <f>ROMAN(6057)</f>
        <v/>
      </c>
      <c r="D6058">
        <f>IF(B6058=C6058, "YES", "WRONG")</f>
        <v/>
      </c>
    </row>
    <row r="6059">
      <c r="A6059" t="n">
        <v>6058</v>
      </c>
      <c r="B6059" t="inlineStr">
        <is>
          <t>V̅MLVIII</t>
        </is>
      </c>
      <c r="C6059">
        <f>ROMAN(6058)</f>
        <v/>
      </c>
      <c r="D6059">
        <f>IF(B6059=C6059, "YES", "WRONG")</f>
        <v/>
      </c>
    </row>
    <row r="6060">
      <c r="A6060" t="n">
        <v>6059</v>
      </c>
      <c r="B6060" t="inlineStr">
        <is>
          <t>V̅MLIX</t>
        </is>
      </c>
      <c r="C6060">
        <f>ROMAN(6059)</f>
        <v/>
      </c>
      <c r="D6060">
        <f>IF(B6060=C6060, "YES", "WRONG")</f>
        <v/>
      </c>
    </row>
    <row r="6061">
      <c r="A6061" t="n">
        <v>6060</v>
      </c>
      <c r="B6061" t="inlineStr">
        <is>
          <t>V̅MLX</t>
        </is>
      </c>
      <c r="C6061">
        <f>ROMAN(6060)</f>
        <v/>
      </c>
      <c r="D6061">
        <f>IF(B6061=C6061, "YES", "WRONG")</f>
        <v/>
      </c>
    </row>
    <row r="6062">
      <c r="A6062" t="n">
        <v>6061</v>
      </c>
      <c r="B6062" t="inlineStr">
        <is>
          <t>V̅MLXI</t>
        </is>
      </c>
      <c r="C6062">
        <f>ROMAN(6061)</f>
        <v/>
      </c>
      <c r="D6062">
        <f>IF(B6062=C6062, "YES", "WRONG")</f>
        <v/>
      </c>
    </row>
    <row r="6063">
      <c r="A6063" t="n">
        <v>6062</v>
      </c>
      <c r="B6063" t="inlineStr">
        <is>
          <t>V̅MLXII</t>
        </is>
      </c>
      <c r="C6063">
        <f>ROMAN(6062)</f>
        <v/>
      </c>
      <c r="D6063">
        <f>IF(B6063=C6063, "YES", "WRONG")</f>
        <v/>
      </c>
    </row>
    <row r="6064">
      <c r="A6064" t="n">
        <v>6063</v>
      </c>
      <c r="B6064" t="inlineStr">
        <is>
          <t>V̅MLXIII</t>
        </is>
      </c>
      <c r="C6064">
        <f>ROMAN(6063)</f>
        <v/>
      </c>
      <c r="D6064">
        <f>IF(B6064=C6064, "YES", "WRONG")</f>
        <v/>
      </c>
    </row>
    <row r="6065">
      <c r="A6065" t="n">
        <v>6064</v>
      </c>
      <c r="B6065" t="inlineStr">
        <is>
          <t>V̅MLXIV</t>
        </is>
      </c>
      <c r="C6065">
        <f>ROMAN(6064)</f>
        <v/>
      </c>
      <c r="D6065">
        <f>IF(B6065=C6065, "YES", "WRONG")</f>
        <v/>
      </c>
    </row>
    <row r="6066">
      <c r="A6066" t="n">
        <v>6065</v>
      </c>
      <c r="B6066" t="inlineStr">
        <is>
          <t>V̅MLXV</t>
        </is>
      </c>
      <c r="C6066">
        <f>ROMAN(6065)</f>
        <v/>
      </c>
      <c r="D6066">
        <f>IF(B6066=C6066, "YES", "WRONG")</f>
        <v/>
      </c>
    </row>
    <row r="6067">
      <c r="A6067" t="n">
        <v>6066</v>
      </c>
      <c r="B6067" t="inlineStr">
        <is>
          <t>V̅MLXVI</t>
        </is>
      </c>
      <c r="C6067">
        <f>ROMAN(6066)</f>
        <v/>
      </c>
      <c r="D6067">
        <f>IF(B6067=C6067, "YES", "WRONG")</f>
        <v/>
      </c>
    </row>
    <row r="6068">
      <c r="A6068" t="n">
        <v>6067</v>
      </c>
      <c r="B6068" t="inlineStr">
        <is>
          <t>V̅MLXVII</t>
        </is>
      </c>
      <c r="C6068">
        <f>ROMAN(6067)</f>
        <v/>
      </c>
      <c r="D6068">
        <f>IF(B6068=C6068, "YES", "WRONG")</f>
        <v/>
      </c>
    </row>
    <row r="6069">
      <c r="A6069" t="n">
        <v>6068</v>
      </c>
      <c r="B6069" t="inlineStr">
        <is>
          <t>V̅MLXVIII</t>
        </is>
      </c>
      <c r="C6069">
        <f>ROMAN(6068)</f>
        <v/>
      </c>
      <c r="D6069">
        <f>IF(B6069=C6069, "YES", "WRONG")</f>
        <v/>
      </c>
    </row>
    <row r="6070">
      <c r="A6070" t="n">
        <v>6069</v>
      </c>
      <c r="B6070" t="inlineStr">
        <is>
          <t>V̅MLXIX</t>
        </is>
      </c>
      <c r="C6070">
        <f>ROMAN(6069)</f>
        <v/>
      </c>
      <c r="D6070">
        <f>IF(B6070=C6070, "YES", "WRONG")</f>
        <v/>
      </c>
    </row>
    <row r="6071">
      <c r="A6071" t="n">
        <v>6070</v>
      </c>
      <c r="B6071" t="inlineStr">
        <is>
          <t>V̅MLXX</t>
        </is>
      </c>
      <c r="C6071">
        <f>ROMAN(6070)</f>
        <v/>
      </c>
      <c r="D6071">
        <f>IF(B6071=C6071, "YES", "WRONG")</f>
        <v/>
      </c>
    </row>
    <row r="6072">
      <c r="A6072" t="n">
        <v>6071</v>
      </c>
      <c r="B6072" t="inlineStr">
        <is>
          <t>V̅MLXXI</t>
        </is>
      </c>
      <c r="C6072">
        <f>ROMAN(6071)</f>
        <v/>
      </c>
      <c r="D6072">
        <f>IF(B6072=C6072, "YES", "WRONG")</f>
        <v/>
      </c>
    </row>
    <row r="6073">
      <c r="A6073" t="n">
        <v>6072</v>
      </c>
      <c r="B6073" t="inlineStr">
        <is>
          <t>V̅MLXXII</t>
        </is>
      </c>
      <c r="C6073">
        <f>ROMAN(6072)</f>
        <v/>
      </c>
      <c r="D6073">
        <f>IF(B6073=C6073, "YES", "WRONG")</f>
        <v/>
      </c>
    </row>
    <row r="6074">
      <c r="A6074" t="n">
        <v>6073</v>
      </c>
      <c r="B6074" t="inlineStr">
        <is>
          <t>V̅MLXXIII</t>
        </is>
      </c>
      <c r="C6074">
        <f>ROMAN(6073)</f>
        <v/>
      </c>
      <c r="D6074">
        <f>IF(B6074=C6074, "YES", "WRONG")</f>
        <v/>
      </c>
    </row>
    <row r="6075">
      <c r="A6075" t="n">
        <v>6074</v>
      </c>
      <c r="B6075" t="inlineStr">
        <is>
          <t>V̅MLXXIV</t>
        </is>
      </c>
      <c r="C6075">
        <f>ROMAN(6074)</f>
        <v/>
      </c>
      <c r="D6075">
        <f>IF(B6075=C6075, "YES", "WRONG")</f>
        <v/>
      </c>
    </row>
    <row r="6076">
      <c r="A6076" t="n">
        <v>6075</v>
      </c>
      <c r="B6076" t="inlineStr">
        <is>
          <t>V̅MLXXV</t>
        </is>
      </c>
      <c r="C6076">
        <f>ROMAN(6075)</f>
        <v/>
      </c>
      <c r="D6076">
        <f>IF(B6076=C6076, "YES", "WRONG")</f>
        <v/>
      </c>
    </row>
    <row r="6077">
      <c r="A6077" t="n">
        <v>6076</v>
      </c>
      <c r="B6077" t="inlineStr">
        <is>
          <t>V̅MLXXVI</t>
        </is>
      </c>
      <c r="C6077">
        <f>ROMAN(6076)</f>
        <v/>
      </c>
      <c r="D6077">
        <f>IF(B6077=C6077, "YES", "WRONG")</f>
        <v/>
      </c>
    </row>
    <row r="6078">
      <c r="A6078" t="n">
        <v>6077</v>
      </c>
      <c r="B6078" t="inlineStr">
        <is>
          <t>V̅MLXXVII</t>
        </is>
      </c>
      <c r="C6078">
        <f>ROMAN(6077)</f>
        <v/>
      </c>
      <c r="D6078">
        <f>IF(B6078=C6078, "YES", "WRONG")</f>
        <v/>
      </c>
    </row>
    <row r="6079">
      <c r="A6079" t="n">
        <v>6078</v>
      </c>
      <c r="B6079" t="inlineStr">
        <is>
          <t>V̅MLXXVIII</t>
        </is>
      </c>
      <c r="C6079">
        <f>ROMAN(6078)</f>
        <v/>
      </c>
      <c r="D6079">
        <f>IF(B6079=C6079, "YES", "WRONG")</f>
        <v/>
      </c>
    </row>
    <row r="6080">
      <c r="A6080" t="n">
        <v>6079</v>
      </c>
      <c r="B6080" t="inlineStr">
        <is>
          <t>V̅MLXXIX</t>
        </is>
      </c>
      <c r="C6080">
        <f>ROMAN(6079)</f>
        <v/>
      </c>
      <c r="D6080">
        <f>IF(B6080=C6080, "YES", "WRONG")</f>
        <v/>
      </c>
    </row>
    <row r="6081">
      <c r="A6081" t="n">
        <v>6080</v>
      </c>
      <c r="B6081" t="inlineStr">
        <is>
          <t>V̅MLXXX</t>
        </is>
      </c>
      <c r="C6081">
        <f>ROMAN(6080)</f>
        <v/>
      </c>
      <c r="D6081">
        <f>IF(B6081=C6081, "YES", "WRONG")</f>
        <v/>
      </c>
    </row>
    <row r="6082">
      <c r="A6082" t="n">
        <v>6081</v>
      </c>
      <c r="B6082" t="inlineStr">
        <is>
          <t>V̅MLXXXI</t>
        </is>
      </c>
      <c r="C6082">
        <f>ROMAN(6081)</f>
        <v/>
      </c>
      <c r="D6082">
        <f>IF(B6082=C6082, "YES", "WRONG")</f>
        <v/>
      </c>
    </row>
    <row r="6083">
      <c r="A6083" t="n">
        <v>6082</v>
      </c>
      <c r="B6083" t="inlineStr">
        <is>
          <t>V̅MLXXXII</t>
        </is>
      </c>
      <c r="C6083">
        <f>ROMAN(6082)</f>
        <v/>
      </c>
      <c r="D6083">
        <f>IF(B6083=C6083, "YES", "WRONG")</f>
        <v/>
      </c>
    </row>
    <row r="6084">
      <c r="A6084" t="n">
        <v>6083</v>
      </c>
      <c r="B6084" t="inlineStr">
        <is>
          <t>V̅MLXXXIII</t>
        </is>
      </c>
      <c r="C6084">
        <f>ROMAN(6083)</f>
        <v/>
      </c>
      <c r="D6084">
        <f>IF(B6084=C6084, "YES", "WRONG")</f>
        <v/>
      </c>
    </row>
    <row r="6085">
      <c r="A6085" t="n">
        <v>6084</v>
      </c>
      <c r="B6085" t="inlineStr">
        <is>
          <t>V̅MLXXXIV</t>
        </is>
      </c>
      <c r="C6085">
        <f>ROMAN(6084)</f>
        <v/>
      </c>
      <c r="D6085">
        <f>IF(B6085=C6085, "YES", "WRONG")</f>
        <v/>
      </c>
    </row>
    <row r="6086">
      <c r="A6086" t="n">
        <v>6085</v>
      </c>
      <c r="B6086" t="inlineStr">
        <is>
          <t>V̅MLXXXV</t>
        </is>
      </c>
      <c r="C6086">
        <f>ROMAN(6085)</f>
        <v/>
      </c>
      <c r="D6086">
        <f>IF(B6086=C6086, "YES", "WRONG")</f>
        <v/>
      </c>
    </row>
    <row r="6087">
      <c r="A6087" t="n">
        <v>6086</v>
      </c>
      <c r="B6087" t="inlineStr">
        <is>
          <t>V̅MLXXXVI</t>
        </is>
      </c>
      <c r="C6087">
        <f>ROMAN(6086)</f>
        <v/>
      </c>
      <c r="D6087">
        <f>IF(B6087=C6087, "YES", "WRONG")</f>
        <v/>
      </c>
    </row>
    <row r="6088">
      <c r="A6088" t="n">
        <v>6087</v>
      </c>
      <c r="B6088" t="inlineStr">
        <is>
          <t>V̅MLXXXVII</t>
        </is>
      </c>
      <c r="C6088">
        <f>ROMAN(6087)</f>
        <v/>
      </c>
      <c r="D6088">
        <f>IF(B6088=C6088, "YES", "WRONG")</f>
        <v/>
      </c>
    </row>
    <row r="6089">
      <c r="A6089" t="n">
        <v>6088</v>
      </c>
      <c r="B6089" t="inlineStr">
        <is>
          <t>V̅MLXXXVIII</t>
        </is>
      </c>
      <c r="C6089">
        <f>ROMAN(6088)</f>
        <v/>
      </c>
      <c r="D6089">
        <f>IF(B6089=C6089, "YES", "WRONG")</f>
        <v/>
      </c>
    </row>
    <row r="6090">
      <c r="A6090" t="n">
        <v>6089</v>
      </c>
      <c r="B6090" t="inlineStr">
        <is>
          <t>V̅MLXXXIX</t>
        </is>
      </c>
      <c r="C6090">
        <f>ROMAN(6089)</f>
        <v/>
      </c>
      <c r="D6090">
        <f>IF(B6090=C6090, "YES", "WRONG")</f>
        <v/>
      </c>
    </row>
    <row r="6091">
      <c r="A6091" t="n">
        <v>6090</v>
      </c>
      <c r="B6091" t="inlineStr">
        <is>
          <t>V̅MXC</t>
        </is>
      </c>
      <c r="C6091">
        <f>ROMAN(6090)</f>
        <v/>
      </c>
      <c r="D6091">
        <f>IF(B6091=C6091, "YES", "WRONG")</f>
        <v/>
      </c>
    </row>
    <row r="6092">
      <c r="A6092" t="n">
        <v>6091</v>
      </c>
      <c r="B6092" t="inlineStr">
        <is>
          <t>V̅MXCI</t>
        </is>
      </c>
      <c r="C6092">
        <f>ROMAN(6091)</f>
        <v/>
      </c>
      <c r="D6092">
        <f>IF(B6092=C6092, "YES", "WRONG")</f>
        <v/>
      </c>
    </row>
    <row r="6093">
      <c r="A6093" t="n">
        <v>6092</v>
      </c>
      <c r="B6093" t="inlineStr">
        <is>
          <t>V̅MXCII</t>
        </is>
      </c>
      <c r="C6093">
        <f>ROMAN(6092)</f>
        <v/>
      </c>
      <c r="D6093">
        <f>IF(B6093=C6093, "YES", "WRONG")</f>
        <v/>
      </c>
    </row>
    <row r="6094">
      <c r="A6094" t="n">
        <v>6093</v>
      </c>
      <c r="B6094" t="inlineStr">
        <is>
          <t>V̅MXCIII</t>
        </is>
      </c>
      <c r="C6094">
        <f>ROMAN(6093)</f>
        <v/>
      </c>
      <c r="D6094">
        <f>IF(B6094=C6094, "YES", "WRONG")</f>
        <v/>
      </c>
    </row>
    <row r="6095">
      <c r="A6095" t="n">
        <v>6094</v>
      </c>
      <c r="B6095" t="inlineStr">
        <is>
          <t>V̅MXCIV</t>
        </is>
      </c>
      <c r="C6095">
        <f>ROMAN(6094)</f>
        <v/>
      </c>
      <c r="D6095">
        <f>IF(B6095=C6095, "YES", "WRONG")</f>
        <v/>
      </c>
    </row>
    <row r="6096">
      <c r="A6096" t="n">
        <v>6095</v>
      </c>
      <c r="B6096" t="inlineStr">
        <is>
          <t>V̅MXCV</t>
        </is>
      </c>
      <c r="C6096">
        <f>ROMAN(6095)</f>
        <v/>
      </c>
      <c r="D6096">
        <f>IF(B6096=C6096, "YES", "WRONG")</f>
        <v/>
      </c>
    </row>
    <row r="6097">
      <c r="A6097" t="n">
        <v>6096</v>
      </c>
      <c r="B6097" t="inlineStr">
        <is>
          <t>V̅MXCVI</t>
        </is>
      </c>
      <c r="C6097">
        <f>ROMAN(6096)</f>
        <v/>
      </c>
      <c r="D6097">
        <f>IF(B6097=C6097, "YES", "WRONG")</f>
        <v/>
      </c>
    </row>
    <row r="6098">
      <c r="A6098" t="n">
        <v>6097</v>
      </c>
      <c r="B6098" t="inlineStr">
        <is>
          <t>V̅MXCVII</t>
        </is>
      </c>
      <c r="C6098">
        <f>ROMAN(6097)</f>
        <v/>
      </c>
      <c r="D6098">
        <f>IF(B6098=C6098, "YES", "WRONG")</f>
        <v/>
      </c>
    </row>
    <row r="6099">
      <c r="A6099" t="n">
        <v>6098</v>
      </c>
      <c r="B6099" t="inlineStr">
        <is>
          <t>V̅MXCVIII</t>
        </is>
      </c>
      <c r="C6099">
        <f>ROMAN(6098)</f>
        <v/>
      </c>
      <c r="D6099">
        <f>IF(B6099=C6099, "YES", "WRONG")</f>
        <v/>
      </c>
    </row>
    <row r="6100">
      <c r="A6100" t="n">
        <v>6099</v>
      </c>
      <c r="B6100" t="inlineStr">
        <is>
          <t>V̅MXCIX</t>
        </is>
      </c>
      <c r="C6100">
        <f>ROMAN(6099)</f>
        <v/>
      </c>
      <c r="D6100">
        <f>IF(B6100=C6100, "YES", "WRONG")</f>
        <v/>
      </c>
    </row>
    <row r="6101">
      <c r="A6101" t="n">
        <v>6100</v>
      </c>
      <c r="B6101" t="inlineStr">
        <is>
          <t>V̅MC</t>
        </is>
      </c>
      <c r="C6101">
        <f>ROMAN(6100)</f>
        <v/>
      </c>
      <c r="D6101">
        <f>IF(B6101=C6101, "YES", "WRONG")</f>
        <v/>
      </c>
    </row>
    <row r="6102">
      <c r="A6102" t="n">
        <v>6101</v>
      </c>
      <c r="B6102" t="inlineStr">
        <is>
          <t>V̅MCI</t>
        </is>
      </c>
      <c r="C6102">
        <f>ROMAN(6101)</f>
        <v/>
      </c>
      <c r="D6102">
        <f>IF(B6102=C6102, "YES", "WRONG")</f>
        <v/>
      </c>
    </row>
    <row r="6103">
      <c r="A6103" t="n">
        <v>6102</v>
      </c>
      <c r="B6103" t="inlineStr">
        <is>
          <t>V̅MCII</t>
        </is>
      </c>
      <c r="C6103">
        <f>ROMAN(6102)</f>
        <v/>
      </c>
      <c r="D6103">
        <f>IF(B6103=C6103, "YES", "WRONG")</f>
        <v/>
      </c>
    </row>
    <row r="6104">
      <c r="A6104" t="n">
        <v>6103</v>
      </c>
      <c r="B6104" t="inlineStr">
        <is>
          <t>V̅MCIII</t>
        </is>
      </c>
      <c r="C6104">
        <f>ROMAN(6103)</f>
        <v/>
      </c>
      <c r="D6104">
        <f>IF(B6104=C6104, "YES", "WRONG")</f>
        <v/>
      </c>
    </row>
    <row r="6105">
      <c r="A6105" t="n">
        <v>6104</v>
      </c>
      <c r="B6105" t="inlineStr">
        <is>
          <t>V̅MCIV</t>
        </is>
      </c>
      <c r="C6105">
        <f>ROMAN(6104)</f>
        <v/>
      </c>
      <c r="D6105">
        <f>IF(B6105=C6105, "YES", "WRONG")</f>
        <v/>
      </c>
    </row>
    <row r="6106">
      <c r="A6106" t="n">
        <v>6105</v>
      </c>
      <c r="B6106" t="inlineStr">
        <is>
          <t>V̅MCV</t>
        </is>
      </c>
      <c r="C6106">
        <f>ROMAN(6105)</f>
        <v/>
      </c>
      <c r="D6106">
        <f>IF(B6106=C6106, "YES", "WRONG")</f>
        <v/>
      </c>
    </row>
    <row r="6107">
      <c r="A6107" t="n">
        <v>6106</v>
      </c>
      <c r="B6107" t="inlineStr">
        <is>
          <t>V̅MCVI</t>
        </is>
      </c>
      <c r="C6107">
        <f>ROMAN(6106)</f>
        <v/>
      </c>
      <c r="D6107">
        <f>IF(B6107=C6107, "YES", "WRONG")</f>
        <v/>
      </c>
    </row>
    <row r="6108">
      <c r="A6108" t="n">
        <v>6107</v>
      </c>
      <c r="B6108" t="inlineStr">
        <is>
          <t>V̅MCVII</t>
        </is>
      </c>
      <c r="C6108">
        <f>ROMAN(6107)</f>
        <v/>
      </c>
      <c r="D6108">
        <f>IF(B6108=C6108, "YES", "WRONG")</f>
        <v/>
      </c>
    </row>
    <row r="6109">
      <c r="A6109" t="n">
        <v>6108</v>
      </c>
      <c r="B6109" t="inlineStr">
        <is>
          <t>V̅MCVIII</t>
        </is>
      </c>
      <c r="C6109">
        <f>ROMAN(6108)</f>
        <v/>
      </c>
      <c r="D6109">
        <f>IF(B6109=C6109, "YES", "WRONG")</f>
        <v/>
      </c>
    </row>
    <row r="6110">
      <c r="A6110" t="n">
        <v>6109</v>
      </c>
      <c r="B6110" t="inlineStr">
        <is>
          <t>V̅MCIX</t>
        </is>
      </c>
      <c r="C6110">
        <f>ROMAN(6109)</f>
        <v/>
      </c>
      <c r="D6110">
        <f>IF(B6110=C6110, "YES", "WRONG")</f>
        <v/>
      </c>
    </row>
    <row r="6111">
      <c r="A6111" t="n">
        <v>6110</v>
      </c>
      <c r="B6111" t="inlineStr">
        <is>
          <t>V̅MCX</t>
        </is>
      </c>
      <c r="C6111">
        <f>ROMAN(6110)</f>
        <v/>
      </c>
      <c r="D6111">
        <f>IF(B6111=C6111, "YES", "WRONG")</f>
        <v/>
      </c>
    </row>
    <row r="6112">
      <c r="A6112" t="n">
        <v>6111</v>
      </c>
      <c r="B6112" t="inlineStr">
        <is>
          <t>V̅MCXI</t>
        </is>
      </c>
      <c r="C6112">
        <f>ROMAN(6111)</f>
        <v/>
      </c>
      <c r="D6112">
        <f>IF(B6112=C6112, "YES", "WRONG")</f>
        <v/>
      </c>
    </row>
    <row r="6113">
      <c r="A6113" t="n">
        <v>6112</v>
      </c>
      <c r="B6113" t="inlineStr">
        <is>
          <t>V̅MCXII</t>
        </is>
      </c>
      <c r="C6113">
        <f>ROMAN(6112)</f>
        <v/>
      </c>
      <c r="D6113">
        <f>IF(B6113=C6113, "YES", "WRONG")</f>
        <v/>
      </c>
    </row>
    <row r="6114">
      <c r="A6114" t="n">
        <v>6113</v>
      </c>
      <c r="B6114" t="inlineStr">
        <is>
          <t>V̅MCXIII</t>
        </is>
      </c>
      <c r="C6114">
        <f>ROMAN(6113)</f>
        <v/>
      </c>
      <c r="D6114">
        <f>IF(B6114=C6114, "YES", "WRONG")</f>
        <v/>
      </c>
    </row>
    <row r="6115">
      <c r="A6115" t="n">
        <v>6114</v>
      </c>
      <c r="B6115" t="inlineStr">
        <is>
          <t>V̅MCXIV</t>
        </is>
      </c>
      <c r="C6115">
        <f>ROMAN(6114)</f>
        <v/>
      </c>
      <c r="D6115">
        <f>IF(B6115=C6115, "YES", "WRONG")</f>
        <v/>
      </c>
    </row>
    <row r="6116">
      <c r="A6116" t="n">
        <v>6115</v>
      </c>
      <c r="B6116" t="inlineStr">
        <is>
          <t>V̅MCXV</t>
        </is>
      </c>
      <c r="C6116">
        <f>ROMAN(6115)</f>
        <v/>
      </c>
      <c r="D6116">
        <f>IF(B6116=C6116, "YES", "WRONG")</f>
        <v/>
      </c>
    </row>
    <row r="6117">
      <c r="A6117" t="n">
        <v>6116</v>
      </c>
      <c r="B6117" t="inlineStr">
        <is>
          <t>V̅MCXVI</t>
        </is>
      </c>
      <c r="C6117">
        <f>ROMAN(6116)</f>
        <v/>
      </c>
      <c r="D6117">
        <f>IF(B6117=C6117, "YES", "WRONG")</f>
        <v/>
      </c>
    </row>
    <row r="6118">
      <c r="A6118" t="n">
        <v>6117</v>
      </c>
      <c r="B6118" t="inlineStr">
        <is>
          <t>V̅MCXVII</t>
        </is>
      </c>
      <c r="C6118">
        <f>ROMAN(6117)</f>
        <v/>
      </c>
      <c r="D6118">
        <f>IF(B6118=C6118, "YES", "WRONG")</f>
        <v/>
      </c>
    </row>
    <row r="6119">
      <c r="A6119" t="n">
        <v>6118</v>
      </c>
      <c r="B6119" t="inlineStr">
        <is>
          <t>V̅MCXVIII</t>
        </is>
      </c>
      <c r="C6119">
        <f>ROMAN(6118)</f>
        <v/>
      </c>
      <c r="D6119">
        <f>IF(B6119=C6119, "YES", "WRONG")</f>
        <v/>
      </c>
    </row>
    <row r="6120">
      <c r="A6120" t="n">
        <v>6119</v>
      </c>
      <c r="B6120" t="inlineStr">
        <is>
          <t>V̅MCXIX</t>
        </is>
      </c>
      <c r="C6120">
        <f>ROMAN(6119)</f>
        <v/>
      </c>
      <c r="D6120">
        <f>IF(B6120=C6120, "YES", "WRONG")</f>
        <v/>
      </c>
    </row>
    <row r="6121">
      <c r="A6121" t="n">
        <v>6120</v>
      </c>
      <c r="B6121" t="inlineStr">
        <is>
          <t>V̅MCXX</t>
        </is>
      </c>
      <c r="C6121">
        <f>ROMAN(6120)</f>
        <v/>
      </c>
      <c r="D6121">
        <f>IF(B6121=C6121, "YES", "WRONG")</f>
        <v/>
      </c>
    </row>
    <row r="6122">
      <c r="A6122" t="n">
        <v>6121</v>
      </c>
      <c r="B6122" t="inlineStr">
        <is>
          <t>V̅MCXXI</t>
        </is>
      </c>
      <c r="C6122">
        <f>ROMAN(6121)</f>
        <v/>
      </c>
      <c r="D6122">
        <f>IF(B6122=C6122, "YES", "WRONG")</f>
        <v/>
      </c>
    </row>
    <row r="6123">
      <c r="A6123" t="n">
        <v>6122</v>
      </c>
      <c r="B6123" t="inlineStr">
        <is>
          <t>V̅MCXXII</t>
        </is>
      </c>
      <c r="C6123">
        <f>ROMAN(6122)</f>
        <v/>
      </c>
      <c r="D6123">
        <f>IF(B6123=C6123, "YES", "WRONG")</f>
        <v/>
      </c>
    </row>
    <row r="6124">
      <c r="A6124" t="n">
        <v>6123</v>
      </c>
      <c r="B6124" t="inlineStr">
        <is>
          <t>V̅MCXXIII</t>
        </is>
      </c>
      <c r="C6124">
        <f>ROMAN(6123)</f>
        <v/>
      </c>
      <c r="D6124">
        <f>IF(B6124=C6124, "YES", "WRONG")</f>
        <v/>
      </c>
    </row>
    <row r="6125">
      <c r="A6125" t="n">
        <v>6124</v>
      </c>
      <c r="B6125" t="inlineStr">
        <is>
          <t>V̅MCXXIV</t>
        </is>
      </c>
      <c r="C6125">
        <f>ROMAN(6124)</f>
        <v/>
      </c>
      <c r="D6125">
        <f>IF(B6125=C6125, "YES", "WRONG")</f>
        <v/>
      </c>
    </row>
    <row r="6126">
      <c r="A6126" t="n">
        <v>6125</v>
      </c>
      <c r="B6126" t="inlineStr">
        <is>
          <t>V̅MCXXV</t>
        </is>
      </c>
      <c r="C6126">
        <f>ROMAN(6125)</f>
        <v/>
      </c>
      <c r="D6126">
        <f>IF(B6126=C6126, "YES", "WRONG")</f>
        <v/>
      </c>
    </row>
    <row r="6127">
      <c r="A6127" t="n">
        <v>6126</v>
      </c>
      <c r="B6127" t="inlineStr">
        <is>
          <t>V̅MCXXVI</t>
        </is>
      </c>
      <c r="C6127">
        <f>ROMAN(6126)</f>
        <v/>
      </c>
      <c r="D6127">
        <f>IF(B6127=C6127, "YES", "WRONG")</f>
        <v/>
      </c>
    </row>
    <row r="6128">
      <c r="A6128" t="n">
        <v>6127</v>
      </c>
      <c r="B6128" t="inlineStr">
        <is>
          <t>V̅MCXXVII</t>
        </is>
      </c>
      <c r="C6128">
        <f>ROMAN(6127)</f>
        <v/>
      </c>
      <c r="D6128">
        <f>IF(B6128=C6128, "YES", "WRONG")</f>
        <v/>
      </c>
    </row>
    <row r="6129">
      <c r="A6129" t="n">
        <v>6128</v>
      </c>
      <c r="B6129" t="inlineStr">
        <is>
          <t>V̅MCXXVIII</t>
        </is>
      </c>
      <c r="C6129">
        <f>ROMAN(6128)</f>
        <v/>
      </c>
      <c r="D6129">
        <f>IF(B6129=C6129, "YES", "WRONG")</f>
        <v/>
      </c>
    </row>
    <row r="6130">
      <c r="A6130" t="n">
        <v>6129</v>
      </c>
      <c r="B6130" t="inlineStr">
        <is>
          <t>V̅MCXXIX</t>
        </is>
      </c>
      <c r="C6130">
        <f>ROMAN(6129)</f>
        <v/>
      </c>
      <c r="D6130">
        <f>IF(B6130=C6130, "YES", "WRONG")</f>
        <v/>
      </c>
    </row>
    <row r="6131">
      <c r="A6131" t="n">
        <v>6130</v>
      </c>
      <c r="B6131" t="inlineStr">
        <is>
          <t>V̅MCXXX</t>
        </is>
      </c>
      <c r="C6131">
        <f>ROMAN(6130)</f>
        <v/>
      </c>
      <c r="D6131">
        <f>IF(B6131=C6131, "YES", "WRONG")</f>
        <v/>
      </c>
    </row>
    <row r="6132">
      <c r="A6132" t="n">
        <v>6131</v>
      </c>
      <c r="B6132" t="inlineStr">
        <is>
          <t>V̅MCXXXI</t>
        </is>
      </c>
      <c r="C6132">
        <f>ROMAN(6131)</f>
        <v/>
      </c>
      <c r="D6132">
        <f>IF(B6132=C6132, "YES", "WRONG")</f>
        <v/>
      </c>
    </row>
    <row r="6133">
      <c r="A6133" t="n">
        <v>6132</v>
      </c>
      <c r="B6133" t="inlineStr">
        <is>
          <t>V̅MCXXXII</t>
        </is>
      </c>
      <c r="C6133">
        <f>ROMAN(6132)</f>
        <v/>
      </c>
      <c r="D6133">
        <f>IF(B6133=C6133, "YES", "WRONG")</f>
        <v/>
      </c>
    </row>
    <row r="6134">
      <c r="A6134" t="n">
        <v>6133</v>
      </c>
      <c r="B6134" t="inlineStr">
        <is>
          <t>V̅MCXXXIII</t>
        </is>
      </c>
      <c r="C6134">
        <f>ROMAN(6133)</f>
        <v/>
      </c>
      <c r="D6134">
        <f>IF(B6134=C6134, "YES", "WRONG")</f>
        <v/>
      </c>
    </row>
    <row r="6135">
      <c r="A6135" t="n">
        <v>6134</v>
      </c>
      <c r="B6135" t="inlineStr">
        <is>
          <t>V̅MCXXXIV</t>
        </is>
      </c>
      <c r="C6135">
        <f>ROMAN(6134)</f>
        <v/>
      </c>
      <c r="D6135">
        <f>IF(B6135=C6135, "YES", "WRONG")</f>
        <v/>
      </c>
    </row>
    <row r="6136">
      <c r="A6136" t="n">
        <v>6135</v>
      </c>
      <c r="B6136" t="inlineStr">
        <is>
          <t>V̅MCXXXV</t>
        </is>
      </c>
      <c r="C6136">
        <f>ROMAN(6135)</f>
        <v/>
      </c>
      <c r="D6136">
        <f>IF(B6136=C6136, "YES", "WRONG")</f>
        <v/>
      </c>
    </row>
    <row r="6137">
      <c r="A6137" t="n">
        <v>6136</v>
      </c>
      <c r="B6137" t="inlineStr">
        <is>
          <t>V̅MCXXXVI</t>
        </is>
      </c>
      <c r="C6137">
        <f>ROMAN(6136)</f>
        <v/>
      </c>
      <c r="D6137">
        <f>IF(B6137=C6137, "YES", "WRONG")</f>
        <v/>
      </c>
    </row>
    <row r="6138">
      <c r="A6138" t="n">
        <v>6137</v>
      </c>
      <c r="B6138" t="inlineStr">
        <is>
          <t>V̅MCXXXVII</t>
        </is>
      </c>
      <c r="C6138">
        <f>ROMAN(6137)</f>
        <v/>
      </c>
      <c r="D6138">
        <f>IF(B6138=C6138, "YES", "WRONG")</f>
        <v/>
      </c>
    </row>
    <row r="6139">
      <c r="A6139" t="n">
        <v>6138</v>
      </c>
      <c r="B6139" t="inlineStr">
        <is>
          <t>V̅MCXXXVIII</t>
        </is>
      </c>
      <c r="C6139">
        <f>ROMAN(6138)</f>
        <v/>
      </c>
      <c r="D6139">
        <f>IF(B6139=C6139, "YES", "WRONG")</f>
        <v/>
      </c>
    </row>
    <row r="6140">
      <c r="A6140" t="n">
        <v>6139</v>
      </c>
      <c r="B6140" t="inlineStr">
        <is>
          <t>V̅MCXXXIX</t>
        </is>
      </c>
      <c r="C6140">
        <f>ROMAN(6139)</f>
        <v/>
      </c>
      <c r="D6140">
        <f>IF(B6140=C6140, "YES", "WRONG")</f>
        <v/>
      </c>
    </row>
    <row r="6141">
      <c r="A6141" t="n">
        <v>6140</v>
      </c>
      <c r="B6141" t="inlineStr">
        <is>
          <t>V̅MCXL</t>
        </is>
      </c>
      <c r="C6141">
        <f>ROMAN(6140)</f>
        <v/>
      </c>
      <c r="D6141">
        <f>IF(B6141=C6141, "YES", "WRONG")</f>
        <v/>
      </c>
    </row>
    <row r="6142">
      <c r="A6142" t="n">
        <v>6141</v>
      </c>
      <c r="B6142" t="inlineStr">
        <is>
          <t>V̅MCXLI</t>
        </is>
      </c>
      <c r="C6142">
        <f>ROMAN(6141)</f>
        <v/>
      </c>
      <c r="D6142">
        <f>IF(B6142=C6142, "YES", "WRONG")</f>
        <v/>
      </c>
    </row>
    <row r="6143">
      <c r="A6143" t="n">
        <v>6142</v>
      </c>
      <c r="B6143" t="inlineStr">
        <is>
          <t>V̅MCXLII</t>
        </is>
      </c>
      <c r="C6143">
        <f>ROMAN(6142)</f>
        <v/>
      </c>
      <c r="D6143">
        <f>IF(B6143=C6143, "YES", "WRONG")</f>
        <v/>
      </c>
    </row>
    <row r="6144">
      <c r="A6144" t="n">
        <v>6143</v>
      </c>
      <c r="B6144" t="inlineStr">
        <is>
          <t>V̅MCXLIII</t>
        </is>
      </c>
      <c r="C6144">
        <f>ROMAN(6143)</f>
        <v/>
      </c>
      <c r="D6144">
        <f>IF(B6144=C6144, "YES", "WRONG")</f>
        <v/>
      </c>
    </row>
    <row r="6145">
      <c r="A6145" t="n">
        <v>6144</v>
      </c>
      <c r="B6145" t="inlineStr">
        <is>
          <t>V̅MCXLIV</t>
        </is>
      </c>
      <c r="C6145">
        <f>ROMAN(6144)</f>
        <v/>
      </c>
      <c r="D6145">
        <f>IF(B6145=C6145, "YES", "WRONG")</f>
        <v/>
      </c>
    </row>
    <row r="6146">
      <c r="A6146" t="n">
        <v>6145</v>
      </c>
      <c r="B6146" t="inlineStr">
        <is>
          <t>V̅MCXLV</t>
        </is>
      </c>
      <c r="C6146">
        <f>ROMAN(6145)</f>
        <v/>
      </c>
      <c r="D6146">
        <f>IF(B6146=C6146, "YES", "WRONG")</f>
        <v/>
      </c>
    </row>
    <row r="6147">
      <c r="A6147" t="n">
        <v>6146</v>
      </c>
      <c r="B6147" t="inlineStr">
        <is>
          <t>V̅MCXLVI</t>
        </is>
      </c>
      <c r="C6147">
        <f>ROMAN(6146)</f>
        <v/>
      </c>
      <c r="D6147">
        <f>IF(B6147=C6147, "YES", "WRONG")</f>
        <v/>
      </c>
    </row>
    <row r="6148">
      <c r="A6148" t="n">
        <v>6147</v>
      </c>
      <c r="B6148" t="inlineStr">
        <is>
          <t>V̅MCXLVII</t>
        </is>
      </c>
      <c r="C6148">
        <f>ROMAN(6147)</f>
        <v/>
      </c>
      <c r="D6148">
        <f>IF(B6148=C6148, "YES", "WRONG")</f>
        <v/>
      </c>
    </row>
    <row r="6149">
      <c r="A6149" t="n">
        <v>6148</v>
      </c>
      <c r="B6149" t="inlineStr">
        <is>
          <t>V̅MCXLVIII</t>
        </is>
      </c>
      <c r="C6149">
        <f>ROMAN(6148)</f>
        <v/>
      </c>
      <c r="D6149">
        <f>IF(B6149=C6149, "YES", "WRONG")</f>
        <v/>
      </c>
    </row>
    <row r="6150">
      <c r="A6150" t="n">
        <v>6149</v>
      </c>
      <c r="B6150" t="inlineStr">
        <is>
          <t>V̅MCXLIX</t>
        </is>
      </c>
      <c r="C6150">
        <f>ROMAN(6149)</f>
        <v/>
      </c>
      <c r="D6150">
        <f>IF(B6150=C6150, "YES", "WRONG")</f>
        <v/>
      </c>
    </row>
    <row r="6151">
      <c r="A6151" t="n">
        <v>6150</v>
      </c>
      <c r="B6151" t="inlineStr">
        <is>
          <t>V̅MCL</t>
        </is>
      </c>
      <c r="C6151">
        <f>ROMAN(6150)</f>
        <v/>
      </c>
      <c r="D6151">
        <f>IF(B6151=C6151, "YES", "WRONG")</f>
        <v/>
      </c>
    </row>
    <row r="6152">
      <c r="A6152" t="n">
        <v>6151</v>
      </c>
      <c r="B6152" t="inlineStr">
        <is>
          <t>V̅MCLI</t>
        </is>
      </c>
      <c r="C6152">
        <f>ROMAN(6151)</f>
        <v/>
      </c>
      <c r="D6152">
        <f>IF(B6152=C6152, "YES", "WRONG")</f>
        <v/>
      </c>
    </row>
    <row r="6153">
      <c r="A6153" t="n">
        <v>6152</v>
      </c>
      <c r="B6153" t="inlineStr">
        <is>
          <t>V̅MCLII</t>
        </is>
      </c>
      <c r="C6153">
        <f>ROMAN(6152)</f>
        <v/>
      </c>
      <c r="D6153">
        <f>IF(B6153=C6153, "YES", "WRONG")</f>
        <v/>
      </c>
    </row>
    <row r="6154">
      <c r="A6154" t="n">
        <v>6153</v>
      </c>
      <c r="B6154" t="inlineStr">
        <is>
          <t>V̅MCLIII</t>
        </is>
      </c>
      <c r="C6154">
        <f>ROMAN(6153)</f>
        <v/>
      </c>
      <c r="D6154">
        <f>IF(B6154=C6154, "YES", "WRONG")</f>
        <v/>
      </c>
    </row>
    <row r="6155">
      <c r="A6155" t="n">
        <v>6154</v>
      </c>
      <c r="B6155" t="inlineStr">
        <is>
          <t>V̅MCLIV</t>
        </is>
      </c>
      <c r="C6155">
        <f>ROMAN(6154)</f>
        <v/>
      </c>
      <c r="D6155">
        <f>IF(B6155=C6155, "YES", "WRONG")</f>
        <v/>
      </c>
    </row>
    <row r="6156">
      <c r="A6156" t="n">
        <v>6155</v>
      </c>
      <c r="B6156" t="inlineStr">
        <is>
          <t>V̅MCLV</t>
        </is>
      </c>
      <c r="C6156">
        <f>ROMAN(6155)</f>
        <v/>
      </c>
      <c r="D6156">
        <f>IF(B6156=C6156, "YES", "WRONG")</f>
        <v/>
      </c>
    </row>
    <row r="6157">
      <c r="A6157" t="n">
        <v>6156</v>
      </c>
      <c r="B6157" t="inlineStr">
        <is>
          <t>V̅MCLVI</t>
        </is>
      </c>
      <c r="C6157">
        <f>ROMAN(6156)</f>
        <v/>
      </c>
      <c r="D6157">
        <f>IF(B6157=C6157, "YES", "WRONG")</f>
        <v/>
      </c>
    </row>
    <row r="6158">
      <c r="A6158" t="n">
        <v>6157</v>
      </c>
      <c r="B6158" t="inlineStr">
        <is>
          <t>V̅MCLVII</t>
        </is>
      </c>
      <c r="C6158">
        <f>ROMAN(6157)</f>
        <v/>
      </c>
      <c r="D6158">
        <f>IF(B6158=C6158, "YES", "WRONG")</f>
        <v/>
      </c>
    </row>
    <row r="6159">
      <c r="A6159" t="n">
        <v>6158</v>
      </c>
      <c r="B6159" t="inlineStr">
        <is>
          <t>V̅MCLVIII</t>
        </is>
      </c>
      <c r="C6159">
        <f>ROMAN(6158)</f>
        <v/>
      </c>
      <c r="D6159">
        <f>IF(B6159=C6159, "YES", "WRONG")</f>
        <v/>
      </c>
    </row>
    <row r="6160">
      <c r="A6160" t="n">
        <v>6159</v>
      </c>
      <c r="B6160" t="inlineStr">
        <is>
          <t>V̅MCLIX</t>
        </is>
      </c>
      <c r="C6160">
        <f>ROMAN(6159)</f>
        <v/>
      </c>
      <c r="D6160">
        <f>IF(B6160=C6160, "YES", "WRONG")</f>
        <v/>
      </c>
    </row>
    <row r="6161">
      <c r="A6161" t="n">
        <v>6160</v>
      </c>
      <c r="B6161" t="inlineStr">
        <is>
          <t>V̅MCLX</t>
        </is>
      </c>
      <c r="C6161">
        <f>ROMAN(6160)</f>
        <v/>
      </c>
      <c r="D6161">
        <f>IF(B6161=C6161, "YES", "WRONG")</f>
        <v/>
      </c>
    </row>
    <row r="6162">
      <c r="A6162" t="n">
        <v>6161</v>
      </c>
      <c r="B6162" t="inlineStr">
        <is>
          <t>V̅MCLXI</t>
        </is>
      </c>
      <c r="C6162">
        <f>ROMAN(6161)</f>
        <v/>
      </c>
      <c r="D6162">
        <f>IF(B6162=C6162, "YES", "WRONG")</f>
        <v/>
      </c>
    </row>
    <row r="6163">
      <c r="A6163" t="n">
        <v>6162</v>
      </c>
      <c r="B6163" t="inlineStr">
        <is>
          <t>V̅MCLXII</t>
        </is>
      </c>
      <c r="C6163">
        <f>ROMAN(6162)</f>
        <v/>
      </c>
      <c r="D6163">
        <f>IF(B6163=C6163, "YES", "WRONG")</f>
        <v/>
      </c>
    </row>
    <row r="6164">
      <c r="A6164" t="n">
        <v>6163</v>
      </c>
      <c r="B6164" t="inlineStr">
        <is>
          <t>V̅MCLXIII</t>
        </is>
      </c>
      <c r="C6164">
        <f>ROMAN(6163)</f>
        <v/>
      </c>
      <c r="D6164">
        <f>IF(B6164=C6164, "YES", "WRONG")</f>
        <v/>
      </c>
    </row>
    <row r="6165">
      <c r="A6165" t="n">
        <v>6164</v>
      </c>
      <c r="B6165" t="inlineStr">
        <is>
          <t>V̅MCLXIV</t>
        </is>
      </c>
      <c r="C6165">
        <f>ROMAN(6164)</f>
        <v/>
      </c>
      <c r="D6165">
        <f>IF(B6165=C6165, "YES", "WRONG")</f>
        <v/>
      </c>
    </row>
    <row r="6166">
      <c r="A6166" t="n">
        <v>6165</v>
      </c>
      <c r="B6166" t="inlineStr">
        <is>
          <t>V̅MCLXV</t>
        </is>
      </c>
      <c r="C6166">
        <f>ROMAN(6165)</f>
        <v/>
      </c>
      <c r="D6166">
        <f>IF(B6166=C6166, "YES", "WRONG")</f>
        <v/>
      </c>
    </row>
    <row r="6167">
      <c r="A6167" t="n">
        <v>6166</v>
      </c>
      <c r="B6167" t="inlineStr">
        <is>
          <t>V̅MCLXVI</t>
        </is>
      </c>
      <c r="C6167">
        <f>ROMAN(6166)</f>
        <v/>
      </c>
      <c r="D6167">
        <f>IF(B6167=C6167, "YES", "WRONG")</f>
        <v/>
      </c>
    </row>
    <row r="6168">
      <c r="A6168" t="n">
        <v>6167</v>
      </c>
      <c r="B6168" t="inlineStr">
        <is>
          <t>V̅MCLXVII</t>
        </is>
      </c>
      <c r="C6168">
        <f>ROMAN(6167)</f>
        <v/>
      </c>
      <c r="D6168">
        <f>IF(B6168=C6168, "YES", "WRONG")</f>
        <v/>
      </c>
    </row>
    <row r="6169">
      <c r="A6169" t="n">
        <v>6168</v>
      </c>
      <c r="B6169" t="inlineStr">
        <is>
          <t>V̅MCLXVIII</t>
        </is>
      </c>
      <c r="C6169">
        <f>ROMAN(6168)</f>
        <v/>
      </c>
      <c r="D6169">
        <f>IF(B6169=C6169, "YES", "WRONG")</f>
        <v/>
      </c>
    </row>
    <row r="6170">
      <c r="A6170" t="n">
        <v>6169</v>
      </c>
      <c r="B6170" t="inlineStr">
        <is>
          <t>V̅MCLXIX</t>
        </is>
      </c>
      <c r="C6170">
        <f>ROMAN(6169)</f>
        <v/>
      </c>
      <c r="D6170">
        <f>IF(B6170=C6170, "YES", "WRONG")</f>
        <v/>
      </c>
    </row>
    <row r="6171">
      <c r="A6171" t="n">
        <v>6170</v>
      </c>
      <c r="B6171" t="inlineStr">
        <is>
          <t>V̅MCLXX</t>
        </is>
      </c>
      <c r="C6171">
        <f>ROMAN(6170)</f>
        <v/>
      </c>
      <c r="D6171">
        <f>IF(B6171=C6171, "YES", "WRONG")</f>
        <v/>
      </c>
    </row>
    <row r="6172">
      <c r="A6172" t="n">
        <v>6171</v>
      </c>
      <c r="B6172" t="inlineStr">
        <is>
          <t>V̅MCLXXI</t>
        </is>
      </c>
      <c r="C6172">
        <f>ROMAN(6171)</f>
        <v/>
      </c>
      <c r="D6172">
        <f>IF(B6172=C6172, "YES", "WRONG")</f>
        <v/>
      </c>
    </row>
    <row r="6173">
      <c r="A6173" t="n">
        <v>6172</v>
      </c>
      <c r="B6173" t="inlineStr">
        <is>
          <t>V̅MCLXXII</t>
        </is>
      </c>
      <c r="C6173">
        <f>ROMAN(6172)</f>
        <v/>
      </c>
      <c r="D6173">
        <f>IF(B6173=C6173, "YES", "WRONG")</f>
        <v/>
      </c>
    </row>
    <row r="6174">
      <c r="A6174" t="n">
        <v>6173</v>
      </c>
      <c r="B6174" t="inlineStr">
        <is>
          <t>V̅MCLXXIII</t>
        </is>
      </c>
      <c r="C6174">
        <f>ROMAN(6173)</f>
        <v/>
      </c>
      <c r="D6174">
        <f>IF(B6174=C6174, "YES", "WRONG")</f>
        <v/>
      </c>
    </row>
    <row r="6175">
      <c r="A6175" t="n">
        <v>6174</v>
      </c>
      <c r="B6175" t="inlineStr">
        <is>
          <t>V̅MCLXXIV</t>
        </is>
      </c>
      <c r="C6175">
        <f>ROMAN(6174)</f>
        <v/>
      </c>
      <c r="D6175">
        <f>IF(B6175=C6175, "YES", "WRONG")</f>
        <v/>
      </c>
    </row>
    <row r="6176">
      <c r="A6176" t="n">
        <v>6175</v>
      </c>
      <c r="B6176" t="inlineStr">
        <is>
          <t>V̅MCLXXV</t>
        </is>
      </c>
      <c r="C6176">
        <f>ROMAN(6175)</f>
        <v/>
      </c>
      <c r="D6176">
        <f>IF(B6176=C6176, "YES", "WRONG")</f>
        <v/>
      </c>
    </row>
    <row r="6177">
      <c r="A6177" t="n">
        <v>6176</v>
      </c>
      <c r="B6177" t="inlineStr">
        <is>
          <t>V̅MCLXXVI</t>
        </is>
      </c>
      <c r="C6177">
        <f>ROMAN(6176)</f>
        <v/>
      </c>
      <c r="D6177">
        <f>IF(B6177=C6177, "YES", "WRONG")</f>
        <v/>
      </c>
    </row>
    <row r="6178">
      <c r="A6178" t="n">
        <v>6177</v>
      </c>
      <c r="B6178" t="inlineStr">
        <is>
          <t>V̅MCLXXVII</t>
        </is>
      </c>
      <c r="C6178">
        <f>ROMAN(6177)</f>
        <v/>
      </c>
      <c r="D6178">
        <f>IF(B6178=C6178, "YES", "WRONG")</f>
        <v/>
      </c>
    </row>
    <row r="6179">
      <c r="A6179" t="n">
        <v>6178</v>
      </c>
      <c r="B6179" t="inlineStr">
        <is>
          <t>V̅MCLXXVIII</t>
        </is>
      </c>
      <c r="C6179">
        <f>ROMAN(6178)</f>
        <v/>
      </c>
      <c r="D6179">
        <f>IF(B6179=C6179, "YES", "WRONG")</f>
        <v/>
      </c>
    </row>
    <row r="6180">
      <c r="A6180" t="n">
        <v>6179</v>
      </c>
      <c r="B6180" t="inlineStr">
        <is>
          <t>V̅MCLXXIX</t>
        </is>
      </c>
      <c r="C6180">
        <f>ROMAN(6179)</f>
        <v/>
      </c>
      <c r="D6180">
        <f>IF(B6180=C6180, "YES", "WRONG")</f>
        <v/>
      </c>
    </row>
    <row r="6181">
      <c r="A6181" t="n">
        <v>6180</v>
      </c>
      <c r="B6181" t="inlineStr">
        <is>
          <t>V̅MCLXXX</t>
        </is>
      </c>
      <c r="C6181">
        <f>ROMAN(6180)</f>
        <v/>
      </c>
      <c r="D6181">
        <f>IF(B6181=C6181, "YES", "WRONG")</f>
        <v/>
      </c>
    </row>
    <row r="6182">
      <c r="A6182" t="n">
        <v>6181</v>
      </c>
      <c r="B6182" t="inlineStr">
        <is>
          <t>V̅MCLXXXI</t>
        </is>
      </c>
      <c r="C6182">
        <f>ROMAN(6181)</f>
        <v/>
      </c>
      <c r="D6182">
        <f>IF(B6182=C6182, "YES", "WRONG")</f>
        <v/>
      </c>
    </row>
    <row r="6183">
      <c r="A6183" t="n">
        <v>6182</v>
      </c>
      <c r="B6183" t="inlineStr">
        <is>
          <t>V̅MCLXXXII</t>
        </is>
      </c>
      <c r="C6183">
        <f>ROMAN(6182)</f>
        <v/>
      </c>
      <c r="D6183">
        <f>IF(B6183=C6183, "YES", "WRONG")</f>
        <v/>
      </c>
    </row>
    <row r="6184">
      <c r="A6184" t="n">
        <v>6183</v>
      </c>
      <c r="B6184" t="inlineStr">
        <is>
          <t>V̅MCLXXXIII</t>
        </is>
      </c>
      <c r="C6184">
        <f>ROMAN(6183)</f>
        <v/>
      </c>
      <c r="D6184">
        <f>IF(B6184=C6184, "YES", "WRONG")</f>
        <v/>
      </c>
    </row>
    <row r="6185">
      <c r="A6185" t="n">
        <v>6184</v>
      </c>
      <c r="B6185" t="inlineStr">
        <is>
          <t>V̅MCLXXXIV</t>
        </is>
      </c>
      <c r="C6185">
        <f>ROMAN(6184)</f>
        <v/>
      </c>
      <c r="D6185">
        <f>IF(B6185=C6185, "YES", "WRONG")</f>
        <v/>
      </c>
    </row>
    <row r="6186">
      <c r="A6186" t="n">
        <v>6185</v>
      </c>
      <c r="B6186" t="inlineStr">
        <is>
          <t>V̅MCLXXXV</t>
        </is>
      </c>
      <c r="C6186">
        <f>ROMAN(6185)</f>
        <v/>
      </c>
      <c r="D6186">
        <f>IF(B6186=C6186, "YES", "WRONG")</f>
        <v/>
      </c>
    </row>
    <row r="6187">
      <c r="A6187" t="n">
        <v>6186</v>
      </c>
      <c r="B6187" t="inlineStr">
        <is>
          <t>V̅MCLXXXVI</t>
        </is>
      </c>
      <c r="C6187">
        <f>ROMAN(6186)</f>
        <v/>
      </c>
      <c r="D6187">
        <f>IF(B6187=C6187, "YES", "WRONG")</f>
        <v/>
      </c>
    </row>
    <row r="6188">
      <c r="A6188" t="n">
        <v>6187</v>
      </c>
      <c r="B6188" t="inlineStr">
        <is>
          <t>V̅MCLXXXVII</t>
        </is>
      </c>
      <c r="C6188">
        <f>ROMAN(6187)</f>
        <v/>
      </c>
      <c r="D6188">
        <f>IF(B6188=C6188, "YES", "WRONG")</f>
        <v/>
      </c>
    </row>
    <row r="6189">
      <c r="A6189" t="n">
        <v>6188</v>
      </c>
      <c r="B6189" t="inlineStr">
        <is>
          <t>V̅MCLXXXVIII</t>
        </is>
      </c>
      <c r="C6189">
        <f>ROMAN(6188)</f>
        <v/>
      </c>
      <c r="D6189">
        <f>IF(B6189=C6189, "YES", "WRONG")</f>
        <v/>
      </c>
    </row>
    <row r="6190">
      <c r="A6190" t="n">
        <v>6189</v>
      </c>
      <c r="B6190" t="inlineStr">
        <is>
          <t>V̅MCLXXXIX</t>
        </is>
      </c>
      <c r="C6190">
        <f>ROMAN(6189)</f>
        <v/>
      </c>
      <c r="D6190">
        <f>IF(B6190=C6190, "YES", "WRONG")</f>
        <v/>
      </c>
    </row>
    <row r="6191">
      <c r="A6191" t="n">
        <v>6190</v>
      </c>
      <c r="B6191" t="inlineStr">
        <is>
          <t>V̅MCXC</t>
        </is>
      </c>
      <c r="C6191">
        <f>ROMAN(6190)</f>
        <v/>
      </c>
      <c r="D6191">
        <f>IF(B6191=C6191, "YES", "WRONG")</f>
        <v/>
      </c>
    </row>
    <row r="6192">
      <c r="A6192" t="n">
        <v>6191</v>
      </c>
      <c r="B6192" t="inlineStr">
        <is>
          <t>V̅MCXCI</t>
        </is>
      </c>
      <c r="C6192">
        <f>ROMAN(6191)</f>
        <v/>
      </c>
      <c r="D6192">
        <f>IF(B6192=C6192, "YES", "WRONG")</f>
        <v/>
      </c>
    </row>
    <row r="6193">
      <c r="A6193" t="n">
        <v>6192</v>
      </c>
      <c r="B6193" t="inlineStr">
        <is>
          <t>V̅MCXCII</t>
        </is>
      </c>
      <c r="C6193">
        <f>ROMAN(6192)</f>
        <v/>
      </c>
      <c r="D6193">
        <f>IF(B6193=C6193, "YES", "WRONG")</f>
        <v/>
      </c>
    </row>
    <row r="6194">
      <c r="A6194" t="n">
        <v>6193</v>
      </c>
      <c r="B6194" t="inlineStr">
        <is>
          <t>V̅MCXCIII</t>
        </is>
      </c>
      <c r="C6194">
        <f>ROMAN(6193)</f>
        <v/>
      </c>
      <c r="D6194">
        <f>IF(B6194=C6194, "YES", "WRONG")</f>
        <v/>
      </c>
    </row>
    <row r="6195">
      <c r="A6195" t="n">
        <v>6194</v>
      </c>
      <c r="B6195" t="inlineStr">
        <is>
          <t>V̅MCXCIV</t>
        </is>
      </c>
      <c r="C6195">
        <f>ROMAN(6194)</f>
        <v/>
      </c>
      <c r="D6195">
        <f>IF(B6195=C6195, "YES", "WRONG")</f>
        <v/>
      </c>
    </row>
    <row r="6196">
      <c r="A6196" t="n">
        <v>6195</v>
      </c>
      <c r="B6196" t="inlineStr">
        <is>
          <t>V̅MCXCV</t>
        </is>
      </c>
      <c r="C6196">
        <f>ROMAN(6195)</f>
        <v/>
      </c>
      <c r="D6196">
        <f>IF(B6196=C6196, "YES", "WRONG")</f>
        <v/>
      </c>
    </row>
    <row r="6197">
      <c r="A6197" t="n">
        <v>6196</v>
      </c>
      <c r="B6197" t="inlineStr">
        <is>
          <t>V̅MCXCVI</t>
        </is>
      </c>
      <c r="C6197">
        <f>ROMAN(6196)</f>
        <v/>
      </c>
      <c r="D6197">
        <f>IF(B6197=C6197, "YES", "WRONG")</f>
        <v/>
      </c>
    </row>
    <row r="6198">
      <c r="A6198" t="n">
        <v>6197</v>
      </c>
      <c r="B6198" t="inlineStr">
        <is>
          <t>V̅MCXCVII</t>
        </is>
      </c>
      <c r="C6198">
        <f>ROMAN(6197)</f>
        <v/>
      </c>
      <c r="D6198">
        <f>IF(B6198=C6198, "YES", "WRONG")</f>
        <v/>
      </c>
    </row>
    <row r="6199">
      <c r="A6199" t="n">
        <v>6198</v>
      </c>
      <c r="B6199" t="inlineStr">
        <is>
          <t>V̅MCXCVIII</t>
        </is>
      </c>
      <c r="C6199">
        <f>ROMAN(6198)</f>
        <v/>
      </c>
      <c r="D6199">
        <f>IF(B6199=C6199, "YES", "WRONG")</f>
        <v/>
      </c>
    </row>
    <row r="6200">
      <c r="A6200" t="n">
        <v>6199</v>
      </c>
      <c r="B6200" t="inlineStr">
        <is>
          <t>V̅MCXCIX</t>
        </is>
      </c>
      <c r="C6200">
        <f>ROMAN(6199)</f>
        <v/>
      </c>
      <c r="D6200">
        <f>IF(B6200=C6200, "YES", "WRONG")</f>
        <v/>
      </c>
    </row>
    <row r="6201">
      <c r="A6201" t="n">
        <v>6200</v>
      </c>
      <c r="B6201" t="inlineStr">
        <is>
          <t>V̅MCC</t>
        </is>
      </c>
      <c r="C6201">
        <f>ROMAN(6200)</f>
        <v/>
      </c>
      <c r="D6201">
        <f>IF(B6201=C6201, "YES", "WRONG")</f>
        <v/>
      </c>
    </row>
    <row r="6202">
      <c r="A6202" t="n">
        <v>6201</v>
      </c>
      <c r="B6202" t="inlineStr">
        <is>
          <t>V̅MCCI</t>
        </is>
      </c>
      <c r="C6202">
        <f>ROMAN(6201)</f>
        <v/>
      </c>
      <c r="D6202">
        <f>IF(B6202=C6202, "YES", "WRONG")</f>
        <v/>
      </c>
    </row>
    <row r="6203">
      <c r="A6203" t="n">
        <v>6202</v>
      </c>
      <c r="B6203" t="inlineStr">
        <is>
          <t>V̅MCCII</t>
        </is>
      </c>
      <c r="C6203">
        <f>ROMAN(6202)</f>
        <v/>
      </c>
      <c r="D6203">
        <f>IF(B6203=C6203, "YES", "WRONG")</f>
        <v/>
      </c>
    </row>
    <row r="6204">
      <c r="A6204" t="n">
        <v>6203</v>
      </c>
      <c r="B6204" t="inlineStr">
        <is>
          <t>V̅MCCIII</t>
        </is>
      </c>
      <c r="C6204">
        <f>ROMAN(6203)</f>
        <v/>
      </c>
      <c r="D6204">
        <f>IF(B6204=C6204, "YES", "WRONG")</f>
        <v/>
      </c>
    </row>
    <row r="6205">
      <c r="A6205" t="n">
        <v>6204</v>
      </c>
      <c r="B6205" t="inlineStr">
        <is>
          <t>V̅MCCIV</t>
        </is>
      </c>
      <c r="C6205">
        <f>ROMAN(6204)</f>
        <v/>
      </c>
      <c r="D6205">
        <f>IF(B6205=C6205, "YES", "WRONG")</f>
        <v/>
      </c>
    </row>
    <row r="6206">
      <c r="A6206" t="n">
        <v>6205</v>
      </c>
      <c r="B6206" t="inlineStr">
        <is>
          <t>V̅MCCV</t>
        </is>
      </c>
      <c r="C6206">
        <f>ROMAN(6205)</f>
        <v/>
      </c>
      <c r="D6206">
        <f>IF(B6206=C6206, "YES", "WRONG")</f>
        <v/>
      </c>
    </row>
    <row r="6207">
      <c r="A6207" t="n">
        <v>6206</v>
      </c>
      <c r="B6207" t="inlineStr">
        <is>
          <t>V̅MCCVI</t>
        </is>
      </c>
      <c r="C6207">
        <f>ROMAN(6206)</f>
        <v/>
      </c>
      <c r="D6207">
        <f>IF(B6207=C6207, "YES", "WRONG")</f>
        <v/>
      </c>
    </row>
    <row r="6208">
      <c r="A6208" t="n">
        <v>6207</v>
      </c>
      <c r="B6208" t="inlineStr">
        <is>
          <t>V̅MCCVII</t>
        </is>
      </c>
      <c r="C6208">
        <f>ROMAN(6207)</f>
        <v/>
      </c>
      <c r="D6208">
        <f>IF(B6208=C6208, "YES", "WRONG")</f>
        <v/>
      </c>
    </row>
    <row r="6209">
      <c r="A6209" t="n">
        <v>6208</v>
      </c>
      <c r="B6209" t="inlineStr">
        <is>
          <t>V̅MCCVIII</t>
        </is>
      </c>
      <c r="C6209">
        <f>ROMAN(6208)</f>
        <v/>
      </c>
      <c r="D6209">
        <f>IF(B6209=C6209, "YES", "WRONG")</f>
        <v/>
      </c>
    </row>
    <row r="6210">
      <c r="A6210" t="n">
        <v>6209</v>
      </c>
      <c r="B6210" t="inlineStr">
        <is>
          <t>V̅MCCIX</t>
        </is>
      </c>
      <c r="C6210">
        <f>ROMAN(6209)</f>
        <v/>
      </c>
      <c r="D6210">
        <f>IF(B6210=C6210, "YES", "WRONG")</f>
        <v/>
      </c>
    </row>
    <row r="6211">
      <c r="A6211" t="n">
        <v>6210</v>
      </c>
      <c r="B6211" t="inlineStr">
        <is>
          <t>V̅MCCX</t>
        </is>
      </c>
      <c r="C6211">
        <f>ROMAN(6210)</f>
        <v/>
      </c>
      <c r="D6211">
        <f>IF(B6211=C6211, "YES", "WRONG")</f>
        <v/>
      </c>
    </row>
    <row r="6212">
      <c r="A6212" t="n">
        <v>6211</v>
      </c>
      <c r="B6212" t="inlineStr">
        <is>
          <t>V̅MCCXI</t>
        </is>
      </c>
      <c r="C6212">
        <f>ROMAN(6211)</f>
        <v/>
      </c>
      <c r="D6212">
        <f>IF(B6212=C6212, "YES", "WRONG")</f>
        <v/>
      </c>
    </row>
    <row r="6213">
      <c r="A6213" t="n">
        <v>6212</v>
      </c>
      <c r="B6213" t="inlineStr">
        <is>
          <t>V̅MCCXII</t>
        </is>
      </c>
      <c r="C6213">
        <f>ROMAN(6212)</f>
        <v/>
      </c>
      <c r="D6213">
        <f>IF(B6213=C6213, "YES", "WRONG")</f>
        <v/>
      </c>
    </row>
    <row r="6214">
      <c r="A6214" t="n">
        <v>6213</v>
      </c>
      <c r="B6214" t="inlineStr">
        <is>
          <t>V̅MCCXIII</t>
        </is>
      </c>
      <c r="C6214">
        <f>ROMAN(6213)</f>
        <v/>
      </c>
      <c r="D6214">
        <f>IF(B6214=C6214, "YES", "WRONG")</f>
        <v/>
      </c>
    </row>
    <row r="6215">
      <c r="A6215" t="n">
        <v>6214</v>
      </c>
      <c r="B6215" t="inlineStr">
        <is>
          <t>V̅MCCXIV</t>
        </is>
      </c>
      <c r="C6215">
        <f>ROMAN(6214)</f>
        <v/>
      </c>
      <c r="D6215">
        <f>IF(B6215=C6215, "YES", "WRONG")</f>
        <v/>
      </c>
    </row>
    <row r="6216">
      <c r="A6216" t="n">
        <v>6215</v>
      </c>
      <c r="B6216" t="inlineStr">
        <is>
          <t>V̅MCCXV</t>
        </is>
      </c>
      <c r="C6216">
        <f>ROMAN(6215)</f>
        <v/>
      </c>
      <c r="D6216">
        <f>IF(B6216=C6216, "YES", "WRONG")</f>
        <v/>
      </c>
    </row>
    <row r="6217">
      <c r="A6217" t="n">
        <v>6216</v>
      </c>
      <c r="B6217" t="inlineStr">
        <is>
          <t>V̅MCCXVI</t>
        </is>
      </c>
      <c r="C6217">
        <f>ROMAN(6216)</f>
        <v/>
      </c>
      <c r="D6217">
        <f>IF(B6217=C6217, "YES", "WRONG")</f>
        <v/>
      </c>
    </row>
    <row r="6218">
      <c r="A6218" t="n">
        <v>6217</v>
      </c>
      <c r="B6218" t="inlineStr">
        <is>
          <t>V̅MCCXVII</t>
        </is>
      </c>
      <c r="C6218">
        <f>ROMAN(6217)</f>
        <v/>
      </c>
      <c r="D6218">
        <f>IF(B6218=C6218, "YES", "WRONG")</f>
        <v/>
      </c>
    </row>
    <row r="6219">
      <c r="A6219" t="n">
        <v>6218</v>
      </c>
      <c r="B6219" t="inlineStr">
        <is>
          <t>V̅MCCXVIII</t>
        </is>
      </c>
      <c r="C6219">
        <f>ROMAN(6218)</f>
        <v/>
      </c>
      <c r="D6219">
        <f>IF(B6219=C6219, "YES", "WRONG")</f>
        <v/>
      </c>
    </row>
    <row r="6220">
      <c r="A6220" t="n">
        <v>6219</v>
      </c>
      <c r="B6220" t="inlineStr">
        <is>
          <t>V̅MCCXIX</t>
        </is>
      </c>
      <c r="C6220">
        <f>ROMAN(6219)</f>
        <v/>
      </c>
      <c r="D6220">
        <f>IF(B6220=C6220, "YES", "WRONG")</f>
        <v/>
      </c>
    </row>
    <row r="6221">
      <c r="A6221" t="n">
        <v>6220</v>
      </c>
      <c r="B6221" t="inlineStr">
        <is>
          <t>V̅MCCXX</t>
        </is>
      </c>
      <c r="C6221">
        <f>ROMAN(6220)</f>
        <v/>
      </c>
      <c r="D6221">
        <f>IF(B6221=C6221, "YES", "WRONG")</f>
        <v/>
      </c>
    </row>
    <row r="6222">
      <c r="A6222" t="n">
        <v>6221</v>
      </c>
      <c r="B6222" t="inlineStr">
        <is>
          <t>V̅MCCXXI</t>
        </is>
      </c>
      <c r="C6222">
        <f>ROMAN(6221)</f>
        <v/>
      </c>
      <c r="D6222">
        <f>IF(B6222=C6222, "YES", "WRONG")</f>
        <v/>
      </c>
    </row>
    <row r="6223">
      <c r="A6223" t="n">
        <v>6222</v>
      </c>
      <c r="B6223" t="inlineStr">
        <is>
          <t>V̅MCCXXII</t>
        </is>
      </c>
      <c r="C6223">
        <f>ROMAN(6222)</f>
        <v/>
      </c>
      <c r="D6223">
        <f>IF(B6223=C6223, "YES", "WRONG")</f>
        <v/>
      </c>
    </row>
    <row r="6224">
      <c r="A6224" t="n">
        <v>6223</v>
      </c>
      <c r="B6224" t="inlineStr">
        <is>
          <t>V̅MCCXXIII</t>
        </is>
      </c>
      <c r="C6224">
        <f>ROMAN(6223)</f>
        <v/>
      </c>
      <c r="D6224">
        <f>IF(B6224=C6224, "YES", "WRONG")</f>
        <v/>
      </c>
    </row>
    <row r="6225">
      <c r="A6225" t="n">
        <v>6224</v>
      </c>
      <c r="B6225" t="inlineStr">
        <is>
          <t>V̅MCCXXIV</t>
        </is>
      </c>
      <c r="C6225">
        <f>ROMAN(6224)</f>
        <v/>
      </c>
      <c r="D6225">
        <f>IF(B6225=C6225, "YES", "WRONG")</f>
        <v/>
      </c>
    </row>
    <row r="6226">
      <c r="A6226" t="n">
        <v>6225</v>
      </c>
      <c r="B6226" t="inlineStr">
        <is>
          <t>V̅MCCXXV</t>
        </is>
      </c>
      <c r="C6226">
        <f>ROMAN(6225)</f>
        <v/>
      </c>
      <c r="D6226">
        <f>IF(B6226=C6226, "YES", "WRONG")</f>
        <v/>
      </c>
    </row>
    <row r="6227">
      <c r="A6227" t="n">
        <v>6226</v>
      </c>
      <c r="B6227" t="inlineStr">
        <is>
          <t>V̅MCCXXVI</t>
        </is>
      </c>
      <c r="C6227">
        <f>ROMAN(6226)</f>
        <v/>
      </c>
      <c r="D6227">
        <f>IF(B6227=C6227, "YES", "WRONG")</f>
        <v/>
      </c>
    </row>
    <row r="6228">
      <c r="A6228" t="n">
        <v>6227</v>
      </c>
      <c r="B6228" t="inlineStr">
        <is>
          <t>V̅MCCXXVII</t>
        </is>
      </c>
      <c r="C6228">
        <f>ROMAN(6227)</f>
        <v/>
      </c>
      <c r="D6228">
        <f>IF(B6228=C6228, "YES", "WRONG")</f>
        <v/>
      </c>
    </row>
    <row r="6229">
      <c r="A6229" t="n">
        <v>6228</v>
      </c>
      <c r="B6229" t="inlineStr">
        <is>
          <t>V̅MCCXXVIII</t>
        </is>
      </c>
      <c r="C6229">
        <f>ROMAN(6228)</f>
        <v/>
      </c>
      <c r="D6229">
        <f>IF(B6229=C6229, "YES", "WRONG")</f>
        <v/>
      </c>
    </row>
    <row r="6230">
      <c r="A6230" t="n">
        <v>6229</v>
      </c>
      <c r="B6230" t="inlineStr">
        <is>
          <t>V̅MCCXXIX</t>
        </is>
      </c>
      <c r="C6230">
        <f>ROMAN(6229)</f>
        <v/>
      </c>
      <c r="D6230">
        <f>IF(B6230=C6230, "YES", "WRONG")</f>
        <v/>
      </c>
    </row>
    <row r="6231">
      <c r="A6231" t="n">
        <v>6230</v>
      </c>
      <c r="B6231" t="inlineStr">
        <is>
          <t>V̅MCCXXX</t>
        </is>
      </c>
      <c r="C6231">
        <f>ROMAN(6230)</f>
        <v/>
      </c>
      <c r="D6231">
        <f>IF(B6231=C6231, "YES", "WRONG")</f>
        <v/>
      </c>
    </row>
    <row r="6232">
      <c r="A6232" t="n">
        <v>6231</v>
      </c>
      <c r="B6232" t="inlineStr">
        <is>
          <t>V̅MCCXXXI</t>
        </is>
      </c>
      <c r="C6232">
        <f>ROMAN(6231)</f>
        <v/>
      </c>
      <c r="D6232">
        <f>IF(B6232=C6232, "YES", "WRONG")</f>
        <v/>
      </c>
    </row>
    <row r="6233">
      <c r="A6233" t="n">
        <v>6232</v>
      </c>
      <c r="B6233" t="inlineStr">
        <is>
          <t>V̅MCCXXXII</t>
        </is>
      </c>
      <c r="C6233">
        <f>ROMAN(6232)</f>
        <v/>
      </c>
      <c r="D6233">
        <f>IF(B6233=C6233, "YES", "WRONG")</f>
        <v/>
      </c>
    </row>
    <row r="6234">
      <c r="A6234" t="n">
        <v>6233</v>
      </c>
      <c r="B6234" t="inlineStr">
        <is>
          <t>V̅MCCXXXIII</t>
        </is>
      </c>
      <c r="C6234">
        <f>ROMAN(6233)</f>
        <v/>
      </c>
      <c r="D6234">
        <f>IF(B6234=C6234, "YES", "WRONG")</f>
        <v/>
      </c>
    </row>
    <row r="6235">
      <c r="A6235" t="n">
        <v>6234</v>
      </c>
      <c r="B6235" t="inlineStr">
        <is>
          <t>V̅MCCXXXIV</t>
        </is>
      </c>
      <c r="C6235">
        <f>ROMAN(6234)</f>
        <v/>
      </c>
      <c r="D6235">
        <f>IF(B6235=C6235, "YES", "WRONG")</f>
        <v/>
      </c>
    </row>
    <row r="6236">
      <c r="A6236" t="n">
        <v>6235</v>
      </c>
      <c r="B6236" t="inlineStr">
        <is>
          <t>V̅MCCXXXV</t>
        </is>
      </c>
      <c r="C6236">
        <f>ROMAN(6235)</f>
        <v/>
      </c>
      <c r="D6236">
        <f>IF(B6236=C6236, "YES", "WRONG")</f>
        <v/>
      </c>
    </row>
    <row r="6237">
      <c r="A6237" t="n">
        <v>6236</v>
      </c>
      <c r="B6237" t="inlineStr">
        <is>
          <t>V̅MCCXXXVI</t>
        </is>
      </c>
      <c r="C6237">
        <f>ROMAN(6236)</f>
        <v/>
      </c>
      <c r="D6237">
        <f>IF(B6237=C6237, "YES", "WRONG")</f>
        <v/>
      </c>
    </row>
    <row r="6238">
      <c r="A6238" t="n">
        <v>6237</v>
      </c>
      <c r="B6238" t="inlineStr">
        <is>
          <t>V̅MCCXXXVII</t>
        </is>
      </c>
      <c r="C6238">
        <f>ROMAN(6237)</f>
        <v/>
      </c>
      <c r="D6238">
        <f>IF(B6238=C6238, "YES", "WRONG")</f>
        <v/>
      </c>
    </row>
    <row r="6239">
      <c r="A6239" t="n">
        <v>6238</v>
      </c>
      <c r="B6239" t="inlineStr">
        <is>
          <t>V̅MCCXXXVIII</t>
        </is>
      </c>
      <c r="C6239">
        <f>ROMAN(6238)</f>
        <v/>
      </c>
      <c r="D6239">
        <f>IF(B6239=C6239, "YES", "WRONG")</f>
        <v/>
      </c>
    </row>
    <row r="6240">
      <c r="A6240" t="n">
        <v>6239</v>
      </c>
      <c r="B6240" t="inlineStr">
        <is>
          <t>V̅MCCXXXIX</t>
        </is>
      </c>
      <c r="C6240">
        <f>ROMAN(6239)</f>
        <v/>
      </c>
      <c r="D6240">
        <f>IF(B6240=C6240, "YES", "WRONG")</f>
        <v/>
      </c>
    </row>
    <row r="6241">
      <c r="A6241" t="n">
        <v>6240</v>
      </c>
      <c r="B6241" t="inlineStr">
        <is>
          <t>V̅MCCXL</t>
        </is>
      </c>
      <c r="C6241">
        <f>ROMAN(6240)</f>
        <v/>
      </c>
      <c r="D6241">
        <f>IF(B6241=C6241, "YES", "WRONG")</f>
        <v/>
      </c>
    </row>
    <row r="6242">
      <c r="A6242" t="n">
        <v>6241</v>
      </c>
      <c r="B6242" t="inlineStr">
        <is>
          <t>V̅MCCXLI</t>
        </is>
      </c>
      <c r="C6242">
        <f>ROMAN(6241)</f>
        <v/>
      </c>
      <c r="D6242">
        <f>IF(B6242=C6242, "YES", "WRONG")</f>
        <v/>
      </c>
    </row>
    <row r="6243">
      <c r="A6243" t="n">
        <v>6242</v>
      </c>
      <c r="B6243" t="inlineStr">
        <is>
          <t>V̅MCCXLII</t>
        </is>
      </c>
      <c r="C6243">
        <f>ROMAN(6242)</f>
        <v/>
      </c>
      <c r="D6243">
        <f>IF(B6243=C6243, "YES", "WRONG")</f>
        <v/>
      </c>
    </row>
    <row r="6244">
      <c r="A6244" t="n">
        <v>6243</v>
      </c>
      <c r="B6244" t="inlineStr">
        <is>
          <t>V̅MCCXLIII</t>
        </is>
      </c>
      <c r="C6244">
        <f>ROMAN(6243)</f>
        <v/>
      </c>
      <c r="D6244">
        <f>IF(B6244=C6244, "YES", "WRONG")</f>
        <v/>
      </c>
    </row>
    <row r="6245">
      <c r="A6245" t="n">
        <v>6244</v>
      </c>
      <c r="B6245" t="inlineStr">
        <is>
          <t>V̅MCCXLIV</t>
        </is>
      </c>
      <c r="C6245">
        <f>ROMAN(6244)</f>
        <v/>
      </c>
      <c r="D6245">
        <f>IF(B6245=C6245, "YES", "WRONG")</f>
        <v/>
      </c>
    </row>
    <row r="6246">
      <c r="A6246" t="n">
        <v>6245</v>
      </c>
      <c r="B6246" t="inlineStr">
        <is>
          <t>V̅MCCXLV</t>
        </is>
      </c>
      <c r="C6246">
        <f>ROMAN(6245)</f>
        <v/>
      </c>
      <c r="D6246">
        <f>IF(B6246=C6246, "YES", "WRONG")</f>
        <v/>
      </c>
    </row>
    <row r="6247">
      <c r="A6247" t="n">
        <v>6246</v>
      </c>
      <c r="B6247" t="inlineStr">
        <is>
          <t>V̅MCCXLVI</t>
        </is>
      </c>
      <c r="C6247">
        <f>ROMAN(6246)</f>
        <v/>
      </c>
      <c r="D6247">
        <f>IF(B6247=C6247, "YES", "WRONG")</f>
        <v/>
      </c>
    </row>
    <row r="6248">
      <c r="A6248" t="n">
        <v>6247</v>
      </c>
      <c r="B6248" t="inlineStr">
        <is>
          <t>V̅MCCXLVII</t>
        </is>
      </c>
      <c r="C6248">
        <f>ROMAN(6247)</f>
        <v/>
      </c>
      <c r="D6248">
        <f>IF(B6248=C6248, "YES", "WRONG")</f>
        <v/>
      </c>
    </row>
    <row r="6249">
      <c r="A6249" t="n">
        <v>6248</v>
      </c>
      <c r="B6249" t="inlineStr">
        <is>
          <t>V̅MCCXLVIII</t>
        </is>
      </c>
      <c r="C6249">
        <f>ROMAN(6248)</f>
        <v/>
      </c>
      <c r="D6249">
        <f>IF(B6249=C6249, "YES", "WRONG")</f>
        <v/>
      </c>
    </row>
    <row r="6250">
      <c r="A6250" t="n">
        <v>6249</v>
      </c>
      <c r="B6250" t="inlineStr">
        <is>
          <t>V̅MCCXLIX</t>
        </is>
      </c>
      <c r="C6250">
        <f>ROMAN(6249)</f>
        <v/>
      </c>
      <c r="D6250">
        <f>IF(B6250=C6250, "YES", "WRONG")</f>
        <v/>
      </c>
    </row>
    <row r="6251">
      <c r="A6251" t="n">
        <v>6250</v>
      </c>
      <c r="B6251" t="inlineStr">
        <is>
          <t>V̅MCCL</t>
        </is>
      </c>
      <c r="C6251">
        <f>ROMAN(6250)</f>
        <v/>
      </c>
      <c r="D6251">
        <f>IF(B6251=C6251, "YES", "WRONG")</f>
        <v/>
      </c>
    </row>
    <row r="6252">
      <c r="A6252" t="n">
        <v>6251</v>
      </c>
      <c r="B6252" t="inlineStr">
        <is>
          <t>V̅MCCLI</t>
        </is>
      </c>
      <c r="C6252">
        <f>ROMAN(6251)</f>
        <v/>
      </c>
      <c r="D6252">
        <f>IF(B6252=C6252, "YES", "WRONG")</f>
        <v/>
      </c>
    </row>
    <row r="6253">
      <c r="A6253" t="n">
        <v>6252</v>
      </c>
      <c r="B6253" t="inlineStr">
        <is>
          <t>V̅MCCLII</t>
        </is>
      </c>
      <c r="C6253">
        <f>ROMAN(6252)</f>
        <v/>
      </c>
      <c r="D6253">
        <f>IF(B6253=C6253, "YES", "WRONG")</f>
        <v/>
      </c>
    </row>
    <row r="6254">
      <c r="A6254" t="n">
        <v>6253</v>
      </c>
      <c r="B6254" t="inlineStr">
        <is>
          <t>V̅MCCLIII</t>
        </is>
      </c>
      <c r="C6254">
        <f>ROMAN(6253)</f>
        <v/>
      </c>
      <c r="D6254">
        <f>IF(B6254=C6254, "YES", "WRONG")</f>
        <v/>
      </c>
    </row>
    <row r="6255">
      <c r="A6255" t="n">
        <v>6254</v>
      </c>
      <c r="B6255" t="inlineStr">
        <is>
          <t>V̅MCCLIV</t>
        </is>
      </c>
      <c r="C6255">
        <f>ROMAN(6254)</f>
        <v/>
      </c>
      <c r="D6255">
        <f>IF(B6255=C6255, "YES", "WRONG")</f>
        <v/>
      </c>
    </row>
    <row r="6256">
      <c r="A6256" t="n">
        <v>6255</v>
      </c>
      <c r="B6256" t="inlineStr">
        <is>
          <t>V̅MCCLV</t>
        </is>
      </c>
      <c r="C6256">
        <f>ROMAN(6255)</f>
        <v/>
      </c>
      <c r="D6256">
        <f>IF(B6256=C6256, "YES", "WRONG")</f>
        <v/>
      </c>
    </row>
    <row r="6257">
      <c r="A6257" t="n">
        <v>6256</v>
      </c>
      <c r="B6257" t="inlineStr">
        <is>
          <t>V̅MCCLVI</t>
        </is>
      </c>
      <c r="C6257">
        <f>ROMAN(6256)</f>
        <v/>
      </c>
      <c r="D6257">
        <f>IF(B6257=C6257, "YES", "WRONG")</f>
        <v/>
      </c>
    </row>
    <row r="6258">
      <c r="A6258" t="n">
        <v>6257</v>
      </c>
      <c r="B6258" t="inlineStr">
        <is>
          <t>V̅MCCLVII</t>
        </is>
      </c>
      <c r="C6258">
        <f>ROMAN(6257)</f>
        <v/>
      </c>
      <c r="D6258">
        <f>IF(B6258=C6258, "YES", "WRONG")</f>
        <v/>
      </c>
    </row>
    <row r="6259">
      <c r="A6259" t="n">
        <v>6258</v>
      </c>
      <c r="B6259" t="inlineStr">
        <is>
          <t>V̅MCCLVIII</t>
        </is>
      </c>
      <c r="C6259">
        <f>ROMAN(6258)</f>
        <v/>
      </c>
      <c r="D6259">
        <f>IF(B6259=C6259, "YES", "WRONG")</f>
        <v/>
      </c>
    </row>
    <row r="6260">
      <c r="A6260" t="n">
        <v>6259</v>
      </c>
      <c r="B6260" t="inlineStr">
        <is>
          <t>V̅MCCLIX</t>
        </is>
      </c>
      <c r="C6260">
        <f>ROMAN(6259)</f>
        <v/>
      </c>
      <c r="D6260">
        <f>IF(B6260=C6260, "YES", "WRONG")</f>
        <v/>
      </c>
    </row>
    <row r="6261">
      <c r="A6261" t="n">
        <v>6260</v>
      </c>
      <c r="B6261" t="inlineStr">
        <is>
          <t>V̅MCCLX</t>
        </is>
      </c>
      <c r="C6261">
        <f>ROMAN(6260)</f>
        <v/>
      </c>
      <c r="D6261">
        <f>IF(B6261=C6261, "YES", "WRONG")</f>
        <v/>
      </c>
    </row>
    <row r="6262">
      <c r="A6262" t="n">
        <v>6261</v>
      </c>
      <c r="B6262" t="inlineStr">
        <is>
          <t>V̅MCCLXI</t>
        </is>
      </c>
      <c r="C6262">
        <f>ROMAN(6261)</f>
        <v/>
      </c>
      <c r="D6262">
        <f>IF(B6262=C6262, "YES", "WRONG")</f>
        <v/>
      </c>
    </row>
    <row r="6263">
      <c r="A6263" t="n">
        <v>6262</v>
      </c>
      <c r="B6263" t="inlineStr">
        <is>
          <t>V̅MCCLXII</t>
        </is>
      </c>
      <c r="C6263">
        <f>ROMAN(6262)</f>
        <v/>
      </c>
      <c r="D6263">
        <f>IF(B6263=C6263, "YES", "WRONG")</f>
        <v/>
      </c>
    </row>
    <row r="6264">
      <c r="A6264" t="n">
        <v>6263</v>
      </c>
      <c r="B6264" t="inlineStr">
        <is>
          <t>V̅MCCLXIII</t>
        </is>
      </c>
      <c r="C6264">
        <f>ROMAN(6263)</f>
        <v/>
      </c>
      <c r="D6264">
        <f>IF(B6264=C6264, "YES", "WRONG")</f>
        <v/>
      </c>
    </row>
    <row r="6265">
      <c r="A6265" t="n">
        <v>6264</v>
      </c>
      <c r="B6265" t="inlineStr">
        <is>
          <t>V̅MCCLXIV</t>
        </is>
      </c>
      <c r="C6265">
        <f>ROMAN(6264)</f>
        <v/>
      </c>
      <c r="D6265">
        <f>IF(B6265=C6265, "YES", "WRONG")</f>
        <v/>
      </c>
    </row>
    <row r="6266">
      <c r="A6266" t="n">
        <v>6265</v>
      </c>
      <c r="B6266" t="inlineStr">
        <is>
          <t>V̅MCCLXV</t>
        </is>
      </c>
      <c r="C6266">
        <f>ROMAN(6265)</f>
        <v/>
      </c>
      <c r="D6266">
        <f>IF(B6266=C6266, "YES", "WRONG")</f>
        <v/>
      </c>
    </row>
    <row r="6267">
      <c r="A6267" t="n">
        <v>6266</v>
      </c>
      <c r="B6267" t="inlineStr">
        <is>
          <t>V̅MCCLXVI</t>
        </is>
      </c>
      <c r="C6267">
        <f>ROMAN(6266)</f>
        <v/>
      </c>
      <c r="D6267">
        <f>IF(B6267=C6267, "YES", "WRONG")</f>
        <v/>
      </c>
    </row>
    <row r="6268">
      <c r="A6268" t="n">
        <v>6267</v>
      </c>
      <c r="B6268" t="inlineStr">
        <is>
          <t>V̅MCCLXVII</t>
        </is>
      </c>
      <c r="C6268">
        <f>ROMAN(6267)</f>
        <v/>
      </c>
      <c r="D6268">
        <f>IF(B6268=C6268, "YES", "WRONG")</f>
        <v/>
      </c>
    </row>
    <row r="6269">
      <c r="A6269" t="n">
        <v>6268</v>
      </c>
      <c r="B6269" t="inlineStr">
        <is>
          <t>V̅MCCLXVIII</t>
        </is>
      </c>
      <c r="C6269">
        <f>ROMAN(6268)</f>
        <v/>
      </c>
      <c r="D6269">
        <f>IF(B6269=C6269, "YES", "WRONG")</f>
        <v/>
      </c>
    </row>
    <row r="6270">
      <c r="A6270" t="n">
        <v>6269</v>
      </c>
      <c r="B6270" t="inlineStr">
        <is>
          <t>V̅MCCLXIX</t>
        </is>
      </c>
      <c r="C6270">
        <f>ROMAN(6269)</f>
        <v/>
      </c>
      <c r="D6270">
        <f>IF(B6270=C6270, "YES", "WRONG")</f>
        <v/>
      </c>
    </row>
    <row r="6271">
      <c r="A6271" t="n">
        <v>6270</v>
      </c>
      <c r="B6271" t="inlineStr">
        <is>
          <t>V̅MCCLXX</t>
        </is>
      </c>
      <c r="C6271">
        <f>ROMAN(6270)</f>
        <v/>
      </c>
      <c r="D6271">
        <f>IF(B6271=C6271, "YES", "WRONG")</f>
        <v/>
      </c>
    </row>
    <row r="6272">
      <c r="A6272" t="n">
        <v>6271</v>
      </c>
      <c r="B6272" t="inlineStr">
        <is>
          <t>V̅MCCLXXI</t>
        </is>
      </c>
      <c r="C6272">
        <f>ROMAN(6271)</f>
        <v/>
      </c>
      <c r="D6272">
        <f>IF(B6272=C6272, "YES", "WRONG")</f>
        <v/>
      </c>
    </row>
    <row r="6273">
      <c r="A6273" t="n">
        <v>6272</v>
      </c>
      <c r="B6273" t="inlineStr">
        <is>
          <t>V̅MCCLXXII</t>
        </is>
      </c>
      <c r="C6273">
        <f>ROMAN(6272)</f>
        <v/>
      </c>
      <c r="D6273">
        <f>IF(B6273=C6273, "YES", "WRONG")</f>
        <v/>
      </c>
    </row>
    <row r="6274">
      <c r="A6274" t="n">
        <v>6273</v>
      </c>
      <c r="B6274" t="inlineStr">
        <is>
          <t>V̅MCCLXXIII</t>
        </is>
      </c>
      <c r="C6274">
        <f>ROMAN(6273)</f>
        <v/>
      </c>
      <c r="D6274">
        <f>IF(B6274=C6274, "YES", "WRONG")</f>
        <v/>
      </c>
    </row>
    <row r="6275">
      <c r="A6275" t="n">
        <v>6274</v>
      </c>
      <c r="B6275" t="inlineStr">
        <is>
          <t>V̅MCCLXXIV</t>
        </is>
      </c>
      <c r="C6275">
        <f>ROMAN(6274)</f>
        <v/>
      </c>
      <c r="D6275">
        <f>IF(B6275=C6275, "YES", "WRONG")</f>
        <v/>
      </c>
    </row>
    <row r="6276">
      <c r="A6276" t="n">
        <v>6275</v>
      </c>
      <c r="B6276" t="inlineStr">
        <is>
          <t>V̅MCCLXXV</t>
        </is>
      </c>
      <c r="C6276">
        <f>ROMAN(6275)</f>
        <v/>
      </c>
      <c r="D6276">
        <f>IF(B6276=C6276, "YES", "WRONG")</f>
        <v/>
      </c>
    </row>
    <row r="6277">
      <c r="A6277" t="n">
        <v>6276</v>
      </c>
      <c r="B6277" t="inlineStr">
        <is>
          <t>V̅MCCLXXVI</t>
        </is>
      </c>
      <c r="C6277">
        <f>ROMAN(6276)</f>
        <v/>
      </c>
      <c r="D6277">
        <f>IF(B6277=C6277, "YES", "WRONG")</f>
        <v/>
      </c>
    </row>
    <row r="6278">
      <c r="A6278" t="n">
        <v>6277</v>
      </c>
      <c r="B6278" t="inlineStr">
        <is>
          <t>V̅MCCLXXVII</t>
        </is>
      </c>
      <c r="C6278">
        <f>ROMAN(6277)</f>
        <v/>
      </c>
      <c r="D6278">
        <f>IF(B6278=C6278, "YES", "WRONG")</f>
        <v/>
      </c>
    </row>
    <row r="6279">
      <c r="A6279" t="n">
        <v>6278</v>
      </c>
      <c r="B6279" t="inlineStr">
        <is>
          <t>V̅MCCLXXVIII</t>
        </is>
      </c>
      <c r="C6279">
        <f>ROMAN(6278)</f>
        <v/>
      </c>
      <c r="D6279">
        <f>IF(B6279=C6279, "YES", "WRONG")</f>
        <v/>
      </c>
    </row>
    <row r="6280">
      <c r="A6280" t="n">
        <v>6279</v>
      </c>
      <c r="B6280" t="inlineStr">
        <is>
          <t>V̅MCCLXXIX</t>
        </is>
      </c>
      <c r="C6280">
        <f>ROMAN(6279)</f>
        <v/>
      </c>
      <c r="D6280">
        <f>IF(B6280=C6280, "YES", "WRONG")</f>
        <v/>
      </c>
    </row>
    <row r="6281">
      <c r="A6281" t="n">
        <v>6280</v>
      </c>
      <c r="B6281" t="inlineStr">
        <is>
          <t>V̅MCCLXXX</t>
        </is>
      </c>
      <c r="C6281">
        <f>ROMAN(6280)</f>
        <v/>
      </c>
      <c r="D6281">
        <f>IF(B6281=C6281, "YES", "WRONG")</f>
        <v/>
      </c>
    </row>
    <row r="6282">
      <c r="A6282" t="n">
        <v>6281</v>
      </c>
      <c r="B6282" t="inlineStr">
        <is>
          <t>V̅MCCLXXXI</t>
        </is>
      </c>
      <c r="C6282">
        <f>ROMAN(6281)</f>
        <v/>
      </c>
      <c r="D6282">
        <f>IF(B6282=C6282, "YES", "WRONG")</f>
        <v/>
      </c>
    </row>
    <row r="6283">
      <c r="A6283" t="n">
        <v>6282</v>
      </c>
      <c r="B6283" t="inlineStr">
        <is>
          <t>V̅MCCLXXXII</t>
        </is>
      </c>
      <c r="C6283">
        <f>ROMAN(6282)</f>
        <v/>
      </c>
      <c r="D6283">
        <f>IF(B6283=C6283, "YES", "WRONG")</f>
        <v/>
      </c>
    </row>
    <row r="6284">
      <c r="A6284" t="n">
        <v>6283</v>
      </c>
      <c r="B6284" t="inlineStr">
        <is>
          <t>V̅MCCLXXXIII</t>
        </is>
      </c>
      <c r="C6284">
        <f>ROMAN(6283)</f>
        <v/>
      </c>
      <c r="D6284">
        <f>IF(B6284=C6284, "YES", "WRONG")</f>
        <v/>
      </c>
    </row>
    <row r="6285">
      <c r="A6285" t="n">
        <v>6284</v>
      </c>
      <c r="B6285" t="inlineStr">
        <is>
          <t>V̅MCCLXXXIV</t>
        </is>
      </c>
      <c r="C6285">
        <f>ROMAN(6284)</f>
        <v/>
      </c>
      <c r="D6285">
        <f>IF(B6285=C6285, "YES", "WRONG")</f>
        <v/>
      </c>
    </row>
    <row r="6286">
      <c r="A6286" t="n">
        <v>6285</v>
      </c>
      <c r="B6286" t="inlineStr">
        <is>
          <t>V̅MCCLXXXV</t>
        </is>
      </c>
      <c r="C6286">
        <f>ROMAN(6285)</f>
        <v/>
      </c>
      <c r="D6286">
        <f>IF(B6286=C6286, "YES", "WRONG")</f>
        <v/>
      </c>
    </row>
    <row r="6287">
      <c r="A6287" t="n">
        <v>6286</v>
      </c>
      <c r="B6287" t="inlineStr">
        <is>
          <t>V̅MCCLXXXVI</t>
        </is>
      </c>
      <c r="C6287">
        <f>ROMAN(6286)</f>
        <v/>
      </c>
      <c r="D6287">
        <f>IF(B6287=C6287, "YES", "WRONG")</f>
        <v/>
      </c>
    </row>
    <row r="6288">
      <c r="A6288" t="n">
        <v>6287</v>
      </c>
      <c r="B6288" t="inlineStr">
        <is>
          <t>V̅MCCLXXXVII</t>
        </is>
      </c>
      <c r="C6288">
        <f>ROMAN(6287)</f>
        <v/>
      </c>
      <c r="D6288">
        <f>IF(B6288=C6288, "YES", "WRONG")</f>
        <v/>
      </c>
    </row>
    <row r="6289">
      <c r="A6289" t="n">
        <v>6288</v>
      </c>
      <c r="B6289" t="inlineStr">
        <is>
          <t>V̅MCCLXXXVIII</t>
        </is>
      </c>
      <c r="C6289">
        <f>ROMAN(6288)</f>
        <v/>
      </c>
      <c r="D6289">
        <f>IF(B6289=C6289, "YES", "WRONG")</f>
        <v/>
      </c>
    </row>
    <row r="6290">
      <c r="A6290" t="n">
        <v>6289</v>
      </c>
      <c r="B6290" t="inlineStr">
        <is>
          <t>V̅MCCLXXXIX</t>
        </is>
      </c>
      <c r="C6290">
        <f>ROMAN(6289)</f>
        <v/>
      </c>
      <c r="D6290">
        <f>IF(B6290=C6290, "YES", "WRONG")</f>
        <v/>
      </c>
    </row>
    <row r="6291">
      <c r="A6291" t="n">
        <v>6290</v>
      </c>
      <c r="B6291" t="inlineStr">
        <is>
          <t>V̅MCCXC</t>
        </is>
      </c>
      <c r="C6291">
        <f>ROMAN(6290)</f>
        <v/>
      </c>
      <c r="D6291">
        <f>IF(B6291=C6291, "YES", "WRONG")</f>
        <v/>
      </c>
    </row>
    <row r="6292">
      <c r="A6292" t="n">
        <v>6291</v>
      </c>
      <c r="B6292" t="inlineStr">
        <is>
          <t>V̅MCCXCI</t>
        </is>
      </c>
      <c r="C6292">
        <f>ROMAN(6291)</f>
        <v/>
      </c>
      <c r="D6292">
        <f>IF(B6292=C6292, "YES", "WRONG")</f>
        <v/>
      </c>
    </row>
    <row r="6293">
      <c r="A6293" t="n">
        <v>6292</v>
      </c>
      <c r="B6293" t="inlineStr">
        <is>
          <t>V̅MCCXCII</t>
        </is>
      </c>
      <c r="C6293">
        <f>ROMAN(6292)</f>
        <v/>
      </c>
      <c r="D6293">
        <f>IF(B6293=C6293, "YES", "WRONG")</f>
        <v/>
      </c>
    </row>
    <row r="6294">
      <c r="A6294" t="n">
        <v>6293</v>
      </c>
      <c r="B6294" t="inlineStr">
        <is>
          <t>V̅MCCXCIII</t>
        </is>
      </c>
      <c r="C6294">
        <f>ROMAN(6293)</f>
        <v/>
      </c>
      <c r="D6294">
        <f>IF(B6294=C6294, "YES", "WRONG")</f>
        <v/>
      </c>
    </row>
    <row r="6295">
      <c r="A6295" t="n">
        <v>6294</v>
      </c>
      <c r="B6295" t="inlineStr">
        <is>
          <t>V̅MCCXCIV</t>
        </is>
      </c>
      <c r="C6295">
        <f>ROMAN(6294)</f>
        <v/>
      </c>
      <c r="D6295">
        <f>IF(B6295=C6295, "YES", "WRONG")</f>
        <v/>
      </c>
    </row>
    <row r="6296">
      <c r="A6296" t="n">
        <v>6295</v>
      </c>
      <c r="B6296" t="inlineStr">
        <is>
          <t>V̅MCCXCV</t>
        </is>
      </c>
      <c r="C6296">
        <f>ROMAN(6295)</f>
        <v/>
      </c>
      <c r="D6296">
        <f>IF(B6296=C6296, "YES", "WRONG")</f>
        <v/>
      </c>
    </row>
    <row r="6297">
      <c r="A6297" t="n">
        <v>6296</v>
      </c>
      <c r="B6297" t="inlineStr">
        <is>
          <t>V̅MCCXCVI</t>
        </is>
      </c>
      <c r="C6297">
        <f>ROMAN(6296)</f>
        <v/>
      </c>
      <c r="D6297">
        <f>IF(B6297=C6297, "YES", "WRONG")</f>
        <v/>
      </c>
    </row>
    <row r="6298">
      <c r="A6298" t="n">
        <v>6297</v>
      </c>
      <c r="B6298" t="inlineStr">
        <is>
          <t>V̅MCCXCVII</t>
        </is>
      </c>
      <c r="C6298">
        <f>ROMAN(6297)</f>
        <v/>
      </c>
      <c r="D6298">
        <f>IF(B6298=C6298, "YES", "WRONG")</f>
        <v/>
      </c>
    </row>
    <row r="6299">
      <c r="A6299" t="n">
        <v>6298</v>
      </c>
      <c r="B6299" t="inlineStr">
        <is>
          <t>V̅MCCXCVIII</t>
        </is>
      </c>
      <c r="C6299">
        <f>ROMAN(6298)</f>
        <v/>
      </c>
      <c r="D6299">
        <f>IF(B6299=C6299, "YES", "WRONG")</f>
        <v/>
      </c>
    </row>
    <row r="6300">
      <c r="A6300" t="n">
        <v>6299</v>
      </c>
      <c r="B6300" t="inlineStr">
        <is>
          <t>V̅MCCXCIX</t>
        </is>
      </c>
      <c r="C6300">
        <f>ROMAN(6299)</f>
        <v/>
      </c>
      <c r="D6300">
        <f>IF(B6300=C6300, "YES", "WRONG")</f>
        <v/>
      </c>
    </row>
    <row r="6301">
      <c r="A6301" t="n">
        <v>6300</v>
      </c>
      <c r="B6301" t="inlineStr">
        <is>
          <t>V̅MCCC</t>
        </is>
      </c>
      <c r="C6301">
        <f>ROMAN(6300)</f>
        <v/>
      </c>
      <c r="D6301">
        <f>IF(B6301=C6301, "YES", "WRONG")</f>
        <v/>
      </c>
    </row>
    <row r="6302">
      <c r="A6302" t="n">
        <v>6301</v>
      </c>
      <c r="B6302" t="inlineStr">
        <is>
          <t>V̅MCCCI</t>
        </is>
      </c>
      <c r="C6302">
        <f>ROMAN(6301)</f>
        <v/>
      </c>
      <c r="D6302">
        <f>IF(B6302=C6302, "YES", "WRONG")</f>
        <v/>
      </c>
    </row>
    <row r="6303">
      <c r="A6303" t="n">
        <v>6302</v>
      </c>
      <c r="B6303" t="inlineStr">
        <is>
          <t>V̅MCCCII</t>
        </is>
      </c>
      <c r="C6303">
        <f>ROMAN(6302)</f>
        <v/>
      </c>
      <c r="D6303">
        <f>IF(B6303=C6303, "YES", "WRONG")</f>
        <v/>
      </c>
    </row>
    <row r="6304">
      <c r="A6304" t="n">
        <v>6303</v>
      </c>
      <c r="B6304" t="inlineStr">
        <is>
          <t>V̅MCCCIII</t>
        </is>
      </c>
      <c r="C6304">
        <f>ROMAN(6303)</f>
        <v/>
      </c>
      <c r="D6304">
        <f>IF(B6304=C6304, "YES", "WRONG")</f>
        <v/>
      </c>
    </row>
    <row r="6305">
      <c r="A6305" t="n">
        <v>6304</v>
      </c>
      <c r="B6305" t="inlineStr">
        <is>
          <t>V̅MCCCIV</t>
        </is>
      </c>
      <c r="C6305">
        <f>ROMAN(6304)</f>
        <v/>
      </c>
      <c r="D6305">
        <f>IF(B6305=C6305, "YES", "WRONG")</f>
        <v/>
      </c>
    </row>
    <row r="6306">
      <c r="A6306" t="n">
        <v>6305</v>
      </c>
      <c r="B6306" t="inlineStr">
        <is>
          <t>V̅MCCCV</t>
        </is>
      </c>
      <c r="C6306">
        <f>ROMAN(6305)</f>
        <v/>
      </c>
      <c r="D6306">
        <f>IF(B6306=C6306, "YES", "WRONG")</f>
        <v/>
      </c>
    </row>
    <row r="6307">
      <c r="A6307" t="n">
        <v>6306</v>
      </c>
      <c r="B6307" t="inlineStr">
        <is>
          <t>V̅MCCCVI</t>
        </is>
      </c>
      <c r="C6307">
        <f>ROMAN(6306)</f>
        <v/>
      </c>
      <c r="D6307">
        <f>IF(B6307=C6307, "YES", "WRONG")</f>
        <v/>
      </c>
    </row>
    <row r="6308">
      <c r="A6308" t="n">
        <v>6307</v>
      </c>
      <c r="B6308" t="inlineStr">
        <is>
          <t>V̅MCCCVII</t>
        </is>
      </c>
      <c r="C6308">
        <f>ROMAN(6307)</f>
        <v/>
      </c>
      <c r="D6308">
        <f>IF(B6308=C6308, "YES", "WRONG")</f>
        <v/>
      </c>
    </row>
    <row r="6309">
      <c r="A6309" t="n">
        <v>6308</v>
      </c>
      <c r="B6309" t="inlineStr">
        <is>
          <t>V̅MCCCVIII</t>
        </is>
      </c>
      <c r="C6309">
        <f>ROMAN(6308)</f>
        <v/>
      </c>
      <c r="D6309">
        <f>IF(B6309=C6309, "YES", "WRONG")</f>
        <v/>
      </c>
    </row>
    <row r="6310">
      <c r="A6310" t="n">
        <v>6309</v>
      </c>
      <c r="B6310" t="inlineStr">
        <is>
          <t>V̅MCCCIX</t>
        </is>
      </c>
      <c r="C6310">
        <f>ROMAN(6309)</f>
        <v/>
      </c>
      <c r="D6310">
        <f>IF(B6310=C6310, "YES", "WRONG")</f>
        <v/>
      </c>
    </row>
    <row r="6311">
      <c r="A6311" t="n">
        <v>6310</v>
      </c>
      <c r="B6311" t="inlineStr">
        <is>
          <t>V̅MCCCX</t>
        </is>
      </c>
      <c r="C6311">
        <f>ROMAN(6310)</f>
        <v/>
      </c>
      <c r="D6311">
        <f>IF(B6311=C6311, "YES", "WRONG")</f>
        <v/>
      </c>
    </row>
    <row r="6312">
      <c r="A6312" t="n">
        <v>6311</v>
      </c>
      <c r="B6312" t="inlineStr">
        <is>
          <t>V̅MCCCXI</t>
        </is>
      </c>
      <c r="C6312">
        <f>ROMAN(6311)</f>
        <v/>
      </c>
      <c r="D6312">
        <f>IF(B6312=C6312, "YES", "WRONG")</f>
        <v/>
      </c>
    </row>
    <row r="6313">
      <c r="A6313" t="n">
        <v>6312</v>
      </c>
      <c r="B6313" t="inlineStr">
        <is>
          <t>V̅MCCCXII</t>
        </is>
      </c>
      <c r="C6313">
        <f>ROMAN(6312)</f>
        <v/>
      </c>
      <c r="D6313">
        <f>IF(B6313=C6313, "YES", "WRONG")</f>
        <v/>
      </c>
    </row>
    <row r="6314">
      <c r="A6314" t="n">
        <v>6313</v>
      </c>
      <c r="B6314" t="inlineStr">
        <is>
          <t>V̅MCCCXIII</t>
        </is>
      </c>
      <c r="C6314">
        <f>ROMAN(6313)</f>
        <v/>
      </c>
      <c r="D6314">
        <f>IF(B6314=C6314, "YES", "WRONG")</f>
        <v/>
      </c>
    </row>
    <row r="6315">
      <c r="A6315" t="n">
        <v>6314</v>
      </c>
      <c r="B6315" t="inlineStr">
        <is>
          <t>V̅MCCCXIV</t>
        </is>
      </c>
      <c r="C6315">
        <f>ROMAN(6314)</f>
        <v/>
      </c>
      <c r="D6315">
        <f>IF(B6315=C6315, "YES", "WRONG")</f>
        <v/>
      </c>
    </row>
    <row r="6316">
      <c r="A6316" t="n">
        <v>6315</v>
      </c>
      <c r="B6316" t="inlineStr">
        <is>
          <t>V̅MCCCXV</t>
        </is>
      </c>
      <c r="C6316">
        <f>ROMAN(6315)</f>
        <v/>
      </c>
      <c r="D6316">
        <f>IF(B6316=C6316, "YES", "WRONG")</f>
        <v/>
      </c>
    </row>
    <row r="6317">
      <c r="A6317" t="n">
        <v>6316</v>
      </c>
      <c r="B6317" t="inlineStr">
        <is>
          <t>V̅MCCCXVI</t>
        </is>
      </c>
      <c r="C6317">
        <f>ROMAN(6316)</f>
        <v/>
      </c>
      <c r="D6317">
        <f>IF(B6317=C6317, "YES", "WRONG")</f>
        <v/>
      </c>
    </row>
    <row r="6318">
      <c r="A6318" t="n">
        <v>6317</v>
      </c>
      <c r="B6318" t="inlineStr">
        <is>
          <t>V̅MCCCXVII</t>
        </is>
      </c>
      <c r="C6318">
        <f>ROMAN(6317)</f>
        <v/>
      </c>
      <c r="D6318">
        <f>IF(B6318=C6318, "YES", "WRONG")</f>
        <v/>
      </c>
    </row>
    <row r="6319">
      <c r="A6319" t="n">
        <v>6318</v>
      </c>
      <c r="B6319" t="inlineStr">
        <is>
          <t>V̅MCCCXVIII</t>
        </is>
      </c>
      <c r="C6319">
        <f>ROMAN(6318)</f>
        <v/>
      </c>
      <c r="D6319">
        <f>IF(B6319=C6319, "YES", "WRONG")</f>
        <v/>
      </c>
    </row>
    <row r="6320">
      <c r="A6320" t="n">
        <v>6319</v>
      </c>
      <c r="B6320" t="inlineStr">
        <is>
          <t>V̅MCCCXIX</t>
        </is>
      </c>
      <c r="C6320">
        <f>ROMAN(6319)</f>
        <v/>
      </c>
      <c r="D6320">
        <f>IF(B6320=C6320, "YES", "WRONG")</f>
        <v/>
      </c>
    </row>
    <row r="6321">
      <c r="A6321" t="n">
        <v>6320</v>
      </c>
      <c r="B6321" t="inlineStr">
        <is>
          <t>V̅MCCCXX</t>
        </is>
      </c>
      <c r="C6321">
        <f>ROMAN(6320)</f>
        <v/>
      </c>
      <c r="D6321">
        <f>IF(B6321=C6321, "YES", "WRONG")</f>
        <v/>
      </c>
    </row>
    <row r="6322">
      <c r="A6322" t="n">
        <v>6321</v>
      </c>
      <c r="B6322" t="inlineStr">
        <is>
          <t>V̅MCCCXXI</t>
        </is>
      </c>
      <c r="C6322">
        <f>ROMAN(6321)</f>
        <v/>
      </c>
      <c r="D6322">
        <f>IF(B6322=C6322, "YES", "WRONG")</f>
        <v/>
      </c>
    </row>
    <row r="6323">
      <c r="A6323" t="n">
        <v>6322</v>
      </c>
      <c r="B6323" t="inlineStr">
        <is>
          <t>V̅MCCCXXII</t>
        </is>
      </c>
      <c r="C6323">
        <f>ROMAN(6322)</f>
        <v/>
      </c>
      <c r="D6323">
        <f>IF(B6323=C6323, "YES", "WRONG")</f>
        <v/>
      </c>
    </row>
    <row r="6324">
      <c r="A6324" t="n">
        <v>6323</v>
      </c>
      <c r="B6324" t="inlineStr">
        <is>
          <t>V̅MCCCXXIII</t>
        </is>
      </c>
      <c r="C6324">
        <f>ROMAN(6323)</f>
        <v/>
      </c>
      <c r="D6324">
        <f>IF(B6324=C6324, "YES", "WRONG")</f>
        <v/>
      </c>
    </row>
    <row r="6325">
      <c r="A6325" t="n">
        <v>6324</v>
      </c>
      <c r="B6325" t="inlineStr">
        <is>
          <t>V̅MCCCXXIV</t>
        </is>
      </c>
      <c r="C6325">
        <f>ROMAN(6324)</f>
        <v/>
      </c>
      <c r="D6325">
        <f>IF(B6325=C6325, "YES", "WRONG")</f>
        <v/>
      </c>
    </row>
    <row r="6326">
      <c r="A6326" t="n">
        <v>6325</v>
      </c>
      <c r="B6326" t="inlineStr">
        <is>
          <t>V̅MCCCXXV</t>
        </is>
      </c>
      <c r="C6326">
        <f>ROMAN(6325)</f>
        <v/>
      </c>
      <c r="D6326">
        <f>IF(B6326=C6326, "YES", "WRONG")</f>
        <v/>
      </c>
    </row>
    <row r="6327">
      <c r="A6327" t="n">
        <v>6326</v>
      </c>
      <c r="B6327" t="inlineStr">
        <is>
          <t>V̅MCCCXXVI</t>
        </is>
      </c>
      <c r="C6327">
        <f>ROMAN(6326)</f>
        <v/>
      </c>
      <c r="D6327">
        <f>IF(B6327=C6327, "YES", "WRONG")</f>
        <v/>
      </c>
    </row>
    <row r="6328">
      <c r="A6328" t="n">
        <v>6327</v>
      </c>
      <c r="B6328" t="inlineStr">
        <is>
          <t>V̅MCCCXXVII</t>
        </is>
      </c>
      <c r="C6328">
        <f>ROMAN(6327)</f>
        <v/>
      </c>
      <c r="D6328">
        <f>IF(B6328=C6328, "YES", "WRONG")</f>
        <v/>
      </c>
    </row>
    <row r="6329">
      <c r="A6329" t="n">
        <v>6328</v>
      </c>
      <c r="B6329" t="inlineStr">
        <is>
          <t>V̅MCCCXXVIII</t>
        </is>
      </c>
      <c r="C6329">
        <f>ROMAN(6328)</f>
        <v/>
      </c>
      <c r="D6329">
        <f>IF(B6329=C6329, "YES", "WRONG")</f>
        <v/>
      </c>
    </row>
    <row r="6330">
      <c r="A6330" t="n">
        <v>6329</v>
      </c>
      <c r="B6330" t="inlineStr">
        <is>
          <t>V̅MCCCXXIX</t>
        </is>
      </c>
      <c r="C6330">
        <f>ROMAN(6329)</f>
        <v/>
      </c>
      <c r="D6330">
        <f>IF(B6330=C6330, "YES", "WRONG")</f>
        <v/>
      </c>
    </row>
    <row r="6331">
      <c r="A6331" t="n">
        <v>6330</v>
      </c>
      <c r="B6331" t="inlineStr">
        <is>
          <t>V̅MCCCXXX</t>
        </is>
      </c>
      <c r="C6331">
        <f>ROMAN(6330)</f>
        <v/>
      </c>
      <c r="D6331">
        <f>IF(B6331=C6331, "YES", "WRONG")</f>
        <v/>
      </c>
    </row>
    <row r="6332">
      <c r="A6332" t="n">
        <v>6331</v>
      </c>
      <c r="B6332" t="inlineStr">
        <is>
          <t>V̅MCCCXXXI</t>
        </is>
      </c>
      <c r="C6332">
        <f>ROMAN(6331)</f>
        <v/>
      </c>
      <c r="D6332">
        <f>IF(B6332=C6332, "YES", "WRONG")</f>
        <v/>
      </c>
    </row>
    <row r="6333">
      <c r="A6333" t="n">
        <v>6332</v>
      </c>
      <c r="B6333" t="inlineStr">
        <is>
          <t>V̅MCCCXXXII</t>
        </is>
      </c>
      <c r="C6333">
        <f>ROMAN(6332)</f>
        <v/>
      </c>
      <c r="D6333">
        <f>IF(B6333=C6333, "YES", "WRONG")</f>
        <v/>
      </c>
    </row>
    <row r="6334">
      <c r="A6334" t="n">
        <v>6333</v>
      </c>
      <c r="B6334" t="inlineStr">
        <is>
          <t>V̅MCCCXXXIII</t>
        </is>
      </c>
      <c r="C6334">
        <f>ROMAN(6333)</f>
        <v/>
      </c>
      <c r="D6334">
        <f>IF(B6334=C6334, "YES", "WRONG")</f>
        <v/>
      </c>
    </row>
    <row r="6335">
      <c r="A6335" t="n">
        <v>6334</v>
      </c>
      <c r="B6335" t="inlineStr">
        <is>
          <t>V̅MCCCXXXIV</t>
        </is>
      </c>
      <c r="C6335">
        <f>ROMAN(6334)</f>
        <v/>
      </c>
      <c r="D6335">
        <f>IF(B6335=C6335, "YES", "WRONG")</f>
        <v/>
      </c>
    </row>
    <row r="6336">
      <c r="A6336" t="n">
        <v>6335</v>
      </c>
      <c r="B6336" t="inlineStr">
        <is>
          <t>V̅MCCCXXXV</t>
        </is>
      </c>
      <c r="C6336">
        <f>ROMAN(6335)</f>
        <v/>
      </c>
      <c r="D6336">
        <f>IF(B6336=C6336, "YES", "WRONG")</f>
        <v/>
      </c>
    </row>
    <row r="6337">
      <c r="A6337" t="n">
        <v>6336</v>
      </c>
      <c r="B6337" t="inlineStr">
        <is>
          <t>V̅MCCCXXXVI</t>
        </is>
      </c>
      <c r="C6337">
        <f>ROMAN(6336)</f>
        <v/>
      </c>
      <c r="D6337">
        <f>IF(B6337=C6337, "YES", "WRONG")</f>
        <v/>
      </c>
    </row>
    <row r="6338">
      <c r="A6338" t="n">
        <v>6337</v>
      </c>
      <c r="B6338" t="inlineStr">
        <is>
          <t>V̅MCCCXXXVII</t>
        </is>
      </c>
      <c r="C6338">
        <f>ROMAN(6337)</f>
        <v/>
      </c>
      <c r="D6338">
        <f>IF(B6338=C6338, "YES", "WRONG")</f>
        <v/>
      </c>
    </row>
    <row r="6339">
      <c r="A6339" t="n">
        <v>6338</v>
      </c>
      <c r="B6339" t="inlineStr">
        <is>
          <t>V̅MCCCXXXVIII</t>
        </is>
      </c>
      <c r="C6339">
        <f>ROMAN(6338)</f>
        <v/>
      </c>
      <c r="D6339">
        <f>IF(B6339=C6339, "YES", "WRONG")</f>
        <v/>
      </c>
    </row>
    <row r="6340">
      <c r="A6340" t="n">
        <v>6339</v>
      </c>
      <c r="B6340" t="inlineStr">
        <is>
          <t>V̅MCCCXXXIX</t>
        </is>
      </c>
      <c r="C6340">
        <f>ROMAN(6339)</f>
        <v/>
      </c>
      <c r="D6340">
        <f>IF(B6340=C6340, "YES", "WRONG")</f>
        <v/>
      </c>
    </row>
    <row r="6341">
      <c r="A6341" t="n">
        <v>6340</v>
      </c>
      <c r="B6341" t="inlineStr">
        <is>
          <t>V̅MCCCXL</t>
        </is>
      </c>
      <c r="C6341">
        <f>ROMAN(6340)</f>
        <v/>
      </c>
      <c r="D6341">
        <f>IF(B6341=C6341, "YES", "WRONG")</f>
        <v/>
      </c>
    </row>
    <row r="6342">
      <c r="A6342" t="n">
        <v>6341</v>
      </c>
      <c r="B6342" t="inlineStr">
        <is>
          <t>V̅MCCCXLI</t>
        </is>
      </c>
      <c r="C6342">
        <f>ROMAN(6341)</f>
        <v/>
      </c>
      <c r="D6342">
        <f>IF(B6342=C6342, "YES", "WRONG")</f>
        <v/>
      </c>
    </row>
    <row r="6343">
      <c r="A6343" t="n">
        <v>6342</v>
      </c>
      <c r="B6343" t="inlineStr">
        <is>
          <t>V̅MCCCXLII</t>
        </is>
      </c>
      <c r="C6343">
        <f>ROMAN(6342)</f>
        <v/>
      </c>
      <c r="D6343">
        <f>IF(B6343=C6343, "YES", "WRONG")</f>
        <v/>
      </c>
    </row>
    <row r="6344">
      <c r="A6344" t="n">
        <v>6343</v>
      </c>
      <c r="B6344" t="inlineStr">
        <is>
          <t>V̅MCCCXLIII</t>
        </is>
      </c>
      <c r="C6344">
        <f>ROMAN(6343)</f>
        <v/>
      </c>
      <c r="D6344">
        <f>IF(B6344=C6344, "YES", "WRONG")</f>
        <v/>
      </c>
    </row>
    <row r="6345">
      <c r="A6345" t="n">
        <v>6344</v>
      </c>
      <c r="B6345" t="inlineStr">
        <is>
          <t>V̅MCCCXLIV</t>
        </is>
      </c>
      <c r="C6345">
        <f>ROMAN(6344)</f>
        <v/>
      </c>
      <c r="D6345">
        <f>IF(B6345=C6345, "YES", "WRONG")</f>
        <v/>
      </c>
    </row>
    <row r="6346">
      <c r="A6346" t="n">
        <v>6345</v>
      </c>
      <c r="B6346" t="inlineStr">
        <is>
          <t>V̅MCCCXLV</t>
        </is>
      </c>
      <c r="C6346">
        <f>ROMAN(6345)</f>
        <v/>
      </c>
      <c r="D6346">
        <f>IF(B6346=C6346, "YES", "WRONG")</f>
        <v/>
      </c>
    </row>
    <row r="6347">
      <c r="A6347" t="n">
        <v>6346</v>
      </c>
      <c r="B6347" t="inlineStr">
        <is>
          <t>V̅MCCCXLVI</t>
        </is>
      </c>
      <c r="C6347">
        <f>ROMAN(6346)</f>
        <v/>
      </c>
      <c r="D6347">
        <f>IF(B6347=C6347, "YES", "WRONG")</f>
        <v/>
      </c>
    </row>
    <row r="6348">
      <c r="A6348" t="n">
        <v>6347</v>
      </c>
      <c r="B6348" t="inlineStr">
        <is>
          <t>V̅MCCCXLVII</t>
        </is>
      </c>
      <c r="C6348">
        <f>ROMAN(6347)</f>
        <v/>
      </c>
      <c r="D6348">
        <f>IF(B6348=C6348, "YES", "WRONG")</f>
        <v/>
      </c>
    </row>
    <row r="6349">
      <c r="A6349" t="n">
        <v>6348</v>
      </c>
      <c r="B6349" t="inlineStr">
        <is>
          <t>V̅MCCCXLVIII</t>
        </is>
      </c>
      <c r="C6349">
        <f>ROMAN(6348)</f>
        <v/>
      </c>
      <c r="D6349">
        <f>IF(B6349=C6349, "YES", "WRONG")</f>
        <v/>
      </c>
    </row>
    <row r="6350">
      <c r="A6350" t="n">
        <v>6349</v>
      </c>
      <c r="B6350" t="inlineStr">
        <is>
          <t>V̅MCCCXLIX</t>
        </is>
      </c>
      <c r="C6350">
        <f>ROMAN(6349)</f>
        <v/>
      </c>
      <c r="D6350">
        <f>IF(B6350=C6350, "YES", "WRONG")</f>
        <v/>
      </c>
    </row>
    <row r="6351">
      <c r="A6351" t="n">
        <v>6350</v>
      </c>
      <c r="B6351" t="inlineStr">
        <is>
          <t>V̅MCCCL</t>
        </is>
      </c>
      <c r="C6351">
        <f>ROMAN(6350)</f>
        <v/>
      </c>
      <c r="D6351">
        <f>IF(B6351=C6351, "YES", "WRONG")</f>
        <v/>
      </c>
    </row>
    <row r="6352">
      <c r="A6352" t="n">
        <v>6351</v>
      </c>
      <c r="B6352" t="inlineStr">
        <is>
          <t>V̅MCCCLI</t>
        </is>
      </c>
      <c r="C6352">
        <f>ROMAN(6351)</f>
        <v/>
      </c>
      <c r="D6352">
        <f>IF(B6352=C6352, "YES", "WRONG")</f>
        <v/>
      </c>
    </row>
    <row r="6353">
      <c r="A6353" t="n">
        <v>6352</v>
      </c>
      <c r="B6353" t="inlineStr">
        <is>
          <t>V̅MCCCLII</t>
        </is>
      </c>
      <c r="C6353">
        <f>ROMAN(6352)</f>
        <v/>
      </c>
      <c r="D6353">
        <f>IF(B6353=C6353, "YES", "WRONG")</f>
        <v/>
      </c>
    </row>
    <row r="6354">
      <c r="A6354" t="n">
        <v>6353</v>
      </c>
      <c r="B6354" t="inlineStr">
        <is>
          <t>V̅MCCCLIII</t>
        </is>
      </c>
      <c r="C6354">
        <f>ROMAN(6353)</f>
        <v/>
      </c>
      <c r="D6354">
        <f>IF(B6354=C6354, "YES", "WRONG")</f>
        <v/>
      </c>
    </row>
    <row r="6355">
      <c r="A6355" t="n">
        <v>6354</v>
      </c>
      <c r="B6355" t="inlineStr">
        <is>
          <t>V̅MCCCLIV</t>
        </is>
      </c>
      <c r="C6355">
        <f>ROMAN(6354)</f>
        <v/>
      </c>
      <c r="D6355">
        <f>IF(B6355=C6355, "YES", "WRONG")</f>
        <v/>
      </c>
    </row>
    <row r="6356">
      <c r="A6356" t="n">
        <v>6355</v>
      </c>
      <c r="B6356" t="inlineStr">
        <is>
          <t>V̅MCCCLV</t>
        </is>
      </c>
      <c r="C6356">
        <f>ROMAN(6355)</f>
        <v/>
      </c>
      <c r="D6356">
        <f>IF(B6356=C6356, "YES", "WRONG")</f>
        <v/>
      </c>
    </row>
    <row r="6357">
      <c r="A6357" t="n">
        <v>6356</v>
      </c>
      <c r="B6357" t="inlineStr">
        <is>
          <t>V̅MCCCLVI</t>
        </is>
      </c>
      <c r="C6357">
        <f>ROMAN(6356)</f>
        <v/>
      </c>
      <c r="D6357">
        <f>IF(B6357=C6357, "YES", "WRONG")</f>
        <v/>
      </c>
    </row>
    <row r="6358">
      <c r="A6358" t="n">
        <v>6357</v>
      </c>
      <c r="B6358" t="inlineStr">
        <is>
          <t>V̅MCCCLVII</t>
        </is>
      </c>
      <c r="C6358">
        <f>ROMAN(6357)</f>
        <v/>
      </c>
      <c r="D6358">
        <f>IF(B6358=C6358, "YES", "WRONG")</f>
        <v/>
      </c>
    </row>
    <row r="6359">
      <c r="A6359" t="n">
        <v>6358</v>
      </c>
      <c r="B6359" t="inlineStr">
        <is>
          <t>V̅MCCCLVIII</t>
        </is>
      </c>
      <c r="C6359">
        <f>ROMAN(6358)</f>
        <v/>
      </c>
      <c r="D6359">
        <f>IF(B6359=C6359, "YES", "WRONG")</f>
        <v/>
      </c>
    </row>
    <row r="6360">
      <c r="A6360" t="n">
        <v>6359</v>
      </c>
      <c r="B6360" t="inlineStr">
        <is>
          <t>V̅MCCCLIX</t>
        </is>
      </c>
      <c r="C6360">
        <f>ROMAN(6359)</f>
        <v/>
      </c>
      <c r="D6360">
        <f>IF(B6360=C6360, "YES", "WRONG")</f>
        <v/>
      </c>
    </row>
    <row r="6361">
      <c r="A6361" t="n">
        <v>6360</v>
      </c>
      <c r="B6361" t="inlineStr">
        <is>
          <t>V̅MCCCLX</t>
        </is>
      </c>
      <c r="C6361">
        <f>ROMAN(6360)</f>
        <v/>
      </c>
      <c r="D6361">
        <f>IF(B6361=C6361, "YES", "WRONG")</f>
        <v/>
      </c>
    </row>
    <row r="6362">
      <c r="A6362" t="n">
        <v>6361</v>
      </c>
      <c r="B6362" t="inlineStr">
        <is>
          <t>V̅MCCCLXI</t>
        </is>
      </c>
      <c r="C6362">
        <f>ROMAN(6361)</f>
        <v/>
      </c>
      <c r="D6362">
        <f>IF(B6362=C6362, "YES", "WRONG")</f>
        <v/>
      </c>
    </row>
    <row r="6363">
      <c r="A6363" t="n">
        <v>6362</v>
      </c>
      <c r="B6363" t="inlineStr">
        <is>
          <t>V̅MCCCLXII</t>
        </is>
      </c>
      <c r="C6363">
        <f>ROMAN(6362)</f>
        <v/>
      </c>
      <c r="D6363">
        <f>IF(B6363=C6363, "YES", "WRONG")</f>
        <v/>
      </c>
    </row>
    <row r="6364">
      <c r="A6364" t="n">
        <v>6363</v>
      </c>
      <c r="B6364" t="inlineStr">
        <is>
          <t>V̅MCCCLXIII</t>
        </is>
      </c>
      <c r="C6364">
        <f>ROMAN(6363)</f>
        <v/>
      </c>
      <c r="D6364">
        <f>IF(B6364=C6364, "YES", "WRONG")</f>
        <v/>
      </c>
    </row>
    <row r="6365">
      <c r="A6365" t="n">
        <v>6364</v>
      </c>
      <c r="B6365" t="inlineStr">
        <is>
          <t>V̅MCCCLXIV</t>
        </is>
      </c>
      <c r="C6365">
        <f>ROMAN(6364)</f>
        <v/>
      </c>
      <c r="D6365">
        <f>IF(B6365=C6365, "YES", "WRONG")</f>
        <v/>
      </c>
    </row>
    <row r="6366">
      <c r="A6366" t="n">
        <v>6365</v>
      </c>
      <c r="B6366" t="inlineStr">
        <is>
          <t>V̅MCCCLXV</t>
        </is>
      </c>
      <c r="C6366">
        <f>ROMAN(6365)</f>
        <v/>
      </c>
      <c r="D6366">
        <f>IF(B6366=C6366, "YES", "WRONG")</f>
        <v/>
      </c>
    </row>
    <row r="6367">
      <c r="A6367" t="n">
        <v>6366</v>
      </c>
      <c r="B6367" t="inlineStr">
        <is>
          <t>V̅MCCCLXVI</t>
        </is>
      </c>
      <c r="C6367">
        <f>ROMAN(6366)</f>
        <v/>
      </c>
      <c r="D6367">
        <f>IF(B6367=C6367, "YES", "WRONG")</f>
        <v/>
      </c>
    </row>
    <row r="6368">
      <c r="A6368" t="n">
        <v>6367</v>
      </c>
      <c r="B6368" t="inlineStr">
        <is>
          <t>V̅MCCCLXVII</t>
        </is>
      </c>
      <c r="C6368">
        <f>ROMAN(6367)</f>
        <v/>
      </c>
      <c r="D6368">
        <f>IF(B6368=C6368, "YES", "WRONG")</f>
        <v/>
      </c>
    </row>
    <row r="6369">
      <c r="A6369" t="n">
        <v>6368</v>
      </c>
      <c r="B6369" t="inlineStr">
        <is>
          <t>V̅MCCCLXVIII</t>
        </is>
      </c>
      <c r="C6369">
        <f>ROMAN(6368)</f>
        <v/>
      </c>
      <c r="D6369">
        <f>IF(B6369=C6369, "YES", "WRONG")</f>
        <v/>
      </c>
    </row>
    <row r="6370">
      <c r="A6370" t="n">
        <v>6369</v>
      </c>
      <c r="B6370" t="inlineStr">
        <is>
          <t>V̅MCCCLXIX</t>
        </is>
      </c>
      <c r="C6370">
        <f>ROMAN(6369)</f>
        <v/>
      </c>
      <c r="D6370">
        <f>IF(B6370=C6370, "YES", "WRONG")</f>
        <v/>
      </c>
    </row>
    <row r="6371">
      <c r="A6371" t="n">
        <v>6370</v>
      </c>
      <c r="B6371" t="inlineStr">
        <is>
          <t>V̅MCCCLXX</t>
        </is>
      </c>
      <c r="C6371">
        <f>ROMAN(6370)</f>
        <v/>
      </c>
      <c r="D6371">
        <f>IF(B6371=C6371, "YES", "WRONG")</f>
        <v/>
      </c>
    </row>
    <row r="6372">
      <c r="A6372" t="n">
        <v>6371</v>
      </c>
      <c r="B6372" t="inlineStr">
        <is>
          <t>V̅MCCCLXXI</t>
        </is>
      </c>
      <c r="C6372">
        <f>ROMAN(6371)</f>
        <v/>
      </c>
      <c r="D6372">
        <f>IF(B6372=C6372, "YES", "WRONG")</f>
        <v/>
      </c>
    </row>
    <row r="6373">
      <c r="A6373" t="n">
        <v>6372</v>
      </c>
      <c r="B6373" t="inlineStr">
        <is>
          <t>V̅MCCCLXXII</t>
        </is>
      </c>
      <c r="C6373">
        <f>ROMAN(6372)</f>
        <v/>
      </c>
      <c r="D6373">
        <f>IF(B6373=C6373, "YES", "WRONG")</f>
        <v/>
      </c>
    </row>
    <row r="6374">
      <c r="A6374" t="n">
        <v>6373</v>
      </c>
      <c r="B6374" t="inlineStr">
        <is>
          <t>V̅MCCCLXXIII</t>
        </is>
      </c>
      <c r="C6374">
        <f>ROMAN(6373)</f>
        <v/>
      </c>
      <c r="D6374">
        <f>IF(B6374=C6374, "YES", "WRONG")</f>
        <v/>
      </c>
    </row>
    <row r="6375">
      <c r="A6375" t="n">
        <v>6374</v>
      </c>
      <c r="B6375" t="inlineStr">
        <is>
          <t>V̅MCCCLXXIV</t>
        </is>
      </c>
      <c r="C6375">
        <f>ROMAN(6374)</f>
        <v/>
      </c>
      <c r="D6375">
        <f>IF(B6375=C6375, "YES", "WRONG")</f>
        <v/>
      </c>
    </row>
    <row r="6376">
      <c r="A6376" t="n">
        <v>6375</v>
      </c>
      <c r="B6376" t="inlineStr">
        <is>
          <t>V̅MCCCLXXV</t>
        </is>
      </c>
      <c r="C6376">
        <f>ROMAN(6375)</f>
        <v/>
      </c>
      <c r="D6376">
        <f>IF(B6376=C6376, "YES", "WRONG")</f>
        <v/>
      </c>
    </row>
    <row r="6377">
      <c r="A6377" t="n">
        <v>6376</v>
      </c>
      <c r="B6377" t="inlineStr">
        <is>
          <t>V̅MCCCLXXVI</t>
        </is>
      </c>
      <c r="C6377">
        <f>ROMAN(6376)</f>
        <v/>
      </c>
      <c r="D6377">
        <f>IF(B6377=C6377, "YES", "WRONG")</f>
        <v/>
      </c>
    </row>
    <row r="6378">
      <c r="A6378" t="n">
        <v>6377</v>
      </c>
      <c r="B6378" t="inlineStr">
        <is>
          <t>V̅MCCCLXXVII</t>
        </is>
      </c>
      <c r="C6378">
        <f>ROMAN(6377)</f>
        <v/>
      </c>
      <c r="D6378">
        <f>IF(B6378=C6378, "YES", "WRONG")</f>
        <v/>
      </c>
    </row>
    <row r="6379">
      <c r="A6379" t="n">
        <v>6378</v>
      </c>
      <c r="B6379" t="inlineStr">
        <is>
          <t>V̅MCCCLXXVIII</t>
        </is>
      </c>
      <c r="C6379">
        <f>ROMAN(6378)</f>
        <v/>
      </c>
      <c r="D6379">
        <f>IF(B6379=C6379, "YES", "WRONG")</f>
        <v/>
      </c>
    </row>
    <row r="6380">
      <c r="A6380" t="n">
        <v>6379</v>
      </c>
      <c r="B6380" t="inlineStr">
        <is>
          <t>V̅MCCCLXXIX</t>
        </is>
      </c>
      <c r="C6380">
        <f>ROMAN(6379)</f>
        <v/>
      </c>
      <c r="D6380">
        <f>IF(B6380=C6380, "YES", "WRONG")</f>
        <v/>
      </c>
    </row>
    <row r="6381">
      <c r="A6381" t="n">
        <v>6380</v>
      </c>
      <c r="B6381" t="inlineStr">
        <is>
          <t>V̅MCCCLXXX</t>
        </is>
      </c>
      <c r="C6381">
        <f>ROMAN(6380)</f>
        <v/>
      </c>
      <c r="D6381">
        <f>IF(B6381=C6381, "YES", "WRONG")</f>
        <v/>
      </c>
    </row>
    <row r="6382">
      <c r="A6382" t="n">
        <v>6381</v>
      </c>
      <c r="B6382" t="inlineStr">
        <is>
          <t>V̅MCCCLXXXI</t>
        </is>
      </c>
      <c r="C6382">
        <f>ROMAN(6381)</f>
        <v/>
      </c>
      <c r="D6382">
        <f>IF(B6382=C6382, "YES", "WRONG")</f>
        <v/>
      </c>
    </row>
    <row r="6383">
      <c r="A6383" t="n">
        <v>6382</v>
      </c>
      <c r="B6383" t="inlineStr">
        <is>
          <t>V̅MCCCLXXXII</t>
        </is>
      </c>
      <c r="C6383">
        <f>ROMAN(6382)</f>
        <v/>
      </c>
      <c r="D6383">
        <f>IF(B6383=C6383, "YES", "WRONG")</f>
        <v/>
      </c>
    </row>
    <row r="6384">
      <c r="A6384" t="n">
        <v>6383</v>
      </c>
      <c r="B6384" t="inlineStr">
        <is>
          <t>V̅MCCCLXXXIII</t>
        </is>
      </c>
      <c r="C6384">
        <f>ROMAN(6383)</f>
        <v/>
      </c>
      <c r="D6384">
        <f>IF(B6384=C6384, "YES", "WRONG")</f>
        <v/>
      </c>
    </row>
    <row r="6385">
      <c r="A6385" t="n">
        <v>6384</v>
      </c>
      <c r="B6385" t="inlineStr">
        <is>
          <t>V̅MCCCLXXXIV</t>
        </is>
      </c>
      <c r="C6385">
        <f>ROMAN(6384)</f>
        <v/>
      </c>
      <c r="D6385">
        <f>IF(B6385=C6385, "YES", "WRONG")</f>
        <v/>
      </c>
    </row>
    <row r="6386">
      <c r="A6386" t="n">
        <v>6385</v>
      </c>
      <c r="B6386" t="inlineStr">
        <is>
          <t>V̅MCCCLXXXV</t>
        </is>
      </c>
      <c r="C6386">
        <f>ROMAN(6385)</f>
        <v/>
      </c>
      <c r="D6386">
        <f>IF(B6386=C6386, "YES", "WRONG")</f>
        <v/>
      </c>
    </row>
    <row r="6387">
      <c r="A6387" t="n">
        <v>6386</v>
      </c>
      <c r="B6387" t="inlineStr">
        <is>
          <t>V̅MCCCLXXXVI</t>
        </is>
      </c>
      <c r="C6387">
        <f>ROMAN(6386)</f>
        <v/>
      </c>
      <c r="D6387">
        <f>IF(B6387=C6387, "YES", "WRONG")</f>
        <v/>
      </c>
    </row>
    <row r="6388">
      <c r="A6388" t="n">
        <v>6387</v>
      </c>
      <c r="B6388" t="inlineStr">
        <is>
          <t>V̅MCCCLXXXVII</t>
        </is>
      </c>
      <c r="C6388">
        <f>ROMAN(6387)</f>
        <v/>
      </c>
      <c r="D6388">
        <f>IF(B6388=C6388, "YES", "WRONG")</f>
        <v/>
      </c>
    </row>
    <row r="6389">
      <c r="A6389" t="n">
        <v>6388</v>
      </c>
      <c r="B6389" t="inlineStr">
        <is>
          <t>V̅MCCCLXXXVIII</t>
        </is>
      </c>
      <c r="C6389">
        <f>ROMAN(6388)</f>
        <v/>
      </c>
      <c r="D6389">
        <f>IF(B6389=C6389, "YES", "WRONG")</f>
        <v/>
      </c>
    </row>
    <row r="6390">
      <c r="A6390" t="n">
        <v>6389</v>
      </c>
      <c r="B6390" t="inlineStr">
        <is>
          <t>V̅MCCCLXXXIX</t>
        </is>
      </c>
      <c r="C6390">
        <f>ROMAN(6389)</f>
        <v/>
      </c>
      <c r="D6390">
        <f>IF(B6390=C6390, "YES", "WRONG")</f>
        <v/>
      </c>
    </row>
    <row r="6391">
      <c r="A6391" t="n">
        <v>6390</v>
      </c>
      <c r="B6391" t="inlineStr">
        <is>
          <t>V̅MCCCXC</t>
        </is>
      </c>
      <c r="C6391">
        <f>ROMAN(6390)</f>
        <v/>
      </c>
      <c r="D6391">
        <f>IF(B6391=C6391, "YES", "WRONG")</f>
        <v/>
      </c>
    </row>
    <row r="6392">
      <c r="A6392" t="n">
        <v>6391</v>
      </c>
      <c r="B6392" t="inlineStr">
        <is>
          <t>V̅MCCCXCI</t>
        </is>
      </c>
      <c r="C6392">
        <f>ROMAN(6391)</f>
        <v/>
      </c>
      <c r="D6392">
        <f>IF(B6392=C6392, "YES", "WRONG")</f>
        <v/>
      </c>
    </row>
    <row r="6393">
      <c r="A6393" t="n">
        <v>6392</v>
      </c>
      <c r="B6393" t="inlineStr">
        <is>
          <t>V̅MCCCXCII</t>
        </is>
      </c>
      <c r="C6393">
        <f>ROMAN(6392)</f>
        <v/>
      </c>
      <c r="D6393">
        <f>IF(B6393=C6393, "YES", "WRONG")</f>
        <v/>
      </c>
    </row>
    <row r="6394">
      <c r="A6394" t="n">
        <v>6393</v>
      </c>
      <c r="B6394" t="inlineStr">
        <is>
          <t>V̅MCCCXCIII</t>
        </is>
      </c>
      <c r="C6394">
        <f>ROMAN(6393)</f>
        <v/>
      </c>
      <c r="D6394">
        <f>IF(B6394=C6394, "YES", "WRONG")</f>
        <v/>
      </c>
    </row>
    <row r="6395">
      <c r="A6395" t="n">
        <v>6394</v>
      </c>
      <c r="B6395" t="inlineStr">
        <is>
          <t>V̅MCCCXCIV</t>
        </is>
      </c>
      <c r="C6395">
        <f>ROMAN(6394)</f>
        <v/>
      </c>
      <c r="D6395">
        <f>IF(B6395=C6395, "YES", "WRONG")</f>
        <v/>
      </c>
    </row>
    <row r="6396">
      <c r="A6396" t="n">
        <v>6395</v>
      </c>
      <c r="B6396" t="inlineStr">
        <is>
          <t>V̅MCCCXCV</t>
        </is>
      </c>
      <c r="C6396">
        <f>ROMAN(6395)</f>
        <v/>
      </c>
      <c r="D6396">
        <f>IF(B6396=C6396, "YES", "WRONG")</f>
        <v/>
      </c>
    </row>
    <row r="6397">
      <c r="A6397" t="n">
        <v>6396</v>
      </c>
      <c r="B6397" t="inlineStr">
        <is>
          <t>V̅MCCCXCVI</t>
        </is>
      </c>
      <c r="C6397">
        <f>ROMAN(6396)</f>
        <v/>
      </c>
      <c r="D6397">
        <f>IF(B6397=C6397, "YES", "WRONG")</f>
        <v/>
      </c>
    </row>
    <row r="6398">
      <c r="A6398" t="n">
        <v>6397</v>
      </c>
      <c r="B6398" t="inlineStr">
        <is>
          <t>V̅MCCCXCVII</t>
        </is>
      </c>
      <c r="C6398">
        <f>ROMAN(6397)</f>
        <v/>
      </c>
      <c r="D6398">
        <f>IF(B6398=C6398, "YES", "WRONG")</f>
        <v/>
      </c>
    </row>
    <row r="6399">
      <c r="A6399" t="n">
        <v>6398</v>
      </c>
      <c r="B6399" t="inlineStr">
        <is>
          <t>V̅MCCCXCVIII</t>
        </is>
      </c>
      <c r="C6399">
        <f>ROMAN(6398)</f>
        <v/>
      </c>
      <c r="D6399">
        <f>IF(B6399=C6399, "YES", "WRONG")</f>
        <v/>
      </c>
    </row>
    <row r="6400">
      <c r="A6400" t="n">
        <v>6399</v>
      </c>
      <c r="B6400" t="inlineStr">
        <is>
          <t>V̅MCCCXCIX</t>
        </is>
      </c>
      <c r="C6400">
        <f>ROMAN(6399)</f>
        <v/>
      </c>
      <c r="D6400">
        <f>IF(B6400=C6400, "YES", "WRONG")</f>
        <v/>
      </c>
    </row>
    <row r="6401">
      <c r="A6401" t="n">
        <v>6400</v>
      </c>
      <c r="B6401" t="inlineStr">
        <is>
          <t>V̅MCD</t>
        </is>
      </c>
      <c r="C6401">
        <f>ROMAN(6400)</f>
        <v/>
      </c>
      <c r="D6401">
        <f>IF(B6401=C6401, "YES", "WRONG")</f>
        <v/>
      </c>
    </row>
    <row r="6402">
      <c r="A6402" t="n">
        <v>6401</v>
      </c>
      <c r="B6402" t="inlineStr">
        <is>
          <t>V̅MCDI</t>
        </is>
      </c>
      <c r="C6402">
        <f>ROMAN(6401)</f>
        <v/>
      </c>
      <c r="D6402">
        <f>IF(B6402=C6402, "YES", "WRONG")</f>
        <v/>
      </c>
    </row>
    <row r="6403">
      <c r="A6403" t="n">
        <v>6402</v>
      </c>
      <c r="B6403" t="inlineStr">
        <is>
          <t>V̅MCDII</t>
        </is>
      </c>
      <c r="C6403">
        <f>ROMAN(6402)</f>
        <v/>
      </c>
      <c r="D6403">
        <f>IF(B6403=C6403, "YES", "WRONG")</f>
        <v/>
      </c>
    </row>
    <row r="6404">
      <c r="A6404" t="n">
        <v>6403</v>
      </c>
      <c r="B6404" t="inlineStr">
        <is>
          <t>V̅MCDIII</t>
        </is>
      </c>
      <c r="C6404">
        <f>ROMAN(6403)</f>
        <v/>
      </c>
      <c r="D6404">
        <f>IF(B6404=C6404, "YES", "WRONG")</f>
        <v/>
      </c>
    </row>
    <row r="6405">
      <c r="A6405" t="n">
        <v>6404</v>
      </c>
      <c r="B6405" t="inlineStr">
        <is>
          <t>V̅MCDIV</t>
        </is>
      </c>
      <c r="C6405">
        <f>ROMAN(6404)</f>
        <v/>
      </c>
      <c r="D6405">
        <f>IF(B6405=C6405, "YES", "WRONG")</f>
        <v/>
      </c>
    </row>
    <row r="6406">
      <c r="A6406" t="n">
        <v>6405</v>
      </c>
      <c r="B6406" t="inlineStr">
        <is>
          <t>V̅MCDV</t>
        </is>
      </c>
      <c r="C6406">
        <f>ROMAN(6405)</f>
        <v/>
      </c>
      <c r="D6406">
        <f>IF(B6406=C6406, "YES", "WRONG")</f>
        <v/>
      </c>
    </row>
    <row r="6407">
      <c r="A6407" t="n">
        <v>6406</v>
      </c>
      <c r="B6407" t="inlineStr">
        <is>
          <t>V̅MCDVI</t>
        </is>
      </c>
      <c r="C6407">
        <f>ROMAN(6406)</f>
        <v/>
      </c>
      <c r="D6407">
        <f>IF(B6407=C6407, "YES", "WRONG")</f>
        <v/>
      </c>
    </row>
    <row r="6408">
      <c r="A6408" t="n">
        <v>6407</v>
      </c>
      <c r="B6408" t="inlineStr">
        <is>
          <t>V̅MCDVII</t>
        </is>
      </c>
      <c r="C6408">
        <f>ROMAN(6407)</f>
        <v/>
      </c>
      <c r="D6408">
        <f>IF(B6408=C6408, "YES", "WRONG")</f>
        <v/>
      </c>
    </row>
    <row r="6409">
      <c r="A6409" t="n">
        <v>6408</v>
      </c>
      <c r="B6409" t="inlineStr">
        <is>
          <t>V̅MCDVIII</t>
        </is>
      </c>
      <c r="C6409">
        <f>ROMAN(6408)</f>
        <v/>
      </c>
      <c r="D6409">
        <f>IF(B6409=C6409, "YES", "WRONG")</f>
        <v/>
      </c>
    </row>
    <row r="6410">
      <c r="A6410" t="n">
        <v>6409</v>
      </c>
      <c r="B6410" t="inlineStr">
        <is>
          <t>V̅MCDIX</t>
        </is>
      </c>
      <c r="C6410">
        <f>ROMAN(6409)</f>
        <v/>
      </c>
      <c r="D6410">
        <f>IF(B6410=C6410, "YES", "WRONG")</f>
        <v/>
      </c>
    </row>
    <row r="6411">
      <c r="A6411" t="n">
        <v>6410</v>
      </c>
      <c r="B6411" t="inlineStr">
        <is>
          <t>V̅MCDX</t>
        </is>
      </c>
      <c r="C6411">
        <f>ROMAN(6410)</f>
        <v/>
      </c>
      <c r="D6411">
        <f>IF(B6411=C6411, "YES", "WRONG")</f>
        <v/>
      </c>
    </row>
    <row r="6412">
      <c r="A6412" t="n">
        <v>6411</v>
      </c>
      <c r="B6412" t="inlineStr">
        <is>
          <t>V̅MCDXI</t>
        </is>
      </c>
      <c r="C6412">
        <f>ROMAN(6411)</f>
        <v/>
      </c>
      <c r="D6412">
        <f>IF(B6412=C6412, "YES", "WRONG")</f>
        <v/>
      </c>
    </row>
    <row r="6413">
      <c r="A6413" t="n">
        <v>6412</v>
      </c>
      <c r="B6413" t="inlineStr">
        <is>
          <t>V̅MCDXII</t>
        </is>
      </c>
      <c r="C6413">
        <f>ROMAN(6412)</f>
        <v/>
      </c>
      <c r="D6413">
        <f>IF(B6413=C6413, "YES", "WRONG")</f>
        <v/>
      </c>
    </row>
    <row r="6414">
      <c r="A6414" t="n">
        <v>6413</v>
      </c>
      <c r="B6414" t="inlineStr">
        <is>
          <t>V̅MCDXIII</t>
        </is>
      </c>
      <c r="C6414">
        <f>ROMAN(6413)</f>
        <v/>
      </c>
      <c r="D6414">
        <f>IF(B6414=C6414, "YES", "WRONG")</f>
        <v/>
      </c>
    </row>
    <row r="6415">
      <c r="A6415" t="n">
        <v>6414</v>
      </c>
      <c r="B6415" t="inlineStr">
        <is>
          <t>V̅MCDXIV</t>
        </is>
      </c>
      <c r="C6415">
        <f>ROMAN(6414)</f>
        <v/>
      </c>
      <c r="D6415">
        <f>IF(B6415=C6415, "YES", "WRONG")</f>
        <v/>
      </c>
    </row>
    <row r="6416">
      <c r="A6416" t="n">
        <v>6415</v>
      </c>
      <c r="B6416" t="inlineStr">
        <is>
          <t>V̅MCDXV</t>
        </is>
      </c>
      <c r="C6416">
        <f>ROMAN(6415)</f>
        <v/>
      </c>
      <c r="D6416">
        <f>IF(B6416=C6416, "YES", "WRONG")</f>
        <v/>
      </c>
    </row>
    <row r="6417">
      <c r="A6417" t="n">
        <v>6416</v>
      </c>
      <c r="B6417" t="inlineStr">
        <is>
          <t>V̅MCDXVI</t>
        </is>
      </c>
      <c r="C6417">
        <f>ROMAN(6416)</f>
        <v/>
      </c>
      <c r="D6417">
        <f>IF(B6417=C6417, "YES", "WRONG")</f>
        <v/>
      </c>
    </row>
    <row r="6418">
      <c r="A6418" t="n">
        <v>6417</v>
      </c>
      <c r="B6418" t="inlineStr">
        <is>
          <t>V̅MCDXVII</t>
        </is>
      </c>
      <c r="C6418">
        <f>ROMAN(6417)</f>
        <v/>
      </c>
      <c r="D6418">
        <f>IF(B6418=C6418, "YES", "WRONG")</f>
        <v/>
      </c>
    </row>
    <row r="6419">
      <c r="A6419" t="n">
        <v>6418</v>
      </c>
      <c r="B6419" t="inlineStr">
        <is>
          <t>V̅MCDXVIII</t>
        </is>
      </c>
      <c r="C6419">
        <f>ROMAN(6418)</f>
        <v/>
      </c>
      <c r="D6419">
        <f>IF(B6419=C6419, "YES", "WRONG")</f>
        <v/>
      </c>
    </row>
    <row r="6420">
      <c r="A6420" t="n">
        <v>6419</v>
      </c>
      <c r="B6420" t="inlineStr">
        <is>
          <t>V̅MCDXIX</t>
        </is>
      </c>
      <c r="C6420">
        <f>ROMAN(6419)</f>
        <v/>
      </c>
      <c r="D6420">
        <f>IF(B6420=C6420, "YES", "WRONG")</f>
        <v/>
      </c>
    </row>
    <row r="6421">
      <c r="A6421" t="n">
        <v>6420</v>
      </c>
      <c r="B6421" t="inlineStr">
        <is>
          <t>V̅MCDXX</t>
        </is>
      </c>
      <c r="C6421">
        <f>ROMAN(6420)</f>
        <v/>
      </c>
      <c r="D6421">
        <f>IF(B6421=C6421, "YES", "WRONG")</f>
        <v/>
      </c>
    </row>
    <row r="6422">
      <c r="A6422" t="n">
        <v>6421</v>
      </c>
      <c r="B6422" t="inlineStr">
        <is>
          <t>V̅MCDXXI</t>
        </is>
      </c>
      <c r="C6422">
        <f>ROMAN(6421)</f>
        <v/>
      </c>
      <c r="D6422">
        <f>IF(B6422=C6422, "YES", "WRONG")</f>
        <v/>
      </c>
    </row>
    <row r="6423">
      <c r="A6423" t="n">
        <v>6422</v>
      </c>
      <c r="B6423" t="inlineStr">
        <is>
          <t>V̅MCDXXII</t>
        </is>
      </c>
      <c r="C6423">
        <f>ROMAN(6422)</f>
        <v/>
      </c>
      <c r="D6423">
        <f>IF(B6423=C6423, "YES", "WRONG")</f>
        <v/>
      </c>
    </row>
    <row r="6424">
      <c r="A6424" t="n">
        <v>6423</v>
      </c>
      <c r="B6424" t="inlineStr">
        <is>
          <t>V̅MCDXXIII</t>
        </is>
      </c>
      <c r="C6424">
        <f>ROMAN(6423)</f>
        <v/>
      </c>
      <c r="D6424">
        <f>IF(B6424=C6424, "YES", "WRONG")</f>
        <v/>
      </c>
    </row>
    <row r="6425">
      <c r="A6425" t="n">
        <v>6424</v>
      </c>
      <c r="B6425" t="inlineStr">
        <is>
          <t>V̅MCDXXIV</t>
        </is>
      </c>
      <c r="C6425">
        <f>ROMAN(6424)</f>
        <v/>
      </c>
      <c r="D6425">
        <f>IF(B6425=C6425, "YES", "WRONG")</f>
        <v/>
      </c>
    </row>
    <row r="6426">
      <c r="A6426" t="n">
        <v>6425</v>
      </c>
      <c r="B6426" t="inlineStr">
        <is>
          <t>V̅MCDXXV</t>
        </is>
      </c>
      <c r="C6426">
        <f>ROMAN(6425)</f>
        <v/>
      </c>
      <c r="D6426">
        <f>IF(B6426=C6426, "YES", "WRONG")</f>
        <v/>
      </c>
    </row>
    <row r="6427">
      <c r="A6427" t="n">
        <v>6426</v>
      </c>
      <c r="B6427" t="inlineStr">
        <is>
          <t>V̅MCDXXVI</t>
        </is>
      </c>
      <c r="C6427">
        <f>ROMAN(6426)</f>
        <v/>
      </c>
      <c r="D6427">
        <f>IF(B6427=C6427, "YES", "WRONG")</f>
        <v/>
      </c>
    </row>
    <row r="6428">
      <c r="A6428" t="n">
        <v>6427</v>
      </c>
      <c r="B6428" t="inlineStr">
        <is>
          <t>V̅MCDXXVII</t>
        </is>
      </c>
      <c r="C6428">
        <f>ROMAN(6427)</f>
        <v/>
      </c>
      <c r="D6428">
        <f>IF(B6428=C6428, "YES", "WRONG")</f>
        <v/>
      </c>
    </row>
    <row r="6429">
      <c r="A6429" t="n">
        <v>6428</v>
      </c>
      <c r="B6429" t="inlineStr">
        <is>
          <t>V̅MCDXXVIII</t>
        </is>
      </c>
      <c r="C6429">
        <f>ROMAN(6428)</f>
        <v/>
      </c>
      <c r="D6429">
        <f>IF(B6429=C6429, "YES", "WRONG")</f>
        <v/>
      </c>
    </row>
    <row r="6430">
      <c r="A6430" t="n">
        <v>6429</v>
      </c>
      <c r="B6430" t="inlineStr">
        <is>
          <t>V̅MCDXXIX</t>
        </is>
      </c>
      <c r="C6430">
        <f>ROMAN(6429)</f>
        <v/>
      </c>
      <c r="D6430">
        <f>IF(B6430=C6430, "YES", "WRONG")</f>
        <v/>
      </c>
    </row>
    <row r="6431">
      <c r="A6431" t="n">
        <v>6430</v>
      </c>
      <c r="B6431" t="inlineStr">
        <is>
          <t>V̅MCDXXX</t>
        </is>
      </c>
      <c r="C6431">
        <f>ROMAN(6430)</f>
        <v/>
      </c>
      <c r="D6431">
        <f>IF(B6431=C6431, "YES", "WRONG")</f>
        <v/>
      </c>
    </row>
    <row r="6432">
      <c r="A6432" t="n">
        <v>6431</v>
      </c>
      <c r="B6432" t="inlineStr">
        <is>
          <t>V̅MCDXXXI</t>
        </is>
      </c>
      <c r="C6432">
        <f>ROMAN(6431)</f>
        <v/>
      </c>
      <c r="D6432">
        <f>IF(B6432=C6432, "YES", "WRONG")</f>
        <v/>
      </c>
    </row>
    <row r="6433">
      <c r="A6433" t="n">
        <v>6432</v>
      </c>
      <c r="B6433" t="inlineStr">
        <is>
          <t>V̅MCDXXXII</t>
        </is>
      </c>
      <c r="C6433">
        <f>ROMAN(6432)</f>
        <v/>
      </c>
      <c r="D6433">
        <f>IF(B6433=C6433, "YES", "WRONG")</f>
        <v/>
      </c>
    </row>
    <row r="6434">
      <c r="A6434" t="n">
        <v>6433</v>
      </c>
      <c r="B6434" t="inlineStr">
        <is>
          <t>V̅MCDXXXIII</t>
        </is>
      </c>
      <c r="C6434">
        <f>ROMAN(6433)</f>
        <v/>
      </c>
      <c r="D6434">
        <f>IF(B6434=C6434, "YES", "WRONG")</f>
        <v/>
      </c>
    </row>
    <row r="6435">
      <c r="A6435" t="n">
        <v>6434</v>
      </c>
      <c r="B6435" t="inlineStr">
        <is>
          <t>V̅MCDXXXIV</t>
        </is>
      </c>
      <c r="C6435">
        <f>ROMAN(6434)</f>
        <v/>
      </c>
      <c r="D6435">
        <f>IF(B6435=C6435, "YES", "WRONG")</f>
        <v/>
      </c>
    </row>
    <row r="6436">
      <c r="A6436" t="n">
        <v>6435</v>
      </c>
      <c r="B6436" t="inlineStr">
        <is>
          <t>V̅MCDXXXV</t>
        </is>
      </c>
      <c r="C6436">
        <f>ROMAN(6435)</f>
        <v/>
      </c>
      <c r="D6436">
        <f>IF(B6436=C6436, "YES", "WRONG")</f>
        <v/>
      </c>
    </row>
    <row r="6437">
      <c r="A6437" t="n">
        <v>6436</v>
      </c>
      <c r="B6437" t="inlineStr">
        <is>
          <t>V̅MCDXXXVI</t>
        </is>
      </c>
      <c r="C6437">
        <f>ROMAN(6436)</f>
        <v/>
      </c>
      <c r="D6437">
        <f>IF(B6437=C6437, "YES", "WRONG")</f>
        <v/>
      </c>
    </row>
    <row r="6438">
      <c r="A6438" t="n">
        <v>6437</v>
      </c>
      <c r="B6438" t="inlineStr">
        <is>
          <t>V̅MCDXXXVII</t>
        </is>
      </c>
      <c r="C6438">
        <f>ROMAN(6437)</f>
        <v/>
      </c>
      <c r="D6438">
        <f>IF(B6438=C6438, "YES", "WRONG")</f>
        <v/>
      </c>
    </row>
    <row r="6439">
      <c r="A6439" t="n">
        <v>6438</v>
      </c>
      <c r="B6439" t="inlineStr">
        <is>
          <t>V̅MCDXXXVIII</t>
        </is>
      </c>
      <c r="C6439">
        <f>ROMAN(6438)</f>
        <v/>
      </c>
      <c r="D6439">
        <f>IF(B6439=C6439, "YES", "WRONG")</f>
        <v/>
      </c>
    </row>
    <row r="6440">
      <c r="A6440" t="n">
        <v>6439</v>
      </c>
      <c r="B6440" t="inlineStr">
        <is>
          <t>V̅MCDXXXIX</t>
        </is>
      </c>
      <c r="C6440">
        <f>ROMAN(6439)</f>
        <v/>
      </c>
      <c r="D6440">
        <f>IF(B6440=C6440, "YES", "WRONG")</f>
        <v/>
      </c>
    </row>
    <row r="6441">
      <c r="A6441" t="n">
        <v>6440</v>
      </c>
      <c r="B6441" t="inlineStr">
        <is>
          <t>V̅MCDXL</t>
        </is>
      </c>
      <c r="C6441">
        <f>ROMAN(6440)</f>
        <v/>
      </c>
      <c r="D6441">
        <f>IF(B6441=C6441, "YES", "WRONG")</f>
        <v/>
      </c>
    </row>
    <row r="6442">
      <c r="A6442" t="n">
        <v>6441</v>
      </c>
      <c r="B6442" t="inlineStr">
        <is>
          <t>V̅MCDXLI</t>
        </is>
      </c>
      <c r="C6442">
        <f>ROMAN(6441)</f>
        <v/>
      </c>
      <c r="D6442">
        <f>IF(B6442=C6442, "YES", "WRONG")</f>
        <v/>
      </c>
    </row>
    <row r="6443">
      <c r="A6443" t="n">
        <v>6442</v>
      </c>
      <c r="B6443" t="inlineStr">
        <is>
          <t>V̅MCDXLII</t>
        </is>
      </c>
      <c r="C6443">
        <f>ROMAN(6442)</f>
        <v/>
      </c>
      <c r="D6443">
        <f>IF(B6443=C6443, "YES", "WRONG")</f>
        <v/>
      </c>
    </row>
    <row r="6444">
      <c r="A6444" t="n">
        <v>6443</v>
      </c>
      <c r="B6444" t="inlineStr">
        <is>
          <t>V̅MCDXLIII</t>
        </is>
      </c>
      <c r="C6444">
        <f>ROMAN(6443)</f>
        <v/>
      </c>
      <c r="D6444">
        <f>IF(B6444=C6444, "YES", "WRONG")</f>
        <v/>
      </c>
    </row>
    <row r="6445">
      <c r="A6445" t="n">
        <v>6444</v>
      </c>
      <c r="B6445" t="inlineStr">
        <is>
          <t>V̅MCDXLIV</t>
        </is>
      </c>
      <c r="C6445">
        <f>ROMAN(6444)</f>
        <v/>
      </c>
      <c r="D6445">
        <f>IF(B6445=C6445, "YES", "WRONG")</f>
        <v/>
      </c>
    </row>
    <row r="6446">
      <c r="A6446" t="n">
        <v>6445</v>
      </c>
      <c r="B6446" t="inlineStr">
        <is>
          <t>V̅MCDXLV</t>
        </is>
      </c>
      <c r="C6446">
        <f>ROMAN(6445)</f>
        <v/>
      </c>
      <c r="D6446">
        <f>IF(B6446=C6446, "YES", "WRONG")</f>
        <v/>
      </c>
    </row>
    <row r="6447">
      <c r="A6447" t="n">
        <v>6446</v>
      </c>
      <c r="B6447" t="inlineStr">
        <is>
          <t>V̅MCDXLVI</t>
        </is>
      </c>
      <c r="C6447">
        <f>ROMAN(6446)</f>
        <v/>
      </c>
      <c r="D6447">
        <f>IF(B6447=C6447, "YES", "WRONG")</f>
        <v/>
      </c>
    </row>
    <row r="6448">
      <c r="A6448" t="n">
        <v>6447</v>
      </c>
      <c r="B6448" t="inlineStr">
        <is>
          <t>V̅MCDXLVII</t>
        </is>
      </c>
      <c r="C6448">
        <f>ROMAN(6447)</f>
        <v/>
      </c>
      <c r="D6448">
        <f>IF(B6448=C6448, "YES", "WRONG")</f>
        <v/>
      </c>
    </row>
    <row r="6449">
      <c r="A6449" t="n">
        <v>6448</v>
      </c>
      <c r="B6449" t="inlineStr">
        <is>
          <t>V̅MCDXLVIII</t>
        </is>
      </c>
      <c r="C6449">
        <f>ROMAN(6448)</f>
        <v/>
      </c>
      <c r="D6449">
        <f>IF(B6449=C6449, "YES", "WRONG")</f>
        <v/>
      </c>
    </row>
    <row r="6450">
      <c r="A6450" t="n">
        <v>6449</v>
      </c>
      <c r="B6450" t="inlineStr">
        <is>
          <t>V̅MCDXLIX</t>
        </is>
      </c>
      <c r="C6450">
        <f>ROMAN(6449)</f>
        <v/>
      </c>
      <c r="D6450">
        <f>IF(B6450=C6450, "YES", "WRONG")</f>
        <v/>
      </c>
    </row>
    <row r="6451">
      <c r="A6451" t="n">
        <v>6450</v>
      </c>
      <c r="B6451" t="inlineStr">
        <is>
          <t>V̅MCDL</t>
        </is>
      </c>
      <c r="C6451">
        <f>ROMAN(6450)</f>
        <v/>
      </c>
      <c r="D6451">
        <f>IF(B6451=C6451, "YES", "WRONG")</f>
        <v/>
      </c>
    </row>
    <row r="6452">
      <c r="A6452" t="n">
        <v>6451</v>
      </c>
      <c r="B6452" t="inlineStr">
        <is>
          <t>V̅MCDLI</t>
        </is>
      </c>
      <c r="C6452">
        <f>ROMAN(6451)</f>
        <v/>
      </c>
      <c r="D6452">
        <f>IF(B6452=C6452, "YES", "WRONG")</f>
        <v/>
      </c>
    </row>
    <row r="6453">
      <c r="A6453" t="n">
        <v>6452</v>
      </c>
      <c r="B6453" t="inlineStr">
        <is>
          <t>V̅MCDLII</t>
        </is>
      </c>
      <c r="C6453">
        <f>ROMAN(6452)</f>
        <v/>
      </c>
      <c r="D6453">
        <f>IF(B6453=C6453, "YES", "WRONG")</f>
        <v/>
      </c>
    </row>
    <row r="6454">
      <c r="A6454" t="n">
        <v>6453</v>
      </c>
      <c r="B6454" t="inlineStr">
        <is>
          <t>V̅MCDLIII</t>
        </is>
      </c>
      <c r="C6454">
        <f>ROMAN(6453)</f>
        <v/>
      </c>
      <c r="D6454">
        <f>IF(B6454=C6454, "YES", "WRONG")</f>
        <v/>
      </c>
    </row>
    <row r="6455">
      <c r="A6455" t="n">
        <v>6454</v>
      </c>
      <c r="B6455" t="inlineStr">
        <is>
          <t>V̅MCDLIV</t>
        </is>
      </c>
      <c r="C6455">
        <f>ROMAN(6454)</f>
        <v/>
      </c>
      <c r="D6455">
        <f>IF(B6455=C6455, "YES", "WRONG")</f>
        <v/>
      </c>
    </row>
    <row r="6456">
      <c r="A6456" t="n">
        <v>6455</v>
      </c>
      <c r="B6456" t="inlineStr">
        <is>
          <t>V̅MCDLV</t>
        </is>
      </c>
      <c r="C6456">
        <f>ROMAN(6455)</f>
        <v/>
      </c>
      <c r="D6456">
        <f>IF(B6456=C6456, "YES", "WRONG")</f>
        <v/>
      </c>
    </row>
    <row r="6457">
      <c r="A6457" t="n">
        <v>6456</v>
      </c>
      <c r="B6457" t="inlineStr">
        <is>
          <t>V̅MCDLVI</t>
        </is>
      </c>
      <c r="C6457">
        <f>ROMAN(6456)</f>
        <v/>
      </c>
      <c r="D6457">
        <f>IF(B6457=C6457, "YES", "WRONG")</f>
        <v/>
      </c>
    </row>
    <row r="6458">
      <c r="A6458" t="n">
        <v>6457</v>
      </c>
      <c r="B6458" t="inlineStr">
        <is>
          <t>V̅MCDLVII</t>
        </is>
      </c>
      <c r="C6458">
        <f>ROMAN(6457)</f>
        <v/>
      </c>
      <c r="D6458">
        <f>IF(B6458=C6458, "YES", "WRONG")</f>
        <v/>
      </c>
    </row>
    <row r="6459">
      <c r="A6459" t="n">
        <v>6458</v>
      </c>
      <c r="B6459" t="inlineStr">
        <is>
          <t>V̅MCDLVIII</t>
        </is>
      </c>
      <c r="C6459">
        <f>ROMAN(6458)</f>
        <v/>
      </c>
      <c r="D6459">
        <f>IF(B6459=C6459, "YES", "WRONG")</f>
        <v/>
      </c>
    </row>
    <row r="6460">
      <c r="A6460" t="n">
        <v>6459</v>
      </c>
      <c r="B6460" t="inlineStr">
        <is>
          <t>V̅MCDLIX</t>
        </is>
      </c>
      <c r="C6460">
        <f>ROMAN(6459)</f>
        <v/>
      </c>
      <c r="D6460">
        <f>IF(B6460=C6460, "YES", "WRONG")</f>
        <v/>
      </c>
    </row>
    <row r="6461">
      <c r="A6461" t="n">
        <v>6460</v>
      </c>
      <c r="B6461" t="inlineStr">
        <is>
          <t>V̅MCDLX</t>
        </is>
      </c>
      <c r="C6461">
        <f>ROMAN(6460)</f>
        <v/>
      </c>
      <c r="D6461">
        <f>IF(B6461=C6461, "YES", "WRONG")</f>
        <v/>
      </c>
    </row>
    <row r="6462">
      <c r="A6462" t="n">
        <v>6461</v>
      </c>
      <c r="B6462" t="inlineStr">
        <is>
          <t>V̅MCDLXI</t>
        </is>
      </c>
      <c r="C6462">
        <f>ROMAN(6461)</f>
        <v/>
      </c>
      <c r="D6462">
        <f>IF(B6462=C6462, "YES", "WRONG")</f>
        <v/>
      </c>
    </row>
    <row r="6463">
      <c r="A6463" t="n">
        <v>6462</v>
      </c>
      <c r="B6463" t="inlineStr">
        <is>
          <t>V̅MCDLXII</t>
        </is>
      </c>
      <c r="C6463">
        <f>ROMAN(6462)</f>
        <v/>
      </c>
      <c r="D6463">
        <f>IF(B6463=C6463, "YES", "WRONG")</f>
        <v/>
      </c>
    </row>
    <row r="6464">
      <c r="A6464" t="n">
        <v>6463</v>
      </c>
      <c r="B6464" t="inlineStr">
        <is>
          <t>V̅MCDLXIII</t>
        </is>
      </c>
      <c r="C6464">
        <f>ROMAN(6463)</f>
        <v/>
      </c>
      <c r="D6464">
        <f>IF(B6464=C6464, "YES", "WRONG")</f>
        <v/>
      </c>
    </row>
    <row r="6465">
      <c r="A6465" t="n">
        <v>6464</v>
      </c>
      <c r="B6465" t="inlineStr">
        <is>
          <t>V̅MCDLXIV</t>
        </is>
      </c>
      <c r="C6465">
        <f>ROMAN(6464)</f>
        <v/>
      </c>
      <c r="D6465">
        <f>IF(B6465=C6465, "YES", "WRONG")</f>
        <v/>
      </c>
    </row>
    <row r="6466">
      <c r="A6466" t="n">
        <v>6465</v>
      </c>
      <c r="B6466" t="inlineStr">
        <is>
          <t>V̅MCDLXV</t>
        </is>
      </c>
      <c r="C6466">
        <f>ROMAN(6465)</f>
        <v/>
      </c>
      <c r="D6466">
        <f>IF(B6466=C6466, "YES", "WRONG")</f>
        <v/>
      </c>
    </row>
    <row r="6467">
      <c r="A6467" t="n">
        <v>6466</v>
      </c>
      <c r="B6467" t="inlineStr">
        <is>
          <t>V̅MCDLXVI</t>
        </is>
      </c>
      <c r="C6467">
        <f>ROMAN(6466)</f>
        <v/>
      </c>
      <c r="D6467">
        <f>IF(B6467=C6467, "YES", "WRONG")</f>
        <v/>
      </c>
    </row>
    <row r="6468">
      <c r="A6468" t="n">
        <v>6467</v>
      </c>
      <c r="B6468" t="inlineStr">
        <is>
          <t>V̅MCDLXVII</t>
        </is>
      </c>
      <c r="C6468">
        <f>ROMAN(6467)</f>
        <v/>
      </c>
      <c r="D6468">
        <f>IF(B6468=C6468, "YES", "WRONG")</f>
        <v/>
      </c>
    </row>
    <row r="6469">
      <c r="A6469" t="n">
        <v>6468</v>
      </c>
      <c r="B6469" t="inlineStr">
        <is>
          <t>V̅MCDLXVIII</t>
        </is>
      </c>
      <c r="C6469">
        <f>ROMAN(6468)</f>
        <v/>
      </c>
      <c r="D6469">
        <f>IF(B6469=C6469, "YES", "WRONG")</f>
        <v/>
      </c>
    </row>
    <row r="6470">
      <c r="A6470" t="n">
        <v>6469</v>
      </c>
      <c r="B6470" t="inlineStr">
        <is>
          <t>V̅MCDLXIX</t>
        </is>
      </c>
      <c r="C6470">
        <f>ROMAN(6469)</f>
        <v/>
      </c>
      <c r="D6470">
        <f>IF(B6470=C6470, "YES", "WRONG")</f>
        <v/>
      </c>
    </row>
    <row r="6471">
      <c r="A6471" t="n">
        <v>6470</v>
      </c>
      <c r="B6471" t="inlineStr">
        <is>
          <t>V̅MCDLXX</t>
        </is>
      </c>
      <c r="C6471">
        <f>ROMAN(6470)</f>
        <v/>
      </c>
      <c r="D6471">
        <f>IF(B6471=C6471, "YES", "WRONG")</f>
        <v/>
      </c>
    </row>
    <row r="6472">
      <c r="A6472" t="n">
        <v>6471</v>
      </c>
      <c r="B6472" t="inlineStr">
        <is>
          <t>V̅MCDLXXI</t>
        </is>
      </c>
      <c r="C6472">
        <f>ROMAN(6471)</f>
        <v/>
      </c>
      <c r="D6472">
        <f>IF(B6472=C6472, "YES", "WRONG")</f>
        <v/>
      </c>
    </row>
    <row r="6473">
      <c r="A6473" t="n">
        <v>6472</v>
      </c>
      <c r="B6473" t="inlineStr">
        <is>
          <t>V̅MCDLXXII</t>
        </is>
      </c>
      <c r="C6473">
        <f>ROMAN(6472)</f>
        <v/>
      </c>
      <c r="D6473">
        <f>IF(B6473=C6473, "YES", "WRONG")</f>
        <v/>
      </c>
    </row>
    <row r="6474">
      <c r="A6474" t="n">
        <v>6473</v>
      </c>
      <c r="B6474" t="inlineStr">
        <is>
          <t>V̅MCDLXXIII</t>
        </is>
      </c>
      <c r="C6474">
        <f>ROMAN(6473)</f>
        <v/>
      </c>
      <c r="D6474">
        <f>IF(B6474=C6474, "YES", "WRONG")</f>
        <v/>
      </c>
    </row>
    <row r="6475">
      <c r="A6475" t="n">
        <v>6474</v>
      </c>
      <c r="B6475" t="inlineStr">
        <is>
          <t>V̅MCDLXXIV</t>
        </is>
      </c>
      <c r="C6475">
        <f>ROMAN(6474)</f>
        <v/>
      </c>
      <c r="D6475">
        <f>IF(B6475=C6475, "YES", "WRONG")</f>
        <v/>
      </c>
    </row>
    <row r="6476">
      <c r="A6476" t="n">
        <v>6475</v>
      </c>
      <c r="B6476" t="inlineStr">
        <is>
          <t>V̅MCDLXXV</t>
        </is>
      </c>
      <c r="C6476">
        <f>ROMAN(6475)</f>
        <v/>
      </c>
      <c r="D6476">
        <f>IF(B6476=C6476, "YES", "WRONG")</f>
        <v/>
      </c>
    </row>
    <row r="6477">
      <c r="A6477" t="n">
        <v>6476</v>
      </c>
      <c r="B6477" t="inlineStr">
        <is>
          <t>V̅MCDLXXVI</t>
        </is>
      </c>
      <c r="C6477">
        <f>ROMAN(6476)</f>
        <v/>
      </c>
      <c r="D6477">
        <f>IF(B6477=C6477, "YES", "WRONG")</f>
        <v/>
      </c>
    </row>
    <row r="6478">
      <c r="A6478" t="n">
        <v>6477</v>
      </c>
      <c r="B6478" t="inlineStr">
        <is>
          <t>V̅MCDLXXVII</t>
        </is>
      </c>
      <c r="C6478">
        <f>ROMAN(6477)</f>
        <v/>
      </c>
      <c r="D6478">
        <f>IF(B6478=C6478, "YES", "WRONG")</f>
        <v/>
      </c>
    </row>
    <row r="6479">
      <c r="A6479" t="n">
        <v>6478</v>
      </c>
      <c r="B6479" t="inlineStr">
        <is>
          <t>V̅MCDLXXVIII</t>
        </is>
      </c>
      <c r="C6479">
        <f>ROMAN(6478)</f>
        <v/>
      </c>
      <c r="D6479">
        <f>IF(B6479=C6479, "YES", "WRONG")</f>
        <v/>
      </c>
    </row>
    <row r="6480">
      <c r="A6480" t="n">
        <v>6479</v>
      </c>
      <c r="B6480" t="inlineStr">
        <is>
          <t>V̅MCDLXXIX</t>
        </is>
      </c>
      <c r="C6480">
        <f>ROMAN(6479)</f>
        <v/>
      </c>
      <c r="D6480">
        <f>IF(B6480=C6480, "YES", "WRONG")</f>
        <v/>
      </c>
    </row>
    <row r="6481">
      <c r="A6481" t="n">
        <v>6480</v>
      </c>
      <c r="B6481" t="inlineStr">
        <is>
          <t>V̅MCDLXXX</t>
        </is>
      </c>
      <c r="C6481">
        <f>ROMAN(6480)</f>
        <v/>
      </c>
      <c r="D6481">
        <f>IF(B6481=C6481, "YES", "WRONG")</f>
        <v/>
      </c>
    </row>
    <row r="6482">
      <c r="A6482" t="n">
        <v>6481</v>
      </c>
      <c r="B6482" t="inlineStr">
        <is>
          <t>V̅MCDLXXXI</t>
        </is>
      </c>
      <c r="C6482">
        <f>ROMAN(6481)</f>
        <v/>
      </c>
      <c r="D6482">
        <f>IF(B6482=C6482, "YES", "WRONG")</f>
        <v/>
      </c>
    </row>
    <row r="6483">
      <c r="A6483" t="n">
        <v>6482</v>
      </c>
      <c r="B6483" t="inlineStr">
        <is>
          <t>V̅MCDLXXXII</t>
        </is>
      </c>
      <c r="C6483">
        <f>ROMAN(6482)</f>
        <v/>
      </c>
      <c r="D6483">
        <f>IF(B6483=C6483, "YES", "WRONG")</f>
        <v/>
      </c>
    </row>
    <row r="6484">
      <c r="A6484" t="n">
        <v>6483</v>
      </c>
      <c r="B6484" t="inlineStr">
        <is>
          <t>V̅MCDLXXXIII</t>
        </is>
      </c>
      <c r="C6484">
        <f>ROMAN(6483)</f>
        <v/>
      </c>
      <c r="D6484">
        <f>IF(B6484=C6484, "YES", "WRONG")</f>
        <v/>
      </c>
    </row>
    <row r="6485">
      <c r="A6485" t="n">
        <v>6484</v>
      </c>
      <c r="B6485" t="inlineStr">
        <is>
          <t>V̅MCDLXXXIV</t>
        </is>
      </c>
      <c r="C6485">
        <f>ROMAN(6484)</f>
        <v/>
      </c>
      <c r="D6485">
        <f>IF(B6485=C6485, "YES", "WRONG")</f>
        <v/>
      </c>
    </row>
    <row r="6486">
      <c r="A6486" t="n">
        <v>6485</v>
      </c>
      <c r="B6486" t="inlineStr">
        <is>
          <t>V̅MCDLXXXV</t>
        </is>
      </c>
      <c r="C6486">
        <f>ROMAN(6485)</f>
        <v/>
      </c>
      <c r="D6486">
        <f>IF(B6486=C6486, "YES", "WRONG")</f>
        <v/>
      </c>
    </row>
    <row r="6487">
      <c r="A6487" t="n">
        <v>6486</v>
      </c>
      <c r="B6487" t="inlineStr">
        <is>
          <t>V̅MCDLXXXVI</t>
        </is>
      </c>
      <c r="C6487">
        <f>ROMAN(6486)</f>
        <v/>
      </c>
      <c r="D6487">
        <f>IF(B6487=C6487, "YES", "WRONG")</f>
        <v/>
      </c>
    </row>
    <row r="6488">
      <c r="A6488" t="n">
        <v>6487</v>
      </c>
      <c r="B6488" t="inlineStr">
        <is>
          <t>V̅MCDLXXXVII</t>
        </is>
      </c>
      <c r="C6488">
        <f>ROMAN(6487)</f>
        <v/>
      </c>
      <c r="D6488">
        <f>IF(B6488=C6488, "YES", "WRONG")</f>
        <v/>
      </c>
    </row>
    <row r="6489">
      <c r="A6489" t="n">
        <v>6488</v>
      </c>
      <c r="B6489" t="inlineStr">
        <is>
          <t>V̅MCDLXXXVIII</t>
        </is>
      </c>
      <c r="C6489">
        <f>ROMAN(6488)</f>
        <v/>
      </c>
      <c r="D6489">
        <f>IF(B6489=C6489, "YES", "WRONG")</f>
        <v/>
      </c>
    </row>
    <row r="6490">
      <c r="A6490" t="n">
        <v>6489</v>
      </c>
      <c r="B6490" t="inlineStr">
        <is>
          <t>V̅MCDLXXXIX</t>
        </is>
      </c>
      <c r="C6490">
        <f>ROMAN(6489)</f>
        <v/>
      </c>
      <c r="D6490">
        <f>IF(B6490=C6490, "YES", "WRONG")</f>
        <v/>
      </c>
    </row>
    <row r="6491">
      <c r="A6491" t="n">
        <v>6490</v>
      </c>
      <c r="B6491" t="inlineStr">
        <is>
          <t>V̅MCDXC</t>
        </is>
      </c>
      <c r="C6491">
        <f>ROMAN(6490)</f>
        <v/>
      </c>
      <c r="D6491">
        <f>IF(B6491=C6491, "YES", "WRONG")</f>
        <v/>
      </c>
    </row>
    <row r="6492">
      <c r="A6492" t="n">
        <v>6491</v>
      </c>
      <c r="B6492" t="inlineStr">
        <is>
          <t>V̅MCDXCI</t>
        </is>
      </c>
      <c r="C6492">
        <f>ROMAN(6491)</f>
        <v/>
      </c>
      <c r="D6492">
        <f>IF(B6492=C6492, "YES", "WRONG")</f>
        <v/>
      </c>
    </row>
    <row r="6493">
      <c r="A6493" t="n">
        <v>6492</v>
      </c>
      <c r="B6493" t="inlineStr">
        <is>
          <t>V̅MCDXCII</t>
        </is>
      </c>
      <c r="C6493">
        <f>ROMAN(6492)</f>
        <v/>
      </c>
      <c r="D6493">
        <f>IF(B6493=C6493, "YES", "WRONG")</f>
        <v/>
      </c>
    </row>
    <row r="6494">
      <c r="A6494" t="n">
        <v>6493</v>
      </c>
      <c r="B6494" t="inlineStr">
        <is>
          <t>V̅MCDXCIII</t>
        </is>
      </c>
      <c r="C6494">
        <f>ROMAN(6493)</f>
        <v/>
      </c>
      <c r="D6494">
        <f>IF(B6494=C6494, "YES", "WRONG")</f>
        <v/>
      </c>
    </row>
    <row r="6495">
      <c r="A6495" t="n">
        <v>6494</v>
      </c>
      <c r="B6495" t="inlineStr">
        <is>
          <t>V̅MCDXCIV</t>
        </is>
      </c>
      <c r="C6495">
        <f>ROMAN(6494)</f>
        <v/>
      </c>
      <c r="D6495">
        <f>IF(B6495=C6495, "YES", "WRONG")</f>
        <v/>
      </c>
    </row>
    <row r="6496">
      <c r="A6496" t="n">
        <v>6495</v>
      </c>
      <c r="B6496" t="inlineStr">
        <is>
          <t>V̅MCDXCV</t>
        </is>
      </c>
      <c r="C6496">
        <f>ROMAN(6495)</f>
        <v/>
      </c>
      <c r="D6496">
        <f>IF(B6496=C6496, "YES", "WRONG")</f>
        <v/>
      </c>
    </row>
    <row r="6497">
      <c r="A6497" t="n">
        <v>6496</v>
      </c>
      <c r="B6497" t="inlineStr">
        <is>
          <t>V̅MCDXCVI</t>
        </is>
      </c>
      <c r="C6497">
        <f>ROMAN(6496)</f>
        <v/>
      </c>
      <c r="D6497">
        <f>IF(B6497=C6497, "YES", "WRONG")</f>
        <v/>
      </c>
    </row>
    <row r="6498">
      <c r="A6498" t="n">
        <v>6497</v>
      </c>
      <c r="B6498" t="inlineStr">
        <is>
          <t>V̅MCDXCVII</t>
        </is>
      </c>
      <c r="C6498">
        <f>ROMAN(6497)</f>
        <v/>
      </c>
      <c r="D6498">
        <f>IF(B6498=C6498, "YES", "WRONG")</f>
        <v/>
      </c>
    </row>
    <row r="6499">
      <c r="A6499" t="n">
        <v>6498</v>
      </c>
      <c r="B6499" t="inlineStr">
        <is>
          <t>V̅MCDXCVIII</t>
        </is>
      </c>
      <c r="C6499">
        <f>ROMAN(6498)</f>
        <v/>
      </c>
      <c r="D6499">
        <f>IF(B6499=C6499, "YES", "WRONG")</f>
        <v/>
      </c>
    </row>
    <row r="6500">
      <c r="A6500" t="n">
        <v>6499</v>
      </c>
      <c r="B6500" t="inlineStr">
        <is>
          <t>V̅MCDXCIX</t>
        </is>
      </c>
      <c r="C6500">
        <f>ROMAN(6499)</f>
        <v/>
      </c>
      <c r="D6500">
        <f>IF(B6500=C6500, "YES", "WRONG")</f>
        <v/>
      </c>
    </row>
    <row r="6501">
      <c r="A6501" t="n">
        <v>6500</v>
      </c>
      <c r="B6501" t="inlineStr">
        <is>
          <t>V̅MD</t>
        </is>
      </c>
      <c r="C6501">
        <f>ROMAN(6500)</f>
        <v/>
      </c>
      <c r="D6501">
        <f>IF(B6501=C6501, "YES", "WRONG")</f>
        <v/>
      </c>
    </row>
    <row r="6502">
      <c r="A6502" t="n">
        <v>6501</v>
      </c>
      <c r="B6502" t="inlineStr">
        <is>
          <t>V̅MDI</t>
        </is>
      </c>
      <c r="C6502">
        <f>ROMAN(6501)</f>
        <v/>
      </c>
      <c r="D6502">
        <f>IF(B6502=C6502, "YES", "WRONG")</f>
        <v/>
      </c>
    </row>
    <row r="6503">
      <c r="A6503" t="n">
        <v>6502</v>
      </c>
      <c r="B6503" t="inlineStr">
        <is>
          <t>V̅MDII</t>
        </is>
      </c>
      <c r="C6503">
        <f>ROMAN(6502)</f>
        <v/>
      </c>
      <c r="D6503">
        <f>IF(B6503=C6503, "YES", "WRONG")</f>
        <v/>
      </c>
    </row>
    <row r="6504">
      <c r="A6504" t="n">
        <v>6503</v>
      </c>
      <c r="B6504" t="inlineStr">
        <is>
          <t>V̅MDIII</t>
        </is>
      </c>
      <c r="C6504">
        <f>ROMAN(6503)</f>
        <v/>
      </c>
      <c r="D6504">
        <f>IF(B6504=C6504, "YES", "WRONG")</f>
        <v/>
      </c>
    </row>
    <row r="6505">
      <c r="A6505" t="n">
        <v>6504</v>
      </c>
      <c r="B6505" t="inlineStr">
        <is>
          <t>V̅MDIV</t>
        </is>
      </c>
      <c r="C6505">
        <f>ROMAN(6504)</f>
        <v/>
      </c>
      <c r="D6505">
        <f>IF(B6505=C6505, "YES", "WRONG")</f>
        <v/>
      </c>
    </row>
    <row r="6506">
      <c r="A6506" t="n">
        <v>6505</v>
      </c>
      <c r="B6506" t="inlineStr">
        <is>
          <t>V̅MDV</t>
        </is>
      </c>
      <c r="C6506">
        <f>ROMAN(6505)</f>
        <v/>
      </c>
      <c r="D6506">
        <f>IF(B6506=C6506, "YES", "WRONG")</f>
        <v/>
      </c>
    </row>
    <row r="6507">
      <c r="A6507" t="n">
        <v>6506</v>
      </c>
      <c r="B6507" t="inlineStr">
        <is>
          <t>V̅MDVI</t>
        </is>
      </c>
      <c r="C6507">
        <f>ROMAN(6506)</f>
        <v/>
      </c>
      <c r="D6507">
        <f>IF(B6507=C6507, "YES", "WRONG")</f>
        <v/>
      </c>
    </row>
    <row r="6508">
      <c r="A6508" t="n">
        <v>6507</v>
      </c>
      <c r="B6508" t="inlineStr">
        <is>
          <t>V̅MDVII</t>
        </is>
      </c>
      <c r="C6508">
        <f>ROMAN(6507)</f>
        <v/>
      </c>
      <c r="D6508">
        <f>IF(B6508=C6508, "YES", "WRONG")</f>
        <v/>
      </c>
    </row>
    <row r="6509">
      <c r="A6509" t="n">
        <v>6508</v>
      </c>
      <c r="B6509" t="inlineStr">
        <is>
          <t>V̅MDVIII</t>
        </is>
      </c>
      <c r="C6509">
        <f>ROMAN(6508)</f>
        <v/>
      </c>
      <c r="D6509">
        <f>IF(B6509=C6509, "YES", "WRONG")</f>
        <v/>
      </c>
    </row>
    <row r="6510">
      <c r="A6510" t="n">
        <v>6509</v>
      </c>
      <c r="B6510" t="inlineStr">
        <is>
          <t>V̅MDIX</t>
        </is>
      </c>
      <c r="C6510">
        <f>ROMAN(6509)</f>
        <v/>
      </c>
      <c r="D6510">
        <f>IF(B6510=C6510, "YES", "WRONG")</f>
        <v/>
      </c>
    </row>
    <row r="6511">
      <c r="A6511" t="n">
        <v>6510</v>
      </c>
      <c r="B6511" t="inlineStr">
        <is>
          <t>V̅MDX</t>
        </is>
      </c>
      <c r="C6511">
        <f>ROMAN(6510)</f>
        <v/>
      </c>
      <c r="D6511">
        <f>IF(B6511=C6511, "YES", "WRONG")</f>
        <v/>
      </c>
    </row>
    <row r="6512">
      <c r="A6512" t="n">
        <v>6511</v>
      </c>
      <c r="B6512" t="inlineStr">
        <is>
          <t>V̅MDXI</t>
        </is>
      </c>
      <c r="C6512">
        <f>ROMAN(6511)</f>
        <v/>
      </c>
      <c r="D6512">
        <f>IF(B6512=C6512, "YES", "WRONG")</f>
        <v/>
      </c>
    </row>
    <row r="6513">
      <c r="A6513" t="n">
        <v>6512</v>
      </c>
      <c r="B6513" t="inlineStr">
        <is>
          <t>V̅MDXII</t>
        </is>
      </c>
      <c r="C6513">
        <f>ROMAN(6512)</f>
        <v/>
      </c>
      <c r="D6513">
        <f>IF(B6513=C6513, "YES", "WRONG")</f>
        <v/>
      </c>
    </row>
    <row r="6514">
      <c r="A6514" t="n">
        <v>6513</v>
      </c>
      <c r="B6514" t="inlineStr">
        <is>
          <t>V̅MDXIII</t>
        </is>
      </c>
      <c r="C6514">
        <f>ROMAN(6513)</f>
        <v/>
      </c>
      <c r="D6514">
        <f>IF(B6514=C6514, "YES", "WRONG")</f>
        <v/>
      </c>
    </row>
    <row r="6515">
      <c r="A6515" t="n">
        <v>6514</v>
      </c>
      <c r="B6515" t="inlineStr">
        <is>
          <t>V̅MDXIV</t>
        </is>
      </c>
      <c r="C6515">
        <f>ROMAN(6514)</f>
        <v/>
      </c>
      <c r="D6515">
        <f>IF(B6515=C6515, "YES", "WRONG")</f>
        <v/>
      </c>
    </row>
    <row r="6516">
      <c r="A6516" t="n">
        <v>6515</v>
      </c>
      <c r="B6516" t="inlineStr">
        <is>
          <t>V̅MDXV</t>
        </is>
      </c>
      <c r="C6516">
        <f>ROMAN(6515)</f>
        <v/>
      </c>
      <c r="D6516">
        <f>IF(B6516=C6516, "YES", "WRONG")</f>
        <v/>
      </c>
    </row>
    <row r="6517">
      <c r="A6517" t="n">
        <v>6516</v>
      </c>
      <c r="B6517" t="inlineStr">
        <is>
          <t>V̅MDXVI</t>
        </is>
      </c>
      <c r="C6517">
        <f>ROMAN(6516)</f>
        <v/>
      </c>
      <c r="D6517">
        <f>IF(B6517=C6517, "YES", "WRONG")</f>
        <v/>
      </c>
    </row>
    <row r="6518">
      <c r="A6518" t="n">
        <v>6517</v>
      </c>
      <c r="B6518" t="inlineStr">
        <is>
          <t>V̅MDXVII</t>
        </is>
      </c>
      <c r="C6518">
        <f>ROMAN(6517)</f>
        <v/>
      </c>
      <c r="D6518">
        <f>IF(B6518=C6518, "YES", "WRONG")</f>
        <v/>
      </c>
    </row>
    <row r="6519">
      <c r="A6519" t="n">
        <v>6518</v>
      </c>
      <c r="B6519" t="inlineStr">
        <is>
          <t>V̅MDXVIII</t>
        </is>
      </c>
      <c r="C6519">
        <f>ROMAN(6518)</f>
        <v/>
      </c>
      <c r="D6519">
        <f>IF(B6519=C6519, "YES", "WRONG")</f>
        <v/>
      </c>
    </row>
    <row r="6520">
      <c r="A6520" t="n">
        <v>6519</v>
      </c>
      <c r="B6520" t="inlineStr">
        <is>
          <t>V̅MDXIX</t>
        </is>
      </c>
      <c r="C6520">
        <f>ROMAN(6519)</f>
        <v/>
      </c>
      <c r="D6520">
        <f>IF(B6520=C6520, "YES", "WRONG")</f>
        <v/>
      </c>
    </row>
    <row r="6521">
      <c r="A6521" t="n">
        <v>6520</v>
      </c>
      <c r="B6521" t="inlineStr">
        <is>
          <t>V̅MDXX</t>
        </is>
      </c>
      <c r="C6521">
        <f>ROMAN(6520)</f>
        <v/>
      </c>
      <c r="D6521">
        <f>IF(B6521=C6521, "YES", "WRONG")</f>
        <v/>
      </c>
    </row>
    <row r="6522">
      <c r="A6522" t="n">
        <v>6521</v>
      </c>
      <c r="B6522" t="inlineStr">
        <is>
          <t>V̅MDXXI</t>
        </is>
      </c>
      <c r="C6522">
        <f>ROMAN(6521)</f>
        <v/>
      </c>
      <c r="D6522">
        <f>IF(B6522=C6522, "YES", "WRONG")</f>
        <v/>
      </c>
    </row>
    <row r="6523">
      <c r="A6523" t="n">
        <v>6522</v>
      </c>
      <c r="B6523" t="inlineStr">
        <is>
          <t>V̅MDXXII</t>
        </is>
      </c>
      <c r="C6523">
        <f>ROMAN(6522)</f>
        <v/>
      </c>
      <c r="D6523">
        <f>IF(B6523=C6523, "YES", "WRONG")</f>
        <v/>
      </c>
    </row>
    <row r="6524">
      <c r="A6524" t="n">
        <v>6523</v>
      </c>
      <c r="B6524" t="inlineStr">
        <is>
          <t>V̅MDXXIII</t>
        </is>
      </c>
      <c r="C6524">
        <f>ROMAN(6523)</f>
        <v/>
      </c>
      <c r="D6524">
        <f>IF(B6524=C6524, "YES", "WRONG")</f>
        <v/>
      </c>
    </row>
    <row r="6525">
      <c r="A6525" t="n">
        <v>6524</v>
      </c>
      <c r="B6525" t="inlineStr">
        <is>
          <t>V̅MDXXIV</t>
        </is>
      </c>
      <c r="C6525">
        <f>ROMAN(6524)</f>
        <v/>
      </c>
      <c r="D6525">
        <f>IF(B6525=C6525, "YES", "WRONG")</f>
        <v/>
      </c>
    </row>
    <row r="6526">
      <c r="A6526" t="n">
        <v>6525</v>
      </c>
      <c r="B6526" t="inlineStr">
        <is>
          <t>V̅MDXXV</t>
        </is>
      </c>
      <c r="C6526">
        <f>ROMAN(6525)</f>
        <v/>
      </c>
      <c r="D6526">
        <f>IF(B6526=C6526, "YES", "WRONG")</f>
        <v/>
      </c>
    </row>
    <row r="6527">
      <c r="A6527" t="n">
        <v>6526</v>
      </c>
      <c r="B6527" t="inlineStr">
        <is>
          <t>V̅MDXXVI</t>
        </is>
      </c>
      <c r="C6527">
        <f>ROMAN(6526)</f>
        <v/>
      </c>
      <c r="D6527">
        <f>IF(B6527=C6527, "YES", "WRONG")</f>
        <v/>
      </c>
    </row>
    <row r="6528">
      <c r="A6528" t="n">
        <v>6527</v>
      </c>
      <c r="B6528" t="inlineStr">
        <is>
          <t>V̅MDXXVII</t>
        </is>
      </c>
      <c r="C6528">
        <f>ROMAN(6527)</f>
        <v/>
      </c>
      <c r="D6528">
        <f>IF(B6528=C6528, "YES", "WRONG")</f>
        <v/>
      </c>
    </row>
    <row r="6529">
      <c r="A6529" t="n">
        <v>6528</v>
      </c>
      <c r="B6529" t="inlineStr">
        <is>
          <t>V̅MDXXVIII</t>
        </is>
      </c>
      <c r="C6529">
        <f>ROMAN(6528)</f>
        <v/>
      </c>
      <c r="D6529">
        <f>IF(B6529=C6529, "YES", "WRONG")</f>
        <v/>
      </c>
    </row>
    <row r="6530">
      <c r="A6530" t="n">
        <v>6529</v>
      </c>
      <c r="B6530" t="inlineStr">
        <is>
          <t>V̅MDXXIX</t>
        </is>
      </c>
      <c r="C6530">
        <f>ROMAN(6529)</f>
        <v/>
      </c>
      <c r="D6530">
        <f>IF(B6530=C6530, "YES", "WRONG")</f>
        <v/>
      </c>
    </row>
    <row r="6531">
      <c r="A6531" t="n">
        <v>6530</v>
      </c>
      <c r="B6531" t="inlineStr">
        <is>
          <t>V̅MDXXX</t>
        </is>
      </c>
      <c r="C6531">
        <f>ROMAN(6530)</f>
        <v/>
      </c>
      <c r="D6531">
        <f>IF(B6531=C6531, "YES", "WRONG")</f>
        <v/>
      </c>
    </row>
    <row r="6532">
      <c r="A6532" t="n">
        <v>6531</v>
      </c>
      <c r="B6532" t="inlineStr">
        <is>
          <t>V̅MDXXXI</t>
        </is>
      </c>
      <c r="C6532">
        <f>ROMAN(6531)</f>
        <v/>
      </c>
      <c r="D6532">
        <f>IF(B6532=C6532, "YES", "WRONG")</f>
        <v/>
      </c>
    </row>
    <row r="6533">
      <c r="A6533" t="n">
        <v>6532</v>
      </c>
      <c r="B6533" t="inlineStr">
        <is>
          <t>V̅MDXXXII</t>
        </is>
      </c>
      <c r="C6533">
        <f>ROMAN(6532)</f>
        <v/>
      </c>
      <c r="D6533">
        <f>IF(B6533=C6533, "YES", "WRONG")</f>
        <v/>
      </c>
    </row>
    <row r="6534">
      <c r="A6534" t="n">
        <v>6533</v>
      </c>
      <c r="B6534" t="inlineStr">
        <is>
          <t>V̅MDXXXIII</t>
        </is>
      </c>
      <c r="C6534">
        <f>ROMAN(6533)</f>
        <v/>
      </c>
      <c r="D6534">
        <f>IF(B6534=C6534, "YES", "WRONG")</f>
        <v/>
      </c>
    </row>
    <row r="6535">
      <c r="A6535" t="n">
        <v>6534</v>
      </c>
      <c r="B6535" t="inlineStr">
        <is>
          <t>V̅MDXXXIV</t>
        </is>
      </c>
      <c r="C6535">
        <f>ROMAN(6534)</f>
        <v/>
      </c>
      <c r="D6535">
        <f>IF(B6535=C6535, "YES", "WRONG")</f>
        <v/>
      </c>
    </row>
    <row r="6536">
      <c r="A6536" t="n">
        <v>6535</v>
      </c>
      <c r="B6536" t="inlineStr">
        <is>
          <t>V̅MDXXXV</t>
        </is>
      </c>
      <c r="C6536">
        <f>ROMAN(6535)</f>
        <v/>
      </c>
      <c r="D6536">
        <f>IF(B6536=C6536, "YES", "WRONG")</f>
        <v/>
      </c>
    </row>
    <row r="6537">
      <c r="A6537" t="n">
        <v>6536</v>
      </c>
      <c r="B6537" t="inlineStr">
        <is>
          <t>V̅MDXXXVI</t>
        </is>
      </c>
      <c r="C6537">
        <f>ROMAN(6536)</f>
        <v/>
      </c>
      <c r="D6537">
        <f>IF(B6537=C6537, "YES", "WRONG")</f>
        <v/>
      </c>
    </row>
    <row r="6538">
      <c r="A6538" t="n">
        <v>6537</v>
      </c>
      <c r="B6538" t="inlineStr">
        <is>
          <t>V̅MDXXXVII</t>
        </is>
      </c>
      <c r="C6538">
        <f>ROMAN(6537)</f>
        <v/>
      </c>
      <c r="D6538">
        <f>IF(B6538=C6538, "YES", "WRONG")</f>
        <v/>
      </c>
    </row>
    <row r="6539">
      <c r="A6539" t="n">
        <v>6538</v>
      </c>
      <c r="B6539" t="inlineStr">
        <is>
          <t>V̅MDXXXVIII</t>
        </is>
      </c>
      <c r="C6539">
        <f>ROMAN(6538)</f>
        <v/>
      </c>
      <c r="D6539">
        <f>IF(B6539=C6539, "YES", "WRONG")</f>
        <v/>
      </c>
    </row>
    <row r="6540">
      <c r="A6540" t="n">
        <v>6539</v>
      </c>
      <c r="B6540" t="inlineStr">
        <is>
          <t>V̅MDXXXIX</t>
        </is>
      </c>
      <c r="C6540">
        <f>ROMAN(6539)</f>
        <v/>
      </c>
      <c r="D6540">
        <f>IF(B6540=C6540, "YES", "WRONG")</f>
        <v/>
      </c>
    </row>
    <row r="6541">
      <c r="A6541" t="n">
        <v>6540</v>
      </c>
      <c r="B6541" t="inlineStr">
        <is>
          <t>V̅MDXL</t>
        </is>
      </c>
      <c r="C6541">
        <f>ROMAN(6540)</f>
        <v/>
      </c>
      <c r="D6541">
        <f>IF(B6541=C6541, "YES", "WRONG")</f>
        <v/>
      </c>
    </row>
    <row r="6542">
      <c r="A6542" t="n">
        <v>6541</v>
      </c>
      <c r="B6542" t="inlineStr">
        <is>
          <t>V̅MDXLI</t>
        </is>
      </c>
      <c r="C6542">
        <f>ROMAN(6541)</f>
        <v/>
      </c>
      <c r="D6542">
        <f>IF(B6542=C6542, "YES", "WRONG")</f>
        <v/>
      </c>
    </row>
    <row r="6543">
      <c r="A6543" t="n">
        <v>6542</v>
      </c>
      <c r="B6543" t="inlineStr">
        <is>
          <t>V̅MDXLII</t>
        </is>
      </c>
      <c r="C6543">
        <f>ROMAN(6542)</f>
        <v/>
      </c>
      <c r="D6543">
        <f>IF(B6543=C6543, "YES", "WRONG")</f>
        <v/>
      </c>
    </row>
    <row r="6544">
      <c r="A6544" t="n">
        <v>6543</v>
      </c>
      <c r="B6544" t="inlineStr">
        <is>
          <t>V̅MDXLIII</t>
        </is>
      </c>
      <c r="C6544">
        <f>ROMAN(6543)</f>
        <v/>
      </c>
      <c r="D6544">
        <f>IF(B6544=C6544, "YES", "WRONG")</f>
        <v/>
      </c>
    </row>
    <row r="6545">
      <c r="A6545" t="n">
        <v>6544</v>
      </c>
      <c r="B6545" t="inlineStr">
        <is>
          <t>V̅MDXLIV</t>
        </is>
      </c>
      <c r="C6545">
        <f>ROMAN(6544)</f>
        <v/>
      </c>
      <c r="D6545">
        <f>IF(B6545=C6545, "YES", "WRONG")</f>
        <v/>
      </c>
    </row>
    <row r="6546">
      <c r="A6546" t="n">
        <v>6545</v>
      </c>
      <c r="B6546" t="inlineStr">
        <is>
          <t>V̅MDXLV</t>
        </is>
      </c>
      <c r="C6546">
        <f>ROMAN(6545)</f>
        <v/>
      </c>
      <c r="D6546">
        <f>IF(B6546=C6546, "YES", "WRONG")</f>
        <v/>
      </c>
    </row>
    <row r="6547">
      <c r="A6547" t="n">
        <v>6546</v>
      </c>
      <c r="B6547" t="inlineStr">
        <is>
          <t>V̅MDXLVI</t>
        </is>
      </c>
      <c r="C6547">
        <f>ROMAN(6546)</f>
        <v/>
      </c>
      <c r="D6547">
        <f>IF(B6547=C6547, "YES", "WRONG")</f>
        <v/>
      </c>
    </row>
    <row r="6548">
      <c r="A6548" t="n">
        <v>6547</v>
      </c>
      <c r="B6548" t="inlineStr">
        <is>
          <t>V̅MDXLVII</t>
        </is>
      </c>
      <c r="C6548">
        <f>ROMAN(6547)</f>
        <v/>
      </c>
      <c r="D6548">
        <f>IF(B6548=C6548, "YES", "WRONG")</f>
        <v/>
      </c>
    </row>
    <row r="6549">
      <c r="A6549" t="n">
        <v>6548</v>
      </c>
      <c r="B6549" t="inlineStr">
        <is>
          <t>V̅MDXLVIII</t>
        </is>
      </c>
      <c r="C6549">
        <f>ROMAN(6548)</f>
        <v/>
      </c>
      <c r="D6549">
        <f>IF(B6549=C6549, "YES", "WRONG")</f>
        <v/>
      </c>
    </row>
    <row r="6550">
      <c r="A6550" t="n">
        <v>6549</v>
      </c>
      <c r="B6550" t="inlineStr">
        <is>
          <t>V̅MDXLIX</t>
        </is>
      </c>
      <c r="C6550">
        <f>ROMAN(6549)</f>
        <v/>
      </c>
      <c r="D6550">
        <f>IF(B6550=C6550, "YES", "WRONG")</f>
        <v/>
      </c>
    </row>
    <row r="6551">
      <c r="A6551" t="n">
        <v>6550</v>
      </c>
      <c r="B6551" t="inlineStr">
        <is>
          <t>V̅MDL</t>
        </is>
      </c>
      <c r="C6551">
        <f>ROMAN(6550)</f>
        <v/>
      </c>
      <c r="D6551">
        <f>IF(B6551=C6551, "YES", "WRONG")</f>
        <v/>
      </c>
    </row>
    <row r="6552">
      <c r="A6552" t="n">
        <v>6551</v>
      </c>
      <c r="B6552" t="inlineStr">
        <is>
          <t>V̅MDLI</t>
        </is>
      </c>
      <c r="C6552">
        <f>ROMAN(6551)</f>
        <v/>
      </c>
      <c r="D6552">
        <f>IF(B6552=C6552, "YES", "WRONG")</f>
        <v/>
      </c>
    </row>
    <row r="6553">
      <c r="A6553" t="n">
        <v>6552</v>
      </c>
      <c r="B6553" t="inlineStr">
        <is>
          <t>V̅MDLII</t>
        </is>
      </c>
      <c r="C6553">
        <f>ROMAN(6552)</f>
        <v/>
      </c>
      <c r="D6553">
        <f>IF(B6553=C6553, "YES", "WRONG")</f>
        <v/>
      </c>
    </row>
    <row r="6554">
      <c r="A6554" t="n">
        <v>6553</v>
      </c>
      <c r="B6554" t="inlineStr">
        <is>
          <t>V̅MDLIII</t>
        </is>
      </c>
      <c r="C6554">
        <f>ROMAN(6553)</f>
        <v/>
      </c>
      <c r="D6554">
        <f>IF(B6554=C6554, "YES", "WRONG")</f>
        <v/>
      </c>
    </row>
    <row r="6555">
      <c r="A6555" t="n">
        <v>6554</v>
      </c>
      <c r="B6555" t="inlineStr">
        <is>
          <t>V̅MDLIV</t>
        </is>
      </c>
      <c r="C6555">
        <f>ROMAN(6554)</f>
        <v/>
      </c>
      <c r="D6555">
        <f>IF(B6555=C6555, "YES", "WRONG")</f>
        <v/>
      </c>
    </row>
    <row r="6556">
      <c r="A6556" t="n">
        <v>6555</v>
      </c>
      <c r="B6556" t="inlineStr">
        <is>
          <t>V̅MDLV</t>
        </is>
      </c>
      <c r="C6556">
        <f>ROMAN(6555)</f>
        <v/>
      </c>
      <c r="D6556">
        <f>IF(B6556=C6556, "YES", "WRONG")</f>
        <v/>
      </c>
    </row>
    <row r="6557">
      <c r="A6557" t="n">
        <v>6556</v>
      </c>
      <c r="B6557" t="inlineStr">
        <is>
          <t>V̅MDLVI</t>
        </is>
      </c>
      <c r="C6557">
        <f>ROMAN(6556)</f>
        <v/>
      </c>
      <c r="D6557">
        <f>IF(B6557=C6557, "YES", "WRONG")</f>
        <v/>
      </c>
    </row>
    <row r="6558">
      <c r="A6558" t="n">
        <v>6557</v>
      </c>
      <c r="B6558" t="inlineStr">
        <is>
          <t>V̅MDLVII</t>
        </is>
      </c>
      <c r="C6558">
        <f>ROMAN(6557)</f>
        <v/>
      </c>
      <c r="D6558">
        <f>IF(B6558=C6558, "YES", "WRONG")</f>
        <v/>
      </c>
    </row>
    <row r="6559">
      <c r="A6559" t="n">
        <v>6558</v>
      </c>
      <c r="B6559" t="inlineStr">
        <is>
          <t>V̅MDLVIII</t>
        </is>
      </c>
      <c r="C6559">
        <f>ROMAN(6558)</f>
        <v/>
      </c>
      <c r="D6559">
        <f>IF(B6559=C6559, "YES", "WRONG")</f>
        <v/>
      </c>
    </row>
    <row r="6560">
      <c r="A6560" t="n">
        <v>6559</v>
      </c>
      <c r="B6560" t="inlineStr">
        <is>
          <t>V̅MDLIX</t>
        </is>
      </c>
      <c r="C6560">
        <f>ROMAN(6559)</f>
        <v/>
      </c>
      <c r="D6560">
        <f>IF(B6560=C6560, "YES", "WRONG")</f>
        <v/>
      </c>
    </row>
    <row r="6561">
      <c r="A6561" t="n">
        <v>6560</v>
      </c>
      <c r="B6561" t="inlineStr">
        <is>
          <t>V̅MDLX</t>
        </is>
      </c>
      <c r="C6561">
        <f>ROMAN(6560)</f>
        <v/>
      </c>
      <c r="D6561">
        <f>IF(B6561=C6561, "YES", "WRONG")</f>
        <v/>
      </c>
    </row>
    <row r="6562">
      <c r="A6562" t="n">
        <v>6561</v>
      </c>
      <c r="B6562" t="inlineStr">
        <is>
          <t>V̅MDLXI</t>
        </is>
      </c>
      <c r="C6562">
        <f>ROMAN(6561)</f>
        <v/>
      </c>
      <c r="D6562">
        <f>IF(B6562=C6562, "YES", "WRONG")</f>
        <v/>
      </c>
    </row>
    <row r="6563">
      <c r="A6563" t="n">
        <v>6562</v>
      </c>
      <c r="B6563" t="inlineStr">
        <is>
          <t>V̅MDLXII</t>
        </is>
      </c>
      <c r="C6563">
        <f>ROMAN(6562)</f>
        <v/>
      </c>
      <c r="D6563">
        <f>IF(B6563=C6563, "YES", "WRONG")</f>
        <v/>
      </c>
    </row>
    <row r="6564">
      <c r="A6564" t="n">
        <v>6563</v>
      </c>
      <c r="B6564" t="inlineStr">
        <is>
          <t>V̅MDLXIII</t>
        </is>
      </c>
      <c r="C6564">
        <f>ROMAN(6563)</f>
        <v/>
      </c>
      <c r="D6564">
        <f>IF(B6564=C6564, "YES", "WRONG")</f>
        <v/>
      </c>
    </row>
    <row r="6565">
      <c r="A6565" t="n">
        <v>6564</v>
      </c>
      <c r="B6565" t="inlineStr">
        <is>
          <t>V̅MDLXIV</t>
        </is>
      </c>
      <c r="C6565">
        <f>ROMAN(6564)</f>
        <v/>
      </c>
      <c r="D6565">
        <f>IF(B6565=C6565, "YES", "WRONG")</f>
        <v/>
      </c>
    </row>
    <row r="6566">
      <c r="A6566" t="n">
        <v>6565</v>
      </c>
      <c r="B6566" t="inlineStr">
        <is>
          <t>V̅MDLXV</t>
        </is>
      </c>
      <c r="C6566">
        <f>ROMAN(6565)</f>
        <v/>
      </c>
      <c r="D6566">
        <f>IF(B6566=C6566, "YES", "WRONG")</f>
        <v/>
      </c>
    </row>
    <row r="6567">
      <c r="A6567" t="n">
        <v>6566</v>
      </c>
      <c r="B6567" t="inlineStr">
        <is>
          <t>V̅MDLXVI</t>
        </is>
      </c>
      <c r="C6567">
        <f>ROMAN(6566)</f>
        <v/>
      </c>
      <c r="D6567">
        <f>IF(B6567=C6567, "YES", "WRONG")</f>
        <v/>
      </c>
    </row>
    <row r="6568">
      <c r="A6568" t="n">
        <v>6567</v>
      </c>
      <c r="B6568" t="inlineStr">
        <is>
          <t>V̅MDLXVII</t>
        </is>
      </c>
      <c r="C6568">
        <f>ROMAN(6567)</f>
        <v/>
      </c>
      <c r="D6568">
        <f>IF(B6568=C6568, "YES", "WRONG")</f>
        <v/>
      </c>
    </row>
    <row r="6569">
      <c r="A6569" t="n">
        <v>6568</v>
      </c>
      <c r="B6569" t="inlineStr">
        <is>
          <t>V̅MDLXVIII</t>
        </is>
      </c>
      <c r="C6569">
        <f>ROMAN(6568)</f>
        <v/>
      </c>
      <c r="D6569">
        <f>IF(B6569=C6569, "YES", "WRONG")</f>
        <v/>
      </c>
    </row>
    <row r="6570">
      <c r="A6570" t="n">
        <v>6569</v>
      </c>
      <c r="B6570" t="inlineStr">
        <is>
          <t>V̅MDLXIX</t>
        </is>
      </c>
      <c r="C6570">
        <f>ROMAN(6569)</f>
        <v/>
      </c>
      <c r="D6570">
        <f>IF(B6570=C6570, "YES", "WRONG")</f>
        <v/>
      </c>
    </row>
    <row r="6571">
      <c r="A6571" t="n">
        <v>6570</v>
      </c>
      <c r="B6571" t="inlineStr">
        <is>
          <t>V̅MDLXX</t>
        </is>
      </c>
      <c r="C6571">
        <f>ROMAN(6570)</f>
        <v/>
      </c>
      <c r="D6571">
        <f>IF(B6571=C6571, "YES", "WRONG")</f>
        <v/>
      </c>
    </row>
    <row r="6572">
      <c r="A6572" t="n">
        <v>6571</v>
      </c>
      <c r="B6572" t="inlineStr">
        <is>
          <t>V̅MDLXXI</t>
        </is>
      </c>
      <c r="C6572">
        <f>ROMAN(6571)</f>
        <v/>
      </c>
      <c r="D6572">
        <f>IF(B6572=C6572, "YES", "WRONG")</f>
        <v/>
      </c>
    </row>
    <row r="6573">
      <c r="A6573" t="n">
        <v>6572</v>
      </c>
      <c r="B6573" t="inlineStr">
        <is>
          <t>V̅MDLXXII</t>
        </is>
      </c>
      <c r="C6573">
        <f>ROMAN(6572)</f>
        <v/>
      </c>
      <c r="D6573">
        <f>IF(B6573=C6573, "YES", "WRONG")</f>
        <v/>
      </c>
    </row>
    <row r="6574">
      <c r="A6574" t="n">
        <v>6573</v>
      </c>
      <c r="B6574" t="inlineStr">
        <is>
          <t>V̅MDLXXIII</t>
        </is>
      </c>
      <c r="C6574">
        <f>ROMAN(6573)</f>
        <v/>
      </c>
      <c r="D6574">
        <f>IF(B6574=C6574, "YES", "WRONG")</f>
        <v/>
      </c>
    </row>
    <row r="6575">
      <c r="A6575" t="n">
        <v>6574</v>
      </c>
      <c r="B6575" t="inlineStr">
        <is>
          <t>V̅MDLXXIV</t>
        </is>
      </c>
      <c r="C6575">
        <f>ROMAN(6574)</f>
        <v/>
      </c>
      <c r="D6575">
        <f>IF(B6575=C6575, "YES", "WRONG")</f>
        <v/>
      </c>
    </row>
    <row r="6576">
      <c r="A6576" t="n">
        <v>6575</v>
      </c>
      <c r="B6576" t="inlineStr">
        <is>
          <t>V̅MDLXXV</t>
        </is>
      </c>
      <c r="C6576">
        <f>ROMAN(6575)</f>
        <v/>
      </c>
      <c r="D6576">
        <f>IF(B6576=C6576, "YES", "WRONG")</f>
        <v/>
      </c>
    </row>
    <row r="6577">
      <c r="A6577" t="n">
        <v>6576</v>
      </c>
      <c r="B6577" t="inlineStr">
        <is>
          <t>V̅MDLXXVI</t>
        </is>
      </c>
      <c r="C6577">
        <f>ROMAN(6576)</f>
        <v/>
      </c>
      <c r="D6577">
        <f>IF(B6577=C6577, "YES", "WRONG")</f>
        <v/>
      </c>
    </row>
    <row r="6578">
      <c r="A6578" t="n">
        <v>6577</v>
      </c>
      <c r="B6578" t="inlineStr">
        <is>
          <t>V̅MDLXXVII</t>
        </is>
      </c>
      <c r="C6578">
        <f>ROMAN(6577)</f>
        <v/>
      </c>
      <c r="D6578">
        <f>IF(B6578=C6578, "YES", "WRONG")</f>
        <v/>
      </c>
    </row>
    <row r="6579">
      <c r="A6579" t="n">
        <v>6578</v>
      </c>
      <c r="B6579" t="inlineStr">
        <is>
          <t>V̅MDLXXVIII</t>
        </is>
      </c>
      <c r="C6579">
        <f>ROMAN(6578)</f>
        <v/>
      </c>
      <c r="D6579">
        <f>IF(B6579=C6579, "YES", "WRONG")</f>
        <v/>
      </c>
    </row>
    <row r="6580">
      <c r="A6580" t="n">
        <v>6579</v>
      </c>
      <c r="B6580" t="inlineStr">
        <is>
          <t>V̅MDLXXIX</t>
        </is>
      </c>
      <c r="C6580">
        <f>ROMAN(6579)</f>
        <v/>
      </c>
      <c r="D6580">
        <f>IF(B6580=C6580, "YES", "WRONG")</f>
        <v/>
      </c>
    </row>
    <row r="6581">
      <c r="A6581" t="n">
        <v>6580</v>
      </c>
      <c r="B6581" t="inlineStr">
        <is>
          <t>V̅MDLXXX</t>
        </is>
      </c>
      <c r="C6581">
        <f>ROMAN(6580)</f>
        <v/>
      </c>
      <c r="D6581">
        <f>IF(B6581=C6581, "YES", "WRONG")</f>
        <v/>
      </c>
    </row>
    <row r="6582">
      <c r="A6582" t="n">
        <v>6581</v>
      </c>
      <c r="B6582" t="inlineStr">
        <is>
          <t>V̅MDLXXXI</t>
        </is>
      </c>
      <c r="C6582">
        <f>ROMAN(6581)</f>
        <v/>
      </c>
      <c r="D6582">
        <f>IF(B6582=C6582, "YES", "WRONG")</f>
        <v/>
      </c>
    </row>
    <row r="6583">
      <c r="A6583" t="n">
        <v>6582</v>
      </c>
      <c r="B6583" t="inlineStr">
        <is>
          <t>V̅MDLXXXII</t>
        </is>
      </c>
      <c r="C6583">
        <f>ROMAN(6582)</f>
        <v/>
      </c>
      <c r="D6583">
        <f>IF(B6583=C6583, "YES", "WRONG")</f>
        <v/>
      </c>
    </row>
    <row r="6584">
      <c r="A6584" t="n">
        <v>6583</v>
      </c>
      <c r="B6584" t="inlineStr">
        <is>
          <t>V̅MDLXXXIII</t>
        </is>
      </c>
      <c r="C6584">
        <f>ROMAN(6583)</f>
        <v/>
      </c>
      <c r="D6584">
        <f>IF(B6584=C6584, "YES", "WRONG")</f>
        <v/>
      </c>
    </row>
    <row r="6585">
      <c r="A6585" t="n">
        <v>6584</v>
      </c>
      <c r="B6585" t="inlineStr">
        <is>
          <t>V̅MDLXXXIV</t>
        </is>
      </c>
      <c r="C6585">
        <f>ROMAN(6584)</f>
        <v/>
      </c>
      <c r="D6585">
        <f>IF(B6585=C6585, "YES", "WRONG")</f>
        <v/>
      </c>
    </row>
    <row r="6586">
      <c r="A6586" t="n">
        <v>6585</v>
      </c>
      <c r="B6586" t="inlineStr">
        <is>
          <t>V̅MDLXXXV</t>
        </is>
      </c>
      <c r="C6586">
        <f>ROMAN(6585)</f>
        <v/>
      </c>
      <c r="D6586">
        <f>IF(B6586=C6586, "YES", "WRONG")</f>
        <v/>
      </c>
    </row>
    <row r="6587">
      <c r="A6587" t="n">
        <v>6586</v>
      </c>
      <c r="B6587" t="inlineStr">
        <is>
          <t>V̅MDLXXXVI</t>
        </is>
      </c>
      <c r="C6587">
        <f>ROMAN(6586)</f>
        <v/>
      </c>
      <c r="D6587">
        <f>IF(B6587=C6587, "YES", "WRONG")</f>
        <v/>
      </c>
    </row>
    <row r="6588">
      <c r="A6588" t="n">
        <v>6587</v>
      </c>
      <c r="B6588" t="inlineStr">
        <is>
          <t>V̅MDLXXXVII</t>
        </is>
      </c>
      <c r="C6588">
        <f>ROMAN(6587)</f>
        <v/>
      </c>
      <c r="D6588">
        <f>IF(B6588=C6588, "YES", "WRONG")</f>
        <v/>
      </c>
    </row>
    <row r="6589">
      <c r="A6589" t="n">
        <v>6588</v>
      </c>
      <c r="B6589" t="inlineStr">
        <is>
          <t>V̅MDLXXXVIII</t>
        </is>
      </c>
      <c r="C6589">
        <f>ROMAN(6588)</f>
        <v/>
      </c>
      <c r="D6589">
        <f>IF(B6589=C6589, "YES", "WRONG")</f>
        <v/>
      </c>
    </row>
    <row r="6590">
      <c r="A6590" t="n">
        <v>6589</v>
      </c>
      <c r="B6590" t="inlineStr">
        <is>
          <t>V̅MDLXXXIX</t>
        </is>
      </c>
      <c r="C6590">
        <f>ROMAN(6589)</f>
        <v/>
      </c>
      <c r="D6590">
        <f>IF(B6590=C6590, "YES", "WRONG")</f>
        <v/>
      </c>
    </row>
    <row r="6591">
      <c r="A6591" t="n">
        <v>6590</v>
      </c>
      <c r="B6591" t="inlineStr">
        <is>
          <t>V̅MDXC</t>
        </is>
      </c>
      <c r="C6591">
        <f>ROMAN(6590)</f>
        <v/>
      </c>
      <c r="D6591">
        <f>IF(B6591=C6591, "YES", "WRONG")</f>
        <v/>
      </c>
    </row>
    <row r="6592">
      <c r="A6592" t="n">
        <v>6591</v>
      </c>
      <c r="B6592" t="inlineStr">
        <is>
          <t>V̅MDXCI</t>
        </is>
      </c>
      <c r="C6592">
        <f>ROMAN(6591)</f>
        <v/>
      </c>
      <c r="D6592">
        <f>IF(B6592=C6592, "YES", "WRONG")</f>
        <v/>
      </c>
    </row>
    <row r="6593">
      <c r="A6593" t="n">
        <v>6592</v>
      </c>
      <c r="B6593" t="inlineStr">
        <is>
          <t>V̅MDXCII</t>
        </is>
      </c>
      <c r="C6593">
        <f>ROMAN(6592)</f>
        <v/>
      </c>
      <c r="D6593">
        <f>IF(B6593=C6593, "YES", "WRONG")</f>
        <v/>
      </c>
    </row>
    <row r="6594">
      <c r="A6594" t="n">
        <v>6593</v>
      </c>
      <c r="B6594" t="inlineStr">
        <is>
          <t>V̅MDXCIII</t>
        </is>
      </c>
      <c r="C6594">
        <f>ROMAN(6593)</f>
        <v/>
      </c>
      <c r="D6594">
        <f>IF(B6594=C6594, "YES", "WRONG")</f>
        <v/>
      </c>
    </row>
    <row r="6595">
      <c r="A6595" t="n">
        <v>6594</v>
      </c>
      <c r="B6595" t="inlineStr">
        <is>
          <t>V̅MDXCIV</t>
        </is>
      </c>
      <c r="C6595">
        <f>ROMAN(6594)</f>
        <v/>
      </c>
      <c r="D6595">
        <f>IF(B6595=C6595, "YES", "WRONG")</f>
        <v/>
      </c>
    </row>
    <row r="6596">
      <c r="A6596" t="n">
        <v>6595</v>
      </c>
      <c r="B6596" t="inlineStr">
        <is>
          <t>V̅MDXCV</t>
        </is>
      </c>
      <c r="C6596">
        <f>ROMAN(6595)</f>
        <v/>
      </c>
      <c r="D6596">
        <f>IF(B6596=C6596, "YES", "WRONG")</f>
        <v/>
      </c>
    </row>
    <row r="6597">
      <c r="A6597" t="n">
        <v>6596</v>
      </c>
      <c r="B6597" t="inlineStr">
        <is>
          <t>V̅MDXCVI</t>
        </is>
      </c>
      <c r="C6597">
        <f>ROMAN(6596)</f>
        <v/>
      </c>
      <c r="D6597">
        <f>IF(B6597=C6597, "YES", "WRONG")</f>
        <v/>
      </c>
    </row>
    <row r="6598">
      <c r="A6598" t="n">
        <v>6597</v>
      </c>
      <c r="B6598" t="inlineStr">
        <is>
          <t>V̅MDXCVII</t>
        </is>
      </c>
      <c r="C6598">
        <f>ROMAN(6597)</f>
        <v/>
      </c>
      <c r="D6598">
        <f>IF(B6598=C6598, "YES", "WRONG")</f>
        <v/>
      </c>
    </row>
    <row r="6599">
      <c r="A6599" t="n">
        <v>6598</v>
      </c>
      <c r="B6599" t="inlineStr">
        <is>
          <t>V̅MDXCVIII</t>
        </is>
      </c>
      <c r="C6599">
        <f>ROMAN(6598)</f>
        <v/>
      </c>
      <c r="D6599">
        <f>IF(B6599=C6599, "YES", "WRONG")</f>
        <v/>
      </c>
    </row>
    <row r="6600">
      <c r="A6600" t="n">
        <v>6599</v>
      </c>
      <c r="B6600" t="inlineStr">
        <is>
          <t>V̅MDXCIX</t>
        </is>
      </c>
      <c r="C6600">
        <f>ROMAN(6599)</f>
        <v/>
      </c>
      <c r="D6600">
        <f>IF(B6600=C6600, "YES", "WRONG")</f>
        <v/>
      </c>
    </row>
    <row r="6601">
      <c r="A6601" t="n">
        <v>6600</v>
      </c>
      <c r="B6601" t="inlineStr">
        <is>
          <t>V̅MDC</t>
        </is>
      </c>
      <c r="C6601">
        <f>ROMAN(6600)</f>
        <v/>
      </c>
      <c r="D6601">
        <f>IF(B6601=C6601, "YES", "WRONG")</f>
        <v/>
      </c>
    </row>
    <row r="6602">
      <c r="A6602" t="n">
        <v>6601</v>
      </c>
      <c r="B6602" t="inlineStr">
        <is>
          <t>V̅MDCI</t>
        </is>
      </c>
      <c r="C6602">
        <f>ROMAN(6601)</f>
        <v/>
      </c>
      <c r="D6602">
        <f>IF(B6602=C6602, "YES", "WRONG")</f>
        <v/>
      </c>
    </row>
    <row r="6603">
      <c r="A6603" t="n">
        <v>6602</v>
      </c>
      <c r="B6603" t="inlineStr">
        <is>
          <t>V̅MDCII</t>
        </is>
      </c>
      <c r="C6603">
        <f>ROMAN(6602)</f>
        <v/>
      </c>
      <c r="D6603">
        <f>IF(B6603=C6603, "YES", "WRONG")</f>
        <v/>
      </c>
    </row>
    <row r="6604">
      <c r="A6604" t="n">
        <v>6603</v>
      </c>
      <c r="B6604" t="inlineStr">
        <is>
          <t>V̅MDCIII</t>
        </is>
      </c>
      <c r="C6604">
        <f>ROMAN(6603)</f>
        <v/>
      </c>
      <c r="D6604">
        <f>IF(B6604=C6604, "YES", "WRONG")</f>
        <v/>
      </c>
    </row>
    <row r="6605">
      <c r="A6605" t="n">
        <v>6604</v>
      </c>
      <c r="B6605" t="inlineStr">
        <is>
          <t>V̅MDCIV</t>
        </is>
      </c>
      <c r="C6605">
        <f>ROMAN(6604)</f>
        <v/>
      </c>
      <c r="D6605">
        <f>IF(B6605=C6605, "YES", "WRONG")</f>
        <v/>
      </c>
    </row>
    <row r="6606">
      <c r="A6606" t="n">
        <v>6605</v>
      </c>
      <c r="B6606" t="inlineStr">
        <is>
          <t>V̅MDCV</t>
        </is>
      </c>
      <c r="C6606">
        <f>ROMAN(6605)</f>
        <v/>
      </c>
      <c r="D6606">
        <f>IF(B6606=C6606, "YES", "WRONG")</f>
        <v/>
      </c>
    </row>
    <row r="6607">
      <c r="A6607" t="n">
        <v>6606</v>
      </c>
      <c r="B6607" t="inlineStr">
        <is>
          <t>V̅MDCVI</t>
        </is>
      </c>
      <c r="C6607">
        <f>ROMAN(6606)</f>
        <v/>
      </c>
      <c r="D6607">
        <f>IF(B6607=C6607, "YES", "WRONG")</f>
        <v/>
      </c>
    </row>
    <row r="6608">
      <c r="A6608" t="n">
        <v>6607</v>
      </c>
      <c r="B6608" t="inlineStr">
        <is>
          <t>V̅MDCVII</t>
        </is>
      </c>
      <c r="C6608">
        <f>ROMAN(6607)</f>
        <v/>
      </c>
      <c r="D6608">
        <f>IF(B6608=C6608, "YES", "WRONG")</f>
        <v/>
      </c>
    </row>
    <row r="6609">
      <c r="A6609" t="n">
        <v>6608</v>
      </c>
      <c r="B6609" t="inlineStr">
        <is>
          <t>V̅MDCVIII</t>
        </is>
      </c>
      <c r="C6609">
        <f>ROMAN(6608)</f>
        <v/>
      </c>
      <c r="D6609">
        <f>IF(B6609=C6609, "YES", "WRONG")</f>
        <v/>
      </c>
    </row>
    <row r="6610">
      <c r="A6610" t="n">
        <v>6609</v>
      </c>
      <c r="B6610" t="inlineStr">
        <is>
          <t>V̅MDCIX</t>
        </is>
      </c>
      <c r="C6610">
        <f>ROMAN(6609)</f>
        <v/>
      </c>
      <c r="D6610">
        <f>IF(B6610=C6610, "YES", "WRONG")</f>
        <v/>
      </c>
    </row>
    <row r="6611">
      <c r="A6611" t="n">
        <v>6610</v>
      </c>
      <c r="B6611" t="inlineStr">
        <is>
          <t>V̅MDCX</t>
        </is>
      </c>
      <c r="C6611">
        <f>ROMAN(6610)</f>
        <v/>
      </c>
      <c r="D6611">
        <f>IF(B6611=C6611, "YES", "WRONG")</f>
        <v/>
      </c>
    </row>
    <row r="6612">
      <c r="A6612" t="n">
        <v>6611</v>
      </c>
      <c r="B6612" t="inlineStr">
        <is>
          <t>V̅MDCXI</t>
        </is>
      </c>
      <c r="C6612">
        <f>ROMAN(6611)</f>
        <v/>
      </c>
      <c r="D6612">
        <f>IF(B6612=C6612, "YES", "WRONG")</f>
        <v/>
      </c>
    </row>
    <row r="6613">
      <c r="A6613" t="n">
        <v>6612</v>
      </c>
      <c r="B6613" t="inlineStr">
        <is>
          <t>V̅MDCXII</t>
        </is>
      </c>
      <c r="C6613">
        <f>ROMAN(6612)</f>
        <v/>
      </c>
      <c r="D6613">
        <f>IF(B6613=C6613, "YES", "WRONG")</f>
        <v/>
      </c>
    </row>
    <row r="6614">
      <c r="A6614" t="n">
        <v>6613</v>
      </c>
      <c r="B6614" t="inlineStr">
        <is>
          <t>V̅MDCXIII</t>
        </is>
      </c>
      <c r="C6614">
        <f>ROMAN(6613)</f>
        <v/>
      </c>
      <c r="D6614">
        <f>IF(B6614=C6614, "YES", "WRONG")</f>
        <v/>
      </c>
    </row>
    <row r="6615">
      <c r="A6615" t="n">
        <v>6614</v>
      </c>
      <c r="B6615" t="inlineStr">
        <is>
          <t>V̅MDCXIV</t>
        </is>
      </c>
      <c r="C6615">
        <f>ROMAN(6614)</f>
        <v/>
      </c>
      <c r="D6615">
        <f>IF(B6615=C6615, "YES", "WRONG")</f>
        <v/>
      </c>
    </row>
    <row r="6616">
      <c r="A6616" t="n">
        <v>6615</v>
      </c>
      <c r="B6616" t="inlineStr">
        <is>
          <t>V̅MDCXV</t>
        </is>
      </c>
      <c r="C6616">
        <f>ROMAN(6615)</f>
        <v/>
      </c>
      <c r="D6616">
        <f>IF(B6616=C6616, "YES", "WRONG")</f>
        <v/>
      </c>
    </row>
    <row r="6617">
      <c r="A6617" t="n">
        <v>6616</v>
      </c>
      <c r="B6617" t="inlineStr">
        <is>
          <t>V̅MDCXVI</t>
        </is>
      </c>
      <c r="C6617">
        <f>ROMAN(6616)</f>
        <v/>
      </c>
      <c r="D6617">
        <f>IF(B6617=C6617, "YES", "WRONG")</f>
        <v/>
      </c>
    </row>
    <row r="6618">
      <c r="A6618" t="n">
        <v>6617</v>
      </c>
      <c r="B6618" t="inlineStr">
        <is>
          <t>V̅MDCXVII</t>
        </is>
      </c>
      <c r="C6618">
        <f>ROMAN(6617)</f>
        <v/>
      </c>
      <c r="D6618">
        <f>IF(B6618=C6618, "YES", "WRONG")</f>
        <v/>
      </c>
    </row>
    <row r="6619">
      <c r="A6619" t="n">
        <v>6618</v>
      </c>
      <c r="B6619" t="inlineStr">
        <is>
          <t>V̅MDCXVIII</t>
        </is>
      </c>
      <c r="C6619">
        <f>ROMAN(6618)</f>
        <v/>
      </c>
      <c r="D6619">
        <f>IF(B6619=C6619, "YES", "WRONG")</f>
        <v/>
      </c>
    </row>
    <row r="6620">
      <c r="A6620" t="n">
        <v>6619</v>
      </c>
      <c r="B6620" t="inlineStr">
        <is>
          <t>V̅MDCXIX</t>
        </is>
      </c>
      <c r="C6620">
        <f>ROMAN(6619)</f>
        <v/>
      </c>
      <c r="D6620">
        <f>IF(B6620=C6620, "YES", "WRONG")</f>
        <v/>
      </c>
    </row>
    <row r="6621">
      <c r="A6621" t="n">
        <v>6620</v>
      </c>
      <c r="B6621" t="inlineStr">
        <is>
          <t>V̅MDCXX</t>
        </is>
      </c>
      <c r="C6621">
        <f>ROMAN(6620)</f>
        <v/>
      </c>
      <c r="D6621">
        <f>IF(B6621=C6621, "YES", "WRONG")</f>
        <v/>
      </c>
    </row>
    <row r="6622">
      <c r="A6622" t="n">
        <v>6621</v>
      </c>
      <c r="B6622" t="inlineStr">
        <is>
          <t>V̅MDCXXI</t>
        </is>
      </c>
      <c r="C6622">
        <f>ROMAN(6621)</f>
        <v/>
      </c>
      <c r="D6622">
        <f>IF(B6622=C6622, "YES", "WRONG")</f>
        <v/>
      </c>
    </row>
    <row r="6623">
      <c r="A6623" t="n">
        <v>6622</v>
      </c>
      <c r="B6623" t="inlineStr">
        <is>
          <t>V̅MDCXXII</t>
        </is>
      </c>
      <c r="C6623">
        <f>ROMAN(6622)</f>
        <v/>
      </c>
      <c r="D6623">
        <f>IF(B6623=C6623, "YES", "WRONG")</f>
        <v/>
      </c>
    </row>
    <row r="6624">
      <c r="A6624" t="n">
        <v>6623</v>
      </c>
      <c r="B6624" t="inlineStr">
        <is>
          <t>V̅MDCXXIII</t>
        </is>
      </c>
      <c r="C6624">
        <f>ROMAN(6623)</f>
        <v/>
      </c>
      <c r="D6624">
        <f>IF(B6624=C6624, "YES", "WRONG")</f>
        <v/>
      </c>
    </row>
    <row r="6625">
      <c r="A6625" t="n">
        <v>6624</v>
      </c>
      <c r="B6625" t="inlineStr">
        <is>
          <t>V̅MDCXXIV</t>
        </is>
      </c>
      <c r="C6625">
        <f>ROMAN(6624)</f>
        <v/>
      </c>
      <c r="D6625">
        <f>IF(B6625=C6625, "YES", "WRONG")</f>
        <v/>
      </c>
    </row>
    <row r="6626">
      <c r="A6626" t="n">
        <v>6625</v>
      </c>
      <c r="B6626" t="inlineStr">
        <is>
          <t>V̅MDCXXV</t>
        </is>
      </c>
      <c r="C6626">
        <f>ROMAN(6625)</f>
        <v/>
      </c>
      <c r="D6626">
        <f>IF(B6626=C6626, "YES", "WRONG")</f>
        <v/>
      </c>
    </row>
    <row r="6627">
      <c r="A6627" t="n">
        <v>6626</v>
      </c>
      <c r="B6627" t="inlineStr">
        <is>
          <t>V̅MDCXXVI</t>
        </is>
      </c>
      <c r="C6627">
        <f>ROMAN(6626)</f>
        <v/>
      </c>
      <c r="D6627">
        <f>IF(B6627=C6627, "YES", "WRONG")</f>
        <v/>
      </c>
    </row>
    <row r="6628">
      <c r="A6628" t="n">
        <v>6627</v>
      </c>
      <c r="B6628" t="inlineStr">
        <is>
          <t>V̅MDCXXVII</t>
        </is>
      </c>
      <c r="C6628">
        <f>ROMAN(6627)</f>
        <v/>
      </c>
      <c r="D6628">
        <f>IF(B6628=C6628, "YES", "WRONG")</f>
        <v/>
      </c>
    </row>
    <row r="6629">
      <c r="A6629" t="n">
        <v>6628</v>
      </c>
      <c r="B6629" t="inlineStr">
        <is>
          <t>V̅MDCXXVIII</t>
        </is>
      </c>
      <c r="C6629">
        <f>ROMAN(6628)</f>
        <v/>
      </c>
      <c r="D6629">
        <f>IF(B6629=C6629, "YES", "WRONG")</f>
        <v/>
      </c>
    </row>
    <row r="6630">
      <c r="A6630" t="n">
        <v>6629</v>
      </c>
      <c r="B6630" t="inlineStr">
        <is>
          <t>V̅MDCXXIX</t>
        </is>
      </c>
      <c r="C6630">
        <f>ROMAN(6629)</f>
        <v/>
      </c>
      <c r="D6630">
        <f>IF(B6630=C6630, "YES", "WRONG")</f>
        <v/>
      </c>
    </row>
    <row r="6631">
      <c r="A6631" t="n">
        <v>6630</v>
      </c>
      <c r="B6631" t="inlineStr">
        <is>
          <t>V̅MDCXXX</t>
        </is>
      </c>
      <c r="C6631">
        <f>ROMAN(6630)</f>
        <v/>
      </c>
      <c r="D6631">
        <f>IF(B6631=C6631, "YES", "WRONG")</f>
        <v/>
      </c>
    </row>
    <row r="6632">
      <c r="A6632" t="n">
        <v>6631</v>
      </c>
      <c r="B6632" t="inlineStr">
        <is>
          <t>V̅MDCXXXI</t>
        </is>
      </c>
      <c r="C6632">
        <f>ROMAN(6631)</f>
        <v/>
      </c>
      <c r="D6632">
        <f>IF(B6632=C6632, "YES", "WRONG")</f>
        <v/>
      </c>
    </row>
    <row r="6633">
      <c r="A6633" t="n">
        <v>6632</v>
      </c>
      <c r="B6633" t="inlineStr">
        <is>
          <t>V̅MDCXXXII</t>
        </is>
      </c>
      <c r="C6633">
        <f>ROMAN(6632)</f>
        <v/>
      </c>
      <c r="D6633">
        <f>IF(B6633=C6633, "YES", "WRONG")</f>
        <v/>
      </c>
    </row>
    <row r="6634">
      <c r="A6634" t="n">
        <v>6633</v>
      </c>
      <c r="B6634" t="inlineStr">
        <is>
          <t>V̅MDCXXXIII</t>
        </is>
      </c>
      <c r="C6634">
        <f>ROMAN(6633)</f>
        <v/>
      </c>
      <c r="D6634">
        <f>IF(B6634=C6634, "YES", "WRONG")</f>
        <v/>
      </c>
    </row>
    <row r="6635">
      <c r="A6635" t="n">
        <v>6634</v>
      </c>
      <c r="B6635" t="inlineStr">
        <is>
          <t>V̅MDCXXXIV</t>
        </is>
      </c>
      <c r="C6635">
        <f>ROMAN(6634)</f>
        <v/>
      </c>
      <c r="D6635">
        <f>IF(B6635=C6635, "YES", "WRONG")</f>
        <v/>
      </c>
    </row>
    <row r="6636">
      <c r="A6636" t="n">
        <v>6635</v>
      </c>
      <c r="B6636" t="inlineStr">
        <is>
          <t>V̅MDCXXXV</t>
        </is>
      </c>
      <c r="C6636">
        <f>ROMAN(6635)</f>
        <v/>
      </c>
      <c r="D6636">
        <f>IF(B6636=C6636, "YES", "WRONG")</f>
        <v/>
      </c>
    </row>
    <row r="6637">
      <c r="A6637" t="n">
        <v>6636</v>
      </c>
      <c r="B6637" t="inlineStr">
        <is>
          <t>V̅MDCXXXVI</t>
        </is>
      </c>
      <c r="C6637">
        <f>ROMAN(6636)</f>
        <v/>
      </c>
      <c r="D6637">
        <f>IF(B6637=C6637, "YES", "WRONG")</f>
        <v/>
      </c>
    </row>
    <row r="6638">
      <c r="A6638" t="n">
        <v>6637</v>
      </c>
      <c r="B6638" t="inlineStr">
        <is>
          <t>V̅MDCXXXVII</t>
        </is>
      </c>
      <c r="C6638">
        <f>ROMAN(6637)</f>
        <v/>
      </c>
      <c r="D6638">
        <f>IF(B6638=C6638, "YES", "WRONG")</f>
        <v/>
      </c>
    </row>
    <row r="6639">
      <c r="A6639" t="n">
        <v>6638</v>
      </c>
      <c r="B6639" t="inlineStr">
        <is>
          <t>V̅MDCXXXVIII</t>
        </is>
      </c>
      <c r="C6639">
        <f>ROMAN(6638)</f>
        <v/>
      </c>
      <c r="D6639">
        <f>IF(B6639=C6639, "YES", "WRONG")</f>
        <v/>
      </c>
    </row>
    <row r="6640">
      <c r="A6640" t="n">
        <v>6639</v>
      </c>
      <c r="B6640" t="inlineStr">
        <is>
          <t>V̅MDCXXXIX</t>
        </is>
      </c>
      <c r="C6640">
        <f>ROMAN(6639)</f>
        <v/>
      </c>
      <c r="D6640">
        <f>IF(B6640=C6640, "YES", "WRONG")</f>
        <v/>
      </c>
    </row>
    <row r="6641">
      <c r="A6641" t="n">
        <v>6640</v>
      </c>
      <c r="B6641" t="inlineStr">
        <is>
          <t>V̅MDCXL</t>
        </is>
      </c>
      <c r="C6641">
        <f>ROMAN(6640)</f>
        <v/>
      </c>
      <c r="D6641">
        <f>IF(B6641=C6641, "YES", "WRONG")</f>
        <v/>
      </c>
    </row>
    <row r="6642">
      <c r="A6642" t="n">
        <v>6641</v>
      </c>
      <c r="B6642" t="inlineStr">
        <is>
          <t>V̅MDCXLI</t>
        </is>
      </c>
      <c r="C6642">
        <f>ROMAN(6641)</f>
        <v/>
      </c>
      <c r="D6642">
        <f>IF(B6642=C6642, "YES", "WRONG")</f>
        <v/>
      </c>
    </row>
    <row r="6643">
      <c r="A6643" t="n">
        <v>6642</v>
      </c>
      <c r="B6643" t="inlineStr">
        <is>
          <t>V̅MDCXLII</t>
        </is>
      </c>
      <c r="C6643">
        <f>ROMAN(6642)</f>
        <v/>
      </c>
      <c r="D6643">
        <f>IF(B6643=C6643, "YES", "WRONG")</f>
        <v/>
      </c>
    </row>
    <row r="6644">
      <c r="A6644" t="n">
        <v>6643</v>
      </c>
      <c r="B6644" t="inlineStr">
        <is>
          <t>V̅MDCXLIII</t>
        </is>
      </c>
      <c r="C6644">
        <f>ROMAN(6643)</f>
        <v/>
      </c>
      <c r="D6644">
        <f>IF(B6644=C6644, "YES", "WRONG")</f>
        <v/>
      </c>
    </row>
    <row r="6645">
      <c r="A6645" t="n">
        <v>6644</v>
      </c>
      <c r="B6645" t="inlineStr">
        <is>
          <t>V̅MDCXLIV</t>
        </is>
      </c>
      <c r="C6645">
        <f>ROMAN(6644)</f>
        <v/>
      </c>
      <c r="D6645">
        <f>IF(B6645=C6645, "YES", "WRONG")</f>
        <v/>
      </c>
    </row>
    <row r="6646">
      <c r="A6646" t="n">
        <v>6645</v>
      </c>
      <c r="B6646" t="inlineStr">
        <is>
          <t>V̅MDCXLV</t>
        </is>
      </c>
      <c r="C6646">
        <f>ROMAN(6645)</f>
        <v/>
      </c>
      <c r="D6646">
        <f>IF(B6646=C6646, "YES", "WRONG")</f>
        <v/>
      </c>
    </row>
    <row r="6647">
      <c r="A6647" t="n">
        <v>6646</v>
      </c>
      <c r="B6647" t="inlineStr">
        <is>
          <t>V̅MDCXLVI</t>
        </is>
      </c>
      <c r="C6647">
        <f>ROMAN(6646)</f>
        <v/>
      </c>
      <c r="D6647">
        <f>IF(B6647=C6647, "YES", "WRONG")</f>
        <v/>
      </c>
    </row>
    <row r="6648">
      <c r="A6648" t="n">
        <v>6647</v>
      </c>
      <c r="B6648" t="inlineStr">
        <is>
          <t>V̅MDCXLVII</t>
        </is>
      </c>
      <c r="C6648">
        <f>ROMAN(6647)</f>
        <v/>
      </c>
      <c r="D6648">
        <f>IF(B6648=C6648, "YES", "WRONG")</f>
        <v/>
      </c>
    </row>
    <row r="6649">
      <c r="A6649" t="n">
        <v>6648</v>
      </c>
      <c r="B6649" t="inlineStr">
        <is>
          <t>V̅MDCXLVIII</t>
        </is>
      </c>
      <c r="C6649">
        <f>ROMAN(6648)</f>
        <v/>
      </c>
      <c r="D6649">
        <f>IF(B6649=C6649, "YES", "WRONG")</f>
        <v/>
      </c>
    </row>
    <row r="6650">
      <c r="A6650" t="n">
        <v>6649</v>
      </c>
      <c r="B6650" t="inlineStr">
        <is>
          <t>V̅MDCXLIX</t>
        </is>
      </c>
      <c r="C6650">
        <f>ROMAN(6649)</f>
        <v/>
      </c>
      <c r="D6650">
        <f>IF(B6650=C6650, "YES", "WRONG")</f>
        <v/>
      </c>
    </row>
    <row r="6651">
      <c r="A6651" t="n">
        <v>6650</v>
      </c>
      <c r="B6651" t="inlineStr">
        <is>
          <t>V̅MDCL</t>
        </is>
      </c>
      <c r="C6651">
        <f>ROMAN(6650)</f>
        <v/>
      </c>
      <c r="D6651">
        <f>IF(B6651=C6651, "YES", "WRONG")</f>
        <v/>
      </c>
    </row>
    <row r="6652">
      <c r="A6652" t="n">
        <v>6651</v>
      </c>
      <c r="B6652" t="inlineStr">
        <is>
          <t>V̅MDCLI</t>
        </is>
      </c>
      <c r="C6652">
        <f>ROMAN(6651)</f>
        <v/>
      </c>
      <c r="D6652">
        <f>IF(B6652=C6652, "YES", "WRONG")</f>
        <v/>
      </c>
    </row>
    <row r="6653">
      <c r="A6653" t="n">
        <v>6652</v>
      </c>
      <c r="B6653" t="inlineStr">
        <is>
          <t>V̅MDCLII</t>
        </is>
      </c>
      <c r="C6653">
        <f>ROMAN(6652)</f>
        <v/>
      </c>
      <c r="D6653">
        <f>IF(B6653=C6653, "YES", "WRONG")</f>
        <v/>
      </c>
    </row>
    <row r="6654">
      <c r="A6654" t="n">
        <v>6653</v>
      </c>
      <c r="B6654" t="inlineStr">
        <is>
          <t>V̅MDCLIII</t>
        </is>
      </c>
      <c r="C6654">
        <f>ROMAN(6653)</f>
        <v/>
      </c>
      <c r="D6654">
        <f>IF(B6654=C6654, "YES", "WRONG")</f>
        <v/>
      </c>
    </row>
    <row r="6655">
      <c r="A6655" t="n">
        <v>6654</v>
      </c>
      <c r="B6655" t="inlineStr">
        <is>
          <t>V̅MDCLIV</t>
        </is>
      </c>
      <c r="C6655">
        <f>ROMAN(6654)</f>
        <v/>
      </c>
      <c r="D6655">
        <f>IF(B6655=C6655, "YES", "WRONG")</f>
        <v/>
      </c>
    </row>
    <row r="6656">
      <c r="A6656" t="n">
        <v>6655</v>
      </c>
      <c r="B6656" t="inlineStr">
        <is>
          <t>V̅MDCLV</t>
        </is>
      </c>
      <c r="C6656">
        <f>ROMAN(6655)</f>
        <v/>
      </c>
      <c r="D6656">
        <f>IF(B6656=C6656, "YES", "WRONG")</f>
        <v/>
      </c>
    </row>
    <row r="6657">
      <c r="A6657" t="n">
        <v>6656</v>
      </c>
      <c r="B6657" t="inlineStr">
        <is>
          <t>V̅MDCLVI</t>
        </is>
      </c>
      <c r="C6657">
        <f>ROMAN(6656)</f>
        <v/>
      </c>
      <c r="D6657">
        <f>IF(B6657=C6657, "YES", "WRONG")</f>
        <v/>
      </c>
    </row>
    <row r="6658">
      <c r="A6658" t="n">
        <v>6657</v>
      </c>
      <c r="B6658" t="inlineStr">
        <is>
          <t>V̅MDCLVII</t>
        </is>
      </c>
      <c r="C6658">
        <f>ROMAN(6657)</f>
        <v/>
      </c>
      <c r="D6658">
        <f>IF(B6658=C6658, "YES", "WRONG")</f>
        <v/>
      </c>
    </row>
    <row r="6659">
      <c r="A6659" t="n">
        <v>6658</v>
      </c>
      <c r="B6659" t="inlineStr">
        <is>
          <t>V̅MDCLVIII</t>
        </is>
      </c>
      <c r="C6659">
        <f>ROMAN(6658)</f>
        <v/>
      </c>
      <c r="D6659">
        <f>IF(B6659=C6659, "YES", "WRONG")</f>
        <v/>
      </c>
    </row>
    <row r="6660">
      <c r="A6660" t="n">
        <v>6659</v>
      </c>
      <c r="B6660" t="inlineStr">
        <is>
          <t>V̅MDCLIX</t>
        </is>
      </c>
      <c r="C6660">
        <f>ROMAN(6659)</f>
        <v/>
      </c>
      <c r="D6660">
        <f>IF(B6660=C6660, "YES", "WRONG")</f>
        <v/>
      </c>
    </row>
    <row r="6661">
      <c r="A6661" t="n">
        <v>6660</v>
      </c>
      <c r="B6661" t="inlineStr">
        <is>
          <t>V̅MDCLX</t>
        </is>
      </c>
      <c r="C6661">
        <f>ROMAN(6660)</f>
        <v/>
      </c>
      <c r="D6661">
        <f>IF(B6661=C6661, "YES", "WRONG")</f>
        <v/>
      </c>
    </row>
    <row r="6662">
      <c r="A6662" t="n">
        <v>6661</v>
      </c>
      <c r="B6662" t="inlineStr">
        <is>
          <t>V̅MDCLXI</t>
        </is>
      </c>
      <c r="C6662">
        <f>ROMAN(6661)</f>
        <v/>
      </c>
      <c r="D6662">
        <f>IF(B6662=C6662, "YES", "WRONG")</f>
        <v/>
      </c>
    </row>
    <row r="6663">
      <c r="A6663" t="n">
        <v>6662</v>
      </c>
      <c r="B6663" t="inlineStr">
        <is>
          <t>V̅MDCLXII</t>
        </is>
      </c>
      <c r="C6663">
        <f>ROMAN(6662)</f>
        <v/>
      </c>
      <c r="D6663">
        <f>IF(B6663=C6663, "YES", "WRONG")</f>
        <v/>
      </c>
    </row>
    <row r="6664">
      <c r="A6664" t="n">
        <v>6663</v>
      </c>
      <c r="B6664" t="inlineStr">
        <is>
          <t>V̅MDCLXIII</t>
        </is>
      </c>
      <c r="C6664">
        <f>ROMAN(6663)</f>
        <v/>
      </c>
      <c r="D6664">
        <f>IF(B6664=C6664, "YES", "WRONG")</f>
        <v/>
      </c>
    </row>
    <row r="6665">
      <c r="A6665" t="n">
        <v>6664</v>
      </c>
      <c r="B6665" t="inlineStr">
        <is>
          <t>V̅MDCLXIV</t>
        </is>
      </c>
      <c r="C6665">
        <f>ROMAN(6664)</f>
        <v/>
      </c>
      <c r="D6665">
        <f>IF(B6665=C6665, "YES", "WRONG")</f>
        <v/>
      </c>
    </row>
    <row r="6666">
      <c r="A6666" t="n">
        <v>6665</v>
      </c>
      <c r="B6666" t="inlineStr">
        <is>
          <t>V̅MDCLXV</t>
        </is>
      </c>
      <c r="C6666">
        <f>ROMAN(6665)</f>
        <v/>
      </c>
      <c r="D6666">
        <f>IF(B6666=C6666, "YES", "WRONG")</f>
        <v/>
      </c>
    </row>
    <row r="6667">
      <c r="A6667" t="n">
        <v>6666</v>
      </c>
      <c r="B6667" t="inlineStr">
        <is>
          <t>V̅MDCLXVI</t>
        </is>
      </c>
      <c r="C6667">
        <f>ROMAN(6666)</f>
        <v/>
      </c>
      <c r="D6667">
        <f>IF(B6667=C6667, "YES", "WRONG")</f>
        <v/>
      </c>
    </row>
    <row r="6668">
      <c r="A6668" t="n">
        <v>6667</v>
      </c>
      <c r="B6668" t="inlineStr">
        <is>
          <t>V̅MDCLXVII</t>
        </is>
      </c>
      <c r="C6668">
        <f>ROMAN(6667)</f>
        <v/>
      </c>
      <c r="D6668">
        <f>IF(B6668=C6668, "YES", "WRONG")</f>
        <v/>
      </c>
    </row>
    <row r="6669">
      <c r="A6669" t="n">
        <v>6668</v>
      </c>
      <c r="B6669" t="inlineStr">
        <is>
          <t>V̅MDCLXVIII</t>
        </is>
      </c>
      <c r="C6669">
        <f>ROMAN(6668)</f>
        <v/>
      </c>
      <c r="D6669">
        <f>IF(B6669=C6669, "YES", "WRONG")</f>
        <v/>
      </c>
    </row>
    <row r="6670">
      <c r="A6670" t="n">
        <v>6669</v>
      </c>
      <c r="B6670" t="inlineStr">
        <is>
          <t>V̅MDCLXIX</t>
        </is>
      </c>
      <c r="C6670">
        <f>ROMAN(6669)</f>
        <v/>
      </c>
      <c r="D6670">
        <f>IF(B6670=C6670, "YES", "WRONG")</f>
        <v/>
      </c>
    </row>
    <row r="6671">
      <c r="A6671" t="n">
        <v>6670</v>
      </c>
      <c r="B6671" t="inlineStr">
        <is>
          <t>V̅MDCLXX</t>
        </is>
      </c>
      <c r="C6671">
        <f>ROMAN(6670)</f>
        <v/>
      </c>
      <c r="D6671">
        <f>IF(B6671=C6671, "YES", "WRONG")</f>
        <v/>
      </c>
    </row>
    <row r="6672">
      <c r="A6672" t="n">
        <v>6671</v>
      </c>
      <c r="B6672" t="inlineStr">
        <is>
          <t>V̅MDCLXXI</t>
        </is>
      </c>
      <c r="C6672">
        <f>ROMAN(6671)</f>
        <v/>
      </c>
      <c r="D6672">
        <f>IF(B6672=C6672, "YES", "WRONG")</f>
        <v/>
      </c>
    </row>
    <row r="6673">
      <c r="A6673" t="n">
        <v>6672</v>
      </c>
      <c r="B6673" t="inlineStr">
        <is>
          <t>V̅MDCLXXII</t>
        </is>
      </c>
      <c r="C6673">
        <f>ROMAN(6672)</f>
        <v/>
      </c>
      <c r="D6673">
        <f>IF(B6673=C6673, "YES", "WRONG")</f>
        <v/>
      </c>
    </row>
    <row r="6674">
      <c r="A6674" t="n">
        <v>6673</v>
      </c>
      <c r="B6674" t="inlineStr">
        <is>
          <t>V̅MDCLXXIII</t>
        </is>
      </c>
      <c r="C6674">
        <f>ROMAN(6673)</f>
        <v/>
      </c>
      <c r="D6674">
        <f>IF(B6674=C6674, "YES", "WRONG")</f>
        <v/>
      </c>
    </row>
    <row r="6675">
      <c r="A6675" t="n">
        <v>6674</v>
      </c>
      <c r="B6675" t="inlineStr">
        <is>
          <t>V̅MDCLXXIV</t>
        </is>
      </c>
      <c r="C6675">
        <f>ROMAN(6674)</f>
        <v/>
      </c>
      <c r="D6675">
        <f>IF(B6675=C6675, "YES", "WRONG")</f>
        <v/>
      </c>
    </row>
    <row r="6676">
      <c r="A6676" t="n">
        <v>6675</v>
      </c>
      <c r="B6676" t="inlineStr">
        <is>
          <t>V̅MDCLXXV</t>
        </is>
      </c>
      <c r="C6676">
        <f>ROMAN(6675)</f>
        <v/>
      </c>
      <c r="D6676">
        <f>IF(B6676=C6676, "YES", "WRONG")</f>
        <v/>
      </c>
    </row>
    <row r="6677">
      <c r="A6677" t="n">
        <v>6676</v>
      </c>
      <c r="B6677" t="inlineStr">
        <is>
          <t>V̅MDCLXXVI</t>
        </is>
      </c>
      <c r="C6677">
        <f>ROMAN(6676)</f>
        <v/>
      </c>
      <c r="D6677">
        <f>IF(B6677=C6677, "YES", "WRONG")</f>
        <v/>
      </c>
    </row>
    <row r="6678">
      <c r="A6678" t="n">
        <v>6677</v>
      </c>
      <c r="B6678" t="inlineStr">
        <is>
          <t>V̅MDCLXXVII</t>
        </is>
      </c>
      <c r="C6678">
        <f>ROMAN(6677)</f>
        <v/>
      </c>
      <c r="D6678">
        <f>IF(B6678=C6678, "YES", "WRONG")</f>
        <v/>
      </c>
    </row>
    <row r="6679">
      <c r="A6679" t="n">
        <v>6678</v>
      </c>
      <c r="B6679" t="inlineStr">
        <is>
          <t>V̅MDCLXXVIII</t>
        </is>
      </c>
      <c r="C6679">
        <f>ROMAN(6678)</f>
        <v/>
      </c>
      <c r="D6679">
        <f>IF(B6679=C6679, "YES", "WRONG")</f>
        <v/>
      </c>
    </row>
    <row r="6680">
      <c r="A6680" t="n">
        <v>6679</v>
      </c>
      <c r="B6680" t="inlineStr">
        <is>
          <t>V̅MDCLXXIX</t>
        </is>
      </c>
      <c r="C6680">
        <f>ROMAN(6679)</f>
        <v/>
      </c>
      <c r="D6680">
        <f>IF(B6680=C6680, "YES", "WRONG")</f>
        <v/>
      </c>
    </row>
    <row r="6681">
      <c r="A6681" t="n">
        <v>6680</v>
      </c>
      <c r="B6681" t="inlineStr">
        <is>
          <t>V̅MDCLXXX</t>
        </is>
      </c>
      <c r="C6681">
        <f>ROMAN(6680)</f>
        <v/>
      </c>
      <c r="D6681">
        <f>IF(B6681=C6681, "YES", "WRONG")</f>
        <v/>
      </c>
    </row>
    <row r="6682">
      <c r="A6682" t="n">
        <v>6681</v>
      </c>
      <c r="B6682" t="inlineStr">
        <is>
          <t>V̅MDCLXXXI</t>
        </is>
      </c>
      <c r="C6682">
        <f>ROMAN(6681)</f>
        <v/>
      </c>
      <c r="D6682">
        <f>IF(B6682=C6682, "YES", "WRONG")</f>
        <v/>
      </c>
    </row>
    <row r="6683">
      <c r="A6683" t="n">
        <v>6682</v>
      </c>
      <c r="B6683" t="inlineStr">
        <is>
          <t>V̅MDCLXXXII</t>
        </is>
      </c>
      <c r="C6683">
        <f>ROMAN(6682)</f>
        <v/>
      </c>
      <c r="D6683">
        <f>IF(B6683=C6683, "YES", "WRONG")</f>
        <v/>
      </c>
    </row>
    <row r="6684">
      <c r="A6684" t="n">
        <v>6683</v>
      </c>
      <c r="B6684" t="inlineStr">
        <is>
          <t>V̅MDCLXXXIII</t>
        </is>
      </c>
      <c r="C6684">
        <f>ROMAN(6683)</f>
        <v/>
      </c>
      <c r="D6684">
        <f>IF(B6684=C6684, "YES", "WRONG")</f>
        <v/>
      </c>
    </row>
    <row r="6685">
      <c r="A6685" t="n">
        <v>6684</v>
      </c>
      <c r="B6685" t="inlineStr">
        <is>
          <t>V̅MDCLXXXIV</t>
        </is>
      </c>
      <c r="C6685">
        <f>ROMAN(6684)</f>
        <v/>
      </c>
      <c r="D6685">
        <f>IF(B6685=C6685, "YES", "WRONG")</f>
        <v/>
      </c>
    </row>
    <row r="6686">
      <c r="A6686" t="n">
        <v>6685</v>
      </c>
      <c r="B6686" t="inlineStr">
        <is>
          <t>V̅MDCLXXXV</t>
        </is>
      </c>
      <c r="C6686">
        <f>ROMAN(6685)</f>
        <v/>
      </c>
      <c r="D6686">
        <f>IF(B6686=C6686, "YES", "WRONG")</f>
        <v/>
      </c>
    </row>
    <row r="6687">
      <c r="A6687" t="n">
        <v>6686</v>
      </c>
      <c r="B6687" t="inlineStr">
        <is>
          <t>V̅MDCLXXXVI</t>
        </is>
      </c>
      <c r="C6687">
        <f>ROMAN(6686)</f>
        <v/>
      </c>
      <c r="D6687">
        <f>IF(B6687=C6687, "YES", "WRONG")</f>
        <v/>
      </c>
    </row>
    <row r="6688">
      <c r="A6688" t="n">
        <v>6687</v>
      </c>
      <c r="B6688" t="inlineStr">
        <is>
          <t>V̅MDCLXXXVII</t>
        </is>
      </c>
      <c r="C6688">
        <f>ROMAN(6687)</f>
        <v/>
      </c>
      <c r="D6688">
        <f>IF(B6688=C6688, "YES", "WRONG")</f>
        <v/>
      </c>
    </row>
    <row r="6689">
      <c r="A6689" t="n">
        <v>6688</v>
      </c>
      <c r="B6689" t="inlineStr">
        <is>
          <t>V̅MDCLXXXVIII</t>
        </is>
      </c>
      <c r="C6689">
        <f>ROMAN(6688)</f>
        <v/>
      </c>
      <c r="D6689">
        <f>IF(B6689=C6689, "YES", "WRONG")</f>
        <v/>
      </c>
    </row>
    <row r="6690">
      <c r="A6690" t="n">
        <v>6689</v>
      </c>
      <c r="B6690" t="inlineStr">
        <is>
          <t>V̅MDCLXXXIX</t>
        </is>
      </c>
      <c r="C6690">
        <f>ROMAN(6689)</f>
        <v/>
      </c>
      <c r="D6690">
        <f>IF(B6690=C6690, "YES", "WRONG")</f>
        <v/>
      </c>
    </row>
    <row r="6691">
      <c r="A6691" t="n">
        <v>6690</v>
      </c>
      <c r="B6691" t="inlineStr">
        <is>
          <t>V̅MDCXC</t>
        </is>
      </c>
      <c r="C6691">
        <f>ROMAN(6690)</f>
        <v/>
      </c>
      <c r="D6691">
        <f>IF(B6691=C6691, "YES", "WRONG")</f>
        <v/>
      </c>
    </row>
    <row r="6692">
      <c r="A6692" t="n">
        <v>6691</v>
      </c>
      <c r="B6692" t="inlineStr">
        <is>
          <t>V̅MDCXCI</t>
        </is>
      </c>
      <c r="C6692">
        <f>ROMAN(6691)</f>
        <v/>
      </c>
      <c r="D6692">
        <f>IF(B6692=C6692, "YES", "WRONG")</f>
        <v/>
      </c>
    </row>
    <row r="6693">
      <c r="A6693" t="n">
        <v>6692</v>
      </c>
      <c r="B6693" t="inlineStr">
        <is>
          <t>V̅MDCXCII</t>
        </is>
      </c>
      <c r="C6693">
        <f>ROMAN(6692)</f>
        <v/>
      </c>
      <c r="D6693">
        <f>IF(B6693=C6693, "YES", "WRONG")</f>
        <v/>
      </c>
    </row>
    <row r="6694">
      <c r="A6694" t="n">
        <v>6693</v>
      </c>
      <c r="B6694" t="inlineStr">
        <is>
          <t>V̅MDCXCIII</t>
        </is>
      </c>
      <c r="C6694">
        <f>ROMAN(6693)</f>
        <v/>
      </c>
      <c r="D6694">
        <f>IF(B6694=C6694, "YES", "WRONG")</f>
        <v/>
      </c>
    </row>
    <row r="6695">
      <c r="A6695" t="n">
        <v>6694</v>
      </c>
      <c r="B6695" t="inlineStr">
        <is>
          <t>V̅MDCXCIV</t>
        </is>
      </c>
      <c r="C6695">
        <f>ROMAN(6694)</f>
        <v/>
      </c>
      <c r="D6695">
        <f>IF(B6695=C6695, "YES", "WRONG")</f>
        <v/>
      </c>
    </row>
    <row r="6696">
      <c r="A6696" t="n">
        <v>6695</v>
      </c>
      <c r="B6696" t="inlineStr">
        <is>
          <t>V̅MDCXCV</t>
        </is>
      </c>
      <c r="C6696">
        <f>ROMAN(6695)</f>
        <v/>
      </c>
      <c r="D6696">
        <f>IF(B6696=C6696, "YES", "WRONG")</f>
        <v/>
      </c>
    </row>
    <row r="6697">
      <c r="A6697" t="n">
        <v>6696</v>
      </c>
      <c r="B6697" t="inlineStr">
        <is>
          <t>V̅MDCXCVI</t>
        </is>
      </c>
      <c r="C6697">
        <f>ROMAN(6696)</f>
        <v/>
      </c>
      <c r="D6697">
        <f>IF(B6697=C6697, "YES", "WRONG")</f>
        <v/>
      </c>
    </row>
    <row r="6698">
      <c r="A6698" t="n">
        <v>6697</v>
      </c>
      <c r="B6698" t="inlineStr">
        <is>
          <t>V̅MDCXCVII</t>
        </is>
      </c>
      <c r="C6698">
        <f>ROMAN(6697)</f>
        <v/>
      </c>
      <c r="D6698">
        <f>IF(B6698=C6698, "YES", "WRONG")</f>
        <v/>
      </c>
    </row>
    <row r="6699">
      <c r="A6699" t="n">
        <v>6698</v>
      </c>
      <c r="B6699" t="inlineStr">
        <is>
          <t>V̅MDCXCVIII</t>
        </is>
      </c>
      <c r="C6699">
        <f>ROMAN(6698)</f>
        <v/>
      </c>
      <c r="D6699">
        <f>IF(B6699=C6699, "YES", "WRONG")</f>
        <v/>
      </c>
    </row>
    <row r="6700">
      <c r="A6700" t="n">
        <v>6699</v>
      </c>
      <c r="B6700" t="inlineStr">
        <is>
          <t>V̅MDCXCIX</t>
        </is>
      </c>
      <c r="C6700">
        <f>ROMAN(6699)</f>
        <v/>
      </c>
      <c r="D6700">
        <f>IF(B6700=C6700, "YES", "WRONG")</f>
        <v/>
      </c>
    </row>
    <row r="6701">
      <c r="A6701" t="n">
        <v>6700</v>
      </c>
      <c r="B6701" t="inlineStr">
        <is>
          <t>V̅MDCC</t>
        </is>
      </c>
      <c r="C6701">
        <f>ROMAN(6700)</f>
        <v/>
      </c>
      <c r="D6701">
        <f>IF(B6701=C6701, "YES", "WRONG")</f>
        <v/>
      </c>
    </row>
    <row r="6702">
      <c r="A6702" t="n">
        <v>6701</v>
      </c>
      <c r="B6702" t="inlineStr">
        <is>
          <t>V̅MDCCI</t>
        </is>
      </c>
      <c r="C6702">
        <f>ROMAN(6701)</f>
        <v/>
      </c>
      <c r="D6702">
        <f>IF(B6702=C6702, "YES", "WRONG")</f>
        <v/>
      </c>
    </row>
    <row r="6703">
      <c r="A6703" t="n">
        <v>6702</v>
      </c>
      <c r="B6703" t="inlineStr">
        <is>
          <t>V̅MDCCII</t>
        </is>
      </c>
      <c r="C6703">
        <f>ROMAN(6702)</f>
        <v/>
      </c>
      <c r="D6703">
        <f>IF(B6703=C6703, "YES", "WRONG")</f>
        <v/>
      </c>
    </row>
    <row r="6704">
      <c r="A6704" t="n">
        <v>6703</v>
      </c>
      <c r="B6704" t="inlineStr">
        <is>
          <t>V̅MDCCIII</t>
        </is>
      </c>
      <c r="C6704">
        <f>ROMAN(6703)</f>
        <v/>
      </c>
      <c r="D6704">
        <f>IF(B6704=C6704, "YES", "WRONG")</f>
        <v/>
      </c>
    </row>
    <row r="6705">
      <c r="A6705" t="n">
        <v>6704</v>
      </c>
      <c r="B6705" t="inlineStr">
        <is>
          <t>V̅MDCCIV</t>
        </is>
      </c>
      <c r="C6705">
        <f>ROMAN(6704)</f>
        <v/>
      </c>
      <c r="D6705">
        <f>IF(B6705=C6705, "YES", "WRONG")</f>
        <v/>
      </c>
    </row>
    <row r="6706">
      <c r="A6706" t="n">
        <v>6705</v>
      </c>
      <c r="B6706" t="inlineStr">
        <is>
          <t>V̅MDCCV</t>
        </is>
      </c>
      <c r="C6706">
        <f>ROMAN(6705)</f>
        <v/>
      </c>
      <c r="D6706">
        <f>IF(B6706=C6706, "YES", "WRONG")</f>
        <v/>
      </c>
    </row>
    <row r="6707">
      <c r="A6707" t="n">
        <v>6706</v>
      </c>
      <c r="B6707" t="inlineStr">
        <is>
          <t>V̅MDCCVI</t>
        </is>
      </c>
      <c r="C6707">
        <f>ROMAN(6706)</f>
        <v/>
      </c>
      <c r="D6707">
        <f>IF(B6707=C6707, "YES", "WRONG")</f>
        <v/>
      </c>
    </row>
    <row r="6708">
      <c r="A6708" t="n">
        <v>6707</v>
      </c>
      <c r="B6708" t="inlineStr">
        <is>
          <t>V̅MDCCVII</t>
        </is>
      </c>
      <c r="C6708">
        <f>ROMAN(6707)</f>
        <v/>
      </c>
      <c r="D6708">
        <f>IF(B6708=C6708, "YES", "WRONG")</f>
        <v/>
      </c>
    </row>
    <row r="6709">
      <c r="A6709" t="n">
        <v>6708</v>
      </c>
      <c r="B6709" t="inlineStr">
        <is>
          <t>V̅MDCCVIII</t>
        </is>
      </c>
      <c r="C6709">
        <f>ROMAN(6708)</f>
        <v/>
      </c>
      <c r="D6709">
        <f>IF(B6709=C6709, "YES", "WRONG")</f>
        <v/>
      </c>
    </row>
    <row r="6710">
      <c r="A6710" t="n">
        <v>6709</v>
      </c>
      <c r="B6710" t="inlineStr">
        <is>
          <t>V̅MDCCIX</t>
        </is>
      </c>
      <c r="C6710">
        <f>ROMAN(6709)</f>
        <v/>
      </c>
      <c r="D6710">
        <f>IF(B6710=C6710, "YES", "WRONG")</f>
        <v/>
      </c>
    </row>
    <row r="6711">
      <c r="A6711" t="n">
        <v>6710</v>
      </c>
      <c r="B6711" t="inlineStr">
        <is>
          <t>V̅MDCCX</t>
        </is>
      </c>
      <c r="C6711">
        <f>ROMAN(6710)</f>
        <v/>
      </c>
      <c r="D6711">
        <f>IF(B6711=C6711, "YES", "WRONG")</f>
        <v/>
      </c>
    </row>
    <row r="6712">
      <c r="A6712" t="n">
        <v>6711</v>
      </c>
      <c r="B6712" t="inlineStr">
        <is>
          <t>V̅MDCCXI</t>
        </is>
      </c>
      <c r="C6712">
        <f>ROMAN(6711)</f>
        <v/>
      </c>
      <c r="D6712">
        <f>IF(B6712=C6712, "YES", "WRONG")</f>
        <v/>
      </c>
    </row>
    <row r="6713">
      <c r="A6713" t="n">
        <v>6712</v>
      </c>
      <c r="B6713" t="inlineStr">
        <is>
          <t>V̅MDCCXII</t>
        </is>
      </c>
      <c r="C6713">
        <f>ROMAN(6712)</f>
        <v/>
      </c>
      <c r="D6713">
        <f>IF(B6713=C6713, "YES", "WRONG")</f>
        <v/>
      </c>
    </row>
    <row r="6714">
      <c r="A6714" t="n">
        <v>6713</v>
      </c>
      <c r="B6714" t="inlineStr">
        <is>
          <t>V̅MDCCXIII</t>
        </is>
      </c>
      <c r="C6714">
        <f>ROMAN(6713)</f>
        <v/>
      </c>
      <c r="D6714">
        <f>IF(B6714=C6714, "YES", "WRONG")</f>
        <v/>
      </c>
    </row>
    <row r="6715">
      <c r="A6715" t="n">
        <v>6714</v>
      </c>
      <c r="B6715" t="inlineStr">
        <is>
          <t>V̅MDCCXIV</t>
        </is>
      </c>
      <c r="C6715">
        <f>ROMAN(6714)</f>
        <v/>
      </c>
      <c r="D6715">
        <f>IF(B6715=C6715, "YES", "WRONG")</f>
        <v/>
      </c>
    </row>
    <row r="6716">
      <c r="A6716" t="n">
        <v>6715</v>
      </c>
      <c r="B6716" t="inlineStr">
        <is>
          <t>V̅MDCCXV</t>
        </is>
      </c>
      <c r="C6716">
        <f>ROMAN(6715)</f>
        <v/>
      </c>
      <c r="D6716">
        <f>IF(B6716=C6716, "YES", "WRONG")</f>
        <v/>
      </c>
    </row>
    <row r="6717">
      <c r="A6717" t="n">
        <v>6716</v>
      </c>
      <c r="B6717" t="inlineStr">
        <is>
          <t>V̅MDCCXVI</t>
        </is>
      </c>
      <c r="C6717">
        <f>ROMAN(6716)</f>
        <v/>
      </c>
      <c r="D6717">
        <f>IF(B6717=C6717, "YES", "WRONG")</f>
        <v/>
      </c>
    </row>
    <row r="6718">
      <c r="A6718" t="n">
        <v>6717</v>
      </c>
      <c r="B6718" t="inlineStr">
        <is>
          <t>V̅MDCCXVII</t>
        </is>
      </c>
      <c r="C6718">
        <f>ROMAN(6717)</f>
        <v/>
      </c>
      <c r="D6718">
        <f>IF(B6718=C6718, "YES", "WRONG")</f>
        <v/>
      </c>
    </row>
    <row r="6719">
      <c r="A6719" t="n">
        <v>6718</v>
      </c>
      <c r="B6719" t="inlineStr">
        <is>
          <t>V̅MDCCXVIII</t>
        </is>
      </c>
      <c r="C6719">
        <f>ROMAN(6718)</f>
        <v/>
      </c>
      <c r="D6719">
        <f>IF(B6719=C6719, "YES", "WRONG")</f>
        <v/>
      </c>
    </row>
    <row r="6720">
      <c r="A6720" t="n">
        <v>6719</v>
      </c>
      <c r="B6720" t="inlineStr">
        <is>
          <t>V̅MDCCXIX</t>
        </is>
      </c>
      <c r="C6720">
        <f>ROMAN(6719)</f>
        <v/>
      </c>
      <c r="D6720">
        <f>IF(B6720=C6720, "YES", "WRONG")</f>
        <v/>
      </c>
    </row>
    <row r="6721">
      <c r="A6721" t="n">
        <v>6720</v>
      </c>
      <c r="B6721" t="inlineStr">
        <is>
          <t>V̅MDCCXX</t>
        </is>
      </c>
      <c r="C6721">
        <f>ROMAN(6720)</f>
        <v/>
      </c>
      <c r="D6721">
        <f>IF(B6721=C6721, "YES", "WRONG")</f>
        <v/>
      </c>
    </row>
    <row r="6722">
      <c r="A6722" t="n">
        <v>6721</v>
      </c>
      <c r="B6722" t="inlineStr">
        <is>
          <t>V̅MDCCXXI</t>
        </is>
      </c>
      <c r="C6722">
        <f>ROMAN(6721)</f>
        <v/>
      </c>
      <c r="D6722">
        <f>IF(B6722=C6722, "YES", "WRONG")</f>
        <v/>
      </c>
    </row>
    <row r="6723">
      <c r="A6723" t="n">
        <v>6722</v>
      </c>
      <c r="B6723" t="inlineStr">
        <is>
          <t>V̅MDCCXXII</t>
        </is>
      </c>
      <c r="C6723">
        <f>ROMAN(6722)</f>
        <v/>
      </c>
      <c r="D6723">
        <f>IF(B6723=C6723, "YES", "WRONG")</f>
        <v/>
      </c>
    </row>
    <row r="6724">
      <c r="A6724" t="n">
        <v>6723</v>
      </c>
      <c r="B6724" t="inlineStr">
        <is>
          <t>V̅MDCCXXIII</t>
        </is>
      </c>
      <c r="C6724">
        <f>ROMAN(6723)</f>
        <v/>
      </c>
      <c r="D6724">
        <f>IF(B6724=C6724, "YES", "WRONG")</f>
        <v/>
      </c>
    </row>
    <row r="6725">
      <c r="A6725" t="n">
        <v>6724</v>
      </c>
      <c r="B6725" t="inlineStr">
        <is>
          <t>V̅MDCCXXIV</t>
        </is>
      </c>
      <c r="C6725">
        <f>ROMAN(6724)</f>
        <v/>
      </c>
      <c r="D6725">
        <f>IF(B6725=C6725, "YES", "WRONG")</f>
        <v/>
      </c>
    </row>
    <row r="6726">
      <c r="A6726" t="n">
        <v>6725</v>
      </c>
      <c r="B6726" t="inlineStr">
        <is>
          <t>V̅MDCCXXV</t>
        </is>
      </c>
      <c r="C6726">
        <f>ROMAN(6725)</f>
        <v/>
      </c>
      <c r="D6726">
        <f>IF(B6726=C6726, "YES", "WRONG")</f>
        <v/>
      </c>
    </row>
    <row r="6727">
      <c r="A6727" t="n">
        <v>6726</v>
      </c>
      <c r="B6727" t="inlineStr">
        <is>
          <t>V̅MDCCXXVI</t>
        </is>
      </c>
      <c r="C6727">
        <f>ROMAN(6726)</f>
        <v/>
      </c>
      <c r="D6727">
        <f>IF(B6727=C6727, "YES", "WRONG")</f>
        <v/>
      </c>
    </row>
    <row r="6728">
      <c r="A6728" t="n">
        <v>6727</v>
      </c>
      <c r="B6728" t="inlineStr">
        <is>
          <t>V̅MDCCXXVII</t>
        </is>
      </c>
      <c r="C6728">
        <f>ROMAN(6727)</f>
        <v/>
      </c>
      <c r="D6728">
        <f>IF(B6728=C6728, "YES", "WRONG")</f>
        <v/>
      </c>
    </row>
    <row r="6729">
      <c r="A6729" t="n">
        <v>6728</v>
      </c>
      <c r="B6729" t="inlineStr">
        <is>
          <t>V̅MDCCXXVIII</t>
        </is>
      </c>
      <c r="C6729">
        <f>ROMAN(6728)</f>
        <v/>
      </c>
      <c r="D6729">
        <f>IF(B6729=C6729, "YES", "WRONG")</f>
        <v/>
      </c>
    </row>
    <row r="6730">
      <c r="A6730" t="n">
        <v>6729</v>
      </c>
      <c r="B6730" t="inlineStr">
        <is>
          <t>V̅MDCCXXIX</t>
        </is>
      </c>
      <c r="C6730">
        <f>ROMAN(6729)</f>
        <v/>
      </c>
      <c r="D6730">
        <f>IF(B6730=C6730, "YES", "WRONG")</f>
        <v/>
      </c>
    </row>
    <row r="6731">
      <c r="A6731" t="n">
        <v>6730</v>
      </c>
      <c r="B6731" t="inlineStr">
        <is>
          <t>V̅MDCCXXX</t>
        </is>
      </c>
      <c r="C6731">
        <f>ROMAN(6730)</f>
        <v/>
      </c>
      <c r="D6731">
        <f>IF(B6731=C6731, "YES", "WRONG")</f>
        <v/>
      </c>
    </row>
    <row r="6732">
      <c r="A6732" t="n">
        <v>6731</v>
      </c>
      <c r="B6732" t="inlineStr">
        <is>
          <t>V̅MDCCXXXI</t>
        </is>
      </c>
      <c r="C6732">
        <f>ROMAN(6731)</f>
        <v/>
      </c>
      <c r="D6732">
        <f>IF(B6732=C6732, "YES", "WRONG")</f>
        <v/>
      </c>
    </row>
    <row r="6733">
      <c r="A6733" t="n">
        <v>6732</v>
      </c>
      <c r="B6733" t="inlineStr">
        <is>
          <t>V̅MDCCXXXII</t>
        </is>
      </c>
      <c r="C6733">
        <f>ROMAN(6732)</f>
        <v/>
      </c>
      <c r="D6733">
        <f>IF(B6733=C6733, "YES", "WRONG")</f>
        <v/>
      </c>
    </row>
    <row r="6734">
      <c r="A6734" t="n">
        <v>6733</v>
      </c>
      <c r="B6734" t="inlineStr">
        <is>
          <t>V̅MDCCXXXIII</t>
        </is>
      </c>
      <c r="C6734">
        <f>ROMAN(6733)</f>
        <v/>
      </c>
      <c r="D6734">
        <f>IF(B6734=C6734, "YES", "WRONG")</f>
        <v/>
      </c>
    </row>
    <row r="6735">
      <c r="A6735" t="n">
        <v>6734</v>
      </c>
      <c r="B6735" t="inlineStr">
        <is>
          <t>V̅MDCCXXXIV</t>
        </is>
      </c>
      <c r="C6735">
        <f>ROMAN(6734)</f>
        <v/>
      </c>
      <c r="D6735">
        <f>IF(B6735=C6735, "YES", "WRONG")</f>
        <v/>
      </c>
    </row>
    <row r="6736">
      <c r="A6736" t="n">
        <v>6735</v>
      </c>
      <c r="B6736" t="inlineStr">
        <is>
          <t>V̅MDCCXXXV</t>
        </is>
      </c>
      <c r="C6736">
        <f>ROMAN(6735)</f>
        <v/>
      </c>
      <c r="D6736">
        <f>IF(B6736=C6736, "YES", "WRONG")</f>
        <v/>
      </c>
    </row>
    <row r="6737">
      <c r="A6737" t="n">
        <v>6736</v>
      </c>
      <c r="B6737" t="inlineStr">
        <is>
          <t>V̅MDCCXXXVI</t>
        </is>
      </c>
      <c r="C6737">
        <f>ROMAN(6736)</f>
        <v/>
      </c>
      <c r="D6737">
        <f>IF(B6737=C6737, "YES", "WRONG")</f>
        <v/>
      </c>
    </row>
    <row r="6738">
      <c r="A6738" t="n">
        <v>6737</v>
      </c>
      <c r="B6738" t="inlineStr">
        <is>
          <t>V̅MDCCXXXVII</t>
        </is>
      </c>
      <c r="C6738">
        <f>ROMAN(6737)</f>
        <v/>
      </c>
      <c r="D6738">
        <f>IF(B6738=C6738, "YES", "WRONG")</f>
        <v/>
      </c>
    </row>
    <row r="6739">
      <c r="A6739" t="n">
        <v>6738</v>
      </c>
      <c r="B6739" t="inlineStr">
        <is>
          <t>V̅MDCCXXXVIII</t>
        </is>
      </c>
      <c r="C6739">
        <f>ROMAN(6738)</f>
        <v/>
      </c>
      <c r="D6739">
        <f>IF(B6739=C6739, "YES", "WRONG")</f>
        <v/>
      </c>
    </row>
    <row r="6740">
      <c r="A6740" t="n">
        <v>6739</v>
      </c>
      <c r="B6740" t="inlineStr">
        <is>
          <t>V̅MDCCXXXIX</t>
        </is>
      </c>
      <c r="C6740">
        <f>ROMAN(6739)</f>
        <v/>
      </c>
      <c r="D6740">
        <f>IF(B6740=C6740, "YES", "WRONG")</f>
        <v/>
      </c>
    </row>
    <row r="6741">
      <c r="A6741" t="n">
        <v>6740</v>
      </c>
      <c r="B6741" t="inlineStr">
        <is>
          <t>V̅MDCCXL</t>
        </is>
      </c>
      <c r="C6741">
        <f>ROMAN(6740)</f>
        <v/>
      </c>
      <c r="D6741">
        <f>IF(B6741=C6741, "YES", "WRONG")</f>
        <v/>
      </c>
    </row>
    <row r="6742">
      <c r="A6742" t="n">
        <v>6741</v>
      </c>
      <c r="B6742" t="inlineStr">
        <is>
          <t>V̅MDCCXLI</t>
        </is>
      </c>
      <c r="C6742">
        <f>ROMAN(6741)</f>
        <v/>
      </c>
      <c r="D6742">
        <f>IF(B6742=C6742, "YES", "WRONG")</f>
        <v/>
      </c>
    </row>
    <row r="6743">
      <c r="A6743" t="n">
        <v>6742</v>
      </c>
      <c r="B6743" t="inlineStr">
        <is>
          <t>V̅MDCCXLII</t>
        </is>
      </c>
      <c r="C6743">
        <f>ROMAN(6742)</f>
        <v/>
      </c>
      <c r="D6743">
        <f>IF(B6743=C6743, "YES", "WRONG")</f>
        <v/>
      </c>
    </row>
    <row r="6744">
      <c r="A6744" t="n">
        <v>6743</v>
      </c>
      <c r="B6744" t="inlineStr">
        <is>
          <t>V̅MDCCXLIII</t>
        </is>
      </c>
      <c r="C6744">
        <f>ROMAN(6743)</f>
        <v/>
      </c>
      <c r="D6744">
        <f>IF(B6744=C6744, "YES", "WRONG")</f>
        <v/>
      </c>
    </row>
    <row r="6745">
      <c r="A6745" t="n">
        <v>6744</v>
      </c>
      <c r="B6745" t="inlineStr">
        <is>
          <t>V̅MDCCXLIV</t>
        </is>
      </c>
      <c r="C6745">
        <f>ROMAN(6744)</f>
        <v/>
      </c>
      <c r="D6745">
        <f>IF(B6745=C6745, "YES", "WRONG")</f>
        <v/>
      </c>
    </row>
    <row r="6746">
      <c r="A6746" t="n">
        <v>6745</v>
      </c>
      <c r="B6746" t="inlineStr">
        <is>
          <t>V̅MDCCXLV</t>
        </is>
      </c>
      <c r="C6746">
        <f>ROMAN(6745)</f>
        <v/>
      </c>
      <c r="D6746">
        <f>IF(B6746=C6746, "YES", "WRONG")</f>
        <v/>
      </c>
    </row>
    <row r="6747">
      <c r="A6747" t="n">
        <v>6746</v>
      </c>
      <c r="B6747" t="inlineStr">
        <is>
          <t>V̅MDCCXLVI</t>
        </is>
      </c>
      <c r="C6747">
        <f>ROMAN(6746)</f>
        <v/>
      </c>
      <c r="D6747">
        <f>IF(B6747=C6747, "YES", "WRONG")</f>
        <v/>
      </c>
    </row>
    <row r="6748">
      <c r="A6748" t="n">
        <v>6747</v>
      </c>
      <c r="B6748" t="inlineStr">
        <is>
          <t>V̅MDCCXLVII</t>
        </is>
      </c>
      <c r="C6748">
        <f>ROMAN(6747)</f>
        <v/>
      </c>
      <c r="D6748">
        <f>IF(B6748=C6748, "YES", "WRONG")</f>
        <v/>
      </c>
    </row>
    <row r="6749">
      <c r="A6749" t="n">
        <v>6748</v>
      </c>
      <c r="B6749" t="inlineStr">
        <is>
          <t>V̅MDCCXLVIII</t>
        </is>
      </c>
      <c r="C6749">
        <f>ROMAN(6748)</f>
        <v/>
      </c>
      <c r="D6749">
        <f>IF(B6749=C6749, "YES", "WRONG")</f>
        <v/>
      </c>
    </row>
    <row r="6750">
      <c r="A6750" t="n">
        <v>6749</v>
      </c>
      <c r="B6750" t="inlineStr">
        <is>
          <t>V̅MDCCXLIX</t>
        </is>
      </c>
      <c r="C6750">
        <f>ROMAN(6749)</f>
        <v/>
      </c>
      <c r="D6750">
        <f>IF(B6750=C6750, "YES", "WRONG")</f>
        <v/>
      </c>
    </row>
    <row r="6751">
      <c r="A6751" t="n">
        <v>6750</v>
      </c>
      <c r="B6751" t="inlineStr">
        <is>
          <t>V̅MDCCL</t>
        </is>
      </c>
      <c r="C6751">
        <f>ROMAN(6750)</f>
        <v/>
      </c>
      <c r="D6751">
        <f>IF(B6751=C6751, "YES", "WRONG")</f>
        <v/>
      </c>
    </row>
    <row r="6752">
      <c r="A6752" t="n">
        <v>6751</v>
      </c>
      <c r="B6752" t="inlineStr">
        <is>
          <t>V̅MDCCLI</t>
        </is>
      </c>
      <c r="C6752">
        <f>ROMAN(6751)</f>
        <v/>
      </c>
      <c r="D6752">
        <f>IF(B6752=C6752, "YES", "WRONG")</f>
        <v/>
      </c>
    </row>
    <row r="6753">
      <c r="A6753" t="n">
        <v>6752</v>
      </c>
      <c r="B6753" t="inlineStr">
        <is>
          <t>V̅MDCCLII</t>
        </is>
      </c>
      <c r="C6753">
        <f>ROMAN(6752)</f>
        <v/>
      </c>
      <c r="D6753">
        <f>IF(B6753=C6753, "YES", "WRONG")</f>
        <v/>
      </c>
    </row>
    <row r="6754">
      <c r="A6754" t="n">
        <v>6753</v>
      </c>
      <c r="B6754" t="inlineStr">
        <is>
          <t>V̅MDCCLIII</t>
        </is>
      </c>
      <c r="C6754">
        <f>ROMAN(6753)</f>
        <v/>
      </c>
      <c r="D6754">
        <f>IF(B6754=C6754, "YES", "WRONG")</f>
        <v/>
      </c>
    </row>
    <row r="6755">
      <c r="A6755" t="n">
        <v>6754</v>
      </c>
      <c r="B6755" t="inlineStr">
        <is>
          <t>V̅MDCCLIV</t>
        </is>
      </c>
      <c r="C6755">
        <f>ROMAN(6754)</f>
        <v/>
      </c>
      <c r="D6755">
        <f>IF(B6755=C6755, "YES", "WRONG")</f>
        <v/>
      </c>
    </row>
    <row r="6756">
      <c r="A6756" t="n">
        <v>6755</v>
      </c>
      <c r="B6756" t="inlineStr">
        <is>
          <t>V̅MDCCLV</t>
        </is>
      </c>
      <c r="C6756">
        <f>ROMAN(6755)</f>
        <v/>
      </c>
      <c r="D6756">
        <f>IF(B6756=C6756, "YES", "WRONG")</f>
        <v/>
      </c>
    </row>
    <row r="6757">
      <c r="A6757" t="n">
        <v>6756</v>
      </c>
      <c r="B6757" t="inlineStr">
        <is>
          <t>V̅MDCCLVI</t>
        </is>
      </c>
      <c r="C6757">
        <f>ROMAN(6756)</f>
        <v/>
      </c>
      <c r="D6757">
        <f>IF(B6757=C6757, "YES", "WRONG")</f>
        <v/>
      </c>
    </row>
    <row r="6758">
      <c r="A6758" t="n">
        <v>6757</v>
      </c>
      <c r="B6758" t="inlineStr">
        <is>
          <t>V̅MDCCLVII</t>
        </is>
      </c>
      <c r="C6758">
        <f>ROMAN(6757)</f>
        <v/>
      </c>
      <c r="D6758">
        <f>IF(B6758=C6758, "YES", "WRONG")</f>
        <v/>
      </c>
    </row>
    <row r="6759">
      <c r="A6759" t="n">
        <v>6758</v>
      </c>
      <c r="B6759" t="inlineStr">
        <is>
          <t>V̅MDCCLVIII</t>
        </is>
      </c>
      <c r="C6759">
        <f>ROMAN(6758)</f>
        <v/>
      </c>
      <c r="D6759">
        <f>IF(B6759=C6759, "YES", "WRONG")</f>
        <v/>
      </c>
    </row>
    <row r="6760">
      <c r="A6760" t="n">
        <v>6759</v>
      </c>
      <c r="B6760" t="inlineStr">
        <is>
          <t>V̅MDCCLIX</t>
        </is>
      </c>
      <c r="C6760">
        <f>ROMAN(6759)</f>
        <v/>
      </c>
      <c r="D6760">
        <f>IF(B6760=C6760, "YES", "WRONG")</f>
        <v/>
      </c>
    </row>
    <row r="6761">
      <c r="A6761" t="n">
        <v>6760</v>
      </c>
      <c r="B6761" t="inlineStr">
        <is>
          <t>V̅MDCCLX</t>
        </is>
      </c>
      <c r="C6761">
        <f>ROMAN(6760)</f>
        <v/>
      </c>
      <c r="D6761">
        <f>IF(B6761=C6761, "YES", "WRONG")</f>
        <v/>
      </c>
    </row>
    <row r="6762">
      <c r="A6762" t="n">
        <v>6761</v>
      </c>
      <c r="B6762" t="inlineStr">
        <is>
          <t>V̅MDCCLXI</t>
        </is>
      </c>
      <c r="C6762">
        <f>ROMAN(6761)</f>
        <v/>
      </c>
      <c r="D6762">
        <f>IF(B6762=C6762, "YES", "WRONG")</f>
        <v/>
      </c>
    </row>
    <row r="6763">
      <c r="A6763" t="n">
        <v>6762</v>
      </c>
      <c r="B6763" t="inlineStr">
        <is>
          <t>V̅MDCCLXII</t>
        </is>
      </c>
      <c r="C6763">
        <f>ROMAN(6762)</f>
        <v/>
      </c>
      <c r="D6763">
        <f>IF(B6763=C6763, "YES", "WRONG")</f>
        <v/>
      </c>
    </row>
    <row r="6764">
      <c r="A6764" t="n">
        <v>6763</v>
      </c>
      <c r="B6764" t="inlineStr">
        <is>
          <t>V̅MDCCLXIII</t>
        </is>
      </c>
      <c r="C6764">
        <f>ROMAN(6763)</f>
        <v/>
      </c>
      <c r="D6764">
        <f>IF(B6764=C6764, "YES", "WRONG")</f>
        <v/>
      </c>
    </row>
    <row r="6765">
      <c r="A6765" t="n">
        <v>6764</v>
      </c>
      <c r="B6765" t="inlineStr">
        <is>
          <t>V̅MDCCLXIV</t>
        </is>
      </c>
      <c r="C6765">
        <f>ROMAN(6764)</f>
        <v/>
      </c>
      <c r="D6765">
        <f>IF(B6765=C6765, "YES", "WRONG")</f>
        <v/>
      </c>
    </row>
    <row r="6766">
      <c r="A6766" t="n">
        <v>6765</v>
      </c>
      <c r="B6766" t="inlineStr">
        <is>
          <t>V̅MDCCLXV</t>
        </is>
      </c>
      <c r="C6766">
        <f>ROMAN(6765)</f>
        <v/>
      </c>
      <c r="D6766">
        <f>IF(B6766=C6766, "YES", "WRONG")</f>
        <v/>
      </c>
    </row>
    <row r="6767">
      <c r="A6767" t="n">
        <v>6766</v>
      </c>
      <c r="B6767" t="inlineStr">
        <is>
          <t>V̅MDCCLXVI</t>
        </is>
      </c>
      <c r="C6767">
        <f>ROMAN(6766)</f>
        <v/>
      </c>
      <c r="D6767">
        <f>IF(B6767=C6767, "YES", "WRONG")</f>
        <v/>
      </c>
    </row>
    <row r="6768">
      <c r="A6768" t="n">
        <v>6767</v>
      </c>
      <c r="B6768" t="inlineStr">
        <is>
          <t>V̅MDCCLXVII</t>
        </is>
      </c>
      <c r="C6768">
        <f>ROMAN(6767)</f>
        <v/>
      </c>
      <c r="D6768">
        <f>IF(B6768=C6768, "YES", "WRONG")</f>
        <v/>
      </c>
    </row>
    <row r="6769">
      <c r="A6769" t="n">
        <v>6768</v>
      </c>
      <c r="B6769" t="inlineStr">
        <is>
          <t>V̅MDCCLXVIII</t>
        </is>
      </c>
      <c r="C6769">
        <f>ROMAN(6768)</f>
        <v/>
      </c>
      <c r="D6769">
        <f>IF(B6769=C6769, "YES", "WRONG")</f>
        <v/>
      </c>
    </row>
    <row r="6770">
      <c r="A6770" t="n">
        <v>6769</v>
      </c>
      <c r="B6770" t="inlineStr">
        <is>
          <t>V̅MDCCLXIX</t>
        </is>
      </c>
      <c r="C6770">
        <f>ROMAN(6769)</f>
        <v/>
      </c>
      <c r="D6770">
        <f>IF(B6770=C6770, "YES", "WRONG")</f>
        <v/>
      </c>
    </row>
    <row r="6771">
      <c r="A6771" t="n">
        <v>6770</v>
      </c>
      <c r="B6771" t="inlineStr">
        <is>
          <t>V̅MDCCLXX</t>
        </is>
      </c>
      <c r="C6771">
        <f>ROMAN(6770)</f>
        <v/>
      </c>
      <c r="D6771">
        <f>IF(B6771=C6771, "YES", "WRONG")</f>
        <v/>
      </c>
    </row>
    <row r="6772">
      <c r="A6772" t="n">
        <v>6771</v>
      </c>
      <c r="B6772" t="inlineStr">
        <is>
          <t>V̅MDCCLXXI</t>
        </is>
      </c>
      <c r="C6772">
        <f>ROMAN(6771)</f>
        <v/>
      </c>
      <c r="D6772">
        <f>IF(B6772=C6772, "YES", "WRONG")</f>
        <v/>
      </c>
    </row>
    <row r="6773">
      <c r="A6773" t="n">
        <v>6772</v>
      </c>
      <c r="B6773" t="inlineStr">
        <is>
          <t>V̅MDCCLXXII</t>
        </is>
      </c>
      <c r="C6773">
        <f>ROMAN(6772)</f>
        <v/>
      </c>
      <c r="D6773">
        <f>IF(B6773=C6773, "YES", "WRONG")</f>
        <v/>
      </c>
    </row>
    <row r="6774">
      <c r="A6774" t="n">
        <v>6773</v>
      </c>
      <c r="B6774" t="inlineStr">
        <is>
          <t>V̅MDCCLXXIII</t>
        </is>
      </c>
      <c r="C6774">
        <f>ROMAN(6773)</f>
        <v/>
      </c>
      <c r="D6774">
        <f>IF(B6774=C6774, "YES", "WRONG")</f>
        <v/>
      </c>
    </row>
    <row r="6775">
      <c r="A6775" t="n">
        <v>6774</v>
      </c>
      <c r="B6775" t="inlineStr">
        <is>
          <t>V̅MDCCLXXIV</t>
        </is>
      </c>
      <c r="C6775">
        <f>ROMAN(6774)</f>
        <v/>
      </c>
      <c r="D6775">
        <f>IF(B6775=C6775, "YES", "WRONG")</f>
        <v/>
      </c>
    </row>
    <row r="6776">
      <c r="A6776" t="n">
        <v>6775</v>
      </c>
      <c r="B6776" t="inlineStr">
        <is>
          <t>V̅MDCCLXXV</t>
        </is>
      </c>
      <c r="C6776">
        <f>ROMAN(6775)</f>
        <v/>
      </c>
      <c r="D6776">
        <f>IF(B6776=C6776, "YES", "WRONG")</f>
        <v/>
      </c>
    </row>
    <row r="6777">
      <c r="A6777" t="n">
        <v>6776</v>
      </c>
      <c r="B6777" t="inlineStr">
        <is>
          <t>V̅MDCCLXXVI</t>
        </is>
      </c>
      <c r="C6777">
        <f>ROMAN(6776)</f>
        <v/>
      </c>
      <c r="D6777">
        <f>IF(B6777=C6777, "YES", "WRONG")</f>
        <v/>
      </c>
    </row>
    <row r="6778">
      <c r="A6778" t="n">
        <v>6777</v>
      </c>
      <c r="B6778" t="inlineStr">
        <is>
          <t>V̅MDCCLXXVII</t>
        </is>
      </c>
      <c r="C6778">
        <f>ROMAN(6777)</f>
        <v/>
      </c>
      <c r="D6778">
        <f>IF(B6778=C6778, "YES", "WRONG")</f>
        <v/>
      </c>
    </row>
    <row r="6779">
      <c r="A6779" t="n">
        <v>6778</v>
      </c>
      <c r="B6779" t="inlineStr">
        <is>
          <t>V̅MDCCLXXVIII</t>
        </is>
      </c>
      <c r="C6779">
        <f>ROMAN(6778)</f>
        <v/>
      </c>
      <c r="D6779">
        <f>IF(B6779=C6779, "YES", "WRONG")</f>
        <v/>
      </c>
    </row>
    <row r="6780">
      <c r="A6780" t="n">
        <v>6779</v>
      </c>
      <c r="B6780" t="inlineStr">
        <is>
          <t>V̅MDCCLXXIX</t>
        </is>
      </c>
      <c r="C6780">
        <f>ROMAN(6779)</f>
        <v/>
      </c>
      <c r="D6780">
        <f>IF(B6780=C6780, "YES", "WRONG")</f>
        <v/>
      </c>
    </row>
    <row r="6781">
      <c r="A6781" t="n">
        <v>6780</v>
      </c>
      <c r="B6781" t="inlineStr">
        <is>
          <t>V̅MDCCLXXX</t>
        </is>
      </c>
      <c r="C6781">
        <f>ROMAN(6780)</f>
        <v/>
      </c>
      <c r="D6781">
        <f>IF(B6781=C6781, "YES", "WRONG")</f>
        <v/>
      </c>
    </row>
    <row r="6782">
      <c r="A6782" t="n">
        <v>6781</v>
      </c>
      <c r="B6782" t="inlineStr">
        <is>
          <t>V̅MDCCLXXXI</t>
        </is>
      </c>
      <c r="C6782">
        <f>ROMAN(6781)</f>
        <v/>
      </c>
      <c r="D6782">
        <f>IF(B6782=C6782, "YES", "WRONG")</f>
        <v/>
      </c>
    </row>
    <row r="6783">
      <c r="A6783" t="n">
        <v>6782</v>
      </c>
      <c r="B6783" t="inlineStr">
        <is>
          <t>V̅MDCCLXXXII</t>
        </is>
      </c>
      <c r="C6783">
        <f>ROMAN(6782)</f>
        <v/>
      </c>
      <c r="D6783">
        <f>IF(B6783=C6783, "YES", "WRONG")</f>
        <v/>
      </c>
    </row>
    <row r="6784">
      <c r="A6784" t="n">
        <v>6783</v>
      </c>
      <c r="B6784" t="inlineStr">
        <is>
          <t>V̅MDCCLXXXIII</t>
        </is>
      </c>
      <c r="C6784">
        <f>ROMAN(6783)</f>
        <v/>
      </c>
      <c r="D6784">
        <f>IF(B6784=C6784, "YES", "WRONG")</f>
        <v/>
      </c>
    </row>
    <row r="6785">
      <c r="A6785" t="n">
        <v>6784</v>
      </c>
      <c r="B6785" t="inlineStr">
        <is>
          <t>V̅MDCCLXXXIV</t>
        </is>
      </c>
      <c r="C6785">
        <f>ROMAN(6784)</f>
        <v/>
      </c>
      <c r="D6785">
        <f>IF(B6785=C6785, "YES", "WRONG")</f>
        <v/>
      </c>
    </row>
    <row r="6786">
      <c r="A6786" t="n">
        <v>6785</v>
      </c>
      <c r="B6786" t="inlineStr">
        <is>
          <t>V̅MDCCLXXXV</t>
        </is>
      </c>
      <c r="C6786">
        <f>ROMAN(6785)</f>
        <v/>
      </c>
      <c r="D6786">
        <f>IF(B6786=C6786, "YES", "WRONG")</f>
        <v/>
      </c>
    </row>
    <row r="6787">
      <c r="A6787" t="n">
        <v>6786</v>
      </c>
      <c r="B6787" t="inlineStr">
        <is>
          <t>V̅MDCCLXXXVI</t>
        </is>
      </c>
      <c r="C6787">
        <f>ROMAN(6786)</f>
        <v/>
      </c>
      <c r="D6787">
        <f>IF(B6787=C6787, "YES", "WRONG")</f>
        <v/>
      </c>
    </row>
    <row r="6788">
      <c r="A6788" t="n">
        <v>6787</v>
      </c>
      <c r="B6788" t="inlineStr">
        <is>
          <t>V̅MDCCLXXXVII</t>
        </is>
      </c>
      <c r="C6788">
        <f>ROMAN(6787)</f>
        <v/>
      </c>
      <c r="D6788">
        <f>IF(B6788=C6788, "YES", "WRONG")</f>
        <v/>
      </c>
    </row>
    <row r="6789">
      <c r="A6789" t="n">
        <v>6788</v>
      </c>
      <c r="B6789" t="inlineStr">
        <is>
          <t>V̅MDCCLXXXVIII</t>
        </is>
      </c>
      <c r="C6789">
        <f>ROMAN(6788)</f>
        <v/>
      </c>
      <c r="D6789">
        <f>IF(B6789=C6789, "YES", "WRONG")</f>
        <v/>
      </c>
    </row>
    <row r="6790">
      <c r="A6790" t="n">
        <v>6789</v>
      </c>
      <c r="B6790" t="inlineStr">
        <is>
          <t>V̅MDCCLXXXIX</t>
        </is>
      </c>
      <c r="C6790">
        <f>ROMAN(6789)</f>
        <v/>
      </c>
      <c r="D6790">
        <f>IF(B6790=C6790, "YES", "WRONG")</f>
        <v/>
      </c>
    </row>
    <row r="6791">
      <c r="A6791" t="n">
        <v>6790</v>
      </c>
      <c r="B6791" t="inlineStr">
        <is>
          <t>V̅MDCCXC</t>
        </is>
      </c>
      <c r="C6791">
        <f>ROMAN(6790)</f>
        <v/>
      </c>
      <c r="D6791">
        <f>IF(B6791=C6791, "YES", "WRONG")</f>
        <v/>
      </c>
    </row>
    <row r="6792">
      <c r="A6792" t="n">
        <v>6791</v>
      </c>
      <c r="B6792" t="inlineStr">
        <is>
          <t>V̅MDCCXCI</t>
        </is>
      </c>
      <c r="C6792">
        <f>ROMAN(6791)</f>
        <v/>
      </c>
      <c r="D6792">
        <f>IF(B6792=C6792, "YES", "WRONG")</f>
        <v/>
      </c>
    </row>
    <row r="6793">
      <c r="A6793" t="n">
        <v>6792</v>
      </c>
      <c r="B6793" t="inlineStr">
        <is>
          <t>V̅MDCCXCII</t>
        </is>
      </c>
      <c r="C6793">
        <f>ROMAN(6792)</f>
        <v/>
      </c>
      <c r="D6793">
        <f>IF(B6793=C6793, "YES", "WRONG")</f>
        <v/>
      </c>
    </row>
    <row r="6794">
      <c r="A6794" t="n">
        <v>6793</v>
      </c>
      <c r="B6794" t="inlineStr">
        <is>
          <t>V̅MDCCXCIII</t>
        </is>
      </c>
      <c r="C6794">
        <f>ROMAN(6793)</f>
        <v/>
      </c>
      <c r="D6794">
        <f>IF(B6794=C6794, "YES", "WRONG")</f>
        <v/>
      </c>
    </row>
    <row r="6795">
      <c r="A6795" t="n">
        <v>6794</v>
      </c>
      <c r="B6795" t="inlineStr">
        <is>
          <t>V̅MDCCXCIV</t>
        </is>
      </c>
      <c r="C6795">
        <f>ROMAN(6794)</f>
        <v/>
      </c>
      <c r="D6795">
        <f>IF(B6795=C6795, "YES", "WRONG")</f>
        <v/>
      </c>
    </row>
    <row r="6796">
      <c r="A6796" t="n">
        <v>6795</v>
      </c>
      <c r="B6796" t="inlineStr">
        <is>
          <t>V̅MDCCXCV</t>
        </is>
      </c>
      <c r="C6796">
        <f>ROMAN(6795)</f>
        <v/>
      </c>
      <c r="D6796">
        <f>IF(B6796=C6796, "YES", "WRONG")</f>
        <v/>
      </c>
    </row>
    <row r="6797">
      <c r="A6797" t="n">
        <v>6796</v>
      </c>
      <c r="B6797" t="inlineStr">
        <is>
          <t>V̅MDCCXCVI</t>
        </is>
      </c>
      <c r="C6797">
        <f>ROMAN(6796)</f>
        <v/>
      </c>
      <c r="D6797">
        <f>IF(B6797=C6797, "YES", "WRONG")</f>
        <v/>
      </c>
    </row>
    <row r="6798">
      <c r="A6798" t="n">
        <v>6797</v>
      </c>
      <c r="B6798" t="inlineStr">
        <is>
          <t>V̅MDCCXCVII</t>
        </is>
      </c>
      <c r="C6798">
        <f>ROMAN(6797)</f>
        <v/>
      </c>
      <c r="D6798">
        <f>IF(B6798=C6798, "YES", "WRONG")</f>
        <v/>
      </c>
    </row>
    <row r="6799">
      <c r="A6799" t="n">
        <v>6798</v>
      </c>
      <c r="B6799" t="inlineStr">
        <is>
          <t>V̅MDCCXCVIII</t>
        </is>
      </c>
      <c r="C6799">
        <f>ROMAN(6798)</f>
        <v/>
      </c>
      <c r="D6799">
        <f>IF(B6799=C6799, "YES", "WRONG")</f>
        <v/>
      </c>
    </row>
    <row r="6800">
      <c r="A6800" t="n">
        <v>6799</v>
      </c>
      <c r="B6800" t="inlineStr">
        <is>
          <t>V̅MDCCXCIX</t>
        </is>
      </c>
      <c r="C6800">
        <f>ROMAN(6799)</f>
        <v/>
      </c>
      <c r="D6800">
        <f>IF(B6800=C6800, "YES", "WRONG")</f>
        <v/>
      </c>
    </row>
    <row r="6801">
      <c r="A6801" t="n">
        <v>6800</v>
      </c>
      <c r="B6801" t="inlineStr">
        <is>
          <t>V̅MDCCC</t>
        </is>
      </c>
      <c r="C6801">
        <f>ROMAN(6800)</f>
        <v/>
      </c>
      <c r="D6801">
        <f>IF(B6801=C6801, "YES", "WRONG")</f>
        <v/>
      </c>
    </row>
    <row r="6802">
      <c r="A6802" t="n">
        <v>6801</v>
      </c>
      <c r="B6802" t="inlineStr">
        <is>
          <t>V̅MDCCCI</t>
        </is>
      </c>
      <c r="C6802">
        <f>ROMAN(6801)</f>
        <v/>
      </c>
      <c r="D6802">
        <f>IF(B6802=C6802, "YES", "WRONG")</f>
        <v/>
      </c>
    </row>
    <row r="6803">
      <c r="A6803" t="n">
        <v>6802</v>
      </c>
      <c r="B6803" t="inlineStr">
        <is>
          <t>V̅MDCCCII</t>
        </is>
      </c>
      <c r="C6803">
        <f>ROMAN(6802)</f>
        <v/>
      </c>
      <c r="D6803">
        <f>IF(B6803=C6803, "YES", "WRONG")</f>
        <v/>
      </c>
    </row>
    <row r="6804">
      <c r="A6804" t="n">
        <v>6803</v>
      </c>
      <c r="B6804" t="inlineStr">
        <is>
          <t>V̅MDCCCIII</t>
        </is>
      </c>
      <c r="C6804">
        <f>ROMAN(6803)</f>
        <v/>
      </c>
      <c r="D6804">
        <f>IF(B6804=C6804, "YES", "WRONG")</f>
        <v/>
      </c>
    </row>
    <row r="6805">
      <c r="A6805" t="n">
        <v>6804</v>
      </c>
      <c r="B6805" t="inlineStr">
        <is>
          <t>V̅MDCCCIV</t>
        </is>
      </c>
      <c r="C6805">
        <f>ROMAN(6804)</f>
        <v/>
      </c>
      <c r="D6805">
        <f>IF(B6805=C6805, "YES", "WRONG")</f>
        <v/>
      </c>
    </row>
    <row r="6806">
      <c r="A6806" t="n">
        <v>6805</v>
      </c>
      <c r="B6806" t="inlineStr">
        <is>
          <t>V̅MDCCCV</t>
        </is>
      </c>
      <c r="C6806">
        <f>ROMAN(6805)</f>
        <v/>
      </c>
      <c r="D6806">
        <f>IF(B6806=C6806, "YES", "WRONG")</f>
        <v/>
      </c>
    </row>
    <row r="6807">
      <c r="A6807" t="n">
        <v>6806</v>
      </c>
      <c r="B6807" t="inlineStr">
        <is>
          <t>V̅MDCCCVI</t>
        </is>
      </c>
      <c r="C6807">
        <f>ROMAN(6806)</f>
        <v/>
      </c>
      <c r="D6807">
        <f>IF(B6807=C6807, "YES", "WRONG")</f>
        <v/>
      </c>
    </row>
    <row r="6808">
      <c r="A6808" t="n">
        <v>6807</v>
      </c>
      <c r="B6808" t="inlineStr">
        <is>
          <t>V̅MDCCCVII</t>
        </is>
      </c>
      <c r="C6808">
        <f>ROMAN(6807)</f>
        <v/>
      </c>
      <c r="D6808">
        <f>IF(B6808=C6808, "YES", "WRONG")</f>
        <v/>
      </c>
    </row>
    <row r="6809">
      <c r="A6809" t="n">
        <v>6808</v>
      </c>
      <c r="B6809" t="inlineStr">
        <is>
          <t>V̅MDCCCVIII</t>
        </is>
      </c>
      <c r="C6809">
        <f>ROMAN(6808)</f>
        <v/>
      </c>
      <c r="D6809">
        <f>IF(B6809=C6809, "YES", "WRONG")</f>
        <v/>
      </c>
    </row>
    <row r="6810">
      <c r="A6810" t="n">
        <v>6809</v>
      </c>
      <c r="B6810" t="inlineStr">
        <is>
          <t>V̅MDCCCIX</t>
        </is>
      </c>
      <c r="C6810">
        <f>ROMAN(6809)</f>
        <v/>
      </c>
      <c r="D6810">
        <f>IF(B6810=C6810, "YES", "WRONG")</f>
        <v/>
      </c>
    </row>
    <row r="6811">
      <c r="A6811" t="n">
        <v>6810</v>
      </c>
      <c r="B6811" t="inlineStr">
        <is>
          <t>V̅MDCCCX</t>
        </is>
      </c>
      <c r="C6811">
        <f>ROMAN(6810)</f>
        <v/>
      </c>
      <c r="D6811">
        <f>IF(B6811=C6811, "YES", "WRONG")</f>
        <v/>
      </c>
    </row>
    <row r="6812">
      <c r="A6812" t="n">
        <v>6811</v>
      </c>
      <c r="B6812" t="inlineStr">
        <is>
          <t>V̅MDCCCXI</t>
        </is>
      </c>
      <c r="C6812">
        <f>ROMAN(6811)</f>
        <v/>
      </c>
      <c r="D6812">
        <f>IF(B6812=C6812, "YES", "WRONG")</f>
        <v/>
      </c>
    </row>
    <row r="6813">
      <c r="A6813" t="n">
        <v>6812</v>
      </c>
      <c r="B6813" t="inlineStr">
        <is>
          <t>V̅MDCCCXII</t>
        </is>
      </c>
      <c r="C6813">
        <f>ROMAN(6812)</f>
        <v/>
      </c>
      <c r="D6813">
        <f>IF(B6813=C6813, "YES", "WRONG")</f>
        <v/>
      </c>
    </row>
    <row r="6814">
      <c r="A6814" t="n">
        <v>6813</v>
      </c>
      <c r="B6814" t="inlineStr">
        <is>
          <t>V̅MDCCCXIII</t>
        </is>
      </c>
      <c r="C6814">
        <f>ROMAN(6813)</f>
        <v/>
      </c>
      <c r="D6814">
        <f>IF(B6814=C6814, "YES", "WRONG")</f>
        <v/>
      </c>
    </row>
    <row r="6815">
      <c r="A6815" t="n">
        <v>6814</v>
      </c>
      <c r="B6815" t="inlineStr">
        <is>
          <t>V̅MDCCCXIV</t>
        </is>
      </c>
      <c r="C6815">
        <f>ROMAN(6814)</f>
        <v/>
      </c>
      <c r="D6815">
        <f>IF(B6815=C6815, "YES", "WRONG")</f>
        <v/>
      </c>
    </row>
    <row r="6816">
      <c r="A6816" t="n">
        <v>6815</v>
      </c>
      <c r="B6816" t="inlineStr">
        <is>
          <t>V̅MDCCCXV</t>
        </is>
      </c>
      <c r="C6816">
        <f>ROMAN(6815)</f>
        <v/>
      </c>
      <c r="D6816">
        <f>IF(B6816=C6816, "YES", "WRONG")</f>
        <v/>
      </c>
    </row>
    <row r="6817">
      <c r="A6817" t="n">
        <v>6816</v>
      </c>
      <c r="B6817" t="inlineStr">
        <is>
          <t>V̅MDCCCXVI</t>
        </is>
      </c>
      <c r="C6817">
        <f>ROMAN(6816)</f>
        <v/>
      </c>
      <c r="D6817">
        <f>IF(B6817=C6817, "YES", "WRONG")</f>
        <v/>
      </c>
    </row>
    <row r="6818">
      <c r="A6818" t="n">
        <v>6817</v>
      </c>
      <c r="B6818" t="inlineStr">
        <is>
          <t>V̅MDCCCXVII</t>
        </is>
      </c>
      <c r="C6818">
        <f>ROMAN(6817)</f>
        <v/>
      </c>
      <c r="D6818">
        <f>IF(B6818=C6818, "YES", "WRONG")</f>
        <v/>
      </c>
    </row>
    <row r="6819">
      <c r="A6819" t="n">
        <v>6818</v>
      </c>
      <c r="B6819" t="inlineStr">
        <is>
          <t>V̅MDCCCXVIII</t>
        </is>
      </c>
      <c r="C6819">
        <f>ROMAN(6818)</f>
        <v/>
      </c>
      <c r="D6819">
        <f>IF(B6819=C6819, "YES", "WRONG")</f>
        <v/>
      </c>
    </row>
    <row r="6820">
      <c r="A6820" t="n">
        <v>6819</v>
      </c>
      <c r="B6820" t="inlineStr">
        <is>
          <t>V̅MDCCCXIX</t>
        </is>
      </c>
      <c r="C6820">
        <f>ROMAN(6819)</f>
        <v/>
      </c>
      <c r="D6820">
        <f>IF(B6820=C6820, "YES", "WRONG")</f>
        <v/>
      </c>
    </row>
    <row r="6821">
      <c r="A6821" t="n">
        <v>6820</v>
      </c>
      <c r="B6821" t="inlineStr">
        <is>
          <t>V̅MDCCCXX</t>
        </is>
      </c>
      <c r="C6821">
        <f>ROMAN(6820)</f>
        <v/>
      </c>
      <c r="D6821">
        <f>IF(B6821=C6821, "YES", "WRONG")</f>
        <v/>
      </c>
    </row>
    <row r="6822">
      <c r="A6822" t="n">
        <v>6821</v>
      </c>
      <c r="B6822" t="inlineStr">
        <is>
          <t>V̅MDCCCXXI</t>
        </is>
      </c>
      <c r="C6822">
        <f>ROMAN(6821)</f>
        <v/>
      </c>
      <c r="D6822">
        <f>IF(B6822=C6822, "YES", "WRONG")</f>
        <v/>
      </c>
    </row>
    <row r="6823">
      <c r="A6823" t="n">
        <v>6822</v>
      </c>
      <c r="B6823" t="inlineStr">
        <is>
          <t>V̅MDCCCXXII</t>
        </is>
      </c>
      <c r="C6823">
        <f>ROMAN(6822)</f>
        <v/>
      </c>
      <c r="D6823">
        <f>IF(B6823=C6823, "YES", "WRONG")</f>
        <v/>
      </c>
    </row>
    <row r="6824">
      <c r="A6824" t="n">
        <v>6823</v>
      </c>
      <c r="B6824" t="inlineStr">
        <is>
          <t>V̅MDCCCXXIII</t>
        </is>
      </c>
      <c r="C6824">
        <f>ROMAN(6823)</f>
        <v/>
      </c>
      <c r="D6824">
        <f>IF(B6824=C6824, "YES", "WRONG")</f>
        <v/>
      </c>
    </row>
    <row r="6825">
      <c r="A6825" t="n">
        <v>6824</v>
      </c>
      <c r="B6825" t="inlineStr">
        <is>
          <t>V̅MDCCCXXIV</t>
        </is>
      </c>
      <c r="C6825">
        <f>ROMAN(6824)</f>
        <v/>
      </c>
      <c r="D6825">
        <f>IF(B6825=C6825, "YES", "WRONG")</f>
        <v/>
      </c>
    </row>
    <row r="6826">
      <c r="A6826" t="n">
        <v>6825</v>
      </c>
      <c r="B6826" t="inlineStr">
        <is>
          <t>V̅MDCCCXXV</t>
        </is>
      </c>
      <c r="C6826">
        <f>ROMAN(6825)</f>
        <v/>
      </c>
      <c r="D6826">
        <f>IF(B6826=C6826, "YES", "WRONG")</f>
        <v/>
      </c>
    </row>
    <row r="6827">
      <c r="A6827" t="n">
        <v>6826</v>
      </c>
      <c r="B6827" t="inlineStr">
        <is>
          <t>V̅MDCCCXXVI</t>
        </is>
      </c>
      <c r="C6827">
        <f>ROMAN(6826)</f>
        <v/>
      </c>
      <c r="D6827">
        <f>IF(B6827=C6827, "YES", "WRONG")</f>
        <v/>
      </c>
    </row>
    <row r="6828">
      <c r="A6828" t="n">
        <v>6827</v>
      </c>
      <c r="B6828" t="inlineStr">
        <is>
          <t>V̅MDCCCXXVII</t>
        </is>
      </c>
      <c r="C6828">
        <f>ROMAN(6827)</f>
        <v/>
      </c>
      <c r="D6828">
        <f>IF(B6828=C6828, "YES", "WRONG")</f>
        <v/>
      </c>
    </row>
    <row r="6829">
      <c r="A6829" t="n">
        <v>6828</v>
      </c>
      <c r="B6829" t="inlineStr">
        <is>
          <t>V̅MDCCCXXVIII</t>
        </is>
      </c>
      <c r="C6829">
        <f>ROMAN(6828)</f>
        <v/>
      </c>
      <c r="D6829">
        <f>IF(B6829=C6829, "YES", "WRONG")</f>
        <v/>
      </c>
    </row>
    <row r="6830">
      <c r="A6830" t="n">
        <v>6829</v>
      </c>
      <c r="B6830" t="inlineStr">
        <is>
          <t>V̅MDCCCXXIX</t>
        </is>
      </c>
      <c r="C6830">
        <f>ROMAN(6829)</f>
        <v/>
      </c>
      <c r="D6830">
        <f>IF(B6830=C6830, "YES", "WRONG")</f>
        <v/>
      </c>
    </row>
    <row r="6831">
      <c r="A6831" t="n">
        <v>6830</v>
      </c>
      <c r="B6831" t="inlineStr">
        <is>
          <t>V̅MDCCCXXX</t>
        </is>
      </c>
      <c r="C6831">
        <f>ROMAN(6830)</f>
        <v/>
      </c>
      <c r="D6831">
        <f>IF(B6831=C6831, "YES", "WRONG")</f>
        <v/>
      </c>
    </row>
    <row r="6832">
      <c r="A6832" t="n">
        <v>6831</v>
      </c>
      <c r="B6832" t="inlineStr">
        <is>
          <t>V̅MDCCCXXXI</t>
        </is>
      </c>
      <c r="C6832">
        <f>ROMAN(6831)</f>
        <v/>
      </c>
      <c r="D6832">
        <f>IF(B6832=C6832, "YES", "WRONG")</f>
        <v/>
      </c>
    </row>
    <row r="6833">
      <c r="A6833" t="n">
        <v>6832</v>
      </c>
      <c r="B6833" t="inlineStr">
        <is>
          <t>V̅MDCCCXXXII</t>
        </is>
      </c>
      <c r="C6833">
        <f>ROMAN(6832)</f>
        <v/>
      </c>
      <c r="D6833">
        <f>IF(B6833=C6833, "YES", "WRONG")</f>
        <v/>
      </c>
    </row>
    <row r="6834">
      <c r="A6834" t="n">
        <v>6833</v>
      </c>
      <c r="B6834" t="inlineStr">
        <is>
          <t>V̅MDCCCXXXIII</t>
        </is>
      </c>
      <c r="C6834">
        <f>ROMAN(6833)</f>
        <v/>
      </c>
      <c r="D6834">
        <f>IF(B6834=C6834, "YES", "WRONG")</f>
        <v/>
      </c>
    </row>
    <row r="6835">
      <c r="A6835" t="n">
        <v>6834</v>
      </c>
      <c r="B6835" t="inlineStr">
        <is>
          <t>V̅MDCCCXXXIV</t>
        </is>
      </c>
      <c r="C6835">
        <f>ROMAN(6834)</f>
        <v/>
      </c>
      <c r="D6835">
        <f>IF(B6835=C6835, "YES", "WRONG")</f>
        <v/>
      </c>
    </row>
    <row r="6836">
      <c r="A6836" t="n">
        <v>6835</v>
      </c>
      <c r="B6836" t="inlineStr">
        <is>
          <t>V̅MDCCCXXXV</t>
        </is>
      </c>
      <c r="C6836">
        <f>ROMAN(6835)</f>
        <v/>
      </c>
      <c r="D6836">
        <f>IF(B6836=C6836, "YES", "WRONG")</f>
        <v/>
      </c>
    </row>
    <row r="6837">
      <c r="A6837" t="n">
        <v>6836</v>
      </c>
      <c r="B6837" t="inlineStr">
        <is>
          <t>V̅MDCCCXXXVI</t>
        </is>
      </c>
      <c r="C6837">
        <f>ROMAN(6836)</f>
        <v/>
      </c>
      <c r="D6837">
        <f>IF(B6837=C6837, "YES", "WRONG")</f>
        <v/>
      </c>
    </row>
    <row r="6838">
      <c r="A6838" t="n">
        <v>6837</v>
      </c>
      <c r="B6838" t="inlineStr">
        <is>
          <t>V̅MDCCCXXXVII</t>
        </is>
      </c>
      <c r="C6838">
        <f>ROMAN(6837)</f>
        <v/>
      </c>
      <c r="D6838">
        <f>IF(B6838=C6838, "YES", "WRONG")</f>
        <v/>
      </c>
    </row>
    <row r="6839">
      <c r="A6839" t="n">
        <v>6838</v>
      </c>
      <c r="B6839" t="inlineStr">
        <is>
          <t>V̅MDCCCXXXVIII</t>
        </is>
      </c>
      <c r="C6839">
        <f>ROMAN(6838)</f>
        <v/>
      </c>
      <c r="D6839">
        <f>IF(B6839=C6839, "YES", "WRONG")</f>
        <v/>
      </c>
    </row>
    <row r="6840">
      <c r="A6840" t="n">
        <v>6839</v>
      </c>
      <c r="B6840" t="inlineStr">
        <is>
          <t>V̅MDCCCXXXIX</t>
        </is>
      </c>
      <c r="C6840">
        <f>ROMAN(6839)</f>
        <v/>
      </c>
      <c r="D6840">
        <f>IF(B6840=C6840, "YES", "WRONG")</f>
        <v/>
      </c>
    </row>
    <row r="6841">
      <c r="A6841" t="n">
        <v>6840</v>
      </c>
      <c r="B6841" t="inlineStr">
        <is>
          <t>V̅MDCCCXL</t>
        </is>
      </c>
      <c r="C6841">
        <f>ROMAN(6840)</f>
        <v/>
      </c>
      <c r="D6841">
        <f>IF(B6841=C6841, "YES", "WRONG")</f>
        <v/>
      </c>
    </row>
    <row r="6842">
      <c r="A6842" t="n">
        <v>6841</v>
      </c>
      <c r="B6842" t="inlineStr">
        <is>
          <t>V̅MDCCCXLI</t>
        </is>
      </c>
      <c r="C6842">
        <f>ROMAN(6841)</f>
        <v/>
      </c>
      <c r="D6842">
        <f>IF(B6842=C6842, "YES", "WRONG")</f>
        <v/>
      </c>
    </row>
    <row r="6843">
      <c r="A6843" t="n">
        <v>6842</v>
      </c>
      <c r="B6843" t="inlineStr">
        <is>
          <t>V̅MDCCCXLII</t>
        </is>
      </c>
      <c r="C6843">
        <f>ROMAN(6842)</f>
        <v/>
      </c>
      <c r="D6843">
        <f>IF(B6843=C6843, "YES", "WRONG")</f>
        <v/>
      </c>
    </row>
    <row r="6844">
      <c r="A6844" t="n">
        <v>6843</v>
      </c>
      <c r="B6844" t="inlineStr">
        <is>
          <t>V̅MDCCCXLIII</t>
        </is>
      </c>
      <c r="C6844">
        <f>ROMAN(6843)</f>
        <v/>
      </c>
      <c r="D6844">
        <f>IF(B6844=C6844, "YES", "WRONG")</f>
        <v/>
      </c>
    </row>
    <row r="6845">
      <c r="A6845" t="n">
        <v>6844</v>
      </c>
      <c r="B6845" t="inlineStr">
        <is>
          <t>V̅MDCCCXLIV</t>
        </is>
      </c>
      <c r="C6845">
        <f>ROMAN(6844)</f>
        <v/>
      </c>
      <c r="D6845">
        <f>IF(B6845=C6845, "YES", "WRONG")</f>
        <v/>
      </c>
    </row>
    <row r="6846">
      <c r="A6846" t="n">
        <v>6845</v>
      </c>
      <c r="B6846" t="inlineStr">
        <is>
          <t>V̅MDCCCXLV</t>
        </is>
      </c>
      <c r="C6846">
        <f>ROMAN(6845)</f>
        <v/>
      </c>
      <c r="D6846">
        <f>IF(B6846=C6846, "YES", "WRONG")</f>
        <v/>
      </c>
    </row>
    <row r="6847">
      <c r="A6847" t="n">
        <v>6846</v>
      </c>
      <c r="B6847" t="inlineStr">
        <is>
          <t>V̅MDCCCXLVI</t>
        </is>
      </c>
      <c r="C6847">
        <f>ROMAN(6846)</f>
        <v/>
      </c>
      <c r="D6847">
        <f>IF(B6847=C6847, "YES", "WRONG")</f>
        <v/>
      </c>
    </row>
    <row r="6848">
      <c r="A6848" t="n">
        <v>6847</v>
      </c>
      <c r="B6848" t="inlineStr">
        <is>
          <t>V̅MDCCCXLVII</t>
        </is>
      </c>
      <c r="C6848">
        <f>ROMAN(6847)</f>
        <v/>
      </c>
      <c r="D6848">
        <f>IF(B6848=C6848, "YES", "WRONG")</f>
        <v/>
      </c>
    </row>
    <row r="6849">
      <c r="A6849" t="n">
        <v>6848</v>
      </c>
      <c r="B6849" t="inlineStr">
        <is>
          <t>V̅MDCCCXLVIII</t>
        </is>
      </c>
      <c r="C6849">
        <f>ROMAN(6848)</f>
        <v/>
      </c>
      <c r="D6849">
        <f>IF(B6849=C6849, "YES", "WRONG")</f>
        <v/>
      </c>
    </row>
    <row r="6850">
      <c r="A6850" t="n">
        <v>6849</v>
      </c>
      <c r="B6850" t="inlineStr">
        <is>
          <t>V̅MDCCCXLIX</t>
        </is>
      </c>
      <c r="C6850">
        <f>ROMAN(6849)</f>
        <v/>
      </c>
      <c r="D6850">
        <f>IF(B6850=C6850, "YES", "WRONG")</f>
        <v/>
      </c>
    </row>
    <row r="6851">
      <c r="A6851" t="n">
        <v>6850</v>
      </c>
      <c r="B6851" t="inlineStr">
        <is>
          <t>V̅MDCCCL</t>
        </is>
      </c>
      <c r="C6851">
        <f>ROMAN(6850)</f>
        <v/>
      </c>
      <c r="D6851">
        <f>IF(B6851=C6851, "YES", "WRONG")</f>
        <v/>
      </c>
    </row>
    <row r="6852">
      <c r="A6852" t="n">
        <v>6851</v>
      </c>
      <c r="B6852" t="inlineStr">
        <is>
          <t>V̅MDCCCLI</t>
        </is>
      </c>
      <c r="C6852">
        <f>ROMAN(6851)</f>
        <v/>
      </c>
      <c r="D6852">
        <f>IF(B6852=C6852, "YES", "WRONG")</f>
        <v/>
      </c>
    </row>
    <row r="6853">
      <c r="A6853" t="n">
        <v>6852</v>
      </c>
      <c r="B6853" t="inlineStr">
        <is>
          <t>V̅MDCCCLII</t>
        </is>
      </c>
      <c r="C6853">
        <f>ROMAN(6852)</f>
        <v/>
      </c>
      <c r="D6853">
        <f>IF(B6853=C6853, "YES", "WRONG")</f>
        <v/>
      </c>
    </row>
    <row r="6854">
      <c r="A6854" t="n">
        <v>6853</v>
      </c>
      <c r="B6854" t="inlineStr">
        <is>
          <t>V̅MDCCCLIII</t>
        </is>
      </c>
      <c r="C6854">
        <f>ROMAN(6853)</f>
        <v/>
      </c>
      <c r="D6854">
        <f>IF(B6854=C6854, "YES", "WRONG")</f>
        <v/>
      </c>
    </row>
    <row r="6855">
      <c r="A6855" t="n">
        <v>6854</v>
      </c>
      <c r="B6855" t="inlineStr">
        <is>
          <t>V̅MDCCCLIV</t>
        </is>
      </c>
      <c r="C6855">
        <f>ROMAN(6854)</f>
        <v/>
      </c>
      <c r="D6855">
        <f>IF(B6855=C6855, "YES", "WRONG")</f>
        <v/>
      </c>
    </row>
    <row r="6856">
      <c r="A6856" t="n">
        <v>6855</v>
      </c>
      <c r="B6856" t="inlineStr">
        <is>
          <t>V̅MDCCCLV</t>
        </is>
      </c>
      <c r="C6856">
        <f>ROMAN(6855)</f>
        <v/>
      </c>
      <c r="D6856">
        <f>IF(B6856=C6856, "YES", "WRONG")</f>
        <v/>
      </c>
    </row>
    <row r="6857">
      <c r="A6857" t="n">
        <v>6856</v>
      </c>
      <c r="B6857" t="inlineStr">
        <is>
          <t>V̅MDCCCLVI</t>
        </is>
      </c>
      <c r="C6857">
        <f>ROMAN(6856)</f>
        <v/>
      </c>
      <c r="D6857">
        <f>IF(B6857=C6857, "YES", "WRONG")</f>
        <v/>
      </c>
    </row>
    <row r="6858">
      <c r="A6858" t="n">
        <v>6857</v>
      </c>
      <c r="B6858" t="inlineStr">
        <is>
          <t>V̅MDCCCLVII</t>
        </is>
      </c>
      <c r="C6858">
        <f>ROMAN(6857)</f>
        <v/>
      </c>
      <c r="D6858">
        <f>IF(B6858=C6858, "YES", "WRONG")</f>
        <v/>
      </c>
    </row>
    <row r="6859">
      <c r="A6859" t="n">
        <v>6858</v>
      </c>
      <c r="B6859" t="inlineStr">
        <is>
          <t>V̅MDCCCLVIII</t>
        </is>
      </c>
      <c r="C6859">
        <f>ROMAN(6858)</f>
        <v/>
      </c>
      <c r="D6859">
        <f>IF(B6859=C6859, "YES", "WRONG")</f>
        <v/>
      </c>
    </row>
    <row r="6860">
      <c r="A6860" t="n">
        <v>6859</v>
      </c>
      <c r="B6860" t="inlineStr">
        <is>
          <t>V̅MDCCCLIX</t>
        </is>
      </c>
      <c r="C6860">
        <f>ROMAN(6859)</f>
        <v/>
      </c>
      <c r="D6860">
        <f>IF(B6860=C6860, "YES", "WRONG")</f>
        <v/>
      </c>
    </row>
    <row r="6861">
      <c r="A6861" t="n">
        <v>6860</v>
      </c>
      <c r="B6861" t="inlineStr">
        <is>
          <t>V̅MDCCCLX</t>
        </is>
      </c>
      <c r="C6861">
        <f>ROMAN(6860)</f>
        <v/>
      </c>
      <c r="D6861">
        <f>IF(B6861=C6861, "YES", "WRONG")</f>
        <v/>
      </c>
    </row>
    <row r="6862">
      <c r="A6862" t="n">
        <v>6861</v>
      </c>
      <c r="B6862" t="inlineStr">
        <is>
          <t>V̅MDCCCLXI</t>
        </is>
      </c>
      <c r="C6862">
        <f>ROMAN(6861)</f>
        <v/>
      </c>
      <c r="D6862">
        <f>IF(B6862=C6862, "YES", "WRONG")</f>
        <v/>
      </c>
    </row>
    <row r="6863">
      <c r="A6863" t="n">
        <v>6862</v>
      </c>
      <c r="B6863" t="inlineStr">
        <is>
          <t>V̅MDCCCLXII</t>
        </is>
      </c>
      <c r="C6863">
        <f>ROMAN(6862)</f>
        <v/>
      </c>
      <c r="D6863">
        <f>IF(B6863=C6863, "YES", "WRONG")</f>
        <v/>
      </c>
    </row>
    <row r="6864">
      <c r="A6864" t="n">
        <v>6863</v>
      </c>
      <c r="B6864" t="inlineStr">
        <is>
          <t>V̅MDCCCLXIII</t>
        </is>
      </c>
      <c r="C6864">
        <f>ROMAN(6863)</f>
        <v/>
      </c>
      <c r="D6864">
        <f>IF(B6864=C6864, "YES", "WRONG")</f>
        <v/>
      </c>
    </row>
    <row r="6865">
      <c r="A6865" t="n">
        <v>6864</v>
      </c>
      <c r="B6865" t="inlineStr">
        <is>
          <t>V̅MDCCCLXIV</t>
        </is>
      </c>
      <c r="C6865">
        <f>ROMAN(6864)</f>
        <v/>
      </c>
      <c r="D6865">
        <f>IF(B6865=C6865, "YES", "WRONG")</f>
        <v/>
      </c>
    </row>
    <row r="6866">
      <c r="A6866" t="n">
        <v>6865</v>
      </c>
      <c r="B6866" t="inlineStr">
        <is>
          <t>V̅MDCCCLXV</t>
        </is>
      </c>
      <c r="C6866">
        <f>ROMAN(6865)</f>
        <v/>
      </c>
      <c r="D6866">
        <f>IF(B6866=C6866, "YES", "WRONG")</f>
        <v/>
      </c>
    </row>
    <row r="6867">
      <c r="A6867" t="n">
        <v>6866</v>
      </c>
      <c r="B6867" t="inlineStr">
        <is>
          <t>V̅MDCCCLXVI</t>
        </is>
      </c>
      <c r="C6867">
        <f>ROMAN(6866)</f>
        <v/>
      </c>
      <c r="D6867">
        <f>IF(B6867=C6867, "YES", "WRONG")</f>
        <v/>
      </c>
    </row>
    <row r="6868">
      <c r="A6868" t="n">
        <v>6867</v>
      </c>
      <c r="B6868" t="inlineStr">
        <is>
          <t>V̅MDCCCLXVII</t>
        </is>
      </c>
      <c r="C6868">
        <f>ROMAN(6867)</f>
        <v/>
      </c>
      <c r="D6868">
        <f>IF(B6868=C6868, "YES", "WRONG")</f>
        <v/>
      </c>
    </row>
    <row r="6869">
      <c r="A6869" t="n">
        <v>6868</v>
      </c>
      <c r="B6869" t="inlineStr">
        <is>
          <t>V̅MDCCCLXVIII</t>
        </is>
      </c>
      <c r="C6869">
        <f>ROMAN(6868)</f>
        <v/>
      </c>
      <c r="D6869">
        <f>IF(B6869=C6869, "YES", "WRONG")</f>
        <v/>
      </c>
    </row>
    <row r="6870">
      <c r="A6870" t="n">
        <v>6869</v>
      </c>
      <c r="B6870" t="inlineStr">
        <is>
          <t>V̅MDCCCLXIX</t>
        </is>
      </c>
      <c r="C6870">
        <f>ROMAN(6869)</f>
        <v/>
      </c>
      <c r="D6870">
        <f>IF(B6870=C6870, "YES", "WRONG")</f>
        <v/>
      </c>
    </row>
    <row r="6871">
      <c r="A6871" t="n">
        <v>6870</v>
      </c>
      <c r="B6871" t="inlineStr">
        <is>
          <t>V̅MDCCCLXX</t>
        </is>
      </c>
      <c r="C6871">
        <f>ROMAN(6870)</f>
        <v/>
      </c>
      <c r="D6871">
        <f>IF(B6871=C6871, "YES", "WRONG")</f>
        <v/>
      </c>
    </row>
    <row r="6872">
      <c r="A6872" t="n">
        <v>6871</v>
      </c>
      <c r="B6872" t="inlineStr">
        <is>
          <t>V̅MDCCCLXXI</t>
        </is>
      </c>
      <c r="C6872">
        <f>ROMAN(6871)</f>
        <v/>
      </c>
      <c r="D6872">
        <f>IF(B6872=C6872, "YES", "WRONG")</f>
        <v/>
      </c>
    </row>
    <row r="6873">
      <c r="A6873" t="n">
        <v>6872</v>
      </c>
      <c r="B6873" t="inlineStr">
        <is>
          <t>V̅MDCCCLXXII</t>
        </is>
      </c>
      <c r="C6873">
        <f>ROMAN(6872)</f>
        <v/>
      </c>
      <c r="D6873">
        <f>IF(B6873=C6873, "YES", "WRONG")</f>
        <v/>
      </c>
    </row>
    <row r="6874">
      <c r="A6874" t="n">
        <v>6873</v>
      </c>
      <c r="B6874" t="inlineStr">
        <is>
          <t>V̅MDCCCLXXIII</t>
        </is>
      </c>
      <c r="C6874">
        <f>ROMAN(6873)</f>
        <v/>
      </c>
      <c r="D6874">
        <f>IF(B6874=C6874, "YES", "WRONG")</f>
        <v/>
      </c>
    </row>
    <row r="6875">
      <c r="A6875" t="n">
        <v>6874</v>
      </c>
      <c r="B6875" t="inlineStr">
        <is>
          <t>V̅MDCCCLXXIV</t>
        </is>
      </c>
      <c r="C6875">
        <f>ROMAN(6874)</f>
        <v/>
      </c>
      <c r="D6875">
        <f>IF(B6875=C6875, "YES", "WRONG")</f>
        <v/>
      </c>
    </row>
    <row r="6876">
      <c r="A6876" t="n">
        <v>6875</v>
      </c>
      <c r="B6876" t="inlineStr">
        <is>
          <t>V̅MDCCCLXXV</t>
        </is>
      </c>
      <c r="C6876">
        <f>ROMAN(6875)</f>
        <v/>
      </c>
      <c r="D6876">
        <f>IF(B6876=C6876, "YES", "WRONG")</f>
        <v/>
      </c>
    </row>
    <row r="6877">
      <c r="A6877" t="n">
        <v>6876</v>
      </c>
      <c r="B6877" t="inlineStr">
        <is>
          <t>V̅MDCCCLXXVI</t>
        </is>
      </c>
      <c r="C6877">
        <f>ROMAN(6876)</f>
        <v/>
      </c>
      <c r="D6877">
        <f>IF(B6877=C6877, "YES", "WRONG")</f>
        <v/>
      </c>
    </row>
    <row r="6878">
      <c r="A6878" t="n">
        <v>6877</v>
      </c>
      <c r="B6878" t="inlineStr">
        <is>
          <t>V̅MDCCCLXXVII</t>
        </is>
      </c>
      <c r="C6878">
        <f>ROMAN(6877)</f>
        <v/>
      </c>
      <c r="D6878">
        <f>IF(B6878=C6878, "YES", "WRONG")</f>
        <v/>
      </c>
    </row>
    <row r="6879">
      <c r="A6879" t="n">
        <v>6878</v>
      </c>
      <c r="B6879" t="inlineStr">
        <is>
          <t>V̅MDCCCLXXVIII</t>
        </is>
      </c>
      <c r="C6879">
        <f>ROMAN(6878)</f>
        <v/>
      </c>
      <c r="D6879">
        <f>IF(B6879=C6879, "YES", "WRONG")</f>
        <v/>
      </c>
    </row>
    <row r="6880">
      <c r="A6880" t="n">
        <v>6879</v>
      </c>
      <c r="B6880" t="inlineStr">
        <is>
          <t>V̅MDCCCLXXIX</t>
        </is>
      </c>
      <c r="C6880">
        <f>ROMAN(6879)</f>
        <v/>
      </c>
      <c r="D6880">
        <f>IF(B6880=C6880, "YES", "WRONG")</f>
        <v/>
      </c>
    </row>
    <row r="6881">
      <c r="A6881" t="n">
        <v>6880</v>
      </c>
      <c r="B6881" t="inlineStr">
        <is>
          <t>V̅MDCCCLXXX</t>
        </is>
      </c>
      <c r="C6881">
        <f>ROMAN(6880)</f>
        <v/>
      </c>
      <c r="D6881">
        <f>IF(B6881=C6881, "YES", "WRONG")</f>
        <v/>
      </c>
    </row>
    <row r="6882">
      <c r="A6882" t="n">
        <v>6881</v>
      </c>
      <c r="B6882" t="inlineStr">
        <is>
          <t>V̅MDCCCLXXXI</t>
        </is>
      </c>
      <c r="C6882">
        <f>ROMAN(6881)</f>
        <v/>
      </c>
      <c r="D6882">
        <f>IF(B6882=C6882, "YES", "WRONG")</f>
        <v/>
      </c>
    </row>
    <row r="6883">
      <c r="A6883" t="n">
        <v>6882</v>
      </c>
      <c r="B6883" t="inlineStr">
        <is>
          <t>V̅MDCCCLXXXII</t>
        </is>
      </c>
      <c r="C6883">
        <f>ROMAN(6882)</f>
        <v/>
      </c>
      <c r="D6883">
        <f>IF(B6883=C6883, "YES", "WRONG")</f>
        <v/>
      </c>
    </row>
    <row r="6884">
      <c r="A6884" t="n">
        <v>6883</v>
      </c>
      <c r="B6884" t="inlineStr">
        <is>
          <t>V̅MDCCCLXXXIII</t>
        </is>
      </c>
      <c r="C6884">
        <f>ROMAN(6883)</f>
        <v/>
      </c>
      <c r="D6884">
        <f>IF(B6884=C6884, "YES", "WRONG")</f>
        <v/>
      </c>
    </row>
    <row r="6885">
      <c r="A6885" t="n">
        <v>6884</v>
      </c>
      <c r="B6885" t="inlineStr">
        <is>
          <t>V̅MDCCCLXXXIV</t>
        </is>
      </c>
      <c r="C6885">
        <f>ROMAN(6884)</f>
        <v/>
      </c>
      <c r="D6885">
        <f>IF(B6885=C6885, "YES", "WRONG")</f>
        <v/>
      </c>
    </row>
    <row r="6886">
      <c r="A6886" t="n">
        <v>6885</v>
      </c>
      <c r="B6886" t="inlineStr">
        <is>
          <t>V̅MDCCCLXXXV</t>
        </is>
      </c>
      <c r="C6886">
        <f>ROMAN(6885)</f>
        <v/>
      </c>
      <c r="D6886">
        <f>IF(B6886=C6886, "YES", "WRONG")</f>
        <v/>
      </c>
    </row>
    <row r="6887">
      <c r="A6887" t="n">
        <v>6886</v>
      </c>
      <c r="B6887" t="inlineStr">
        <is>
          <t>V̅MDCCCLXXXVI</t>
        </is>
      </c>
      <c r="C6887">
        <f>ROMAN(6886)</f>
        <v/>
      </c>
      <c r="D6887">
        <f>IF(B6887=C6887, "YES", "WRONG")</f>
        <v/>
      </c>
    </row>
    <row r="6888">
      <c r="A6888" t="n">
        <v>6887</v>
      </c>
      <c r="B6888" t="inlineStr">
        <is>
          <t>V̅MDCCCLXXXVII</t>
        </is>
      </c>
      <c r="C6888">
        <f>ROMAN(6887)</f>
        <v/>
      </c>
      <c r="D6888">
        <f>IF(B6888=C6888, "YES", "WRONG")</f>
        <v/>
      </c>
    </row>
    <row r="6889">
      <c r="A6889" t="n">
        <v>6888</v>
      </c>
      <c r="B6889" t="inlineStr">
        <is>
          <t>V̅MDCCCLXXXVIII</t>
        </is>
      </c>
      <c r="C6889">
        <f>ROMAN(6888)</f>
        <v/>
      </c>
      <c r="D6889">
        <f>IF(B6889=C6889, "YES", "WRONG")</f>
        <v/>
      </c>
    </row>
    <row r="6890">
      <c r="A6890" t="n">
        <v>6889</v>
      </c>
      <c r="B6890" t="inlineStr">
        <is>
          <t>V̅MDCCCLXXXIX</t>
        </is>
      </c>
      <c r="C6890">
        <f>ROMAN(6889)</f>
        <v/>
      </c>
      <c r="D6890">
        <f>IF(B6890=C6890, "YES", "WRONG")</f>
        <v/>
      </c>
    </row>
    <row r="6891">
      <c r="A6891" t="n">
        <v>6890</v>
      </c>
      <c r="B6891" t="inlineStr">
        <is>
          <t>V̅MDCCCXC</t>
        </is>
      </c>
      <c r="C6891">
        <f>ROMAN(6890)</f>
        <v/>
      </c>
      <c r="D6891">
        <f>IF(B6891=C6891, "YES", "WRONG")</f>
        <v/>
      </c>
    </row>
    <row r="6892">
      <c r="A6892" t="n">
        <v>6891</v>
      </c>
      <c r="B6892" t="inlineStr">
        <is>
          <t>V̅MDCCCXCI</t>
        </is>
      </c>
      <c r="C6892">
        <f>ROMAN(6891)</f>
        <v/>
      </c>
      <c r="D6892">
        <f>IF(B6892=C6892, "YES", "WRONG")</f>
        <v/>
      </c>
    </row>
    <row r="6893">
      <c r="A6893" t="n">
        <v>6892</v>
      </c>
      <c r="B6893" t="inlineStr">
        <is>
          <t>V̅MDCCCXCII</t>
        </is>
      </c>
      <c r="C6893">
        <f>ROMAN(6892)</f>
        <v/>
      </c>
      <c r="D6893">
        <f>IF(B6893=C6893, "YES", "WRONG")</f>
        <v/>
      </c>
    </row>
    <row r="6894">
      <c r="A6894" t="n">
        <v>6893</v>
      </c>
      <c r="B6894" t="inlineStr">
        <is>
          <t>V̅MDCCCXCIII</t>
        </is>
      </c>
      <c r="C6894">
        <f>ROMAN(6893)</f>
        <v/>
      </c>
      <c r="D6894">
        <f>IF(B6894=C6894, "YES", "WRONG")</f>
        <v/>
      </c>
    </row>
    <row r="6895">
      <c r="A6895" t="n">
        <v>6894</v>
      </c>
      <c r="B6895" t="inlineStr">
        <is>
          <t>V̅MDCCCXCIV</t>
        </is>
      </c>
      <c r="C6895">
        <f>ROMAN(6894)</f>
        <v/>
      </c>
      <c r="D6895">
        <f>IF(B6895=C6895, "YES", "WRONG")</f>
        <v/>
      </c>
    </row>
    <row r="6896">
      <c r="A6896" t="n">
        <v>6895</v>
      </c>
      <c r="B6896" t="inlineStr">
        <is>
          <t>V̅MDCCCXCV</t>
        </is>
      </c>
      <c r="C6896">
        <f>ROMAN(6895)</f>
        <v/>
      </c>
      <c r="D6896">
        <f>IF(B6896=C6896, "YES", "WRONG")</f>
        <v/>
      </c>
    </row>
    <row r="6897">
      <c r="A6897" t="n">
        <v>6896</v>
      </c>
      <c r="B6897" t="inlineStr">
        <is>
          <t>V̅MDCCCXCVI</t>
        </is>
      </c>
      <c r="C6897">
        <f>ROMAN(6896)</f>
        <v/>
      </c>
      <c r="D6897">
        <f>IF(B6897=C6897, "YES", "WRONG")</f>
        <v/>
      </c>
    </row>
    <row r="6898">
      <c r="A6898" t="n">
        <v>6897</v>
      </c>
      <c r="B6898" t="inlineStr">
        <is>
          <t>V̅MDCCCXCVII</t>
        </is>
      </c>
      <c r="C6898">
        <f>ROMAN(6897)</f>
        <v/>
      </c>
      <c r="D6898">
        <f>IF(B6898=C6898, "YES", "WRONG")</f>
        <v/>
      </c>
    </row>
    <row r="6899">
      <c r="A6899" t="n">
        <v>6898</v>
      </c>
      <c r="B6899" t="inlineStr">
        <is>
          <t>V̅MDCCCXCVIII</t>
        </is>
      </c>
      <c r="C6899">
        <f>ROMAN(6898)</f>
        <v/>
      </c>
      <c r="D6899">
        <f>IF(B6899=C6899, "YES", "WRONG")</f>
        <v/>
      </c>
    </row>
    <row r="6900">
      <c r="A6900" t="n">
        <v>6899</v>
      </c>
      <c r="B6900" t="inlineStr">
        <is>
          <t>V̅MDCCCXCIX</t>
        </is>
      </c>
      <c r="C6900">
        <f>ROMAN(6899)</f>
        <v/>
      </c>
      <c r="D6900">
        <f>IF(B6900=C6900, "YES", "WRONG")</f>
        <v/>
      </c>
    </row>
    <row r="6901">
      <c r="A6901" t="n">
        <v>6900</v>
      </c>
      <c r="B6901" t="inlineStr">
        <is>
          <t>V̅MCM</t>
        </is>
      </c>
      <c r="C6901">
        <f>ROMAN(6900)</f>
        <v/>
      </c>
      <c r="D6901">
        <f>IF(B6901=C6901, "YES", "WRONG")</f>
        <v/>
      </c>
    </row>
    <row r="6902">
      <c r="A6902" t="n">
        <v>6901</v>
      </c>
      <c r="B6902" t="inlineStr">
        <is>
          <t>V̅MCMI</t>
        </is>
      </c>
      <c r="C6902">
        <f>ROMAN(6901)</f>
        <v/>
      </c>
      <c r="D6902">
        <f>IF(B6902=C6902, "YES", "WRONG")</f>
        <v/>
      </c>
    </row>
    <row r="6903">
      <c r="A6903" t="n">
        <v>6902</v>
      </c>
      <c r="B6903" t="inlineStr">
        <is>
          <t>V̅MCMII</t>
        </is>
      </c>
      <c r="C6903">
        <f>ROMAN(6902)</f>
        <v/>
      </c>
      <c r="D6903">
        <f>IF(B6903=C6903, "YES", "WRONG")</f>
        <v/>
      </c>
    </row>
    <row r="6904">
      <c r="A6904" t="n">
        <v>6903</v>
      </c>
      <c r="B6904" t="inlineStr">
        <is>
          <t>V̅MCMIII</t>
        </is>
      </c>
      <c r="C6904">
        <f>ROMAN(6903)</f>
        <v/>
      </c>
      <c r="D6904">
        <f>IF(B6904=C6904, "YES", "WRONG")</f>
        <v/>
      </c>
    </row>
    <row r="6905">
      <c r="A6905" t="n">
        <v>6904</v>
      </c>
      <c r="B6905" t="inlineStr">
        <is>
          <t>V̅MCMIV</t>
        </is>
      </c>
      <c r="C6905">
        <f>ROMAN(6904)</f>
        <v/>
      </c>
      <c r="D6905">
        <f>IF(B6905=C6905, "YES", "WRONG")</f>
        <v/>
      </c>
    </row>
    <row r="6906">
      <c r="A6906" t="n">
        <v>6905</v>
      </c>
      <c r="B6906" t="inlineStr">
        <is>
          <t>V̅MCMV</t>
        </is>
      </c>
      <c r="C6906">
        <f>ROMAN(6905)</f>
        <v/>
      </c>
      <c r="D6906">
        <f>IF(B6906=C6906, "YES", "WRONG")</f>
        <v/>
      </c>
    </row>
    <row r="6907">
      <c r="A6907" t="n">
        <v>6906</v>
      </c>
      <c r="B6907" t="inlineStr">
        <is>
          <t>V̅MCMVI</t>
        </is>
      </c>
      <c r="C6907">
        <f>ROMAN(6906)</f>
        <v/>
      </c>
      <c r="D6907">
        <f>IF(B6907=C6907, "YES", "WRONG")</f>
        <v/>
      </c>
    </row>
    <row r="6908">
      <c r="A6908" t="n">
        <v>6907</v>
      </c>
      <c r="B6908" t="inlineStr">
        <is>
          <t>V̅MCMVII</t>
        </is>
      </c>
      <c r="C6908">
        <f>ROMAN(6907)</f>
        <v/>
      </c>
      <c r="D6908">
        <f>IF(B6908=C6908, "YES", "WRONG")</f>
        <v/>
      </c>
    </row>
    <row r="6909">
      <c r="A6909" t="n">
        <v>6908</v>
      </c>
      <c r="B6909" t="inlineStr">
        <is>
          <t>V̅MCMVIII</t>
        </is>
      </c>
      <c r="C6909">
        <f>ROMAN(6908)</f>
        <v/>
      </c>
      <c r="D6909">
        <f>IF(B6909=C6909, "YES", "WRONG")</f>
        <v/>
      </c>
    </row>
    <row r="6910">
      <c r="A6910" t="n">
        <v>6909</v>
      </c>
      <c r="B6910" t="inlineStr">
        <is>
          <t>V̅MCMIX</t>
        </is>
      </c>
      <c r="C6910">
        <f>ROMAN(6909)</f>
        <v/>
      </c>
      <c r="D6910">
        <f>IF(B6910=C6910, "YES", "WRONG")</f>
        <v/>
      </c>
    </row>
    <row r="6911">
      <c r="A6911" t="n">
        <v>6910</v>
      </c>
      <c r="B6911" t="inlineStr">
        <is>
          <t>V̅MCMX</t>
        </is>
      </c>
      <c r="C6911">
        <f>ROMAN(6910)</f>
        <v/>
      </c>
      <c r="D6911">
        <f>IF(B6911=C6911, "YES", "WRONG")</f>
        <v/>
      </c>
    </row>
    <row r="6912">
      <c r="A6912" t="n">
        <v>6911</v>
      </c>
      <c r="B6912" t="inlineStr">
        <is>
          <t>V̅MCMXI</t>
        </is>
      </c>
      <c r="C6912">
        <f>ROMAN(6911)</f>
        <v/>
      </c>
      <c r="D6912">
        <f>IF(B6912=C6912, "YES", "WRONG")</f>
        <v/>
      </c>
    </row>
    <row r="6913">
      <c r="A6913" t="n">
        <v>6912</v>
      </c>
      <c r="B6913" t="inlineStr">
        <is>
          <t>V̅MCMXII</t>
        </is>
      </c>
      <c r="C6913">
        <f>ROMAN(6912)</f>
        <v/>
      </c>
      <c r="D6913">
        <f>IF(B6913=C6913, "YES", "WRONG")</f>
        <v/>
      </c>
    </row>
    <row r="6914">
      <c r="A6914" t="n">
        <v>6913</v>
      </c>
      <c r="B6914" t="inlineStr">
        <is>
          <t>V̅MCMXIII</t>
        </is>
      </c>
      <c r="C6914">
        <f>ROMAN(6913)</f>
        <v/>
      </c>
      <c r="D6914">
        <f>IF(B6914=C6914, "YES", "WRONG")</f>
        <v/>
      </c>
    </row>
    <row r="6915">
      <c r="A6915" t="n">
        <v>6914</v>
      </c>
      <c r="B6915" t="inlineStr">
        <is>
          <t>V̅MCMXIV</t>
        </is>
      </c>
      <c r="C6915">
        <f>ROMAN(6914)</f>
        <v/>
      </c>
      <c r="D6915">
        <f>IF(B6915=C6915, "YES", "WRONG")</f>
        <v/>
      </c>
    </row>
    <row r="6916">
      <c r="A6916" t="n">
        <v>6915</v>
      </c>
      <c r="B6916" t="inlineStr">
        <is>
          <t>V̅MCMXV</t>
        </is>
      </c>
      <c r="C6916">
        <f>ROMAN(6915)</f>
        <v/>
      </c>
      <c r="D6916">
        <f>IF(B6916=C6916, "YES", "WRONG")</f>
        <v/>
      </c>
    </row>
    <row r="6917">
      <c r="A6917" t="n">
        <v>6916</v>
      </c>
      <c r="B6917" t="inlineStr">
        <is>
          <t>V̅MCMXVI</t>
        </is>
      </c>
      <c r="C6917">
        <f>ROMAN(6916)</f>
        <v/>
      </c>
      <c r="D6917">
        <f>IF(B6917=C6917, "YES", "WRONG")</f>
        <v/>
      </c>
    </row>
    <row r="6918">
      <c r="A6918" t="n">
        <v>6917</v>
      </c>
      <c r="B6918" t="inlineStr">
        <is>
          <t>V̅MCMXVII</t>
        </is>
      </c>
      <c r="C6918">
        <f>ROMAN(6917)</f>
        <v/>
      </c>
      <c r="D6918">
        <f>IF(B6918=C6918, "YES", "WRONG")</f>
        <v/>
      </c>
    </row>
    <row r="6919">
      <c r="A6919" t="n">
        <v>6918</v>
      </c>
      <c r="B6919" t="inlineStr">
        <is>
          <t>V̅MCMXVIII</t>
        </is>
      </c>
      <c r="C6919">
        <f>ROMAN(6918)</f>
        <v/>
      </c>
      <c r="D6919">
        <f>IF(B6919=C6919, "YES", "WRONG")</f>
        <v/>
      </c>
    </row>
    <row r="6920">
      <c r="A6920" t="n">
        <v>6919</v>
      </c>
      <c r="B6920" t="inlineStr">
        <is>
          <t>V̅MCMXIX</t>
        </is>
      </c>
      <c r="C6920">
        <f>ROMAN(6919)</f>
        <v/>
      </c>
      <c r="D6920">
        <f>IF(B6920=C6920, "YES", "WRONG")</f>
        <v/>
      </c>
    </row>
    <row r="6921">
      <c r="A6921" t="n">
        <v>6920</v>
      </c>
      <c r="B6921" t="inlineStr">
        <is>
          <t>V̅MCMXX</t>
        </is>
      </c>
      <c r="C6921">
        <f>ROMAN(6920)</f>
        <v/>
      </c>
      <c r="D6921">
        <f>IF(B6921=C6921, "YES", "WRONG")</f>
        <v/>
      </c>
    </row>
    <row r="6922">
      <c r="A6922" t="n">
        <v>6921</v>
      </c>
      <c r="B6922" t="inlineStr">
        <is>
          <t>V̅MCMXXI</t>
        </is>
      </c>
      <c r="C6922">
        <f>ROMAN(6921)</f>
        <v/>
      </c>
      <c r="D6922">
        <f>IF(B6922=C6922, "YES", "WRONG")</f>
        <v/>
      </c>
    </row>
    <row r="6923">
      <c r="A6923" t="n">
        <v>6922</v>
      </c>
      <c r="B6923" t="inlineStr">
        <is>
          <t>V̅MCMXXII</t>
        </is>
      </c>
      <c r="C6923">
        <f>ROMAN(6922)</f>
        <v/>
      </c>
      <c r="D6923">
        <f>IF(B6923=C6923, "YES", "WRONG")</f>
        <v/>
      </c>
    </row>
    <row r="6924">
      <c r="A6924" t="n">
        <v>6923</v>
      </c>
      <c r="B6924" t="inlineStr">
        <is>
          <t>V̅MCMXXIII</t>
        </is>
      </c>
      <c r="C6924">
        <f>ROMAN(6923)</f>
        <v/>
      </c>
      <c r="D6924">
        <f>IF(B6924=C6924, "YES", "WRONG")</f>
        <v/>
      </c>
    </row>
    <row r="6925">
      <c r="A6925" t="n">
        <v>6924</v>
      </c>
      <c r="B6925" t="inlineStr">
        <is>
          <t>V̅MCMXXIV</t>
        </is>
      </c>
      <c r="C6925">
        <f>ROMAN(6924)</f>
        <v/>
      </c>
      <c r="D6925">
        <f>IF(B6925=C6925, "YES", "WRONG")</f>
        <v/>
      </c>
    </row>
    <row r="6926">
      <c r="A6926" t="n">
        <v>6925</v>
      </c>
      <c r="B6926" t="inlineStr">
        <is>
          <t>V̅MCMXXV</t>
        </is>
      </c>
      <c r="C6926">
        <f>ROMAN(6925)</f>
        <v/>
      </c>
      <c r="D6926">
        <f>IF(B6926=C6926, "YES", "WRONG")</f>
        <v/>
      </c>
    </row>
    <row r="6927">
      <c r="A6927" t="n">
        <v>6926</v>
      </c>
      <c r="B6927" t="inlineStr">
        <is>
          <t>V̅MCMXXVI</t>
        </is>
      </c>
      <c r="C6927">
        <f>ROMAN(6926)</f>
        <v/>
      </c>
      <c r="D6927">
        <f>IF(B6927=C6927, "YES", "WRONG")</f>
        <v/>
      </c>
    </row>
    <row r="6928">
      <c r="A6928" t="n">
        <v>6927</v>
      </c>
      <c r="B6928" t="inlineStr">
        <is>
          <t>V̅MCMXXVII</t>
        </is>
      </c>
      <c r="C6928">
        <f>ROMAN(6927)</f>
        <v/>
      </c>
      <c r="D6928">
        <f>IF(B6928=C6928, "YES", "WRONG")</f>
        <v/>
      </c>
    </row>
    <row r="6929">
      <c r="A6929" t="n">
        <v>6928</v>
      </c>
      <c r="B6929" t="inlineStr">
        <is>
          <t>V̅MCMXXVIII</t>
        </is>
      </c>
      <c r="C6929">
        <f>ROMAN(6928)</f>
        <v/>
      </c>
      <c r="D6929">
        <f>IF(B6929=C6929, "YES", "WRONG")</f>
        <v/>
      </c>
    </row>
    <row r="6930">
      <c r="A6930" t="n">
        <v>6929</v>
      </c>
      <c r="B6930" t="inlineStr">
        <is>
          <t>V̅MCMXXIX</t>
        </is>
      </c>
      <c r="C6930">
        <f>ROMAN(6929)</f>
        <v/>
      </c>
      <c r="D6930">
        <f>IF(B6930=C6930, "YES", "WRONG")</f>
        <v/>
      </c>
    </row>
    <row r="6931">
      <c r="A6931" t="n">
        <v>6930</v>
      </c>
      <c r="B6931" t="inlineStr">
        <is>
          <t>V̅MCMXXX</t>
        </is>
      </c>
      <c r="C6931">
        <f>ROMAN(6930)</f>
        <v/>
      </c>
      <c r="D6931">
        <f>IF(B6931=C6931, "YES", "WRONG")</f>
        <v/>
      </c>
    </row>
    <row r="6932">
      <c r="A6932" t="n">
        <v>6931</v>
      </c>
      <c r="B6932" t="inlineStr">
        <is>
          <t>V̅MCMXXXI</t>
        </is>
      </c>
      <c r="C6932">
        <f>ROMAN(6931)</f>
        <v/>
      </c>
      <c r="D6932">
        <f>IF(B6932=C6932, "YES", "WRONG")</f>
        <v/>
      </c>
    </row>
    <row r="6933">
      <c r="A6933" t="n">
        <v>6932</v>
      </c>
      <c r="B6933" t="inlineStr">
        <is>
          <t>V̅MCMXXXII</t>
        </is>
      </c>
      <c r="C6933">
        <f>ROMAN(6932)</f>
        <v/>
      </c>
      <c r="D6933">
        <f>IF(B6933=C6933, "YES", "WRONG")</f>
        <v/>
      </c>
    </row>
    <row r="6934">
      <c r="A6934" t="n">
        <v>6933</v>
      </c>
      <c r="B6934" t="inlineStr">
        <is>
          <t>V̅MCMXXXIII</t>
        </is>
      </c>
      <c r="C6934">
        <f>ROMAN(6933)</f>
        <v/>
      </c>
      <c r="D6934">
        <f>IF(B6934=C6934, "YES", "WRONG")</f>
        <v/>
      </c>
    </row>
    <row r="6935">
      <c r="A6935" t="n">
        <v>6934</v>
      </c>
      <c r="B6935" t="inlineStr">
        <is>
          <t>V̅MCMXXXIV</t>
        </is>
      </c>
      <c r="C6935">
        <f>ROMAN(6934)</f>
        <v/>
      </c>
      <c r="D6935">
        <f>IF(B6935=C6935, "YES", "WRONG")</f>
        <v/>
      </c>
    </row>
    <row r="6936">
      <c r="A6936" t="n">
        <v>6935</v>
      </c>
      <c r="B6936" t="inlineStr">
        <is>
          <t>V̅MCMXXXV</t>
        </is>
      </c>
      <c r="C6936">
        <f>ROMAN(6935)</f>
        <v/>
      </c>
      <c r="D6936">
        <f>IF(B6936=C6936, "YES", "WRONG")</f>
        <v/>
      </c>
    </row>
    <row r="6937">
      <c r="A6937" t="n">
        <v>6936</v>
      </c>
      <c r="B6937" t="inlineStr">
        <is>
          <t>V̅MCMXXXVI</t>
        </is>
      </c>
      <c r="C6937">
        <f>ROMAN(6936)</f>
        <v/>
      </c>
      <c r="D6937">
        <f>IF(B6937=C6937, "YES", "WRONG")</f>
        <v/>
      </c>
    </row>
    <row r="6938">
      <c r="A6938" t="n">
        <v>6937</v>
      </c>
      <c r="B6938" t="inlineStr">
        <is>
          <t>V̅MCMXXXVII</t>
        </is>
      </c>
      <c r="C6938">
        <f>ROMAN(6937)</f>
        <v/>
      </c>
      <c r="D6938">
        <f>IF(B6938=C6938, "YES", "WRONG")</f>
        <v/>
      </c>
    </row>
    <row r="6939">
      <c r="A6939" t="n">
        <v>6938</v>
      </c>
      <c r="B6939" t="inlineStr">
        <is>
          <t>V̅MCMXXXVIII</t>
        </is>
      </c>
      <c r="C6939">
        <f>ROMAN(6938)</f>
        <v/>
      </c>
      <c r="D6939">
        <f>IF(B6939=C6939, "YES", "WRONG")</f>
        <v/>
      </c>
    </row>
    <row r="6940">
      <c r="A6940" t="n">
        <v>6939</v>
      </c>
      <c r="B6940" t="inlineStr">
        <is>
          <t>V̅MCMXXXIX</t>
        </is>
      </c>
      <c r="C6940">
        <f>ROMAN(6939)</f>
        <v/>
      </c>
      <c r="D6940">
        <f>IF(B6940=C6940, "YES", "WRONG")</f>
        <v/>
      </c>
    </row>
    <row r="6941">
      <c r="A6941" t="n">
        <v>6940</v>
      </c>
      <c r="B6941" t="inlineStr">
        <is>
          <t>V̅MCMXL</t>
        </is>
      </c>
      <c r="C6941">
        <f>ROMAN(6940)</f>
        <v/>
      </c>
      <c r="D6941">
        <f>IF(B6941=C6941, "YES", "WRONG")</f>
        <v/>
      </c>
    </row>
    <row r="6942">
      <c r="A6942" t="n">
        <v>6941</v>
      </c>
      <c r="B6942" t="inlineStr">
        <is>
          <t>V̅MCMXLI</t>
        </is>
      </c>
      <c r="C6942">
        <f>ROMAN(6941)</f>
        <v/>
      </c>
      <c r="D6942">
        <f>IF(B6942=C6942, "YES", "WRONG")</f>
        <v/>
      </c>
    </row>
    <row r="6943">
      <c r="A6943" t="n">
        <v>6942</v>
      </c>
      <c r="B6943" t="inlineStr">
        <is>
          <t>V̅MCMXLII</t>
        </is>
      </c>
      <c r="C6943">
        <f>ROMAN(6942)</f>
        <v/>
      </c>
      <c r="D6943">
        <f>IF(B6943=C6943, "YES", "WRONG")</f>
        <v/>
      </c>
    </row>
    <row r="6944">
      <c r="A6944" t="n">
        <v>6943</v>
      </c>
      <c r="B6944" t="inlineStr">
        <is>
          <t>V̅MCMXLIII</t>
        </is>
      </c>
      <c r="C6944">
        <f>ROMAN(6943)</f>
        <v/>
      </c>
      <c r="D6944">
        <f>IF(B6944=C6944, "YES", "WRONG")</f>
        <v/>
      </c>
    </row>
    <row r="6945">
      <c r="A6945" t="n">
        <v>6944</v>
      </c>
      <c r="B6945" t="inlineStr">
        <is>
          <t>V̅MCMXLIV</t>
        </is>
      </c>
      <c r="C6945">
        <f>ROMAN(6944)</f>
        <v/>
      </c>
      <c r="D6945">
        <f>IF(B6945=C6945, "YES", "WRONG")</f>
        <v/>
      </c>
    </row>
    <row r="6946">
      <c r="A6946" t="n">
        <v>6945</v>
      </c>
      <c r="B6946" t="inlineStr">
        <is>
          <t>V̅MCMXLV</t>
        </is>
      </c>
      <c r="C6946">
        <f>ROMAN(6945)</f>
        <v/>
      </c>
      <c r="D6946">
        <f>IF(B6946=C6946, "YES", "WRONG")</f>
        <v/>
      </c>
    </row>
    <row r="6947">
      <c r="A6947" t="n">
        <v>6946</v>
      </c>
      <c r="B6947" t="inlineStr">
        <is>
          <t>V̅MCMXLVI</t>
        </is>
      </c>
      <c r="C6947">
        <f>ROMAN(6946)</f>
        <v/>
      </c>
      <c r="D6947">
        <f>IF(B6947=C6947, "YES", "WRONG")</f>
        <v/>
      </c>
    </row>
    <row r="6948">
      <c r="A6948" t="n">
        <v>6947</v>
      </c>
      <c r="B6948" t="inlineStr">
        <is>
          <t>V̅MCMXLVII</t>
        </is>
      </c>
      <c r="C6948">
        <f>ROMAN(6947)</f>
        <v/>
      </c>
      <c r="D6948">
        <f>IF(B6948=C6948, "YES", "WRONG")</f>
        <v/>
      </c>
    </row>
    <row r="6949">
      <c r="A6949" t="n">
        <v>6948</v>
      </c>
      <c r="B6949" t="inlineStr">
        <is>
          <t>V̅MCMXLVIII</t>
        </is>
      </c>
      <c r="C6949">
        <f>ROMAN(6948)</f>
        <v/>
      </c>
      <c r="D6949">
        <f>IF(B6949=C6949, "YES", "WRONG")</f>
        <v/>
      </c>
    </row>
    <row r="6950">
      <c r="A6950" t="n">
        <v>6949</v>
      </c>
      <c r="B6950" t="inlineStr">
        <is>
          <t>V̅MCMXLIX</t>
        </is>
      </c>
      <c r="C6950">
        <f>ROMAN(6949)</f>
        <v/>
      </c>
      <c r="D6950">
        <f>IF(B6950=C6950, "YES", "WRONG")</f>
        <v/>
      </c>
    </row>
    <row r="6951">
      <c r="A6951" t="n">
        <v>6950</v>
      </c>
      <c r="B6951" t="inlineStr">
        <is>
          <t>V̅MCML</t>
        </is>
      </c>
      <c r="C6951">
        <f>ROMAN(6950)</f>
        <v/>
      </c>
      <c r="D6951">
        <f>IF(B6951=C6951, "YES", "WRONG")</f>
        <v/>
      </c>
    </row>
    <row r="6952">
      <c r="A6952" t="n">
        <v>6951</v>
      </c>
      <c r="B6952" t="inlineStr">
        <is>
          <t>V̅MCMLI</t>
        </is>
      </c>
      <c r="C6952">
        <f>ROMAN(6951)</f>
        <v/>
      </c>
      <c r="D6952">
        <f>IF(B6952=C6952, "YES", "WRONG")</f>
        <v/>
      </c>
    </row>
    <row r="6953">
      <c r="A6953" t="n">
        <v>6952</v>
      </c>
      <c r="B6953" t="inlineStr">
        <is>
          <t>V̅MCMLII</t>
        </is>
      </c>
      <c r="C6953">
        <f>ROMAN(6952)</f>
        <v/>
      </c>
      <c r="D6953">
        <f>IF(B6953=C6953, "YES", "WRONG")</f>
        <v/>
      </c>
    </row>
    <row r="6954">
      <c r="A6954" t="n">
        <v>6953</v>
      </c>
      <c r="B6954" t="inlineStr">
        <is>
          <t>V̅MCMLIII</t>
        </is>
      </c>
      <c r="C6954">
        <f>ROMAN(6953)</f>
        <v/>
      </c>
      <c r="D6954">
        <f>IF(B6954=C6954, "YES", "WRONG")</f>
        <v/>
      </c>
    </row>
    <row r="6955">
      <c r="A6955" t="n">
        <v>6954</v>
      </c>
      <c r="B6955" t="inlineStr">
        <is>
          <t>V̅MCMLIV</t>
        </is>
      </c>
      <c r="C6955">
        <f>ROMAN(6954)</f>
        <v/>
      </c>
      <c r="D6955">
        <f>IF(B6955=C6955, "YES", "WRONG")</f>
        <v/>
      </c>
    </row>
    <row r="6956">
      <c r="A6956" t="n">
        <v>6955</v>
      </c>
      <c r="B6956" t="inlineStr">
        <is>
          <t>V̅MCMLV</t>
        </is>
      </c>
      <c r="C6956">
        <f>ROMAN(6955)</f>
        <v/>
      </c>
      <c r="D6956">
        <f>IF(B6956=C6956, "YES", "WRONG")</f>
        <v/>
      </c>
    </row>
    <row r="6957">
      <c r="A6957" t="n">
        <v>6956</v>
      </c>
      <c r="B6957" t="inlineStr">
        <is>
          <t>V̅MCMLVI</t>
        </is>
      </c>
      <c r="C6957">
        <f>ROMAN(6956)</f>
        <v/>
      </c>
      <c r="D6957">
        <f>IF(B6957=C6957, "YES", "WRONG")</f>
        <v/>
      </c>
    </row>
    <row r="6958">
      <c r="A6958" t="n">
        <v>6957</v>
      </c>
      <c r="B6958" t="inlineStr">
        <is>
          <t>V̅MCMLVII</t>
        </is>
      </c>
      <c r="C6958">
        <f>ROMAN(6957)</f>
        <v/>
      </c>
      <c r="D6958">
        <f>IF(B6958=C6958, "YES", "WRONG")</f>
        <v/>
      </c>
    </row>
    <row r="6959">
      <c r="A6959" t="n">
        <v>6958</v>
      </c>
      <c r="B6959" t="inlineStr">
        <is>
          <t>V̅MCMLVIII</t>
        </is>
      </c>
      <c r="C6959">
        <f>ROMAN(6958)</f>
        <v/>
      </c>
      <c r="D6959">
        <f>IF(B6959=C6959, "YES", "WRONG")</f>
        <v/>
      </c>
    </row>
    <row r="6960">
      <c r="A6960" t="n">
        <v>6959</v>
      </c>
      <c r="B6960" t="inlineStr">
        <is>
          <t>V̅MCMLIX</t>
        </is>
      </c>
      <c r="C6960">
        <f>ROMAN(6959)</f>
        <v/>
      </c>
      <c r="D6960">
        <f>IF(B6960=C6960, "YES", "WRONG")</f>
        <v/>
      </c>
    </row>
    <row r="6961">
      <c r="A6961" t="n">
        <v>6960</v>
      </c>
      <c r="B6961" t="inlineStr">
        <is>
          <t>V̅MCMLX</t>
        </is>
      </c>
      <c r="C6961">
        <f>ROMAN(6960)</f>
        <v/>
      </c>
      <c r="D6961">
        <f>IF(B6961=C6961, "YES", "WRONG")</f>
        <v/>
      </c>
    </row>
    <row r="6962">
      <c r="A6962" t="n">
        <v>6961</v>
      </c>
      <c r="B6962" t="inlineStr">
        <is>
          <t>V̅MCMLXI</t>
        </is>
      </c>
      <c r="C6962">
        <f>ROMAN(6961)</f>
        <v/>
      </c>
      <c r="D6962">
        <f>IF(B6962=C6962, "YES", "WRONG")</f>
        <v/>
      </c>
    </row>
    <row r="6963">
      <c r="A6963" t="n">
        <v>6962</v>
      </c>
      <c r="B6963" t="inlineStr">
        <is>
          <t>V̅MCMLXII</t>
        </is>
      </c>
      <c r="C6963">
        <f>ROMAN(6962)</f>
        <v/>
      </c>
      <c r="D6963">
        <f>IF(B6963=C6963, "YES", "WRONG")</f>
        <v/>
      </c>
    </row>
    <row r="6964">
      <c r="A6964" t="n">
        <v>6963</v>
      </c>
      <c r="B6964" t="inlineStr">
        <is>
          <t>V̅MCMLXIII</t>
        </is>
      </c>
      <c r="C6964">
        <f>ROMAN(6963)</f>
        <v/>
      </c>
      <c r="D6964">
        <f>IF(B6964=C6964, "YES", "WRONG")</f>
        <v/>
      </c>
    </row>
    <row r="6965">
      <c r="A6965" t="n">
        <v>6964</v>
      </c>
      <c r="B6965" t="inlineStr">
        <is>
          <t>V̅MCMLXIV</t>
        </is>
      </c>
      <c r="C6965">
        <f>ROMAN(6964)</f>
        <v/>
      </c>
      <c r="D6965">
        <f>IF(B6965=C6965, "YES", "WRONG")</f>
        <v/>
      </c>
    </row>
    <row r="6966">
      <c r="A6966" t="n">
        <v>6965</v>
      </c>
      <c r="B6966" t="inlineStr">
        <is>
          <t>V̅MCMLXV</t>
        </is>
      </c>
      <c r="C6966">
        <f>ROMAN(6965)</f>
        <v/>
      </c>
      <c r="D6966">
        <f>IF(B6966=C6966, "YES", "WRONG")</f>
        <v/>
      </c>
    </row>
    <row r="6967">
      <c r="A6967" t="n">
        <v>6966</v>
      </c>
      <c r="B6967" t="inlineStr">
        <is>
          <t>V̅MCMLXVI</t>
        </is>
      </c>
      <c r="C6967">
        <f>ROMAN(6966)</f>
        <v/>
      </c>
      <c r="D6967">
        <f>IF(B6967=C6967, "YES", "WRONG")</f>
        <v/>
      </c>
    </row>
    <row r="6968">
      <c r="A6968" t="n">
        <v>6967</v>
      </c>
      <c r="B6968" t="inlineStr">
        <is>
          <t>V̅MCMLXVII</t>
        </is>
      </c>
      <c r="C6968">
        <f>ROMAN(6967)</f>
        <v/>
      </c>
      <c r="D6968">
        <f>IF(B6968=C6968, "YES", "WRONG")</f>
        <v/>
      </c>
    </row>
    <row r="6969">
      <c r="A6969" t="n">
        <v>6968</v>
      </c>
      <c r="B6969" t="inlineStr">
        <is>
          <t>V̅MCMLXVIII</t>
        </is>
      </c>
      <c r="C6969">
        <f>ROMAN(6968)</f>
        <v/>
      </c>
      <c r="D6969">
        <f>IF(B6969=C6969, "YES", "WRONG")</f>
        <v/>
      </c>
    </row>
    <row r="6970">
      <c r="A6970" t="n">
        <v>6969</v>
      </c>
      <c r="B6970" t="inlineStr">
        <is>
          <t>V̅MCMLXIX</t>
        </is>
      </c>
      <c r="C6970">
        <f>ROMAN(6969)</f>
        <v/>
      </c>
      <c r="D6970">
        <f>IF(B6970=C6970, "YES", "WRONG")</f>
        <v/>
      </c>
    </row>
    <row r="6971">
      <c r="A6971" t="n">
        <v>6970</v>
      </c>
      <c r="B6971" t="inlineStr">
        <is>
          <t>V̅MCMLXX</t>
        </is>
      </c>
      <c r="C6971">
        <f>ROMAN(6970)</f>
        <v/>
      </c>
      <c r="D6971">
        <f>IF(B6971=C6971, "YES", "WRONG")</f>
        <v/>
      </c>
    </row>
    <row r="6972">
      <c r="A6972" t="n">
        <v>6971</v>
      </c>
      <c r="B6972" t="inlineStr">
        <is>
          <t>V̅MCMLXXI</t>
        </is>
      </c>
      <c r="C6972">
        <f>ROMAN(6971)</f>
        <v/>
      </c>
      <c r="D6972">
        <f>IF(B6972=C6972, "YES", "WRONG")</f>
        <v/>
      </c>
    </row>
    <row r="6973">
      <c r="A6973" t="n">
        <v>6972</v>
      </c>
      <c r="B6973" t="inlineStr">
        <is>
          <t>V̅MCMLXXII</t>
        </is>
      </c>
      <c r="C6973">
        <f>ROMAN(6972)</f>
        <v/>
      </c>
      <c r="D6973">
        <f>IF(B6973=C6973, "YES", "WRONG")</f>
        <v/>
      </c>
    </row>
    <row r="6974">
      <c r="A6974" t="n">
        <v>6973</v>
      </c>
      <c r="B6974" t="inlineStr">
        <is>
          <t>V̅MCMLXXIII</t>
        </is>
      </c>
      <c r="C6974">
        <f>ROMAN(6973)</f>
        <v/>
      </c>
      <c r="D6974">
        <f>IF(B6974=C6974, "YES", "WRONG")</f>
        <v/>
      </c>
    </row>
    <row r="6975">
      <c r="A6975" t="n">
        <v>6974</v>
      </c>
      <c r="B6975" t="inlineStr">
        <is>
          <t>V̅MCMLXXIV</t>
        </is>
      </c>
      <c r="C6975">
        <f>ROMAN(6974)</f>
        <v/>
      </c>
      <c r="D6975">
        <f>IF(B6975=C6975, "YES", "WRONG")</f>
        <v/>
      </c>
    </row>
    <row r="6976">
      <c r="A6976" t="n">
        <v>6975</v>
      </c>
      <c r="B6976" t="inlineStr">
        <is>
          <t>V̅MCMLXXV</t>
        </is>
      </c>
      <c r="C6976">
        <f>ROMAN(6975)</f>
        <v/>
      </c>
      <c r="D6976">
        <f>IF(B6976=C6976, "YES", "WRONG")</f>
        <v/>
      </c>
    </row>
    <row r="6977">
      <c r="A6977" t="n">
        <v>6976</v>
      </c>
      <c r="B6977" t="inlineStr">
        <is>
          <t>V̅MCMLXXVI</t>
        </is>
      </c>
      <c r="C6977">
        <f>ROMAN(6976)</f>
        <v/>
      </c>
      <c r="D6977">
        <f>IF(B6977=C6977, "YES", "WRONG")</f>
        <v/>
      </c>
    </row>
    <row r="6978">
      <c r="A6978" t="n">
        <v>6977</v>
      </c>
      <c r="B6978" t="inlineStr">
        <is>
          <t>V̅MCMLXXVII</t>
        </is>
      </c>
      <c r="C6978">
        <f>ROMAN(6977)</f>
        <v/>
      </c>
      <c r="D6978">
        <f>IF(B6978=C6978, "YES", "WRONG")</f>
        <v/>
      </c>
    </row>
    <row r="6979">
      <c r="A6979" t="n">
        <v>6978</v>
      </c>
      <c r="B6979" t="inlineStr">
        <is>
          <t>V̅MCMLXXVIII</t>
        </is>
      </c>
      <c r="C6979">
        <f>ROMAN(6978)</f>
        <v/>
      </c>
      <c r="D6979">
        <f>IF(B6979=C6979, "YES", "WRONG")</f>
        <v/>
      </c>
    </row>
    <row r="6980">
      <c r="A6980" t="n">
        <v>6979</v>
      </c>
      <c r="B6980" t="inlineStr">
        <is>
          <t>V̅MCMLXXIX</t>
        </is>
      </c>
      <c r="C6980">
        <f>ROMAN(6979)</f>
        <v/>
      </c>
      <c r="D6980">
        <f>IF(B6980=C6980, "YES", "WRONG")</f>
        <v/>
      </c>
    </row>
    <row r="6981">
      <c r="A6981" t="n">
        <v>6980</v>
      </c>
      <c r="B6981" t="inlineStr">
        <is>
          <t>V̅MCMLXXX</t>
        </is>
      </c>
      <c r="C6981">
        <f>ROMAN(6980)</f>
        <v/>
      </c>
      <c r="D6981">
        <f>IF(B6981=C6981, "YES", "WRONG")</f>
        <v/>
      </c>
    </row>
    <row r="6982">
      <c r="A6982" t="n">
        <v>6981</v>
      </c>
      <c r="B6982" t="inlineStr">
        <is>
          <t>V̅MCMLXXXI</t>
        </is>
      </c>
      <c r="C6982">
        <f>ROMAN(6981)</f>
        <v/>
      </c>
      <c r="D6982">
        <f>IF(B6982=C6982, "YES", "WRONG")</f>
        <v/>
      </c>
    </row>
    <row r="6983">
      <c r="A6983" t="n">
        <v>6982</v>
      </c>
      <c r="B6983" t="inlineStr">
        <is>
          <t>V̅MCMLXXXII</t>
        </is>
      </c>
      <c r="C6983">
        <f>ROMAN(6982)</f>
        <v/>
      </c>
      <c r="D6983">
        <f>IF(B6983=C6983, "YES", "WRONG")</f>
        <v/>
      </c>
    </row>
    <row r="6984">
      <c r="A6984" t="n">
        <v>6983</v>
      </c>
      <c r="B6984" t="inlineStr">
        <is>
          <t>V̅MCMLXXXIII</t>
        </is>
      </c>
      <c r="C6984">
        <f>ROMAN(6983)</f>
        <v/>
      </c>
      <c r="D6984">
        <f>IF(B6984=C6984, "YES", "WRONG")</f>
        <v/>
      </c>
    </row>
    <row r="6985">
      <c r="A6985" t="n">
        <v>6984</v>
      </c>
      <c r="B6985" t="inlineStr">
        <is>
          <t>V̅MCMLXXXIV</t>
        </is>
      </c>
      <c r="C6985">
        <f>ROMAN(6984)</f>
        <v/>
      </c>
      <c r="D6985">
        <f>IF(B6985=C6985, "YES", "WRONG")</f>
        <v/>
      </c>
    </row>
    <row r="6986">
      <c r="A6986" t="n">
        <v>6985</v>
      </c>
      <c r="B6986" t="inlineStr">
        <is>
          <t>V̅MCMLXXXV</t>
        </is>
      </c>
      <c r="C6986">
        <f>ROMAN(6985)</f>
        <v/>
      </c>
      <c r="D6986">
        <f>IF(B6986=C6986, "YES", "WRONG")</f>
        <v/>
      </c>
    </row>
    <row r="6987">
      <c r="A6987" t="n">
        <v>6986</v>
      </c>
      <c r="B6987" t="inlineStr">
        <is>
          <t>V̅MCMLXXXVI</t>
        </is>
      </c>
      <c r="C6987">
        <f>ROMAN(6986)</f>
        <v/>
      </c>
      <c r="D6987">
        <f>IF(B6987=C6987, "YES", "WRONG")</f>
        <v/>
      </c>
    </row>
    <row r="6988">
      <c r="A6988" t="n">
        <v>6987</v>
      </c>
      <c r="B6988" t="inlineStr">
        <is>
          <t>V̅MCMLXXXVII</t>
        </is>
      </c>
      <c r="C6988">
        <f>ROMAN(6987)</f>
        <v/>
      </c>
      <c r="D6988">
        <f>IF(B6988=C6988, "YES", "WRONG")</f>
        <v/>
      </c>
    </row>
    <row r="6989">
      <c r="A6989" t="n">
        <v>6988</v>
      </c>
      <c r="B6989" t="inlineStr">
        <is>
          <t>V̅MCMLXXXVIII</t>
        </is>
      </c>
      <c r="C6989">
        <f>ROMAN(6988)</f>
        <v/>
      </c>
      <c r="D6989">
        <f>IF(B6989=C6989, "YES", "WRONG")</f>
        <v/>
      </c>
    </row>
    <row r="6990">
      <c r="A6990" t="n">
        <v>6989</v>
      </c>
      <c r="B6990" t="inlineStr">
        <is>
          <t>V̅MCMLXXXIX</t>
        </is>
      </c>
      <c r="C6990">
        <f>ROMAN(6989)</f>
        <v/>
      </c>
      <c r="D6990">
        <f>IF(B6990=C6990, "YES", "WRONG")</f>
        <v/>
      </c>
    </row>
    <row r="6991">
      <c r="A6991" t="n">
        <v>6990</v>
      </c>
      <c r="B6991" t="inlineStr">
        <is>
          <t>V̅MCMXC</t>
        </is>
      </c>
      <c r="C6991">
        <f>ROMAN(6990)</f>
        <v/>
      </c>
      <c r="D6991">
        <f>IF(B6991=C6991, "YES", "WRONG")</f>
        <v/>
      </c>
    </row>
    <row r="6992">
      <c r="A6992" t="n">
        <v>6991</v>
      </c>
      <c r="B6992" t="inlineStr">
        <is>
          <t>V̅MCMXCI</t>
        </is>
      </c>
      <c r="C6992">
        <f>ROMAN(6991)</f>
        <v/>
      </c>
      <c r="D6992">
        <f>IF(B6992=C6992, "YES", "WRONG")</f>
        <v/>
      </c>
    </row>
    <row r="6993">
      <c r="A6993" t="n">
        <v>6992</v>
      </c>
      <c r="B6993" t="inlineStr">
        <is>
          <t>V̅MCMXCII</t>
        </is>
      </c>
      <c r="C6993">
        <f>ROMAN(6992)</f>
        <v/>
      </c>
      <c r="D6993">
        <f>IF(B6993=C6993, "YES", "WRONG")</f>
        <v/>
      </c>
    </row>
    <row r="6994">
      <c r="A6994" t="n">
        <v>6993</v>
      </c>
      <c r="B6994" t="inlineStr">
        <is>
          <t>V̅MCMXCIII</t>
        </is>
      </c>
      <c r="C6994">
        <f>ROMAN(6993)</f>
        <v/>
      </c>
      <c r="D6994">
        <f>IF(B6994=C6994, "YES", "WRONG")</f>
        <v/>
      </c>
    </row>
    <row r="6995">
      <c r="A6995" t="n">
        <v>6994</v>
      </c>
      <c r="B6995" t="inlineStr">
        <is>
          <t>V̅MCMXCIV</t>
        </is>
      </c>
      <c r="C6995">
        <f>ROMAN(6994)</f>
        <v/>
      </c>
      <c r="D6995">
        <f>IF(B6995=C6995, "YES", "WRONG")</f>
        <v/>
      </c>
    </row>
    <row r="6996">
      <c r="A6996" t="n">
        <v>6995</v>
      </c>
      <c r="B6996" t="inlineStr">
        <is>
          <t>V̅MCMXCV</t>
        </is>
      </c>
      <c r="C6996">
        <f>ROMAN(6995)</f>
        <v/>
      </c>
      <c r="D6996">
        <f>IF(B6996=C6996, "YES", "WRONG")</f>
        <v/>
      </c>
    </row>
    <row r="6997">
      <c r="A6997" t="n">
        <v>6996</v>
      </c>
      <c r="B6997" t="inlineStr">
        <is>
          <t>V̅MCMXCVI</t>
        </is>
      </c>
      <c r="C6997">
        <f>ROMAN(6996)</f>
        <v/>
      </c>
      <c r="D6997">
        <f>IF(B6997=C6997, "YES", "WRONG")</f>
        <v/>
      </c>
    </row>
    <row r="6998">
      <c r="A6998" t="n">
        <v>6997</v>
      </c>
      <c r="B6998" t="inlineStr">
        <is>
          <t>V̅MCMXCVII</t>
        </is>
      </c>
      <c r="C6998">
        <f>ROMAN(6997)</f>
        <v/>
      </c>
      <c r="D6998">
        <f>IF(B6998=C6998, "YES", "WRONG")</f>
        <v/>
      </c>
    </row>
    <row r="6999">
      <c r="A6999" t="n">
        <v>6998</v>
      </c>
      <c r="B6999" t="inlineStr">
        <is>
          <t>V̅MCMXCVIII</t>
        </is>
      </c>
      <c r="C6999">
        <f>ROMAN(6998)</f>
        <v/>
      </c>
      <c r="D6999">
        <f>IF(B6999=C6999, "YES", "WRONG")</f>
        <v/>
      </c>
    </row>
    <row r="7000">
      <c r="A7000" t="n">
        <v>6999</v>
      </c>
      <c r="B7000" t="inlineStr">
        <is>
          <t>V̅MCMXCIX</t>
        </is>
      </c>
      <c r="C7000">
        <f>ROMAN(6999)</f>
        <v/>
      </c>
      <c r="D7000">
        <f>IF(B7000=C7000, "YES", "WRONG")</f>
        <v/>
      </c>
    </row>
    <row r="7001">
      <c r="A7001" t="n">
        <v>7000</v>
      </c>
      <c r="B7001" t="inlineStr">
        <is>
          <t>V̅MM</t>
        </is>
      </c>
      <c r="C7001">
        <f>ROMAN(7000)</f>
        <v/>
      </c>
      <c r="D7001">
        <f>IF(B7001=C7001, "YES", "WRONG")</f>
        <v/>
      </c>
    </row>
    <row r="7002">
      <c r="A7002" t="n">
        <v>7001</v>
      </c>
      <c r="B7002" t="inlineStr">
        <is>
          <t>V̅MMI</t>
        </is>
      </c>
      <c r="C7002">
        <f>ROMAN(7001)</f>
        <v/>
      </c>
      <c r="D7002">
        <f>IF(B7002=C7002, "YES", "WRONG")</f>
        <v/>
      </c>
    </row>
    <row r="7003">
      <c r="A7003" t="n">
        <v>7002</v>
      </c>
      <c r="B7003" t="inlineStr">
        <is>
          <t>V̅MMII</t>
        </is>
      </c>
      <c r="C7003">
        <f>ROMAN(7002)</f>
        <v/>
      </c>
      <c r="D7003">
        <f>IF(B7003=C7003, "YES", "WRONG")</f>
        <v/>
      </c>
    </row>
    <row r="7004">
      <c r="A7004" t="n">
        <v>7003</v>
      </c>
      <c r="B7004" t="inlineStr">
        <is>
          <t>V̅MMIII</t>
        </is>
      </c>
      <c r="C7004">
        <f>ROMAN(7003)</f>
        <v/>
      </c>
      <c r="D7004">
        <f>IF(B7004=C7004, "YES", "WRONG")</f>
        <v/>
      </c>
    </row>
    <row r="7005">
      <c r="A7005" t="n">
        <v>7004</v>
      </c>
      <c r="B7005" t="inlineStr">
        <is>
          <t>V̅MMIV</t>
        </is>
      </c>
      <c r="C7005">
        <f>ROMAN(7004)</f>
        <v/>
      </c>
      <c r="D7005">
        <f>IF(B7005=C7005, "YES", "WRONG")</f>
        <v/>
      </c>
    </row>
    <row r="7006">
      <c r="A7006" t="n">
        <v>7005</v>
      </c>
      <c r="B7006" t="inlineStr">
        <is>
          <t>V̅MMV</t>
        </is>
      </c>
      <c r="C7006">
        <f>ROMAN(7005)</f>
        <v/>
      </c>
      <c r="D7006">
        <f>IF(B7006=C7006, "YES", "WRONG")</f>
        <v/>
      </c>
    </row>
    <row r="7007">
      <c r="A7007" t="n">
        <v>7006</v>
      </c>
      <c r="B7007" t="inlineStr">
        <is>
          <t>V̅MMVI</t>
        </is>
      </c>
      <c r="C7007">
        <f>ROMAN(7006)</f>
        <v/>
      </c>
      <c r="D7007">
        <f>IF(B7007=C7007, "YES", "WRONG")</f>
        <v/>
      </c>
    </row>
    <row r="7008">
      <c r="A7008" t="n">
        <v>7007</v>
      </c>
      <c r="B7008" t="inlineStr">
        <is>
          <t>V̅MMVII</t>
        </is>
      </c>
      <c r="C7008">
        <f>ROMAN(7007)</f>
        <v/>
      </c>
      <c r="D7008">
        <f>IF(B7008=C7008, "YES", "WRONG")</f>
        <v/>
      </c>
    </row>
    <row r="7009">
      <c r="A7009" t="n">
        <v>7008</v>
      </c>
      <c r="B7009" t="inlineStr">
        <is>
          <t>V̅MMVIII</t>
        </is>
      </c>
      <c r="C7009">
        <f>ROMAN(7008)</f>
        <v/>
      </c>
      <c r="D7009">
        <f>IF(B7009=C7009, "YES", "WRONG")</f>
        <v/>
      </c>
    </row>
    <row r="7010">
      <c r="A7010" t="n">
        <v>7009</v>
      </c>
      <c r="B7010" t="inlineStr">
        <is>
          <t>V̅MMIX</t>
        </is>
      </c>
      <c r="C7010">
        <f>ROMAN(7009)</f>
        <v/>
      </c>
      <c r="D7010">
        <f>IF(B7010=C7010, "YES", "WRONG")</f>
        <v/>
      </c>
    </row>
    <row r="7011">
      <c r="A7011" t="n">
        <v>7010</v>
      </c>
      <c r="B7011" t="inlineStr">
        <is>
          <t>V̅MMX</t>
        </is>
      </c>
      <c r="C7011">
        <f>ROMAN(7010)</f>
        <v/>
      </c>
      <c r="D7011">
        <f>IF(B7011=C7011, "YES", "WRONG")</f>
        <v/>
      </c>
    </row>
    <row r="7012">
      <c r="A7012" t="n">
        <v>7011</v>
      </c>
      <c r="B7012" t="inlineStr">
        <is>
          <t>V̅MMXI</t>
        </is>
      </c>
      <c r="C7012">
        <f>ROMAN(7011)</f>
        <v/>
      </c>
      <c r="D7012">
        <f>IF(B7012=C7012, "YES", "WRONG")</f>
        <v/>
      </c>
    </row>
    <row r="7013">
      <c r="A7013" t="n">
        <v>7012</v>
      </c>
      <c r="B7013" t="inlineStr">
        <is>
          <t>V̅MMXII</t>
        </is>
      </c>
      <c r="C7013">
        <f>ROMAN(7012)</f>
        <v/>
      </c>
      <c r="D7013">
        <f>IF(B7013=C7013, "YES", "WRONG")</f>
        <v/>
      </c>
    </row>
    <row r="7014">
      <c r="A7014" t="n">
        <v>7013</v>
      </c>
      <c r="B7014" t="inlineStr">
        <is>
          <t>V̅MMXIII</t>
        </is>
      </c>
      <c r="C7014">
        <f>ROMAN(7013)</f>
        <v/>
      </c>
      <c r="D7014">
        <f>IF(B7014=C7014, "YES", "WRONG")</f>
        <v/>
      </c>
    </row>
    <row r="7015">
      <c r="A7015" t="n">
        <v>7014</v>
      </c>
      <c r="B7015" t="inlineStr">
        <is>
          <t>V̅MMXIV</t>
        </is>
      </c>
      <c r="C7015">
        <f>ROMAN(7014)</f>
        <v/>
      </c>
      <c r="D7015">
        <f>IF(B7015=C7015, "YES", "WRONG")</f>
        <v/>
      </c>
    </row>
    <row r="7016">
      <c r="A7016" t="n">
        <v>7015</v>
      </c>
      <c r="B7016" t="inlineStr">
        <is>
          <t>V̅MMXV</t>
        </is>
      </c>
      <c r="C7016">
        <f>ROMAN(7015)</f>
        <v/>
      </c>
      <c r="D7016">
        <f>IF(B7016=C7016, "YES", "WRONG")</f>
        <v/>
      </c>
    </row>
    <row r="7017">
      <c r="A7017" t="n">
        <v>7016</v>
      </c>
      <c r="B7017" t="inlineStr">
        <is>
          <t>V̅MMXVI</t>
        </is>
      </c>
      <c r="C7017">
        <f>ROMAN(7016)</f>
        <v/>
      </c>
      <c r="D7017">
        <f>IF(B7017=C7017, "YES", "WRONG")</f>
        <v/>
      </c>
    </row>
    <row r="7018">
      <c r="A7018" t="n">
        <v>7017</v>
      </c>
      <c r="B7018" t="inlineStr">
        <is>
          <t>V̅MMXVII</t>
        </is>
      </c>
      <c r="C7018">
        <f>ROMAN(7017)</f>
        <v/>
      </c>
      <c r="D7018">
        <f>IF(B7018=C7018, "YES", "WRONG")</f>
        <v/>
      </c>
    </row>
    <row r="7019">
      <c r="A7019" t="n">
        <v>7018</v>
      </c>
      <c r="B7019" t="inlineStr">
        <is>
          <t>V̅MMXVIII</t>
        </is>
      </c>
      <c r="C7019">
        <f>ROMAN(7018)</f>
        <v/>
      </c>
      <c r="D7019">
        <f>IF(B7019=C7019, "YES", "WRONG")</f>
        <v/>
      </c>
    </row>
    <row r="7020">
      <c r="A7020" t="n">
        <v>7019</v>
      </c>
      <c r="B7020" t="inlineStr">
        <is>
          <t>V̅MMXIX</t>
        </is>
      </c>
      <c r="C7020">
        <f>ROMAN(7019)</f>
        <v/>
      </c>
      <c r="D7020">
        <f>IF(B7020=C7020, "YES", "WRONG")</f>
        <v/>
      </c>
    </row>
    <row r="7021">
      <c r="A7021" t="n">
        <v>7020</v>
      </c>
      <c r="B7021" t="inlineStr">
        <is>
          <t>V̅MMXX</t>
        </is>
      </c>
      <c r="C7021">
        <f>ROMAN(7020)</f>
        <v/>
      </c>
      <c r="D7021">
        <f>IF(B7021=C7021, "YES", "WRONG")</f>
        <v/>
      </c>
    </row>
    <row r="7022">
      <c r="A7022" t="n">
        <v>7021</v>
      </c>
      <c r="B7022" t="inlineStr">
        <is>
          <t>V̅MMXXI</t>
        </is>
      </c>
      <c r="C7022">
        <f>ROMAN(7021)</f>
        <v/>
      </c>
      <c r="D7022">
        <f>IF(B7022=C7022, "YES", "WRONG")</f>
        <v/>
      </c>
    </row>
    <row r="7023">
      <c r="A7023" t="n">
        <v>7022</v>
      </c>
      <c r="B7023" t="inlineStr">
        <is>
          <t>V̅MMXXII</t>
        </is>
      </c>
      <c r="C7023">
        <f>ROMAN(7022)</f>
        <v/>
      </c>
      <c r="D7023">
        <f>IF(B7023=C7023, "YES", "WRONG")</f>
        <v/>
      </c>
    </row>
    <row r="7024">
      <c r="A7024" t="n">
        <v>7023</v>
      </c>
      <c r="B7024" t="inlineStr">
        <is>
          <t>V̅MMXXIII</t>
        </is>
      </c>
      <c r="C7024">
        <f>ROMAN(7023)</f>
        <v/>
      </c>
      <c r="D7024">
        <f>IF(B7024=C7024, "YES", "WRONG")</f>
        <v/>
      </c>
    </row>
    <row r="7025">
      <c r="A7025" t="n">
        <v>7024</v>
      </c>
      <c r="B7025" t="inlineStr">
        <is>
          <t>V̅MMXXIV</t>
        </is>
      </c>
      <c r="C7025">
        <f>ROMAN(7024)</f>
        <v/>
      </c>
      <c r="D7025">
        <f>IF(B7025=C7025, "YES", "WRONG")</f>
        <v/>
      </c>
    </row>
    <row r="7026">
      <c r="A7026" t="n">
        <v>7025</v>
      </c>
      <c r="B7026" t="inlineStr">
        <is>
          <t>V̅MMXXV</t>
        </is>
      </c>
      <c r="C7026">
        <f>ROMAN(7025)</f>
        <v/>
      </c>
      <c r="D7026">
        <f>IF(B7026=C7026, "YES", "WRONG")</f>
        <v/>
      </c>
    </row>
    <row r="7027">
      <c r="A7027" t="n">
        <v>7026</v>
      </c>
      <c r="B7027" t="inlineStr">
        <is>
          <t>V̅MMXXVI</t>
        </is>
      </c>
      <c r="C7027">
        <f>ROMAN(7026)</f>
        <v/>
      </c>
      <c r="D7027">
        <f>IF(B7027=C7027, "YES", "WRONG")</f>
        <v/>
      </c>
    </row>
    <row r="7028">
      <c r="A7028" t="n">
        <v>7027</v>
      </c>
      <c r="B7028" t="inlineStr">
        <is>
          <t>V̅MMXXVII</t>
        </is>
      </c>
      <c r="C7028">
        <f>ROMAN(7027)</f>
        <v/>
      </c>
      <c r="D7028">
        <f>IF(B7028=C7028, "YES", "WRONG")</f>
        <v/>
      </c>
    </row>
    <row r="7029">
      <c r="A7029" t="n">
        <v>7028</v>
      </c>
      <c r="B7029" t="inlineStr">
        <is>
          <t>V̅MMXXVIII</t>
        </is>
      </c>
      <c r="C7029">
        <f>ROMAN(7028)</f>
        <v/>
      </c>
      <c r="D7029">
        <f>IF(B7029=C7029, "YES", "WRONG")</f>
        <v/>
      </c>
    </row>
    <row r="7030">
      <c r="A7030" t="n">
        <v>7029</v>
      </c>
      <c r="B7030" t="inlineStr">
        <is>
          <t>V̅MMXXIX</t>
        </is>
      </c>
      <c r="C7030">
        <f>ROMAN(7029)</f>
        <v/>
      </c>
      <c r="D7030">
        <f>IF(B7030=C7030, "YES", "WRONG")</f>
        <v/>
      </c>
    </row>
    <row r="7031">
      <c r="A7031" t="n">
        <v>7030</v>
      </c>
      <c r="B7031" t="inlineStr">
        <is>
          <t>V̅MMXXX</t>
        </is>
      </c>
      <c r="C7031">
        <f>ROMAN(7030)</f>
        <v/>
      </c>
      <c r="D7031">
        <f>IF(B7031=C7031, "YES", "WRONG")</f>
        <v/>
      </c>
    </row>
    <row r="7032">
      <c r="A7032" t="n">
        <v>7031</v>
      </c>
      <c r="B7032" t="inlineStr">
        <is>
          <t>V̅MMXXXI</t>
        </is>
      </c>
      <c r="C7032">
        <f>ROMAN(7031)</f>
        <v/>
      </c>
      <c r="D7032">
        <f>IF(B7032=C7032, "YES", "WRONG")</f>
        <v/>
      </c>
    </row>
    <row r="7033">
      <c r="A7033" t="n">
        <v>7032</v>
      </c>
      <c r="B7033" t="inlineStr">
        <is>
          <t>V̅MMXXXII</t>
        </is>
      </c>
      <c r="C7033">
        <f>ROMAN(7032)</f>
        <v/>
      </c>
      <c r="D7033">
        <f>IF(B7033=C7033, "YES", "WRONG")</f>
        <v/>
      </c>
    </row>
    <row r="7034">
      <c r="A7034" t="n">
        <v>7033</v>
      </c>
      <c r="B7034" t="inlineStr">
        <is>
          <t>V̅MMXXXIII</t>
        </is>
      </c>
      <c r="C7034">
        <f>ROMAN(7033)</f>
        <v/>
      </c>
      <c r="D7034">
        <f>IF(B7034=C7034, "YES", "WRONG")</f>
        <v/>
      </c>
    </row>
    <row r="7035">
      <c r="A7035" t="n">
        <v>7034</v>
      </c>
      <c r="B7035" t="inlineStr">
        <is>
          <t>V̅MMXXXIV</t>
        </is>
      </c>
      <c r="C7035">
        <f>ROMAN(7034)</f>
        <v/>
      </c>
      <c r="D7035">
        <f>IF(B7035=C7035, "YES", "WRONG")</f>
        <v/>
      </c>
    </row>
    <row r="7036">
      <c r="A7036" t="n">
        <v>7035</v>
      </c>
      <c r="B7036" t="inlineStr">
        <is>
          <t>V̅MMXXXV</t>
        </is>
      </c>
      <c r="C7036">
        <f>ROMAN(7035)</f>
        <v/>
      </c>
      <c r="D7036">
        <f>IF(B7036=C7036, "YES", "WRONG")</f>
        <v/>
      </c>
    </row>
    <row r="7037">
      <c r="A7037" t="n">
        <v>7036</v>
      </c>
      <c r="B7037" t="inlineStr">
        <is>
          <t>V̅MMXXXVI</t>
        </is>
      </c>
      <c r="C7037">
        <f>ROMAN(7036)</f>
        <v/>
      </c>
      <c r="D7037">
        <f>IF(B7037=C7037, "YES", "WRONG")</f>
        <v/>
      </c>
    </row>
    <row r="7038">
      <c r="A7038" t="n">
        <v>7037</v>
      </c>
      <c r="B7038" t="inlineStr">
        <is>
          <t>V̅MMXXXVII</t>
        </is>
      </c>
      <c r="C7038">
        <f>ROMAN(7037)</f>
        <v/>
      </c>
      <c r="D7038">
        <f>IF(B7038=C7038, "YES", "WRONG")</f>
        <v/>
      </c>
    </row>
    <row r="7039">
      <c r="A7039" t="n">
        <v>7038</v>
      </c>
      <c r="B7039" t="inlineStr">
        <is>
          <t>V̅MMXXXVIII</t>
        </is>
      </c>
      <c r="C7039">
        <f>ROMAN(7038)</f>
        <v/>
      </c>
      <c r="D7039">
        <f>IF(B7039=C7039, "YES", "WRONG")</f>
        <v/>
      </c>
    </row>
    <row r="7040">
      <c r="A7040" t="n">
        <v>7039</v>
      </c>
      <c r="B7040" t="inlineStr">
        <is>
          <t>V̅MMXXXIX</t>
        </is>
      </c>
      <c r="C7040">
        <f>ROMAN(7039)</f>
        <v/>
      </c>
      <c r="D7040">
        <f>IF(B7040=C7040, "YES", "WRONG")</f>
        <v/>
      </c>
    </row>
    <row r="7041">
      <c r="A7041" t="n">
        <v>7040</v>
      </c>
      <c r="B7041" t="inlineStr">
        <is>
          <t>V̅MMXL</t>
        </is>
      </c>
      <c r="C7041">
        <f>ROMAN(7040)</f>
        <v/>
      </c>
      <c r="D7041">
        <f>IF(B7041=C7041, "YES", "WRONG")</f>
        <v/>
      </c>
    </row>
    <row r="7042">
      <c r="A7042" t="n">
        <v>7041</v>
      </c>
      <c r="B7042" t="inlineStr">
        <is>
          <t>V̅MMXLI</t>
        </is>
      </c>
      <c r="C7042">
        <f>ROMAN(7041)</f>
        <v/>
      </c>
      <c r="D7042">
        <f>IF(B7042=C7042, "YES", "WRONG")</f>
        <v/>
      </c>
    </row>
    <row r="7043">
      <c r="A7043" t="n">
        <v>7042</v>
      </c>
      <c r="B7043" t="inlineStr">
        <is>
          <t>V̅MMXLII</t>
        </is>
      </c>
      <c r="C7043">
        <f>ROMAN(7042)</f>
        <v/>
      </c>
      <c r="D7043">
        <f>IF(B7043=C7043, "YES", "WRONG")</f>
        <v/>
      </c>
    </row>
    <row r="7044">
      <c r="A7044" t="n">
        <v>7043</v>
      </c>
      <c r="B7044" t="inlineStr">
        <is>
          <t>V̅MMXLIII</t>
        </is>
      </c>
      <c r="C7044">
        <f>ROMAN(7043)</f>
        <v/>
      </c>
      <c r="D7044">
        <f>IF(B7044=C7044, "YES", "WRONG")</f>
        <v/>
      </c>
    </row>
    <row r="7045">
      <c r="A7045" t="n">
        <v>7044</v>
      </c>
      <c r="B7045" t="inlineStr">
        <is>
          <t>V̅MMXLIV</t>
        </is>
      </c>
      <c r="C7045">
        <f>ROMAN(7044)</f>
        <v/>
      </c>
      <c r="D7045">
        <f>IF(B7045=C7045, "YES", "WRONG")</f>
        <v/>
      </c>
    </row>
    <row r="7046">
      <c r="A7046" t="n">
        <v>7045</v>
      </c>
      <c r="B7046" t="inlineStr">
        <is>
          <t>V̅MMXLV</t>
        </is>
      </c>
      <c r="C7046">
        <f>ROMAN(7045)</f>
        <v/>
      </c>
      <c r="D7046">
        <f>IF(B7046=C7046, "YES", "WRONG")</f>
        <v/>
      </c>
    </row>
    <row r="7047">
      <c r="A7047" t="n">
        <v>7046</v>
      </c>
      <c r="B7047" t="inlineStr">
        <is>
          <t>V̅MMXLVI</t>
        </is>
      </c>
      <c r="C7047">
        <f>ROMAN(7046)</f>
        <v/>
      </c>
      <c r="D7047">
        <f>IF(B7047=C7047, "YES", "WRONG")</f>
        <v/>
      </c>
    </row>
    <row r="7048">
      <c r="A7048" t="n">
        <v>7047</v>
      </c>
      <c r="B7048" t="inlineStr">
        <is>
          <t>V̅MMXLVII</t>
        </is>
      </c>
      <c r="C7048">
        <f>ROMAN(7047)</f>
        <v/>
      </c>
      <c r="D7048">
        <f>IF(B7048=C7048, "YES", "WRONG")</f>
        <v/>
      </c>
    </row>
    <row r="7049">
      <c r="A7049" t="n">
        <v>7048</v>
      </c>
      <c r="B7049" t="inlineStr">
        <is>
          <t>V̅MMXLVIII</t>
        </is>
      </c>
      <c r="C7049">
        <f>ROMAN(7048)</f>
        <v/>
      </c>
      <c r="D7049">
        <f>IF(B7049=C7049, "YES", "WRONG")</f>
        <v/>
      </c>
    </row>
    <row r="7050">
      <c r="A7050" t="n">
        <v>7049</v>
      </c>
      <c r="B7050" t="inlineStr">
        <is>
          <t>V̅MMXLIX</t>
        </is>
      </c>
      <c r="C7050">
        <f>ROMAN(7049)</f>
        <v/>
      </c>
      <c r="D7050">
        <f>IF(B7050=C7050, "YES", "WRONG")</f>
        <v/>
      </c>
    </row>
    <row r="7051">
      <c r="A7051" t="n">
        <v>7050</v>
      </c>
      <c r="B7051" t="inlineStr">
        <is>
          <t>V̅MML</t>
        </is>
      </c>
      <c r="C7051">
        <f>ROMAN(7050)</f>
        <v/>
      </c>
      <c r="D7051">
        <f>IF(B7051=C7051, "YES", "WRONG")</f>
        <v/>
      </c>
    </row>
    <row r="7052">
      <c r="A7052" t="n">
        <v>7051</v>
      </c>
      <c r="B7052" t="inlineStr">
        <is>
          <t>V̅MMLI</t>
        </is>
      </c>
      <c r="C7052">
        <f>ROMAN(7051)</f>
        <v/>
      </c>
      <c r="D7052">
        <f>IF(B7052=C7052, "YES", "WRONG")</f>
        <v/>
      </c>
    </row>
    <row r="7053">
      <c r="A7053" t="n">
        <v>7052</v>
      </c>
      <c r="B7053" t="inlineStr">
        <is>
          <t>V̅MMLII</t>
        </is>
      </c>
      <c r="C7053">
        <f>ROMAN(7052)</f>
        <v/>
      </c>
      <c r="D7053">
        <f>IF(B7053=C7053, "YES", "WRONG")</f>
        <v/>
      </c>
    </row>
    <row r="7054">
      <c r="A7054" t="n">
        <v>7053</v>
      </c>
      <c r="B7054" t="inlineStr">
        <is>
          <t>V̅MMLIII</t>
        </is>
      </c>
      <c r="C7054">
        <f>ROMAN(7053)</f>
        <v/>
      </c>
      <c r="D7054">
        <f>IF(B7054=C7054, "YES", "WRONG")</f>
        <v/>
      </c>
    </row>
    <row r="7055">
      <c r="A7055" t="n">
        <v>7054</v>
      </c>
      <c r="B7055" t="inlineStr">
        <is>
          <t>V̅MMLIV</t>
        </is>
      </c>
      <c r="C7055">
        <f>ROMAN(7054)</f>
        <v/>
      </c>
      <c r="D7055">
        <f>IF(B7055=C7055, "YES", "WRONG")</f>
        <v/>
      </c>
    </row>
    <row r="7056">
      <c r="A7056" t="n">
        <v>7055</v>
      </c>
      <c r="B7056" t="inlineStr">
        <is>
          <t>V̅MMLV</t>
        </is>
      </c>
      <c r="C7056">
        <f>ROMAN(7055)</f>
        <v/>
      </c>
      <c r="D7056">
        <f>IF(B7056=C7056, "YES", "WRONG")</f>
        <v/>
      </c>
    </row>
    <row r="7057">
      <c r="A7057" t="n">
        <v>7056</v>
      </c>
      <c r="B7057" t="inlineStr">
        <is>
          <t>V̅MMLVI</t>
        </is>
      </c>
      <c r="C7057">
        <f>ROMAN(7056)</f>
        <v/>
      </c>
      <c r="D7057">
        <f>IF(B7057=C7057, "YES", "WRONG")</f>
        <v/>
      </c>
    </row>
    <row r="7058">
      <c r="A7058" t="n">
        <v>7057</v>
      </c>
      <c r="B7058" t="inlineStr">
        <is>
          <t>V̅MMLVII</t>
        </is>
      </c>
      <c r="C7058">
        <f>ROMAN(7057)</f>
        <v/>
      </c>
      <c r="D7058">
        <f>IF(B7058=C7058, "YES", "WRONG")</f>
        <v/>
      </c>
    </row>
    <row r="7059">
      <c r="A7059" t="n">
        <v>7058</v>
      </c>
      <c r="B7059" t="inlineStr">
        <is>
          <t>V̅MMLVIII</t>
        </is>
      </c>
      <c r="C7059">
        <f>ROMAN(7058)</f>
        <v/>
      </c>
      <c r="D7059">
        <f>IF(B7059=C7059, "YES", "WRONG")</f>
        <v/>
      </c>
    </row>
    <row r="7060">
      <c r="A7060" t="n">
        <v>7059</v>
      </c>
      <c r="B7060" t="inlineStr">
        <is>
          <t>V̅MMLIX</t>
        </is>
      </c>
      <c r="C7060">
        <f>ROMAN(7059)</f>
        <v/>
      </c>
      <c r="D7060">
        <f>IF(B7060=C7060, "YES", "WRONG")</f>
        <v/>
      </c>
    </row>
    <row r="7061">
      <c r="A7061" t="n">
        <v>7060</v>
      </c>
      <c r="B7061" t="inlineStr">
        <is>
          <t>V̅MMLX</t>
        </is>
      </c>
      <c r="C7061">
        <f>ROMAN(7060)</f>
        <v/>
      </c>
      <c r="D7061">
        <f>IF(B7061=C7061, "YES", "WRONG")</f>
        <v/>
      </c>
    </row>
    <row r="7062">
      <c r="A7062" t="n">
        <v>7061</v>
      </c>
      <c r="B7062" t="inlineStr">
        <is>
          <t>V̅MMLXI</t>
        </is>
      </c>
      <c r="C7062">
        <f>ROMAN(7061)</f>
        <v/>
      </c>
      <c r="D7062">
        <f>IF(B7062=C7062, "YES", "WRONG")</f>
        <v/>
      </c>
    </row>
    <row r="7063">
      <c r="A7063" t="n">
        <v>7062</v>
      </c>
      <c r="B7063" t="inlineStr">
        <is>
          <t>V̅MMLXII</t>
        </is>
      </c>
      <c r="C7063">
        <f>ROMAN(7062)</f>
        <v/>
      </c>
      <c r="D7063">
        <f>IF(B7063=C7063, "YES", "WRONG")</f>
        <v/>
      </c>
    </row>
    <row r="7064">
      <c r="A7064" t="n">
        <v>7063</v>
      </c>
      <c r="B7064" t="inlineStr">
        <is>
          <t>V̅MMLXIII</t>
        </is>
      </c>
      <c r="C7064">
        <f>ROMAN(7063)</f>
        <v/>
      </c>
      <c r="D7064">
        <f>IF(B7064=C7064, "YES", "WRONG")</f>
        <v/>
      </c>
    </row>
    <row r="7065">
      <c r="A7065" t="n">
        <v>7064</v>
      </c>
      <c r="B7065" t="inlineStr">
        <is>
          <t>V̅MMLXIV</t>
        </is>
      </c>
      <c r="C7065">
        <f>ROMAN(7064)</f>
        <v/>
      </c>
      <c r="D7065">
        <f>IF(B7065=C7065, "YES", "WRONG")</f>
        <v/>
      </c>
    </row>
    <row r="7066">
      <c r="A7066" t="n">
        <v>7065</v>
      </c>
      <c r="B7066" t="inlineStr">
        <is>
          <t>V̅MMLXV</t>
        </is>
      </c>
      <c r="C7066">
        <f>ROMAN(7065)</f>
        <v/>
      </c>
      <c r="D7066">
        <f>IF(B7066=C7066, "YES", "WRONG")</f>
        <v/>
      </c>
    </row>
    <row r="7067">
      <c r="A7067" t="n">
        <v>7066</v>
      </c>
      <c r="B7067" t="inlineStr">
        <is>
          <t>V̅MMLXVI</t>
        </is>
      </c>
      <c r="C7067">
        <f>ROMAN(7066)</f>
        <v/>
      </c>
      <c r="D7067">
        <f>IF(B7067=C7067, "YES", "WRONG")</f>
        <v/>
      </c>
    </row>
    <row r="7068">
      <c r="A7068" t="n">
        <v>7067</v>
      </c>
      <c r="B7068" t="inlineStr">
        <is>
          <t>V̅MMLXVII</t>
        </is>
      </c>
      <c r="C7068">
        <f>ROMAN(7067)</f>
        <v/>
      </c>
      <c r="D7068">
        <f>IF(B7068=C7068, "YES", "WRONG")</f>
        <v/>
      </c>
    </row>
    <row r="7069">
      <c r="A7069" t="n">
        <v>7068</v>
      </c>
      <c r="B7069" t="inlineStr">
        <is>
          <t>V̅MMLXVIII</t>
        </is>
      </c>
      <c r="C7069">
        <f>ROMAN(7068)</f>
        <v/>
      </c>
      <c r="D7069">
        <f>IF(B7069=C7069, "YES", "WRONG")</f>
        <v/>
      </c>
    </row>
    <row r="7070">
      <c r="A7070" t="n">
        <v>7069</v>
      </c>
      <c r="B7070" t="inlineStr">
        <is>
          <t>V̅MMLXIX</t>
        </is>
      </c>
      <c r="C7070">
        <f>ROMAN(7069)</f>
        <v/>
      </c>
      <c r="D7070">
        <f>IF(B7070=C7070, "YES", "WRONG")</f>
        <v/>
      </c>
    </row>
    <row r="7071">
      <c r="A7071" t="n">
        <v>7070</v>
      </c>
      <c r="B7071" t="inlineStr">
        <is>
          <t>V̅MMLXX</t>
        </is>
      </c>
      <c r="C7071">
        <f>ROMAN(7070)</f>
        <v/>
      </c>
      <c r="D7071">
        <f>IF(B7071=C7071, "YES", "WRONG")</f>
        <v/>
      </c>
    </row>
    <row r="7072">
      <c r="A7072" t="n">
        <v>7071</v>
      </c>
      <c r="B7072" t="inlineStr">
        <is>
          <t>V̅MMLXXI</t>
        </is>
      </c>
      <c r="C7072">
        <f>ROMAN(7071)</f>
        <v/>
      </c>
      <c r="D7072">
        <f>IF(B7072=C7072, "YES", "WRONG")</f>
        <v/>
      </c>
    </row>
    <row r="7073">
      <c r="A7073" t="n">
        <v>7072</v>
      </c>
      <c r="B7073" t="inlineStr">
        <is>
          <t>V̅MMLXXII</t>
        </is>
      </c>
      <c r="C7073">
        <f>ROMAN(7072)</f>
        <v/>
      </c>
      <c r="D7073">
        <f>IF(B7073=C7073, "YES", "WRONG")</f>
        <v/>
      </c>
    </row>
    <row r="7074">
      <c r="A7074" t="n">
        <v>7073</v>
      </c>
      <c r="B7074" t="inlineStr">
        <is>
          <t>V̅MMLXXIII</t>
        </is>
      </c>
      <c r="C7074">
        <f>ROMAN(7073)</f>
        <v/>
      </c>
      <c r="D7074">
        <f>IF(B7074=C7074, "YES", "WRONG")</f>
        <v/>
      </c>
    </row>
    <row r="7075">
      <c r="A7075" t="n">
        <v>7074</v>
      </c>
      <c r="B7075" t="inlineStr">
        <is>
          <t>V̅MMLXXIV</t>
        </is>
      </c>
      <c r="C7075">
        <f>ROMAN(7074)</f>
        <v/>
      </c>
      <c r="D7075">
        <f>IF(B7075=C7075, "YES", "WRONG")</f>
        <v/>
      </c>
    </row>
    <row r="7076">
      <c r="A7076" t="n">
        <v>7075</v>
      </c>
      <c r="B7076" t="inlineStr">
        <is>
          <t>V̅MMLXXV</t>
        </is>
      </c>
      <c r="C7076">
        <f>ROMAN(7075)</f>
        <v/>
      </c>
      <c r="D7076">
        <f>IF(B7076=C7076, "YES", "WRONG")</f>
        <v/>
      </c>
    </row>
    <row r="7077">
      <c r="A7077" t="n">
        <v>7076</v>
      </c>
      <c r="B7077" t="inlineStr">
        <is>
          <t>V̅MMLXXVI</t>
        </is>
      </c>
      <c r="C7077">
        <f>ROMAN(7076)</f>
        <v/>
      </c>
      <c r="D7077">
        <f>IF(B7077=C7077, "YES", "WRONG")</f>
        <v/>
      </c>
    </row>
    <row r="7078">
      <c r="A7078" t="n">
        <v>7077</v>
      </c>
      <c r="B7078" t="inlineStr">
        <is>
          <t>V̅MMLXXVII</t>
        </is>
      </c>
      <c r="C7078">
        <f>ROMAN(7077)</f>
        <v/>
      </c>
      <c r="D7078">
        <f>IF(B7078=C7078, "YES", "WRONG")</f>
        <v/>
      </c>
    </row>
    <row r="7079">
      <c r="A7079" t="n">
        <v>7078</v>
      </c>
      <c r="B7079" t="inlineStr">
        <is>
          <t>V̅MMLXXVIII</t>
        </is>
      </c>
      <c r="C7079">
        <f>ROMAN(7078)</f>
        <v/>
      </c>
      <c r="D7079">
        <f>IF(B7079=C7079, "YES", "WRONG")</f>
        <v/>
      </c>
    </row>
    <row r="7080">
      <c r="A7080" t="n">
        <v>7079</v>
      </c>
      <c r="B7080" t="inlineStr">
        <is>
          <t>V̅MMLXXIX</t>
        </is>
      </c>
      <c r="C7080">
        <f>ROMAN(7079)</f>
        <v/>
      </c>
      <c r="D7080">
        <f>IF(B7080=C7080, "YES", "WRONG")</f>
        <v/>
      </c>
    </row>
    <row r="7081">
      <c r="A7081" t="n">
        <v>7080</v>
      </c>
      <c r="B7081" t="inlineStr">
        <is>
          <t>V̅MMLXXX</t>
        </is>
      </c>
      <c r="C7081">
        <f>ROMAN(7080)</f>
        <v/>
      </c>
      <c r="D7081">
        <f>IF(B7081=C7081, "YES", "WRONG")</f>
        <v/>
      </c>
    </row>
    <row r="7082">
      <c r="A7082" t="n">
        <v>7081</v>
      </c>
      <c r="B7082" t="inlineStr">
        <is>
          <t>V̅MMLXXXI</t>
        </is>
      </c>
      <c r="C7082">
        <f>ROMAN(7081)</f>
        <v/>
      </c>
      <c r="D7082">
        <f>IF(B7082=C7082, "YES", "WRONG")</f>
        <v/>
      </c>
    </row>
    <row r="7083">
      <c r="A7083" t="n">
        <v>7082</v>
      </c>
      <c r="B7083" t="inlineStr">
        <is>
          <t>V̅MMLXXXII</t>
        </is>
      </c>
      <c r="C7083">
        <f>ROMAN(7082)</f>
        <v/>
      </c>
      <c r="D7083">
        <f>IF(B7083=C7083, "YES", "WRONG")</f>
        <v/>
      </c>
    </row>
    <row r="7084">
      <c r="A7084" t="n">
        <v>7083</v>
      </c>
      <c r="B7084" t="inlineStr">
        <is>
          <t>V̅MMLXXXIII</t>
        </is>
      </c>
      <c r="C7084">
        <f>ROMAN(7083)</f>
        <v/>
      </c>
      <c r="D7084">
        <f>IF(B7084=C7084, "YES", "WRONG")</f>
        <v/>
      </c>
    </row>
    <row r="7085">
      <c r="A7085" t="n">
        <v>7084</v>
      </c>
      <c r="B7085" t="inlineStr">
        <is>
          <t>V̅MMLXXXIV</t>
        </is>
      </c>
      <c r="C7085">
        <f>ROMAN(7084)</f>
        <v/>
      </c>
      <c r="D7085">
        <f>IF(B7085=C7085, "YES", "WRONG")</f>
        <v/>
      </c>
    </row>
    <row r="7086">
      <c r="A7086" t="n">
        <v>7085</v>
      </c>
      <c r="B7086" t="inlineStr">
        <is>
          <t>V̅MMLXXXV</t>
        </is>
      </c>
      <c r="C7086">
        <f>ROMAN(7085)</f>
        <v/>
      </c>
      <c r="D7086">
        <f>IF(B7086=C7086, "YES", "WRONG")</f>
        <v/>
      </c>
    </row>
    <row r="7087">
      <c r="A7087" t="n">
        <v>7086</v>
      </c>
      <c r="B7087" t="inlineStr">
        <is>
          <t>V̅MMLXXXVI</t>
        </is>
      </c>
      <c r="C7087">
        <f>ROMAN(7086)</f>
        <v/>
      </c>
      <c r="D7087">
        <f>IF(B7087=C7087, "YES", "WRONG")</f>
        <v/>
      </c>
    </row>
    <row r="7088">
      <c r="A7088" t="n">
        <v>7087</v>
      </c>
      <c r="B7088" t="inlineStr">
        <is>
          <t>V̅MMLXXXVII</t>
        </is>
      </c>
      <c r="C7088">
        <f>ROMAN(7087)</f>
        <v/>
      </c>
      <c r="D7088">
        <f>IF(B7088=C7088, "YES", "WRONG")</f>
        <v/>
      </c>
    </row>
    <row r="7089">
      <c r="A7089" t="n">
        <v>7088</v>
      </c>
      <c r="B7089" t="inlineStr">
        <is>
          <t>V̅MMLXXXVIII</t>
        </is>
      </c>
      <c r="C7089">
        <f>ROMAN(7088)</f>
        <v/>
      </c>
      <c r="D7089">
        <f>IF(B7089=C7089, "YES", "WRONG")</f>
        <v/>
      </c>
    </row>
    <row r="7090">
      <c r="A7090" t="n">
        <v>7089</v>
      </c>
      <c r="B7090" t="inlineStr">
        <is>
          <t>V̅MMLXXXIX</t>
        </is>
      </c>
      <c r="C7090">
        <f>ROMAN(7089)</f>
        <v/>
      </c>
      <c r="D7090">
        <f>IF(B7090=C7090, "YES", "WRONG")</f>
        <v/>
      </c>
    </row>
    <row r="7091">
      <c r="A7091" t="n">
        <v>7090</v>
      </c>
      <c r="B7091" t="inlineStr">
        <is>
          <t>V̅MMXC</t>
        </is>
      </c>
      <c r="C7091">
        <f>ROMAN(7090)</f>
        <v/>
      </c>
      <c r="D7091">
        <f>IF(B7091=C7091, "YES", "WRONG")</f>
        <v/>
      </c>
    </row>
    <row r="7092">
      <c r="A7092" t="n">
        <v>7091</v>
      </c>
      <c r="B7092" t="inlineStr">
        <is>
          <t>V̅MMXCI</t>
        </is>
      </c>
      <c r="C7092">
        <f>ROMAN(7091)</f>
        <v/>
      </c>
      <c r="D7092">
        <f>IF(B7092=C7092, "YES", "WRONG")</f>
        <v/>
      </c>
    </row>
    <row r="7093">
      <c r="A7093" t="n">
        <v>7092</v>
      </c>
      <c r="B7093" t="inlineStr">
        <is>
          <t>V̅MMXCII</t>
        </is>
      </c>
      <c r="C7093">
        <f>ROMAN(7092)</f>
        <v/>
      </c>
      <c r="D7093">
        <f>IF(B7093=C7093, "YES", "WRONG")</f>
        <v/>
      </c>
    </row>
    <row r="7094">
      <c r="A7094" t="n">
        <v>7093</v>
      </c>
      <c r="B7094" t="inlineStr">
        <is>
          <t>V̅MMXCIII</t>
        </is>
      </c>
      <c r="C7094">
        <f>ROMAN(7093)</f>
        <v/>
      </c>
      <c r="D7094">
        <f>IF(B7094=C7094, "YES", "WRONG")</f>
        <v/>
      </c>
    </row>
    <row r="7095">
      <c r="A7095" t="n">
        <v>7094</v>
      </c>
      <c r="B7095" t="inlineStr">
        <is>
          <t>V̅MMXCIV</t>
        </is>
      </c>
      <c r="C7095">
        <f>ROMAN(7094)</f>
        <v/>
      </c>
      <c r="D7095">
        <f>IF(B7095=C7095, "YES", "WRONG")</f>
        <v/>
      </c>
    </row>
    <row r="7096">
      <c r="A7096" t="n">
        <v>7095</v>
      </c>
      <c r="B7096" t="inlineStr">
        <is>
          <t>V̅MMXCV</t>
        </is>
      </c>
      <c r="C7096">
        <f>ROMAN(7095)</f>
        <v/>
      </c>
      <c r="D7096">
        <f>IF(B7096=C7096, "YES", "WRONG")</f>
        <v/>
      </c>
    </row>
    <row r="7097">
      <c r="A7097" t="n">
        <v>7096</v>
      </c>
      <c r="B7097" t="inlineStr">
        <is>
          <t>V̅MMXCVI</t>
        </is>
      </c>
      <c r="C7097">
        <f>ROMAN(7096)</f>
        <v/>
      </c>
      <c r="D7097">
        <f>IF(B7097=C7097, "YES", "WRONG")</f>
        <v/>
      </c>
    </row>
    <row r="7098">
      <c r="A7098" t="n">
        <v>7097</v>
      </c>
      <c r="B7098" t="inlineStr">
        <is>
          <t>V̅MMXCVII</t>
        </is>
      </c>
      <c r="C7098">
        <f>ROMAN(7097)</f>
        <v/>
      </c>
      <c r="D7098">
        <f>IF(B7098=C7098, "YES", "WRONG")</f>
        <v/>
      </c>
    </row>
    <row r="7099">
      <c r="A7099" t="n">
        <v>7098</v>
      </c>
      <c r="B7099" t="inlineStr">
        <is>
          <t>V̅MMXCVIII</t>
        </is>
      </c>
      <c r="C7099">
        <f>ROMAN(7098)</f>
        <v/>
      </c>
      <c r="D7099">
        <f>IF(B7099=C7099, "YES", "WRONG")</f>
        <v/>
      </c>
    </row>
    <row r="7100">
      <c r="A7100" t="n">
        <v>7099</v>
      </c>
      <c r="B7100" t="inlineStr">
        <is>
          <t>V̅MMXCIX</t>
        </is>
      </c>
      <c r="C7100">
        <f>ROMAN(7099)</f>
        <v/>
      </c>
      <c r="D7100">
        <f>IF(B7100=C7100, "YES", "WRONG")</f>
        <v/>
      </c>
    </row>
    <row r="7101">
      <c r="A7101" t="n">
        <v>7100</v>
      </c>
      <c r="B7101" t="inlineStr">
        <is>
          <t>V̅MMC</t>
        </is>
      </c>
      <c r="C7101">
        <f>ROMAN(7100)</f>
        <v/>
      </c>
      <c r="D7101">
        <f>IF(B7101=C7101, "YES", "WRONG")</f>
        <v/>
      </c>
    </row>
    <row r="7102">
      <c r="A7102" t="n">
        <v>7101</v>
      </c>
      <c r="B7102" t="inlineStr">
        <is>
          <t>V̅MMCI</t>
        </is>
      </c>
      <c r="C7102">
        <f>ROMAN(7101)</f>
        <v/>
      </c>
      <c r="D7102">
        <f>IF(B7102=C7102, "YES", "WRONG")</f>
        <v/>
      </c>
    </row>
    <row r="7103">
      <c r="A7103" t="n">
        <v>7102</v>
      </c>
      <c r="B7103" t="inlineStr">
        <is>
          <t>V̅MMCII</t>
        </is>
      </c>
      <c r="C7103">
        <f>ROMAN(7102)</f>
        <v/>
      </c>
      <c r="D7103">
        <f>IF(B7103=C7103, "YES", "WRONG")</f>
        <v/>
      </c>
    </row>
    <row r="7104">
      <c r="A7104" t="n">
        <v>7103</v>
      </c>
      <c r="B7104" t="inlineStr">
        <is>
          <t>V̅MMCIII</t>
        </is>
      </c>
      <c r="C7104">
        <f>ROMAN(7103)</f>
        <v/>
      </c>
      <c r="D7104">
        <f>IF(B7104=C7104, "YES", "WRONG")</f>
        <v/>
      </c>
    </row>
    <row r="7105">
      <c r="A7105" t="n">
        <v>7104</v>
      </c>
      <c r="B7105" t="inlineStr">
        <is>
          <t>V̅MMCIV</t>
        </is>
      </c>
      <c r="C7105">
        <f>ROMAN(7104)</f>
        <v/>
      </c>
      <c r="D7105">
        <f>IF(B7105=C7105, "YES", "WRONG")</f>
        <v/>
      </c>
    </row>
    <row r="7106">
      <c r="A7106" t="n">
        <v>7105</v>
      </c>
      <c r="B7106" t="inlineStr">
        <is>
          <t>V̅MMCV</t>
        </is>
      </c>
      <c r="C7106">
        <f>ROMAN(7105)</f>
        <v/>
      </c>
      <c r="D7106">
        <f>IF(B7106=C7106, "YES", "WRONG")</f>
        <v/>
      </c>
    </row>
    <row r="7107">
      <c r="A7107" t="n">
        <v>7106</v>
      </c>
      <c r="B7107" t="inlineStr">
        <is>
          <t>V̅MMCVI</t>
        </is>
      </c>
      <c r="C7107">
        <f>ROMAN(7106)</f>
        <v/>
      </c>
      <c r="D7107">
        <f>IF(B7107=C7107, "YES", "WRONG")</f>
        <v/>
      </c>
    </row>
    <row r="7108">
      <c r="A7108" t="n">
        <v>7107</v>
      </c>
      <c r="B7108" t="inlineStr">
        <is>
          <t>V̅MMCVII</t>
        </is>
      </c>
      <c r="C7108">
        <f>ROMAN(7107)</f>
        <v/>
      </c>
      <c r="D7108">
        <f>IF(B7108=C7108, "YES", "WRONG")</f>
        <v/>
      </c>
    </row>
    <row r="7109">
      <c r="A7109" t="n">
        <v>7108</v>
      </c>
      <c r="B7109" t="inlineStr">
        <is>
          <t>V̅MMCVIII</t>
        </is>
      </c>
      <c r="C7109">
        <f>ROMAN(7108)</f>
        <v/>
      </c>
      <c r="D7109">
        <f>IF(B7109=C7109, "YES", "WRONG")</f>
        <v/>
      </c>
    </row>
    <row r="7110">
      <c r="A7110" t="n">
        <v>7109</v>
      </c>
      <c r="B7110" t="inlineStr">
        <is>
          <t>V̅MMCIX</t>
        </is>
      </c>
      <c r="C7110">
        <f>ROMAN(7109)</f>
        <v/>
      </c>
      <c r="D7110">
        <f>IF(B7110=C7110, "YES", "WRONG")</f>
        <v/>
      </c>
    </row>
    <row r="7111">
      <c r="A7111" t="n">
        <v>7110</v>
      </c>
      <c r="B7111" t="inlineStr">
        <is>
          <t>V̅MMCX</t>
        </is>
      </c>
      <c r="C7111">
        <f>ROMAN(7110)</f>
        <v/>
      </c>
      <c r="D7111">
        <f>IF(B7111=C7111, "YES", "WRONG")</f>
        <v/>
      </c>
    </row>
    <row r="7112">
      <c r="A7112" t="n">
        <v>7111</v>
      </c>
      <c r="B7112" t="inlineStr">
        <is>
          <t>V̅MMCXI</t>
        </is>
      </c>
      <c r="C7112">
        <f>ROMAN(7111)</f>
        <v/>
      </c>
      <c r="D7112">
        <f>IF(B7112=C7112, "YES", "WRONG")</f>
        <v/>
      </c>
    </row>
    <row r="7113">
      <c r="A7113" t="n">
        <v>7112</v>
      </c>
      <c r="B7113" t="inlineStr">
        <is>
          <t>V̅MMCXII</t>
        </is>
      </c>
      <c r="C7113">
        <f>ROMAN(7112)</f>
        <v/>
      </c>
      <c r="D7113">
        <f>IF(B7113=C7113, "YES", "WRONG")</f>
        <v/>
      </c>
    </row>
    <row r="7114">
      <c r="A7114" t="n">
        <v>7113</v>
      </c>
      <c r="B7114" t="inlineStr">
        <is>
          <t>V̅MMCXIII</t>
        </is>
      </c>
      <c r="C7114">
        <f>ROMAN(7113)</f>
        <v/>
      </c>
      <c r="D7114">
        <f>IF(B7114=C7114, "YES", "WRONG")</f>
        <v/>
      </c>
    </row>
    <row r="7115">
      <c r="A7115" t="n">
        <v>7114</v>
      </c>
      <c r="B7115" t="inlineStr">
        <is>
          <t>V̅MMCXIV</t>
        </is>
      </c>
      <c r="C7115">
        <f>ROMAN(7114)</f>
        <v/>
      </c>
      <c r="D7115">
        <f>IF(B7115=C7115, "YES", "WRONG")</f>
        <v/>
      </c>
    </row>
    <row r="7116">
      <c r="A7116" t="n">
        <v>7115</v>
      </c>
      <c r="B7116" t="inlineStr">
        <is>
          <t>V̅MMCXV</t>
        </is>
      </c>
      <c r="C7116">
        <f>ROMAN(7115)</f>
        <v/>
      </c>
      <c r="D7116">
        <f>IF(B7116=C7116, "YES", "WRONG")</f>
        <v/>
      </c>
    </row>
    <row r="7117">
      <c r="A7117" t="n">
        <v>7116</v>
      </c>
      <c r="B7117" t="inlineStr">
        <is>
          <t>V̅MMCXVI</t>
        </is>
      </c>
      <c r="C7117">
        <f>ROMAN(7116)</f>
        <v/>
      </c>
      <c r="D7117">
        <f>IF(B7117=C7117, "YES", "WRONG")</f>
        <v/>
      </c>
    </row>
    <row r="7118">
      <c r="A7118" t="n">
        <v>7117</v>
      </c>
      <c r="B7118" t="inlineStr">
        <is>
          <t>V̅MMCXVII</t>
        </is>
      </c>
      <c r="C7118">
        <f>ROMAN(7117)</f>
        <v/>
      </c>
      <c r="D7118">
        <f>IF(B7118=C7118, "YES", "WRONG")</f>
        <v/>
      </c>
    </row>
    <row r="7119">
      <c r="A7119" t="n">
        <v>7118</v>
      </c>
      <c r="B7119" t="inlineStr">
        <is>
          <t>V̅MMCXVIII</t>
        </is>
      </c>
      <c r="C7119">
        <f>ROMAN(7118)</f>
        <v/>
      </c>
      <c r="D7119">
        <f>IF(B7119=C7119, "YES", "WRONG")</f>
        <v/>
      </c>
    </row>
    <row r="7120">
      <c r="A7120" t="n">
        <v>7119</v>
      </c>
      <c r="B7120" t="inlineStr">
        <is>
          <t>V̅MMCXIX</t>
        </is>
      </c>
      <c r="C7120">
        <f>ROMAN(7119)</f>
        <v/>
      </c>
      <c r="D7120">
        <f>IF(B7120=C7120, "YES", "WRONG")</f>
        <v/>
      </c>
    </row>
    <row r="7121">
      <c r="A7121" t="n">
        <v>7120</v>
      </c>
      <c r="B7121" t="inlineStr">
        <is>
          <t>V̅MMCXX</t>
        </is>
      </c>
      <c r="C7121">
        <f>ROMAN(7120)</f>
        <v/>
      </c>
      <c r="D7121">
        <f>IF(B7121=C7121, "YES", "WRONG")</f>
        <v/>
      </c>
    </row>
    <row r="7122">
      <c r="A7122" t="n">
        <v>7121</v>
      </c>
      <c r="B7122" t="inlineStr">
        <is>
          <t>V̅MMCXXI</t>
        </is>
      </c>
      <c r="C7122">
        <f>ROMAN(7121)</f>
        <v/>
      </c>
      <c r="D7122">
        <f>IF(B7122=C7122, "YES", "WRONG")</f>
        <v/>
      </c>
    </row>
    <row r="7123">
      <c r="A7123" t="n">
        <v>7122</v>
      </c>
      <c r="B7123" t="inlineStr">
        <is>
          <t>V̅MMCXXII</t>
        </is>
      </c>
      <c r="C7123">
        <f>ROMAN(7122)</f>
        <v/>
      </c>
      <c r="D7123">
        <f>IF(B7123=C7123, "YES", "WRONG")</f>
        <v/>
      </c>
    </row>
    <row r="7124">
      <c r="A7124" t="n">
        <v>7123</v>
      </c>
      <c r="B7124" t="inlineStr">
        <is>
          <t>V̅MMCXXIII</t>
        </is>
      </c>
      <c r="C7124">
        <f>ROMAN(7123)</f>
        <v/>
      </c>
      <c r="D7124">
        <f>IF(B7124=C7124, "YES", "WRONG")</f>
        <v/>
      </c>
    </row>
    <row r="7125">
      <c r="A7125" t="n">
        <v>7124</v>
      </c>
      <c r="B7125" t="inlineStr">
        <is>
          <t>V̅MMCXXIV</t>
        </is>
      </c>
      <c r="C7125">
        <f>ROMAN(7124)</f>
        <v/>
      </c>
      <c r="D7125">
        <f>IF(B7125=C7125, "YES", "WRONG")</f>
        <v/>
      </c>
    </row>
    <row r="7126">
      <c r="A7126" t="n">
        <v>7125</v>
      </c>
      <c r="B7126" t="inlineStr">
        <is>
          <t>V̅MMCXXV</t>
        </is>
      </c>
      <c r="C7126">
        <f>ROMAN(7125)</f>
        <v/>
      </c>
      <c r="D7126">
        <f>IF(B7126=C7126, "YES", "WRONG")</f>
        <v/>
      </c>
    </row>
    <row r="7127">
      <c r="A7127" t="n">
        <v>7126</v>
      </c>
      <c r="B7127" t="inlineStr">
        <is>
          <t>V̅MMCXXVI</t>
        </is>
      </c>
      <c r="C7127">
        <f>ROMAN(7126)</f>
        <v/>
      </c>
      <c r="D7127">
        <f>IF(B7127=C7127, "YES", "WRONG")</f>
        <v/>
      </c>
    </row>
    <row r="7128">
      <c r="A7128" t="n">
        <v>7127</v>
      </c>
      <c r="B7128" t="inlineStr">
        <is>
          <t>V̅MMCXXVII</t>
        </is>
      </c>
      <c r="C7128">
        <f>ROMAN(7127)</f>
        <v/>
      </c>
      <c r="D7128">
        <f>IF(B7128=C7128, "YES", "WRONG")</f>
        <v/>
      </c>
    </row>
    <row r="7129">
      <c r="A7129" t="n">
        <v>7128</v>
      </c>
      <c r="B7129" t="inlineStr">
        <is>
          <t>V̅MMCXXVIII</t>
        </is>
      </c>
      <c r="C7129">
        <f>ROMAN(7128)</f>
        <v/>
      </c>
      <c r="D7129">
        <f>IF(B7129=C7129, "YES", "WRONG")</f>
        <v/>
      </c>
    </row>
    <row r="7130">
      <c r="A7130" t="n">
        <v>7129</v>
      </c>
      <c r="B7130" t="inlineStr">
        <is>
          <t>V̅MMCXXIX</t>
        </is>
      </c>
      <c r="C7130">
        <f>ROMAN(7129)</f>
        <v/>
      </c>
      <c r="D7130">
        <f>IF(B7130=C7130, "YES", "WRONG")</f>
        <v/>
      </c>
    </row>
    <row r="7131">
      <c r="A7131" t="n">
        <v>7130</v>
      </c>
      <c r="B7131" t="inlineStr">
        <is>
          <t>V̅MMCXXX</t>
        </is>
      </c>
      <c r="C7131">
        <f>ROMAN(7130)</f>
        <v/>
      </c>
      <c r="D7131">
        <f>IF(B7131=C7131, "YES", "WRONG")</f>
        <v/>
      </c>
    </row>
    <row r="7132">
      <c r="A7132" t="n">
        <v>7131</v>
      </c>
      <c r="B7132" t="inlineStr">
        <is>
          <t>V̅MMCXXXI</t>
        </is>
      </c>
      <c r="C7132">
        <f>ROMAN(7131)</f>
        <v/>
      </c>
      <c r="D7132">
        <f>IF(B7132=C7132, "YES", "WRONG")</f>
        <v/>
      </c>
    </row>
    <row r="7133">
      <c r="A7133" t="n">
        <v>7132</v>
      </c>
      <c r="B7133" t="inlineStr">
        <is>
          <t>V̅MMCXXXII</t>
        </is>
      </c>
      <c r="C7133">
        <f>ROMAN(7132)</f>
        <v/>
      </c>
      <c r="D7133">
        <f>IF(B7133=C7133, "YES", "WRONG")</f>
        <v/>
      </c>
    </row>
    <row r="7134">
      <c r="A7134" t="n">
        <v>7133</v>
      </c>
      <c r="B7134" t="inlineStr">
        <is>
          <t>V̅MMCXXXIII</t>
        </is>
      </c>
      <c r="C7134">
        <f>ROMAN(7133)</f>
        <v/>
      </c>
      <c r="D7134">
        <f>IF(B7134=C7134, "YES", "WRONG")</f>
        <v/>
      </c>
    </row>
    <row r="7135">
      <c r="A7135" t="n">
        <v>7134</v>
      </c>
      <c r="B7135" t="inlineStr">
        <is>
          <t>V̅MMCXXXIV</t>
        </is>
      </c>
      <c r="C7135">
        <f>ROMAN(7134)</f>
        <v/>
      </c>
      <c r="D7135">
        <f>IF(B7135=C7135, "YES", "WRONG")</f>
        <v/>
      </c>
    </row>
    <row r="7136">
      <c r="A7136" t="n">
        <v>7135</v>
      </c>
      <c r="B7136" t="inlineStr">
        <is>
          <t>V̅MMCXXXV</t>
        </is>
      </c>
      <c r="C7136">
        <f>ROMAN(7135)</f>
        <v/>
      </c>
      <c r="D7136">
        <f>IF(B7136=C7136, "YES", "WRONG")</f>
        <v/>
      </c>
    </row>
    <row r="7137">
      <c r="A7137" t="n">
        <v>7136</v>
      </c>
      <c r="B7137" t="inlineStr">
        <is>
          <t>V̅MMCXXXVI</t>
        </is>
      </c>
      <c r="C7137">
        <f>ROMAN(7136)</f>
        <v/>
      </c>
      <c r="D7137">
        <f>IF(B7137=C7137, "YES", "WRONG")</f>
        <v/>
      </c>
    </row>
    <row r="7138">
      <c r="A7138" t="n">
        <v>7137</v>
      </c>
      <c r="B7138" t="inlineStr">
        <is>
          <t>V̅MMCXXXVII</t>
        </is>
      </c>
      <c r="C7138">
        <f>ROMAN(7137)</f>
        <v/>
      </c>
      <c r="D7138">
        <f>IF(B7138=C7138, "YES", "WRONG")</f>
        <v/>
      </c>
    </row>
    <row r="7139">
      <c r="A7139" t="n">
        <v>7138</v>
      </c>
      <c r="B7139" t="inlineStr">
        <is>
          <t>V̅MMCXXXVIII</t>
        </is>
      </c>
      <c r="C7139">
        <f>ROMAN(7138)</f>
        <v/>
      </c>
      <c r="D7139">
        <f>IF(B7139=C7139, "YES", "WRONG")</f>
        <v/>
      </c>
    </row>
    <row r="7140">
      <c r="A7140" t="n">
        <v>7139</v>
      </c>
      <c r="B7140" t="inlineStr">
        <is>
          <t>V̅MMCXXXIX</t>
        </is>
      </c>
      <c r="C7140">
        <f>ROMAN(7139)</f>
        <v/>
      </c>
      <c r="D7140">
        <f>IF(B7140=C7140, "YES", "WRONG")</f>
        <v/>
      </c>
    </row>
    <row r="7141">
      <c r="A7141" t="n">
        <v>7140</v>
      </c>
      <c r="B7141" t="inlineStr">
        <is>
          <t>V̅MMCXL</t>
        </is>
      </c>
      <c r="C7141">
        <f>ROMAN(7140)</f>
        <v/>
      </c>
      <c r="D7141">
        <f>IF(B7141=C7141, "YES", "WRONG")</f>
        <v/>
      </c>
    </row>
    <row r="7142">
      <c r="A7142" t="n">
        <v>7141</v>
      </c>
      <c r="B7142" t="inlineStr">
        <is>
          <t>V̅MMCXLI</t>
        </is>
      </c>
      <c r="C7142">
        <f>ROMAN(7141)</f>
        <v/>
      </c>
      <c r="D7142">
        <f>IF(B7142=C7142, "YES", "WRONG")</f>
        <v/>
      </c>
    </row>
    <row r="7143">
      <c r="A7143" t="n">
        <v>7142</v>
      </c>
      <c r="B7143" t="inlineStr">
        <is>
          <t>V̅MMCXLII</t>
        </is>
      </c>
      <c r="C7143">
        <f>ROMAN(7142)</f>
        <v/>
      </c>
      <c r="D7143">
        <f>IF(B7143=C7143, "YES", "WRONG")</f>
        <v/>
      </c>
    </row>
    <row r="7144">
      <c r="A7144" t="n">
        <v>7143</v>
      </c>
      <c r="B7144" t="inlineStr">
        <is>
          <t>V̅MMCXLIII</t>
        </is>
      </c>
      <c r="C7144">
        <f>ROMAN(7143)</f>
        <v/>
      </c>
      <c r="D7144">
        <f>IF(B7144=C7144, "YES", "WRONG")</f>
        <v/>
      </c>
    </row>
    <row r="7145">
      <c r="A7145" t="n">
        <v>7144</v>
      </c>
      <c r="B7145" t="inlineStr">
        <is>
          <t>V̅MMCXLIV</t>
        </is>
      </c>
      <c r="C7145">
        <f>ROMAN(7144)</f>
        <v/>
      </c>
      <c r="D7145">
        <f>IF(B7145=C7145, "YES", "WRONG")</f>
        <v/>
      </c>
    </row>
    <row r="7146">
      <c r="A7146" t="n">
        <v>7145</v>
      </c>
      <c r="B7146" t="inlineStr">
        <is>
          <t>V̅MMCXLV</t>
        </is>
      </c>
      <c r="C7146">
        <f>ROMAN(7145)</f>
        <v/>
      </c>
      <c r="D7146">
        <f>IF(B7146=C7146, "YES", "WRONG")</f>
        <v/>
      </c>
    </row>
    <row r="7147">
      <c r="A7147" t="n">
        <v>7146</v>
      </c>
      <c r="B7147" t="inlineStr">
        <is>
          <t>V̅MMCXLVI</t>
        </is>
      </c>
      <c r="C7147">
        <f>ROMAN(7146)</f>
        <v/>
      </c>
      <c r="D7147">
        <f>IF(B7147=C7147, "YES", "WRONG")</f>
        <v/>
      </c>
    </row>
    <row r="7148">
      <c r="A7148" t="n">
        <v>7147</v>
      </c>
      <c r="B7148" t="inlineStr">
        <is>
          <t>V̅MMCXLVII</t>
        </is>
      </c>
      <c r="C7148">
        <f>ROMAN(7147)</f>
        <v/>
      </c>
      <c r="D7148">
        <f>IF(B7148=C7148, "YES", "WRONG")</f>
        <v/>
      </c>
    </row>
    <row r="7149">
      <c r="A7149" t="n">
        <v>7148</v>
      </c>
      <c r="B7149" t="inlineStr">
        <is>
          <t>V̅MMCXLVIII</t>
        </is>
      </c>
      <c r="C7149">
        <f>ROMAN(7148)</f>
        <v/>
      </c>
      <c r="D7149">
        <f>IF(B7149=C7149, "YES", "WRONG")</f>
        <v/>
      </c>
    </row>
    <row r="7150">
      <c r="A7150" t="n">
        <v>7149</v>
      </c>
      <c r="B7150" t="inlineStr">
        <is>
          <t>V̅MMCXLIX</t>
        </is>
      </c>
      <c r="C7150">
        <f>ROMAN(7149)</f>
        <v/>
      </c>
      <c r="D7150">
        <f>IF(B7150=C7150, "YES", "WRONG")</f>
        <v/>
      </c>
    </row>
    <row r="7151">
      <c r="A7151" t="n">
        <v>7150</v>
      </c>
      <c r="B7151" t="inlineStr">
        <is>
          <t>V̅MMCL</t>
        </is>
      </c>
      <c r="C7151">
        <f>ROMAN(7150)</f>
        <v/>
      </c>
      <c r="D7151">
        <f>IF(B7151=C7151, "YES", "WRONG")</f>
        <v/>
      </c>
    </row>
    <row r="7152">
      <c r="A7152" t="n">
        <v>7151</v>
      </c>
      <c r="B7152" t="inlineStr">
        <is>
          <t>V̅MMCLI</t>
        </is>
      </c>
      <c r="C7152">
        <f>ROMAN(7151)</f>
        <v/>
      </c>
      <c r="D7152">
        <f>IF(B7152=C7152, "YES", "WRONG")</f>
        <v/>
      </c>
    </row>
    <row r="7153">
      <c r="A7153" t="n">
        <v>7152</v>
      </c>
      <c r="B7153" t="inlineStr">
        <is>
          <t>V̅MMCLII</t>
        </is>
      </c>
      <c r="C7153">
        <f>ROMAN(7152)</f>
        <v/>
      </c>
      <c r="D7153">
        <f>IF(B7153=C7153, "YES", "WRONG")</f>
        <v/>
      </c>
    </row>
    <row r="7154">
      <c r="A7154" t="n">
        <v>7153</v>
      </c>
      <c r="B7154" t="inlineStr">
        <is>
          <t>V̅MMCLIII</t>
        </is>
      </c>
      <c r="C7154">
        <f>ROMAN(7153)</f>
        <v/>
      </c>
      <c r="D7154">
        <f>IF(B7154=C7154, "YES", "WRONG")</f>
        <v/>
      </c>
    </row>
    <row r="7155">
      <c r="A7155" t="n">
        <v>7154</v>
      </c>
      <c r="B7155" t="inlineStr">
        <is>
          <t>V̅MMCLIV</t>
        </is>
      </c>
      <c r="C7155">
        <f>ROMAN(7154)</f>
        <v/>
      </c>
      <c r="D7155">
        <f>IF(B7155=C7155, "YES", "WRONG")</f>
        <v/>
      </c>
    </row>
    <row r="7156">
      <c r="A7156" t="n">
        <v>7155</v>
      </c>
      <c r="B7156" t="inlineStr">
        <is>
          <t>V̅MMCLV</t>
        </is>
      </c>
      <c r="C7156">
        <f>ROMAN(7155)</f>
        <v/>
      </c>
      <c r="D7156">
        <f>IF(B7156=C7156, "YES", "WRONG")</f>
        <v/>
      </c>
    </row>
    <row r="7157">
      <c r="A7157" t="n">
        <v>7156</v>
      </c>
      <c r="B7157" t="inlineStr">
        <is>
          <t>V̅MMCLVI</t>
        </is>
      </c>
      <c r="C7157">
        <f>ROMAN(7156)</f>
        <v/>
      </c>
      <c r="D7157">
        <f>IF(B7157=C7157, "YES", "WRONG")</f>
        <v/>
      </c>
    </row>
    <row r="7158">
      <c r="A7158" t="n">
        <v>7157</v>
      </c>
      <c r="B7158" t="inlineStr">
        <is>
          <t>V̅MMCLVII</t>
        </is>
      </c>
      <c r="C7158">
        <f>ROMAN(7157)</f>
        <v/>
      </c>
      <c r="D7158">
        <f>IF(B7158=C7158, "YES", "WRONG")</f>
        <v/>
      </c>
    </row>
    <row r="7159">
      <c r="A7159" t="n">
        <v>7158</v>
      </c>
      <c r="B7159" t="inlineStr">
        <is>
          <t>V̅MMCLVIII</t>
        </is>
      </c>
      <c r="C7159">
        <f>ROMAN(7158)</f>
        <v/>
      </c>
      <c r="D7159">
        <f>IF(B7159=C7159, "YES", "WRONG")</f>
        <v/>
      </c>
    </row>
    <row r="7160">
      <c r="A7160" t="n">
        <v>7159</v>
      </c>
      <c r="B7160" t="inlineStr">
        <is>
          <t>V̅MMCLIX</t>
        </is>
      </c>
      <c r="C7160">
        <f>ROMAN(7159)</f>
        <v/>
      </c>
      <c r="D7160">
        <f>IF(B7160=C7160, "YES", "WRONG")</f>
        <v/>
      </c>
    </row>
    <row r="7161">
      <c r="A7161" t="n">
        <v>7160</v>
      </c>
      <c r="B7161" t="inlineStr">
        <is>
          <t>V̅MMCLX</t>
        </is>
      </c>
      <c r="C7161">
        <f>ROMAN(7160)</f>
        <v/>
      </c>
      <c r="D7161">
        <f>IF(B7161=C7161, "YES", "WRONG")</f>
        <v/>
      </c>
    </row>
    <row r="7162">
      <c r="A7162" t="n">
        <v>7161</v>
      </c>
      <c r="B7162" t="inlineStr">
        <is>
          <t>V̅MMCLXI</t>
        </is>
      </c>
      <c r="C7162">
        <f>ROMAN(7161)</f>
        <v/>
      </c>
      <c r="D7162">
        <f>IF(B7162=C7162, "YES", "WRONG")</f>
        <v/>
      </c>
    </row>
    <row r="7163">
      <c r="A7163" t="n">
        <v>7162</v>
      </c>
      <c r="B7163" t="inlineStr">
        <is>
          <t>V̅MMCLXII</t>
        </is>
      </c>
      <c r="C7163">
        <f>ROMAN(7162)</f>
        <v/>
      </c>
      <c r="D7163">
        <f>IF(B7163=C7163, "YES", "WRONG")</f>
        <v/>
      </c>
    </row>
    <row r="7164">
      <c r="A7164" t="n">
        <v>7163</v>
      </c>
      <c r="B7164" t="inlineStr">
        <is>
          <t>V̅MMCLXIII</t>
        </is>
      </c>
      <c r="C7164">
        <f>ROMAN(7163)</f>
        <v/>
      </c>
      <c r="D7164">
        <f>IF(B7164=C7164, "YES", "WRONG")</f>
        <v/>
      </c>
    </row>
    <row r="7165">
      <c r="A7165" t="n">
        <v>7164</v>
      </c>
      <c r="B7165" t="inlineStr">
        <is>
          <t>V̅MMCLXIV</t>
        </is>
      </c>
      <c r="C7165">
        <f>ROMAN(7164)</f>
        <v/>
      </c>
      <c r="D7165">
        <f>IF(B7165=C7165, "YES", "WRONG")</f>
        <v/>
      </c>
    </row>
    <row r="7166">
      <c r="A7166" t="n">
        <v>7165</v>
      </c>
      <c r="B7166" t="inlineStr">
        <is>
          <t>V̅MMCLXV</t>
        </is>
      </c>
      <c r="C7166">
        <f>ROMAN(7165)</f>
        <v/>
      </c>
      <c r="D7166">
        <f>IF(B7166=C7166, "YES", "WRONG")</f>
        <v/>
      </c>
    </row>
    <row r="7167">
      <c r="A7167" t="n">
        <v>7166</v>
      </c>
      <c r="B7167" t="inlineStr">
        <is>
          <t>V̅MMCLXVI</t>
        </is>
      </c>
      <c r="C7167">
        <f>ROMAN(7166)</f>
        <v/>
      </c>
      <c r="D7167">
        <f>IF(B7167=C7167, "YES", "WRONG")</f>
        <v/>
      </c>
    </row>
    <row r="7168">
      <c r="A7168" t="n">
        <v>7167</v>
      </c>
      <c r="B7168" t="inlineStr">
        <is>
          <t>V̅MMCLXVII</t>
        </is>
      </c>
      <c r="C7168">
        <f>ROMAN(7167)</f>
        <v/>
      </c>
      <c r="D7168">
        <f>IF(B7168=C7168, "YES", "WRONG")</f>
        <v/>
      </c>
    </row>
    <row r="7169">
      <c r="A7169" t="n">
        <v>7168</v>
      </c>
      <c r="B7169" t="inlineStr">
        <is>
          <t>V̅MMCLXVIII</t>
        </is>
      </c>
      <c r="C7169">
        <f>ROMAN(7168)</f>
        <v/>
      </c>
      <c r="D7169">
        <f>IF(B7169=C7169, "YES", "WRONG")</f>
        <v/>
      </c>
    </row>
    <row r="7170">
      <c r="A7170" t="n">
        <v>7169</v>
      </c>
      <c r="B7170" t="inlineStr">
        <is>
          <t>V̅MMCLXIX</t>
        </is>
      </c>
      <c r="C7170">
        <f>ROMAN(7169)</f>
        <v/>
      </c>
      <c r="D7170">
        <f>IF(B7170=C7170, "YES", "WRONG")</f>
        <v/>
      </c>
    </row>
    <row r="7171">
      <c r="A7171" t="n">
        <v>7170</v>
      </c>
      <c r="B7171" t="inlineStr">
        <is>
          <t>V̅MMCLXX</t>
        </is>
      </c>
      <c r="C7171">
        <f>ROMAN(7170)</f>
        <v/>
      </c>
      <c r="D7171">
        <f>IF(B7171=C7171, "YES", "WRONG")</f>
        <v/>
      </c>
    </row>
    <row r="7172">
      <c r="A7172" t="n">
        <v>7171</v>
      </c>
      <c r="B7172" t="inlineStr">
        <is>
          <t>V̅MMCLXXI</t>
        </is>
      </c>
      <c r="C7172">
        <f>ROMAN(7171)</f>
        <v/>
      </c>
      <c r="D7172">
        <f>IF(B7172=C7172, "YES", "WRONG")</f>
        <v/>
      </c>
    </row>
    <row r="7173">
      <c r="A7173" t="n">
        <v>7172</v>
      </c>
      <c r="B7173" t="inlineStr">
        <is>
          <t>V̅MMCLXXII</t>
        </is>
      </c>
      <c r="C7173">
        <f>ROMAN(7172)</f>
        <v/>
      </c>
      <c r="D7173">
        <f>IF(B7173=C7173, "YES", "WRONG")</f>
        <v/>
      </c>
    </row>
    <row r="7174">
      <c r="A7174" t="n">
        <v>7173</v>
      </c>
      <c r="B7174" t="inlineStr">
        <is>
          <t>V̅MMCLXXIII</t>
        </is>
      </c>
      <c r="C7174">
        <f>ROMAN(7173)</f>
        <v/>
      </c>
      <c r="D7174">
        <f>IF(B7174=C7174, "YES", "WRONG")</f>
        <v/>
      </c>
    </row>
    <row r="7175">
      <c r="A7175" t="n">
        <v>7174</v>
      </c>
      <c r="B7175" t="inlineStr">
        <is>
          <t>V̅MMCLXXIV</t>
        </is>
      </c>
      <c r="C7175">
        <f>ROMAN(7174)</f>
        <v/>
      </c>
      <c r="D7175">
        <f>IF(B7175=C7175, "YES", "WRONG")</f>
        <v/>
      </c>
    </row>
    <row r="7176">
      <c r="A7176" t="n">
        <v>7175</v>
      </c>
      <c r="B7176" t="inlineStr">
        <is>
          <t>V̅MMCLXXV</t>
        </is>
      </c>
      <c r="C7176">
        <f>ROMAN(7175)</f>
        <v/>
      </c>
      <c r="D7176">
        <f>IF(B7176=C7176, "YES", "WRONG")</f>
        <v/>
      </c>
    </row>
    <row r="7177">
      <c r="A7177" t="n">
        <v>7176</v>
      </c>
      <c r="B7177" t="inlineStr">
        <is>
          <t>V̅MMCLXXVI</t>
        </is>
      </c>
      <c r="C7177">
        <f>ROMAN(7176)</f>
        <v/>
      </c>
      <c r="D7177">
        <f>IF(B7177=C7177, "YES", "WRONG")</f>
        <v/>
      </c>
    </row>
    <row r="7178">
      <c r="A7178" t="n">
        <v>7177</v>
      </c>
      <c r="B7178" t="inlineStr">
        <is>
          <t>V̅MMCLXXVII</t>
        </is>
      </c>
      <c r="C7178">
        <f>ROMAN(7177)</f>
        <v/>
      </c>
      <c r="D7178">
        <f>IF(B7178=C7178, "YES", "WRONG")</f>
        <v/>
      </c>
    </row>
    <row r="7179">
      <c r="A7179" t="n">
        <v>7178</v>
      </c>
      <c r="B7179" t="inlineStr">
        <is>
          <t>V̅MMCLXXVIII</t>
        </is>
      </c>
      <c r="C7179">
        <f>ROMAN(7178)</f>
        <v/>
      </c>
      <c r="D7179">
        <f>IF(B7179=C7179, "YES", "WRONG")</f>
        <v/>
      </c>
    </row>
    <row r="7180">
      <c r="A7180" t="n">
        <v>7179</v>
      </c>
      <c r="B7180" t="inlineStr">
        <is>
          <t>V̅MMCLXXIX</t>
        </is>
      </c>
      <c r="C7180">
        <f>ROMAN(7179)</f>
        <v/>
      </c>
      <c r="D7180">
        <f>IF(B7180=C7180, "YES", "WRONG")</f>
        <v/>
      </c>
    </row>
    <row r="7181">
      <c r="A7181" t="n">
        <v>7180</v>
      </c>
      <c r="B7181" t="inlineStr">
        <is>
          <t>V̅MMCLXXX</t>
        </is>
      </c>
      <c r="C7181">
        <f>ROMAN(7180)</f>
        <v/>
      </c>
      <c r="D7181">
        <f>IF(B7181=C7181, "YES", "WRONG")</f>
        <v/>
      </c>
    </row>
    <row r="7182">
      <c r="A7182" t="n">
        <v>7181</v>
      </c>
      <c r="B7182" t="inlineStr">
        <is>
          <t>V̅MMCLXXXI</t>
        </is>
      </c>
      <c r="C7182">
        <f>ROMAN(7181)</f>
        <v/>
      </c>
      <c r="D7182">
        <f>IF(B7182=C7182, "YES", "WRONG")</f>
        <v/>
      </c>
    </row>
    <row r="7183">
      <c r="A7183" t="n">
        <v>7182</v>
      </c>
      <c r="B7183" t="inlineStr">
        <is>
          <t>V̅MMCLXXXII</t>
        </is>
      </c>
      <c r="C7183">
        <f>ROMAN(7182)</f>
        <v/>
      </c>
      <c r="D7183">
        <f>IF(B7183=C7183, "YES", "WRONG")</f>
        <v/>
      </c>
    </row>
    <row r="7184">
      <c r="A7184" t="n">
        <v>7183</v>
      </c>
      <c r="B7184" t="inlineStr">
        <is>
          <t>V̅MMCLXXXIII</t>
        </is>
      </c>
      <c r="C7184">
        <f>ROMAN(7183)</f>
        <v/>
      </c>
      <c r="D7184">
        <f>IF(B7184=C7184, "YES", "WRONG")</f>
        <v/>
      </c>
    </row>
    <row r="7185">
      <c r="A7185" t="n">
        <v>7184</v>
      </c>
      <c r="B7185" t="inlineStr">
        <is>
          <t>V̅MMCLXXXIV</t>
        </is>
      </c>
      <c r="C7185">
        <f>ROMAN(7184)</f>
        <v/>
      </c>
      <c r="D7185">
        <f>IF(B7185=C7185, "YES", "WRONG")</f>
        <v/>
      </c>
    </row>
    <row r="7186">
      <c r="A7186" t="n">
        <v>7185</v>
      </c>
      <c r="B7186" t="inlineStr">
        <is>
          <t>V̅MMCLXXXV</t>
        </is>
      </c>
      <c r="C7186">
        <f>ROMAN(7185)</f>
        <v/>
      </c>
      <c r="D7186">
        <f>IF(B7186=C7186, "YES", "WRONG")</f>
        <v/>
      </c>
    </row>
    <row r="7187">
      <c r="A7187" t="n">
        <v>7186</v>
      </c>
      <c r="B7187" t="inlineStr">
        <is>
          <t>V̅MMCLXXXVI</t>
        </is>
      </c>
      <c r="C7187">
        <f>ROMAN(7186)</f>
        <v/>
      </c>
      <c r="D7187">
        <f>IF(B7187=C7187, "YES", "WRONG")</f>
        <v/>
      </c>
    </row>
    <row r="7188">
      <c r="A7188" t="n">
        <v>7187</v>
      </c>
      <c r="B7188" t="inlineStr">
        <is>
          <t>V̅MMCLXXXVII</t>
        </is>
      </c>
      <c r="C7188">
        <f>ROMAN(7187)</f>
        <v/>
      </c>
      <c r="D7188">
        <f>IF(B7188=C7188, "YES", "WRONG")</f>
        <v/>
      </c>
    </row>
    <row r="7189">
      <c r="A7189" t="n">
        <v>7188</v>
      </c>
      <c r="B7189" t="inlineStr">
        <is>
          <t>V̅MMCLXXXVIII</t>
        </is>
      </c>
      <c r="C7189">
        <f>ROMAN(7188)</f>
        <v/>
      </c>
      <c r="D7189">
        <f>IF(B7189=C7189, "YES", "WRONG")</f>
        <v/>
      </c>
    </row>
    <row r="7190">
      <c r="A7190" t="n">
        <v>7189</v>
      </c>
      <c r="B7190" t="inlineStr">
        <is>
          <t>V̅MMCLXXXIX</t>
        </is>
      </c>
      <c r="C7190">
        <f>ROMAN(7189)</f>
        <v/>
      </c>
      <c r="D7190">
        <f>IF(B7190=C7190, "YES", "WRONG")</f>
        <v/>
      </c>
    </row>
    <row r="7191">
      <c r="A7191" t="n">
        <v>7190</v>
      </c>
      <c r="B7191" t="inlineStr">
        <is>
          <t>V̅MMCXC</t>
        </is>
      </c>
      <c r="C7191">
        <f>ROMAN(7190)</f>
        <v/>
      </c>
      <c r="D7191">
        <f>IF(B7191=C7191, "YES", "WRONG")</f>
        <v/>
      </c>
    </row>
    <row r="7192">
      <c r="A7192" t="n">
        <v>7191</v>
      </c>
      <c r="B7192" t="inlineStr">
        <is>
          <t>V̅MMCXCI</t>
        </is>
      </c>
      <c r="C7192">
        <f>ROMAN(7191)</f>
        <v/>
      </c>
      <c r="D7192">
        <f>IF(B7192=C7192, "YES", "WRONG")</f>
        <v/>
      </c>
    </row>
    <row r="7193">
      <c r="A7193" t="n">
        <v>7192</v>
      </c>
      <c r="B7193" t="inlineStr">
        <is>
          <t>V̅MMCXCII</t>
        </is>
      </c>
      <c r="C7193">
        <f>ROMAN(7192)</f>
        <v/>
      </c>
      <c r="D7193">
        <f>IF(B7193=C7193, "YES", "WRONG")</f>
        <v/>
      </c>
    </row>
    <row r="7194">
      <c r="A7194" t="n">
        <v>7193</v>
      </c>
      <c r="B7194" t="inlineStr">
        <is>
          <t>V̅MMCXCIII</t>
        </is>
      </c>
      <c r="C7194">
        <f>ROMAN(7193)</f>
        <v/>
      </c>
      <c r="D7194">
        <f>IF(B7194=C7194, "YES", "WRONG")</f>
        <v/>
      </c>
    </row>
    <row r="7195">
      <c r="A7195" t="n">
        <v>7194</v>
      </c>
      <c r="B7195" t="inlineStr">
        <is>
          <t>V̅MMCXCIV</t>
        </is>
      </c>
      <c r="C7195">
        <f>ROMAN(7194)</f>
        <v/>
      </c>
      <c r="D7195">
        <f>IF(B7195=C7195, "YES", "WRONG")</f>
        <v/>
      </c>
    </row>
    <row r="7196">
      <c r="A7196" t="n">
        <v>7195</v>
      </c>
      <c r="B7196" t="inlineStr">
        <is>
          <t>V̅MMCXCV</t>
        </is>
      </c>
      <c r="C7196">
        <f>ROMAN(7195)</f>
        <v/>
      </c>
      <c r="D7196">
        <f>IF(B7196=C7196, "YES", "WRONG")</f>
        <v/>
      </c>
    </row>
    <row r="7197">
      <c r="A7197" t="n">
        <v>7196</v>
      </c>
      <c r="B7197" t="inlineStr">
        <is>
          <t>V̅MMCXCVI</t>
        </is>
      </c>
      <c r="C7197">
        <f>ROMAN(7196)</f>
        <v/>
      </c>
      <c r="D7197">
        <f>IF(B7197=C7197, "YES", "WRONG")</f>
        <v/>
      </c>
    </row>
    <row r="7198">
      <c r="A7198" t="n">
        <v>7197</v>
      </c>
      <c r="B7198" t="inlineStr">
        <is>
          <t>V̅MMCXCVII</t>
        </is>
      </c>
      <c r="C7198">
        <f>ROMAN(7197)</f>
        <v/>
      </c>
      <c r="D7198">
        <f>IF(B7198=C7198, "YES", "WRONG")</f>
        <v/>
      </c>
    </row>
    <row r="7199">
      <c r="A7199" t="n">
        <v>7198</v>
      </c>
      <c r="B7199" t="inlineStr">
        <is>
          <t>V̅MMCXCVIII</t>
        </is>
      </c>
      <c r="C7199">
        <f>ROMAN(7198)</f>
        <v/>
      </c>
      <c r="D7199">
        <f>IF(B7199=C7199, "YES", "WRONG")</f>
        <v/>
      </c>
    </row>
    <row r="7200">
      <c r="A7200" t="n">
        <v>7199</v>
      </c>
      <c r="B7200" t="inlineStr">
        <is>
          <t>V̅MMCXCIX</t>
        </is>
      </c>
      <c r="C7200">
        <f>ROMAN(7199)</f>
        <v/>
      </c>
      <c r="D7200">
        <f>IF(B7200=C7200, "YES", "WRONG")</f>
        <v/>
      </c>
    </row>
    <row r="7201">
      <c r="A7201" t="n">
        <v>7200</v>
      </c>
      <c r="B7201" t="inlineStr">
        <is>
          <t>V̅MMCC</t>
        </is>
      </c>
      <c r="C7201">
        <f>ROMAN(7200)</f>
        <v/>
      </c>
      <c r="D7201">
        <f>IF(B7201=C7201, "YES", "WRONG")</f>
        <v/>
      </c>
    </row>
    <row r="7202">
      <c r="A7202" t="n">
        <v>7201</v>
      </c>
      <c r="B7202" t="inlineStr">
        <is>
          <t>V̅MMCCI</t>
        </is>
      </c>
      <c r="C7202">
        <f>ROMAN(7201)</f>
        <v/>
      </c>
      <c r="D7202">
        <f>IF(B7202=C7202, "YES", "WRONG")</f>
        <v/>
      </c>
    </row>
    <row r="7203">
      <c r="A7203" t="n">
        <v>7202</v>
      </c>
      <c r="B7203" t="inlineStr">
        <is>
          <t>V̅MMCCII</t>
        </is>
      </c>
      <c r="C7203">
        <f>ROMAN(7202)</f>
        <v/>
      </c>
      <c r="D7203">
        <f>IF(B7203=C7203, "YES", "WRONG")</f>
        <v/>
      </c>
    </row>
    <row r="7204">
      <c r="A7204" t="n">
        <v>7203</v>
      </c>
      <c r="B7204" t="inlineStr">
        <is>
          <t>V̅MMCCIII</t>
        </is>
      </c>
      <c r="C7204">
        <f>ROMAN(7203)</f>
        <v/>
      </c>
      <c r="D7204">
        <f>IF(B7204=C7204, "YES", "WRONG")</f>
        <v/>
      </c>
    </row>
    <row r="7205">
      <c r="A7205" t="n">
        <v>7204</v>
      </c>
      <c r="B7205" t="inlineStr">
        <is>
          <t>V̅MMCCIV</t>
        </is>
      </c>
      <c r="C7205">
        <f>ROMAN(7204)</f>
        <v/>
      </c>
      <c r="D7205">
        <f>IF(B7205=C7205, "YES", "WRONG")</f>
        <v/>
      </c>
    </row>
    <row r="7206">
      <c r="A7206" t="n">
        <v>7205</v>
      </c>
      <c r="B7206" t="inlineStr">
        <is>
          <t>V̅MMCCV</t>
        </is>
      </c>
      <c r="C7206">
        <f>ROMAN(7205)</f>
        <v/>
      </c>
      <c r="D7206">
        <f>IF(B7206=C7206, "YES", "WRONG")</f>
        <v/>
      </c>
    </row>
    <row r="7207">
      <c r="A7207" t="n">
        <v>7206</v>
      </c>
      <c r="B7207" t="inlineStr">
        <is>
          <t>V̅MMCCVI</t>
        </is>
      </c>
      <c r="C7207">
        <f>ROMAN(7206)</f>
        <v/>
      </c>
      <c r="D7207">
        <f>IF(B7207=C7207, "YES", "WRONG")</f>
        <v/>
      </c>
    </row>
    <row r="7208">
      <c r="A7208" t="n">
        <v>7207</v>
      </c>
      <c r="B7208" t="inlineStr">
        <is>
          <t>V̅MMCCVII</t>
        </is>
      </c>
      <c r="C7208">
        <f>ROMAN(7207)</f>
        <v/>
      </c>
      <c r="D7208">
        <f>IF(B7208=C7208, "YES", "WRONG")</f>
        <v/>
      </c>
    </row>
    <row r="7209">
      <c r="A7209" t="n">
        <v>7208</v>
      </c>
      <c r="B7209" t="inlineStr">
        <is>
          <t>V̅MMCCVIII</t>
        </is>
      </c>
      <c r="C7209">
        <f>ROMAN(7208)</f>
        <v/>
      </c>
      <c r="D7209">
        <f>IF(B7209=C7209, "YES", "WRONG")</f>
        <v/>
      </c>
    </row>
    <row r="7210">
      <c r="A7210" t="n">
        <v>7209</v>
      </c>
      <c r="B7210" t="inlineStr">
        <is>
          <t>V̅MMCCIX</t>
        </is>
      </c>
      <c r="C7210">
        <f>ROMAN(7209)</f>
        <v/>
      </c>
      <c r="D7210">
        <f>IF(B7210=C7210, "YES", "WRONG")</f>
        <v/>
      </c>
    </row>
    <row r="7211">
      <c r="A7211" t="n">
        <v>7210</v>
      </c>
      <c r="B7211" t="inlineStr">
        <is>
          <t>V̅MMCCX</t>
        </is>
      </c>
      <c r="C7211">
        <f>ROMAN(7210)</f>
        <v/>
      </c>
      <c r="D7211">
        <f>IF(B7211=C7211, "YES", "WRONG")</f>
        <v/>
      </c>
    </row>
    <row r="7212">
      <c r="A7212" t="n">
        <v>7211</v>
      </c>
      <c r="B7212" t="inlineStr">
        <is>
          <t>V̅MMCCXI</t>
        </is>
      </c>
      <c r="C7212">
        <f>ROMAN(7211)</f>
        <v/>
      </c>
      <c r="D7212">
        <f>IF(B7212=C7212, "YES", "WRONG")</f>
        <v/>
      </c>
    </row>
    <row r="7213">
      <c r="A7213" t="n">
        <v>7212</v>
      </c>
      <c r="B7213" t="inlineStr">
        <is>
          <t>V̅MMCCXII</t>
        </is>
      </c>
      <c r="C7213">
        <f>ROMAN(7212)</f>
        <v/>
      </c>
      <c r="D7213">
        <f>IF(B7213=C7213, "YES", "WRONG")</f>
        <v/>
      </c>
    </row>
    <row r="7214">
      <c r="A7214" t="n">
        <v>7213</v>
      </c>
      <c r="B7214" t="inlineStr">
        <is>
          <t>V̅MMCCXIII</t>
        </is>
      </c>
      <c r="C7214">
        <f>ROMAN(7213)</f>
        <v/>
      </c>
      <c r="D7214">
        <f>IF(B7214=C7214, "YES", "WRONG")</f>
        <v/>
      </c>
    </row>
    <row r="7215">
      <c r="A7215" t="n">
        <v>7214</v>
      </c>
      <c r="B7215" t="inlineStr">
        <is>
          <t>V̅MMCCXIV</t>
        </is>
      </c>
      <c r="C7215">
        <f>ROMAN(7214)</f>
        <v/>
      </c>
      <c r="D7215">
        <f>IF(B7215=C7215, "YES", "WRONG")</f>
        <v/>
      </c>
    </row>
    <row r="7216">
      <c r="A7216" t="n">
        <v>7215</v>
      </c>
      <c r="B7216" t="inlineStr">
        <is>
          <t>V̅MMCCXV</t>
        </is>
      </c>
      <c r="C7216">
        <f>ROMAN(7215)</f>
        <v/>
      </c>
      <c r="D7216">
        <f>IF(B7216=C7216, "YES", "WRONG")</f>
        <v/>
      </c>
    </row>
    <row r="7217">
      <c r="A7217" t="n">
        <v>7216</v>
      </c>
      <c r="B7217" t="inlineStr">
        <is>
          <t>V̅MMCCXVI</t>
        </is>
      </c>
      <c r="C7217">
        <f>ROMAN(7216)</f>
        <v/>
      </c>
      <c r="D7217">
        <f>IF(B7217=C7217, "YES", "WRONG")</f>
        <v/>
      </c>
    </row>
    <row r="7218">
      <c r="A7218" t="n">
        <v>7217</v>
      </c>
      <c r="B7218" t="inlineStr">
        <is>
          <t>V̅MMCCXVII</t>
        </is>
      </c>
      <c r="C7218">
        <f>ROMAN(7217)</f>
        <v/>
      </c>
      <c r="D7218">
        <f>IF(B7218=C7218, "YES", "WRONG")</f>
        <v/>
      </c>
    </row>
    <row r="7219">
      <c r="A7219" t="n">
        <v>7218</v>
      </c>
      <c r="B7219" t="inlineStr">
        <is>
          <t>V̅MMCCXVIII</t>
        </is>
      </c>
      <c r="C7219">
        <f>ROMAN(7218)</f>
        <v/>
      </c>
      <c r="D7219">
        <f>IF(B7219=C7219, "YES", "WRONG")</f>
        <v/>
      </c>
    </row>
    <row r="7220">
      <c r="A7220" t="n">
        <v>7219</v>
      </c>
      <c r="B7220" t="inlineStr">
        <is>
          <t>V̅MMCCXIX</t>
        </is>
      </c>
      <c r="C7220">
        <f>ROMAN(7219)</f>
        <v/>
      </c>
      <c r="D7220">
        <f>IF(B7220=C7220, "YES", "WRONG")</f>
        <v/>
      </c>
    </row>
    <row r="7221">
      <c r="A7221" t="n">
        <v>7220</v>
      </c>
      <c r="B7221" t="inlineStr">
        <is>
          <t>V̅MMCCXX</t>
        </is>
      </c>
      <c r="C7221">
        <f>ROMAN(7220)</f>
        <v/>
      </c>
      <c r="D7221">
        <f>IF(B7221=C7221, "YES", "WRONG")</f>
        <v/>
      </c>
    </row>
    <row r="7222">
      <c r="A7222" t="n">
        <v>7221</v>
      </c>
      <c r="B7222" t="inlineStr">
        <is>
          <t>V̅MMCCXXI</t>
        </is>
      </c>
      <c r="C7222">
        <f>ROMAN(7221)</f>
        <v/>
      </c>
      <c r="D7222">
        <f>IF(B7222=C7222, "YES", "WRONG")</f>
        <v/>
      </c>
    </row>
    <row r="7223">
      <c r="A7223" t="n">
        <v>7222</v>
      </c>
      <c r="B7223" t="inlineStr">
        <is>
          <t>V̅MMCCXXII</t>
        </is>
      </c>
      <c r="C7223">
        <f>ROMAN(7222)</f>
        <v/>
      </c>
      <c r="D7223">
        <f>IF(B7223=C7223, "YES", "WRONG")</f>
        <v/>
      </c>
    </row>
    <row r="7224">
      <c r="A7224" t="n">
        <v>7223</v>
      </c>
      <c r="B7224" t="inlineStr">
        <is>
          <t>V̅MMCCXXIII</t>
        </is>
      </c>
      <c r="C7224">
        <f>ROMAN(7223)</f>
        <v/>
      </c>
      <c r="D7224">
        <f>IF(B7224=C7224, "YES", "WRONG")</f>
        <v/>
      </c>
    </row>
    <row r="7225">
      <c r="A7225" t="n">
        <v>7224</v>
      </c>
      <c r="B7225" t="inlineStr">
        <is>
          <t>V̅MMCCXXIV</t>
        </is>
      </c>
      <c r="C7225">
        <f>ROMAN(7224)</f>
        <v/>
      </c>
      <c r="D7225">
        <f>IF(B7225=C7225, "YES", "WRONG")</f>
        <v/>
      </c>
    </row>
    <row r="7226">
      <c r="A7226" t="n">
        <v>7225</v>
      </c>
      <c r="B7226" t="inlineStr">
        <is>
          <t>V̅MMCCXXV</t>
        </is>
      </c>
      <c r="C7226">
        <f>ROMAN(7225)</f>
        <v/>
      </c>
      <c r="D7226">
        <f>IF(B7226=C7226, "YES", "WRONG")</f>
        <v/>
      </c>
    </row>
    <row r="7227">
      <c r="A7227" t="n">
        <v>7226</v>
      </c>
      <c r="B7227" t="inlineStr">
        <is>
          <t>V̅MMCCXXVI</t>
        </is>
      </c>
      <c r="C7227">
        <f>ROMAN(7226)</f>
        <v/>
      </c>
      <c r="D7227">
        <f>IF(B7227=C7227, "YES", "WRONG")</f>
        <v/>
      </c>
    </row>
    <row r="7228">
      <c r="A7228" t="n">
        <v>7227</v>
      </c>
      <c r="B7228" t="inlineStr">
        <is>
          <t>V̅MMCCXXVII</t>
        </is>
      </c>
      <c r="C7228">
        <f>ROMAN(7227)</f>
        <v/>
      </c>
      <c r="D7228">
        <f>IF(B7228=C7228, "YES", "WRONG")</f>
        <v/>
      </c>
    </row>
    <row r="7229">
      <c r="A7229" t="n">
        <v>7228</v>
      </c>
      <c r="B7229" t="inlineStr">
        <is>
          <t>V̅MMCCXXVIII</t>
        </is>
      </c>
      <c r="C7229">
        <f>ROMAN(7228)</f>
        <v/>
      </c>
      <c r="D7229">
        <f>IF(B7229=C7229, "YES", "WRONG")</f>
        <v/>
      </c>
    </row>
    <row r="7230">
      <c r="A7230" t="n">
        <v>7229</v>
      </c>
      <c r="B7230" t="inlineStr">
        <is>
          <t>V̅MMCCXXIX</t>
        </is>
      </c>
      <c r="C7230">
        <f>ROMAN(7229)</f>
        <v/>
      </c>
      <c r="D7230">
        <f>IF(B7230=C7230, "YES", "WRONG")</f>
        <v/>
      </c>
    </row>
    <row r="7231">
      <c r="A7231" t="n">
        <v>7230</v>
      </c>
      <c r="B7231" t="inlineStr">
        <is>
          <t>V̅MMCCXXX</t>
        </is>
      </c>
      <c r="C7231">
        <f>ROMAN(7230)</f>
        <v/>
      </c>
      <c r="D7231">
        <f>IF(B7231=C7231, "YES", "WRONG")</f>
        <v/>
      </c>
    </row>
    <row r="7232">
      <c r="A7232" t="n">
        <v>7231</v>
      </c>
      <c r="B7232" t="inlineStr">
        <is>
          <t>V̅MMCCXXXI</t>
        </is>
      </c>
      <c r="C7232">
        <f>ROMAN(7231)</f>
        <v/>
      </c>
      <c r="D7232">
        <f>IF(B7232=C7232, "YES", "WRONG")</f>
        <v/>
      </c>
    </row>
    <row r="7233">
      <c r="A7233" t="n">
        <v>7232</v>
      </c>
      <c r="B7233" t="inlineStr">
        <is>
          <t>V̅MMCCXXXII</t>
        </is>
      </c>
      <c r="C7233">
        <f>ROMAN(7232)</f>
        <v/>
      </c>
      <c r="D7233">
        <f>IF(B7233=C7233, "YES", "WRONG")</f>
        <v/>
      </c>
    </row>
    <row r="7234">
      <c r="A7234" t="n">
        <v>7233</v>
      </c>
      <c r="B7234" t="inlineStr">
        <is>
          <t>V̅MMCCXXXIII</t>
        </is>
      </c>
      <c r="C7234">
        <f>ROMAN(7233)</f>
        <v/>
      </c>
      <c r="D7234">
        <f>IF(B7234=C7234, "YES", "WRONG")</f>
        <v/>
      </c>
    </row>
    <row r="7235">
      <c r="A7235" t="n">
        <v>7234</v>
      </c>
      <c r="B7235" t="inlineStr">
        <is>
          <t>V̅MMCCXXXIV</t>
        </is>
      </c>
      <c r="C7235">
        <f>ROMAN(7234)</f>
        <v/>
      </c>
      <c r="D7235">
        <f>IF(B7235=C7235, "YES", "WRONG")</f>
        <v/>
      </c>
    </row>
    <row r="7236">
      <c r="A7236" t="n">
        <v>7235</v>
      </c>
      <c r="B7236" t="inlineStr">
        <is>
          <t>V̅MMCCXXXV</t>
        </is>
      </c>
      <c r="C7236">
        <f>ROMAN(7235)</f>
        <v/>
      </c>
      <c r="D7236">
        <f>IF(B7236=C7236, "YES", "WRONG")</f>
        <v/>
      </c>
    </row>
    <row r="7237">
      <c r="A7237" t="n">
        <v>7236</v>
      </c>
      <c r="B7237" t="inlineStr">
        <is>
          <t>V̅MMCCXXXVI</t>
        </is>
      </c>
      <c r="C7237">
        <f>ROMAN(7236)</f>
        <v/>
      </c>
      <c r="D7237">
        <f>IF(B7237=C7237, "YES", "WRONG")</f>
        <v/>
      </c>
    </row>
    <row r="7238">
      <c r="A7238" t="n">
        <v>7237</v>
      </c>
      <c r="B7238" t="inlineStr">
        <is>
          <t>V̅MMCCXXXVII</t>
        </is>
      </c>
      <c r="C7238">
        <f>ROMAN(7237)</f>
        <v/>
      </c>
      <c r="D7238">
        <f>IF(B7238=C7238, "YES", "WRONG")</f>
        <v/>
      </c>
    </row>
    <row r="7239">
      <c r="A7239" t="n">
        <v>7238</v>
      </c>
      <c r="B7239" t="inlineStr">
        <is>
          <t>V̅MMCCXXXVIII</t>
        </is>
      </c>
      <c r="C7239">
        <f>ROMAN(7238)</f>
        <v/>
      </c>
      <c r="D7239">
        <f>IF(B7239=C7239, "YES", "WRONG")</f>
        <v/>
      </c>
    </row>
    <row r="7240">
      <c r="A7240" t="n">
        <v>7239</v>
      </c>
      <c r="B7240" t="inlineStr">
        <is>
          <t>V̅MMCCXXXIX</t>
        </is>
      </c>
      <c r="C7240">
        <f>ROMAN(7239)</f>
        <v/>
      </c>
      <c r="D7240">
        <f>IF(B7240=C7240, "YES", "WRONG")</f>
        <v/>
      </c>
    </row>
    <row r="7241">
      <c r="A7241" t="n">
        <v>7240</v>
      </c>
      <c r="B7241" t="inlineStr">
        <is>
          <t>V̅MMCCXL</t>
        </is>
      </c>
      <c r="C7241">
        <f>ROMAN(7240)</f>
        <v/>
      </c>
      <c r="D7241">
        <f>IF(B7241=C7241, "YES", "WRONG")</f>
        <v/>
      </c>
    </row>
    <row r="7242">
      <c r="A7242" t="n">
        <v>7241</v>
      </c>
      <c r="B7242" t="inlineStr">
        <is>
          <t>V̅MMCCXLI</t>
        </is>
      </c>
      <c r="C7242">
        <f>ROMAN(7241)</f>
        <v/>
      </c>
      <c r="D7242">
        <f>IF(B7242=C7242, "YES", "WRONG")</f>
        <v/>
      </c>
    </row>
    <row r="7243">
      <c r="A7243" t="n">
        <v>7242</v>
      </c>
      <c r="B7243" t="inlineStr">
        <is>
          <t>V̅MMCCXLII</t>
        </is>
      </c>
      <c r="C7243">
        <f>ROMAN(7242)</f>
        <v/>
      </c>
      <c r="D7243">
        <f>IF(B7243=C7243, "YES", "WRONG")</f>
        <v/>
      </c>
    </row>
    <row r="7244">
      <c r="A7244" t="n">
        <v>7243</v>
      </c>
      <c r="B7244" t="inlineStr">
        <is>
          <t>V̅MMCCXLIII</t>
        </is>
      </c>
      <c r="C7244">
        <f>ROMAN(7243)</f>
        <v/>
      </c>
      <c r="D7244">
        <f>IF(B7244=C7244, "YES", "WRONG")</f>
        <v/>
      </c>
    </row>
    <row r="7245">
      <c r="A7245" t="n">
        <v>7244</v>
      </c>
      <c r="B7245" t="inlineStr">
        <is>
          <t>V̅MMCCXLIV</t>
        </is>
      </c>
      <c r="C7245">
        <f>ROMAN(7244)</f>
        <v/>
      </c>
      <c r="D7245">
        <f>IF(B7245=C7245, "YES", "WRONG")</f>
        <v/>
      </c>
    </row>
    <row r="7246">
      <c r="A7246" t="n">
        <v>7245</v>
      </c>
      <c r="B7246" t="inlineStr">
        <is>
          <t>V̅MMCCXLV</t>
        </is>
      </c>
      <c r="C7246">
        <f>ROMAN(7245)</f>
        <v/>
      </c>
      <c r="D7246">
        <f>IF(B7246=C7246, "YES", "WRONG")</f>
        <v/>
      </c>
    </row>
    <row r="7247">
      <c r="A7247" t="n">
        <v>7246</v>
      </c>
      <c r="B7247" t="inlineStr">
        <is>
          <t>V̅MMCCXLVI</t>
        </is>
      </c>
      <c r="C7247">
        <f>ROMAN(7246)</f>
        <v/>
      </c>
      <c r="D7247">
        <f>IF(B7247=C7247, "YES", "WRONG")</f>
        <v/>
      </c>
    </row>
    <row r="7248">
      <c r="A7248" t="n">
        <v>7247</v>
      </c>
      <c r="B7248" t="inlineStr">
        <is>
          <t>V̅MMCCXLVII</t>
        </is>
      </c>
      <c r="C7248">
        <f>ROMAN(7247)</f>
        <v/>
      </c>
      <c r="D7248">
        <f>IF(B7248=C7248, "YES", "WRONG")</f>
        <v/>
      </c>
    </row>
    <row r="7249">
      <c r="A7249" t="n">
        <v>7248</v>
      </c>
      <c r="B7249" t="inlineStr">
        <is>
          <t>V̅MMCCXLVIII</t>
        </is>
      </c>
      <c r="C7249">
        <f>ROMAN(7248)</f>
        <v/>
      </c>
      <c r="D7249">
        <f>IF(B7249=C7249, "YES", "WRONG")</f>
        <v/>
      </c>
    </row>
    <row r="7250">
      <c r="A7250" t="n">
        <v>7249</v>
      </c>
      <c r="B7250" t="inlineStr">
        <is>
          <t>V̅MMCCXLIX</t>
        </is>
      </c>
      <c r="C7250">
        <f>ROMAN(7249)</f>
        <v/>
      </c>
      <c r="D7250">
        <f>IF(B7250=C7250, "YES", "WRONG")</f>
        <v/>
      </c>
    </row>
    <row r="7251">
      <c r="A7251" t="n">
        <v>7250</v>
      </c>
      <c r="B7251" t="inlineStr">
        <is>
          <t>V̅MMCCL</t>
        </is>
      </c>
      <c r="C7251">
        <f>ROMAN(7250)</f>
        <v/>
      </c>
      <c r="D7251">
        <f>IF(B7251=C7251, "YES", "WRONG")</f>
        <v/>
      </c>
    </row>
    <row r="7252">
      <c r="A7252" t="n">
        <v>7251</v>
      </c>
      <c r="B7252" t="inlineStr">
        <is>
          <t>V̅MMCCLI</t>
        </is>
      </c>
      <c r="C7252">
        <f>ROMAN(7251)</f>
        <v/>
      </c>
      <c r="D7252">
        <f>IF(B7252=C7252, "YES", "WRONG")</f>
        <v/>
      </c>
    </row>
    <row r="7253">
      <c r="A7253" t="n">
        <v>7252</v>
      </c>
      <c r="B7253" t="inlineStr">
        <is>
          <t>V̅MMCCLII</t>
        </is>
      </c>
      <c r="C7253">
        <f>ROMAN(7252)</f>
        <v/>
      </c>
      <c r="D7253">
        <f>IF(B7253=C7253, "YES", "WRONG")</f>
        <v/>
      </c>
    </row>
    <row r="7254">
      <c r="A7254" t="n">
        <v>7253</v>
      </c>
      <c r="B7254" t="inlineStr">
        <is>
          <t>V̅MMCCLIII</t>
        </is>
      </c>
      <c r="C7254">
        <f>ROMAN(7253)</f>
        <v/>
      </c>
      <c r="D7254">
        <f>IF(B7254=C7254, "YES", "WRONG")</f>
        <v/>
      </c>
    </row>
    <row r="7255">
      <c r="A7255" t="n">
        <v>7254</v>
      </c>
      <c r="B7255" t="inlineStr">
        <is>
          <t>V̅MMCCLIV</t>
        </is>
      </c>
      <c r="C7255">
        <f>ROMAN(7254)</f>
        <v/>
      </c>
      <c r="D7255">
        <f>IF(B7255=C7255, "YES", "WRONG")</f>
        <v/>
      </c>
    </row>
    <row r="7256">
      <c r="A7256" t="n">
        <v>7255</v>
      </c>
      <c r="B7256" t="inlineStr">
        <is>
          <t>V̅MMCCLV</t>
        </is>
      </c>
      <c r="C7256">
        <f>ROMAN(7255)</f>
        <v/>
      </c>
      <c r="D7256">
        <f>IF(B7256=C7256, "YES", "WRONG")</f>
        <v/>
      </c>
    </row>
    <row r="7257">
      <c r="A7257" t="n">
        <v>7256</v>
      </c>
      <c r="B7257" t="inlineStr">
        <is>
          <t>V̅MMCCLVI</t>
        </is>
      </c>
      <c r="C7257">
        <f>ROMAN(7256)</f>
        <v/>
      </c>
      <c r="D7257">
        <f>IF(B7257=C7257, "YES", "WRONG")</f>
        <v/>
      </c>
    </row>
    <row r="7258">
      <c r="A7258" t="n">
        <v>7257</v>
      </c>
      <c r="B7258" t="inlineStr">
        <is>
          <t>V̅MMCCLVII</t>
        </is>
      </c>
      <c r="C7258">
        <f>ROMAN(7257)</f>
        <v/>
      </c>
      <c r="D7258">
        <f>IF(B7258=C7258, "YES", "WRONG")</f>
        <v/>
      </c>
    </row>
    <row r="7259">
      <c r="A7259" t="n">
        <v>7258</v>
      </c>
      <c r="B7259" t="inlineStr">
        <is>
          <t>V̅MMCCLVIII</t>
        </is>
      </c>
      <c r="C7259">
        <f>ROMAN(7258)</f>
        <v/>
      </c>
      <c r="D7259">
        <f>IF(B7259=C7259, "YES", "WRONG")</f>
        <v/>
      </c>
    </row>
    <row r="7260">
      <c r="A7260" t="n">
        <v>7259</v>
      </c>
      <c r="B7260" t="inlineStr">
        <is>
          <t>V̅MMCCLIX</t>
        </is>
      </c>
      <c r="C7260">
        <f>ROMAN(7259)</f>
        <v/>
      </c>
      <c r="D7260">
        <f>IF(B7260=C7260, "YES", "WRONG")</f>
        <v/>
      </c>
    </row>
    <row r="7261">
      <c r="A7261" t="n">
        <v>7260</v>
      </c>
      <c r="B7261" t="inlineStr">
        <is>
          <t>V̅MMCCLX</t>
        </is>
      </c>
      <c r="C7261">
        <f>ROMAN(7260)</f>
        <v/>
      </c>
      <c r="D7261">
        <f>IF(B7261=C7261, "YES", "WRONG")</f>
        <v/>
      </c>
    </row>
    <row r="7262">
      <c r="A7262" t="n">
        <v>7261</v>
      </c>
      <c r="B7262" t="inlineStr">
        <is>
          <t>V̅MMCCLXI</t>
        </is>
      </c>
      <c r="C7262">
        <f>ROMAN(7261)</f>
        <v/>
      </c>
      <c r="D7262">
        <f>IF(B7262=C7262, "YES", "WRONG")</f>
        <v/>
      </c>
    </row>
    <row r="7263">
      <c r="A7263" t="n">
        <v>7262</v>
      </c>
      <c r="B7263" t="inlineStr">
        <is>
          <t>V̅MMCCLXII</t>
        </is>
      </c>
      <c r="C7263">
        <f>ROMAN(7262)</f>
        <v/>
      </c>
      <c r="D7263">
        <f>IF(B7263=C7263, "YES", "WRONG")</f>
        <v/>
      </c>
    </row>
    <row r="7264">
      <c r="A7264" t="n">
        <v>7263</v>
      </c>
      <c r="B7264" t="inlineStr">
        <is>
          <t>V̅MMCCLXIII</t>
        </is>
      </c>
      <c r="C7264">
        <f>ROMAN(7263)</f>
        <v/>
      </c>
      <c r="D7264">
        <f>IF(B7264=C7264, "YES", "WRONG")</f>
        <v/>
      </c>
    </row>
    <row r="7265">
      <c r="A7265" t="n">
        <v>7264</v>
      </c>
      <c r="B7265" t="inlineStr">
        <is>
          <t>V̅MMCCLXIV</t>
        </is>
      </c>
      <c r="C7265">
        <f>ROMAN(7264)</f>
        <v/>
      </c>
      <c r="D7265">
        <f>IF(B7265=C7265, "YES", "WRONG")</f>
        <v/>
      </c>
    </row>
    <row r="7266">
      <c r="A7266" t="n">
        <v>7265</v>
      </c>
      <c r="B7266" t="inlineStr">
        <is>
          <t>V̅MMCCLXV</t>
        </is>
      </c>
      <c r="C7266">
        <f>ROMAN(7265)</f>
        <v/>
      </c>
      <c r="D7266">
        <f>IF(B7266=C7266, "YES", "WRONG")</f>
        <v/>
      </c>
    </row>
    <row r="7267">
      <c r="A7267" t="n">
        <v>7266</v>
      </c>
      <c r="B7267" t="inlineStr">
        <is>
          <t>V̅MMCCLXVI</t>
        </is>
      </c>
      <c r="C7267">
        <f>ROMAN(7266)</f>
        <v/>
      </c>
      <c r="D7267">
        <f>IF(B7267=C7267, "YES", "WRONG")</f>
        <v/>
      </c>
    </row>
    <row r="7268">
      <c r="A7268" t="n">
        <v>7267</v>
      </c>
      <c r="B7268" t="inlineStr">
        <is>
          <t>V̅MMCCLXVII</t>
        </is>
      </c>
      <c r="C7268">
        <f>ROMAN(7267)</f>
        <v/>
      </c>
      <c r="D7268">
        <f>IF(B7268=C7268, "YES", "WRONG")</f>
        <v/>
      </c>
    </row>
    <row r="7269">
      <c r="A7269" t="n">
        <v>7268</v>
      </c>
      <c r="B7269" t="inlineStr">
        <is>
          <t>V̅MMCCLXVIII</t>
        </is>
      </c>
      <c r="C7269">
        <f>ROMAN(7268)</f>
        <v/>
      </c>
      <c r="D7269">
        <f>IF(B7269=C7269, "YES", "WRONG")</f>
        <v/>
      </c>
    </row>
    <row r="7270">
      <c r="A7270" t="n">
        <v>7269</v>
      </c>
      <c r="B7270" t="inlineStr">
        <is>
          <t>V̅MMCCLXIX</t>
        </is>
      </c>
      <c r="C7270">
        <f>ROMAN(7269)</f>
        <v/>
      </c>
      <c r="D7270">
        <f>IF(B7270=C7270, "YES", "WRONG")</f>
        <v/>
      </c>
    </row>
    <row r="7271">
      <c r="A7271" t="n">
        <v>7270</v>
      </c>
      <c r="B7271" t="inlineStr">
        <is>
          <t>V̅MMCCLXX</t>
        </is>
      </c>
      <c r="C7271">
        <f>ROMAN(7270)</f>
        <v/>
      </c>
      <c r="D7271">
        <f>IF(B7271=C7271, "YES", "WRONG")</f>
        <v/>
      </c>
    </row>
    <row r="7272">
      <c r="A7272" t="n">
        <v>7271</v>
      </c>
      <c r="B7272" t="inlineStr">
        <is>
          <t>V̅MMCCLXXI</t>
        </is>
      </c>
      <c r="C7272">
        <f>ROMAN(7271)</f>
        <v/>
      </c>
      <c r="D7272">
        <f>IF(B7272=C7272, "YES", "WRONG")</f>
        <v/>
      </c>
    </row>
    <row r="7273">
      <c r="A7273" t="n">
        <v>7272</v>
      </c>
      <c r="B7273" t="inlineStr">
        <is>
          <t>V̅MMCCLXXII</t>
        </is>
      </c>
      <c r="C7273">
        <f>ROMAN(7272)</f>
        <v/>
      </c>
      <c r="D7273">
        <f>IF(B7273=C7273, "YES", "WRONG")</f>
        <v/>
      </c>
    </row>
    <row r="7274">
      <c r="A7274" t="n">
        <v>7273</v>
      </c>
      <c r="B7274" t="inlineStr">
        <is>
          <t>V̅MMCCLXXIII</t>
        </is>
      </c>
      <c r="C7274">
        <f>ROMAN(7273)</f>
        <v/>
      </c>
      <c r="D7274">
        <f>IF(B7274=C7274, "YES", "WRONG")</f>
        <v/>
      </c>
    </row>
    <row r="7275">
      <c r="A7275" t="n">
        <v>7274</v>
      </c>
      <c r="B7275" t="inlineStr">
        <is>
          <t>V̅MMCCLXXIV</t>
        </is>
      </c>
      <c r="C7275">
        <f>ROMAN(7274)</f>
        <v/>
      </c>
      <c r="D7275">
        <f>IF(B7275=C7275, "YES", "WRONG")</f>
        <v/>
      </c>
    </row>
    <row r="7276">
      <c r="A7276" t="n">
        <v>7275</v>
      </c>
      <c r="B7276" t="inlineStr">
        <is>
          <t>V̅MMCCLXXV</t>
        </is>
      </c>
      <c r="C7276">
        <f>ROMAN(7275)</f>
        <v/>
      </c>
      <c r="D7276">
        <f>IF(B7276=C7276, "YES", "WRONG")</f>
        <v/>
      </c>
    </row>
    <row r="7277">
      <c r="A7277" t="n">
        <v>7276</v>
      </c>
      <c r="B7277" t="inlineStr">
        <is>
          <t>V̅MMCCLXXVI</t>
        </is>
      </c>
      <c r="C7277">
        <f>ROMAN(7276)</f>
        <v/>
      </c>
      <c r="D7277">
        <f>IF(B7277=C7277, "YES", "WRONG")</f>
        <v/>
      </c>
    </row>
    <row r="7278">
      <c r="A7278" t="n">
        <v>7277</v>
      </c>
      <c r="B7278" t="inlineStr">
        <is>
          <t>V̅MMCCLXXVII</t>
        </is>
      </c>
      <c r="C7278">
        <f>ROMAN(7277)</f>
        <v/>
      </c>
      <c r="D7278">
        <f>IF(B7278=C7278, "YES", "WRONG")</f>
        <v/>
      </c>
    </row>
    <row r="7279">
      <c r="A7279" t="n">
        <v>7278</v>
      </c>
      <c r="B7279" t="inlineStr">
        <is>
          <t>V̅MMCCLXXVIII</t>
        </is>
      </c>
      <c r="C7279">
        <f>ROMAN(7278)</f>
        <v/>
      </c>
      <c r="D7279">
        <f>IF(B7279=C7279, "YES", "WRONG")</f>
        <v/>
      </c>
    </row>
    <row r="7280">
      <c r="A7280" t="n">
        <v>7279</v>
      </c>
      <c r="B7280" t="inlineStr">
        <is>
          <t>V̅MMCCLXXIX</t>
        </is>
      </c>
      <c r="C7280">
        <f>ROMAN(7279)</f>
        <v/>
      </c>
      <c r="D7280">
        <f>IF(B7280=C7280, "YES", "WRONG")</f>
        <v/>
      </c>
    </row>
    <row r="7281">
      <c r="A7281" t="n">
        <v>7280</v>
      </c>
      <c r="B7281" t="inlineStr">
        <is>
          <t>V̅MMCCLXXX</t>
        </is>
      </c>
      <c r="C7281">
        <f>ROMAN(7280)</f>
        <v/>
      </c>
      <c r="D7281">
        <f>IF(B7281=C7281, "YES", "WRONG")</f>
        <v/>
      </c>
    </row>
    <row r="7282">
      <c r="A7282" t="n">
        <v>7281</v>
      </c>
      <c r="B7282" t="inlineStr">
        <is>
          <t>V̅MMCCLXXXI</t>
        </is>
      </c>
      <c r="C7282">
        <f>ROMAN(7281)</f>
        <v/>
      </c>
      <c r="D7282">
        <f>IF(B7282=C7282, "YES", "WRONG")</f>
        <v/>
      </c>
    </row>
    <row r="7283">
      <c r="A7283" t="n">
        <v>7282</v>
      </c>
      <c r="B7283" t="inlineStr">
        <is>
          <t>V̅MMCCLXXXII</t>
        </is>
      </c>
      <c r="C7283">
        <f>ROMAN(7282)</f>
        <v/>
      </c>
      <c r="D7283">
        <f>IF(B7283=C7283, "YES", "WRONG")</f>
        <v/>
      </c>
    </row>
    <row r="7284">
      <c r="A7284" t="n">
        <v>7283</v>
      </c>
      <c r="B7284" t="inlineStr">
        <is>
          <t>V̅MMCCLXXXIII</t>
        </is>
      </c>
      <c r="C7284">
        <f>ROMAN(7283)</f>
        <v/>
      </c>
      <c r="D7284">
        <f>IF(B7284=C7284, "YES", "WRONG")</f>
        <v/>
      </c>
    </row>
    <row r="7285">
      <c r="A7285" t="n">
        <v>7284</v>
      </c>
      <c r="B7285" t="inlineStr">
        <is>
          <t>V̅MMCCLXXXIV</t>
        </is>
      </c>
      <c r="C7285">
        <f>ROMAN(7284)</f>
        <v/>
      </c>
      <c r="D7285">
        <f>IF(B7285=C7285, "YES", "WRONG")</f>
        <v/>
      </c>
    </row>
    <row r="7286">
      <c r="A7286" t="n">
        <v>7285</v>
      </c>
      <c r="B7286" t="inlineStr">
        <is>
          <t>V̅MMCCLXXXV</t>
        </is>
      </c>
      <c r="C7286">
        <f>ROMAN(7285)</f>
        <v/>
      </c>
      <c r="D7286">
        <f>IF(B7286=C7286, "YES", "WRONG")</f>
        <v/>
      </c>
    </row>
    <row r="7287">
      <c r="A7287" t="n">
        <v>7286</v>
      </c>
      <c r="B7287" t="inlineStr">
        <is>
          <t>V̅MMCCLXXXVI</t>
        </is>
      </c>
      <c r="C7287">
        <f>ROMAN(7286)</f>
        <v/>
      </c>
      <c r="D7287">
        <f>IF(B7287=C7287, "YES", "WRONG")</f>
        <v/>
      </c>
    </row>
    <row r="7288">
      <c r="A7288" t="n">
        <v>7287</v>
      </c>
      <c r="B7288" t="inlineStr">
        <is>
          <t>V̅MMCCLXXXVII</t>
        </is>
      </c>
      <c r="C7288">
        <f>ROMAN(7287)</f>
        <v/>
      </c>
      <c r="D7288">
        <f>IF(B7288=C7288, "YES", "WRONG")</f>
        <v/>
      </c>
    </row>
    <row r="7289">
      <c r="A7289" t="n">
        <v>7288</v>
      </c>
      <c r="B7289" t="inlineStr">
        <is>
          <t>V̅MMCCLXXXVIII</t>
        </is>
      </c>
      <c r="C7289">
        <f>ROMAN(7288)</f>
        <v/>
      </c>
      <c r="D7289">
        <f>IF(B7289=C7289, "YES", "WRONG")</f>
        <v/>
      </c>
    </row>
    <row r="7290">
      <c r="A7290" t="n">
        <v>7289</v>
      </c>
      <c r="B7290" t="inlineStr">
        <is>
          <t>V̅MMCCLXXXIX</t>
        </is>
      </c>
      <c r="C7290">
        <f>ROMAN(7289)</f>
        <v/>
      </c>
      <c r="D7290">
        <f>IF(B7290=C7290, "YES", "WRONG")</f>
        <v/>
      </c>
    </row>
    <row r="7291">
      <c r="A7291" t="n">
        <v>7290</v>
      </c>
      <c r="B7291" t="inlineStr">
        <is>
          <t>V̅MMCCXC</t>
        </is>
      </c>
      <c r="C7291">
        <f>ROMAN(7290)</f>
        <v/>
      </c>
      <c r="D7291">
        <f>IF(B7291=C7291, "YES", "WRONG")</f>
        <v/>
      </c>
    </row>
    <row r="7292">
      <c r="A7292" t="n">
        <v>7291</v>
      </c>
      <c r="B7292" t="inlineStr">
        <is>
          <t>V̅MMCCXCI</t>
        </is>
      </c>
      <c r="C7292">
        <f>ROMAN(7291)</f>
        <v/>
      </c>
      <c r="D7292">
        <f>IF(B7292=C7292, "YES", "WRONG")</f>
        <v/>
      </c>
    </row>
    <row r="7293">
      <c r="A7293" t="n">
        <v>7292</v>
      </c>
      <c r="B7293" t="inlineStr">
        <is>
          <t>V̅MMCCXCII</t>
        </is>
      </c>
      <c r="C7293">
        <f>ROMAN(7292)</f>
        <v/>
      </c>
      <c r="D7293">
        <f>IF(B7293=C7293, "YES", "WRONG")</f>
        <v/>
      </c>
    </row>
    <row r="7294">
      <c r="A7294" t="n">
        <v>7293</v>
      </c>
      <c r="B7294" t="inlineStr">
        <is>
          <t>V̅MMCCXCIII</t>
        </is>
      </c>
      <c r="C7294">
        <f>ROMAN(7293)</f>
        <v/>
      </c>
      <c r="D7294">
        <f>IF(B7294=C7294, "YES", "WRONG")</f>
        <v/>
      </c>
    </row>
    <row r="7295">
      <c r="A7295" t="n">
        <v>7294</v>
      </c>
      <c r="B7295" t="inlineStr">
        <is>
          <t>V̅MMCCXCIV</t>
        </is>
      </c>
      <c r="C7295">
        <f>ROMAN(7294)</f>
        <v/>
      </c>
      <c r="D7295">
        <f>IF(B7295=C7295, "YES", "WRONG")</f>
        <v/>
      </c>
    </row>
    <row r="7296">
      <c r="A7296" t="n">
        <v>7295</v>
      </c>
      <c r="B7296" t="inlineStr">
        <is>
          <t>V̅MMCCXCV</t>
        </is>
      </c>
      <c r="C7296">
        <f>ROMAN(7295)</f>
        <v/>
      </c>
      <c r="D7296">
        <f>IF(B7296=C7296, "YES", "WRONG")</f>
        <v/>
      </c>
    </row>
    <row r="7297">
      <c r="A7297" t="n">
        <v>7296</v>
      </c>
      <c r="B7297" t="inlineStr">
        <is>
          <t>V̅MMCCXCVI</t>
        </is>
      </c>
      <c r="C7297">
        <f>ROMAN(7296)</f>
        <v/>
      </c>
      <c r="D7297">
        <f>IF(B7297=C7297, "YES", "WRONG")</f>
        <v/>
      </c>
    </row>
    <row r="7298">
      <c r="A7298" t="n">
        <v>7297</v>
      </c>
      <c r="B7298" t="inlineStr">
        <is>
          <t>V̅MMCCXCVII</t>
        </is>
      </c>
      <c r="C7298">
        <f>ROMAN(7297)</f>
        <v/>
      </c>
      <c r="D7298">
        <f>IF(B7298=C7298, "YES", "WRONG")</f>
        <v/>
      </c>
    </row>
    <row r="7299">
      <c r="A7299" t="n">
        <v>7298</v>
      </c>
      <c r="B7299" t="inlineStr">
        <is>
          <t>V̅MMCCXCVIII</t>
        </is>
      </c>
      <c r="C7299">
        <f>ROMAN(7298)</f>
        <v/>
      </c>
      <c r="D7299">
        <f>IF(B7299=C7299, "YES", "WRONG")</f>
        <v/>
      </c>
    </row>
    <row r="7300">
      <c r="A7300" t="n">
        <v>7299</v>
      </c>
      <c r="B7300" t="inlineStr">
        <is>
          <t>V̅MMCCXCIX</t>
        </is>
      </c>
      <c r="C7300">
        <f>ROMAN(7299)</f>
        <v/>
      </c>
      <c r="D7300">
        <f>IF(B7300=C7300, "YES", "WRONG")</f>
        <v/>
      </c>
    </row>
    <row r="7301">
      <c r="A7301" t="n">
        <v>7300</v>
      </c>
      <c r="B7301" t="inlineStr">
        <is>
          <t>V̅MMCCC</t>
        </is>
      </c>
      <c r="C7301">
        <f>ROMAN(7300)</f>
        <v/>
      </c>
      <c r="D7301">
        <f>IF(B7301=C7301, "YES", "WRONG")</f>
        <v/>
      </c>
    </row>
    <row r="7302">
      <c r="A7302" t="n">
        <v>7301</v>
      </c>
      <c r="B7302" t="inlineStr">
        <is>
          <t>V̅MMCCCI</t>
        </is>
      </c>
      <c r="C7302">
        <f>ROMAN(7301)</f>
        <v/>
      </c>
      <c r="D7302">
        <f>IF(B7302=C7302, "YES", "WRONG")</f>
        <v/>
      </c>
    </row>
    <row r="7303">
      <c r="A7303" t="n">
        <v>7302</v>
      </c>
      <c r="B7303" t="inlineStr">
        <is>
          <t>V̅MMCCCII</t>
        </is>
      </c>
      <c r="C7303">
        <f>ROMAN(7302)</f>
        <v/>
      </c>
      <c r="D7303">
        <f>IF(B7303=C7303, "YES", "WRONG")</f>
        <v/>
      </c>
    </row>
    <row r="7304">
      <c r="A7304" t="n">
        <v>7303</v>
      </c>
      <c r="B7304" t="inlineStr">
        <is>
          <t>V̅MMCCCIII</t>
        </is>
      </c>
      <c r="C7304">
        <f>ROMAN(7303)</f>
        <v/>
      </c>
      <c r="D7304">
        <f>IF(B7304=C7304, "YES", "WRONG")</f>
        <v/>
      </c>
    </row>
    <row r="7305">
      <c r="A7305" t="n">
        <v>7304</v>
      </c>
      <c r="B7305" t="inlineStr">
        <is>
          <t>V̅MMCCCIV</t>
        </is>
      </c>
      <c r="C7305">
        <f>ROMAN(7304)</f>
        <v/>
      </c>
      <c r="D7305">
        <f>IF(B7305=C7305, "YES", "WRONG")</f>
        <v/>
      </c>
    </row>
    <row r="7306">
      <c r="A7306" t="n">
        <v>7305</v>
      </c>
      <c r="B7306" t="inlineStr">
        <is>
          <t>V̅MMCCCV</t>
        </is>
      </c>
      <c r="C7306">
        <f>ROMAN(7305)</f>
        <v/>
      </c>
      <c r="D7306">
        <f>IF(B7306=C7306, "YES", "WRONG")</f>
        <v/>
      </c>
    </row>
    <row r="7307">
      <c r="A7307" t="n">
        <v>7306</v>
      </c>
      <c r="B7307" t="inlineStr">
        <is>
          <t>V̅MMCCCVI</t>
        </is>
      </c>
      <c r="C7307">
        <f>ROMAN(7306)</f>
        <v/>
      </c>
      <c r="D7307">
        <f>IF(B7307=C7307, "YES", "WRONG")</f>
        <v/>
      </c>
    </row>
    <row r="7308">
      <c r="A7308" t="n">
        <v>7307</v>
      </c>
      <c r="B7308" t="inlineStr">
        <is>
          <t>V̅MMCCCVII</t>
        </is>
      </c>
      <c r="C7308">
        <f>ROMAN(7307)</f>
        <v/>
      </c>
      <c r="D7308">
        <f>IF(B7308=C7308, "YES", "WRONG")</f>
        <v/>
      </c>
    </row>
    <row r="7309">
      <c r="A7309" t="n">
        <v>7308</v>
      </c>
      <c r="B7309" t="inlineStr">
        <is>
          <t>V̅MMCCCVIII</t>
        </is>
      </c>
      <c r="C7309">
        <f>ROMAN(7308)</f>
        <v/>
      </c>
      <c r="D7309">
        <f>IF(B7309=C7309, "YES", "WRONG")</f>
        <v/>
      </c>
    </row>
    <row r="7310">
      <c r="A7310" t="n">
        <v>7309</v>
      </c>
      <c r="B7310" t="inlineStr">
        <is>
          <t>V̅MMCCCIX</t>
        </is>
      </c>
      <c r="C7310">
        <f>ROMAN(7309)</f>
        <v/>
      </c>
      <c r="D7310">
        <f>IF(B7310=C7310, "YES", "WRONG")</f>
        <v/>
      </c>
    </row>
    <row r="7311">
      <c r="A7311" t="n">
        <v>7310</v>
      </c>
      <c r="B7311" t="inlineStr">
        <is>
          <t>V̅MMCCCX</t>
        </is>
      </c>
      <c r="C7311">
        <f>ROMAN(7310)</f>
        <v/>
      </c>
      <c r="D7311">
        <f>IF(B7311=C7311, "YES", "WRONG")</f>
        <v/>
      </c>
    </row>
    <row r="7312">
      <c r="A7312" t="n">
        <v>7311</v>
      </c>
      <c r="B7312" t="inlineStr">
        <is>
          <t>V̅MMCCCXI</t>
        </is>
      </c>
      <c r="C7312">
        <f>ROMAN(7311)</f>
        <v/>
      </c>
      <c r="D7312">
        <f>IF(B7312=C7312, "YES", "WRONG")</f>
        <v/>
      </c>
    </row>
    <row r="7313">
      <c r="A7313" t="n">
        <v>7312</v>
      </c>
      <c r="B7313" t="inlineStr">
        <is>
          <t>V̅MMCCCXII</t>
        </is>
      </c>
      <c r="C7313">
        <f>ROMAN(7312)</f>
        <v/>
      </c>
      <c r="D7313">
        <f>IF(B7313=C7313, "YES", "WRONG")</f>
        <v/>
      </c>
    </row>
    <row r="7314">
      <c r="A7314" t="n">
        <v>7313</v>
      </c>
      <c r="B7314" t="inlineStr">
        <is>
          <t>V̅MMCCCXIII</t>
        </is>
      </c>
      <c r="C7314">
        <f>ROMAN(7313)</f>
        <v/>
      </c>
      <c r="D7314">
        <f>IF(B7314=C7314, "YES", "WRONG")</f>
        <v/>
      </c>
    </row>
    <row r="7315">
      <c r="A7315" t="n">
        <v>7314</v>
      </c>
      <c r="B7315" t="inlineStr">
        <is>
          <t>V̅MMCCCXIV</t>
        </is>
      </c>
      <c r="C7315">
        <f>ROMAN(7314)</f>
        <v/>
      </c>
      <c r="D7315">
        <f>IF(B7315=C7315, "YES", "WRONG")</f>
        <v/>
      </c>
    </row>
    <row r="7316">
      <c r="A7316" t="n">
        <v>7315</v>
      </c>
      <c r="B7316" t="inlineStr">
        <is>
          <t>V̅MMCCCXV</t>
        </is>
      </c>
      <c r="C7316">
        <f>ROMAN(7315)</f>
        <v/>
      </c>
      <c r="D7316">
        <f>IF(B7316=C7316, "YES", "WRONG")</f>
        <v/>
      </c>
    </row>
    <row r="7317">
      <c r="A7317" t="n">
        <v>7316</v>
      </c>
      <c r="B7317" t="inlineStr">
        <is>
          <t>V̅MMCCCXVI</t>
        </is>
      </c>
      <c r="C7317">
        <f>ROMAN(7316)</f>
        <v/>
      </c>
      <c r="D7317">
        <f>IF(B7317=C7317, "YES", "WRONG")</f>
        <v/>
      </c>
    </row>
    <row r="7318">
      <c r="A7318" t="n">
        <v>7317</v>
      </c>
      <c r="B7318" t="inlineStr">
        <is>
          <t>V̅MMCCCXVII</t>
        </is>
      </c>
      <c r="C7318">
        <f>ROMAN(7317)</f>
        <v/>
      </c>
      <c r="D7318">
        <f>IF(B7318=C7318, "YES", "WRONG")</f>
        <v/>
      </c>
    </row>
    <row r="7319">
      <c r="A7319" t="n">
        <v>7318</v>
      </c>
      <c r="B7319" t="inlineStr">
        <is>
          <t>V̅MMCCCXVIII</t>
        </is>
      </c>
      <c r="C7319">
        <f>ROMAN(7318)</f>
        <v/>
      </c>
      <c r="D7319">
        <f>IF(B7319=C7319, "YES", "WRONG")</f>
        <v/>
      </c>
    </row>
    <row r="7320">
      <c r="A7320" t="n">
        <v>7319</v>
      </c>
      <c r="B7320" t="inlineStr">
        <is>
          <t>V̅MMCCCXIX</t>
        </is>
      </c>
      <c r="C7320">
        <f>ROMAN(7319)</f>
        <v/>
      </c>
      <c r="D7320">
        <f>IF(B7320=C7320, "YES", "WRONG")</f>
        <v/>
      </c>
    </row>
    <row r="7321">
      <c r="A7321" t="n">
        <v>7320</v>
      </c>
      <c r="B7321" t="inlineStr">
        <is>
          <t>V̅MMCCCXX</t>
        </is>
      </c>
      <c r="C7321">
        <f>ROMAN(7320)</f>
        <v/>
      </c>
      <c r="D7321">
        <f>IF(B7321=C7321, "YES", "WRONG")</f>
        <v/>
      </c>
    </row>
    <row r="7322">
      <c r="A7322" t="n">
        <v>7321</v>
      </c>
      <c r="B7322" t="inlineStr">
        <is>
          <t>V̅MMCCCXXI</t>
        </is>
      </c>
      <c r="C7322">
        <f>ROMAN(7321)</f>
        <v/>
      </c>
      <c r="D7322">
        <f>IF(B7322=C7322, "YES", "WRONG")</f>
        <v/>
      </c>
    </row>
    <row r="7323">
      <c r="A7323" t="n">
        <v>7322</v>
      </c>
      <c r="B7323" t="inlineStr">
        <is>
          <t>V̅MMCCCXXII</t>
        </is>
      </c>
      <c r="C7323">
        <f>ROMAN(7322)</f>
        <v/>
      </c>
      <c r="D7323">
        <f>IF(B7323=C7323, "YES", "WRONG")</f>
        <v/>
      </c>
    </row>
    <row r="7324">
      <c r="A7324" t="n">
        <v>7323</v>
      </c>
      <c r="B7324" t="inlineStr">
        <is>
          <t>V̅MMCCCXXIII</t>
        </is>
      </c>
      <c r="C7324">
        <f>ROMAN(7323)</f>
        <v/>
      </c>
      <c r="D7324">
        <f>IF(B7324=C7324, "YES", "WRONG")</f>
        <v/>
      </c>
    </row>
    <row r="7325">
      <c r="A7325" t="n">
        <v>7324</v>
      </c>
      <c r="B7325" t="inlineStr">
        <is>
          <t>V̅MMCCCXXIV</t>
        </is>
      </c>
      <c r="C7325">
        <f>ROMAN(7324)</f>
        <v/>
      </c>
      <c r="D7325">
        <f>IF(B7325=C7325, "YES", "WRONG")</f>
        <v/>
      </c>
    </row>
    <row r="7326">
      <c r="A7326" t="n">
        <v>7325</v>
      </c>
      <c r="B7326" t="inlineStr">
        <is>
          <t>V̅MMCCCXXV</t>
        </is>
      </c>
      <c r="C7326">
        <f>ROMAN(7325)</f>
        <v/>
      </c>
      <c r="D7326">
        <f>IF(B7326=C7326, "YES", "WRONG")</f>
        <v/>
      </c>
    </row>
    <row r="7327">
      <c r="A7327" t="n">
        <v>7326</v>
      </c>
      <c r="B7327" t="inlineStr">
        <is>
          <t>V̅MMCCCXXVI</t>
        </is>
      </c>
      <c r="C7327">
        <f>ROMAN(7326)</f>
        <v/>
      </c>
      <c r="D7327">
        <f>IF(B7327=C7327, "YES", "WRONG")</f>
        <v/>
      </c>
    </row>
    <row r="7328">
      <c r="A7328" t="n">
        <v>7327</v>
      </c>
      <c r="B7328" t="inlineStr">
        <is>
          <t>V̅MMCCCXXVII</t>
        </is>
      </c>
      <c r="C7328">
        <f>ROMAN(7327)</f>
        <v/>
      </c>
      <c r="D7328">
        <f>IF(B7328=C7328, "YES", "WRONG")</f>
        <v/>
      </c>
    </row>
    <row r="7329">
      <c r="A7329" t="n">
        <v>7328</v>
      </c>
      <c r="B7329" t="inlineStr">
        <is>
          <t>V̅MMCCCXXVIII</t>
        </is>
      </c>
      <c r="C7329">
        <f>ROMAN(7328)</f>
        <v/>
      </c>
      <c r="D7329">
        <f>IF(B7329=C7329, "YES", "WRONG")</f>
        <v/>
      </c>
    </row>
    <row r="7330">
      <c r="A7330" t="n">
        <v>7329</v>
      </c>
      <c r="B7330" t="inlineStr">
        <is>
          <t>V̅MMCCCXXIX</t>
        </is>
      </c>
      <c r="C7330">
        <f>ROMAN(7329)</f>
        <v/>
      </c>
      <c r="D7330">
        <f>IF(B7330=C7330, "YES", "WRONG")</f>
        <v/>
      </c>
    </row>
    <row r="7331">
      <c r="A7331" t="n">
        <v>7330</v>
      </c>
      <c r="B7331" t="inlineStr">
        <is>
          <t>V̅MMCCCXXX</t>
        </is>
      </c>
      <c r="C7331">
        <f>ROMAN(7330)</f>
        <v/>
      </c>
      <c r="D7331">
        <f>IF(B7331=C7331, "YES", "WRONG")</f>
        <v/>
      </c>
    </row>
    <row r="7332">
      <c r="A7332" t="n">
        <v>7331</v>
      </c>
      <c r="B7332" t="inlineStr">
        <is>
          <t>V̅MMCCCXXXI</t>
        </is>
      </c>
      <c r="C7332">
        <f>ROMAN(7331)</f>
        <v/>
      </c>
      <c r="D7332">
        <f>IF(B7332=C7332, "YES", "WRONG")</f>
        <v/>
      </c>
    </row>
    <row r="7333">
      <c r="A7333" t="n">
        <v>7332</v>
      </c>
      <c r="B7333" t="inlineStr">
        <is>
          <t>V̅MMCCCXXXII</t>
        </is>
      </c>
      <c r="C7333">
        <f>ROMAN(7332)</f>
        <v/>
      </c>
      <c r="D7333">
        <f>IF(B7333=C7333, "YES", "WRONG")</f>
        <v/>
      </c>
    </row>
    <row r="7334">
      <c r="A7334" t="n">
        <v>7333</v>
      </c>
      <c r="B7334" t="inlineStr">
        <is>
          <t>V̅MMCCCXXXIII</t>
        </is>
      </c>
      <c r="C7334">
        <f>ROMAN(7333)</f>
        <v/>
      </c>
      <c r="D7334">
        <f>IF(B7334=C7334, "YES", "WRONG")</f>
        <v/>
      </c>
    </row>
    <row r="7335">
      <c r="A7335" t="n">
        <v>7334</v>
      </c>
      <c r="B7335" t="inlineStr">
        <is>
          <t>V̅MMCCCXXXIV</t>
        </is>
      </c>
      <c r="C7335">
        <f>ROMAN(7334)</f>
        <v/>
      </c>
      <c r="D7335">
        <f>IF(B7335=C7335, "YES", "WRONG")</f>
        <v/>
      </c>
    </row>
    <row r="7336">
      <c r="A7336" t="n">
        <v>7335</v>
      </c>
      <c r="B7336" t="inlineStr">
        <is>
          <t>V̅MMCCCXXXV</t>
        </is>
      </c>
      <c r="C7336">
        <f>ROMAN(7335)</f>
        <v/>
      </c>
      <c r="D7336">
        <f>IF(B7336=C7336, "YES", "WRONG")</f>
        <v/>
      </c>
    </row>
    <row r="7337">
      <c r="A7337" t="n">
        <v>7336</v>
      </c>
      <c r="B7337" t="inlineStr">
        <is>
          <t>V̅MMCCCXXXVI</t>
        </is>
      </c>
      <c r="C7337">
        <f>ROMAN(7336)</f>
        <v/>
      </c>
      <c r="D7337">
        <f>IF(B7337=C7337, "YES", "WRONG")</f>
        <v/>
      </c>
    </row>
    <row r="7338">
      <c r="A7338" t="n">
        <v>7337</v>
      </c>
      <c r="B7338" t="inlineStr">
        <is>
          <t>V̅MMCCCXXXVII</t>
        </is>
      </c>
      <c r="C7338">
        <f>ROMAN(7337)</f>
        <v/>
      </c>
      <c r="D7338">
        <f>IF(B7338=C7338, "YES", "WRONG")</f>
        <v/>
      </c>
    </row>
    <row r="7339">
      <c r="A7339" t="n">
        <v>7338</v>
      </c>
      <c r="B7339" t="inlineStr">
        <is>
          <t>V̅MMCCCXXXVIII</t>
        </is>
      </c>
      <c r="C7339">
        <f>ROMAN(7338)</f>
        <v/>
      </c>
      <c r="D7339">
        <f>IF(B7339=C7339, "YES", "WRONG")</f>
        <v/>
      </c>
    </row>
    <row r="7340">
      <c r="A7340" t="n">
        <v>7339</v>
      </c>
      <c r="B7340" t="inlineStr">
        <is>
          <t>V̅MMCCCXXXIX</t>
        </is>
      </c>
      <c r="C7340">
        <f>ROMAN(7339)</f>
        <v/>
      </c>
      <c r="D7340">
        <f>IF(B7340=C7340, "YES", "WRONG")</f>
        <v/>
      </c>
    </row>
    <row r="7341">
      <c r="A7341" t="n">
        <v>7340</v>
      </c>
      <c r="B7341" t="inlineStr">
        <is>
          <t>V̅MMCCCXL</t>
        </is>
      </c>
      <c r="C7341">
        <f>ROMAN(7340)</f>
        <v/>
      </c>
      <c r="D7341">
        <f>IF(B7341=C7341, "YES", "WRONG")</f>
        <v/>
      </c>
    </row>
    <row r="7342">
      <c r="A7342" t="n">
        <v>7341</v>
      </c>
      <c r="B7342" t="inlineStr">
        <is>
          <t>V̅MMCCCXLI</t>
        </is>
      </c>
      <c r="C7342">
        <f>ROMAN(7341)</f>
        <v/>
      </c>
      <c r="D7342">
        <f>IF(B7342=C7342, "YES", "WRONG")</f>
        <v/>
      </c>
    </row>
    <row r="7343">
      <c r="A7343" t="n">
        <v>7342</v>
      </c>
      <c r="B7343" t="inlineStr">
        <is>
          <t>V̅MMCCCXLII</t>
        </is>
      </c>
      <c r="C7343">
        <f>ROMAN(7342)</f>
        <v/>
      </c>
      <c r="D7343">
        <f>IF(B7343=C7343, "YES", "WRONG")</f>
        <v/>
      </c>
    </row>
    <row r="7344">
      <c r="A7344" t="n">
        <v>7343</v>
      </c>
      <c r="B7344" t="inlineStr">
        <is>
          <t>V̅MMCCCXLIII</t>
        </is>
      </c>
      <c r="C7344">
        <f>ROMAN(7343)</f>
        <v/>
      </c>
      <c r="D7344">
        <f>IF(B7344=C7344, "YES", "WRONG")</f>
        <v/>
      </c>
    </row>
    <row r="7345">
      <c r="A7345" t="n">
        <v>7344</v>
      </c>
      <c r="B7345" t="inlineStr">
        <is>
          <t>V̅MMCCCXLIV</t>
        </is>
      </c>
      <c r="C7345">
        <f>ROMAN(7344)</f>
        <v/>
      </c>
      <c r="D7345">
        <f>IF(B7345=C7345, "YES", "WRONG")</f>
        <v/>
      </c>
    </row>
    <row r="7346">
      <c r="A7346" t="n">
        <v>7345</v>
      </c>
      <c r="B7346" t="inlineStr">
        <is>
          <t>V̅MMCCCXLV</t>
        </is>
      </c>
      <c r="C7346">
        <f>ROMAN(7345)</f>
        <v/>
      </c>
      <c r="D7346">
        <f>IF(B7346=C7346, "YES", "WRONG")</f>
        <v/>
      </c>
    </row>
    <row r="7347">
      <c r="A7347" t="n">
        <v>7346</v>
      </c>
      <c r="B7347" t="inlineStr">
        <is>
          <t>V̅MMCCCXLVI</t>
        </is>
      </c>
      <c r="C7347">
        <f>ROMAN(7346)</f>
        <v/>
      </c>
      <c r="D7347">
        <f>IF(B7347=C7347, "YES", "WRONG")</f>
        <v/>
      </c>
    </row>
    <row r="7348">
      <c r="A7348" t="n">
        <v>7347</v>
      </c>
      <c r="B7348" t="inlineStr">
        <is>
          <t>V̅MMCCCXLVII</t>
        </is>
      </c>
      <c r="C7348">
        <f>ROMAN(7347)</f>
        <v/>
      </c>
      <c r="D7348">
        <f>IF(B7348=C7348, "YES", "WRONG")</f>
        <v/>
      </c>
    </row>
    <row r="7349">
      <c r="A7349" t="n">
        <v>7348</v>
      </c>
      <c r="B7349" t="inlineStr">
        <is>
          <t>V̅MMCCCXLVIII</t>
        </is>
      </c>
      <c r="C7349">
        <f>ROMAN(7348)</f>
        <v/>
      </c>
      <c r="D7349">
        <f>IF(B7349=C7349, "YES", "WRONG")</f>
        <v/>
      </c>
    </row>
    <row r="7350">
      <c r="A7350" t="n">
        <v>7349</v>
      </c>
      <c r="B7350" t="inlineStr">
        <is>
          <t>V̅MMCCCXLIX</t>
        </is>
      </c>
      <c r="C7350">
        <f>ROMAN(7349)</f>
        <v/>
      </c>
      <c r="D7350">
        <f>IF(B7350=C7350, "YES", "WRONG")</f>
        <v/>
      </c>
    </row>
    <row r="7351">
      <c r="A7351" t="n">
        <v>7350</v>
      </c>
      <c r="B7351" t="inlineStr">
        <is>
          <t>V̅MMCCCL</t>
        </is>
      </c>
      <c r="C7351">
        <f>ROMAN(7350)</f>
        <v/>
      </c>
      <c r="D7351">
        <f>IF(B7351=C7351, "YES", "WRONG")</f>
        <v/>
      </c>
    </row>
    <row r="7352">
      <c r="A7352" t="n">
        <v>7351</v>
      </c>
      <c r="B7352" t="inlineStr">
        <is>
          <t>V̅MMCCCLI</t>
        </is>
      </c>
      <c r="C7352">
        <f>ROMAN(7351)</f>
        <v/>
      </c>
      <c r="D7352">
        <f>IF(B7352=C7352, "YES", "WRONG")</f>
        <v/>
      </c>
    </row>
    <row r="7353">
      <c r="A7353" t="n">
        <v>7352</v>
      </c>
      <c r="B7353" t="inlineStr">
        <is>
          <t>V̅MMCCCLII</t>
        </is>
      </c>
      <c r="C7353">
        <f>ROMAN(7352)</f>
        <v/>
      </c>
      <c r="D7353">
        <f>IF(B7353=C7353, "YES", "WRONG")</f>
        <v/>
      </c>
    </row>
    <row r="7354">
      <c r="A7354" t="n">
        <v>7353</v>
      </c>
      <c r="B7354" t="inlineStr">
        <is>
          <t>V̅MMCCCLIII</t>
        </is>
      </c>
      <c r="C7354">
        <f>ROMAN(7353)</f>
        <v/>
      </c>
      <c r="D7354">
        <f>IF(B7354=C7354, "YES", "WRONG")</f>
        <v/>
      </c>
    </row>
    <row r="7355">
      <c r="A7355" t="n">
        <v>7354</v>
      </c>
      <c r="B7355" t="inlineStr">
        <is>
          <t>V̅MMCCCLIV</t>
        </is>
      </c>
      <c r="C7355">
        <f>ROMAN(7354)</f>
        <v/>
      </c>
      <c r="D7355">
        <f>IF(B7355=C7355, "YES", "WRONG")</f>
        <v/>
      </c>
    </row>
    <row r="7356">
      <c r="A7356" t="n">
        <v>7355</v>
      </c>
      <c r="B7356" t="inlineStr">
        <is>
          <t>V̅MMCCCLV</t>
        </is>
      </c>
      <c r="C7356">
        <f>ROMAN(7355)</f>
        <v/>
      </c>
      <c r="D7356">
        <f>IF(B7356=C7356, "YES", "WRONG")</f>
        <v/>
      </c>
    </row>
    <row r="7357">
      <c r="A7357" t="n">
        <v>7356</v>
      </c>
      <c r="B7357" t="inlineStr">
        <is>
          <t>V̅MMCCCLVI</t>
        </is>
      </c>
      <c r="C7357">
        <f>ROMAN(7356)</f>
        <v/>
      </c>
      <c r="D7357">
        <f>IF(B7357=C7357, "YES", "WRONG")</f>
        <v/>
      </c>
    </row>
    <row r="7358">
      <c r="A7358" t="n">
        <v>7357</v>
      </c>
      <c r="B7358" t="inlineStr">
        <is>
          <t>V̅MMCCCLVII</t>
        </is>
      </c>
      <c r="C7358">
        <f>ROMAN(7357)</f>
        <v/>
      </c>
      <c r="D7358">
        <f>IF(B7358=C7358, "YES", "WRONG")</f>
        <v/>
      </c>
    </row>
    <row r="7359">
      <c r="A7359" t="n">
        <v>7358</v>
      </c>
      <c r="B7359" t="inlineStr">
        <is>
          <t>V̅MMCCCLVIII</t>
        </is>
      </c>
      <c r="C7359">
        <f>ROMAN(7358)</f>
        <v/>
      </c>
      <c r="D7359">
        <f>IF(B7359=C7359, "YES", "WRONG")</f>
        <v/>
      </c>
    </row>
    <row r="7360">
      <c r="A7360" t="n">
        <v>7359</v>
      </c>
      <c r="B7360" t="inlineStr">
        <is>
          <t>V̅MMCCCLIX</t>
        </is>
      </c>
      <c r="C7360">
        <f>ROMAN(7359)</f>
        <v/>
      </c>
      <c r="D7360">
        <f>IF(B7360=C7360, "YES", "WRONG")</f>
        <v/>
      </c>
    </row>
    <row r="7361">
      <c r="A7361" t="n">
        <v>7360</v>
      </c>
      <c r="B7361" t="inlineStr">
        <is>
          <t>V̅MMCCCLX</t>
        </is>
      </c>
      <c r="C7361">
        <f>ROMAN(7360)</f>
        <v/>
      </c>
      <c r="D7361">
        <f>IF(B7361=C7361, "YES", "WRONG")</f>
        <v/>
      </c>
    </row>
    <row r="7362">
      <c r="A7362" t="n">
        <v>7361</v>
      </c>
      <c r="B7362" t="inlineStr">
        <is>
          <t>V̅MMCCCLXI</t>
        </is>
      </c>
      <c r="C7362">
        <f>ROMAN(7361)</f>
        <v/>
      </c>
      <c r="D7362">
        <f>IF(B7362=C7362, "YES", "WRONG")</f>
        <v/>
      </c>
    </row>
    <row r="7363">
      <c r="A7363" t="n">
        <v>7362</v>
      </c>
      <c r="B7363" t="inlineStr">
        <is>
          <t>V̅MMCCCLXII</t>
        </is>
      </c>
      <c r="C7363">
        <f>ROMAN(7362)</f>
        <v/>
      </c>
      <c r="D7363">
        <f>IF(B7363=C7363, "YES", "WRONG")</f>
        <v/>
      </c>
    </row>
    <row r="7364">
      <c r="A7364" t="n">
        <v>7363</v>
      </c>
      <c r="B7364" t="inlineStr">
        <is>
          <t>V̅MMCCCLXIII</t>
        </is>
      </c>
      <c r="C7364">
        <f>ROMAN(7363)</f>
        <v/>
      </c>
      <c r="D7364">
        <f>IF(B7364=C7364, "YES", "WRONG")</f>
        <v/>
      </c>
    </row>
    <row r="7365">
      <c r="A7365" t="n">
        <v>7364</v>
      </c>
      <c r="B7365" t="inlineStr">
        <is>
          <t>V̅MMCCCLXIV</t>
        </is>
      </c>
      <c r="C7365">
        <f>ROMAN(7364)</f>
        <v/>
      </c>
      <c r="D7365">
        <f>IF(B7365=C7365, "YES", "WRONG")</f>
        <v/>
      </c>
    </row>
    <row r="7366">
      <c r="A7366" t="n">
        <v>7365</v>
      </c>
      <c r="B7366" t="inlineStr">
        <is>
          <t>V̅MMCCCLXV</t>
        </is>
      </c>
      <c r="C7366">
        <f>ROMAN(7365)</f>
        <v/>
      </c>
      <c r="D7366">
        <f>IF(B7366=C7366, "YES", "WRONG")</f>
        <v/>
      </c>
    </row>
    <row r="7367">
      <c r="A7367" t="n">
        <v>7366</v>
      </c>
      <c r="B7367" t="inlineStr">
        <is>
          <t>V̅MMCCCLXVI</t>
        </is>
      </c>
      <c r="C7367">
        <f>ROMAN(7366)</f>
        <v/>
      </c>
      <c r="D7367">
        <f>IF(B7367=C7367, "YES", "WRONG")</f>
        <v/>
      </c>
    </row>
    <row r="7368">
      <c r="A7368" t="n">
        <v>7367</v>
      </c>
      <c r="B7368" t="inlineStr">
        <is>
          <t>V̅MMCCCLXVII</t>
        </is>
      </c>
      <c r="C7368">
        <f>ROMAN(7367)</f>
        <v/>
      </c>
      <c r="D7368">
        <f>IF(B7368=C7368, "YES", "WRONG")</f>
        <v/>
      </c>
    </row>
    <row r="7369">
      <c r="A7369" t="n">
        <v>7368</v>
      </c>
      <c r="B7369" t="inlineStr">
        <is>
          <t>V̅MMCCCLXVIII</t>
        </is>
      </c>
      <c r="C7369">
        <f>ROMAN(7368)</f>
        <v/>
      </c>
      <c r="D7369">
        <f>IF(B7369=C7369, "YES", "WRONG")</f>
        <v/>
      </c>
    </row>
    <row r="7370">
      <c r="A7370" t="n">
        <v>7369</v>
      </c>
      <c r="B7370" t="inlineStr">
        <is>
          <t>V̅MMCCCLXIX</t>
        </is>
      </c>
      <c r="C7370">
        <f>ROMAN(7369)</f>
        <v/>
      </c>
      <c r="D7370">
        <f>IF(B7370=C7370, "YES", "WRONG")</f>
        <v/>
      </c>
    </row>
    <row r="7371">
      <c r="A7371" t="n">
        <v>7370</v>
      </c>
      <c r="B7371" t="inlineStr">
        <is>
          <t>V̅MMCCCLXX</t>
        </is>
      </c>
      <c r="C7371">
        <f>ROMAN(7370)</f>
        <v/>
      </c>
      <c r="D7371">
        <f>IF(B7371=C7371, "YES", "WRONG")</f>
        <v/>
      </c>
    </row>
    <row r="7372">
      <c r="A7372" t="n">
        <v>7371</v>
      </c>
      <c r="B7372" t="inlineStr">
        <is>
          <t>V̅MMCCCLXXI</t>
        </is>
      </c>
      <c r="C7372">
        <f>ROMAN(7371)</f>
        <v/>
      </c>
      <c r="D7372">
        <f>IF(B7372=C7372, "YES", "WRONG")</f>
        <v/>
      </c>
    </row>
    <row r="7373">
      <c r="A7373" t="n">
        <v>7372</v>
      </c>
      <c r="B7373" t="inlineStr">
        <is>
          <t>V̅MMCCCLXXII</t>
        </is>
      </c>
      <c r="C7373">
        <f>ROMAN(7372)</f>
        <v/>
      </c>
      <c r="D7373">
        <f>IF(B7373=C7373, "YES", "WRONG")</f>
        <v/>
      </c>
    </row>
    <row r="7374">
      <c r="A7374" t="n">
        <v>7373</v>
      </c>
      <c r="B7374" t="inlineStr">
        <is>
          <t>V̅MMCCCLXXIII</t>
        </is>
      </c>
      <c r="C7374">
        <f>ROMAN(7373)</f>
        <v/>
      </c>
      <c r="D7374">
        <f>IF(B7374=C7374, "YES", "WRONG")</f>
        <v/>
      </c>
    </row>
    <row r="7375">
      <c r="A7375" t="n">
        <v>7374</v>
      </c>
      <c r="B7375" t="inlineStr">
        <is>
          <t>V̅MMCCCLXXIV</t>
        </is>
      </c>
      <c r="C7375">
        <f>ROMAN(7374)</f>
        <v/>
      </c>
      <c r="D7375">
        <f>IF(B7375=C7375, "YES", "WRONG")</f>
        <v/>
      </c>
    </row>
    <row r="7376">
      <c r="A7376" t="n">
        <v>7375</v>
      </c>
      <c r="B7376" t="inlineStr">
        <is>
          <t>V̅MMCCCLXXV</t>
        </is>
      </c>
      <c r="C7376">
        <f>ROMAN(7375)</f>
        <v/>
      </c>
      <c r="D7376">
        <f>IF(B7376=C7376, "YES", "WRONG")</f>
        <v/>
      </c>
    </row>
    <row r="7377">
      <c r="A7377" t="n">
        <v>7376</v>
      </c>
      <c r="B7377" t="inlineStr">
        <is>
          <t>V̅MMCCCLXXVI</t>
        </is>
      </c>
      <c r="C7377">
        <f>ROMAN(7376)</f>
        <v/>
      </c>
      <c r="D7377">
        <f>IF(B7377=C7377, "YES", "WRONG")</f>
        <v/>
      </c>
    </row>
    <row r="7378">
      <c r="A7378" t="n">
        <v>7377</v>
      </c>
      <c r="B7378" t="inlineStr">
        <is>
          <t>V̅MMCCCLXXVII</t>
        </is>
      </c>
      <c r="C7378">
        <f>ROMAN(7377)</f>
        <v/>
      </c>
      <c r="D7378">
        <f>IF(B7378=C7378, "YES", "WRONG")</f>
        <v/>
      </c>
    </row>
    <row r="7379">
      <c r="A7379" t="n">
        <v>7378</v>
      </c>
      <c r="B7379" t="inlineStr">
        <is>
          <t>V̅MMCCCLXXVIII</t>
        </is>
      </c>
      <c r="C7379">
        <f>ROMAN(7378)</f>
        <v/>
      </c>
      <c r="D7379">
        <f>IF(B7379=C7379, "YES", "WRONG")</f>
        <v/>
      </c>
    </row>
    <row r="7380">
      <c r="A7380" t="n">
        <v>7379</v>
      </c>
      <c r="B7380" t="inlineStr">
        <is>
          <t>V̅MMCCCLXXIX</t>
        </is>
      </c>
      <c r="C7380">
        <f>ROMAN(7379)</f>
        <v/>
      </c>
      <c r="D7380">
        <f>IF(B7380=C7380, "YES", "WRONG")</f>
        <v/>
      </c>
    </row>
    <row r="7381">
      <c r="A7381" t="n">
        <v>7380</v>
      </c>
      <c r="B7381" t="inlineStr">
        <is>
          <t>V̅MMCCCLXXX</t>
        </is>
      </c>
      <c r="C7381">
        <f>ROMAN(7380)</f>
        <v/>
      </c>
      <c r="D7381">
        <f>IF(B7381=C7381, "YES", "WRONG")</f>
        <v/>
      </c>
    </row>
    <row r="7382">
      <c r="A7382" t="n">
        <v>7381</v>
      </c>
      <c r="B7382" t="inlineStr">
        <is>
          <t>V̅MMCCCLXXXI</t>
        </is>
      </c>
      <c r="C7382">
        <f>ROMAN(7381)</f>
        <v/>
      </c>
      <c r="D7382">
        <f>IF(B7382=C7382, "YES", "WRONG")</f>
        <v/>
      </c>
    </row>
    <row r="7383">
      <c r="A7383" t="n">
        <v>7382</v>
      </c>
      <c r="B7383" t="inlineStr">
        <is>
          <t>V̅MMCCCLXXXII</t>
        </is>
      </c>
      <c r="C7383">
        <f>ROMAN(7382)</f>
        <v/>
      </c>
      <c r="D7383">
        <f>IF(B7383=C7383, "YES", "WRONG")</f>
        <v/>
      </c>
    </row>
    <row r="7384">
      <c r="A7384" t="n">
        <v>7383</v>
      </c>
      <c r="B7384" t="inlineStr">
        <is>
          <t>V̅MMCCCLXXXIII</t>
        </is>
      </c>
      <c r="C7384">
        <f>ROMAN(7383)</f>
        <v/>
      </c>
      <c r="D7384">
        <f>IF(B7384=C7384, "YES", "WRONG")</f>
        <v/>
      </c>
    </row>
    <row r="7385">
      <c r="A7385" t="n">
        <v>7384</v>
      </c>
      <c r="B7385" t="inlineStr">
        <is>
          <t>V̅MMCCCLXXXIV</t>
        </is>
      </c>
      <c r="C7385">
        <f>ROMAN(7384)</f>
        <v/>
      </c>
      <c r="D7385">
        <f>IF(B7385=C7385, "YES", "WRONG")</f>
        <v/>
      </c>
    </row>
    <row r="7386">
      <c r="A7386" t="n">
        <v>7385</v>
      </c>
      <c r="B7386" t="inlineStr">
        <is>
          <t>V̅MMCCCLXXXV</t>
        </is>
      </c>
      <c r="C7386">
        <f>ROMAN(7385)</f>
        <v/>
      </c>
      <c r="D7386">
        <f>IF(B7386=C7386, "YES", "WRONG")</f>
        <v/>
      </c>
    </row>
    <row r="7387">
      <c r="A7387" t="n">
        <v>7386</v>
      </c>
      <c r="B7387" t="inlineStr">
        <is>
          <t>V̅MMCCCLXXXVI</t>
        </is>
      </c>
      <c r="C7387">
        <f>ROMAN(7386)</f>
        <v/>
      </c>
      <c r="D7387">
        <f>IF(B7387=C7387, "YES", "WRONG")</f>
        <v/>
      </c>
    </row>
    <row r="7388">
      <c r="A7388" t="n">
        <v>7387</v>
      </c>
      <c r="B7388" t="inlineStr">
        <is>
          <t>V̅MMCCCLXXXVII</t>
        </is>
      </c>
      <c r="C7388">
        <f>ROMAN(7387)</f>
        <v/>
      </c>
      <c r="D7388">
        <f>IF(B7388=C7388, "YES", "WRONG")</f>
        <v/>
      </c>
    </row>
    <row r="7389">
      <c r="A7389" t="n">
        <v>7388</v>
      </c>
      <c r="B7389" t="inlineStr">
        <is>
          <t>V̅MMCCCLXXXVIII</t>
        </is>
      </c>
      <c r="C7389">
        <f>ROMAN(7388)</f>
        <v/>
      </c>
      <c r="D7389">
        <f>IF(B7389=C7389, "YES", "WRONG")</f>
        <v/>
      </c>
    </row>
    <row r="7390">
      <c r="A7390" t="n">
        <v>7389</v>
      </c>
      <c r="B7390" t="inlineStr">
        <is>
          <t>V̅MMCCCLXXXIX</t>
        </is>
      </c>
      <c r="C7390">
        <f>ROMAN(7389)</f>
        <v/>
      </c>
      <c r="D7390">
        <f>IF(B7390=C7390, "YES", "WRONG")</f>
        <v/>
      </c>
    </row>
    <row r="7391">
      <c r="A7391" t="n">
        <v>7390</v>
      </c>
      <c r="B7391" t="inlineStr">
        <is>
          <t>V̅MMCCCXC</t>
        </is>
      </c>
      <c r="C7391">
        <f>ROMAN(7390)</f>
        <v/>
      </c>
      <c r="D7391">
        <f>IF(B7391=C7391, "YES", "WRONG")</f>
        <v/>
      </c>
    </row>
    <row r="7392">
      <c r="A7392" t="n">
        <v>7391</v>
      </c>
      <c r="B7392" t="inlineStr">
        <is>
          <t>V̅MMCCCXCI</t>
        </is>
      </c>
      <c r="C7392">
        <f>ROMAN(7391)</f>
        <v/>
      </c>
      <c r="D7392">
        <f>IF(B7392=C7392, "YES", "WRONG")</f>
        <v/>
      </c>
    </row>
    <row r="7393">
      <c r="A7393" t="n">
        <v>7392</v>
      </c>
      <c r="B7393" t="inlineStr">
        <is>
          <t>V̅MMCCCXCII</t>
        </is>
      </c>
      <c r="C7393">
        <f>ROMAN(7392)</f>
        <v/>
      </c>
      <c r="D7393">
        <f>IF(B7393=C7393, "YES", "WRONG")</f>
        <v/>
      </c>
    </row>
    <row r="7394">
      <c r="A7394" t="n">
        <v>7393</v>
      </c>
      <c r="B7394" t="inlineStr">
        <is>
          <t>V̅MMCCCXCIII</t>
        </is>
      </c>
      <c r="C7394">
        <f>ROMAN(7393)</f>
        <v/>
      </c>
      <c r="D7394">
        <f>IF(B7394=C7394, "YES", "WRONG")</f>
        <v/>
      </c>
    </row>
    <row r="7395">
      <c r="A7395" t="n">
        <v>7394</v>
      </c>
      <c r="B7395" t="inlineStr">
        <is>
          <t>V̅MMCCCXCIV</t>
        </is>
      </c>
      <c r="C7395">
        <f>ROMAN(7394)</f>
        <v/>
      </c>
      <c r="D7395">
        <f>IF(B7395=C7395, "YES", "WRONG")</f>
        <v/>
      </c>
    </row>
    <row r="7396">
      <c r="A7396" t="n">
        <v>7395</v>
      </c>
      <c r="B7396" t="inlineStr">
        <is>
          <t>V̅MMCCCXCV</t>
        </is>
      </c>
      <c r="C7396">
        <f>ROMAN(7395)</f>
        <v/>
      </c>
      <c r="D7396">
        <f>IF(B7396=C7396, "YES", "WRONG")</f>
        <v/>
      </c>
    </row>
    <row r="7397">
      <c r="A7397" t="n">
        <v>7396</v>
      </c>
      <c r="B7397" t="inlineStr">
        <is>
          <t>V̅MMCCCXCVI</t>
        </is>
      </c>
      <c r="C7397">
        <f>ROMAN(7396)</f>
        <v/>
      </c>
      <c r="D7397">
        <f>IF(B7397=C7397, "YES", "WRONG")</f>
        <v/>
      </c>
    </row>
    <row r="7398">
      <c r="A7398" t="n">
        <v>7397</v>
      </c>
      <c r="B7398" t="inlineStr">
        <is>
          <t>V̅MMCCCXCVII</t>
        </is>
      </c>
      <c r="C7398">
        <f>ROMAN(7397)</f>
        <v/>
      </c>
      <c r="D7398">
        <f>IF(B7398=C7398, "YES", "WRONG")</f>
        <v/>
      </c>
    </row>
    <row r="7399">
      <c r="A7399" t="n">
        <v>7398</v>
      </c>
      <c r="B7399" t="inlineStr">
        <is>
          <t>V̅MMCCCXCVIII</t>
        </is>
      </c>
      <c r="C7399">
        <f>ROMAN(7398)</f>
        <v/>
      </c>
      <c r="D7399">
        <f>IF(B7399=C7399, "YES", "WRONG")</f>
        <v/>
      </c>
    </row>
    <row r="7400">
      <c r="A7400" t="n">
        <v>7399</v>
      </c>
      <c r="B7400" t="inlineStr">
        <is>
          <t>V̅MMCCCXCIX</t>
        </is>
      </c>
      <c r="C7400">
        <f>ROMAN(7399)</f>
        <v/>
      </c>
      <c r="D7400">
        <f>IF(B7400=C7400, "YES", "WRONG")</f>
        <v/>
      </c>
    </row>
    <row r="7401">
      <c r="A7401" t="n">
        <v>7400</v>
      </c>
      <c r="B7401" t="inlineStr">
        <is>
          <t>V̅MMCD</t>
        </is>
      </c>
      <c r="C7401">
        <f>ROMAN(7400)</f>
        <v/>
      </c>
      <c r="D7401">
        <f>IF(B7401=C7401, "YES", "WRONG")</f>
        <v/>
      </c>
    </row>
    <row r="7402">
      <c r="A7402" t="n">
        <v>7401</v>
      </c>
      <c r="B7402" t="inlineStr">
        <is>
          <t>V̅MMCDI</t>
        </is>
      </c>
      <c r="C7402">
        <f>ROMAN(7401)</f>
        <v/>
      </c>
      <c r="D7402">
        <f>IF(B7402=C7402, "YES", "WRONG")</f>
        <v/>
      </c>
    </row>
    <row r="7403">
      <c r="A7403" t="n">
        <v>7402</v>
      </c>
      <c r="B7403" t="inlineStr">
        <is>
          <t>V̅MMCDII</t>
        </is>
      </c>
      <c r="C7403">
        <f>ROMAN(7402)</f>
        <v/>
      </c>
      <c r="D7403">
        <f>IF(B7403=C7403, "YES", "WRONG")</f>
        <v/>
      </c>
    </row>
    <row r="7404">
      <c r="A7404" t="n">
        <v>7403</v>
      </c>
      <c r="B7404" t="inlineStr">
        <is>
          <t>V̅MMCDIII</t>
        </is>
      </c>
      <c r="C7404">
        <f>ROMAN(7403)</f>
        <v/>
      </c>
      <c r="D7404">
        <f>IF(B7404=C7404, "YES", "WRONG")</f>
        <v/>
      </c>
    </row>
    <row r="7405">
      <c r="A7405" t="n">
        <v>7404</v>
      </c>
      <c r="B7405" t="inlineStr">
        <is>
          <t>V̅MMCDIV</t>
        </is>
      </c>
      <c r="C7405">
        <f>ROMAN(7404)</f>
        <v/>
      </c>
      <c r="D7405">
        <f>IF(B7405=C7405, "YES", "WRONG")</f>
        <v/>
      </c>
    </row>
    <row r="7406">
      <c r="A7406" t="n">
        <v>7405</v>
      </c>
      <c r="B7406" t="inlineStr">
        <is>
          <t>V̅MMCDV</t>
        </is>
      </c>
      <c r="C7406">
        <f>ROMAN(7405)</f>
        <v/>
      </c>
      <c r="D7406">
        <f>IF(B7406=C7406, "YES", "WRONG")</f>
        <v/>
      </c>
    </row>
    <row r="7407">
      <c r="A7407" t="n">
        <v>7406</v>
      </c>
      <c r="B7407" t="inlineStr">
        <is>
          <t>V̅MMCDVI</t>
        </is>
      </c>
      <c r="C7407">
        <f>ROMAN(7406)</f>
        <v/>
      </c>
      <c r="D7407">
        <f>IF(B7407=C7407, "YES", "WRONG")</f>
        <v/>
      </c>
    </row>
    <row r="7408">
      <c r="A7408" t="n">
        <v>7407</v>
      </c>
      <c r="B7408" t="inlineStr">
        <is>
          <t>V̅MMCDVII</t>
        </is>
      </c>
      <c r="C7408">
        <f>ROMAN(7407)</f>
        <v/>
      </c>
      <c r="D7408">
        <f>IF(B7408=C7408, "YES", "WRONG")</f>
        <v/>
      </c>
    </row>
    <row r="7409">
      <c r="A7409" t="n">
        <v>7408</v>
      </c>
      <c r="B7409" t="inlineStr">
        <is>
          <t>V̅MMCDVIII</t>
        </is>
      </c>
      <c r="C7409">
        <f>ROMAN(7408)</f>
        <v/>
      </c>
      <c r="D7409">
        <f>IF(B7409=C7409, "YES", "WRONG")</f>
        <v/>
      </c>
    </row>
    <row r="7410">
      <c r="A7410" t="n">
        <v>7409</v>
      </c>
      <c r="B7410" t="inlineStr">
        <is>
          <t>V̅MMCDIX</t>
        </is>
      </c>
      <c r="C7410">
        <f>ROMAN(7409)</f>
        <v/>
      </c>
      <c r="D7410">
        <f>IF(B7410=C7410, "YES", "WRONG")</f>
        <v/>
      </c>
    </row>
    <row r="7411">
      <c r="A7411" t="n">
        <v>7410</v>
      </c>
      <c r="B7411" t="inlineStr">
        <is>
          <t>V̅MMCDX</t>
        </is>
      </c>
      <c r="C7411">
        <f>ROMAN(7410)</f>
        <v/>
      </c>
      <c r="D7411">
        <f>IF(B7411=C7411, "YES", "WRONG")</f>
        <v/>
      </c>
    </row>
    <row r="7412">
      <c r="A7412" t="n">
        <v>7411</v>
      </c>
      <c r="B7412" t="inlineStr">
        <is>
          <t>V̅MMCDXI</t>
        </is>
      </c>
      <c r="C7412">
        <f>ROMAN(7411)</f>
        <v/>
      </c>
      <c r="D7412">
        <f>IF(B7412=C7412, "YES", "WRONG")</f>
        <v/>
      </c>
    </row>
    <row r="7413">
      <c r="A7413" t="n">
        <v>7412</v>
      </c>
      <c r="B7413" t="inlineStr">
        <is>
          <t>V̅MMCDXII</t>
        </is>
      </c>
      <c r="C7413">
        <f>ROMAN(7412)</f>
        <v/>
      </c>
      <c r="D7413">
        <f>IF(B7413=C7413, "YES", "WRONG")</f>
        <v/>
      </c>
    </row>
    <row r="7414">
      <c r="A7414" t="n">
        <v>7413</v>
      </c>
      <c r="B7414" t="inlineStr">
        <is>
          <t>V̅MMCDXIII</t>
        </is>
      </c>
      <c r="C7414">
        <f>ROMAN(7413)</f>
        <v/>
      </c>
      <c r="D7414">
        <f>IF(B7414=C7414, "YES", "WRONG")</f>
        <v/>
      </c>
    </row>
    <row r="7415">
      <c r="A7415" t="n">
        <v>7414</v>
      </c>
      <c r="B7415" t="inlineStr">
        <is>
          <t>V̅MMCDXIV</t>
        </is>
      </c>
      <c r="C7415">
        <f>ROMAN(7414)</f>
        <v/>
      </c>
      <c r="D7415">
        <f>IF(B7415=C7415, "YES", "WRONG")</f>
        <v/>
      </c>
    </row>
    <row r="7416">
      <c r="A7416" t="n">
        <v>7415</v>
      </c>
      <c r="B7416" t="inlineStr">
        <is>
          <t>V̅MMCDXV</t>
        </is>
      </c>
      <c r="C7416">
        <f>ROMAN(7415)</f>
        <v/>
      </c>
      <c r="D7416">
        <f>IF(B7416=C7416, "YES", "WRONG")</f>
        <v/>
      </c>
    </row>
    <row r="7417">
      <c r="A7417" t="n">
        <v>7416</v>
      </c>
      <c r="B7417" t="inlineStr">
        <is>
          <t>V̅MMCDXVI</t>
        </is>
      </c>
      <c r="C7417">
        <f>ROMAN(7416)</f>
        <v/>
      </c>
      <c r="D7417">
        <f>IF(B7417=C7417, "YES", "WRONG")</f>
        <v/>
      </c>
    </row>
    <row r="7418">
      <c r="A7418" t="n">
        <v>7417</v>
      </c>
      <c r="B7418" t="inlineStr">
        <is>
          <t>V̅MMCDXVII</t>
        </is>
      </c>
      <c r="C7418">
        <f>ROMAN(7417)</f>
        <v/>
      </c>
      <c r="D7418">
        <f>IF(B7418=C7418, "YES", "WRONG")</f>
        <v/>
      </c>
    </row>
    <row r="7419">
      <c r="A7419" t="n">
        <v>7418</v>
      </c>
      <c r="B7419" t="inlineStr">
        <is>
          <t>V̅MMCDXVIII</t>
        </is>
      </c>
      <c r="C7419">
        <f>ROMAN(7418)</f>
        <v/>
      </c>
      <c r="D7419">
        <f>IF(B7419=C7419, "YES", "WRONG")</f>
        <v/>
      </c>
    </row>
    <row r="7420">
      <c r="A7420" t="n">
        <v>7419</v>
      </c>
      <c r="B7420" t="inlineStr">
        <is>
          <t>V̅MMCDXIX</t>
        </is>
      </c>
      <c r="C7420">
        <f>ROMAN(7419)</f>
        <v/>
      </c>
      <c r="D7420">
        <f>IF(B7420=C7420, "YES", "WRONG")</f>
        <v/>
      </c>
    </row>
    <row r="7421">
      <c r="A7421" t="n">
        <v>7420</v>
      </c>
      <c r="B7421" t="inlineStr">
        <is>
          <t>V̅MMCDXX</t>
        </is>
      </c>
      <c r="C7421">
        <f>ROMAN(7420)</f>
        <v/>
      </c>
      <c r="D7421">
        <f>IF(B7421=C7421, "YES", "WRONG")</f>
        <v/>
      </c>
    </row>
    <row r="7422">
      <c r="A7422" t="n">
        <v>7421</v>
      </c>
      <c r="B7422" t="inlineStr">
        <is>
          <t>V̅MMCDXXI</t>
        </is>
      </c>
      <c r="C7422">
        <f>ROMAN(7421)</f>
        <v/>
      </c>
      <c r="D7422">
        <f>IF(B7422=C7422, "YES", "WRONG")</f>
        <v/>
      </c>
    </row>
    <row r="7423">
      <c r="A7423" t="n">
        <v>7422</v>
      </c>
      <c r="B7423" t="inlineStr">
        <is>
          <t>V̅MMCDXXII</t>
        </is>
      </c>
      <c r="C7423">
        <f>ROMAN(7422)</f>
        <v/>
      </c>
      <c r="D7423">
        <f>IF(B7423=C7423, "YES", "WRONG")</f>
        <v/>
      </c>
    </row>
    <row r="7424">
      <c r="A7424" t="n">
        <v>7423</v>
      </c>
      <c r="B7424" t="inlineStr">
        <is>
          <t>V̅MMCDXXIII</t>
        </is>
      </c>
      <c r="C7424">
        <f>ROMAN(7423)</f>
        <v/>
      </c>
      <c r="D7424">
        <f>IF(B7424=C7424, "YES", "WRONG")</f>
        <v/>
      </c>
    </row>
    <row r="7425">
      <c r="A7425" t="n">
        <v>7424</v>
      </c>
      <c r="B7425" t="inlineStr">
        <is>
          <t>V̅MMCDXXIV</t>
        </is>
      </c>
      <c r="C7425">
        <f>ROMAN(7424)</f>
        <v/>
      </c>
      <c r="D7425">
        <f>IF(B7425=C7425, "YES", "WRONG")</f>
        <v/>
      </c>
    </row>
    <row r="7426">
      <c r="A7426" t="n">
        <v>7425</v>
      </c>
      <c r="B7426" t="inlineStr">
        <is>
          <t>V̅MMCDXXV</t>
        </is>
      </c>
      <c r="C7426">
        <f>ROMAN(7425)</f>
        <v/>
      </c>
      <c r="D7426">
        <f>IF(B7426=C7426, "YES", "WRONG")</f>
        <v/>
      </c>
    </row>
    <row r="7427">
      <c r="A7427" t="n">
        <v>7426</v>
      </c>
      <c r="B7427" t="inlineStr">
        <is>
          <t>V̅MMCDXXVI</t>
        </is>
      </c>
      <c r="C7427">
        <f>ROMAN(7426)</f>
        <v/>
      </c>
      <c r="D7427">
        <f>IF(B7427=C7427, "YES", "WRONG")</f>
        <v/>
      </c>
    </row>
    <row r="7428">
      <c r="A7428" t="n">
        <v>7427</v>
      </c>
      <c r="B7428" t="inlineStr">
        <is>
          <t>V̅MMCDXXVII</t>
        </is>
      </c>
      <c r="C7428">
        <f>ROMAN(7427)</f>
        <v/>
      </c>
      <c r="D7428">
        <f>IF(B7428=C7428, "YES", "WRONG")</f>
        <v/>
      </c>
    </row>
    <row r="7429">
      <c r="A7429" t="n">
        <v>7428</v>
      </c>
      <c r="B7429" t="inlineStr">
        <is>
          <t>V̅MMCDXXVIII</t>
        </is>
      </c>
      <c r="C7429">
        <f>ROMAN(7428)</f>
        <v/>
      </c>
      <c r="D7429">
        <f>IF(B7429=C7429, "YES", "WRONG")</f>
        <v/>
      </c>
    </row>
    <row r="7430">
      <c r="A7430" t="n">
        <v>7429</v>
      </c>
      <c r="B7430" t="inlineStr">
        <is>
          <t>V̅MMCDXXIX</t>
        </is>
      </c>
      <c r="C7430">
        <f>ROMAN(7429)</f>
        <v/>
      </c>
      <c r="D7430">
        <f>IF(B7430=C7430, "YES", "WRONG")</f>
        <v/>
      </c>
    </row>
    <row r="7431">
      <c r="A7431" t="n">
        <v>7430</v>
      </c>
      <c r="B7431" t="inlineStr">
        <is>
          <t>V̅MMCDXXX</t>
        </is>
      </c>
      <c r="C7431">
        <f>ROMAN(7430)</f>
        <v/>
      </c>
      <c r="D7431">
        <f>IF(B7431=C7431, "YES", "WRONG")</f>
        <v/>
      </c>
    </row>
    <row r="7432">
      <c r="A7432" t="n">
        <v>7431</v>
      </c>
      <c r="B7432" t="inlineStr">
        <is>
          <t>V̅MMCDXXXI</t>
        </is>
      </c>
      <c r="C7432">
        <f>ROMAN(7431)</f>
        <v/>
      </c>
      <c r="D7432">
        <f>IF(B7432=C7432, "YES", "WRONG")</f>
        <v/>
      </c>
    </row>
    <row r="7433">
      <c r="A7433" t="n">
        <v>7432</v>
      </c>
      <c r="B7433" t="inlineStr">
        <is>
          <t>V̅MMCDXXXII</t>
        </is>
      </c>
      <c r="C7433">
        <f>ROMAN(7432)</f>
        <v/>
      </c>
      <c r="D7433">
        <f>IF(B7433=C7433, "YES", "WRONG")</f>
        <v/>
      </c>
    </row>
    <row r="7434">
      <c r="A7434" t="n">
        <v>7433</v>
      </c>
      <c r="B7434" t="inlineStr">
        <is>
          <t>V̅MMCDXXXIII</t>
        </is>
      </c>
      <c r="C7434">
        <f>ROMAN(7433)</f>
        <v/>
      </c>
      <c r="D7434">
        <f>IF(B7434=C7434, "YES", "WRONG")</f>
        <v/>
      </c>
    </row>
    <row r="7435">
      <c r="A7435" t="n">
        <v>7434</v>
      </c>
      <c r="B7435" t="inlineStr">
        <is>
          <t>V̅MMCDXXXIV</t>
        </is>
      </c>
      <c r="C7435">
        <f>ROMAN(7434)</f>
        <v/>
      </c>
      <c r="D7435">
        <f>IF(B7435=C7435, "YES", "WRONG")</f>
        <v/>
      </c>
    </row>
    <row r="7436">
      <c r="A7436" t="n">
        <v>7435</v>
      </c>
      <c r="B7436" t="inlineStr">
        <is>
          <t>V̅MMCDXXXV</t>
        </is>
      </c>
      <c r="C7436">
        <f>ROMAN(7435)</f>
        <v/>
      </c>
      <c r="D7436">
        <f>IF(B7436=C7436, "YES", "WRONG")</f>
        <v/>
      </c>
    </row>
    <row r="7437">
      <c r="A7437" t="n">
        <v>7436</v>
      </c>
      <c r="B7437" t="inlineStr">
        <is>
          <t>V̅MMCDXXXVI</t>
        </is>
      </c>
      <c r="C7437">
        <f>ROMAN(7436)</f>
        <v/>
      </c>
      <c r="D7437">
        <f>IF(B7437=C7437, "YES", "WRONG")</f>
        <v/>
      </c>
    </row>
    <row r="7438">
      <c r="A7438" t="n">
        <v>7437</v>
      </c>
      <c r="B7438" t="inlineStr">
        <is>
          <t>V̅MMCDXXXVII</t>
        </is>
      </c>
      <c r="C7438">
        <f>ROMAN(7437)</f>
        <v/>
      </c>
      <c r="D7438">
        <f>IF(B7438=C7438, "YES", "WRONG")</f>
        <v/>
      </c>
    </row>
    <row r="7439">
      <c r="A7439" t="n">
        <v>7438</v>
      </c>
      <c r="B7439" t="inlineStr">
        <is>
          <t>V̅MMCDXXXVIII</t>
        </is>
      </c>
      <c r="C7439">
        <f>ROMAN(7438)</f>
        <v/>
      </c>
      <c r="D7439">
        <f>IF(B7439=C7439, "YES", "WRONG")</f>
        <v/>
      </c>
    </row>
    <row r="7440">
      <c r="A7440" t="n">
        <v>7439</v>
      </c>
      <c r="B7440" t="inlineStr">
        <is>
          <t>V̅MMCDXXXIX</t>
        </is>
      </c>
      <c r="C7440">
        <f>ROMAN(7439)</f>
        <v/>
      </c>
      <c r="D7440">
        <f>IF(B7440=C7440, "YES", "WRONG")</f>
        <v/>
      </c>
    </row>
    <row r="7441">
      <c r="A7441" t="n">
        <v>7440</v>
      </c>
      <c r="B7441" t="inlineStr">
        <is>
          <t>V̅MMCDXL</t>
        </is>
      </c>
      <c r="C7441">
        <f>ROMAN(7440)</f>
        <v/>
      </c>
      <c r="D7441">
        <f>IF(B7441=C7441, "YES", "WRONG")</f>
        <v/>
      </c>
    </row>
    <row r="7442">
      <c r="A7442" t="n">
        <v>7441</v>
      </c>
      <c r="B7442" t="inlineStr">
        <is>
          <t>V̅MMCDXLI</t>
        </is>
      </c>
      <c r="C7442">
        <f>ROMAN(7441)</f>
        <v/>
      </c>
      <c r="D7442">
        <f>IF(B7442=C7442, "YES", "WRONG")</f>
        <v/>
      </c>
    </row>
    <row r="7443">
      <c r="A7443" t="n">
        <v>7442</v>
      </c>
      <c r="B7443" t="inlineStr">
        <is>
          <t>V̅MMCDXLII</t>
        </is>
      </c>
      <c r="C7443">
        <f>ROMAN(7442)</f>
        <v/>
      </c>
      <c r="D7443">
        <f>IF(B7443=C7443, "YES", "WRONG")</f>
        <v/>
      </c>
    </row>
    <row r="7444">
      <c r="A7444" t="n">
        <v>7443</v>
      </c>
      <c r="B7444" t="inlineStr">
        <is>
          <t>V̅MMCDXLIII</t>
        </is>
      </c>
      <c r="C7444">
        <f>ROMAN(7443)</f>
        <v/>
      </c>
      <c r="D7444">
        <f>IF(B7444=C7444, "YES", "WRONG")</f>
        <v/>
      </c>
    </row>
    <row r="7445">
      <c r="A7445" t="n">
        <v>7444</v>
      </c>
      <c r="B7445" t="inlineStr">
        <is>
          <t>V̅MMCDXLIV</t>
        </is>
      </c>
      <c r="C7445">
        <f>ROMAN(7444)</f>
        <v/>
      </c>
      <c r="D7445">
        <f>IF(B7445=C7445, "YES", "WRONG")</f>
        <v/>
      </c>
    </row>
    <row r="7446">
      <c r="A7446" t="n">
        <v>7445</v>
      </c>
      <c r="B7446" t="inlineStr">
        <is>
          <t>V̅MMCDXLV</t>
        </is>
      </c>
      <c r="C7446">
        <f>ROMAN(7445)</f>
        <v/>
      </c>
      <c r="D7446">
        <f>IF(B7446=C7446, "YES", "WRONG")</f>
        <v/>
      </c>
    </row>
    <row r="7447">
      <c r="A7447" t="n">
        <v>7446</v>
      </c>
      <c r="B7447" t="inlineStr">
        <is>
          <t>V̅MMCDXLVI</t>
        </is>
      </c>
      <c r="C7447">
        <f>ROMAN(7446)</f>
        <v/>
      </c>
      <c r="D7447">
        <f>IF(B7447=C7447, "YES", "WRONG")</f>
        <v/>
      </c>
    </row>
    <row r="7448">
      <c r="A7448" t="n">
        <v>7447</v>
      </c>
      <c r="B7448" t="inlineStr">
        <is>
          <t>V̅MMCDXLVII</t>
        </is>
      </c>
      <c r="C7448">
        <f>ROMAN(7447)</f>
        <v/>
      </c>
      <c r="D7448">
        <f>IF(B7448=C7448, "YES", "WRONG")</f>
        <v/>
      </c>
    </row>
    <row r="7449">
      <c r="A7449" t="n">
        <v>7448</v>
      </c>
      <c r="B7449" t="inlineStr">
        <is>
          <t>V̅MMCDXLVIII</t>
        </is>
      </c>
      <c r="C7449">
        <f>ROMAN(7448)</f>
        <v/>
      </c>
      <c r="D7449">
        <f>IF(B7449=C7449, "YES", "WRONG")</f>
        <v/>
      </c>
    </row>
    <row r="7450">
      <c r="A7450" t="n">
        <v>7449</v>
      </c>
      <c r="B7450" t="inlineStr">
        <is>
          <t>V̅MMCDXLIX</t>
        </is>
      </c>
      <c r="C7450">
        <f>ROMAN(7449)</f>
        <v/>
      </c>
      <c r="D7450">
        <f>IF(B7450=C7450, "YES", "WRONG")</f>
        <v/>
      </c>
    </row>
    <row r="7451">
      <c r="A7451" t="n">
        <v>7450</v>
      </c>
      <c r="B7451" t="inlineStr">
        <is>
          <t>V̅MMCDL</t>
        </is>
      </c>
      <c r="C7451">
        <f>ROMAN(7450)</f>
        <v/>
      </c>
      <c r="D7451">
        <f>IF(B7451=C7451, "YES", "WRONG")</f>
        <v/>
      </c>
    </row>
    <row r="7452">
      <c r="A7452" t="n">
        <v>7451</v>
      </c>
      <c r="B7452" t="inlineStr">
        <is>
          <t>V̅MMCDLI</t>
        </is>
      </c>
      <c r="C7452">
        <f>ROMAN(7451)</f>
        <v/>
      </c>
      <c r="D7452">
        <f>IF(B7452=C7452, "YES", "WRONG")</f>
        <v/>
      </c>
    </row>
    <row r="7453">
      <c r="A7453" t="n">
        <v>7452</v>
      </c>
      <c r="B7453" t="inlineStr">
        <is>
          <t>V̅MMCDLII</t>
        </is>
      </c>
      <c r="C7453">
        <f>ROMAN(7452)</f>
        <v/>
      </c>
      <c r="D7453">
        <f>IF(B7453=C7453, "YES", "WRONG")</f>
        <v/>
      </c>
    </row>
    <row r="7454">
      <c r="A7454" t="n">
        <v>7453</v>
      </c>
      <c r="B7454" t="inlineStr">
        <is>
          <t>V̅MMCDLIII</t>
        </is>
      </c>
      <c r="C7454">
        <f>ROMAN(7453)</f>
        <v/>
      </c>
      <c r="D7454">
        <f>IF(B7454=C7454, "YES", "WRONG")</f>
        <v/>
      </c>
    </row>
    <row r="7455">
      <c r="A7455" t="n">
        <v>7454</v>
      </c>
      <c r="B7455" t="inlineStr">
        <is>
          <t>V̅MMCDLIV</t>
        </is>
      </c>
      <c r="C7455">
        <f>ROMAN(7454)</f>
        <v/>
      </c>
      <c r="D7455">
        <f>IF(B7455=C7455, "YES", "WRONG")</f>
        <v/>
      </c>
    </row>
    <row r="7456">
      <c r="A7456" t="n">
        <v>7455</v>
      </c>
      <c r="B7456" t="inlineStr">
        <is>
          <t>V̅MMCDLV</t>
        </is>
      </c>
      <c r="C7456">
        <f>ROMAN(7455)</f>
        <v/>
      </c>
      <c r="D7456">
        <f>IF(B7456=C7456, "YES", "WRONG")</f>
        <v/>
      </c>
    </row>
    <row r="7457">
      <c r="A7457" t="n">
        <v>7456</v>
      </c>
      <c r="B7457" t="inlineStr">
        <is>
          <t>V̅MMCDLVI</t>
        </is>
      </c>
      <c r="C7457">
        <f>ROMAN(7456)</f>
        <v/>
      </c>
      <c r="D7457">
        <f>IF(B7457=C7457, "YES", "WRONG")</f>
        <v/>
      </c>
    </row>
    <row r="7458">
      <c r="A7458" t="n">
        <v>7457</v>
      </c>
      <c r="B7458" t="inlineStr">
        <is>
          <t>V̅MMCDLVII</t>
        </is>
      </c>
      <c r="C7458">
        <f>ROMAN(7457)</f>
        <v/>
      </c>
      <c r="D7458">
        <f>IF(B7458=C7458, "YES", "WRONG")</f>
        <v/>
      </c>
    </row>
    <row r="7459">
      <c r="A7459" t="n">
        <v>7458</v>
      </c>
      <c r="B7459" t="inlineStr">
        <is>
          <t>V̅MMCDLVIII</t>
        </is>
      </c>
      <c r="C7459">
        <f>ROMAN(7458)</f>
        <v/>
      </c>
      <c r="D7459">
        <f>IF(B7459=C7459, "YES", "WRONG")</f>
        <v/>
      </c>
    </row>
    <row r="7460">
      <c r="A7460" t="n">
        <v>7459</v>
      </c>
      <c r="B7460" t="inlineStr">
        <is>
          <t>V̅MMCDLIX</t>
        </is>
      </c>
      <c r="C7460">
        <f>ROMAN(7459)</f>
        <v/>
      </c>
      <c r="D7460">
        <f>IF(B7460=C7460, "YES", "WRONG")</f>
        <v/>
      </c>
    </row>
    <row r="7461">
      <c r="A7461" t="n">
        <v>7460</v>
      </c>
      <c r="B7461" t="inlineStr">
        <is>
          <t>V̅MMCDLX</t>
        </is>
      </c>
      <c r="C7461">
        <f>ROMAN(7460)</f>
        <v/>
      </c>
      <c r="D7461">
        <f>IF(B7461=C7461, "YES", "WRONG")</f>
        <v/>
      </c>
    </row>
    <row r="7462">
      <c r="A7462" t="n">
        <v>7461</v>
      </c>
      <c r="B7462" t="inlineStr">
        <is>
          <t>V̅MMCDLXI</t>
        </is>
      </c>
      <c r="C7462">
        <f>ROMAN(7461)</f>
        <v/>
      </c>
      <c r="D7462">
        <f>IF(B7462=C7462, "YES", "WRONG")</f>
        <v/>
      </c>
    </row>
    <row r="7463">
      <c r="A7463" t="n">
        <v>7462</v>
      </c>
      <c r="B7463" t="inlineStr">
        <is>
          <t>V̅MMCDLXII</t>
        </is>
      </c>
      <c r="C7463">
        <f>ROMAN(7462)</f>
        <v/>
      </c>
      <c r="D7463">
        <f>IF(B7463=C7463, "YES", "WRONG")</f>
        <v/>
      </c>
    </row>
    <row r="7464">
      <c r="A7464" t="n">
        <v>7463</v>
      </c>
      <c r="B7464" t="inlineStr">
        <is>
          <t>V̅MMCDLXIII</t>
        </is>
      </c>
      <c r="C7464">
        <f>ROMAN(7463)</f>
        <v/>
      </c>
      <c r="D7464">
        <f>IF(B7464=C7464, "YES", "WRONG")</f>
        <v/>
      </c>
    </row>
    <row r="7465">
      <c r="A7465" t="n">
        <v>7464</v>
      </c>
      <c r="B7465" t="inlineStr">
        <is>
          <t>V̅MMCDLXIV</t>
        </is>
      </c>
      <c r="C7465">
        <f>ROMAN(7464)</f>
        <v/>
      </c>
      <c r="D7465">
        <f>IF(B7465=C7465, "YES", "WRONG")</f>
        <v/>
      </c>
    </row>
    <row r="7466">
      <c r="A7466" t="n">
        <v>7465</v>
      </c>
      <c r="B7466" t="inlineStr">
        <is>
          <t>V̅MMCDLXV</t>
        </is>
      </c>
      <c r="C7466">
        <f>ROMAN(7465)</f>
        <v/>
      </c>
      <c r="D7466">
        <f>IF(B7466=C7466, "YES", "WRONG")</f>
        <v/>
      </c>
    </row>
    <row r="7467">
      <c r="A7467" t="n">
        <v>7466</v>
      </c>
      <c r="B7467" t="inlineStr">
        <is>
          <t>V̅MMCDLXVI</t>
        </is>
      </c>
      <c r="C7467">
        <f>ROMAN(7466)</f>
        <v/>
      </c>
      <c r="D7467">
        <f>IF(B7467=C7467, "YES", "WRONG")</f>
        <v/>
      </c>
    </row>
    <row r="7468">
      <c r="A7468" t="n">
        <v>7467</v>
      </c>
      <c r="B7468" t="inlineStr">
        <is>
          <t>V̅MMCDLXVII</t>
        </is>
      </c>
      <c r="C7468">
        <f>ROMAN(7467)</f>
        <v/>
      </c>
      <c r="D7468">
        <f>IF(B7468=C7468, "YES", "WRONG")</f>
        <v/>
      </c>
    </row>
    <row r="7469">
      <c r="A7469" t="n">
        <v>7468</v>
      </c>
      <c r="B7469" t="inlineStr">
        <is>
          <t>V̅MMCDLXVIII</t>
        </is>
      </c>
      <c r="C7469">
        <f>ROMAN(7468)</f>
        <v/>
      </c>
      <c r="D7469">
        <f>IF(B7469=C7469, "YES", "WRONG")</f>
        <v/>
      </c>
    </row>
    <row r="7470">
      <c r="A7470" t="n">
        <v>7469</v>
      </c>
      <c r="B7470" t="inlineStr">
        <is>
          <t>V̅MMCDLXIX</t>
        </is>
      </c>
      <c r="C7470">
        <f>ROMAN(7469)</f>
        <v/>
      </c>
      <c r="D7470">
        <f>IF(B7470=C7470, "YES", "WRONG")</f>
        <v/>
      </c>
    </row>
    <row r="7471">
      <c r="A7471" t="n">
        <v>7470</v>
      </c>
      <c r="B7471" t="inlineStr">
        <is>
          <t>V̅MMCDLXX</t>
        </is>
      </c>
      <c r="C7471">
        <f>ROMAN(7470)</f>
        <v/>
      </c>
      <c r="D7471">
        <f>IF(B7471=C7471, "YES", "WRONG")</f>
        <v/>
      </c>
    </row>
    <row r="7472">
      <c r="A7472" t="n">
        <v>7471</v>
      </c>
      <c r="B7472" t="inlineStr">
        <is>
          <t>V̅MMCDLXXI</t>
        </is>
      </c>
      <c r="C7472">
        <f>ROMAN(7471)</f>
        <v/>
      </c>
      <c r="D7472">
        <f>IF(B7472=C7472, "YES", "WRONG")</f>
        <v/>
      </c>
    </row>
    <row r="7473">
      <c r="A7473" t="n">
        <v>7472</v>
      </c>
      <c r="B7473" t="inlineStr">
        <is>
          <t>V̅MMCDLXXII</t>
        </is>
      </c>
      <c r="C7473">
        <f>ROMAN(7472)</f>
        <v/>
      </c>
      <c r="D7473">
        <f>IF(B7473=C7473, "YES", "WRONG")</f>
        <v/>
      </c>
    </row>
    <row r="7474">
      <c r="A7474" t="n">
        <v>7473</v>
      </c>
      <c r="B7474" t="inlineStr">
        <is>
          <t>V̅MMCDLXXIII</t>
        </is>
      </c>
      <c r="C7474">
        <f>ROMAN(7473)</f>
        <v/>
      </c>
      <c r="D7474">
        <f>IF(B7474=C7474, "YES", "WRONG")</f>
        <v/>
      </c>
    </row>
    <row r="7475">
      <c r="A7475" t="n">
        <v>7474</v>
      </c>
      <c r="B7475" t="inlineStr">
        <is>
          <t>V̅MMCDLXXIV</t>
        </is>
      </c>
      <c r="C7475">
        <f>ROMAN(7474)</f>
        <v/>
      </c>
      <c r="D7475">
        <f>IF(B7475=C7475, "YES", "WRONG")</f>
        <v/>
      </c>
    </row>
    <row r="7476">
      <c r="A7476" t="n">
        <v>7475</v>
      </c>
      <c r="B7476" t="inlineStr">
        <is>
          <t>V̅MMCDLXXV</t>
        </is>
      </c>
      <c r="C7476">
        <f>ROMAN(7475)</f>
        <v/>
      </c>
      <c r="D7476">
        <f>IF(B7476=C7476, "YES", "WRONG")</f>
        <v/>
      </c>
    </row>
    <row r="7477">
      <c r="A7477" t="n">
        <v>7476</v>
      </c>
      <c r="B7477" t="inlineStr">
        <is>
          <t>V̅MMCDLXXVI</t>
        </is>
      </c>
      <c r="C7477">
        <f>ROMAN(7476)</f>
        <v/>
      </c>
      <c r="D7477">
        <f>IF(B7477=C7477, "YES", "WRONG")</f>
        <v/>
      </c>
    </row>
    <row r="7478">
      <c r="A7478" t="n">
        <v>7477</v>
      </c>
      <c r="B7478" t="inlineStr">
        <is>
          <t>V̅MMCDLXXVII</t>
        </is>
      </c>
      <c r="C7478">
        <f>ROMAN(7477)</f>
        <v/>
      </c>
      <c r="D7478">
        <f>IF(B7478=C7478, "YES", "WRONG")</f>
        <v/>
      </c>
    </row>
    <row r="7479">
      <c r="A7479" t="n">
        <v>7478</v>
      </c>
      <c r="B7479" t="inlineStr">
        <is>
          <t>V̅MMCDLXXVIII</t>
        </is>
      </c>
      <c r="C7479">
        <f>ROMAN(7478)</f>
        <v/>
      </c>
      <c r="D7479">
        <f>IF(B7479=C7479, "YES", "WRONG")</f>
        <v/>
      </c>
    </row>
    <row r="7480">
      <c r="A7480" t="n">
        <v>7479</v>
      </c>
      <c r="B7480" t="inlineStr">
        <is>
          <t>V̅MMCDLXXIX</t>
        </is>
      </c>
      <c r="C7480">
        <f>ROMAN(7479)</f>
        <v/>
      </c>
      <c r="D7480">
        <f>IF(B7480=C7480, "YES", "WRONG")</f>
        <v/>
      </c>
    </row>
    <row r="7481">
      <c r="A7481" t="n">
        <v>7480</v>
      </c>
      <c r="B7481" t="inlineStr">
        <is>
          <t>V̅MMCDLXXX</t>
        </is>
      </c>
      <c r="C7481">
        <f>ROMAN(7480)</f>
        <v/>
      </c>
      <c r="D7481">
        <f>IF(B7481=C7481, "YES", "WRONG")</f>
        <v/>
      </c>
    </row>
    <row r="7482">
      <c r="A7482" t="n">
        <v>7481</v>
      </c>
      <c r="B7482" t="inlineStr">
        <is>
          <t>V̅MMCDLXXXI</t>
        </is>
      </c>
      <c r="C7482">
        <f>ROMAN(7481)</f>
        <v/>
      </c>
      <c r="D7482">
        <f>IF(B7482=C7482, "YES", "WRONG")</f>
        <v/>
      </c>
    </row>
    <row r="7483">
      <c r="A7483" t="n">
        <v>7482</v>
      </c>
      <c r="B7483" t="inlineStr">
        <is>
          <t>V̅MMCDLXXXII</t>
        </is>
      </c>
      <c r="C7483">
        <f>ROMAN(7482)</f>
        <v/>
      </c>
      <c r="D7483">
        <f>IF(B7483=C7483, "YES", "WRONG")</f>
        <v/>
      </c>
    </row>
    <row r="7484">
      <c r="A7484" t="n">
        <v>7483</v>
      </c>
      <c r="B7484" t="inlineStr">
        <is>
          <t>V̅MMCDLXXXIII</t>
        </is>
      </c>
      <c r="C7484">
        <f>ROMAN(7483)</f>
        <v/>
      </c>
      <c r="D7484">
        <f>IF(B7484=C7484, "YES", "WRONG")</f>
        <v/>
      </c>
    </row>
    <row r="7485">
      <c r="A7485" t="n">
        <v>7484</v>
      </c>
      <c r="B7485" t="inlineStr">
        <is>
          <t>V̅MMCDLXXXIV</t>
        </is>
      </c>
      <c r="C7485">
        <f>ROMAN(7484)</f>
        <v/>
      </c>
      <c r="D7485">
        <f>IF(B7485=C7485, "YES", "WRONG")</f>
        <v/>
      </c>
    </row>
    <row r="7486">
      <c r="A7486" t="n">
        <v>7485</v>
      </c>
      <c r="B7486" t="inlineStr">
        <is>
          <t>V̅MMCDLXXXV</t>
        </is>
      </c>
      <c r="C7486">
        <f>ROMAN(7485)</f>
        <v/>
      </c>
      <c r="D7486">
        <f>IF(B7486=C7486, "YES", "WRONG")</f>
        <v/>
      </c>
    </row>
    <row r="7487">
      <c r="A7487" t="n">
        <v>7486</v>
      </c>
      <c r="B7487" t="inlineStr">
        <is>
          <t>V̅MMCDLXXXVI</t>
        </is>
      </c>
      <c r="C7487">
        <f>ROMAN(7486)</f>
        <v/>
      </c>
      <c r="D7487">
        <f>IF(B7487=C7487, "YES", "WRONG")</f>
        <v/>
      </c>
    </row>
    <row r="7488">
      <c r="A7488" t="n">
        <v>7487</v>
      </c>
      <c r="B7488" t="inlineStr">
        <is>
          <t>V̅MMCDLXXXVII</t>
        </is>
      </c>
      <c r="C7488">
        <f>ROMAN(7487)</f>
        <v/>
      </c>
      <c r="D7488">
        <f>IF(B7488=C7488, "YES", "WRONG")</f>
        <v/>
      </c>
    </row>
    <row r="7489">
      <c r="A7489" t="n">
        <v>7488</v>
      </c>
      <c r="B7489" t="inlineStr">
        <is>
          <t>V̅MMCDLXXXVIII</t>
        </is>
      </c>
      <c r="C7489">
        <f>ROMAN(7488)</f>
        <v/>
      </c>
      <c r="D7489">
        <f>IF(B7489=C7489, "YES", "WRONG")</f>
        <v/>
      </c>
    </row>
    <row r="7490">
      <c r="A7490" t="n">
        <v>7489</v>
      </c>
      <c r="B7490" t="inlineStr">
        <is>
          <t>V̅MMCDLXXXIX</t>
        </is>
      </c>
      <c r="C7490">
        <f>ROMAN(7489)</f>
        <v/>
      </c>
      <c r="D7490">
        <f>IF(B7490=C7490, "YES", "WRONG")</f>
        <v/>
      </c>
    </row>
    <row r="7491">
      <c r="A7491" t="n">
        <v>7490</v>
      </c>
      <c r="B7491" t="inlineStr">
        <is>
          <t>V̅MMCDXC</t>
        </is>
      </c>
      <c r="C7491">
        <f>ROMAN(7490)</f>
        <v/>
      </c>
      <c r="D7491">
        <f>IF(B7491=C7491, "YES", "WRONG")</f>
        <v/>
      </c>
    </row>
    <row r="7492">
      <c r="A7492" t="n">
        <v>7491</v>
      </c>
      <c r="B7492" t="inlineStr">
        <is>
          <t>V̅MMCDXCI</t>
        </is>
      </c>
      <c r="C7492">
        <f>ROMAN(7491)</f>
        <v/>
      </c>
      <c r="D7492">
        <f>IF(B7492=C7492, "YES", "WRONG")</f>
        <v/>
      </c>
    </row>
    <row r="7493">
      <c r="A7493" t="n">
        <v>7492</v>
      </c>
      <c r="B7493" t="inlineStr">
        <is>
          <t>V̅MMCDXCII</t>
        </is>
      </c>
      <c r="C7493">
        <f>ROMAN(7492)</f>
        <v/>
      </c>
      <c r="D7493">
        <f>IF(B7493=C7493, "YES", "WRONG")</f>
        <v/>
      </c>
    </row>
    <row r="7494">
      <c r="A7494" t="n">
        <v>7493</v>
      </c>
      <c r="B7494" t="inlineStr">
        <is>
          <t>V̅MMCDXCIII</t>
        </is>
      </c>
      <c r="C7494">
        <f>ROMAN(7493)</f>
        <v/>
      </c>
      <c r="D7494">
        <f>IF(B7494=C7494, "YES", "WRONG")</f>
        <v/>
      </c>
    </row>
    <row r="7495">
      <c r="A7495" t="n">
        <v>7494</v>
      </c>
      <c r="B7495" t="inlineStr">
        <is>
          <t>V̅MMCDXCIV</t>
        </is>
      </c>
      <c r="C7495">
        <f>ROMAN(7494)</f>
        <v/>
      </c>
      <c r="D7495">
        <f>IF(B7495=C7495, "YES", "WRONG")</f>
        <v/>
      </c>
    </row>
    <row r="7496">
      <c r="A7496" t="n">
        <v>7495</v>
      </c>
      <c r="B7496" t="inlineStr">
        <is>
          <t>V̅MMCDXCV</t>
        </is>
      </c>
      <c r="C7496">
        <f>ROMAN(7495)</f>
        <v/>
      </c>
      <c r="D7496">
        <f>IF(B7496=C7496, "YES", "WRONG")</f>
        <v/>
      </c>
    </row>
    <row r="7497">
      <c r="A7497" t="n">
        <v>7496</v>
      </c>
      <c r="B7497" t="inlineStr">
        <is>
          <t>V̅MMCDXCVI</t>
        </is>
      </c>
      <c r="C7497">
        <f>ROMAN(7496)</f>
        <v/>
      </c>
      <c r="D7497">
        <f>IF(B7497=C7497, "YES", "WRONG")</f>
        <v/>
      </c>
    </row>
    <row r="7498">
      <c r="A7498" t="n">
        <v>7497</v>
      </c>
      <c r="B7498" t="inlineStr">
        <is>
          <t>V̅MMCDXCVII</t>
        </is>
      </c>
      <c r="C7498">
        <f>ROMAN(7497)</f>
        <v/>
      </c>
      <c r="D7498">
        <f>IF(B7498=C7498, "YES", "WRONG")</f>
        <v/>
      </c>
    </row>
    <row r="7499">
      <c r="A7499" t="n">
        <v>7498</v>
      </c>
      <c r="B7499" t="inlineStr">
        <is>
          <t>V̅MMCDXCVIII</t>
        </is>
      </c>
      <c r="C7499">
        <f>ROMAN(7498)</f>
        <v/>
      </c>
      <c r="D7499">
        <f>IF(B7499=C7499, "YES", "WRONG")</f>
        <v/>
      </c>
    </row>
    <row r="7500">
      <c r="A7500" t="n">
        <v>7499</v>
      </c>
      <c r="B7500" t="inlineStr">
        <is>
          <t>V̅MMCDXCIX</t>
        </is>
      </c>
      <c r="C7500">
        <f>ROMAN(7499)</f>
        <v/>
      </c>
      <c r="D7500">
        <f>IF(B7500=C7500, "YES", "WRONG")</f>
        <v/>
      </c>
    </row>
    <row r="7501">
      <c r="A7501" t="n">
        <v>7500</v>
      </c>
      <c r="B7501" t="inlineStr">
        <is>
          <t>V̅MMD</t>
        </is>
      </c>
      <c r="C7501">
        <f>ROMAN(7500)</f>
        <v/>
      </c>
      <c r="D7501">
        <f>IF(B7501=C7501, "YES", "WRONG")</f>
        <v/>
      </c>
    </row>
    <row r="7502">
      <c r="A7502" t="n">
        <v>7501</v>
      </c>
      <c r="B7502" t="inlineStr">
        <is>
          <t>V̅MMDI</t>
        </is>
      </c>
      <c r="C7502">
        <f>ROMAN(7501)</f>
        <v/>
      </c>
      <c r="D7502">
        <f>IF(B7502=C7502, "YES", "WRONG")</f>
        <v/>
      </c>
    </row>
    <row r="7503">
      <c r="A7503" t="n">
        <v>7502</v>
      </c>
      <c r="B7503" t="inlineStr">
        <is>
          <t>V̅MMDII</t>
        </is>
      </c>
      <c r="C7503">
        <f>ROMAN(7502)</f>
        <v/>
      </c>
      <c r="D7503">
        <f>IF(B7503=C7503, "YES", "WRONG")</f>
        <v/>
      </c>
    </row>
    <row r="7504">
      <c r="A7504" t="n">
        <v>7503</v>
      </c>
      <c r="B7504" t="inlineStr">
        <is>
          <t>V̅MMDIII</t>
        </is>
      </c>
      <c r="C7504">
        <f>ROMAN(7503)</f>
        <v/>
      </c>
      <c r="D7504">
        <f>IF(B7504=C7504, "YES", "WRONG")</f>
        <v/>
      </c>
    </row>
    <row r="7505">
      <c r="A7505" t="n">
        <v>7504</v>
      </c>
      <c r="B7505" t="inlineStr">
        <is>
          <t>V̅MMDIV</t>
        </is>
      </c>
      <c r="C7505">
        <f>ROMAN(7504)</f>
        <v/>
      </c>
      <c r="D7505">
        <f>IF(B7505=C7505, "YES", "WRONG")</f>
        <v/>
      </c>
    </row>
    <row r="7506">
      <c r="A7506" t="n">
        <v>7505</v>
      </c>
      <c r="B7506" t="inlineStr">
        <is>
          <t>V̅MMDV</t>
        </is>
      </c>
      <c r="C7506">
        <f>ROMAN(7505)</f>
        <v/>
      </c>
      <c r="D7506">
        <f>IF(B7506=C7506, "YES", "WRONG")</f>
        <v/>
      </c>
    </row>
    <row r="7507">
      <c r="A7507" t="n">
        <v>7506</v>
      </c>
      <c r="B7507" t="inlineStr">
        <is>
          <t>V̅MMDVI</t>
        </is>
      </c>
      <c r="C7507">
        <f>ROMAN(7506)</f>
        <v/>
      </c>
      <c r="D7507">
        <f>IF(B7507=C7507, "YES", "WRONG")</f>
        <v/>
      </c>
    </row>
    <row r="7508">
      <c r="A7508" t="n">
        <v>7507</v>
      </c>
      <c r="B7508" t="inlineStr">
        <is>
          <t>V̅MMDVII</t>
        </is>
      </c>
      <c r="C7508">
        <f>ROMAN(7507)</f>
        <v/>
      </c>
      <c r="D7508">
        <f>IF(B7508=C7508, "YES", "WRONG")</f>
        <v/>
      </c>
    </row>
    <row r="7509">
      <c r="A7509" t="n">
        <v>7508</v>
      </c>
      <c r="B7509" t="inlineStr">
        <is>
          <t>V̅MMDVIII</t>
        </is>
      </c>
      <c r="C7509">
        <f>ROMAN(7508)</f>
        <v/>
      </c>
      <c r="D7509">
        <f>IF(B7509=C7509, "YES", "WRONG")</f>
        <v/>
      </c>
    </row>
    <row r="7510">
      <c r="A7510" t="n">
        <v>7509</v>
      </c>
      <c r="B7510" t="inlineStr">
        <is>
          <t>V̅MMDIX</t>
        </is>
      </c>
      <c r="C7510">
        <f>ROMAN(7509)</f>
        <v/>
      </c>
      <c r="D7510">
        <f>IF(B7510=C7510, "YES", "WRONG")</f>
        <v/>
      </c>
    </row>
    <row r="7511">
      <c r="A7511" t="n">
        <v>7510</v>
      </c>
      <c r="B7511" t="inlineStr">
        <is>
          <t>V̅MMDX</t>
        </is>
      </c>
      <c r="C7511">
        <f>ROMAN(7510)</f>
        <v/>
      </c>
      <c r="D7511">
        <f>IF(B7511=C7511, "YES", "WRONG")</f>
        <v/>
      </c>
    </row>
    <row r="7512">
      <c r="A7512" t="n">
        <v>7511</v>
      </c>
      <c r="B7512" t="inlineStr">
        <is>
          <t>V̅MMDXI</t>
        </is>
      </c>
      <c r="C7512">
        <f>ROMAN(7511)</f>
        <v/>
      </c>
      <c r="D7512">
        <f>IF(B7512=C7512, "YES", "WRONG")</f>
        <v/>
      </c>
    </row>
    <row r="7513">
      <c r="A7513" t="n">
        <v>7512</v>
      </c>
      <c r="B7513" t="inlineStr">
        <is>
          <t>V̅MMDXII</t>
        </is>
      </c>
      <c r="C7513">
        <f>ROMAN(7512)</f>
        <v/>
      </c>
      <c r="D7513">
        <f>IF(B7513=C7513, "YES", "WRONG")</f>
        <v/>
      </c>
    </row>
    <row r="7514">
      <c r="A7514" t="n">
        <v>7513</v>
      </c>
      <c r="B7514" t="inlineStr">
        <is>
          <t>V̅MMDXIII</t>
        </is>
      </c>
      <c r="C7514">
        <f>ROMAN(7513)</f>
        <v/>
      </c>
      <c r="D7514">
        <f>IF(B7514=C7514, "YES", "WRONG")</f>
        <v/>
      </c>
    </row>
    <row r="7515">
      <c r="A7515" t="n">
        <v>7514</v>
      </c>
      <c r="B7515" t="inlineStr">
        <is>
          <t>V̅MMDXIV</t>
        </is>
      </c>
      <c r="C7515">
        <f>ROMAN(7514)</f>
        <v/>
      </c>
      <c r="D7515">
        <f>IF(B7515=C7515, "YES", "WRONG")</f>
        <v/>
      </c>
    </row>
    <row r="7516">
      <c r="A7516" t="n">
        <v>7515</v>
      </c>
      <c r="B7516" t="inlineStr">
        <is>
          <t>V̅MMDXV</t>
        </is>
      </c>
      <c r="C7516">
        <f>ROMAN(7515)</f>
        <v/>
      </c>
      <c r="D7516">
        <f>IF(B7516=C7516, "YES", "WRONG")</f>
        <v/>
      </c>
    </row>
    <row r="7517">
      <c r="A7517" t="n">
        <v>7516</v>
      </c>
      <c r="B7517" t="inlineStr">
        <is>
          <t>V̅MMDXVI</t>
        </is>
      </c>
      <c r="C7517">
        <f>ROMAN(7516)</f>
        <v/>
      </c>
      <c r="D7517">
        <f>IF(B7517=C7517, "YES", "WRONG")</f>
        <v/>
      </c>
    </row>
    <row r="7518">
      <c r="A7518" t="n">
        <v>7517</v>
      </c>
      <c r="B7518" t="inlineStr">
        <is>
          <t>V̅MMDXVII</t>
        </is>
      </c>
      <c r="C7518">
        <f>ROMAN(7517)</f>
        <v/>
      </c>
      <c r="D7518">
        <f>IF(B7518=C7518, "YES", "WRONG")</f>
        <v/>
      </c>
    </row>
    <row r="7519">
      <c r="A7519" t="n">
        <v>7518</v>
      </c>
      <c r="B7519" t="inlineStr">
        <is>
          <t>V̅MMDXVIII</t>
        </is>
      </c>
      <c r="C7519">
        <f>ROMAN(7518)</f>
        <v/>
      </c>
      <c r="D7519">
        <f>IF(B7519=C7519, "YES", "WRONG")</f>
        <v/>
      </c>
    </row>
    <row r="7520">
      <c r="A7520" t="n">
        <v>7519</v>
      </c>
      <c r="B7520" t="inlineStr">
        <is>
          <t>V̅MMDXIX</t>
        </is>
      </c>
      <c r="C7520">
        <f>ROMAN(7519)</f>
        <v/>
      </c>
      <c r="D7520">
        <f>IF(B7520=C7520, "YES", "WRONG")</f>
        <v/>
      </c>
    </row>
    <row r="7521">
      <c r="A7521" t="n">
        <v>7520</v>
      </c>
      <c r="B7521" t="inlineStr">
        <is>
          <t>V̅MMDXX</t>
        </is>
      </c>
      <c r="C7521">
        <f>ROMAN(7520)</f>
        <v/>
      </c>
      <c r="D7521">
        <f>IF(B7521=C7521, "YES", "WRONG")</f>
        <v/>
      </c>
    </row>
    <row r="7522">
      <c r="A7522" t="n">
        <v>7521</v>
      </c>
      <c r="B7522" t="inlineStr">
        <is>
          <t>V̅MMDXXI</t>
        </is>
      </c>
      <c r="C7522">
        <f>ROMAN(7521)</f>
        <v/>
      </c>
      <c r="D7522">
        <f>IF(B7522=C7522, "YES", "WRONG")</f>
        <v/>
      </c>
    </row>
    <row r="7523">
      <c r="A7523" t="n">
        <v>7522</v>
      </c>
      <c r="B7523" t="inlineStr">
        <is>
          <t>V̅MMDXXII</t>
        </is>
      </c>
      <c r="C7523">
        <f>ROMAN(7522)</f>
        <v/>
      </c>
      <c r="D7523">
        <f>IF(B7523=C7523, "YES", "WRONG")</f>
        <v/>
      </c>
    </row>
    <row r="7524">
      <c r="A7524" t="n">
        <v>7523</v>
      </c>
      <c r="B7524" t="inlineStr">
        <is>
          <t>V̅MMDXXIII</t>
        </is>
      </c>
      <c r="C7524">
        <f>ROMAN(7523)</f>
        <v/>
      </c>
      <c r="D7524">
        <f>IF(B7524=C7524, "YES", "WRONG")</f>
        <v/>
      </c>
    </row>
    <row r="7525">
      <c r="A7525" t="n">
        <v>7524</v>
      </c>
      <c r="B7525" t="inlineStr">
        <is>
          <t>V̅MMDXXIV</t>
        </is>
      </c>
      <c r="C7525">
        <f>ROMAN(7524)</f>
        <v/>
      </c>
      <c r="D7525">
        <f>IF(B7525=C7525, "YES", "WRONG")</f>
        <v/>
      </c>
    </row>
    <row r="7526">
      <c r="A7526" t="n">
        <v>7525</v>
      </c>
      <c r="B7526" t="inlineStr">
        <is>
          <t>V̅MMDXXV</t>
        </is>
      </c>
      <c r="C7526">
        <f>ROMAN(7525)</f>
        <v/>
      </c>
      <c r="D7526">
        <f>IF(B7526=C7526, "YES", "WRONG")</f>
        <v/>
      </c>
    </row>
    <row r="7527">
      <c r="A7527" t="n">
        <v>7526</v>
      </c>
      <c r="B7527" t="inlineStr">
        <is>
          <t>V̅MMDXXVI</t>
        </is>
      </c>
      <c r="C7527">
        <f>ROMAN(7526)</f>
        <v/>
      </c>
      <c r="D7527">
        <f>IF(B7527=C7527, "YES", "WRONG")</f>
        <v/>
      </c>
    </row>
    <row r="7528">
      <c r="A7528" t="n">
        <v>7527</v>
      </c>
      <c r="B7528" t="inlineStr">
        <is>
          <t>V̅MMDXXVII</t>
        </is>
      </c>
      <c r="C7528">
        <f>ROMAN(7527)</f>
        <v/>
      </c>
      <c r="D7528">
        <f>IF(B7528=C7528, "YES", "WRONG")</f>
        <v/>
      </c>
    </row>
    <row r="7529">
      <c r="A7529" t="n">
        <v>7528</v>
      </c>
      <c r="B7529" t="inlineStr">
        <is>
          <t>V̅MMDXXVIII</t>
        </is>
      </c>
      <c r="C7529">
        <f>ROMAN(7528)</f>
        <v/>
      </c>
      <c r="D7529">
        <f>IF(B7529=C7529, "YES", "WRONG")</f>
        <v/>
      </c>
    </row>
    <row r="7530">
      <c r="A7530" t="n">
        <v>7529</v>
      </c>
      <c r="B7530" t="inlineStr">
        <is>
          <t>V̅MMDXXIX</t>
        </is>
      </c>
      <c r="C7530">
        <f>ROMAN(7529)</f>
        <v/>
      </c>
      <c r="D7530">
        <f>IF(B7530=C7530, "YES", "WRONG")</f>
        <v/>
      </c>
    </row>
    <row r="7531">
      <c r="A7531" t="n">
        <v>7530</v>
      </c>
      <c r="B7531" t="inlineStr">
        <is>
          <t>V̅MMDXXX</t>
        </is>
      </c>
      <c r="C7531">
        <f>ROMAN(7530)</f>
        <v/>
      </c>
      <c r="D7531">
        <f>IF(B7531=C7531, "YES", "WRONG")</f>
        <v/>
      </c>
    </row>
    <row r="7532">
      <c r="A7532" t="n">
        <v>7531</v>
      </c>
      <c r="B7532" t="inlineStr">
        <is>
          <t>V̅MMDXXXI</t>
        </is>
      </c>
      <c r="C7532">
        <f>ROMAN(7531)</f>
        <v/>
      </c>
      <c r="D7532">
        <f>IF(B7532=C7532, "YES", "WRONG")</f>
        <v/>
      </c>
    </row>
    <row r="7533">
      <c r="A7533" t="n">
        <v>7532</v>
      </c>
      <c r="B7533" t="inlineStr">
        <is>
          <t>V̅MMDXXXII</t>
        </is>
      </c>
      <c r="C7533">
        <f>ROMAN(7532)</f>
        <v/>
      </c>
      <c r="D7533">
        <f>IF(B7533=C7533, "YES", "WRONG")</f>
        <v/>
      </c>
    </row>
    <row r="7534">
      <c r="A7534" t="n">
        <v>7533</v>
      </c>
      <c r="B7534" t="inlineStr">
        <is>
          <t>V̅MMDXXXIII</t>
        </is>
      </c>
      <c r="C7534">
        <f>ROMAN(7533)</f>
        <v/>
      </c>
      <c r="D7534">
        <f>IF(B7534=C7534, "YES", "WRONG")</f>
        <v/>
      </c>
    </row>
    <row r="7535">
      <c r="A7535" t="n">
        <v>7534</v>
      </c>
      <c r="B7535" t="inlineStr">
        <is>
          <t>V̅MMDXXXIV</t>
        </is>
      </c>
      <c r="C7535">
        <f>ROMAN(7534)</f>
        <v/>
      </c>
      <c r="D7535">
        <f>IF(B7535=C7535, "YES", "WRONG")</f>
        <v/>
      </c>
    </row>
    <row r="7536">
      <c r="A7536" t="n">
        <v>7535</v>
      </c>
      <c r="B7536" t="inlineStr">
        <is>
          <t>V̅MMDXXXV</t>
        </is>
      </c>
      <c r="C7536">
        <f>ROMAN(7535)</f>
        <v/>
      </c>
      <c r="D7536">
        <f>IF(B7536=C7536, "YES", "WRONG")</f>
        <v/>
      </c>
    </row>
    <row r="7537">
      <c r="A7537" t="n">
        <v>7536</v>
      </c>
      <c r="B7537" t="inlineStr">
        <is>
          <t>V̅MMDXXXVI</t>
        </is>
      </c>
      <c r="C7537">
        <f>ROMAN(7536)</f>
        <v/>
      </c>
      <c r="D7537">
        <f>IF(B7537=C7537, "YES", "WRONG")</f>
        <v/>
      </c>
    </row>
    <row r="7538">
      <c r="A7538" t="n">
        <v>7537</v>
      </c>
      <c r="B7538" t="inlineStr">
        <is>
          <t>V̅MMDXXXVII</t>
        </is>
      </c>
      <c r="C7538">
        <f>ROMAN(7537)</f>
        <v/>
      </c>
      <c r="D7538">
        <f>IF(B7538=C7538, "YES", "WRONG")</f>
        <v/>
      </c>
    </row>
    <row r="7539">
      <c r="A7539" t="n">
        <v>7538</v>
      </c>
      <c r="B7539" t="inlineStr">
        <is>
          <t>V̅MMDXXXVIII</t>
        </is>
      </c>
      <c r="C7539">
        <f>ROMAN(7538)</f>
        <v/>
      </c>
      <c r="D7539">
        <f>IF(B7539=C7539, "YES", "WRONG")</f>
        <v/>
      </c>
    </row>
    <row r="7540">
      <c r="A7540" t="n">
        <v>7539</v>
      </c>
      <c r="B7540" t="inlineStr">
        <is>
          <t>V̅MMDXXXIX</t>
        </is>
      </c>
      <c r="C7540">
        <f>ROMAN(7539)</f>
        <v/>
      </c>
      <c r="D7540">
        <f>IF(B7540=C7540, "YES", "WRONG")</f>
        <v/>
      </c>
    </row>
    <row r="7541">
      <c r="A7541" t="n">
        <v>7540</v>
      </c>
      <c r="B7541" t="inlineStr">
        <is>
          <t>V̅MMDXL</t>
        </is>
      </c>
      <c r="C7541">
        <f>ROMAN(7540)</f>
        <v/>
      </c>
      <c r="D7541">
        <f>IF(B7541=C7541, "YES", "WRONG")</f>
        <v/>
      </c>
    </row>
    <row r="7542">
      <c r="A7542" t="n">
        <v>7541</v>
      </c>
      <c r="B7542" t="inlineStr">
        <is>
          <t>V̅MMDXLI</t>
        </is>
      </c>
      <c r="C7542">
        <f>ROMAN(7541)</f>
        <v/>
      </c>
      <c r="D7542">
        <f>IF(B7542=C7542, "YES", "WRONG")</f>
        <v/>
      </c>
    </row>
    <row r="7543">
      <c r="A7543" t="n">
        <v>7542</v>
      </c>
      <c r="B7543" t="inlineStr">
        <is>
          <t>V̅MMDXLII</t>
        </is>
      </c>
      <c r="C7543">
        <f>ROMAN(7542)</f>
        <v/>
      </c>
      <c r="D7543">
        <f>IF(B7543=C7543, "YES", "WRONG")</f>
        <v/>
      </c>
    </row>
    <row r="7544">
      <c r="A7544" t="n">
        <v>7543</v>
      </c>
      <c r="B7544" t="inlineStr">
        <is>
          <t>V̅MMDXLIII</t>
        </is>
      </c>
      <c r="C7544">
        <f>ROMAN(7543)</f>
        <v/>
      </c>
      <c r="D7544">
        <f>IF(B7544=C7544, "YES", "WRONG")</f>
        <v/>
      </c>
    </row>
    <row r="7545">
      <c r="A7545" t="n">
        <v>7544</v>
      </c>
      <c r="B7545" t="inlineStr">
        <is>
          <t>V̅MMDXLIV</t>
        </is>
      </c>
      <c r="C7545">
        <f>ROMAN(7544)</f>
        <v/>
      </c>
      <c r="D7545">
        <f>IF(B7545=C7545, "YES", "WRONG")</f>
        <v/>
      </c>
    </row>
    <row r="7546">
      <c r="A7546" t="n">
        <v>7545</v>
      </c>
      <c r="B7546" t="inlineStr">
        <is>
          <t>V̅MMDXLV</t>
        </is>
      </c>
      <c r="C7546">
        <f>ROMAN(7545)</f>
        <v/>
      </c>
      <c r="D7546">
        <f>IF(B7546=C7546, "YES", "WRONG")</f>
        <v/>
      </c>
    </row>
    <row r="7547">
      <c r="A7547" t="n">
        <v>7546</v>
      </c>
      <c r="B7547" t="inlineStr">
        <is>
          <t>V̅MMDXLVI</t>
        </is>
      </c>
      <c r="C7547">
        <f>ROMAN(7546)</f>
        <v/>
      </c>
      <c r="D7547">
        <f>IF(B7547=C7547, "YES", "WRONG")</f>
        <v/>
      </c>
    </row>
    <row r="7548">
      <c r="A7548" t="n">
        <v>7547</v>
      </c>
      <c r="B7548" t="inlineStr">
        <is>
          <t>V̅MMDXLVII</t>
        </is>
      </c>
      <c r="C7548">
        <f>ROMAN(7547)</f>
        <v/>
      </c>
      <c r="D7548">
        <f>IF(B7548=C7548, "YES", "WRONG")</f>
        <v/>
      </c>
    </row>
    <row r="7549">
      <c r="A7549" t="n">
        <v>7548</v>
      </c>
      <c r="B7549" t="inlineStr">
        <is>
          <t>V̅MMDXLVIII</t>
        </is>
      </c>
      <c r="C7549">
        <f>ROMAN(7548)</f>
        <v/>
      </c>
      <c r="D7549">
        <f>IF(B7549=C7549, "YES", "WRONG")</f>
        <v/>
      </c>
    </row>
    <row r="7550">
      <c r="A7550" t="n">
        <v>7549</v>
      </c>
      <c r="B7550" t="inlineStr">
        <is>
          <t>V̅MMDXLIX</t>
        </is>
      </c>
      <c r="C7550">
        <f>ROMAN(7549)</f>
        <v/>
      </c>
      <c r="D7550">
        <f>IF(B7550=C7550, "YES", "WRONG")</f>
        <v/>
      </c>
    </row>
    <row r="7551">
      <c r="A7551" t="n">
        <v>7550</v>
      </c>
      <c r="B7551" t="inlineStr">
        <is>
          <t>V̅MMDL</t>
        </is>
      </c>
      <c r="C7551">
        <f>ROMAN(7550)</f>
        <v/>
      </c>
      <c r="D7551">
        <f>IF(B7551=C7551, "YES", "WRONG")</f>
        <v/>
      </c>
    </row>
    <row r="7552">
      <c r="A7552" t="n">
        <v>7551</v>
      </c>
      <c r="B7552" t="inlineStr">
        <is>
          <t>V̅MMDLI</t>
        </is>
      </c>
      <c r="C7552">
        <f>ROMAN(7551)</f>
        <v/>
      </c>
      <c r="D7552">
        <f>IF(B7552=C7552, "YES", "WRONG")</f>
        <v/>
      </c>
    </row>
    <row r="7553">
      <c r="A7553" t="n">
        <v>7552</v>
      </c>
      <c r="B7553" t="inlineStr">
        <is>
          <t>V̅MMDLII</t>
        </is>
      </c>
      <c r="C7553">
        <f>ROMAN(7552)</f>
        <v/>
      </c>
      <c r="D7553">
        <f>IF(B7553=C7553, "YES", "WRONG")</f>
        <v/>
      </c>
    </row>
    <row r="7554">
      <c r="A7554" t="n">
        <v>7553</v>
      </c>
      <c r="B7554" t="inlineStr">
        <is>
          <t>V̅MMDLIII</t>
        </is>
      </c>
      <c r="C7554">
        <f>ROMAN(7553)</f>
        <v/>
      </c>
      <c r="D7554">
        <f>IF(B7554=C7554, "YES", "WRONG")</f>
        <v/>
      </c>
    </row>
    <row r="7555">
      <c r="A7555" t="n">
        <v>7554</v>
      </c>
      <c r="B7555" t="inlineStr">
        <is>
          <t>V̅MMDLIV</t>
        </is>
      </c>
      <c r="C7555">
        <f>ROMAN(7554)</f>
        <v/>
      </c>
      <c r="D7555">
        <f>IF(B7555=C7555, "YES", "WRONG")</f>
        <v/>
      </c>
    </row>
    <row r="7556">
      <c r="A7556" t="n">
        <v>7555</v>
      </c>
      <c r="B7556" t="inlineStr">
        <is>
          <t>V̅MMDLV</t>
        </is>
      </c>
      <c r="C7556">
        <f>ROMAN(7555)</f>
        <v/>
      </c>
      <c r="D7556">
        <f>IF(B7556=C7556, "YES", "WRONG")</f>
        <v/>
      </c>
    </row>
    <row r="7557">
      <c r="A7557" t="n">
        <v>7556</v>
      </c>
      <c r="B7557" t="inlineStr">
        <is>
          <t>V̅MMDLVI</t>
        </is>
      </c>
      <c r="C7557">
        <f>ROMAN(7556)</f>
        <v/>
      </c>
      <c r="D7557">
        <f>IF(B7557=C7557, "YES", "WRONG")</f>
        <v/>
      </c>
    </row>
    <row r="7558">
      <c r="A7558" t="n">
        <v>7557</v>
      </c>
      <c r="B7558" t="inlineStr">
        <is>
          <t>V̅MMDLVII</t>
        </is>
      </c>
      <c r="C7558">
        <f>ROMAN(7557)</f>
        <v/>
      </c>
      <c r="D7558">
        <f>IF(B7558=C7558, "YES", "WRONG")</f>
        <v/>
      </c>
    </row>
    <row r="7559">
      <c r="A7559" t="n">
        <v>7558</v>
      </c>
      <c r="B7559" t="inlineStr">
        <is>
          <t>V̅MMDLVIII</t>
        </is>
      </c>
      <c r="C7559">
        <f>ROMAN(7558)</f>
        <v/>
      </c>
      <c r="D7559">
        <f>IF(B7559=C7559, "YES", "WRONG")</f>
        <v/>
      </c>
    </row>
    <row r="7560">
      <c r="A7560" t="n">
        <v>7559</v>
      </c>
      <c r="B7560" t="inlineStr">
        <is>
          <t>V̅MMDLIX</t>
        </is>
      </c>
      <c r="C7560">
        <f>ROMAN(7559)</f>
        <v/>
      </c>
      <c r="D7560">
        <f>IF(B7560=C7560, "YES", "WRONG")</f>
        <v/>
      </c>
    </row>
    <row r="7561">
      <c r="A7561" t="n">
        <v>7560</v>
      </c>
      <c r="B7561" t="inlineStr">
        <is>
          <t>V̅MMDLX</t>
        </is>
      </c>
      <c r="C7561">
        <f>ROMAN(7560)</f>
        <v/>
      </c>
      <c r="D7561">
        <f>IF(B7561=C7561, "YES", "WRONG")</f>
        <v/>
      </c>
    </row>
    <row r="7562">
      <c r="A7562" t="n">
        <v>7561</v>
      </c>
      <c r="B7562" t="inlineStr">
        <is>
          <t>V̅MMDLXI</t>
        </is>
      </c>
      <c r="C7562">
        <f>ROMAN(7561)</f>
        <v/>
      </c>
      <c r="D7562">
        <f>IF(B7562=C7562, "YES", "WRONG")</f>
        <v/>
      </c>
    </row>
    <row r="7563">
      <c r="A7563" t="n">
        <v>7562</v>
      </c>
      <c r="B7563" t="inlineStr">
        <is>
          <t>V̅MMDLXII</t>
        </is>
      </c>
      <c r="C7563">
        <f>ROMAN(7562)</f>
        <v/>
      </c>
      <c r="D7563">
        <f>IF(B7563=C7563, "YES", "WRONG")</f>
        <v/>
      </c>
    </row>
    <row r="7564">
      <c r="A7564" t="n">
        <v>7563</v>
      </c>
      <c r="B7564" t="inlineStr">
        <is>
          <t>V̅MMDLXIII</t>
        </is>
      </c>
      <c r="C7564">
        <f>ROMAN(7563)</f>
        <v/>
      </c>
      <c r="D7564">
        <f>IF(B7564=C7564, "YES", "WRONG")</f>
        <v/>
      </c>
    </row>
    <row r="7565">
      <c r="A7565" t="n">
        <v>7564</v>
      </c>
      <c r="B7565" t="inlineStr">
        <is>
          <t>V̅MMDLXIV</t>
        </is>
      </c>
      <c r="C7565">
        <f>ROMAN(7564)</f>
        <v/>
      </c>
      <c r="D7565">
        <f>IF(B7565=C7565, "YES", "WRONG")</f>
        <v/>
      </c>
    </row>
    <row r="7566">
      <c r="A7566" t="n">
        <v>7565</v>
      </c>
      <c r="B7566" t="inlineStr">
        <is>
          <t>V̅MMDLXV</t>
        </is>
      </c>
      <c r="C7566">
        <f>ROMAN(7565)</f>
        <v/>
      </c>
      <c r="D7566">
        <f>IF(B7566=C7566, "YES", "WRONG")</f>
        <v/>
      </c>
    </row>
    <row r="7567">
      <c r="A7567" t="n">
        <v>7566</v>
      </c>
      <c r="B7567" t="inlineStr">
        <is>
          <t>V̅MMDLXVI</t>
        </is>
      </c>
      <c r="C7567">
        <f>ROMAN(7566)</f>
        <v/>
      </c>
      <c r="D7567">
        <f>IF(B7567=C7567, "YES", "WRONG")</f>
        <v/>
      </c>
    </row>
    <row r="7568">
      <c r="A7568" t="n">
        <v>7567</v>
      </c>
      <c r="B7568" t="inlineStr">
        <is>
          <t>V̅MMDLXVII</t>
        </is>
      </c>
      <c r="C7568">
        <f>ROMAN(7567)</f>
        <v/>
      </c>
      <c r="D7568">
        <f>IF(B7568=C7568, "YES", "WRONG")</f>
        <v/>
      </c>
    </row>
    <row r="7569">
      <c r="A7569" t="n">
        <v>7568</v>
      </c>
      <c r="B7569" t="inlineStr">
        <is>
          <t>V̅MMDLXVIII</t>
        </is>
      </c>
      <c r="C7569">
        <f>ROMAN(7568)</f>
        <v/>
      </c>
      <c r="D7569">
        <f>IF(B7569=C7569, "YES", "WRONG")</f>
        <v/>
      </c>
    </row>
    <row r="7570">
      <c r="A7570" t="n">
        <v>7569</v>
      </c>
      <c r="B7570" t="inlineStr">
        <is>
          <t>V̅MMDLXIX</t>
        </is>
      </c>
      <c r="C7570">
        <f>ROMAN(7569)</f>
        <v/>
      </c>
      <c r="D7570">
        <f>IF(B7570=C7570, "YES", "WRONG")</f>
        <v/>
      </c>
    </row>
    <row r="7571">
      <c r="A7571" t="n">
        <v>7570</v>
      </c>
      <c r="B7571" t="inlineStr">
        <is>
          <t>V̅MMDLXX</t>
        </is>
      </c>
      <c r="C7571">
        <f>ROMAN(7570)</f>
        <v/>
      </c>
      <c r="D7571">
        <f>IF(B7571=C7571, "YES", "WRONG")</f>
        <v/>
      </c>
    </row>
    <row r="7572">
      <c r="A7572" t="n">
        <v>7571</v>
      </c>
      <c r="B7572" t="inlineStr">
        <is>
          <t>V̅MMDLXXI</t>
        </is>
      </c>
      <c r="C7572">
        <f>ROMAN(7571)</f>
        <v/>
      </c>
      <c r="D7572">
        <f>IF(B7572=C7572, "YES", "WRONG")</f>
        <v/>
      </c>
    </row>
    <row r="7573">
      <c r="A7573" t="n">
        <v>7572</v>
      </c>
      <c r="B7573" t="inlineStr">
        <is>
          <t>V̅MMDLXXII</t>
        </is>
      </c>
      <c r="C7573">
        <f>ROMAN(7572)</f>
        <v/>
      </c>
      <c r="D7573">
        <f>IF(B7573=C7573, "YES", "WRONG")</f>
        <v/>
      </c>
    </row>
    <row r="7574">
      <c r="A7574" t="n">
        <v>7573</v>
      </c>
      <c r="B7574" t="inlineStr">
        <is>
          <t>V̅MMDLXXIII</t>
        </is>
      </c>
      <c r="C7574">
        <f>ROMAN(7573)</f>
        <v/>
      </c>
      <c r="D7574">
        <f>IF(B7574=C7574, "YES", "WRONG")</f>
        <v/>
      </c>
    </row>
    <row r="7575">
      <c r="A7575" t="n">
        <v>7574</v>
      </c>
      <c r="B7575" t="inlineStr">
        <is>
          <t>V̅MMDLXXIV</t>
        </is>
      </c>
      <c r="C7575">
        <f>ROMAN(7574)</f>
        <v/>
      </c>
      <c r="D7575">
        <f>IF(B7575=C7575, "YES", "WRONG")</f>
        <v/>
      </c>
    </row>
    <row r="7576">
      <c r="A7576" t="n">
        <v>7575</v>
      </c>
      <c r="B7576" t="inlineStr">
        <is>
          <t>V̅MMDLXXV</t>
        </is>
      </c>
      <c r="C7576">
        <f>ROMAN(7575)</f>
        <v/>
      </c>
      <c r="D7576">
        <f>IF(B7576=C7576, "YES", "WRONG")</f>
        <v/>
      </c>
    </row>
    <row r="7577">
      <c r="A7577" t="n">
        <v>7576</v>
      </c>
      <c r="B7577" t="inlineStr">
        <is>
          <t>V̅MMDLXXVI</t>
        </is>
      </c>
      <c r="C7577">
        <f>ROMAN(7576)</f>
        <v/>
      </c>
      <c r="D7577">
        <f>IF(B7577=C7577, "YES", "WRONG")</f>
        <v/>
      </c>
    </row>
    <row r="7578">
      <c r="A7578" t="n">
        <v>7577</v>
      </c>
      <c r="B7578" t="inlineStr">
        <is>
          <t>V̅MMDLXXVII</t>
        </is>
      </c>
      <c r="C7578">
        <f>ROMAN(7577)</f>
        <v/>
      </c>
      <c r="D7578">
        <f>IF(B7578=C7578, "YES", "WRONG")</f>
        <v/>
      </c>
    </row>
    <row r="7579">
      <c r="A7579" t="n">
        <v>7578</v>
      </c>
      <c r="B7579" t="inlineStr">
        <is>
          <t>V̅MMDLXXVIII</t>
        </is>
      </c>
      <c r="C7579">
        <f>ROMAN(7578)</f>
        <v/>
      </c>
      <c r="D7579">
        <f>IF(B7579=C7579, "YES", "WRONG")</f>
        <v/>
      </c>
    </row>
    <row r="7580">
      <c r="A7580" t="n">
        <v>7579</v>
      </c>
      <c r="B7580" t="inlineStr">
        <is>
          <t>V̅MMDLXXIX</t>
        </is>
      </c>
      <c r="C7580">
        <f>ROMAN(7579)</f>
        <v/>
      </c>
      <c r="D7580">
        <f>IF(B7580=C7580, "YES", "WRONG")</f>
        <v/>
      </c>
    </row>
    <row r="7581">
      <c r="A7581" t="n">
        <v>7580</v>
      </c>
      <c r="B7581" t="inlineStr">
        <is>
          <t>V̅MMDLXXX</t>
        </is>
      </c>
      <c r="C7581">
        <f>ROMAN(7580)</f>
        <v/>
      </c>
      <c r="D7581">
        <f>IF(B7581=C7581, "YES", "WRONG")</f>
        <v/>
      </c>
    </row>
    <row r="7582">
      <c r="A7582" t="n">
        <v>7581</v>
      </c>
      <c r="B7582" t="inlineStr">
        <is>
          <t>V̅MMDLXXXI</t>
        </is>
      </c>
      <c r="C7582">
        <f>ROMAN(7581)</f>
        <v/>
      </c>
      <c r="D7582">
        <f>IF(B7582=C7582, "YES", "WRONG")</f>
        <v/>
      </c>
    </row>
    <row r="7583">
      <c r="A7583" t="n">
        <v>7582</v>
      </c>
      <c r="B7583" t="inlineStr">
        <is>
          <t>V̅MMDLXXXII</t>
        </is>
      </c>
      <c r="C7583">
        <f>ROMAN(7582)</f>
        <v/>
      </c>
      <c r="D7583">
        <f>IF(B7583=C7583, "YES", "WRONG")</f>
        <v/>
      </c>
    </row>
    <row r="7584">
      <c r="A7584" t="n">
        <v>7583</v>
      </c>
      <c r="B7584" t="inlineStr">
        <is>
          <t>V̅MMDLXXXIII</t>
        </is>
      </c>
      <c r="C7584">
        <f>ROMAN(7583)</f>
        <v/>
      </c>
      <c r="D7584">
        <f>IF(B7584=C7584, "YES", "WRONG")</f>
        <v/>
      </c>
    </row>
    <row r="7585">
      <c r="A7585" t="n">
        <v>7584</v>
      </c>
      <c r="B7585" t="inlineStr">
        <is>
          <t>V̅MMDLXXXIV</t>
        </is>
      </c>
      <c r="C7585">
        <f>ROMAN(7584)</f>
        <v/>
      </c>
      <c r="D7585">
        <f>IF(B7585=C7585, "YES", "WRONG")</f>
        <v/>
      </c>
    </row>
    <row r="7586">
      <c r="A7586" t="n">
        <v>7585</v>
      </c>
      <c r="B7586" t="inlineStr">
        <is>
          <t>V̅MMDLXXXV</t>
        </is>
      </c>
      <c r="C7586">
        <f>ROMAN(7585)</f>
        <v/>
      </c>
      <c r="D7586">
        <f>IF(B7586=C7586, "YES", "WRONG")</f>
        <v/>
      </c>
    </row>
    <row r="7587">
      <c r="A7587" t="n">
        <v>7586</v>
      </c>
      <c r="B7587" t="inlineStr">
        <is>
          <t>V̅MMDLXXXVI</t>
        </is>
      </c>
      <c r="C7587">
        <f>ROMAN(7586)</f>
        <v/>
      </c>
      <c r="D7587">
        <f>IF(B7587=C7587, "YES", "WRONG")</f>
        <v/>
      </c>
    </row>
    <row r="7588">
      <c r="A7588" t="n">
        <v>7587</v>
      </c>
      <c r="B7588" t="inlineStr">
        <is>
          <t>V̅MMDLXXXVII</t>
        </is>
      </c>
      <c r="C7588">
        <f>ROMAN(7587)</f>
        <v/>
      </c>
      <c r="D7588">
        <f>IF(B7588=C7588, "YES", "WRONG")</f>
        <v/>
      </c>
    </row>
    <row r="7589">
      <c r="A7589" t="n">
        <v>7588</v>
      </c>
      <c r="B7589" t="inlineStr">
        <is>
          <t>V̅MMDLXXXVIII</t>
        </is>
      </c>
      <c r="C7589">
        <f>ROMAN(7588)</f>
        <v/>
      </c>
      <c r="D7589">
        <f>IF(B7589=C7589, "YES", "WRONG")</f>
        <v/>
      </c>
    </row>
    <row r="7590">
      <c r="A7590" t="n">
        <v>7589</v>
      </c>
      <c r="B7590" t="inlineStr">
        <is>
          <t>V̅MMDLXXXIX</t>
        </is>
      </c>
      <c r="C7590">
        <f>ROMAN(7589)</f>
        <v/>
      </c>
      <c r="D7590">
        <f>IF(B7590=C7590, "YES", "WRONG")</f>
        <v/>
      </c>
    </row>
    <row r="7591">
      <c r="A7591" t="n">
        <v>7590</v>
      </c>
      <c r="B7591" t="inlineStr">
        <is>
          <t>V̅MMDXC</t>
        </is>
      </c>
      <c r="C7591">
        <f>ROMAN(7590)</f>
        <v/>
      </c>
      <c r="D7591">
        <f>IF(B7591=C7591, "YES", "WRONG")</f>
        <v/>
      </c>
    </row>
    <row r="7592">
      <c r="A7592" t="n">
        <v>7591</v>
      </c>
      <c r="B7592" t="inlineStr">
        <is>
          <t>V̅MMDXCI</t>
        </is>
      </c>
      <c r="C7592">
        <f>ROMAN(7591)</f>
        <v/>
      </c>
      <c r="D7592">
        <f>IF(B7592=C7592, "YES", "WRONG")</f>
        <v/>
      </c>
    </row>
    <row r="7593">
      <c r="A7593" t="n">
        <v>7592</v>
      </c>
      <c r="B7593" t="inlineStr">
        <is>
          <t>V̅MMDXCII</t>
        </is>
      </c>
      <c r="C7593">
        <f>ROMAN(7592)</f>
        <v/>
      </c>
      <c r="D7593">
        <f>IF(B7593=C7593, "YES", "WRONG")</f>
        <v/>
      </c>
    </row>
    <row r="7594">
      <c r="A7594" t="n">
        <v>7593</v>
      </c>
      <c r="B7594" t="inlineStr">
        <is>
          <t>V̅MMDXCIII</t>
        </is>
      </c>
      <c r="C7594">
        <f>ROMAN(7593)</f>
        <v/>
      </c>
      <c r="D7594">
        <f>IF(B7594=C7594, "YES", "WRONG")</f>
        <v/>
      </c>
    </row>
    <row r="7595">
      <c r="A7595" t="n">
        <v>7594</v>
      </c>
      <c r="B7595" t="inlineStr">
        <is>
          <t>V̅MMDXCIV</t>
        </is>
      </c>
      <c r="C7595">
        <f>ROMAN(7594)</f>
        <v/>
      </c>
      <c r="D7595">
        <f>IF(B7595=C7595, "YES", "WRONG")</f>
        <v/>
      </c>
    </row>
    <row r="7596">
      <c r="A7596" t="n">
        <v>7595</v>
      </c>
      <c r="B7596" t="inlineStr">
        <is>
          <t>V̅MMDXCV</t>
        </is>
      </c>
      <c r="C7596">
        <f>ROMAN(7595)</f>
        <v/>
      </c>
      <c r="D7596">
        <f>IF(B7596=C7596, "YES", "WRONG")</f>
        <v/>
      </c>
    </row>
    <row r="7597">
      <c r="A7597" t="n">
        <v>7596</v>
      </c>
      <c r="B7597" t="inlineStr">
        <is>
          <t>V̅MMDXCVI</t>
        </is>
      </c>
      <c r="C7597">
        <f>ROMAN(7596)</f>
        <v/>
      </c>
      <c r="D7597">
        <f>IF(B7597=C7597, "YES", "WRONG")</f>
        <v/>
      </c>
    </row>
    <row r="7598">
      <c r="A7598" t="n">
        <v>7597</v>
      </c>
      <c r="B7598" t="inlineStr">
        <is>
          <t>V̅MMDXCVII</t>
        </is>
      </c>
      <c r="C7598">
        <f>ROMAN(7597)</f>
        <v/>
      </c>
      <c r="D7598">
        <f>IF(B7598=C7598, "YES", "WRONG")</f>
        <v/>
      </c>
    </row>
    <row r="7599">
      <c r="A7599" t="n">
        <v>7598</v>
      </c>
      <c r="B7599" t="inlineStr">
        <is>
          <t>V̅MMDXCVIII</t>
        </is>
      </c>
      <c r="C7599">
        <f>ROMAN(7598)</f>
        <v/>
      </c>
      <c r="D7599">
        <f>IF(B7599=C7599, "YES", "WRONG")</f>
        <v/>
      </c>
    </row>
    <row r="7600">
      <c r="A7600" t="n">
        <v>7599</v>
      </c>
      <c r="B7600" t="inlineStr">
        <is>
          <t>V̅MMDXCIX</t>
        </is>
      </c>
      <c r="C7600">
        <f>ROMAN(7599)</f>
        <v/>
      </c>
      <c r="D7600">
        <f>IF(B7600=C7600, "YES", "WRONG")</f>
        <v/>
      </c>
    </row>
    <row r="7601">
      <c r="A7601" t="n">
        <v>7600</v>
      </c>
      <c r="B7601" t="inlineStr">
        <is>
          <t>V̅MMDC</t>
        </is>
      </c>
      <c r="C7601">
        <f>ROMAN(7600)</f>
        <v/>
      </c>
      <c r="D7601">
        <f>IF(B7601=C7601, "YES", "WRONG")</f>
        <v/>
      </c>
    </row>
    <row r="7602">
      <c r="A7602" t="n">
        <v>7601</v>
      </c>
      <c r="B7602" t="inlineStr">
        <is>
          <t>V̅MMDCI</t>
        </is>
      </c>
      <c r="C7602">
        <f>ROMAN(7601)</f>
        <v/>
      </c>
      <c r="D7602">
        <f>IF(B7602=C7602, "YES", "WRONG")</f>
        <v/>
      </c>
    </row>
    <row r="7603">
      <c r="A7603" t="n">
        <v>7602</v>
      </c>
      <c r="B7603" t="inlineStr">
        <is>
          <t>V̅MMDCII</t>
        </is>
      </c>
      <c r="C7603">
        <f>ROMAN(7602)</f>
        <v/>
      </c>
      <c r="D7603">
        <f>IF(B7603=C7603, "YES", "WRONG")</f>
        <v/>
      </c>
    </row>
    <row r="7604">
      <c r="A7604" t="n">
        <v>7603</v>
      </c>
      <c r="B7604" t="inlineStr">
        <is>
          <t>V̅MMDCIII</t>
        </is>
      </c>
      <c r="C7604">
        <f>ROMAN(7603)</f>
        <v/>
      </c>
      <c r="D7604">
        <f>IF(B7604=C7604, "YES", "WRONG")</f>
        <v/>
      </c>
    </row>
    <row r="7605">
      <c r="A7605" t="n">
        <v>7604</v>
      </c>
      <c r="B7605" t="inlineStr">
        <is>
          <t>V̅MMDCIV</t>
        </is>
      </c>
      <c r="C7605">
        <f>ROMAN(7604)</f>
        <v/>
      </c>
      <c r="D7605">
        <f>IF(B7605=C7605, "YES", "WRONG")</f>
        <v/>
      </c>
    </row>
    <row r="7606">
      <c r="A7606" t="n">
        <v>7605</v>
      </c>
      <c r="B7606" t="inlineStr">
        <is>
          <t>V̅MMDCV</t>
        </is>
      </c>
      <c r="C7606">
        <f>ROMAN(7605)</f>
        <v/>
      </c>
      <c r="D7606">
        <f>IF(B7606=C7606, "YES", "WRONG")</f>
        <v/>
      </c>
    </row>
    <row r="7607">
      <c r="A7607" t="n">
        <v>7606</v>
      </c>
      <c r="B7607" t="inlineStr">
        <is>
          <t>V̅MMDCVI</t>
        </is>
      </c>
      <c r="C7607">
        <f>ROMAN(7606)</f>
        <v/>
      </c>
      <c r="D7607">
        <f>IF(B7607=C7607, "YES", "WRONG")</f>
        <v/>
      </c>
    </row>
    <row r="7608">
      <c r="A7608" t="n">
        <v>7607</v>
      </c>
      <c r="B7608" t="inlineStr">
        <is>
          <t>V̅MMDCVII</t>
        </is>
      </c>
      <c r="C7608">
        <f>ROMAN(7607)</f>
        <v/>
      </c>
      <c r="D7608">
        <f>IF(B7608=C7608, "YES", "WRONG")</f>
        <v/>
      </c>
    </row>
    <row r="7609">
      <c r="A7609" t="n">
        <v>7608</v>
      </c>
      <c r="B7609" t="inlineStr">
        <is>
          <t>V̅MMDCVIII</t>
        </is>
      </c>
      <c r="C7609">
        <f>ROMAN(7608)</f>
        <v/>
      </c>
      <c r="D7609">
        <f>IF(B7609=C7609, "YES", "WRONG")</f>
        <v/>
      </c>
    </row>
    <row r="7610">
      <c r="A7610" t="n">
        <v>7609</v>
      </c>
      <c r="B7610" t="inlineStr">
        <is>
          <t>V̅MMDCIX</t>
        </is>
      </c>
      <c r="C7610">
        <f>ROMAN(7609)</f>
        <v/>
      </c>
      <c r="D7610">
        <f>IF(B7610=C7610, "YES", "WRONG")</f>
        <v/>
      </c>
    </row>
    <row r="7611">
      <c r="A7611" t="n">
        <v>7610</v>
      </c>
      <c r="B7611" t="inlineStr">
        <is>
          <t>V̅MMDCX</t>
        </is>
      </c>
      <c r="C7611">
        <f>ROMAN(7610)</f>
        <v/>
      </c>
      <c r="D7611">
        <f>IF(B7611=C7611, "YES", "WRONG")</f>
        <v/>
      </c>
    </row>
    <row r="7612">
      <c r="A7612" t="n">
        <v>7611</v>
      </c>
      <c r="B7612" t="inlineStr">
        <is>
          <t>V̅MMDCXI</t>
        </is>
      </c>
      <c r="C7612">
        <f>ROMAN(7611)</f>
        <v/>
      </c>
      <c r="D7612">
        <f>IF(B7612=C7612, "YES", "WRONG")</f>
        <v/>
      </c>
    </row>
    <row r="7613">
      <c r="A7613" t="n">
        <v>7612</v>
      </c>
      <c r="B7613" t="inlineStr">
        <is>
          <t>V̅MMDCXII</t>
        </is>
      </c>
      <c r="C7613">
        <f>ROMAN(7612)</f>
        <v/>
      </c>
      <c r="D7613">
        <f>IF(B7613=C7613, "YES", "WRONG")</f>
        <v/>
      </c>
    </row>
    <row r="7614">
      <c r="A7614" t="n">
        <v>7613</v>
      </c>
      <c r="B7614" t="inlineStr">
        <is>
          <t>V̅MMDCXIII</t>
        </is>
      </c>
      <c r="C7614">
        <f>ROMAN(7613)</f>
        <v/>
      </c>
      <c r="D7614">
        <f>IF(B7614=C7614, "YES", "WRONG")</f>
        <v/>
      </c>
    </row>
    <row r="7615">
      <c r="A7615" t="n">
        <v>7614</v>
      </c>
      <c r="B7615" t="inlineStr">
        <is>
          <t>V̅MMDCXIV</t>
        </is>
      </c>
      <c r="C7615">
        <f>ROMAN(7614)</f>
        <v/>
      </c>
      <c r="D7615">
        <f>IF(B7615=C7615, "YES", "WRONG")</f>
        <v/>
      </c>
    </row>
    <row r="7616">
      <c r="A7616" t="n">
        <v>7615</v>
      </c>
      <c r="B7616" t="inlineStr">
        <is>
          <t>V̅MMDCXV</t>
        </is>
      </c>
      <c r="C7616">
        <f>ROMAN(7615)</f>
        <v/>
      </c>
      <c r="D7616">
        <f>IF(B7616=C7616, "YES", "WRONG")</f>
        <v/>
      </c>
    </row>
    <row r="7617">
      <c r="A7617" t="n">
        <v>7616</v>
      </c>
      <c r="B7617" t="inlineStr">
        <is>
          <t>V̅MMDCXVI</t>
        </is>
      </c>
      <c r="C7617">
        <f>ROMAN(7616)</f>
        <v/>
      </c>
      <c r="D7617">
        <f>IF(B7617=C7617, "YES", "WRONG")</f>
        <v/>
      </c>
    </row>
    <row r="7618">
      <c r="A7618" t="n">
        <v>7617</v>
      </c>
      <c r="B7618" t="inlineStr">
        <is>
          <t>V̅MMDCXVII</t>
        </is>
      </c>
      <c r="C7618">
        <f>ROMAN(7617)</f>
        <v/>
      </c>
      <c r="D7618">
        <f>IF(B7618=C7618, "YES", "WRONG")</f>
        <v/>
      </c>
    </row>
    <row r="7619">
      <c r="A7619" t="n">
        <v>7618</v>
      </c>
      <c r="B7619" t="inlineStr">
        <is>
          <t>V̅MMDCXVIII</t>
        </is>
      </c>
      <c r="C7619">
        <f>ROMAN(7618)</f>
        <v/>
      </c>
      <c r="D7619">
        <f>IF(B7619=C7619, "YES", "WRONG")</f>
        <v/>
      </c>
    </row>
    <row r="7620">
      <c r="A7620" t="n">
        <v>7619</v>
      </c>
      <c r="B7620" t="inlineStr">
        <is>
          <t>V̅MMDCXIX</t>
        </is>
      </c>
      <c r="C7620">
        <f>ROMAN(7619)</f>
        <v/>
      </c>
      <c r="D7620">
        <f>IF(B7620=C7620, "YES", "WRONG")</f>
        <v/>
      </c>
    </row>
    <row r="7621">
      <c r="A7621" t="n">
        <v>7620</v>
      </c>
      <c r="B7621" t="inlineStr">
        <is>
          <t>V̅MMDCXX</t>
        </is>
      </c>
      <c r="C7621">
        <f>ROMAN(7620)</f>
        <v/>
      </c>
      <c r="D7621">
        <f>IF(B7621=C7621, "YES", "WRONG")</f>
        <v/>
      </c>
    </row>
    <row r="7622">
      <c r="A7622" t="n">
        <v>7621</v>
      </c>
      <c r="B7622" t="inlineStr">
        <is>
          <t>V̅MMDCXXI</t>
        </is>
      </c>
      <c r="C7622">
        <f>ROMAN(7621)</f>
        <v/>
      </c>
      <c r="D7622">
        <f>IF(B7622=C7622, "YES", "WRONG")</f>
        <v/>
      </c>
    </row>
    <row r="7623">
      <c r="A7623" t="n">
        <v>7622</v>
      </c>
      <c r="B7623" t="inlineStr">
        <is>
          <t>V̅MMDCXXII</t>
        </is>
      </c>
      <c r="C7623">
        <f>ROMAN(7622)</f>
        <v/>
      </c>
      <c r="D7623">
        <f>IF(B7623=C7623, "YES", "WRONG")</f>
        <v/>
      </c>
    </row>
    <row r="7624">
      <c r="A7624" t="n">
        <v>7623</v>
      </c>
      <c r="B7624" t="inlineStr">
        <is>
          <t>V̅MMDCXXIII</t>
        </is>
      </c>
      <c r="C7624">
        <f>ROMAN(7623)</f>
        <v/>
      </c>
      <c r="D7624">
        <f>IF(B7624=C7624, "YES", "WRONG")</f>
        <v/>
      </c>
    </row>
    <row r="7625">
      <c r="A7625" t="n">
        <v>7624</v>
      </c>
      <c r="B7625" t="inlineStr">
        <is>
          <t>V̅MMDCXXIV</t>
        </is>
      </c>
      <c r="C7625">
        <f>ROMAN(7624)</f>
        <v/>
      </c>
      <c r="D7625">
        <f>IF(B7625=C7625, "YES", "WRONG")</f>
        <v/>
      </c>
    </row>
    <row r="7626">
      <c r="A7626" t="n">
        <v>7625</v>
      </c>
      <c r="B7626" t="inlineStr">
        <is>
          <t>V̅MMDCXXV</t>
        </is>
      </c>
      <c r="C7626">
        <f>ROMAN(7625)</f>
        <v/>
      </c>
      <c r="D7626">
        <f>IF(B7626=C7626, "YES", "WRONG")</f>
        <v/>
      </c>
    </row>
    <row r="7627">
      <c r="A7627" t="n">
        <v>7626</v>
      </c>
      <c r="B7627" t="inlineStr">
        <is>
          <t>V̅MMDCXXVI</t>
        </is>
      </c>
      <c r="C7627">
        <f>ROMAN(7626)</f>
        <v/>
      </c>
      <c r="D7627">
        <f>IF(B7627=C7627, "YES", "WRONG")</f>
        <v/>
      </c>
    </row>
    <row r="7628">
      <c r="A7628" t="n">
        <v>7627</v>
      </c>
      <c r="B7628" t="inlineStr">
        <is>
          <t>V̅MMDCXXVII</t>
        </is>
      </c>
      <c r="C7628">
        <f>ROMAN(7627)</f>
        <v/>
      </c>
      <c r="D7628">
        <f>IF(B7628=C7628, "YES", "WRONG")</f>
        <v/>
      </c>
    </row>
    <row r="7629">
      <c r="A7629" t="n">
        <v>7628</v>
      </c>
      <c r="B7629" t="inlineStr">
        <is>
          <t>V̅MMDCXXVIII</t>
        </is>
      </c>
      <c r="C7629">
        <f>ROMAN(7628)</f>
        <v/>
      </c>
      <c r="D7629">
        <f>IF(B7629=C7629, "YES", "WRONG")</f>
        <v/>
      </c>
    </row>
    <row r="7630">
      <c r="A7630" t="n">
        <v>7629</v>
      </c>
      <c r="B7630" t="inlineStr">
        <is>
          <t>V̅MMDCXXIX</t>
        </is>
      </c>
      <c r="C7630">
        <f>ROMAN(7629)</f>
        <v/>
      </c>
      <c r="D7630">
        <f>IF(B7630=C7630, "YES", "WRONG")</f>
        <v/>
      </c>
    </row>
    <row r="7631">
      <c r="A7631" t="n">
        <v>7630</v>
      </c>
      <c r="B7631" t="inlineStr">
        <is>
          <t>V̅MMDCXXX</t>
        </is>
      </c>
      <c r="C7631">
        <f>ROMAN(7630)</f>
        <v/>
      </c>
      <c r="D7631">
        <f>IF(B7631=C7631, "YES", "WRONG")</f>
        <v/>
      </c>
    </row>
    <row r="7632">
      <c r="A7632" t="n">
        <v>7631</v>
      </c>
      <c r="B7632" t="inlineStr">
        <is>
          <t>V̅MMDCXXXI</t>
        </is>
      </c>
      <c r="C7632">
        <f>ROMAN(7631)</f>
        <v/>
      </c>
      <c r="D7632">
        <f>IF(B7632=C7632, "YES", "WRONG")</f>
        <v/>
      </c>
    </row>
    <row r="7633">
      <c r="A7633" t="n">
        <v>7632</v>
      </c>
      <c r="B7633" t="inlineStr">
        <is>
          <t>V̅MMDCXXXII</t>
        </is>
      </c>
      <c r="C7633">
        <f>ROMAN(7632)</f>
        <v/>
      </c>
      <c r="D7633">
        <f>IF(B7633=C7633, "YES", "WRONG")</f>
        <v/>
      </c>
    </row>
    <row r="7634">
      <c r="A7634" t="n">
        <v>7633</v>
      </c>
      <c r="B7634" t="inlineStr">
        <is>
          <t>V̅MMDCXXXIII</t>
        </is>
      </c>
      <c r="C7634">
        <f>ROMAN(7633)</f>
        <v/>
      </c>
      <c r="D7634">
        <f>IF(B7634=C7634, "YES", "WRONG")</f>
        <v/>
      </c>
    </row>
    <row r="7635">
      <c r="A7635" t="n">
        <v>7634</v>
      </c>
      <c r="B7635" t="inlineStr">
        <is>
          <t>V̅MMDCXXXIV</t>
        </is>
      </c>
      <c r="C7635">
        <f>ROMAN(7634)</f>
        <v/>
      </c>
      <c r="D7635">
        <f>IF(B7635=C7635, "YES", "WRONG")</f>
        <v/>
      </c>
    </row>
    <row r="7636">
      <c r="A7636" t="n">
        <v>7635</v>
      </c>
      <c r="B7636" t="inlineStr">
        <is>
          <t>V̅MMDCXXXV</t>
        </is>
      </c>
      <c r="C7636">
        <f>ROMAN(7635)</f>
        <v/>
      </c>
      <c r="D7636">
        <f>IF(B7636=C7636, "YES", "WRONG")</f>
        <v/>
      </c>
    </row>
    <row r="7637">
      <c r="A7637" t="n">
        <v>7636</v>
      </c>
      <c r="B7637" t="inlineStr">
        <is>
          <t>V̅MMDCXXXVI</t>
        </is>
      </c>
      <c r="C7637">
        <f>ROMAN(7636)</f>
        <v/>
      </c>
      <c r="D7637">
        <f>IF(B7637=C7637, "YES", "WRONG")</f>
        <v/>
      </c>
    </row>
    <row r="7638">
      <c r="A7638" t="n">
        <v>7637</v>
      </c>
      <c r="B7638" t="inlineStr">
        <is>
          <t>V̅MMDCXXXVII</t>
        </is>
      </c>
      <c r="C7638">
        <f>ROMAN(7637)</f>
        <v/>
      </c>
      <c r="D7638">
        <f>IF(B7638=C7638, "YES", "WRONG")</f>
        <v/>
      </c>
    </row>
    <row r="7639">
      <c r="A7639" t="n">
        <v>7638</v>
      </c>
      <c r="B7639" t="inlineStr">
        <is>
          <t>V̅MMDCXXXVIII</t>
        </is>
      </c>
      <c r="C7639">
        <f>ROMAN(7638)</f>
        <v/>
      </c>
      <c r="D7639">
        <f>IF(B7639=C7639, "YES", "WRONG")</f>
        <v/>
      </c>
    </row>
    <row r="7640">
      <c r="A7640" t="n">
        <v>7639</v>
      </c>
      <c r="B7640" t="inlineStr">
        <is>
          <t>V̅MMDCXXXIX</t>
        </is>
      </c>
      <c r="C7640">
        <f>ROMAN(7639)</f>
        <v/>
      </c>
      <c r="D7640">
        <f>IF(B7640=C7640, "YES", "WRONG")</f>
        <v/>
      </c>
    </row>
    <row r="7641">
      <c r="A7641" t="n">
        <v>7640</v>
      </c>
      <c r="B7641" t="inlineStr">
        <is>
          <t>V̅MMDCXL</t>
        </is>
      </c>
      <c r="C7641">
        <f>ROMAN(7640)</f>
        <v/>
      </c>
      <c r="D7641">
        <f>IF(B7641=C7641, "YES", "WRONG")</f>
        <v/>
      </c>
    </row>
    <row r="7642">
      <c r="A7642" t="n">
        <v>7641</v>
      </c>
      <c r="B7642" t="inlineStr">
        <is>
          <t>V̅MMDCXLI</t>
        </is>
      </c>
      <c r="C7642">
        <f>ROMAN(7641)</f>
        <v/>
      </c>
      <c r="D7642">
        <f>IF(B7642=C7642, "YES", "WRONG")</f>
        <v/>
      </c>
    </row>
    <row r="7643">
      <c r="A7643" t="n">
        <v>7642</v>
      </c>
      <c r="B7643" t="inlineStr">
        <is>
          <t>V̅MMDCXLII</t>
        </is>
      </c>
      <c r="C7643">
        <f>ROMAN(7642)</f>
        <v/>
      </c>
      <c r="D7643">
        <f>IF(B7643=C7643, "YES", "WRONG")</f>
        <v/>
      </c>
    </row>
    <row r="7644">
      <c r="A7644" t="n">
        <v>7643</v>
      </c>
      <c r="B7644" t="inlineStr">
        <is>
          <t>V̅MMDCXLIII</t>
        </is>
      </c>
      <c r="C7644">
        <f>ROMAN(7643)</f>
        <v/>
      </c>
      <c r="D7644">
        <f>IF(B7644=C7644, "YES", "WRONG")</f>
        <v/>
      </c>
    </row>
    <row r="7645">
      <c r="A7645" t="n">
        <v>7644</v>
      </c>
      <c r="B7645" t="inlineStr">
        <is>
          <t>V̅MMDCXLIV</t>
        </is>
      </c>
      <c r="C7645">
        <f>ROMAN(7644)</f>
        <v/>
      </c>
      <c r="D7645">
        <f>IF(B7645=C7645, "YES", "WRONG")</f>
        <v/>
      </c>
    </row>
    <row r="7646">
      <c r="A7646" t="n">
        <v>7645</v>
      </c>
      <c r="B7646" t="inlineStr">
        <is>
          <t>V̅MMDCXLV</t>
        </is>
      </c>
      <c r="C7646">
        <f>ROMAN(7645)</f>
        <v/>
      </c>
      <c r="D7646">
        <f>IF(B7646=C7646, "YES", "WRONG")</f>
        <v/>
      </c>
    </row>
    <row r="7647">
      <c r="A7647" t="n">
        <v>7646</v>
      </c>
      <c r="B7647" t="inlineStr">
        <is>
          <t>V̅MMDCXLVI</t>
        </is>
      </c>
      <c r="C7647">
        <f>ROMAN(7646)</f>
        <v/>
      </c>
      <c r="D7647">
        <f>IF(B7647=C7647, "YES", "WRONG")</f>
        <v/>
      </c>
    </row>
    <row r="7648">
      <c r="A7648" t="n">
        <v>7647</v>
      </c>
      <c r="B7648" t="inlineStr">
        <is>
          <t>V̅MMDCXLVII</t>
        </is>
      </c>
      <c r="C7648">
        <f>ROMAN(7647)</f>
        <v/>
      </c>
      <c r="D7648">
        <f>IF(B7648=C7648, "YES", "WRONG")</f>
        <v/>
      </c>
    </row>
    <row r="7649">
      <c r="A7649" t="n">
        <v>7648</v>
      </c>
      <c r="B7649" t="inlineStr">
        <is>
          <t>V̅MMDCXLVIII</t>
        </is>
      </c>
      <c r="C7649">
        <f>ROMAN(7648)</f>
        <v/>
      </c>
      <c r="D7649">
        <f>IF(B7649=C7649, "YES", "WRONG")</f>
        <v/>
      </c>
    </row>
    <row r="7650">
      <c r="A7650" t="n">
        <v>7649</v>
      </c>
      <c r="B7650" t="inlineStr">
        <is>
          <t>V̅MMDCXLIX</t>
        </is>
      </c>
      <c r="C7650">
        <f>ROMAN(7649)</f>
        <v/>
      </c>
      <c r="D7650">
        <f>IF(B7650=C7650, "YES", "WRONG")</f>
        <v/>
      </c>
    </row>
    <row r="7651">
      <c r="A7651" t="n">
        <v>7650</v>
      </c>
      <c r="B7651" t="inlineStr">
        <is>
          <t>V̅MMDCL</t>
        </is>
      </c>
      <c r="C7651">
        <f>ROMAN(7650)</f>
        <v/>
      </c>
      <c r="D7651">
        <f>IF(B7651=C7651, "YES", "WRONG")</f>
        <v/>
      </c>
    </row>
    <row r="7652">
      <c r="A7652" t="n">
        <v>7651</v>
      </c>
      <c r="B7652" t="inlineStr">
        <is>
          <t>V̅MMDCLI</t>
        </is>
      </c>
      <c r="C7652">
        <f>ROMAN(7651)</f>
        <v/>
      </c>
      <c r="D7652">
        <f>IF(B7652=C7652, "YES", "WRONG")</f>
        <v/>
      </c>
    </row>
    <row r="7653">
      <c r="A7653" t="n">
        <v>7652</v>
      </c>
      <c r="B7653" t="inlineStr">
        <is>
          <t>V̅MMDCLII</t>
        </is>
      </c>
      <c r="C7653">
        <f>ROMAN(7652)</f>
        <v/>
      </c>
      <c r="D7653">
        <f>IF(B7653=C7653, "YES", "WRONG")</f>
        <v/>
      </c>
    </row>
    <row r="7654">
      <c r="A7654" t="n">
        <v>7653</v>
      </c>
      <c r="B7654" t="inlineStr">
        <is>
          <t>V̅MMDCLIII</t>
        </is>
      </c>
      <c r="C7654">
        <f>ROMAN(7653)</f>
        <v/>
      </c>
      <c r="D7654">
        <f>IF(B7654=C7654, "YES", "WRONG")</f>
        <v/>
      </c>
    </row>
    <row r="7655">
      <c r="A7655" t="n">
        <v>7654</v>
      </c>
      <c r="B7655" t="inlineStr">
        <is>
          <t>V̅MMDCLIV</t>
        </is>
      </c>
      <c r="C7655">
        <f>ROMAN(7654)</f>
        <v/>
      </c>
      <c r="D7655">
        <f>IF(B7655=C7655, "YES", "WRONG")</f>
        <v/>
      </c>
    </row>
    <row r="7656">
      <c r="A7656" t="n">
        <v>7655</v>
      </c>
      <c r="B7656" t="inlineStr">
        <is>
          <t>V̅MMDCLV</t>
        </is>
      </c>
      <c r="C7656">
        <f>ROMAN(7655)</f>
        <v/>
      </c>
      <c r="D7656">
        <f>IF(B7656=C7656, "YES", "WRONG")</f>
        <v/>
      </c>
    </row>
    <row r="7657">
      <c r="A7657" t="n">
        <v>7656</v>
      </c>
      <c r="B7657" t="inlineStr">
        <is>
          <t>V̅MMDCLVI</t>
        </is>
      </c>
      <c r="C7657">
        <f>ROMAN(7656)</f>
        <v/>
      </c>
      <c r="D7657">
        <f>IF(B7657=C7657, "YES", "WRONG")</f>
        <v/>
      </c>
    </row>
    <row r="7658">
      <c r="A7658" t="n">
        <v>7657</v>
      </c>
      <c r="B7658" t="inlineStr">
        <is>
          <t>V̅MMDCLVII</t>
        </is>
      </c>
      <c r="C7658">
        <f>ROMAN(7657)</f>
        <v/>
      </c>
      <c r="D7658">
        <f>IF(B7658=C7658, "YES", "WRONG")</f>
        <v/>
      </c>
    </row>
    <row r="7659">
      <c r="A7659" t="n">
        <v>7658</v>
      </c>
      <c r="B7659" t="inlineStr">
        <is>
          <t>V̅MMDCLVIII</t>
        </is>
      </c>
      <c r="C7659">
        <f>ROMAN(7658)</f>
        <v/>
      </c>
      <c r="D7659">
        <f>IF(B7659=C7659, "YES", "WRONG")</f>
        <v/>
      </c>
    </row>
    <row r="7660">
      <c r="A7660" t="n">
        <v>7659</v>
      </c>
      <c r="B7660" t="inlineStr">
        <is>
          <t>V̅MMDCLIX</t>
        </is>
      </c>
      <c r="C7660">
        <f>ROMAN(7659)</f>
        <v/>
      </c>
      <c r="D7660">
        <f>IF(B7660=C7660, "YES", "WRONG")</f>
        <v/>
      </c>
    </row>
    <row r="7661">
      <c r="A7661" t="n">
        <v>7660</v>
      </c>
      <c r="B7661" t="inlineStr">
        <is>
          <t>V̅MMDCLX</t>
        </is>
      </c>
      <c r="C7661">
        <f>ROMAN(7660)</f>
        <v/>
      </c>
      <c r="D7661">
        <f>IF(B7661=C7661, "YES", "WRONG")</f>
        <v/>
      </c>
    </row>
    <row r="7662">
      <c r="A7662" t="n">
        <v>7661</v>
      </c>
      <c r="B7662" t="inlineStr">
        <is>
          <t>V̅MMDCLXI</t>
        </is>
      </c>
      <c r="C7662">
        <f>ROMAN(7661)</f>
        <v/>
      </c>
      <c r="D7662">
        <f>IF(B7662=C7662, "YES", "WRONG")</f>
        <v/>
      </c>
    </row>
    <row r="7663">
      <c r="A7663" t="n">
        <v>7662</v>
      </c>
      <c r="B7663" t="inlineStr">
        <is>
          <t>V̅MMDCLXII</t>
        </is>
      </c>
      <c r="C7663">
        <f>ROMAN(7662)</f>
        <v/>
      </c>
      <c r="D7663">
        <f>IF(B7663=C7663, "YES", "WRONG")</f>
        <v/>
      </c>
    </row>
    <row r="7664">
      <c r="A7664" t="n">
        <v>7663</v>
      </c>
      <c r="B7664" t="inlineStr">
        <is>
          <t>V̅MMDCLXIII</t>
        </is>
      </c>
      <c r="C7664">
        <f>ROMAN(7663)</f>
        <v/>
      </c>
      <c r="D7664">
        <f>IF(B7664=C7664, "YES", "WRONG")</f>
        <v/>
      </c>
    </row>
    <row r="7665">
      <c r="A7665" t="n">
        <v>7664</v>
      </c>
      <c r="B7665" t="inlineStr">
        <is>
          <t>V̅MMDCLXIV</t>
        </is>
      </c>
      <c r="C7665">
        <f>ROMAN(7664)</f>
        <v/>
      </c>
      <c r="D7665">
        <f>IF(B7665=C7665, "YES", "WRONG")</f>
        <v/>
      </c>
    </row>
    <row r="7666">
      <c r="A7666" t="n">
        <v>7665</v>
      </c>
      <c r="B7666" t="inlineStr">
        <is>
          <t>V̅MMDCLXV</t>
        </is>
      </c>
      <c r="C7666">
        <f>ROMAN(7665)</f>
        <v/>
      </c>
      <c r="D7666">
        <f>IF(B7666=C7666, "YES", "WRONG")</f>
        <v/>
      </c>
    </row>
    <row r="7667">
      <c r="A7667" t="n">
        <v>7666</v>
      </c>
      <c r="B7667" t="inlineStr">
        <is>
          <t>V̅MMDCLXVI</t>
        </is>
      </c>
      <c r="C7667">
        <f>ROMAN(7666)</f>
        <v/>
      </c>
      <c r="D7667">
        <f>IF(B7667=C7667, "YES", "WRONG")</f>
        <v/>
      </c>
    </row>
    <row r="7668">
      <c r="A7668" t="n">
        <v>7667</v>
      </c>
      <c r="B7668" t="inlineStr">
        <is>
          <t>V̅MMDCLXVII</t>
        </is>
      </c>
      <c r="C7668">
        <f>ROMAN(7667)</f>
        <v/>
      </c>
      <c r="D7668">
        <f>IF(B7668=C7668, "YES", "WRONG")</f>
        <v/>
      </c>
    </row>
    <row r="7669">
      <c r="A7669" t="n">
        <v>7668</v>
      </c>
      <c r="B7669" t="inlineStr">
        <is>
          <t>V̅MMDCLXVIII</t>
        </is>
      </c>
      <c r="C7669">
        <f>ROMAN(7668)</f>
        <v/>
      </c>
      <c r="D7669">
        <f>IF(B7669=C7669, "YES", "WRONG")</f>
        <v/>
      </c>
    </row>
    <row r="7670">
      <c r="A7670" t="n">
        <v>7669</v>
      </c>
      <c r="B7670" t="inlineStr">
        <is>
          <t>V̅MMDCLXIX</t>
        </is>
      </c>
      <c r="C7670">
        <f>ROMAN(7669)</f>
        <v/>
      </c>
      <c r="D7670">
        <f>IF(B7670=C7670, "YES", "WRONG")</f>
        <v/>
      </c>
    </row>
    <row r="7671">
      <c r="A7671" t="n">
        <v>7670</v>
      </c>
      <c r="B7671" t="inlineStr">
        <is>
          <t>V̅MMDCLXX</t>
        </is>
      </c>
      <c r="C7671">
        <f>ROMAN(7670)</f>
        <v/>
      </c>
      <c r="D7671">
        <f>IF(B7671=C7671, "YES", "WRONG")</f>
        <v/>
      </c>
    </row>
    <row r="7672">
      <c r="A7672" t="n">
        <v>7671</v>
      </c>
      <c r="B7672" t="inlineStr">
        <is>
          <t>V̅MMDCLXXI</t>
        </is>
      </c>
      <c r="C7672">
        <f>ROMAN(7671)</f>
        <v/>
      </c>
      <c r="D7672">
        <f>IF(B7672=C7672, "YES", "WRONG")</f>
        <v/>
      </c>
    </row>
    <row r="7673">
      <c r="A7673" t="n">
        <v>7672</v>
      </c>
      <c r="B7673" t="inlineStr">
        <is>
          <t>V̅MMDCLXXII</t>
        </is>
      </c>
      <c r="C7673">
        <f>ROMAN(7672)</f>
        <v/>
      </c>
      <c r="D7673">
        <f>IF(B7673=C7673, "YES", "WRONG")</f>
        <v/>
      </c>
    </row>
    <row r="7674">
      <c r="A7674" t="n">
        <v>7673</v>
      </c>
      <c r="B7674" t="inlineStr">
        <is>
          <t>V̅MMDCLXXIII</t>
        </is>
      </c>
      <c r="C7674">
        <f>ROMAN(7673)</f>
        <v/>
      </c>
      <c r="D7674">
        <f>IF(B7674=C7674, "YES", "WRONG")</f>
        <v/>
      </c>
    </row>
    <row r="7675">
      <c r="A7675" t="n">
        <v>7674</v>
      </c>
      <c r="B7675" t="inlineStr">
        <is>
          <t>V̅MMDCLXXIV</t>
        </is>
      </c>
      <c r="C7675">
        <f>ROMAN(7674)</f>
        <v/>
      </c>
      <c r="D7675">
        <f>IF(B7675=C7675, "YES", "WRONG")</f>
        <v/>
      </c>
    </row>
    <row r="7676">
      <c r="A7676" t="n">
        <v>7675</v>
      </c>
      <c r="B7676" t="inlineStr">
        <is>
          <t>V̅MMDCLXXV</t>
        </is>
      </c>
      <c r="C7676">
        <f>ROMAN(7675)</f>
        <v/>
      </c>
      <c r="D7676">
        <f>IF(B7676=C7676, "YES", "WRONG")</f>
        <v/>
      </c>
    </row>
    <row r="7677">
      <c r="A7677" t="n">
        <v>7676</v>
      </c>
      <c r="B7677" t="inlineStr">
        <is>
          <t>V̅MMDCLXXVI</t>
        </is>
      </c>
      <c r="C7677">
        <f>ROMAN(7676)</f>
        <v/>
      </c>
      <c r="D7677">
        <f>IF(B7677=C7677, "YES", "WRONG")</f>
        <v/>
      </c>
    </row>
    <row r="7678">
      <c r="A7678" t="n">
        <v>7677</v>
      </c>
      <c r="B7678" t="inlineStr">
        <is>
          <t>V̅MMDCLXXVII</t>
        </is>
      </c>
      <c r="C7678">
        <f>ROMAN(7677)</f>
        <v/>
      </c>
      <c r="D7678">
        <f>IF(B7678=C7678, "YES", "WRONG")</f>
        <v/>
      </c>
    </row>
    <row r="7679">
      <c r="A7679" t="n">
        <v>7678</v>
      </c>
      <c r="B7679" t="inlineStr">
        <is>
          <t>V̅MMDCLXXVIII</t>
        </is>
      </c>
      <c r="C7679">
        <f>ROMAN(7678)</f>
        <v/>
      </c>
      <c r="D7679">
        <f>IF(B7679=C7679, "YES", "WRONG")</f>
        <v/>
      </c>
    </row>
    <row r="7680">
      <c r="A7680" t="n">
        <v>7679</v>
      </c>
      <c r="B7680" t="inlineStr">
        <is>
          <t>V̅MMDCLXXIX</t>
        </is>
      </c>
      <c r="C7680">
        <f>ROMAN(7679)</f>
        <v/>
      </c>
      <c r="D7680">
        <f>IF(B7680=C7680, "YES", "WRONG")</f>
        <v/>
      </c>
    </row>
    <row r="7681">
      <c r="A7681" t="n">
        <v>7680</v>
      </c>
      <c r="B7681" t="inlineStr">
        <is>
          <t>V̅MMDCLXXX</t>
        </is>
      </c>
      <c r="C7681">
        <f>ROMAN(7680)</f>
        <v/>
      </c>
      <c r="D7681">
        <f>IF(B7681=C7681, "YES", "WRONG")</f>
        <v/>
      </c>
    </row>
    <row r="7682">
      <c r="A7682" t="n">
        <v>7681</v>
      </c>
      <c r="B7682" t="inlineStr">
        <is>
          <t>V̅MMDCLXXXI</t>
        </is>
      </c>
      <c r="C7682">
        <f>ROMAN(7681)</f>
        <v/>
      </c>
      <c r="D7682">
        <f>IF(B7682=C7682, "YES", "WRONG")</f>
        <v/>
      </c>
    </row>
    <row r="7683">
      <c r="A7683" t="n">
        <v>7682</v>
      </c>
      <c r="B7683" t="inlineStr">
        <is>
          <t>V̅MMDCLXXXII</t>
        </is>
      </c>
      <c r="C7683">
        <f>ROMAN(7682)</f>
        <v/>
      </c>
      <c r="D7683">
        <f>IF(B7683=C7683, "YES", "WRONG")</f>
        <v/>
      </c>
    </row>
    <row r="7684">
      <c r="A7684" t="n">
        <v>7683</v>
      </c>
      <c r="B7684" t="inlineStr">
        <is>
          <t>V̅MMDCLXXXIII</t>
        </is>
      </c>
      <c r="C7684">
        <f>ROMAN(7683)</f>
        <v/>
      </c>
      <c r="D7684">
        <f>IF(B7684=C7684, "YES", "WRONG")</f>
        <v/>
      </c>
    </row>
    <row r="7685">
      <c r="A7685" t="n">
        <v>7684</v>
      </c>
      <c r="B7685" t="inlineStr">
        <is>
          <t>V̅MMDCLXXXIV</t>
        </is>
      </c>
      <c r="C7685">
        <f>ROMAN(7684)</f>
        <v/>
      </c>
      <c r="D7685">
        <f>IF(B7685=C7685, "YES", "WRONG")</f>
        <v/>
      </c>
    </row>
    <row r="7686">
      <c r="A7686" t="n">
        <v>7685</v>
      </c>
      <c r="B7686" t="inlineStr">
        <is>
          <t>V̅MMDCLXXXV</t>
        </is>
      </c>
      <c r="C7686">
        <f>ROMAN(7685)</f>
        <v/>
      </c>
      <c r="D7686">
        <f>IF(B7686=C7686, "YES", "WRONG")</f>
        <v/>
      </c>
    </row>
    <row r="7687">
      <c r="A7687" t="n">
        <v>7686</v>
      </c>
      <c r="B7687" t="inlineStr">
        <is>
          <t>V̅MMDCLXXXVI</t>
        </is>
      </c>
      <c r="C7687">
        <f>ROMAN(7686)</f>
        <v/>
      </c>
      <c r="D7687">
        <f>IF(B7687=C7687, "YES", "WRONG")</f>
        <v/>
      </c>
    </row>
    <row r="7688">
      <c r="A7688" t="n">
        <v>7687</v>
      </c>
      <c r="B7688" t="inlineStr">
        <is>
          <t>V̅MMDCLXXXVII</t>
        </is>
      </c>
      <c r="C7688">
        <f>ROMAN(7687)</f>
        <v/>
      </c>
      <c r="D7688">
        <f>IF(B7688=C7688, "YES", "WRONG")</f>
        <v/>
      </c>
    </row>
    <row r="7689">
      <c r="A7689" t="n">
        <v>7688</v>
      </c>
      <c r="B7689" t="inlineStr">
        <is>
          <t>V̅MMDCLXXXVIII</t>
        </is>
      </c>
      <c r="C7689">
        <f>ROMAN(7688)</f>
        <v/>
      </c>
      <c r="D7689">
        <f>IF(B7689=C7689, "YES", "WRONG")</f>
        <v/>
      </c>
    </row>
    <row r="7690">
      <c r="A7690" t="n">
        <v>7689</v>
      </c>
      <c r="B7690" t="inlineStr">
        <is>
          <t>V̅MMDCLXXXIX</t>
        </is>
      </c>
      <c r="C7690">
        <f>ROMAN(7689)</f>
        <v/>
      </c>
      <c r="D7690">
        <f>IF(B7690=C7690, "YES", "WRONG")</f>
        <v/>
      </c>
    </row>
    <row r="7691">
      <c r="A7691" t="n">
        <v>7690</v>
      </c>
      <c r="B7691" t="inlineStr">
        <is>
          <t>V̅MMDCXC</t>
        </is>
      </c>
      <c r="C7691">
        <f>ROMAN(7690)</f>
        <v/>
      </c>
      <c r="D7691">
        <f>IF(B7691=C7691, "YES", "WRONG")</f>
        <v/>
      </c>
    </row>
    <row r="7692">
      <c r="A7692" t="n">
        <v>7691</v>
      </c>
      <c r="B7692" t="inlineStr">
        <is>
          <t>V̅MMDCXCI</t>
        </is>
      </c>
      <c r="C7692">
        <f>ROMAN(7691)</f>
        <v/>
      </c>
      <c r="D7692">
        <f>IF(B7692=C7692, "YES", "WRONG")</f>
        <v/>
      </c>
    </row>
    <row r="7693">
      <c r="A7693" t="n">
        <v>7692</v>
      </c>
      <c r="B7693" t="inlineStr">
        <is>
          <t>V̅MMDCXCII</t>
        </is>
      </c>
      <c r="C7693">
        <f>ROMAN(7692)</f>
        <v/>
      </c>
      <c r="D7693">
        <f>IF(B7693=C7693, "YES", "WRONG")</f>
        <v/>
      </c>
    </row>
    <row r="7694">
      <c r="A7694" t="n">
        <v>7693</v>
      </c>
      <c r="B7694" t="inlineStr">
        <is>
          <t>V̅MMDCXCIII</t>
        </is>
      </c>
      <c r="C7694">
        <f>ROMAN(7693)</f>
        <v/>
      </c>
      <c r="D7694">
        <f>IF(B7694=C7694, "YES", "WRONG")</f>
        <v/>
      </c>
    </row>
    <row r="7695">
      <c r="A7695" t="n">
        <v>7694</v>
      </c>
      <c r="B7695" t="inlineStr">
        <is>
          <t>V̅MMDCXCIV</t>
        </is>
      </c>
      <c r="C7695">
        <f>ROMAN(7694)</f>
        <v/>
      </c>
      <c r="D7695">
        <f>IF(B7695=C7695, "YES", "WRONG")</f>
        <v/>
      </c>
    </row>
    <row r="7696">
      <c r="A7696" t="n">
        <v>7695</v>
      </c>
      <c r="B7696" t="inlineStr">
        <is>
          <t>V̅MMDCXCV</t>
        </is>
      </c>
      <c r="C7696">
        <f>ROMAN(7695)</f>
        <v/>
      </c>
      <c r="D7696">
        <f>IF(B7696=C7696, "YES", "WRONG")</f>
        <v/>
      </c>
    </row>
    <row r="7697">
      <c r="A7697" t="n">
        <v>7696</v>
      </c>
      <c r="B7697" t="inlineStr">
        <is>
          <t>V̅MMDCXCVI</t>
        </is>
      </c>
      <c r="C7697">
        <f>ROMAN(7696)</f>
        <v/>
      </c>
      <c r="D7697">
        <f>IF(B7697=C7697, "YES", "WRONG")</f>
        <v/>
      </c>
    </row>
    <row r="7698">
      <c r="A7698" t="n">
        <v>7697</v>
      </c>
      <c r="B7698" t="inlineStr">
        <is>
          <t>V̅MMDCXCVII</t>
        </is>
      </c>
      <c r="C7698">
        <f>ROMAN(7697)</f>
        <v/>
      </c>
      <c r="D7698">
        <f>IF(B7698=C7698, "YES", "WRONG")</f>
        <v/>
      </c>
    </row>
    <row r="7699">
      <c r="A7699" t="n">
        <v>7698</v>
      </c>
      <c r="B7699" t="inlineStr">
        <is>
          <t>V̅MMDCXCVIII</t>
        </is>
      </c>
      <c r="C7699">
        <f>ROMAN(7698)</f>
        <v/>
      </c>
      <c r="D7699">
        <f>IF(B7699=C7699, "YES", "WRONG")</f>
        <v/>
      </c>
    </row>
    <row r="7700">
      <c r="A7700" t="n">
        <v>7699</v>
      </c>
      <c r="B7700" t="inlineStr">
        <is>
          <t>V̅MMDCXCIX</t>
        </is>
      </c>
      <c r="C7700">
        <f>ROMAN(7699)</f>
        <v/>
      </c>
      <c r="D7700">
        <f>IF(B7700=C7700, "YES", "WRONG")</f>
        <v/>
      </c>
    </row>
    <row r="7701">
      <c r="A7701" t="n">
        <v>7700</v>
      </c>
      <c r="B7701" t="inlineStr">
        <is>
          <t>V̅MMDCC</t>
        </is>
      </c>
      <c r="C7701">
        <f>ROMAN(7700)</f>
        <v/>
      </c>
      <c r="D7701">
        <f>IF(B7701=C7701, "YES", "WRONG")</f>
        <v/>
      </c>
    </row>
    <row r="7702">
      <c r="A7702" t="n">
        <v>7701</v>
      </c>
      <c r="B7702" t="inlineStr">
        <is>
          <t>V̅MMDCCI</t>
        </is>
      </c>
      <c r="C7702">
        <f>ROMAN(7701)</f>
        <v/>
      </c>
      <c r="D7702">
        <f>IF(B7702=C7702, "YES", "WRONG")</f>
        <v/>
      </c>
    </row>
    <row r="7703">
      <c r="A7703" t="n">
        <v>7702</v>
      </c>
      <c r="B7703" t="inlineStr">
        <is>
          <t>V̅MMDCCII</t>
        </is>
      </c>
      <c r="C7703">
        <f>ROMAN(7702)</f>
        <v/>
      </c>
      <c r="D7703">
        <f>IF(B7703=C7703, "YES", "WRONG")</f>
        <v/>
      </c>
    </row>
    <row r="7704">
      <c r="A7704" t="n">
        <v>7703</v>
      </c>
      <c r="B7704" t="inlineStr">
        <is>
          <t>V̅MMDCCIII</t>
        </is>
      </c>
      <c r="C7704">
        <f>ROMAN(7703)</f>
        <v/>
      </c>
      <c r="D7704">
        <f>IF(B7704=C7704, "YES", "WRONG")</f>
        <v/>
      </c>
    </row>
    <row r="7705">
      <c r="A7705" t="n">
        <v>7704</v>
      </c>
      <c r="B7705" t="inlineStr">
        <is>
          <t>V̅MMDCCIV</t>
        </is>
      </c>
      <c r="C7705">
        <f>ROMAN(7704)</f>
        <v/>
      </c>
      <c r="D7705">
        <f>IF(B7705=C7705, "YES", "WRONG")</f>
        <v/>
      </c>
    </row>
    <row r="7706">
      <c r="A7706" t="n">
        <v>7705</v>
      </c>
      <c r="B7706" t="inlineStr">
        <is>
          <t>V̅MMDCCV</t>
        </is>
      </c>
      <c r="C7706">
        <f>ROMAN(7705)</f>
        <v/>
      </c>
      <c r="D7706">
        <f>IF(B7706=C7706, "YES", "WRONG")</f>
        <v/>
      </c>
    </row>
    <row r="7707">
      <c r="A7707" t="n">
        <v>7706</v>
      </c>
      <c r="B7707" t="inlineStr">
        <is>
          <t>V̅MMDCCVI</t>
        </is>
      </c>
      <c r="C7707">
        <f>ROMAN(7706)</f>
        <v/>
      </c>
      <c r="D7707">
        <f>IF(B7707=C7707, "YES", "WRONG")</f>
        <v/>
      </c>
    </row>
    <row r="7708">
      <c r="A7708" t="n">
        <v>7707</v>
      </c>
      <c r="B7708" t="inlineStr">
        <is>
          <t>V̅MMDCCVII</t>
        </is>
      </c>
      <c r="C7708">
        <f>ROMAN(7707)</f>
        <v/>
      </c>
      <c r="D7708">
        <f>IF(B7708=C7708, "YES", "WRONG")</f>
        <v/>
      </c>
    </row>
    <row r="7709">
      <c r="A7709" t="n">
        <v>7708</v>
      </c>
      <c r="B7709" t="inlineStr">
        <is>
          <t>V̅MMDCCVIII</t>
        </is>
      </c>
      <c r="C7709">
        <f>ROMAN(7708)</f>
        <v/>
      </c>
      <c r="D7709">
        <f>IF(B7709=C7709, "YES", "WRONG")</f>
        <v/>
      </c>
    </row>
    <row r="7710">
      <c r="A7710" t="n">
        <v>7709</v>
      </c>
      <c r="B7710" t="inlineStr">
        <is>
          <t>V̅MMDCCIX</t>
        </is>
      </c>
      <c r="C7710">
        <f>ROMAN(7709)</f>
        <v/>
      </c>
      <c r="D7710">
        <f>IF(B7710=C7710, "YES", "WRONG")</f>
        <v/>
      </c>
    </row>
    <row r="7711">
      <c r="A7711" t="n">
        <v>7710</v>
      </c>
      <c r="B7711" t="inlineStr">
        <is>
          <t>V̅MMDCCX</t>
        </is>
      </c>
      <c r="C7711">
        <f>ROMAN(7710)</f>
        <v/>
      </c>
      <c r="D7711">
        <f>IF(B7711=C7711, "YES", "WRONG")</f>
        <v/>
      </c>
    </row>
    <row r="7712">
      <c r="A7712" t="n">
        <v>7711</v>
      </c>
      <c r="B7712" t="inlineStr">
        <is>
          <t>V̅MMDCCXI</t>
        </is>
      </c>
      <c r="C7712">
        <f>ROMAN(7711)</f>
        <v/>
      </c>
      <c r="D7712">
        <f>IF(B7712=C7712, "YES", "WRONG")</f>
        <v/>
      </c>
    </row>
    <row r="7713">
      <c r="A7713" t="n">
        <v>7712</v>
      </c>
      <c r="B7713" t="inlineStr">
        <is>
          <t>V̅MMDCCXII</t>
        </is>
      </c>
      <c r="C7713">
        <f>ROMAN(7712)</f>
        <v/>
      </c>
      <c r="D7713">
        <f>IF(B7713=C7713, "YES", "WRONG")</f>
        <v/>
      </c>
    </row>
    <row r="7714">
      <c r="A7714" t="n">
        <v>7713</v>
      </c>
      <c r="B7714" t="inlineStr">
        <is>
          <t>V̅MMDCCXIII</t>
        </is>
      </c>
      <c r="C7714">
        <f>ROMAN(7713)</f>
        <v/>
      </c>
      <c r="D7714">
        <f>IF(B7714=C7714, "YES", "WRONG")</f>
        <v/>
      </c>
    </row>
    <row r="7715">
      <c r="A7715" t="n">
        <v>7714</v>
      </c>
      <c r="B7715" t="inlineStr">
        <is>
          <t>V̅MMDCCXIV</t>
        </is>
      </c>
      <c r="C7715">
        <f>ROMAN(7714)</f>
        <v/>
      </c>
      <c r="D7715">
        <f>IF(B7715=C7715, "YES", "WRONG")</f>
        <v/>
      </c>
    </row>
    <row r="7716">
      <c r="A7716" t="n">
        <v>7715</v>
      </c>
      <c r="B7716" t="inlineStr">
        <is>
          <t>V̅MMDCCXV</t>
        </is>
      </c>
      <c r="C7716">
        <f>ROMAN(7715)</f>
        <v/>
      </c>
      <c r="D7716">
        <f>IF(B7716=C7716, "YES", "WRONG")</f>
        <v/>
      </c>
    </row>
    <row r="7717">
      <c r="A7717" t="n">
        <v>7716</v>
      </c>
      <c r="B7717" t="inlineStr">
        <is>
          <t>V̅MMDCCXVI</t>
        </is>
      </c>
      <c r="C7717">
        <f>ROMAN(7716)</f>
        <v/>
      </c>
      <c r="D7717">
        <f>IF(B7717=C7717, "YES", "WRONG")</f>
        <v/>
      </c>
    </row>
    <row r="7718">
      <c r="A7718" t="n">
        <v>7717</v>
      </c>
      <c r="B7718" t="inlineStr">
        <is>
          <t>V̅MMDCCXVII</t>
        </is>
      </c>
      <c r="C7718">
        <f>ROMAN(7717)</f>
        <v/>
      </c>
      <c r="D7718">
        <f>IF(B7718=C7718, "YES", "WRONG")</f>
        <v/>
      </c>
    </row>
    <row r="7719">
      <c r="A7719" t="n">
        <v>7718</v>
      </c>
      <c r="B7719" t="inlineStr">
        <is>
          <t>V̅MMDCCXVIII</t>
        </is>
      </c>
      <c r="C7719">
        <f>ROMAN(7718)</f>
        <v/>
      </c>
      <c r="D7719">
        <f>IF(B7719=C7719, "YES", "WRONG")</f>
        <v/>
      </c>
    </row>
    <row r="7720">
      <c r="A7720" t="n">
        <v>7719</v>
      </c>
      <c r="B7720" t="inlineStr">
        <is>
          <t>V̅MMDCCXIX</t>
        </is>
      </c>
      <c r="C7720">
        <f>ROMAN(7719)</f>
        <v/>
      </c>
      <c r="D7720">
        <f>IF(B7720=C7720, "YES", "WRONG")</f>
        <v/>
      </c>
    </row>
    <row r="7721">
      <c r="A7721" t="n">
        <v>7720</v>
      </c>
      <c r="B7721" t="inlineStr">
        <is>
          <t>V̅MMDCCXX</t>
        </is>
      </c>
      <c r="C7721">
        <f>ROMAN(7720)</f>
        <v/>
      </c>
      <c r="D7721">
        <f>IF(B7721=C7721, "YES", "WRONG")</f>
        <v/>
      </c>
    </row>
    <row r="7722">
      <c r="A7722" t="n">
        <v>7721</v>
      </c>
      <c r="B7722" t="inlineStr">
        <is>
          <t>V̅MMDCCXXI</t>
        </is>
      </c>
      <c r="C7722">
        <f>ROMAN(7721)</f>
        <v/>
      </c>
      <c r="D7722">
        <f>IF(B7722=C7722, "YES", "WRONG")</f>
        <v/>
      </c>
    </row>
    <row r="7723">
      <c r="A7723" t="n">
        <v>7722</v>
      </c>
      <c r="B7723" t="inlineStr">
        <is>
          <t>V̅MMDCCXXII</t>
        </is>
      </c>
      <c r="C7723">
        <f>ROMAN(7722)</f>
        <v/>
      </c>
      <c r="D7723">
        <f>IF(B7723=C7723, "YES", "WRONG")</f>
        <v/>
      </c>
    </row>
    <row r="7724">
      <c r="A7724" t="n">
        <v>7723</v>
      </c>
      <c r="B7724" t="inlineStr">
        <is>
          <t>V̅MMDCCXXIII</t>
        </is>
      </c>
      <c r="C7724">
        <f>ROMAN(7723)</f>
        <v/>
      </c>
      <c r="D7724">
        <f>IF(B7724=C7724, "YES", "WRONG")</f>
        <v/>
      </c>
    </row>
    <row r="7725">
      <c r="A7725" t="n">
        <v>7724</v>
      </c>
      <c r="B7725" t="inlineStr">
        <is>
          <t>V̅MMDCCXXIV</t>
        </is>
      </c>
      <c r="C7725">
        <f>ROMAN(7724)</f>
        <v/>
      </c>
      <c r="D7725">
        <f>IF(B7725=C7725, "YES", "WRONG")</f>
        <v/>
      </c>
    </row>
    <row r="7726">
      <c r="A7726" t="n">
        <v>7725</v>
      </c>
      <c r="B7726" t="inlineStr">
        <is>
          <t>V̅MMDCCXXV</t>
        </is>
      </c>
      <c r="C7726">
        <f>ROMAN(7725)</f>
        <v/>
      </c>
      <c r="D7726">
        <f>IF(B7726=C7726, "YES", "WRONG")</f>
        <v/>
      </c>
    </row>
    <row r="7727">
      <c r="A7727" t="n">
        <v>7726</v>
      </c>
      <c r="B7727" t="inlineStr">
        <is>
          <t>V̅MMDCCXXVI</t>
        </is>
      </c>
      <c r="C7727">
        <f>ROMAN(7726)</f>
        <v/>
      </c>
      <c r="D7727">
        <f>IF(B7727=C7727, "YES", "WRONG")</f>
        <v/>
      </c>
    </row>
    <row r="7728">
      <c r="A7728" t="n">
        <v>7727</v>
      </c>
      <c r="B7728" t="inlineStr">
        <is>
          <t>V̅MMDCCXXVII</t>
        </is>
      </c>
      <c r="C7728">
        <f>ROMAN(7727)</f>
        <v/>
      </c>
      <c r="D7728">
        <f>IF(B7728=C7728, "YES", "WRONG")</f>
        <v/>
      </c>
    </row>
    <row r="7729">
      <c r="A7729" t="n">
        <v>7728</v>
      </c>
      <c r="B7729" t="inlineStr">
        <is>
          <t>V̅MMDCCXXVIII</t>
        </is>
      </c>
      <c r="C7729">
        <f>ROMAN(7728)</f>
        <v/>
      </c>
      <c r="D7729">
        <f>IF(B7729=C7729, "YES", "WRONG")</f>
        <v/>
      </c>
    </row>
    <row r="7730">
      <c r="A7730" t="n">
        <v>7729</v>
      </c>
      <c r="B7730" t="inlineStr">
        <is>
          <t>V̅MMDCCXXIX</t>
        </is>
      </c>
      <c r="C7730">
        <f>ROMAN(7729)</f>
        <v/>
      </c>
      <c r="D7730">
        <f>IF(B7730=C7730, "YES", "WRONG")</f>
        <v/>
      </c>
    </row>
    <row r="7731">
      <c r="A7731" t="n">
        <v>7730</v>
      </c>
      <c r="B7731" t="inlineStr">
        <is>
          <t>V̅MMDCCXXX</t>
        </is>
      </c>
      <c r="C7731">
        <f>ROMAN(7730)</f>
        <v/>
      </c>
      <c r="D7731">
        <f>IF(B7731=C7731, "YES", "WRONG")</f>
        <v/>
      </c>
    </row>
    <row r="7732">
      <c r="A7732" t="n">
        <v>7731</v>
      </c>
      <c r="B7732" t="inlineStr">
        <is>
          <t>V̅MMDCCXXXI</t>
        </is>
      </c>
      <c r="C7732">
        <f>ROMAN(7731)</f>
        <v/>
      </c>
      <c r="D7732">
        <f>IF(B7732=C7732, "YES", "WRONG")</f>
        <v/>
      </c>
    </row>
    <row r="7733">
      <c r="A7733" t="n">
        <v>7732</v>
      </c>
      <c r="B7733" t="inlineStr">
        <is>
          <t>V̅MMDCCXXXII</t>
        </is>
      </c>
      <c r="C7733">
        <f>ROMAN(7732)</f>
        <v/>
      </c>
      <c r="D7733">
        <f>IF(B7733=C7733, "YES", "WRONG")</f>
        <v/>
      </c>
    </row>
    <row r="7734">
      <c r="A7734" t="n">
        <v>7733</v>
      </c>
      <c r="B7734" t="inlineStr">
        <is>
          <t>V̅MMDCCXXXIII</t>
        </is>
      </c>
      <c r="C7734">
        <f>ROMAN(7733)</f>
        <v/>
      </c>
      <c r="D7734">
        <f>IF(B7734=C7734, "YES", "WRONG")</f>
        <v/>
      </c>
    </row>
    <row r="7735">
      <c r="A7735" t="n">
        <v>7734</v>
      </c>
      <c r="B7735" t="inlineStr">
        <is>
          <t>V̅MMDCCXXXIV</t>
        </is>
      </c>
      <c r="C7735">
        <f>ROMAN(7734)</f>
        <v/>
      </c>
      <c r="D7735">
        <f>IF(B7735=C7735, "YES", "WRONG")</f>
        <v/>
      </c>
    </row>
    <row r="7736">
      <c r="A7736" t="n">
        <v>7735</v>
      </c>
      <c r="B7736" t="inlineStr">
        <is>
          <t>V̅MMDCCXXXV</t>
        </is>
      </c>
      <c r="C7736">
        <f>ROMAN(7735)</f>
        <v/>
      </c>
      <c r="D7736">
        <f>IF(B7736=C7736, "YES", "WRONG")</f>
        <v/>
      </c>
    </row>
    <row r="7737">
      <c r="A7737" t="n">
        <v>7736</v>
      </c>
      <c r="B7737" t="inlineStr">
        <is>
          <t>V̅MMDCCXXXVI</t>
        </is>
      </c>
      <c r="C7737">
        <f>ROMAN(7736)</f>
        <v/>
      </c>
      <c r="D7737">
        <f>IF(B7737=C7737, "YES", "WRONG")</f>
        <v/>
      </c>
    </row>
    <row r="7738">
      <c r="A7738" t="n">
        <v>7737</v>
      </c>
      <c r="B7738" t="inlineStr">
        <is>
          <t>V̅MMDCCXXXVII</t>
        </is>
      </c>
      <c r="C7738">
        <f>ROMAN(7737)</f>
        <v/>
      </c>
      <c r="D7738">
        <f>IF(B7738=C7738, "YES", "WRONG")</f>
        <v/>
      </c>
    </row>
    <row r="7739">
      <c r="A7739" t="n">
        <v>7738</v>
      </c>
      <c r="B7739" t="inlineStr">
        <is>
          <t>V̅MMDCCXXXVIII</t>
        </is>
      </c>
      <c r="C7739">
        <f>ROMAN(7738)</f>
        <v/>
      </c>
      <c r="D7739">
        <f>IF(B7739=C7739, "YES", "WRONG")</f>
        <v/>
      </c>
    </row>
    <row r="7740">
      <c r="A7740" t="n">
        <v>7739</v>
      </c>
      <c r="B7740" t="inlineStr">
        <is>
          <t>V̅MMDCCXXXIX</t>
        </is>
      </c>
      <c r="C7740">
        <f>ROMAN(7739)</f>
        <v/>
      </c>
      <c r="D7740">
        <f>IF(B7740=C7740, "YES", "WRONG")</f>
        <v/>
      </c>
    </row>
    <row r="7741">
      <c r="A7741" t="n">
        <v>7740</v>
      </c>
      <c r="B7741" t="inlineStr">
        <is>
          <t>V̅MMDCCXL</t>
        </is>
      </c>
      <c r="C7741">
        <f>ROMAN(7740)</f>
        <v/>
      </c>
      <c r="D7741">
        <f>IF(B7741=C7741, "YES", "WRONG")</f>
        <v/>
      </c>
    </row>
    <row r="7742">
      <c r="A7742" t="n">
        <v>7741</v>
      </c>
      <c r="B7742" t="inlineStr">
        <is>
          <t>V̅MMDCCXLI</t>
        </is>
      </c>
      <c r="C7742">
        <f>ROMAN(7741)</f>
        <v/>
      </c>
      <c r="D7742">
        <f>IF(B7742=C7742, "YES", "WRONG")</f>
        <v/>
      </c>
    </row>
    <row r="7743">
      <c r="A7743" t="n">
        <v>7742</v>
      </c>
      <c r="B7743" t="inlineStr">
        <is>
          <t>V̅MMDCCXLII</t>
        </is>
      </c>
      <c r="C7743">
        <f>ROMAN(7742)</f>
        <v/>
      </c>
      <c r="D7743">
        <f>IF(B7743=C7743, "YES", "WRONG")</f>
        <v/>
      </c>
    </row>
    <row r="7744">
      <c r="A7744" t="n">
        <v>7743</v>
      </c>
      <c r="B7744" t="inlineStr">
        <is>
          <t>V̅MMDCCXLIII</t>
        </is>
      </c>
      <c r="C7744">
        <f>ROMAN(7743)</f>
        <v/>
      </c>
      <c r="D7744">
        <f>IF(B7744=C7744, "YES", "WRONG")</f>
        <v/>
      </c>
    </row>
    <row r="7745">
      <c r="A7745" t="n">
        <v>7744</v>
      </c>
      <c r="B7745" t="inlineStr">
        <is>
          <t>V̅MMDCCXLIV</t>
        </is>
      </c>
      <c r="C7745">
        <f>ROMAN(7744)</f>
        <v/>
      </c>
      <c r="D7745">
        <f>IF(B7745=C7745, "YES", "WRONG")</f>
        <v/>
      </c>
    </row>
    <row r="7746">
      <c r="A7746" t="n">
        <v>7745</v>
      </c>
      <c r="B7746" t="inlineStr">
        <is>
          <t>V̅MMDCCXLV</t>
        </is>
      </c>
      <c r="C7746">
        <f>ROMAN(7745)</f>
        <v/>
      </c>
      <c r="D7746">
        <f>IF(B7746=C7746, "YES", "WRONG")</f>
        <v/>
      </c>
    </row>
    <row r="7747">
      <c r="A7747" t="n">
        <v>7746</v>
      </c>
      <c r="B7747" t="inlineStr">
        <is>
          <t>V̅MMDCCXLVI</t>
        </is>
      </c>
      <c r="C7747">
        <f>ROMAN(7746)</f>
        <v/>
      </c>
      <c r="D7747">
        <f>IF(B7747=C7747, "YES", "WRONG")</f>
        <v/>
      </c>
    </row>
    <row r="7748">
      <c r="A7748" t="n">
        <v>7747</v>
      </c>
      <c r="B7748" t="inlineStr">
        <is>
          <t>V̅MMDCCXLVII</t>
        </is>
      </c>
      <c r="C7748">
        <f>ROMAN(7747)</f>
        <v/>
      </c>
      <c r="D7748">
        <f>IF(B7748=C7748, "YES", "WRONG")</f>
        <v/>
      </c>
    </row>
    <row r="7749">
      <c r="A7749" t="n">
        <v>7748</v>
      </c>
      <c r="B7749" t="inlineStr">
        <is>
          <t>V̅MMDCCXLVIII</t>
        </is>
      </c>
      <c r="C7749">
        <f>ROMAN(7748)</f>
        <v/>
      </c>
      <c r="D7749">
        <f>IF(B7749=C7749, "YES", "WRONG")</f>
        <v/>
      </c>
    </row>
    <row r="7750">
      <c r="A7750" t="n">
        <v>7749</v>
      </c>
      <c r="B7750" t="inlineStr">
        <is>
          <t>V̅MMDCCXLIX</t>
        </is>
      </c>
      <c r="C7750">
        <f>ROMAN(7749)</f>
        <v/>
      </c>
      <c r="D7750">
        <f>IF(B7750=C7750, "YES", "WRONG")</f>
        <v/>
      </c>
    </row>
    <row r="7751">
      <c r="A7751" t="n">
        <v>7750</v>
      </c>
      <c r="B7751" t="inlineStr">
        <is>
          <t>V̅MMDCCL</t>
        </is>
      </c>
      <c r="C7751">
        <f>ROMAN(7750)</f>
        <v/>
      </c>
      <c r="D7751">
        <f>IF(B7751=C7751, "YES", "WRONG")</f>
        <v/>
      </c>
    </row>
    <row r="7752">
      <c r="A7752" t="n">
        <v>7751</v>
      </c>
      <c r="B7752" t="inlineStr">
        <is>
          <t>V̅MMDCCLI</t>
        </is>
      </c>
      <c r="C7752">
        <f>ROMAN(7751)</f>
        <v/>
      </c>
      <c r="D7752">
        <f>IF(B7752=C7752, "YES", "WRONG")</f>
        <v/>
      </c>
    </row>
    <row r="7753">
      <c r="A7753" t="n">
        <v>7752</v>
      </c>
      <c r="B7753" t="inlineStr">
        <is>
          <t>V̅MMDCCLII</t>
        </is>
      </c>
      <c r="C7753">
        <f>ROMAN(7752)</f>
        <v/>
      </c>
      <c r="D7753">
        <f>IF(B7753=C7753, "YES", "WRONG")</f>
        <v/>
      </c>
    </row>
    <row r="7754">
      <c r="A7754" t="n">
        <v>7753</v>
      </c>
      <c r="B7754" t="inlineStr">
        <is>
          <t>V̅MMDCCLIII</t>
        </is>
      </c>
      <c r="C7754">
        <f>ROMAN(7753)</f>
        <v/>
      </c>
      <c r="D7754">
        <f>IF(B7754=C7754, "YES", "WRONG")</f>
        <v/>
      </c>
    </row>
    <row r="7755">
      <c r="A7755" t="n">
        <v>7754</v>
      </c>
      <c r="B7755" t="inlineStr">
        <is>
          <t>V̅MMDCCLIV</t>
        </is>
      </c>
      <c r="C7755">
        <f>ROMAN(7754)</f>
        <v/>
      </c>
      <c r="D7755">
        <f>IF(B7755=C7755, "YES", "WRONG")</f>
        <v/>
      </c>
    </row>
    <row r="7756">
      <c r="A7756" t="n">
        <v>7755</v>
      </c>
      <c r="B7756" t="inlineStr">
        <is>
          <t>V̅MMDCCLV</t>
        </is>
      </c>
      <c r="C7756">
        <f>ROMAN(7755)</f>
        <v/>
      </c>
      <c r="D7756">
        <f>IF(B7756=C7756, "YES", "WRONG")</f>
        <v/>
      </c>
    </row>
    <row r="7757">
      <c r="A7757" t="n">
        <v>7756</v>
      </c>
      <c r="B7757" t="inlineStr">
        <is>
          <t>V̅MMDCCLVI</t>
        </is>
      </c>
      <c r="C7757">
        <f>ROMAN(7756)</f>
        <v/>
      </c>
      <c r="D7757">
        <f>IF(B7757=C7757, "YES", "WRONG")</f>
        <v/>
      </c>
    </row>
    <row r="7758">
      <c r="A7758" t="n">
        <v>7757</v>
      </c>
      <c r="B7758" t="inlineStr">
        <is>
          <t>V̅MMDCCLVII</t>
        </is>
      </c>
      <c r="C7758">
        <f>ROMAN(7757)</f>
        <v/>
      </c>
      <c r="D7758">
        <f>IF(B7758=C7758, "YES", "WRONG")</f>
        <v/>
      </c>
    </row>
    <row r="7759">
      <c r="A7759" t="n">
        <v>7758</v>
      </c>
      <c r="B7759" t="inlineStr">
        <is>
          <t>V̅MMDCCLVIII</t>
        </is>
      </c>
      <c r="C7759">
        <f>ROMAN(7758)</f>
        <v/>
      </c>
      <c r="D7759">
        <f>IF(B7759=C7759, "YES", "WRONG")</f>
        <v/>
      </c>
    </row>
    <row r="7760">
      <c r="A7760" t="n">
        <v>7759</v>
      </c>
      <c r="B7760" t="inlineStr">
        <is>
          <t>V̅MMDCCLIX</t>
        </is>
      </c>
      <c r="C7760">
        <f>ROMAN(7759)</f>
        <v/>
      </c>
      <c r="D7760">
        <f>IF(B7760=C7760, "YES", "WRONG")</f>
        <v/>
      </c>
    </row>
    <row r="7761">
      <c r="A7761" t="n">
        <v>7760</v>
      </c>
      <c r="B7761" t="inlineStr">
        <is>
          <t>V̅MMDCCLX</t>
        </is>
      </c>
      <c r="C7761">
        <f>ROMAN(7760)</f>
        <v/>
      </c>
      <c r="D7761">
        <f>IF(B7761=C7761, "YES", "WRONG")</f>
        <v/>
      </c>
    </row>
    <row r="7762">
      <c r="A7762" t="n">
        <v>7761</v>
      </c>
      <c r="B7762" t="inlineStr">
        <is>
          <t>V̅MMDCCLXI</t>
        </is>
      </c>
      <c r="C7762">
        <f>ROMAN(7761)</f>
        <v/>
      </c>
      <c r="D7762">
        <f>IF(B7762=C7762, "YES", "WRONG")</f>
        <v/>
      </c>
    </row>
    <row r="7763">
      <c r="A7763" t="n">
        <v>7762</v>
      </c>
      <c r="B7763" t="inlineStr">
        <is>
          <t>V̅MMDCCLXII</t>
        </is>
      </c>
      <c r="C7763">
        <f>ROMAN(7762)</f>
        <v/>
      </c>
      <c r="D7763">
        <f>IF(B7763=C7763, "YES", "WRONG")</f>
        <v/>
      </c>
    </row>
    <row r="7764">
      <c r="A7764" t="n">
        <v>7763</v>
      </c>
      <c r="B7764" t="inlineStr">
        <is>
          <t>V̅MMDCCLXIII</t>
        </is>
      </c>
      <c r="C7764">
        <f>ROMAN(7763)</f>
        <v/>
      </c>
      <c r="D7764">
        <f>IF(B7764=C7764, "YES", "WRONG")</f>
        <v/>
      </c>
    </row>
    <row r="7765">
      <c r="A7765" t="n">
        <v>7764</v>
      </c>
      <c r="B7765" t="inlineStr">
        <is>
          <t>V̅MMDCCLXIV</t>
        </is>
      </c>
      <c r="C7765">
        <f>ROMAN(7764)</f>
        <v/>
      </c>
      <c r="D7765">
        <f>IF(B7765=C7765, "YES", "WRONG")</f>
        <v/>
      </c>
    </row>
    <row r="7766">
      <c r="A7766" t="n">
        <v>7765</v>
      </c>
      <c r="B7766" t="inlineStr">
        <is>
          <t>V̅MMDCCLXV</t>
        </is>
      </c>
      <c r="C7766">
        <f>ROMAN(7765)</f>
        <v/>
      </c>
      <c r="D7766">
        <f>IF(B7766=C7766, "YES", "WRONG")</f>
        <v/>
      </c>
    </row>
    <row r="7767">
      <c r="A7767" t="n">
        <v>7766</v>
      </c>
      <c r="B7767" t="inlineStr">
        <is>
          <t>V̅MMDCCLXVI</t>
        </is>
      </c>
      <c r="C7767">
        <f>ROMAN(7766)</f>
        <v/>
      </c>
      <c r="D7767">
        <f>IF(B7767=C7767, "YES", "WRONG")</f>
        <v/>
      </c>
    </row>
    <row r="7768">
      <c r="A7768" t="n">
        <v>7767</v>
      </c>
      <c r="B7768" t="inlineStr">
        <is>
          <t>V̅MMDCCLXVII</t>
        </is>
      </c>
      <c r="C7768">
        <f>ROMAN(7767)</f>
        <v/>
      </c>
      <c r="D7768">
        <f>IF(B7768=C7768, "YES", "WRONG")</f>
        <v/>
      </c>
    </row>
    <row r="7769">
      <c r="A7769" t="n">
        <v>7768</v>
      </c>
      <c r="B7769" t="inlineStr">
        <is>
          <t>V̅MMDCCLXVIII</t>
        </is>
      </c>
      <c r="C7769">
        <f>ROMAN(7768)</f>
        <v/>
      </c>
      <c r="D7769">
        <f>IF(B7769=C7769, "YES", "WRONG")</f>
        <v/>
      </c>
    </row>
    <row r="7770">
      <c r="A7770" t="n">
        <v>7769</v>
      </c>
      <c r="B7770" t="inlineStr">
        <is>
          <t>V̅MMDCCLXIX</t>
        </is>
      </c>
      <c r="C7770">
        <f>ROMAN(7769)</f>
        <v/>
      </c>
      <c r="D7770">
        <f>IF(B7770=C7770, "YES", "WRONG")</f>
        <v/>
      </c>
    </row>
    <row r="7771">
      <c r="A7771" t="n">
        <v>7770</v>
      </c>
      <c r="B7771" t="inlineStr">
        <is>
          <t>V̅MMDCCLXX</t>
        </is>
      </c>
      <c r="C7771">
        <f>ROMAN(7770)</f>
        <v/>
      </c>
      <c r="D7771">
        <f>IF(B7771=C7771, "YES", "WRONG")</f>
        <v/>
      </c>
    </row>
    <row r="7772">
      <c r="A7772" t="n">
        <v>7771</v>
      </c>
      <c r="B7772" t="inlineStr">
        <is>
          <t>V̅MMDCCLXXI</t>
        </is>
      </c>
      <c r="C7772">
        <f>ROMAN(7771)</f>
        <v/>
      </c>
      <c r="D7772">
        <f>IF(B7772=C7772, "YES", "WRONG")</f>
        <v/>
      </c>
    </row>
    <row r="7773">
      <c r="A7773" t="n">
        <v>7772</v>
      </c>
      <c r="B7773" t="inlineStr">
        <is>
          <t>V̅MMDCCLXXII</t>
        </is>
      </c>
      <c r="C7773">
        <f>ROMAN(7772)</f>
        <v/>
      </c>
      <c r="D7773">
        <f>IF(B7773=C7773, "YES", "WRONG")</f>
        <v/>
      </c>
    </row>
    <row r="7774">
      <c r="A7774" t="n">
        <v>7773</v>
      </c>
      <c r="B7774" t="inlineStr">
        <is>
          <t>V̅MMDCCLXXIII</t>
        </is>
      </c>
      <c r="C7774">
        <f>ROMAN(7773)</f>
        <v/>
      </c>
      <c r="D7774">
        <f>IF(B7774=C7774, "YES", "WRONG")</f>
        <v/>
      </c>
    </row>
    <row r="7775">
      <c r="A7775" t="n">
        <v>7774</v>
      </c>
      <c r="B7775" t="inlineStr">
        <is>
          <t>V̅MMDCCLXXIV</t>
        </is>
      </c>
      <c r="C7775">
        <f>ROMAN(7774)</f>
        <v/>
      </c>
      <c r="D7775">
        <f>IF(B7775=C7775, "YES", "WRONG")</f>
        <v/>
      </c>
    </row>
    <row r="7776">
      <c r="A7776" t="n">
        <v>7775</v>
      </c>
      <c r="B7776" t="inlineStr">
        <is>
          <t>V̅MMDCCLXXV</t>
        </is>
      </c>
      <c r="C7776">
        <f>ROMAN(7775)</f>
        <v/>
      </c>
      <c r="D7776">
        <f>IF(B7776=C7776, "YES", "WRONG")</f>
        <v/>
      </c>
    </row>
    <row r="7777">
      <c r="A7777" t="n">
        <v>7776</v>
      </c>
      <c r="B7777" t="inlineStr">
        <is>
          <t>V̅MMDCCLXXVI</t>
        </is>
      </c>
      <c r="C7777">
        <f>ROMAN(7776)</f>
        <v/>
      </c>
      <c r="D7777">
        <f>IF(B7777=C7777, "YES", "WRONG")</f>
        <v/>
      </c>
    </row>
    <row r="7778">
      <c r="A7778" t="n">
        <v>7777</v>
      </c>
      <c r="B7778" t="inlineStr">
        <is>
          <t>V̅MMDCCLXXVII</t>
        </is>
      </c>
      <c r="C7778">
        <f>ROMAN(7777)</f>
        <v/>
      </c>
      <c r="D7778">
        <f>IF(B7778=C7778, "YES", "WRONG")</f>
        <v/>
      </c>
    </row>
    <row r="7779">
      <c r="A7779" t="n">
        <v>7778</v>
      </c>
      <c r="B7779" t="inlineStr">
        <is>
          <t>V̅MMDCCLXXVIII</t>
        </is>
      </c>
      <c r="C7779">
        <f>ROMAN(7778)</f>
        <v/>
      </c>
      <c r="D7779">
        <f>IF(B7779=C7779, "YES", "WRONG")</f>
        <v/>
      </c>
    </row>
    <row r="7780">
      <c r="A7780" t="n">
        <v>7779</v>
      </c>
      <c r="B7780" t="inlineStr">
        <is>
          <t>V̅MMDCCLXXIX</t>
        </is>
      </c>
      <c r="C7780">
        <f>ROMAN(7779)</f>
        <v/>
      </c>
      <c r="D7780">
        <f>IF(B7780=C7780, "YES", "WRONG")</f>
        <v/>
      </c>
    </row>
    <row r="7781">
      <c r="A7781" t="n">
        <v>7780</v>
      </c>
      <c r="B7781" t="inlineStr">
        <is>
          <t>V̅MMDCCLXXX</t>
        </is>
      </c>
      <c r="C7781">
        <f>ROMAN(7780)</f>
        <v/>
      </c>
      <c r="D7781">
        <f>IF(B7781=C7781, "YES", "WRONG")</f>
        <v/>
      </c>
    </row>
    <row r="7782">
      <c r="A7782" t="n">
        <v>7781</v>
      </c>
      <c r="B7782" t="inlineStr">
        <is>
          <t>V̅MMDCCLXXXI</t>
        </is>
      </c>
      <c r="C7782">
        <f>ROMAN(7781)</f>
        <v/>
      </c>
      <c r="D7782">
        <f>IF(B7782=C7782, "YES", "WRONG")</f>
        <v/>
      </c>
    </row>
    <row r="7783">
      <c r="A7783" t="n">
        <v>7782</v>
      </c>
      <c r="B7783" t="inlineStr">
        <is>
          <t>V̅MMDCCLXXXII</t>
        </is>
      </c>
      <c r="C7783">
        <f>ROMAN(7782)</f>
        <v/>
      </c>
      <c r="D7783">
        <f>IF(B7783=C7783, "YES", "WRONG")</f>
        <v/>
      </c>
    </row>
    <row r="7784">
      <c r="A7784" t="n">
        <v>7783</v>
      </c>
      <c r="B7784" t="inlineStr">
        <is>
          <t>V̅MMDCCLXXXIII</t>
        </is>
      </c>
      <c r="C7784">
        <f>ROMAN(7783)</f>
        <v/>
      </c>
      <c r="D7784">
        <f>IF(B7784=C7784, "YES", "WRONG")</f>
        <v/>
      </c>
    </row>
    <row r="7785">
      <c r="A7785" t="n">
        <v>7784</v>
      </c>
      <c r="B7785" t="inlineStr">
        <is>
          <t>V̅MMDCCLXXXIV</t>
        </is>
      </c>
      <c r="C7785">
        <f>ROMAN(7784)</f>
        <v/>
      </c>
      <c r="D7785">
        <f>IF(B7785=C7785, "YES", "WRONG")</f>
        <v/>
      </c>
    </row>
    <row r="7786">
      <c r="A7786" t="n">
        <v>7785</v>
      </c>
      <c r="B7786" t="inlineStr">
        <is>
          <t>V̅MMDCCLXXXV</t>
        </is>
      </c>
      <c r="C7786">
        <f>ROMAN(7785)</f>
        <v/>
      </c>
      <c r="D7786">
        <f>IF(B7786=C7786, "YES", "WRONG")</f>
        <v/>
      </c>
    </row>
    <row r="7787">
      <c r="A7787" t="n">
        <v>7786</v>
      </c>
      <c r="B7787" t="inlineStr">
        <is>
          <t>V̅MMDCCLXXXVI</t>
        </is>
      </c>
      <c r="C7787">
        <f>ROMAN(7786)</f>
        <v/>
      </c>
      <c r="D7787">
        <f>IF(B7787=C7787, "YES", "WRONG")</f>
        <v/>
      </c>
    </row>
    <row r="7788">
      <c r="A7788" t="n">
        <v>7787</v>
      </c>
      <c r="B7788" t="inlineStr">
        <is>
          <t>V̅MMDCCLXXXVII</t>
        </is>
      </c>
      <c r="C7788">
        <f>ROMAN(7787)</f>
        <v/>
      </c>
      <c r="D7788">
        <f>IF(B7788=C7788, "YES", "WRONG")</f>
        <v/>
      </c>
    </row>
    <row r="7789">
      <c r="A7789" t="n">
        <v>7788</v>
      </c>
      <c r="B7789" t="inlineStr">
        <is>
          <t>V̅MMDCCLXXXVIII</t>
        </is>
      </c>
      <c r="C7789">
        <f>ROMAN(7788)</f>
        <v/>
      </c>
      <c r="D7789">
        <f>IF(B7789=C7789, "YES", "WRONG")</f>
        <v/>
      </c>
    </row>
    <row r="7790">
      <c r="A7790" t="n">
        <v>7789</v>
      </c>
      <c r="B7790" t="inlineStr">
        <is>
          <t>V̅MMDCCLXXXIX</t>
        </is>
      </c>
      <c r="C7790">
        <f>ROMAN(7789)</f>
        <v/>
      </c>
      <c r="D7790">
        <f>IF(B7790=C7790, "YES", "WRONG")</f>
        <v/>
      </c>
    </row>
    <row r="7791">
      <c r="A7791" t="n">
        <v>7790</v>
      </c>
      <c r="B7791" t="inlineStr">
        <is>
          <t>V̅MMDCCXC</t>
        </is>
      </c>
      <c r="C7791">
        <f>ROMAN(7790)</f>
        <v/>
      </c>
      <c r="D7791">
        <f>IF(B7791=C7791, "YES", "WRONG")</f>
        <v/>
      </c>
    </row>
    <row r="7792">
      <c r="A7792" t="n">
        <v>7791</v>
      </c>
      <c r="B7792" t="inlineStr">
        <is>
          <t>V̅MMDCCXCI</t>
        </is>
      </c>
      <c r="C7792">
        <f>ROMAN(7791)</f>
        <v/>
      </c>
      <c r="D7792">
        <f>IF(B7792=C7792, "YES", "WRONG")</f>
        <v/>
      </c>
    </row>
    <row r="7793">
      <c r="A7793" t="n">
        <v>7792</v>
      </c>
      <c r="B7793" t="inlineStr">
        <is>
          <t>V̅MMDCCXCII</t>
        </is>
      </c>
      <c r="C7793">
        <f>ROMAN(7792)</f>
        <v/>
      </c>
      <c r="D7793">
        <f>IF(B7793=C7793, "YES", "WRONG")</f>
        <v/>
      </c>
    </row>
    <row r="7794">
      <c r="A7794" t="n">
        <v>7793</v>
      </c>
      <c r="B7794" t="inlineStr">
        <is>
          <t>V̅MMDCCXCIII</t>
        </is>
      </c>
      <c r="C7794">
        <f>ROMAN(7793)</f>
        <v/>
      </c>
      <c r="D7794">
        <f>IF(B7794=C7794, "YES", "WRONG")</f>
        <v/>
      </c>
    </row>
    <row r="7795">
      <c r="A7795" t="n">
        <v>7794</v>
      </c>
      <c r="B7795" t="inlineStr">
        <is>
          <t>V̅MMDCCXCIV</t>
        </is>
      </c>
      <c r="C7795">
        <f>ROMAN(7794)</f>
        <v/>
      </c>
      <c r="D7795">
        <f>IF(B7795=C7795, "YES", "WRONG")</f>
        <v/>
      </c>
    </row>
    <row r="7796">
      <c r="A7796" t="n">
        <v>7795</v>
      </c>
      <c r="B7796" t="inlineStr">
        <is>
          <t>V̅MMDCCXCV</t>
        </is>
      </c>
      <c r="C7796">
        <f>ROMAN(7795)</f>
        <v/>
      </c>
      <c r="D7796">
        <f>IF(B7796=C7796, "YES", "WRONG")</f>
        <v/>
      </c>
    </row>
    <row r="7797">
      <c r="A7797" t="n">
        <v>7796</v>
      </c>
      <c r="B7797" t="inlineStr">
        <is>
          <t>V̅MMDCCXCVI</t>
        </is>
      </c>
      <c r="C7797">
        <f>ROMAN(7796)</f>
        <v/>
      </c>
      <c r="D7797">
        <f>IF(B7797=C7797, "YES", "WRONG")</f>
        <v/>
      </c>
    </row>
    <row r="7798">
      <c r="A7798" t="n">
        <v>7797</v>
      </c>
      <c r="B7798" t="inlineStr">
        <is>
          <t>V̅MMDCCXCVII</t>
        </is>
      </c>
      <c r="C7798">
        <f>ROMAN(7797)</f>
        <v/>
      </c>
      <c r="D7798">
        <f>IF(B7798=C7798, "YES", "WRONG")</f>
        <v/>
      </c>
    </row>
    <row r="7799">
      <c r="A7799" t="n">
        <v>7798</v>
      </c>
      <c r="B7799" t="inlineStr">
        <is>
          <t>V̅MMDCCXCVIII</t>
        </is>
      </c>
      <c r="C7799">
        <f>ROMAN(7798)</f>
        <v/>
      </c>
      <c r="D7799">
        <f>IF(B7799=C7799, "YES", "WRONG")</f>
        <v/>
      </c>
    </row>
    <row r="7800">
      <c r="A7800" t="n">
        <v>7799</v>
      </c>
      <c r="B7800" t="inlineStr">
        <is>
          <t>V̅MMDCCXCIX</t>
        </is>
      </c>
      <c r="C7800">
        <f>ROMAN(7799)</f>
        <v/>
      </c>
      <c r="D7800">
        <f>IF(B7800=C7800, "YES", "WRONG")</f>
        <v/>
      </c>
    </row>
    <row r="7801">
      <c r="A7801" t="n">
        <v>7800</v>
      </c>
      <c r="B7801" t="inlineStr">
        <is>
          <t>V̅MMDCCC</t>
        </is>
      </c>
      <c r="C7801">
        <f>ROMAN(7800)</f>
        <v/>
      </c>
      <c r="D7801">
        <f>IF(B7801=C7801, "YES", "WRONG")</f>
        <v/>
      </c>
    </row>
    <row r="7802">
      <c r="A7802" t="n">
        <v>7801</v>
      </c>
      <c r="B7802" t="inlineStr">
        <is>
          <t>V̅MMDCCCI</t>
        </is>
      </c>
      <c r="C7802">
        <f>ROMAN(7801)</f>
        <v/>
      </c>
      <c r="D7802">
        <f>IF(B7802=C7802, "YES", "WRONG")</f>
        <v/>
      </c>
    </row>
    <row r="7803">
      <c r="A7803" t="n">
        <v>7802</v>
      </c>
      <c r="B7803" t="inlineStr">
        <is>
          <t>V̅MMDCCCII</t>
        </is>
      </c>
      <c r="C7803">
        <f>ROMAN(7802)</f>
        <v/>
      </c>
      <c r="D7803">
        <f>IF(B7803=C7803, "YES", "WRONG")</f>
        <v/>
      </c>
    </row>
    <row r="7804">
      <c r="A7804" t="n">
        <v>7803</v>
      </c>
      <c r="B7804" t="inlineStr">
        <is>
          <t>V̅MMDCCCIII</t>
        </is>
      </c>
      <c r="C7804">
        <f>ROMAN(7803)</f>
        <v/>
      </c>
      <c r="D7804">
        <f>IF(B7804=C7804, "YES", "WRONG")</f>
        <v/>
      </c>
    </row>
    <row r="7805">
      <c r="A7805" t="n">
        <v>7804</v>
      </c>
      <c r="B7805" t="inlineStr">
        <is>
          <t>V̅MMDCCCIV</t>
        </is>
      </c>
      <c r="C7805">
        <f>ROMAN(7804)</f>
        <v/>
      </c>
      <c r="D7805">
        <f>IF(B7805=C7805, "YES", "WRONG")</f>
        <v/>
      </c>
    </row>
    <row r="7806">
      <c r="A7806" t="n">
        <v>7805</v>
      </c>
      <c r="B7806" t="inlineStr">
        <is>
          <t>V̅MMDCCCV</t>
        </is>
      </c>
      <c r="C7806">
        <f>ROMAN(7805)</f>
        <v/>
      </c>
      <c r="D7806">
        <f>IF(B7806=C7806, "YES", "WRONG")</f>
        <v/>
      </c>
    </row>
    <row r="7807">
      <c r="A7807" t="n">
        <v>7806</v>
      </c>
      <c r="B7807" t="inlineStr">
        <is>
          <t>V̅MMDCCCVI</t>
        </is>
      </c>
      <c r="C7807">
        <f>ROMAN(7806)</f>
        <v/>
      </c>
      <c r="D7807">
        <f>IF(B7807=C7807, "YES", "WRONG")</f>
        <v/>
      </c>
    </row>
    <row r="7808">
      <c r="A7808" t="n">
        <v>7807</v>
      </c>
      <c r="B7808" t="inlineStr">
        <is>
          <t>V̅MMDCCCVII</t>
        </is>
      </c>
      <c r="C7808">
        <f>ROMAN(7807)</f>
        <v/>
      </c>
      <c r="D7808">
        <f>IF(B7808=C7808, "YES", "WRONG")</f>
        <v/>
      </c>
    </row>
    <row r="7809">
      <c r="A7809" t="n">
        <v>7808</v>
      </c>
      <c r="B7809" t="inlineStr">
        <is>
          <t>V̅MMDCCCVIII</t>
        </is>
      </c>
      <c r="C7809">
        <f>ROMAN(7808)</f>
        <v/>
      </c>
      <c r="D7809">
        <f>IF(B7809=C7809, "YES", "WRONG")</f>
        <v/>
      </c>
    </row>
    <row r="7810">
      <c r="A7810" t="n">
        <v>7809</v>
      </c>
      <c r="B7810" t="inlineStr">
        <is>
          <t>V̅MMDCCCIX</t>
        </is>
      </c>
      <c r="C7810">
        <f>ROMAN(7809)</f>
        <v/>
      </c>
      <c r="D7810">
        <f>IF(B7810=C7810, "YES", "WRONG")</f>
        <v/>
      </c>
    </row>
    <row r="7811">
      <c r="A7811" t="n">
        <v>7810</v>
      </c>
      <c r="B7811" t="inlineStr">
        <is>
          <t>V̅MMDCCCX</t>
        </is>
      </c>
      <c r="C7811">
        <f>ROMAN(7810)</f>
        <v/>
      </c>
      <c r="D7811">
        <f>IF(B7811=C7811, "YES", "WRONG")</f>
        <v/>
      </c>
    </row>
    <row r="7812">
      <c r="A7812" t="n">
        <v>7811</v>
      </c>
      <c r="B7812" t="inlineStr">
        <is>
          <t>V̅MMDCCCXI</t>
        </is>
      </c>
      <c r="C7812">
        <f>ROMAN(7811)</f>
        <v/>
      </c>
      <c r="D7812">
        <f>IF(B7812=C7812, "YES", "WRONG")</f>
        <v/>
      </c>
    </row>
    <row r="7813">
      <c r="A7813" t="n">
        <v>7812</v>
      </c>
      <c r="B7813" t="inlineStr">
        <is>
          <t>V̅MMDCCCXII</t>
        </is>
      </c>
      <c r="C7813">
        <f>ROMAN(7812)</f>
        <v/>
      </c>
      <c r="D7813">
        <f>IF(B7813=C7813, "YES", "WRONG")</f>
        <v/>
      </c>
    </row>
    <row r="7814">
      <c r="A7814" t="n">
        <v>7813</v>
      </c>
      <c r="B7814" t="inlineStr">
        <is>
          <t>V̅MMDCCCXIII</t>
        </is>
      </c>
      <c r="C7814">
        <f>ROMAN(7813)</f>
        <v/>
      </c>
      <c r="D7814">
        <f>IF(B7814=C7814, "YES", "WRONG")</f>
        <v/>
      </c>
    </row>
    <row r="7815">
      <c r="A7815" t="n">
        <v>7814</v>
      </c>
      <c r="B7815" t="inlineStr">
        <is>
          <t>V̅MMDCCCXIV</t>
        </is>
      </c>
      <c r="C7815">
        <f>ROMAN(7814)</f>
        <v/>
      </c>
      <c r="D7815">
        <f>IF(B7815=C7815, "YES", "WRONG")</f>
        <v/>
      </c>
    </row>
    <row r="7816">
      <c r="A7816" t="n">
        <v>7815</v>
      </c>
      <c r="B7816" t="inlineStr">
        <is>
          <t>V̅MMDCCCXV</t>
        </is>
      </c>
      <c r="C7816">
        <f>ROMAN(7815)</f>
        <v/>
      </c>
      <c r="D7816">
        <f>IF(B7816=C7816, "YES", "WRONG")</f>
        <v/>
      </c>
    </row>
    <row r="7817">
      <c r="A7817" t="n">
        <v>7816</v>
      </c>
      <c r="B7817" t="inlineStr">
        <is>
          <t>V̅MMDCCCXVI</t>
        </is>
      </c>
      <c r="C7817">
        <f>ROMAN(7816)</f>
        <v/>
      </c>
      <c r="D7817">
        <f>IF(B7817=C7817, "YES", "WRONG")</f>
        <v/>
      </c>
    </row>
    <row r="7818">
      <c r="A7818" t="n">
        <v>7817</v>
      </c>
      <c r="B7818" t="inlineStr">
        <is>
          <t>V̅MMDCCCXVII</t>
        </is>
      </c>
      <c r="C7818">
        <f>ROMAN(7817)</f>
        <v/>
      </c>
      <c r="D7818">
        <f>IF(B7818=C7818, "YES", "WRONG")</f>
        <v/>
      </c>
    </row>
    <row r="7819">
      <c r="A7819" t="n">
        <v>7818</v>
      </c>
      <c r="B7819" t="inlineStr">
        <is>
          <t>V̅MMDCCCXVIII</t>
        </is>
      </c>
      <c r="C7819">
        <f>ROMAN(7818)</f>
        <v/>
      </c>
      <c r="D7819">
        <f>IF(B7819=C7819, "YES", "WRONG")</f>
        <v/>
      </c>
    </row>
    <row r="7820">
      <c r="A7820" t="n">
        <v>7819</v>
      </c>
      <c r="B7820" t="inlineStr">
        <is>
          <t>V̅MMDCCCXIX</t>
        </is>
      </c>
      <c r="C7820">
        <f>ROMAN(7819)</f>
        <v/>
      </c>
      <c r="D7820">
        <f>IF(B7820=C7820, "YES", "WRONG")</f>
        <v/>
      </c>
    </row>
    <row r="7821">
      <c r="A7821" t="n">
        <v>7820</v>
      </c>
      <c r="B7821" t="inlineStr">
        <is>
          <t>V̅MMDCCCXX</t>
        </is>
      </c>
      <c r="C7821">
        <f>ROMAN(7820)</f>
        <v/>
      </c>
      <c r="D7821">
        <f>IF(B7821=C7821, "YES", "WRONG")</f>
        <v/>
      </c>
    </row>
    <row r="7822">
      <c r="A7822" t="n">
        <v>7821</v>
      </c>
      <c r="B7822" t="inlineStr">
        <is>
          <t>V̅MMDCCCXXI</t>
        </is>
      </c>
      <c r="C7822">
        <f>ROMAN(7821)</f>
        <v/>
      </c>
      <c r="D7822">
        <f>IF(B7822=C7822, "YES", "WRONG")</f>
        <v/>
      </c>
    </row>
    <row r="7823">
      <c r="A7823" t="n">
        <v>7822</v>
      </c>
      <c r="B7823" t="inlineStr">
        <is>
          <t>V̅MMDCCCXXII</t>
        </is>
      </c>
      <c r="C7823">
        <f>ROMAN(7822)</f>
        <v/>
      </c>
      <c r="D7823">
        <f>IF(B7823=C7823, "YES", "WRONG")</f>
        <v/>
      </c>
    </row>
    <row r="7824">
      <c r="A7824" t="n">
        <v>7823</v>
      </c>
      <c r="B7824" t="inlineStr">
        <is>
          <t>V̅MMDCCCXXIII</t>
        </is>
      </c>
      <c r="C7824">
        <f>ROMAN(7823)</f>
        <v/>
      </c>
      <c r="D7824">
        <f>IF(B7824=C7824, "YES", "WRONG")</f>
        <v/>
      </c>
    </row>
    <row r="7825">
      <c r="A7825" t="n">
        <v>7824</v>
      </c>
      <c r="B7825" t="inlineStr">
        <is>
          <t>V̅MMDCCCXXIV</t>
        </is>
      </c>
      <c r="C7825">
        <f>ROMAN(7824)</f>
        <v/>
      </c>
      <c r="D7825">
        <f>IF(B7825=C7825, "YES", "WRONG")</f>
        <v/>
      </c>
    </row>
    <row r="7826">
      <c r="A7826" t="n">
        <v>7825</v>
      </c>
      <c r="B7826" t="inlineStr">
        <is>
          <t>V̅MMDCCCXXV</t>
        </is>
      </c>
      <c r="C7826">
        <f>ROMAN(7825)</f>
        <v/>
      </c>
      <c r="D7826">
        <f>IF(B7826=C7826, "YES", "WRONG")</f>
        <v/>
      </c>
    </row>
    <row r="7827">
      <c r="A7827" t="n">
        <v>7826</v>
      </c>
      <c r="B7827" t="inlineStr">
        <is>
          <t>V̅MMDCCCXXVI</t>
        </is>
      </c>
      <c r="C7827">
        <f>ROMAN(7826)</f>
        <v/>
      </c>
      <c r="D7827">
        <f>IF(B7827=C7827, "YES", "WRONG")</f>
        <v/>
      </c>
    </row>
    <row r="7828">
      <c r="A7828" t="n">
        <v>7827</v>
      </c>
      <c r="B7828" t="inlineStr">
        <is>
          <t>V̅MMDCCCXXVII</t>
        </is>
      </c>
      <c r="C7828">
        <f>ROMAN(7827)</f>
        <v/>
      </c>
      <c r="D7828">
        <f>IF(B7828=C7828, "YES", "WRONG")</f>
        <v/>
      </c>
    </row>
    <row r="7829">
      <c r="A7829" t="n">
        <v>7828</v>
      </c>
      <c r="B7829" t="inlineStr">
        <is>
          <t>V̅MMDCCCXXVIII</t>
        </is>
      </c>
      <c r="C7829">
        <f>ROMAN(7828)</f>
        <v/>
      </c>
      <c r="D7829">
        <f>IF(B7829=C7829, "YES", "WRONG")</f>
        <v/>
      </c>
    </row>
    <row r="7830">
      <c r="A7830" t="n">
        <v>7829</v>
      </c>
      <c r="B7830" t="inlineStr">
        <is>
          <t>V̅MMDCCCXXIX</t>
        </is>
      </c>
      <c r="C7830">
        <f>ROMAN(7829)</f>
        <v/>
      </c>
      <c r="D7830">
        <f>IF(B7830=C7830, "YES", "WRONG")</f>
        <v/>
      </c>
    </row>
    <row r="7831">
      <c r="A7831" t="n">
        <v>7830</v>
      </c>
      <c r="B7831" t="inlineStr">
        <is>
          <t>V̅MMDCCCXXX</t>
        </is>
      </c>
      <c r="C7831">
        <f>ROMAN(7830)</f>
        <v/>
      </c>
      <c r="D7831">
        <f>IF(B7831=C7831, "YES", "WRONG")</f>
        <v/>
      </c>
    </row>
    <row r="7832">
      <c r="A7832" t="n">
        <v>7831</v>
      </c>
      <c r="B7832" t="inlineStr">
        <is>
          <t>V̅MMDCCCXXXI</t>
        </is>
      </c>
      <c r="C7832">
        <f>ROMAN(7831)</f>
        <v/>
      </c>
      <c r="D7832">
        <f>IF(B7832=C7832, "YES", "WRONG")</f>
        <v/>
      </c>
    </row>
    <row r="7833">
      <c r="A7833" t="n">
        <v>7832</v>
      </c>
      <c r="B7833" t="inlineStr">
        <is>
          <t>V̅MMDCCCXXXII</t>
        </is>
      </c>
      <c r="C7833">
        <f>ROMAN(7832)</f>
        <v/>
      </c>
      <c r="D7833">
        <f>IF(B7833=C7833, "YES", "WRONG")</f>
        <v/>
      </c>
    </row>
    <row r="7834">
      <c r="A7834" t="n">
        <v>7833</v>
      </c>
      <c r="B7834" t="inlineStr">
        <is>
          <t>V̅MMDCCCXXXIII</t>
        </is>
      </c>
      <c r="C7834">
        <f>ROMAN(7833)</f>
        <v/>
      </c>
      <c r="D7834">
        <f>IF(B7834=C7834, "YES", "WRONG")</f>
        <v/>
      </c>
    </row>
    <row r="7835">
      <c r="A7835" t="n">
        <v>7834</v>
      </c>
      <c r="B7835" t="inlineStr">
        <is>
          <t>V̅MMDCCCXXXIV</t>
        </is>
      </c>
      <c r="C7835">
        <f>ROMAN(7834)</f>
        <v/>
      </c>
      <c r="D7835">
        <f>IF(B7835=C7835, "YES", "WRONG")</f>
        <v/>
      </c>
    </row>
    <row r="7836">
      <c r="A7836" t="n">
        <v>7835</v>
      </c>
      <c r="B7836" t="inlineStr">
        <is>
          <t>V̅MMDCCCXXXV</t>
        </is>
      </c>
      <c r="C7836">
        <f>ROMAN(7835)</f>
        <v/>
      </c>
      <c r="D7836">
        <f>IF(B7836=C7836, "YES", "WRONG")</f>
        <v/>
      </c>
    </row>
    <row r="7837">
      <c r="A7837" t="n">
        <v>7836</v>
      </c>
      <c r="B7837" t="inlineStr">
        <is>
          <t>V̅MMDCCCXXXVI</t>
        </is>
      </c>
      <c r="C7837">
        <f>ROMAN(7836)</f>
        <v/>
      </c>
      <c r="D7837">
        <f>IF(B7837=C7837, "YES", "WRONG")</f>
        <v/>
      </c>
    </row>
    <row r="7838">
      <c r="A7838" t="n">
        <v>7837</v>
      </c>
      <c r="B7838" t="inlineStr">
        <is>
          <t>V̅MMDCCCXXXVII</t>
        </is>
      </c>
      <c r="C7838">
        <f>ROMAN(7837)</f>
        <v/>
      </c>
      <c r="D7838">
        <f>IF(B7838=C7838, "YES", "WRONG")</f>
        <v/>
      </c>
    </row>
    <row r="7839">
      <c r="A7839" t="n">
        <v>7838</v>
      </c>
      <c r="B7839" t="inlineStr">
        <is>
          <t>V̅MMDCCCXXXVIII</t>
        </is>
      </c>
      <c r="C7839">
        <f>ROMAN(7838)</f>
        <v/>
      </c>
      <c r="D7839">
        <f>IF(B7839=C7839, "YES", "WRONG")</f>
        <v/>
      </c>
    </row>
    <row r="7840">
      <c r="A7840" t="n">
        <v>7839</v>
      </c>
      <c r="B7840" t="inlineStr">
        <is>
          <t>V̅MMDCCCXXXIX</t>
        </is>
      </c>
      <c r="C7840">
        <f>ROMAN(7839)</f>
        <v/>
      </c>
      <c r="D7840">
        <f>IF(B7840=C7840, "YES", "WRONG")</f>
        <v/>
      </c>
    </row>
    <row r="7841">
      <c r="A7841" t="n">
        <v>7840</v>
      </c>
      <c r="B7841" t="inlineStr">
        <is>
          <t>V̅MMDCCCXL</t>
        </is>
      </c>
      <c r="C7841">
        <f>ROMAN(7840)</f>
        <v/>
      </c>
      <c r="D7841">
        <f>IF(B7841=C7841, "YES", "WRONG")</f>
        <v/>
      </c>
    </row>
    <row r="7842">
      <c r="A7842" t="n">
        <v>7841</v>
      </c>
      <c r="B7842" t="inlineStr">
        <is>
          <t>V̅MMDCCCXLI</t>
        </is>
      </c>
      <c r="C7842">
        <f>ROMAN(7841)</f>
        <v/>
      </c>
      <c r="D7842">
        <f>IF(B7842=C7842, "YES", "WRONG")</f>
        <v/>
      </c>
    </row>
    <row r="7843">
      <c r="A7843" t="n">
        <v>7842</v>
      </c>
      <c r="B7843" t="inlineStr">
        <is>
          <t>V̅MMDCCCXLII</t>
        </is>
      </c>
      <c r="C7843">
        <f>ROMAN(7842)</f>
        <v/>
      </c>
      <c r="D7843">
        <f>IF(B7843=C7843, "YES", "WRONG")</f>
        <v/>
      </c>
    </row>
    <row r="7844">
      <c r="A7844" t="n">
        <v>7843</v>
      </c>
      <c r="B7844" t="inlineStr">
        <is>
          <t>V̅MMDCCCXLIII</t>
        </is>
      </c>
      <c r="C7844">
        <f>ROMAN(7843)</f>
        <v/>
      </c>
      <c r="D7844">
        <f>IF(B7844=C7844, "YES", "WRONG")</f>
        <v/>
      </c>
    </row>
    <row r="7845">
      <c r="A7845" t="n">
        <v>7844</v>
      </c>
      <c r="B7845" t="inlineStr">
        <is>
          <t>V̅MMDCCCXLIV</t>
        </is>
      </c>
      <c r="C7845">
        <f>ROMAN(7844)</f>
        <v/>
      </c>
      <c r="D7845">
        <f>IF(B7845=C7845, "YES", "WRONG")</f>
        <v/>
      </c>
    </row>
    <row r="7846">
      <c r="A7846" t="n">
        <v>7845</v>
      </c>
      <c r="B7846" t="inlineStr">
        <is>
          <t>V̅MMDCCCXLV</t>
        </is>
      </c>
      <c r="C7846">
        <f>ROMAN(7845)</f>
        <v/>
      </c>
      <c r="D7846">
        <f>IF(B7846=C7846, "YES", "WRONG")</f>
        <v/>
      </c>
    </row>
    <row r="7847">
      <c r="A7847" t="n">
        <v>7846</v>
      </c>
      <c r="B7847" t="inlineStr">
        <is>
          <t>V̅MMDCCCXLVI</t>
        </is>
      </c>
      <c r="C7847">
        <f>ROMAN(7846)</f>
        <v/>
      </c>
      <c r="D7847">
        <f>IF(B7847=C7847, "YES", "WRONG")</f>
        <v/>
      </c>
    </row>
    <row r="7848">
      <c r="A7848" t="n">
        <v>7847</v>
      </c>
      <c r="B7848" t="inlineStr">
        <is>
          <t>V̅MMDCCCXLVII</t>
        </is>
      </c>
      <c r="C7848">
        <f>ROMAN(7847)</f>
        <v/>
      </c>
      <c r="D7848">
        <f>IF(B7848=C7848, "YES", "WRONG")</f>
        <v/>
      </c>
    </row>
    <row r="7849">
      <c r="A7849" t="n">
        <v>7848</v>
      </c>
      <c r="B7849" t="inlineStr">
        <is>
          <t>V̅MMDCCCXLVIII</t>
        </is>
      </c>
      <c r="C7849">
        <f>ROMAN(7848)</f>
        <v/>
      </c>
      <c r="D7849">
        <f>IF(B7849=C7849, "YES", "WRONG")</f>
        <v/>
      </c>
    </row>
    <row r="7850">
      <c r="A7850" t="n">
        <v>7849</v>
      </c>
      <c r="B7850" t="inlineStr">
        <is>
          <t>V̅MMDCCCXLIX</t>
        </is>
      </c>
      <c r="C7850">
        <f>ROMAN(7849)</f>
        <v/>
      </c>
      <c r="D7850">
        <f>IF(B7850=C7850, "YES", "WRONG")</f>
        <v/>
      </c>
    </row>
    <row r="7851">
      <c r="A7851" t="n">
        <v>7850</v>
      </c>
      <c r="B7851" t="inlineStr">
        <is>
          <t>V̅MMDCCCL</t>
        </is>
      </c>
      <c r="C7851">
        <f>ROMAN(7850)</f>
        <v/>
      </c>
      <c r="D7851">
        <f>IF(B7851=C7851, "YES", "WRONG")</f>
        <v/>
      </c>
    </row>
    <row r="7852">
      <c r="A7852" t="n">
        <v>7851</v>
      </c>
      <c r="B7852" t="inlineStr">
        <is>
          <t>V̅MMDCCCLI</t>
        </is>
      </c>
      <c r="C7852">
        <f>ROMAN(7851)</f>
        <v/>
      </c>
      <c r="D7852">
        <f>IF(B7852=C7852, "YES", "WRONG")</f>
        <v/>
      </c>
    </row>
    <row r="7853">
      <c r="A7853" t="n">
        <v>7852</v>
      </c>
      <c r="B7853" t="inlineStr">
        <is>
          <t>V̅MMDCCCLII</t>
        </is>
      </c>
      <c r="C7853">
        <f>ROMAN(7852)</f>
        <v/>
      </c>
      <c r="D7853">
        <f>IF(B7853=C7853, "YES", "WRONG")</f>
        <v/>
      </c>
    </row>
    <row r="7854">
      <c r="A7854" t="n">
        <v>7853</v>
      </c>
      <c r="B7854" t="inlineStr">
        <is>
          <t>V̅MMDCCCLIII</t>
        </is>
      </c>
      <c r="C7854">
        <f>ROMAN(7853)</f>
        <v/>
      </c>
      <c r="D7854">
        <f>IF(B7854=C7854, "YES", "WRONG")</f>
        <v/>
      </c>
    </row>
    <row r="7855">
      <c r="A7855" t="n">
        <v>7854</v>
      </c>
      <c r="B7855" t="inlineStr">
        <is>
          <t>V̅MMDCCCLIV</t>
        </is>
      </c>
      <c r="C7855">
        <f>ROMAN(7854)</f>
        <v/>
      </c>
      <c r="D7855">
        <f>IF(B7855=C7855, "YES", "WRONG")</f>
        <v/>
      </c>
    </row>
    <row r="7856">
      <c r="A7856" t="n">
        <v>7855</v>
      </c>
      <c r="B7856" t="inlineStr">
        <is>
          <t>V̅MMDCCCLV</t>
        </is>
      </c>
      <c r="C7856">
        <f>ROMAN(7855)</f>
        <v/>
      </c>
      <c r="D7856">
        <f>IF(B7856=C7856, "YES", "WRONG")</f>
        <v/>
      </c>
    </row>
    <row r="7857">
      <c r="A7857" t="n">
        <v>7856</v>
      </c>
      <c r="B7857" t="inlineStr">
        <is>
          <t>V̅MMDCCCLVI</t>
        </is>
      </c>
      <c r="C7857">
        <f>ROMAN(7856)</f>
        <v/>
      </c>
      <c r="D7857">
        <f>IF(B7857=C7857, "YES", "WRONG")</f>
        <v/>
      </c>
    </row>
    <row r="7858">
      <c r="A7858" t="n">
        <v>7857</v>
      </c>
      <c r="B7858" t="inlineStr">
        <is>
          <t>V̅MMDCCCLVII</t>
        </is>
      </c>
      <c r="C7858">
        <f>ROMAN(7857)</f>
        <v/>
      </c>
      <c r="D7858">
        <f>IF(B7858=C7858, "YES", "WRONG")</f>
        <v/>
      </c>
    </row>
    <row r="7859">
      <c r="A7859" t="n">
        <v>7858</v>
      </c>
      <c r="B7859" t="inlineStr">
        <is>
          <t>V̅MMDCCCLVIII</t>
        </is>
      </c>
      <c r="C7859">
        <f>ROMAN(7858)</f>
        <v/>
      </c>
      <c r="D7859">
        <f>IF(B7859=C7859, "YES", "WRONG")</f>
        <v/>
      </c>
    </row>
    <row r="7860">
      <c r="A7860" t="n">
        <v>7859</v>
      </c>
      <c r="B7860" t="inlineStr">
        <is>
          <t>V̅MMDCCCLIX</t>
        </is>
      </c>
      <c r="C7860">
        <f>ROMAN(7859)</f>
        <v/>
      </c>
      <c r="D7860">
        <f>IF(B7860=C7860, "YES", "WRONG")</f>
        <v/>
      </c>
    </row>
    <row r="7861">
      <c r="A7861" t="n">
        <v>7860</v>
      </c>
      <c r="B7861" t="inlineStr">
        <is>
          <t>V̅MMDCCCLX</t>
        </is>
      </c>
      <c r="C7861">
        <f>ROMAN(7860)</f>
        <v/>
      </c>
      <c r="D7861">
        <f>IF(B7861=C7861, "YES", "WRONG")</f>
        <v/>
      </c>
    </row>
    <row r="7862">
      <c r="A7862" t="n">
        <v>7861</v>
      </c>
      <c r="B7862" t="inlineStr">
        <is>
          <t>V̅MMDCCCLXI</t>
        </is>
      </c>
      <c r="C7862">
        <f>ROMAN(7861)</f>
        <v/>
      </c>
      <c r="D7862">
        <f>IF(B7862=C7862, "YES", "WRONG")</f>
        <v/>
      </c>
    </row>
    <row r="7863">
      <c r="A7863" t="n">
        <v>7862</v>
      </c>
      <c r="B7863" t="inlineStr">
        <is>
          <t>V̅MMDCCCLXII</t>
        </is>
      </c>
      <c r="C7863">
        <f>ROMAN(7862)</f>
        <v/>
      </c>
      <c r="D7863">
        <f>IF(B7863=C7863, "YES", "WRONG")</f>
        <v/>
      </c>
    </row>
    <row r="7864">
      <c r="A7864" t="n">
        <v>7863</v>
      </c>
      <c r="B7864" t="inlineStr">
        <is>
          <t>V̅MMDCCCLXIII</t>
        </is>
      </c>
      <c r="C7864">
        <f>ROMAN(7863)</f>
        <v/>
      </c>
      <c r="D7864">
        <f>IF(B7864=C7864, "YES", "WRONG")</f>
        <v/>
      </c>
    </row>
    <row r="7865">
      <c r="A7865" t="n">
        <v>7864</v>
      </c>
      <c r="B7865" t="inlineStr">
        <is>
          <t>V̅MMDCCCLXIV</t>
        </is>
      </c>
      <c r="C7865">
        <f>ROMAN(7864)</f>
        <v/>
      </c>
      <c r="D7865">
        <f>IF(B7865=C7865, "YES", "WRONG")</f>
        <v/>
      </c>
    </row>
    <row r="7866">
      <c r="A7866" t="n">
        <v>7865</v>
      </c>
      <c r="B7866" t="inlineStr">
        <is>
          <t>V̅MMDCCCLXV</t>
        </is>
      </c>
      <c r="C7866">
        <f>ROMAN(7865)</f>
        <v/>
      </c>
      <c r="D7866">
        <f>IF(B7866=C7866, "YES", "WRONG")</f>
        <v/>
      </c>
    </row>
    <row r="7867">
      <c r="A7867" t="n">
        <v>7866</v>
      </c>
      <c r="B7867" t="inlineStr">
        <is>
          <t>V̅MMDCCCLXVI</t>
        </is>
      </c>
      <c r="C7867">
        <f>ROMAN(7866)</f>
        <v/>
      </c>
      <c r="D7867">
        <f>IF(B7867=C7867, "YES", "WRONG")</f>
        <v/>
      </c>
    </row>
    <row r="7868">
      <c r="A7868" t="n">
        <v>7867</v>
      </c>
      <c r="B7868" t="inlineStr">
        <is>
          <t>V̅MMDCCCLXVII</t>
        </is>
      </c>
      <c r="C7868">
        <f>ROMAN(7867)</f>
        <v/>
      </c>
      <c r="D7868">
        <f>IF(B7868=C7868, "YES", "WRONG")</f>
        <v/>
      </c>
    </row>
    <row r="7869">
      <c r="A7869" t="n">
        <v>7868</v>
      </c>
      <c r="B7869" t="inlineStr">
        <is>
          <t>V̅MMDCCCLXVIII</t>
        </is>
      </c>
      <c r="C7869">
        <f>ROMAN(7868)</f>
        <v/>
      </c>
      <c r="D7869">
        <f>IF(B7869=C7869, "YES", "WRONG")</f>
        <v/>
      </c>
    </row>
    <row r="7870">
      <c r="A7870" t="n">
        <v>7869</v>
      </c>
      <c r="B7870" t="inlineStr">
        <is>
          <t>V̅MMDCCCLXIX</t>
        </is>
      </c>
      <c r="C7870">
        <f>ROMAN(7869)</f>
        <v/>
      </c>
      <c r="D7870">
        <f>IF(B7870=C7870, "YES", "WRONG")</f>
        <v/>
      </c>
    </row>
    <row r="7871">
      <c r="A7871" t="n">
        <v>7870</v>
      </c>
      <c r="B7871" t="inlineStr">
        <is>
          <t>V̅MMDCCCLXX</t>
        </is>
      </c>
      <c r="C7871">
        <f>ROMAN(7870)</f>
        <v/>
      </c>
      <c r="D7871">
        <f>IF(B7871=C7871, "YES", "WRONG")</f>
        <v/>
      </c>
    </row>
    <row r="7872">
      <c r="A7872" t="n">
        <v>7871</v>
      </c>
      <c r="B7872" t="inlineStr">
        <is>
          <t>V̅MMDCCCLXXI</t>
        </is>
      </c>
      <c r="C7872">
        <f>ROMAN(7871)</f>
        <v/>
      </c>
      <c r="D7872">
        <f>IF(B7872=C7872, "YES", "WRONG")</f>
        <v/>
      </c>
    </row>
    <row r="7873">
      <c r="A7873" t="n">
        <v>7872</v>
      </c>
      <c r="B7873" t="inlineStr">
        <is>
          <t>V̅MMDCCCLXXII</t>
        </is>
      </c>
      <c r="C7873">
        <f>ROMAN(7872)</f>
        <v/>
      </c>
      <c r="D7873">
        <f>IF(B7873=C7873, "YES", "WRONG")</f>
        <v/>
      </c>
    </row>
    <row r="7874">
      <c r="A7874" t="n">
        <v>7873</v>
      </c>
      <c r="B7874" t="inlineStr">
        <is>
          <t>V̅MMDCCCLXXIII</t>
        </is>
      </c>
      <c r="C7874">
        <f>ROMAN(7873)</f>
        <v/>
      </c>
      <c r="D7874">
        <f>IF(B7874=C7874, "YES", "WRONG")</f>
        <v/>
      </c>
    </row>
    <row r="7875">
      <c r="A7875" t="n">
        <v>7874</v>
      </c>
      <c r="B7875" t="inlineStr">
        <is>
          <t>V̅MMDCCCLXXIV</t>
        </is>
      </c>
      <c r="C7875">
        <f>ROMAN(7874)</f>
        <v/>
      </c>
      <c r="D7875">
        <f>IF(B7875=C7875, "YES", "WRONG")</f>
        <v/>
      </c>
    </row>
    <row r="7876">
      <c r="A7876" t="n">
        <v>7875</v>
      </c>
      <c r="B7876" t="inlineStr">
        <is>
          <t>V̅MMDCCCLXXV</t>
        </is>
      </c>
      <c r="C7876">
        <f>ROMAN(7875)</f>
        <v/>
      </c>
      <c r="D7876">
        <f>IF(B7876=C7876, "YES", "WRONG")</f>
        <v/>
      </c>
    </row>
    <row r="7877">
      <c r="A7877" t="n">
        <v>7876</v>
      </c>
      <c r="B7877" t="inlineStr">
        <is>
          <t>V̅MMDCCCLXXVI</t>
        </is>
      </c>
      <c r="C7877">
        <f>ROMAN(7876)</f>
        <v/>
      </c>
      <c r="D7877">
        <f>IF(B7877=C7877, "YES", "WRONG")</f>
        <v/>
      </c>
    </row>
    <row r="7878">
      <c r="A7878" t="n">
        <v>7877</v>
      </c>
      <c r="B7878" t="inlineStr">
        <is>
          <t>V̅MMDCCCLXXVII</t>
        </is>
      </c>
      <c r="C7878">
        <f>ROMAN(7877)</f>
        <v/>
      </c>
      <c r="D7878">
        <f>IF(B7878=C7878, "YES", "WRONG")</f>
        <v/>
      </c>
    </row>
    <row r="7879">
      <c r="A7879" t="n">
        <v>7878</v>
      </c>
      <c r="B7879" t="inlineStr">
        <is>
          <t>V̅MMDCCCLXXVIII</t>
        </is>
      </c>
      <c r="C7879">
        <f>ROMAN(7878)</f>
        <v/>
      </c>
      <c r="D7879">
        <f>IF(B7879=C7879, "YES", "WRONG")</f>
        <v/>
      </c>
    </row>
    <row r="7880">
      <c r="A7880" t="n">
        <v>7879</v>
      </c>
      <c r="B7880" t="inlineStr">
        <is>
          <t>V̅MMDCCCLXXIX</t>
        </is>
      </c>
      <c r="C7880">
        <f>ROMAN(7879)</f>
        <v/>
      </c>
      <c r="D7880">
        <f>IF(B7880=C7880, "YES", "WRONG")</f>
        <v/>
      </c>
    </row>
    <row r="7881">
      <c r="A7881" t="n">
        <v>7880</v>
      </c>
      <c r="B7881" t="inlineStr">
        <is>
          <t>V̅MMDCCCLXXX</t>
        </is>
      </c>
      <c r="C7881">
        <f>ROMAN(7880)</f>
        <v/>
      </c>
      <c r="D7881">
        <f>IF(B7881=C7881, "YES", "WRONG")</f>
        <v/>
      </c>
    </row>
    <row r="7882">
      <c r="A7882" t="n">
        <v>7881</v>
      </c>
      <c r="B7882" t="inlineStr">
        <is>
          <t>V̅MMDCCCLXXXI</t>
        </is>
      </c>
      <c r="C7882">
        <f>ROMAN(7881)</f>
        <v/>
      </c>
      <c r="D7882">
        <f>IF(B7882=C7882, "YES", "WRONG")</f>
        <v/>
      </c>
    </row>
    <row r="7883">
      <c r="A7883" t="n">
        <v>7882</v>
      </c>
      <c r="B7883" t="inlineStr">
        <is>
          <t>V̅MMDCCCLXXXII</t>
        </is>
      </c>
      <c r="C7883">
        <f>ROMAN(7882)</f>
        <v/>
      </c>
      <c r="D7883">
        <f>IF(B7883=C7883, "YES", "WRONG")</f>
        <v/>
      </c>
    </row>
    <row r="7884">
      <c r="A7884" t="n">
        <v>7883</v>
      </c>
      <c r="B7884" t="inlineStr">
        <is>
          <t>V̅MMDCCCLXXXIII</t>
        </is>
      </c>
      <c r="C7884">
        <f>ROMAN(7883)</f>
        <v/>
      </c>
      <c r="D7884">
        <f>IF(B7884=C7884, "YES", "WRONG")</f>
        <v/>
      </c>
    </row>
    <row r="7885">
      <c r="A7885" t="n">
        <v>7884</v>
      </c>
      <c r="B7885" t="inlineStr">
        <is>
          <t>V̅MMDCCCLXXXIV</t>
        </is>
      </c>
      <c r="C7885">
        <f>ROMAN(7884)</f>
        <v/>
      </c>
      <c r="D7885">
        <f>IF(B7885=C7885, "YES", "WRONG")</f>
        <v/>
      </c>
    </row>
    <row r="7886">
      <c r="A7886" t="n">
        <v>7885</v>
      </c>
      <c r="B7886" t="inlineStr">
        <is>
          <t>V̅MMDCCCLXXXV</t>
        </is>
      </c>
      <c r="C7886">
        <f>ROMAN(7885)</f>
        <v/>
      </c>
      <c r="D7886">
        <f>IF(B7886=C7886, "YES", "WRONG")</f>
        <v/>
      </c>
    </row>
    <row r="7887">
      <c r="A7887" t="n">
        <v>7886</v>
      </c>
      <c r="B7887" t="inlineStr">
        <is>
          <t>V̅MMDCCCLXXXVI</t>
        </is>
      </c>
      <c r="C7887">
        <f>ROMAN(7886)</f>
        <v/>
      </c>
      <c r="D7887">
        <f>IF(B7887=C7887, "YES", "WRONG")</f>
        <v/>
      </c>
    </row>
    <row r="7888">
      <c r="A7888" t="n">
        <v>7887</v>
      </c>
      <c r="B7888" t="inlineStr">
        <is>
          <t>V̅MMDCCCLXXXVII</t>
        </is>
      </c>
      <c r="C7888">
        <f>ROMAN(7887)</f>
        <v/>
      </c>
      <c r="D7888">
        <f>IF(B7888=C7888, "YES", "WRONG")</f>
        <v/>
      </c>
    </row>
    <row r="7889">
      <c r="A7889" t="n">
        <v>7888</v>
      </c>
      <c r="B7889" t="inlineStr">
        <is>
          <t>V̅MMDCCCLXXXVIII</t>
        </is>
      </c>
      <c r="C7889">
        <f>ROMAN(7888)</f>
        <v/>
      </c>
      <c r="D7889">
        <f>IF(B7889=C7889, "YES", "WRONG")</f>
        <v/>
      </c>
    </row>
    <row r="7890">
      <c r="A7890" t="n">
        <v>7889</v>
      </c>
      <c r="B7890" t="inlineStr">
        <is>
          <t>V̅MMDCCCLXXXIX</t>
        </is>
      </c>
      <c r="C7890">
        <f>ROMAN(7889)</f>
        <v/>
      </c>
      <c r="D7890">
        <f>IF(B7890=C7890, "YES", "WRONG")</f>
        <v/>
      </c>
    </row>
    <row r="7891">
      <c r="A7891" t="n">
        <v>7890</v>
      </c>
      <c r="B7891" t="inlineStr">
        <is>
          <t>V̅MMDCCCXC</t>
        </is>
      </c>
      <c r="C7891">
        <f>ROMAN(7890)</f>
        <v/>
      </c>
      <c r="D7891">
        <f>IF(B7891=C7891, "YES", "WRONG")</f>
        <v/>
      </c>
    </row>
    <row r="7892">
      <c r="A7892" t="n">
        <v>7891</v>
      </c>
      <c r="B7892" t="inlineStr">
        <is>
          <t>V̅MMDCCCXCI</t>
        </is>
      </c>
      <c r="C7892">
        <f>ROMAN(7891)</f>
        <v/>
      </c>
      <c r="D7892">
        <f>IF(B7892=C7892, "YES", "WRONG")</f>
        <v/>
      </c>
    </row>
    <row r="7893">
      <c r="A7893" t="n">
        <v>7892</v>
      </c>
      <c r="B7893" t="inlineStr">
        <is>
          <t>V̅MMDCCCXCII</t>
        </is>
      </c>
      <c r="C7893">
        <f>ROMAN(7892)</f>
        <v/>
      </c>
      <c r="D7893">
        <f>IF(B7893=C7893, "YES", "WRONG")</f>
        <v/>
      </c>
    </row>
    <row r="7894">
      <c r="A7894" t="n">
        <v>7893</v>
      </c>
      <c r="B7894" t="inlineStr">
        <is>
          <t>V̅MMDCCCXCIII</t>
        </is>
      </c>
      <c r="C7894">
        <f>ROMAN(7893)</f>
        <v/>
      </c>
      <c r="D7894">
        <f>IF(B7894=C7894, "YES", "WRONG")</f>
        <v/>
      </c>
    </row>
    <row r="7895">
      <c r="A7895" t="n">
        <v>7894</v>
      </c>
      <c r="B7895" t="inlineStr">
        <is>
          <t>V̅MMDCCCXCIV</t>
        </is>
      </c>
      <c r="C7895">
        <f>ROMAN(7894)</f>
        <v/>
      </c>
      <c r="D7895">
        <f>IF(B7895=C7895, "YES", "WRONG")</f>
        <v/>
      </c>
    </row>
    <row r="7896">
      <c r="A7896" t="n">
        <v>7895</v>
      </c>
      <c r="B7896" t="inlineStr">
        <is>
          <t>V̅MMDCCCXCV</t>
        </is>
      </c>
      <c r="C7896">
        <f>ROMAN(7895)</f>
        <v/>
      </c>
      <c r="D7896">
        <f>IF(B7896=C7896, "YES", "WRONG")</f>
        <v/>
      </c>
    </row>
    <row r="7897">
      <c r="A7897" t="n">
        <v>7896</v>
      </c>
      <c r="B7897" t="inlineStr">
        <is>
          <t>V̅MMDCCCXCVI</t>
        </is>
      </c>
      <c r="C7897">
        <f>ROMAN(7896)</f>
        <v/>
      </c>
      <c r="D7897">
        <f>IF(B7897=C7897, "YES", "WRONG")</f>
        <v/>
      </c>
    </row>
    <row r="7898">
      <c r="A7898" t="n">
        <v>7897</v>
      </c>
      <c r="B7898" t="inlineStr">
        <is>
          <t>V̅MMDCCCXCVII</t>
        </is>
      </c>
      <c r="C7898">
        <f>ROMAN(7897)</f>
        <v/>
      </c>
      <c r="D7898">
        <f>IF(B7898=C7898, "YES", "WRONG")</f>
        <v/>
      </c>
    </row>
    <row r="7899">
      <c r="A7899" t="n">
        <v>7898</v>
      </c>
      <c r="B7899" t="inlineStr">
        <is>
          <t>V̅MMDCCCXCVIII</t>
        </is>
      </c>
      <c r="C7899">
        <f>ROMAN(7898)</f>
        <v/>
      </c>
      <c r="D7899">
        <f>IF(B7899=C7899, "YES", "WRONG")</f>
        <v/>
      </c>
    </row>
    <row r="7900">
      <c r="A7900" t="n">
        <v>7899</v>
      </c>
      <c r="B7900" t="inlineStr">
        <is>
          <t>V̅MMDCCCXCIX</t>
        </is>
      </c>
      <c r="C7900">
        <f>ROMAN(7899)</f>
        <v/>
      </c>
      <c r="D7900">
        <f>IF(B7900=C7900, "YES", "WRONG")</f>
        <v/>
      </c>
    </row>
    <row r="7901">
      <c r="A7901" t="n">
        <v>7900</v>
      </c>
      <c r="B7901" t="inlineStr">
        <is>
          <t>V̅MMCM</t>
        </is>
      </c>
      <c r="C7901">
        <f>ROMAN(7900)</f>
        <v/>
      </c>
      <c r="D7901">
        <f>IF(B7901=C7901, "YES", "WRONG")</f>
        <v/>
      </c>
    </row>
    <row r="7902">
      <c r="A7902" t="n">
        <v>7901</v>
      </c>
      <c r="B7902" t="inlineStr">
        <is>
          <t>V̅MMCMI</t>
        </is>
      </c>
      <c r="C7902">
        <f>ROMAN(7901)</f>
        <v/>
      </c>
      <c r="D7902">
        <f>IF(B7902=C7902, "YES", "WRONG")</f>
        <v/>
      </c>
    </row>
    <row r="7903">
      <c r="A7903" t="n">
        <v>7902</v>
      </c>
      <c r="B7903" t="inlineStr">
        <is>
          <t>V̅MMCMII</t>
        </is>
      </c>
      <c r="C7903">
        <f>ROMAN(7902)</f>
        <v/>
      </c>
      <c r="D7903">
        <f>IF(B7903=C7903, "YES", "WRONG")</f>
        <v/>
      </c>
    </row>
    <row r="7904">
      <c r="A7904" t="n">
        <v>7903</v>
      </c>
      <c r="B7904" t="inlineStr">
        <is>
          <t>V̅MMCMIII</t>
        </is>
      </c>
      <c r="C7904">
        <f>ROMAN(7903)</f>
        <v/>
      </c>
      <c r="D7904">
        <f>IF(B7904=C7904, "YES", "WRONG")</f>
        <v/>
      </c>
    </row>
    <row r="7905">
      <c r="A7905" t="n">
        <v>7904</v>
      </c>
      <c r="B7905" t="inlineStr">
        <is>
          <t>V̅MMCMIV</t>
        </is>
      </c>
      <c r="C7905">
        <f>ROMAN(7904)</f>
        <v/>
      </c>
      <c r="D7905">
        <f>IF(B7905=C7905, "YES", "WRONG")</f>
        <v/>
      </c>
    </row>
    <row r="7906">
      <c r="A7906" t="n">
        <v>7905</v>
      </c>
      <c r="B7906" t="inlineStr">
        <is>
          <t>V̅MMCMV</t>
        </is>
      </c>
      <c r="C7906">
        <f>ROMAN(7905)</f>
        <v/>
      </c>
      <c r="D7906">
        <f>IF(B7906=C7906, "YES", "WRONG")</f>
        <v/>
      </c>
    </row>
    <row r="7907">
      <c r="A7907" t="n">
        <v>7906</v>
      </c>
      <c r="B7907" t="inlineStr">
        <is>
          <t>V̅MMCMVI</t>
        </is>
      </c>
      <c r="C7907">
        <f>ROMAN(7906)</f>
        <v/>
      </c>
      <c r="D7907">
        <f>IF(B7907=C7907, "YES", "WRONG")</f>
        <v/>
      </c>
    </row>
    <row r="7908">
      <c r="A7908" t="n">
        <v>7907</v>
      </c>
      <c r="B7908" t="inlineStr">
        <is>
          <t>V̅MMCMVII</t>
        </is>
      </c>
      <c r="C7908">
        <f>ROMAN(7907)</f>
        <v/>
      </c>
      <c r="D7908">
        <f>IF(B7908=C7908, "YES", "WRONG")</f>
        <v/>
      </c>
    </row>
    <row r="7909">
      <c r="A7909" t="n">
        <v>7908</v>
      </c>
      <c r="B7909" t="inlineStr">
        <is>
          <t>V̅MMCMVIII</t>
        </is>
      </c>
      <c r="C7909">
        <f>ROMAN(7908)</f>
        <v/>
      </c>
      <c r="D7909">
        <f>IF(B7909=C7909, "YES", "WRONG")</f>
        <v/>
      </c>
    </row>
    <row r="7910">
      <c r="A7910" t="n">
        <v>7909</v>
      </c>
      <c r="B7910" t="inlineStr">
        <is>
          <t>V̅MMCMIX</t>
        </is>
      </c>
      <c r="C7910">
        <f>ROMAN(7909)</f>
        <v/>
      </c>
      <c r="D7910">
        <f>IF(B7910=C7910, "YES", "WRONG")</f>
        <v/>
      </c>
    </row>
    <row r="7911">
      <c r="A7911" t="n">
        <v>7910</v>
      </c>
      <c r="B7911" t="inlineStr">
        <is>
          <t>V̅MMCMX</t>
        </is>
      </c>
      <c r="C7911">
        <f>ROMAN(7910)</f>
        <v/>
      </c>
      <c r="D7911">
        <f>IF(B7911=C7911, "YES", "WRONG")</f>
        <v/>
      </c>
    </row>
    <row r="7912">
      <c r="A7912" t="n">
        <v>7911</v>
      </c>
      <c r="B7912" t="inlineStr">
        <is>
          <t>V̅MMCMXI</t>
        </is>
      </c>
      <c r="C7912">
        <f>ROMAN(7911)</f>
        <v/>
      </c>
      <c r="D7912">
        <f>IF(B7912=C7912, "YES", "WRONG")</f>
        <v/>
      </c>
    </row>
    <row r="7913">
      <c r="A7913" t="n">
        <v>7912</v>
      </c>
      <c r="B7913" t="inlineStr">
        <is>
          <t>V̅MMCMXII</t>
        </is>
      </c>
      <c r="C7913">
        <f>ROMAN(7912)</f>
        <v/>
      </c>
      <c r="D7913">
        <f>IF(B7913=C7913, "YES", "WRONG")</f>
        <v/>
      </c>
    </row>
    <row r="7914">
      <c r="A7914" t="n">
        <v>7913</v>
      </c>
      <c r="B7914" t="inlineStr">
        <is>
          <t>V̅MMCMXIII</t>
        </is>
      </c>
      <c r="C7914">
        <f>ROMAN(7913)</f>
        <v/>
      </c>
      <c r="D7914">
        <f>IF(B7914=C7914, "YES", "WRONG")</f>
        <v/>
      </c>
    </row>
    <row r="7915">
      <c r="A7915" t="n">
        <v>7914</v>
      </c>
      <c r="B7915" t="inlineStr">
        <is>
          <t>V̅MMCMXIV</t>
        </is>
      </c>
      <c r="C7915">
        <f>ROMAN(7914)</f>
        <v/>
      </c>
      <c r="D7915">
        <f>IF(B7915=C7915, "YES", "WRONG")</f>
        <v/>
      </c>
    </row>
    <row r="7916">
      <c r="A7916" t="n">
        <v>7915</v>
      </c>
      <c r="B7916" t="inlineStr">
        <is>
          <t>V̅MMCMXV</t>
        </is>
      </c>
      <c r="C7916">
        <f>ROMAN(7915)</f>
        <v/>
      </c>
      <c r="D7916">
        <f>IF(B7916=C7916, "YES", "WRONG")</f>
        <v/>
      </c>
    </row>
    <row r="7917">
      <c r="A7917" t="n">
        <v>7916</v>
      </c>
      <c r="B7917" t="inlineStr">
        <is>
          <t>V̅MMCMXVI</t>
        </is>
      </c>
      <c r="C7917">
        <f>ROMAN(7916)</f>
        <v/>
      </c>
      <c r="D7917">
        <f>IF(B7917=C7917, "YES", "WRONG")</f>
        <v/>
      </c>
    </row>
    <row r="7918">
      <c r="A7918" t="n">
        <v>7917</v>
      </c>
      <c r="B7918" t="inlineStr">
        <is>
          <t>V̅MMCMXVII</t>
        </is>
      </c>
      <c r="C7918">
        <f>ROMAN(7917)</f>
        <v/>
      </c>
      <c r="D7918">
        <f>IF(B7918=C7918, "YES", "WRONG")</f>
        <v/>
      </c>
    </row>
    <row r="7919">
      <c r="A7919" t="n">
        <v>7918</v>
      </c>
      <c r="B7919" t="inlineStr">
        <is>
          <t>V̅MMCMXVIII</t>
        </is>
      </c>
      <c r="C7919">
        <f>ROMAN(7918)</f>
        <v/>
      </c>
      <c r="D7919">
        <f>IF(B7919=C7919, "YES", "WRONG")</f>
        <v/>
      </c>
    </row>
    <row r="7920">
      <c r="A7920" t="n">
        <v>7919</v>
      </c>
      <c r="B7920" t="inlineStr">
        <is>
          <t>V̅MMCMXIX</t>
        </is>
      </c>
      <c r="C7920">
        <f>ROMAN(7919)</f>
        <v/>
      </c>
      <c r="D7920">
        <f>IF(B7920=C7920, "YES", "WRONG")</f>
        <v/>
      </c>
    </row>
    <row r="7921">
      <c r="A7921" t="n">
        <v>7920</v>
      </c>
      <c r="B7921" t="inlineStr">
        <is>
          <t>V̅MMCMXX</t>
        </is>
      </c>
      <c r="C7921">
        <f>ROMAN(7920)</f>
        <v/>
      </c>
      <c r="D7921">
        <f>IF(B7921=C7921, "YES", "WRONG")</f>
        <v/>
      </c>
    </row>
    <row r="7922">
      <c r="A7922" t="n">
        <v>7921</v>
      </c>
      <c r="B7922" t="inlineStr">
        <is>
          <t>V̅MMCMXXI</t>
        </is>
      </c>
      <c r="C7922">
        <f>ROMAN(7921)</f>
        <v/>
      </c>
      <c r="D7922">
        <f>IF(B7922=C7922, "YES", "WRONG")</f>
        <v/>
      </c>
    </row>
    <row r="7923">
      <c r="A7923" t="n">
        <v>7922</v>
      </c>
      <c r="B7923" t="inlineStr">
        <is>
          <t>V̅MMCMXXII</t>
        </is>
      </c>
      <c r="C7923">
        <f>ROMAN(7922)</f>
        <v/>
      </c>
      <c r="D7923">
        <f>IF(B7923=C7923, "YES", "WRONG")</f>
        <v/>
      </c>
    </row>
    <row r="7924">
      <c r="A7924" t="n">
        <v>7923</v>
      </c>
      <c r="B7924" t="inlineStr">
        <is>
          <t>V̅MMCMXXIII</t>
        </is>
      </c>
      <c r="C7924">
        <f>ROMAN(7923)</f>
        <v/>
      </c>
      <c r="D7924">
        <f>IF(B7924=C7924, "YES", "WRONG")</f>
        <v/>
      </c>
    </row>
    <row r="7925">
      <c r="A7925" t="n">
        <v>7924</v>
      </c>
      <c r="B7925" t="inlineStr">
        <is>
          <t>V̅MMCMXXIV</t>
        </is>
      </c>
      <c r="C7925">
        <f>ROMAN(7924)</f>
        <v/>
      </c>
      <c r="D7925">
        <f>IF(B7925=C7925, "YES", "WRONG")</f>
        <v/>
      </c>
    </row>
    <row r="7926">
      <c r="A7926" t="n">
        <v>7925</v>
      </c>
      <c r="B7926" t="inlineStr">
        <is>
          <t>V̅MMCMXXV</t>
        </is>
      </c>
      <c r="C7926">
        <f>ROMAN(7925)</f>
        <v/>
      </c>
      <c r="D7926">
        <f>IF(B7926=C7926, "YES", "WRONG")</f>
        <v/>
      </c>
    </row>
    <row r="7927">
      <c r="A7927" t="n">
        <v>7926</v>
      </c>
      <c r="B7927" t="inlineStr">
        <is>
          <t>V̅MMCMXXVI</t>
        </is>
      </c>
      <c r="C7927">
        <f>ROMAN(7926)</f>
        <v/>
      </c>
      <c r="D7927">
        <f>IF(B7927=C7927, "YES", "WRONG")</f>
        <v/>
      </c>
    </row>
    <row r="7928">
      <c r="A7928" t="n">
        <v>7927</v>
      </c>
      <c r="B7928" t="inlineStr">
        <is>
          <t>V̅MMCMXXVII</t>
        </is>
      </c>
      <c r="C7928">
        <f>ROMAN(7927)</f>
        <v/>
      </c>
      <c r="D7928">
        <f>IF(B7928=C7928, "YES", "WRONG")</f>
        <v/>
      </c>
    </row>
    <row r="7929">
      <c r="A7929" t="n">
        <v>7928</v>
      </c>
      <c r="B7929" t="inlineStr">
        <is>
          <t>V̅MMCMXXVIII</t>
        </is>
      </c>
      <c r="C7929">
        <f>ROMAN(7928)</f>
        <v/>
      </c>
      <c r="D7929">
        <f>IF(B7929=C7929, "YES", "WRONG")</f>
        <v/>
      </c>
    </row>
    <row r="7930">
      <c r="A7930" t="n">
        <v>7929</v>
      </c>
      <c r="B7930" t="inlineStr">
        <is>
          <t>V̅MMCMXXIX</t>
        </is>
      </c>
      <c r="C7930">
        <f>ROMAN(7929)</f>
        <v/>
      </c>
      <c r="D7930">
        <f>IF(B7930=C7930, "YES", "WRONG")</f>
        <v/>
      </c>
    </row>
    <row r="7931">
      <c r="A7931" t="n">
        <v>7930</v>
      </c>
      <c r="B7931" t="inlineStr">
        <is>
          <t>V̅MMCMXXX</t>
        </is>
      </c>
      <c r="C7931">
        <f>ROMAN(7930)</f>
        <v/>
      </c>
      <c r="D7931">
        <f>IF(B7931=C7931, "YES", "WRONG")</f>
        <v/>
      </c>
    </row>
    <row r="7932">
      <c r="A7932" t="n">
        <v>7931</v>
      </c>
      <c r="B7932" t="inlineStr">
        <is>
          <t>V̅MMCMXXXI</t>
        </is>
      </c>
      <c r="C7932">
        <f>ROMAN(7931)</f>
        <v/>
      </c>
      <c r="D7932">
        <f>IF(B7932=C7932, "YES", "WRONG")</f>
        <v/>
      </c>
    </row>
    <row r="7933">
      <c r="A7933" t="n">
        <v>7932</v>
      </c>
      <c r="B7933" t="inlineStr">
        <is>
          <t>V̅MMCMXXXII</t>
        </is>
      </c>
      <c r="C7933">
        <f>ROMAN(7932)</f>
        <v/>
      </c>
      <c r="D7933">
        <f>IF(B7933=C7933, "YES", "WRONG")</f>
        <v/>
      </c>
    </row>
    <row r="7934">
      <c r="A7934" t="n">
        <v>7933</v>
      </c>
      <c r="B7934" t="inlineStr">
        <is>
          <t>V̅MMCMXXXIII</t>
        </is>
      </c>
      <c r="C7934">
        <f>ROMAN(7933)</f>
        <v/>
      </c>
      <c r="D7934">
        <f>IF(B7934=C7934, "YES", "WRONG")</f>
        <v/>
      </c>
    </row>
    <row r="7935">
      <c r="A7935" t="n">
        <v>7934</v>
      </c>
      <c r="B7935" t="inlineStr">
        <is>
          <t>V̅MMCMXXXIV</t>
        </is>
      </c>
      <c r="C7935">
        <f>ROMAN(7934)</f>
        <v/>
      </c>
      <c r="D7935">
        <f>IF(B7935=C7935, "YES", "WRONG")</f>
        <v/>
      </c>
    </row>
    <row r="7936">
      <c r="A7936" t="n">
        <v>7935</v>
      </c>
      <c r="B7936" t="inlineStr">
        <is>
          <t>V̅MMCMXXXV</t>
        </is>
      </c>
      <c r="C7936">
        <f>ROMAN(7935)</f>
        <v/>
      </c>
      <c r="D7936">
        <f>IF(B7936=C7936, "YES", "WRONG")</f>
        <v/>
      </c>
    </row>
    <row r="7937">
      <c r="A7937" t="n">
        <v>7936</v>
      </c>
      <c r="B7937" t="inlineStr">
        <is>
          <t>V̅MMCMXXXVI</t>
        </is>
      </c>
      <c r="C7937">
        <f>ROMAN(7936)</f>
        <v/>
      </c>
      <c r="D7937">
        <f>IF(B7937=C7937, "YES", "WRONG")</f>
        <v/>
      </c>
    </row>
    <row r="7938">
      <c r="A7938" t="n">
        <v>7937</v>
      </c>
      <c r="B7938" t="inlineStr">
        <is>
          <t>V̅MMCMXXXVII</t>
        </is>
      </c>
      <c r="C7938">
        <f>ROMAN(7937)</f>
        <v/>
      </c>
      <c r="D7938">
        <f>IF(B7938=C7938, "YES", "WRONG")</f>
        <v/>
      </c>
    </row>
    <row r="7939">
      <c r="A7939" t="n">
        <v>7938</v>
      </c>
      <c r="B7939" t="inlineStr">
        <is>
          <t>V̅MMCMXXXVIII</t>
        </is>
      </c>
      <c r="C7939">
        <f>ROMAN(7938)</f>
        <v/>
      </c>
      <c r="D7939">
        <f>IF(B7939=C7939, "YES", "WRONG")</f>
        <v/>
      </c>
    </row>
    <row r="7940">
      <c r="A7940" t="n">
        <v>7939</v>
      </c>
      <c r="B7940" t="inlineStr">
        <is>
          <t>V̅MMCMXXXIX</t>
        </is>
      </c>
      <c r="C7940">
        <f>ROMAN(7939)</f>
        <v/>
      </c>
      <c r="D7940">
        <f>IF(B7940=C7940, "YES", "WRONG")</f>
        <v/>
      </c>
    </row>
    <row r="7941">
      <c r="A7941" t="n">
        <v>7940</v>
      </c>
      <c r="B7941" t="inlineStr">
        <is>
          <t>V̅MMCMXL</t>
        </is>
      </c>
      <c r="C7941">
        <f>ROMAN(7940)</f>
        <v/>
      </c>
      <c r="D7941">
        <f>IF(B7941=C7941, "YES", "WRONG")</f>
        <v/>
      </c>
    </row>
    <row r="7942">
      <c r="A7942" t="n">
        <v>7941</v>
      </c>
      <c r="B7942" t="inlineStr">
        <is>
          <t>V̅MMCMXLI</t>
        </is>
      </c>
      <c r="C7942">
        <f>ROMAN(7941)</f>
        <v/>
      </c>
      <c r="D7942">
        <f>IF(B7942=C7942, "YES", "WRONG")</f>
        <v/>
      </c>
    </row>
    <row r="7943">
      <c r="A7943" t="n">
        <v>7942</v>
      </c>
      <c r="B7943" t="inlineStr">
        <is>
          <t>V̅MMCMXLII</t>
        </is>
      </c>
      <c r="C7943">
        <f>ROMAN(7942)</f>
        <v/>
      </c>
      <c r="D7943">
        <f>IF(B7943=C7943, "YES", "WRONG")</f>
        <v/>
      </c>
    </row>
    <row r="7944">
      <c r="A7944" t="n">
        <v>7943</v>
      </c>
      <c r="B7944" t="inlineStr">
        <is>
          <t>V̅MMCMXLIII</t>
        </is>
      </c>
      <c r="C7944">
        <f>ROMAN(7943)</f>
        <v/>
      </c>
      <c r="D7944">
        <f>IF(B7944=C7944, "YES", "WRONG")</f>
        <v/>
      </c>
    </row>
    <row r="7945">
      <c r="A7945" t="n">
        <v>7944</v>
      </c>
      <c r="B7945" t="inlineStr">
        <is>
          <t>V̅MMCMXLIV</t>
        </is>
      </c>
      <c r="C7945">
        <f>ROMAN(7944)</f>
        <v/>
      </c>
      <c r="D7945">
        <f>IF(B7945=C7945, "YES", "WRONG")</f>
        <v/>
      </c>
    </row>
    <row r="7946">
      <c r="A7946" t="n">
        <v>7945</v>
      </c>
      <c r="B7946" t="inlineStr">
        <is>
          <t>V̅MMCMXLV</t>
        </is>
      </c>
      <c r="C7946">
        <f>ROMAN(7945)</f>
        <v/>
      </c>
      <c r="D7946">
        <f>IF(B7946=C7946, "YES", "WRONG")</f>
        <v/>
      </c>
    </row>
    <row r="7947">
      <c r="A7947" t="n">
        <v>7946</v>
      </c>
      <c r="B7947" t="inlineStr">
        <is>
          <t>V̅MMCMXLVI</t>
        </is>
      </c>
      <c r="C7947">
        <f>ROMAN(7946)</f>
        <v/>
      </c>
      <c r="D7947">
        <f>IF(B7947=C7947, "YES", "WRONG")</f>
        <v/>
      </c>
    </row>
    <row r="7948">
      <c r="A7948" t="n">
        <v>7947</v>
      </c>
      <c r="B7948" t="inlineStr">
        <is>
          <t>V̅MMCMXLVII</t>
        </is>
      </c>
      <c r="C7948">
        <f>ROMAN(7947)</f>
        <v/>
      </c>
      <c r="D7948">
        <f>IF(B7948=C7948, "YES", "WRONG")</f>
        <v/>
      </c>
    </row>
    <row r="7949">
      <c r="A7949" t="n">
        <v>7948</v>
      </c>
      <c r="B7949" t="inlineStr">
        <is>
          <t>V̅MMCMXLVIII</t>
        </is>
      </c>
      <c r="C7949">
        <f>ROMAN(7948)</f>
        <v/>
      </c>
      <c r="D7949">
        <f>IF(B7949=C7949, "YES", "WRONG")</f>
        <v/>
      </c>
    </row>
    <row r="7950">
      <c r="A7950" t="n">
        <v>7949</v>
      </c>
      <c r="B7950" t="inlineStr">
        <is>
          <t>V̅MMCMXLIX</t>
        </is>
      </c>
      <c r="C7950">
        <f>ROMAN(7949)</f>
        <v/>
      </c>
      <c r="D7950">
        <f>IF(B7950=C7950, "YES", "WRONG")</f>
        <v/>
      </c>
    </row>
    <row r="7951">
      <c r="A7951" t="n">
        <v>7950</v>
      </c>
      <c r="B7951" t="inlineStr">
        <is>
          <t>V̅MMCML</t>
        </is>
      </c>
      <c r="C7951">
        <f>ROMAN(7950)</f>
        <v/>
      </c>
      <c r="D7951">
        <f>IF(B7951=C7951, "YES", "WRONG")</f>
        <v/>
      </c>
    </row>
    <row r="7952">
      <c r="A7952" t="n">
        <v>7951</v>
      </c>
      <c r="B7952" t="inlineStr">
        <is>
          <t>V̅MMCMLI</t>
        </is>
      </c>
      <c r="C7952">
        <f>ROMAN(7951)</f>
        <v/>
      </c>
      <c r="D7952">
        <f>IF(B7952=C7952, "YES", "WRONG")</f>
        <v/>
      </c>
    </row>
    <row r="7953">
      <c r="A7953" t="n">
        <v>7952</v>
      </c>
      <c r="B7953" t="inlineStr">
        <is>
          <t>V̅MMCMLII</t>
        </is>
      </c>
      <c r="C7953">
        <f>ROMAN(7952)</f>
        <v/>
      </c>
      <c r="D7953">
        <f>IF(B7953=C7953, "YES", "WRONG")</f>
        <v/>
      </c>
    </row>
    <row r="7954">
      <c r="A7954" t="n">
        <v>7953</v>
      </c>
      <c r="B7954" t="inlineStr">
        <is>
          <t>V̅MMCMLIII</t>
        </is>
      </c>
      <c r="C7954">
        <f>ROMAN(7953)</f>
        <v/>
      </c>
      <c r="D7954">
        <f>IF(B7954=C7954, "YES", "WRONG")</f>
        <v/>
      </c>
    </row>
    <row r="7955">
      <c r="A7955" t="n">
        <v>7954</v>
      </c>
      <c r="B7955" t="inlineStr">
        <is>
          <t>V̅MMCMLIV</t>
        </is>
      </c>
      <c r="C7955">
        <f>ROMAN(7954)</f>
        <v/>
      </c>
      <c r="D7955">
        <f>IF(B7955=C7955, "YES", "WRONG")</f>
        <v/>
      </c>
    </row>
    <row r="7956">
      <c r="A7956" t="n">
        <v>7955</v>
      </c>
      <c r="B7956" t="inlineStr">
        <is>
          <t>V̅MMCMLV</t>
        </is>
      </c>
      <c r="C7956">
        <f>ROMAN(7955)</f>
        <v/>
      </c>
      <c r="D7956">
        <f>IF(B7956=C7956, "YES", "WRONG")</f>
        <v/>
      </c>
    </row>
    <row r="7957">
      <c r="A7957" t="n">
        <v>7956</v>
      </c>
      <c r="B7957" t="inlineStr">
        <is>
          <t>V̅MMCMLVI</t>
        </is>
      </c>
      <c r="C7957">
        <f>ROMAN(7956)</f>
        <v/>
      </c>
      <c r="D7957">
        <f>IF(B7957=C7957, "YES", "WRONG")</f>
        <v/>
      </c>
    </row>
    <row r="7958">
      <c r="A7958" t="n">
        <v>7957</v>
      </c>
      <c r="B7958" t="inlineStr">
        <is>
          <t>V̅MMCMLVII</t>
        </is>
      </c>
      <c r="C7958">
        <f>ROMAN(7957)</f>
        <v/>
      </c>
      <c r="D7958">
        <f>IF(B7958=C7958, "YES", "WRONG")</f>
        <v/>
      </c>
    </row>
    <row r="7959">
      <c r="A7959" t="n">
        <v>7958</v>
      </c>
      <c r="B7959" t="inlineStr">
        <is>
          <t>V̅MMCMLVIII</t>
        </is>
      </c>
      <c r="C7959">
        <f>ROMAN(7958)</f>
        <v/>
      </c>
      <c r="D7959">
        <f>IF(B7959=C7959, "YES", "WRONG")</f>
        <v/>
      </c>
    </row>
    <row r="7960">
      <c r="A7960" t="n">
        <v>7959</v>
      </c>
      <c r="B7960" t="inlineStr">
        <is>
          <t>V̅MMCMLIX</t>
        </is>
      </c>
      <c r="C7960">
        <f>ROMAN(7959)</f>
        <v/>
      </c>
      <c r="D7960">
        <f>IF(B7960=C7960, "YES", "WRONG")</f>
        <v/>
      </c>
    </row>
    <row r="7961">
      <c r="A7961" t="n">
        <v>7960</v>
      </c>
      <c r="B7961" t="inlineStr">
        <is>
          <t>V̅MMCMLX</t>
        </is>
      </c>
      <c r="C7961">
        <f>ROMAN(7960)</f>
        <v/>
      </c>
      <c r="D7961">
        <f>IF(B7961=C7961, "YES", "WRONG")</f>
        <v/>
      </c>
    </row>
    <row r="7962">
      <c r="A7962" t="n">
        <v>7961</v>
      </c>
      <c r="B7962" t="inlineStr">
        <is>
          <t>V̅MMCMLXI</t>
        </is>
      </c>
      <c r="C7962">
        <f>ROMAN(7961)</f>
        <v/>
      </c>
      <c r="D7962">
        <f>IF(B7962=C7962, "YES", "WRONG")</f>
        <v/>
      </c>
    </row>
    <row r="7963">
      <c r="A7963" t="n">
        <v>7962</v>
      </c>
      <c r="B7963" t="inlineStr">
        <is>
          <t>V̅MMCMLXII</t>
        </is>
      </c>
      <c r="C7963">
        <f>ROMAN(7962)</f>
        <v/>
      </c>
      <c r="D7963">
        <f>IF(B7963=C7963, "YES", "WRONG")</f>
        <v/>
      </c>
    </row>
    <row r="7964">
      <c r="A7964" t="n">
        <v>7963</v>
      </c>
      <c r="B7964" t="inlineStr">
        <is>
          <t>V̅MMCMLXIII</t>
        </is>
      </c>
      <c r="C7964">
        <f>ROMAN(7963)</f>
        <v/>
      </c>
      <c r="D7964">
        <f>IF(B7964=C7964, "YES", "WRONG")</f>
        <v/>
      </c>
    </row>
    <row r="7965">
      <c r="A7965" t="n">
        <v>7964</v>
      </c>
      <c r="B7965" t="inlineStr">
        <is>
          <t>V̅MMCMLXIV</t>
        </is>
      </c>
      <c r="C7965">
        <f>ROMAN(7964)</f>
        <v/>
      </c>
      <c r="D7965">
        <f>IF(B7965=C7965, "YES", "WRONG")</f>
        <v/>
      </c>
    </row>
    <row r="7966">
      <c r="A7966" t="n">
        <v>7965</v>
      </c>
      <c r="B7966" t="inlineStr">
        <is>
          <t>V̅MMCMLXV</t>
        </is>
      </c>
      <c r="C7966">
        <f>ROMAN(7965)</f>
        <v/>
      </c>
      <c r="D7966">
        <f>IF(B7966=C7966, "YES", "WRONG")</f>
        <v/>
      </c>
    </row>
    <row r="7967">
      <c r="A7967" t="n">
        <v>7966</v>
      </c>
      <c r="B7967" t="inlineStr">
        <is>
          <t>V̅MMCMLXVI</t>
        </is>
      </c>
      <c r="C7967">
        <f>ROMAN(7966)</f>
        <v/>
      </c>
      <c r="D7967">
        <f>IF(B7967=C7967, "YES", "WRONG")</f>
        <v/>
      </c>
    </row>
    <row r="7968">
      <c r="A7968" t="n">
        <v>7967</v>
      </c>
      <c r="B7968" t="inlineStr">
        <is>
          <t>V̅MMCMLXVII</t>
        </is>
      </c>
      <c r="C7968">
        <f>ROMAN(7967)</f>
        <v/>
      </c>
      <c r="D7968">
        <f>IF(B7968=C7968, "YES", "WRONG")</f>
        <v/>
      </c>
    </row>
    <row r="7969">
      <c r="A7969" t="n">
        <v>7968</v>
      </c>
      <c r="B7969" t="inlineStr">
        <is>
          <t>V̅MMCMLXVIII</t>
        </is>
      </c>
      <c r="C7969">
        <f>ROMAN(7968)</f>
        <v/>
      </c>
      <c r="D7969">
        <f>IF(B7969=C7969, "YES", "WRONG")</f>
        <v/>
      </c>
    </row>
    <row r="7970">
      <c r="A7970" t="n">
        <v>7969</v>
      </c>
      <c r="B7970" t="inlineStr">
        <is>
          <t>V̅MMCMLXIX</t>
        </is>
      </c>
      <c r="C7970">
        <f>ROMAN(7969)</f>
        <v/>
      </c>
      <c r="D7970">
        <f>IF(B7970=C7970, "YES", "WRONG")</f>
        <v/>
      </c>
    </row>
    <row r="7971">
      <c r="A7971" t="n">
        <v>7970</v>
      </c>
      <c r="B7971" t="inlineStr">
        <is>
          <t>V̅MMCMLXX</t>
        </is>
      </c>
      <c r="C7971">
        <f>ROMAN(7970)</f>
        <v/>
      </c>
      <c r="D7971">
        <f>IF(B7971=C7971, "YES", "WRONG")</f>
        <v/>
      </c>
    </row>
    <row r="7972">
      <c r="A7972" t="n">
        <v>7971</v>
      </c>
      <c r="B7972" t="inlineStr">
        <is>
          <t>V̅MMCMLXXI</t>
        </is>
      </c>
      <c r="C7972">
        <f>ROMAN(7971)</f>
        <v/>
      </c>
      <c r="D7972">
        <f>IF(B7972=C7972, "YES", "WRONG")</f>
        <v/>
      </c>
    </row>
    <row r="7973">
      <c r="A7973" t="n">
        <v>7972</v>
      </c>
      <c r="B7973" t="inlineStr">
        <is>
          <t>V̅MMCMLXXII</t>
        </is>
      </c>
      <c r="C7973">
        <f>ROMAN(7972)</f>
        <v/>
      </c>
      <c r="D7973">
        <f>IF(B7973=C7973, "YES", "WRONG")</f>
        <v/>
      </c>
    </row>
    <row r="7974">
      <c r="A7974" t="n">
        <v>7973</v>
      </c>
      <c r="B7974" t="inlineStr">
        <is>
          <t>V̅MMCMLXXIII</t>
        </is>
      </c>
      <c r="C7974">
        <f>ROMAN(7973)</f>
        <v/>
      </c>
      <c r="D7974">
        <f>IF(B7974=C7974, "YES", "WRONG")</f>
        <v/>
      </c>
    </row>
    <row r="7975">
      <c r="A7975" t="n">
        <v>7974</v>
      </c>
      <c r="B7975" t="inlineStr">
        <is>
          <t>V̅MMCMLXXIV</t>
        </is>
      </c>
      <c r="C7975">
        <f>ROMAN(7974)</f>
        <v/>
      </c>
      <c r="D7975">
        <f>IF(B7975=C7975, "YES", "WRONG")</f>
        <v/>
      </c>
    </row>
    <row r="7976">
      <c r="A7976" t="n">
        <v>7975</v>
      </c>
      <c r="B7976" t="inlineStr">
        <is>
          <t>V̅MMCMLXXV</t>
        </is>
      </c>
      <c r="C7976">
        <f>ROMAN(7975)</f>
        <v/>
      </c>
      <c r="D7976">
        <f>IF(B7976=C7976, "YES", "WRONG")</f>
        <v/>
      </c>
    </row>
    <row r="7977">
      <c r="A7977" t="n">
        <v>7976</v>
      </c>
      <c r="B7977" t="inlineStr">
        <is>
          <t>V̅MMCMLXXVI</t>
        </is>
      </c>
      <c r="C7977">
        <f>ROMAN(7976)</f>
        <v/>
      </c>
      <c r="D7977">
        <f>IF(B7977=C7977, "YES", "WRONG")</f>
        <v/>
      </c>
    </row>
    <row r="7978">
      <c r="A7978" t="n">
        <v>7977</v>
      </c>
      <c r="B7978" t="inlineStr">
        <is>
          <t>V̅MMCMLXXVII</t>
        </is>
      </c>
      <c r="C7978">
        <f>ROMAN(7977)</f>
        <v/>
      </c>
      <c r="D7978">
        <f>IF(B7978=C7978, "YES", "WRONG")</f>
        <v/>
      </c>
    </row>
    <row r="7979">
      <c r="A7979" t="n">
        <v>7978</v>
      </c>
      <c r="B7979" t="inlineStr">
        <is>
          <t>V̅MMCMLXXVIII</t>
        </is>
      </c>
      <c r="C7979">
        <f>ROMAN(7978)</f>
        <v/>
      </c>
      <c r="D7979">
        <f>IF(B7979=C7979, "YES", "WRONG")</f>
        <v/>
      </c>
    </row>
    <row r="7980">
      <c r="A7980" t="n">
        <v>7979</v>
      </c>
      <c r="B7980" t="inlineStr">
        <is>
          <t>V̅MMCMLXXIX</t>
        </is>
      </c>
      <c r="C7980">
        <f>ROMAN(7979)</f>
        <v/>
      </c>
      <c r="D7980">
        <f>IF(B7980=C7980, "YES", "WRONG")</f>
        <v/>
      </c>
    </row>
    <row r="7981">
      <c r="A7981" t="n">
        <v>7980</v>
      </c>
      <c r="B7981" t="inlineStr">
        <is>
          <t>V̅MMCMLXXX</t>
        </is>
      </c>
      <c r="C7981">
        <f>ROMAN(7980)</f>
        <v/>
      </c>
      <c r="D7981">
        <f>IF(B7981=C7981, "YES", "WRONG")</f>
        <v/>
      </c>
    </row>
    <row r="7982">
      <c r="A7982" t="n">
        <v>7981</v>
      </c>
      <c r="B7982" t="inlineStr">
        <is>
          <t>V̅MMCMLXXXI</t>
        </is>
      </c>
      <c r="C7982">
        <f>ROMAN(7981)</f>
        <v/>
      </c>
      <c r="D7982">
        <f>IF(B7982=C7982, "YES", "WRONG")</f>
        <v/>
      </c>
    </row>
    <row r="7983">
      <c r="A7983" t="n">
        <v>7982</v>
      </c>
      <c r="B7983" t="inlineStr">
        <is>
          <t>V̅MMCMLXXXII</t>
        </is>
      </c>
      <c r="C7983">
        <f>ROMAN(7982)</f>
        <v/>
      </c>
      <c r="D7983">
        <f>IF(B7983=C7983, "YES", "WRONG")</f>
        <v/>
      </c>
    </row>
    <row r="7984">
      <c r="A7984" t="n">
        <v>7983</v>
      </c>
      <c r="B7984" t="inlineStr">
        <is>
          <t>V̅MMCMLXXXIII</t>
        </is>
      </c>
      <c r="C7984">
        <f>ROMAN(7983)</f>
        <v/>
      </c>
      <c r="D7984">
        <f>IF(B7984=C7984, "YES", "WRONG")</f>
        <v/>
      </c>
    </row>
    <row r="7985">
      <c r="A7985" t="n">
        <v>7984</v>
      </c>
      <c r="B7985" t="inlineStr">
        <is>
          <t>V̅MMCMLXXXIV</t>
        </is>
      </c>
      <c r="C7985">
        <f>ROMAN(7984)</f>
        <v/>
      </c>
      <c r="D7985">
        <f>IF(B7985=C7985, "YES", "WRONG")</f>
        <v/>
      </c>
    </row>
    <row r="7986">
      <c r="A7986" t="n">
        <v>7985</v>
      </c>
      <c r="B7986" t="inlineStr">
        <is>
          <t>V̅MMCMLXXXV</t>
        </is>
      </c>
      <c r="C7986">
        <f>ROMAN(7985)</f>
        <v/>
      </c>
      <c r="D7986">
        <f>IF(B7986=C7986, "YES", "WRONG")</f>
        <v/>
      </c>
    </row>
    <row r="7987">
      <c r="A7987" t="n">
        <v>7986</v>
      </c>
      <c r="B7987" t="inlineStr">
        <is>
          <t>V̅MMCMLXXXVI</t>
        </is>
      </c>
      <c r="C7987">
        <f>ROMAN(7986)</f>
        <v/>
      </c>
      <c r="D7987">
        <f>IF(B7987=C7987, "YES", "WRONG")</f>
        <v/>
      </c>
    </row>
    <row r="7988">
      <c r="A7988" t="n">
        <v>7987</v>
      </c>
      <c r="B7988" t="inlineStr">
        <is>
          <t>V̅MMCMLXXXVII</t>
        </is>
      </c>
      <c r="C7988">
        <f>ROMAN(7987)</f>
        <v/>
      </c>
      <c r="D7988">
        <f>IF(B7988=C7988, "YES", "WRONG")</f>
        <v/>
      </c>
    </row>
    <row r="7989">
      <c r="A7989" t="n">
        <v>7988</v>
      </c>
      <c r="B7989" t="inlineStr">
        <is>
          <t>V̅MMCMLXXXVIII</t>
        </is>
      </c>
      <c r="C7989">
        <f>ROMAN(7988)</f>
        <v/>
      </c>
      <c r="D7989">
        <f>IF(B7989=C7989, "YES", "WRONG")</f>
        <v/>
      </c>
    </row>
    <row r="7990">
      <c r="A7990" t="n">
        <v>7989</v>
      </c>
      <c r="B7990" t="inlineStr">
        <is>
          <t>V̅MMCMLXXXIX</t>
        </is>
      </c>
      <c r="C7990">
        <f>ROMAN(7989)</f>
        <v/>
      </c>
      <c r="D7990">
        <f>IF(B7990=C7990, "YES", "WRONG")</f>
        <v/>
      </c>
    </row>
    <row r="7991">
      <c r="A7991" t="n">
        <v>7990</v>
      </c>
      <c r="B7991" t="inlineStr">
        <is>
          <t>V̅MMCMXC</t>
        </is>
      </c>
      <c r="C7991">
        <f>ROMAN(7990)</f>
        <v/>
      </c>
      <c r="D7991">
        <f>IF(B7991=C7991, "YES", "WRONG")</f>
        <v/>
      </c>
    </row>
    <row r="7992">
      <c r="A7992" t="n">
        <v>7991</v>
      </c>
      <c r="B7992" t="inlineStr">
        <is>
          <t>V̅MMCMXCI</t>
        </is>
      </c>
      <c r="C7992">
        <f>ROMAN(7991)</f>
        <v/>
      </c>
      <c r="D7992">
        <f>IF(B7992=C7992, "YES", "WRONG")</f>
        <v/>
      </c>
    </row>
    <row r="7993">
      <c r="A7993" t="n">
        <v>7992</v>
      </c>
      <c r="B7993" t="inlineStr">
        <is>
          <t>V̅MMCMXCII</t>
        </is>
      </c>
      <c r="C7993">
        <f>ROMAN(7992)</f>
        <v/>
      </c>
      <c r="D7993">
        <f>IF(B7993=C7993, "YES", "WRONG")</f>
        <v/>
      </c>
    </row>
    <row r="7994">
      <c r="A7994" t="n">
        <v>7993</v>
      </c>
      <c r="B7994" t="inlineStr">
        <is>
          <t>V̅MMCMXCIII</t>
        </is>
      </c>
      <c r="C7994">
        <f>ROMAN(7993)</f>
        <v/>
      </c>
      <c r="D7994">
        <f>IF(B7994=C7994, "YES", "WRONG")</f>
        <v/>
      </c>
    </row>
    <row r="7995">
      <c r="A7995" t="n">
        <v>7994</v>
      </c>
      <c r="B7995" t="inlineStr">
        <is>
          <t>V̅MMCMXCIV</t>
        </is>
      </c>
      <c r="C7995">
        <f>ROMAN(7994)</f>
        <v/>
      </c>
      <c r="D7995">
        <f>IF(B7995=C7995, "YES", "WRONG")</f>
        <v/>
      </c>
    </row>
    <row r="7996">
      <c r="A7996" t="n">
        <v>7995</v>
      </c>
      <c r="B7996" t="inlineStr">
        <is>
          <t>V̅MMCMXCV</t>
        </is>
      </c>
      <c r="C7996">
        <f>ROMAN(7995)</f>
        <v/>
      </c>
      <c r="D7996">
        <f>IF(B7996=C7996, "YES", "WRONG")</f>
        <v/>
      </c>
    </row>
    <row r="7997">
      <c r="A7997" t="n">
        <v>7996</v>
      </c>
      <c r="B7997" t="inlineStr">
        <is>
          <t>V̅MMCMXCVI</t>
        </is>
      </c>
      <c r="C7997">
        <f>ROMAN(7996)</f>
        <v/>
      </c>
      <c r="D7997">
        <f>IF(B7997=C7997, "YES", "WRONG")</f>
        <v/>
      </c>
    </row>
    <row r="7998">
      <c r="A7998" t="n">
        <v>7997</v>
      </c>
      <c r="B7998" t="inlineStr">
        <is>
          <t>V̅MMCMXCVII</t>
        </is>
      </c>
      <c r="C7998">
        <f>ROMAN(7997)</f>
        <v/>
      </c>
      <c r="D7998">
        <f>IF(B7998=C7998, "YES", "WRONG")</f>
        <v/>
      </c>
    </row>
    <row r="7999">
      <c r="A7999" t="n">
        <v>7998</v>
      </c>
      <c r="B7999" t="inlineStr">
        <is>
          <t>V̅MMCMXCVIII</t>
        </is>
      </c>
      <c r="C7999">
        <f>ROMAN(7998)</f>
        <v/>
      </c>
      <c r="D7999">
        <f>IF(B7999=C7999, "YES", "WRONG")</f>
        <v/>
      </c>
    </row>
    <row r="8000">
      <c r="A8000" t="n">
        <v>7999</v>
      </c>
      <c r="B8000" t="inlineStr">
        <is>
          <t>V̅MMCMXCIX</t>
        </is>
      </c>
      <c r="C8000">
        <f>ROMAN(7999)</f>
        <v/>
      </c>
      <c r="D8000">
        <f>IF(B8000=C8000, "YES", "WRONG")</f>
        <v/>
      </c>
    </row>
    <row r="8001">
      <c r="A8001" t="n">
        <v>8000</v>
      </c>
      <c r="B8001" t="inlineStr">
        <is>
          <t>V̅MMM</t>
        </is>
      </c>
      <c r="C8001">
        <f>ROMAN(8000)</f>
        <v/>
      </c>
      <c r="D8001">
        <f>IF(B8001=C8001, "YES", "WRONG")</f>
        <v/>
      </c>
    </row>
    <row r="8002">
      <c r="A8002" t="n">
        <v>8001</v>
      </c>
      <c r="B8002" t="inlineStr">
        <is>
          <t>V̅MMMI</t>
        </is>
      </c>
      <c r="C8002">
        <f>ROMAN(8001)</f>
        <v/>
      </c>
      <c r="D8002">
        <f>IF(B8002=C8002, "YES", "WRONG")</f>
        <v/>
      </c>
    </row>
    <row r="8003">
      <c r="A8003" t="n">
        <v>8002</v>
      </c>
      <c r="B8003" t="inlineStr">
        <is>
          <t>V̅MMMII</t>
        </is>
      </c>
      <c r="C8003">
        <f>ROMAN(8002)</f>
        <v/>
      </c>
      <c r="D8003">
        <f>IF(B8003=C8003, "YES", "WRONG")</f>
        <v/>
      </c>
    </row>
    <row r="8004">
      <c r="A8004" t="n">
        <v>8003</v>
      </c>
      <c r="B8004" t="inlineStr">
        <is>
          <t>V̅MMMIII</t>
        </is>
      </c>
      <c r="C8004">
        <f>ROMAN(8003)</f>
        <v/>
      </c>
      <c r="D8004">
        <f>IF(B8004=C8004, "YES", "WRONG")</f>
        <v/>
      </c>
    </row>
    <row r="8005">
      <c r="A8005" t="n">
        <v>8004</v>
      </c>
      <c r="B8005" t="inlineStr">
        <is>
          <t>V̅MMMIV</t>
        </is>
      </c>
      <c r="C8005">
        <f>ROMAN(8004)</f>
        <v/>
      </c>
      <c r="D8005">
        <f>IF(B8005=C8005, "YES", "WRONG")</f>
        <v/>
      </c>
    </row>
    <row r="8006">
      <c r="A8006" t="n">
        <v>8005</v>
      </c>
      <c r="B8006" t="inlineStr">
        <is>
          <t>V̅MMMV</t>
        </is>
      </c>
      <c r="C8006">
        <f>ROMAN(8005)</f>
        <v/>
      </c>
      <c r="D8006">
        <f>IF(B8006=C8006, "YES", "WRONG")</f>
        <v/>
      </c>
    </row>
    <row r="8007">
      <c r="A8007" t="n">
        <v>8006</v>
      </c>
      <c r="B8007" t="inlineStr">
        <is>
          <t>V̅MMMVI</t>
        </is>
      </c>
      <c r="C8007">
        <f>ROMAN(8006)</f>
        <v/>
      </c>
      <c r="D8007">
        <f>IF(B8007=C8007, "YES", "WRONG")</f>
        <v/>
      </c>
    </row>
    <row r="8008">
      <c r="A8008" t="n">
        <v>8007</v>
      </c>
      <c r="B8008" t="inlineStr">
        <is>
          <t>V̅MMMVII</t>
        </is>
      </c>
      <c r="C8008">
        <f>ROMAN(8007)</f>
        <v/>
      </c>
      <c r="D8008">
        <f>IF(B8008=C8008, "YES", "WRONG")</f>
        <v/>
      </c>
    </row>
    <row r="8009">
      <c r="A8009" t="n">
        <v>8008</v>
      </c>
      <c r="B8009" t="inlineStr">
        <is>
          <t>V̅MMMVIII</t>
        </is>
      </c>
      <c r="C8009">
        <f>ROMAN(8008)</f>
        <v/>
      </c>
      <c r="D8009">
        <f>IF(B8009=C8009, "YES", "WRONG")</f>
        <v/>
      </c>
    </row>
    <row r="8010">
      <c r="A8010" t="n">
        <v>8009</v>
      </c>
      <c r="B8010" t="inlineStr">
        <is>
          <t>V̅MMMIX</t>
        </is>
      </c>
      <c r="C8010">
        <f>ROMAN(8009)</f>
        <v/>
      </c>
      <c r="D8010">
        <f>IF(B8010=C8010, "YES", "WRONG")</f>
        <v/>
      </c>
    </row>
    <row r="8011">
      <c r="A8011" t="n">
        <v>8010</v>
      </c>
      <c r="B8011" t="inlineStr">
        <is>
          <t>V̅MMMX</t>
        </is>
      </c>
      <c r="C8011">
        <f>ROMAN(8010)</f>
        <v/>
      </c>
      <c r="D8011">
        <f>IF(B8011=C8011, "YES", "WRONG")</f>
        <v/>
      </c>
    </row>
    <row r="8012">
      <c r="A8012" t="n">
        <v>8011</v>
      </c>
      <c r="B8012" t="inlineStr">
        <is>
          <t>V̅MMMXI</t>
        </is>
      </c>
      <c r="C8012">
        <f>ROMAN(8011)</f>
        <v/>
      </c>
      <c r="D8012">
        <f>IF(B8012=C8012, "YES", "WRONG")</f>
        <v/>
      </c>
    </row>
    <row r="8013">
      <c r="A8013" t="n">
        <v>8012</v>
      </c>
      <c r="B8013" t="inlineStr">
        <is>
          <t>V̅MMMXII</t>
        </is>
      </c>
      <c r="C8013">
        <f>ROMAN(8012)</f>
        <v/>
      </c>
      <c r="D8013">
        <f>IF(B8013=C8013, "YES", "WRONG")</f>
        <v/>
      </c>
    </row>
    <row r="8014">
      <c r="A8014" t="n">
        <v>8013</v>
      </c>
      <c r="B8014" t="inlineStr">
        <is>
          <t>V̅MMMXIII</t>
        </is>
      </c>
      <c r="C8014">
        <f>ROMAN(8013)</f>
        <v/>
      </c>
      <c r="D8014">
        <f>IF(B8014=C8014, "YES", "WRONG")</f>
        <v/>
      </c>
    </row>
    <row r="8015">
      <c r="A8015" t="n">
        <v>8014</v>
      </c>
      <c r="B8015" t="inlineStr">
        <is>
          <t>V̅MMMXIV</t>
        </is>
      </c>
      <c r="C8015">
        <f>ROMAN(8014)</f>
        <v/>
      </c>
      <c r="D8015">
        <f>IF(B8015=C8015, "YES", "WRONG")</f>
        <v/>
      </c>
    </row>
    <row r="8016">
      <c r="A8016" t="n">
        <v>8015</v>
      </c>
      <c r="B8016" t="inlineStr">
        <is>
          <t>V̅MMMXV</t>
        </is>
      </c>
      <c r="C8016">
        <f>ROMAN(8015)</f>
        <v/>
      </c>
      <c r="D8016">
        <f>IF(B8016=C8016, "YES", "WRONG")</f>
        <v/>
      </c>
    </row>
    <row r="8017">
      <c r="A8017" t="n">
        <v>8016</v>
      </c>
      <c r="B8017" t="inlineStr">
        <is>
          <t>V̅MMMXVI</t>
        </is>
      </c>
      <c r="C8017">
        <f>ROMAN(8016)</f>
        <v/>
      </c>
      <c r="D8017">
        <f>IF(B8017=C8017, "YES", "WRONG")</f>
        <v/>
      </c>
    </row>
    <row r="8018">
      <c r="A8018" t="n">
        <v>8017</v>
      </c>
      <c r="B8018" t="inlineStr">
        <is>
          <t>V̅MMMXVII</t>
        </is>
      </c>
      <c r="C8018">
        <f>ROMAN(8017)</f>
        <v/>
      </c>
      <c r="D8018">
        <f>IF(B8018=C8018, "YES", "WRONG")</f>
        <v/>
      </c>
    </row>
    <row r="8019">
      <c r="A8019" t="n">
        <v>8018</v>
      </c>
      <c r="B8019" t="inlineStr">
        <is>
          <t>V̅MMMXVIII</t>
        </is>
      </c>
      <c r="C8019">
        <f>ROMAN(8018)</f>
        <v/>
      </c>
      <c r="D8019">
        <f>IF(B8019=C8019, "YES", "WRONG")</f>
        <v/>
      </c>
    </row>
    <row r="8020">
      <c r="A8020" t="n">
        <v>8019</v>
      </c>
      <c r="B8020" t="inlineStr">
        <is>
          <t>V̅MMMXIX</t>
        </is>
      </c>
      <c r="C8020">
        <f>ROMAN(8019)</f>
        <v/>
      </c>
      <c r="D8020">
        <f>IF(B8020=C8020, "YES", "WRONG")</f>
        <v/>
      </c>
    </row>
    <row r="8021">
      <c r="A8021" t="n">
        <v>8020</v>
      </c>
      <c r="B8021" t="inlineStr">
        <is>
          <t>V̅MMMXX</t>
        </is>
      </c>
      <c r="C8021">
        <f>ROMAN(8020)</f>
        <v/>
      </c>
      <c r="D8021">
        <f>IF(B8021=C8021, "YES", "WRONG")</f>
        <v/>
      </c>
    </row>
    <row r="8022">
      <c r="A8022" t="n">
        <v>8021</v>
      </c>
      <c r="B8022" t="inlineStr">
        <is>
          <t>V̅MMMXXI</t>
        </is>
      </c>
      <c r="C8022">
        <f>ROMAN(8021)</f>
        <v/>
      </c>
      <c r="D8022">
        <f>IF(B8022=C8022, "YES", "WRONG")</f>
        <v/>
      </c>
    </row>
    <row r="8023">
      <c r="A8023" t="n">
        <v>8022</v>
      </c>
      <c r="B8023" t="inlineStr">
        <is>
          <t>V̅MMMXXII</t>
        </is>
      </c>
      <c r="C8023">
        <f>ROMAN(8022)</f>
        <v/>
      </c>
      <c r="D8023">
        <f>IF(B8023=C8023, "YES", "WRONG")</f>
        <v/>
      </c>
    </row>
    <row r="8024">
      <c r="A8024" t="n">
        <v>8023</v>
      </c>
      <c r="B8024" t="inlineStr">
        <is>
          <t>V̅MMMXXIII</t>
        </is>
      </c>
      <c r="C8024">
        <f>ROMAN(8023)</f>
        <v/>
      </c>
      <c r="D8024">
        <f>IF(B8024=C8024, "YES", "WRONG")</f>
        <v/>
      </c>
    </row>
    <row r="8025">
      <c r="A8025" t="n">
        <v>8024</v>
      </c>
      <c r="B8025" t="inlineStr">
        <is>
          <t>V̅MMMXXIV</t>
        </is>
      </c>
      <c r="C8025">
        <f>ROMAN(8024)</f>
        <v/>
      </c>
      <c r="D8025">
        <f>IF(B8025=C8025, "YES", "WRONG")</f>
        <v/>
      </c>
    </row>
    <row r="8026">
      <c r="A8026" t="n">
        <v>8025</v>
      </c>
      <c r="B8026" t="inlineStr">
        <is>
          <t>V̅MMMXXV</t>
        </is>
      </c>
      <c r="C8026">
        <f>ROMAN(8025)</f>
        <v/>
      </c>
      <c r="D8026">
        <f>IF(B8026=C8026, "YES", "WRONG")</f>
        <v/>
      </c>
    </row>
    <row r="8027">
      <c r="A8027" t="n">
        <v>8026</v>
      </c>
      <c r="B8027" t="inlineStr">
        <is>
          <t>V̅MMMXXVI</t>
        </is>
      </c>
      <c r="C8027">
        <f>ROMAN(8026)</f>
        <v/>
      </c>
      <c r="D8027">
        <f>IF(B8027=C8027, "YES", "WRONG")</f>
        <v/>
      </c>
    </row>
    <row r="8028">
      <c r="A8028" t="n">
        <v>8027</v>
      </c>
      <c r="B8028" t="inlineStr">
        <is>
          <t>V̅MMMXXVII</t>
        </is>
      </c>
      <c r="C8028">
        <f>ROMAN(8027)</f>
        <v/>
      </c>
      <c r="D8028">
        <f>IF(B8028=C8028, "YES", "WRONG")</f>
        <v/>
      </c>
    </row>
    <row r="8029">
      <c r="A8029" t="n">
        <v>8028</v>
      </c>
      <c r="B8029" t="inlineStr">
        <is>
          <t>V̅MMMXXVIII</t>
        </is>
      </c>
      <c r="C8029">
        <f>ROMAN(8028)</f>
        <v/>
      </c>
      <c r="D8029">
        <f>IF(B8029=C8029, "YES", "WRONG")</f>
        <v/>
      </c>
    </row>
    <row r="8030">
      <c r="A8030" t="n">
        <v>8029</v>
      </c>
      <c r="B8030" t="inlineStr">
        <is>
          <t>V̅MMMXXIX</t>
        </is>
      </c>
      <c r="C8030">
        <f>ROMAN(8029)</f>
        <v/>
      </c>
      <c r="D8030">
        <f>IF(B8030=C8030, "YES", "WRONG")</f>
        <v/>
      </c>
    </row>
    <row r="8031">
      <c r="A8031" t="n">
        <v>8030</v>
      </c>
      <c r="B8031" t="inlineStr">
        <is>
          <t>V̅MMMXXX</t>
        </is>
      </c>
      <c r="C8031">
        <f>ROMAN(8030)</f>
        <v/>
      </c>
      <c r="D8031">
        <f>IF(B8031=C8031, "YES", "WRONG")</f>
        <v/>
      </c>
    </row>
    <row r="8032">
      <c r="A8032" t="n">
        <v>8031</v>
      </c>
      <c r="B8032" t="inlineStr">
        <is>
          <t>V̅MMMXXXI</t>
        </is>
      </c>
      <c r="C8032">
        <f>ROMAN(8031)</f>
        <v/>
      </c>
      <c r="D8032">
        <f>IF(B8032=C8032, "YES", "WRONG")</f>
        <v/>
      </c>
    </row>
    <row r="8033">
      <c r="A8033" t="n">
        <v>8032</v>
      </c>
      <c r="B8033" t="inlineStr">
        <is>
          <t>V̅MMMXXXII</t>
        </is>
      </c>
      <c r="C8033">
        <f>ROMAN(8032)</f>
        <v/>
      </c>
      <c r="D8033">
        <f>IF(B8033=C8033, "YES", "WRONG")</f>
        <v/>
      </c>
    </row>
    <row r="8034">
      <c r="A8034" t="n">
        <v>8033</v>
      </c>
      <c r="B8034" t="inlineStr">
        <is>
          <t>V̅MMMXXXIII</t>
        </is>
      </c>
      <c r="C8034">
        <f>ROMAN(8033)</f>
        <v/>
      </c>
      <c r="D8034">
        <f>IF(B8034=C8034, "YES", "WRONG")</f>
        <v/>
      </c>
    </row>
    <row r="8035">
      <c r="A8035" t="n">
        <v>8034</v>
      </c>
      <c r="B8035" t="inlineStr">
        <is>
          <t>V̅MMMXXXIV</t>
        </is>
      </c>
      <c r="C8035">
        <f>ROMAN(8034)</f>
        <v/>
      </c>
      <c r="D8035">
        <f>IF(B8035=C8035, "YES", "WRONG")</f>
        <v/>
      </c>
    </row>
    <row r="8036">
      <c r="A8036" t="n">
        <v>8035</v>
      </c>
      <c r="B8036" t="inlineStr">
        <is>
          <t>V̅MMMXXXV</t>
        </is>
      </c>
      <c r="C8036">
        <f>ROMAN(8035)</f>
        <v/>
      </c>
      <c r="D8036">
        <f>IF(B8036=C8036, "YES", "WRONG")</f>
        <v/>
      </c>
    </row>
    <row r="8037">
      <c r="A8037" t="n">
        <v>8036</v>
      </c>
      <c r="B8037" t="inlineStr">
        <is>
          <t>V̅MMMXXXVI</t>
        </is>
      </c>
      <c r="C8037">
        <f>ROMAN(8036)</f>
        <v/>
      </c>
      <c r="D8037">
        <f>IF(B8037=C8037, "YES", "WRONG")</f>
        <v/>
      </c>
    </row>
    <row r="8038">
      <c r="A8038" t="n">
        <v>8037</v>
      </c>
      <c r="B8038" t="inlineStr">
        <is>
          <t>V̅MMMXXXVII</t>
        </is>
      </c>
      <c r="C8038">
        <f>ROMAN(8037)</f>
        <v/>
      </c>
      <c r="D8038">
        <f>IF(B8038=C8038, "YES", "WRONG")</f>
        <v/>
      </c>
    </row>
    <row r="8039">
      <c r="A8039" t="n">
        <v>8038</v>
      </c>
      <c r="B8039" t="inlineStr">
        <is>
          <t>V̅MMMXXXVIII</t>
        </is>
      </c>
      <c r="C8039">
        <f>ROMAN(8038)</f>
        <v/>
      </c>
      <c r="D8039">
        <f>IF(B8039=C8039, "YES", "WRONG")</f>
        <v/>
      </c>
    </row>
    <row r="8040">
      <c r="A8040" t="n">
        <v>8039</v>
      </c>
      <c r="B8040" t="inlineStr">
        <is>
          <t>V̅MMMXXXIX</t>
        </is>
      </c>
      <c r="C8040">
        <f>ROMAN(8039)</f>
        <v/>
      </c>
      <c r="D8040">
        <f>IF(B8040=C8040, "YES", "WRONG")</f>
        <v/>
      </c>
    </row>
    <row r="8041">
      <c r="A8041" t="n">
        <v>8040</v>
      </c>
      <c r="B8041" t="inlineStr">
        <is>
          <t>V̅MMMXL</t>
        </is>
      </c>
      <c r="C8041">
        <f>ROMAN(8040)</f>
        <v/>
      </c>
      <c r="D8041">
        <f>IF(B8041=C8041, "YES", "WRONG")</f>
        <v/>
      </c>
    </row>
    <row r="8042">
      <c r="A8042" t="n">
        <v>8041</v>
      </c>
      <c r="B8042" t="inlineStr">
        <is>
          <t>V̅MMMXLI</t>
        </is>
      </c>
      <c r="C8042">
        <f>ROMAN(8041)</f>
        <v/>
      </c>
      <c r="D8042">
        <f>IF(B8042=C8042, "YES", "WRONG")</f>
        <v/>
      </c>
    </row>
    <row r="8043">
      <c r="A8043" t="n">
        <v>8042</v>
      </c>
      <c r="B8043" t="inlineStr">
        <is>
          <t>V̅MMMXLII</t>
        </is>
      </c>
      <c r="C8043">
        <f>ROMAN(8042)</f>
        <v/>
      </c>
      <c r="D8043">
        <f>IF(B8043=C8043, "YES", "WRONG")</f>
        <v/>
      </c>
    </row>
    <row r="8044">
      <c r="A8044" t="n">
        <v>8043</v>
      </c>
      <c r="B8044" t="inlineStr">
        <is>
          <t>V̅MMMXLIII</t>
        </is>
      </c>
      <c r="C8044">
        <f>ROMAN(8043)</f>
        <v/>
      </c>
      <c r="D8044">
        <f>IF(B8044=C8044, "YES", "WRONG")</f>
        <v/>
      </c>
    </row>
    <row r="8045">
      <c r="A8045" t="n">
        <v>8044</v>
      </c>
      <c r="B8045" t="inlineStr">
        <is>
          <t>V̅MMMXLIV</t>
        </is>
      </c>
      <c r="C8045">
        <f>ROMAN(8044)</f>
        <v/>
      </c>
      <c r="D8045">
        <f>IF(B8045=C8045, "YES", "WRONG")</f>
        <v/>
      </c>
    </row>
    <row r="8046">
      <c r="A8046" t="n">
        <v>8045</v>
      </c>
      <c r="B8046" t="inlineStr">
        <is>
          <t>V̅MMMXLV</t>
        </is>
      </c>
      <c r="C8046">
        <f>ROMAN(8045)</f>
        <v/>
      </c>
      <c r="D8046">
        <f>IF(B8046=C8046, "YES", "WRONG")</f>
        <v/>
      </c>
    </row>
    <row r="8047">
      <c r="A8047" t="n">
        <v>8046</v>
      </c>
      <c r="B8047" t="inlineStr">
        <is>
          <t>V̅MMMXLVI</t>
        </is>
      </c>
      <c r="C8047">
        <f>ROMAN(8046)</f>
        <v/>
      </c>
      <c r="D8047">
        <f>IF(B8047=C8047, "YES", "WRONG")</f>
        <v/>
      </c>
    </row>
    <row r="8048">
      <c r="A8048" t="n">
        <v>8047</v>
      </c>
      <c r="B8048" t="inlineStr">
        <is>
          <t>V̅MMMXLVII</t>
        </is>
      </c>
      <c r="C8048">
        <f>ROMAN(8047)</f>
        <v/>
      </c>
      <c r="D8048">
        <f>IF(B8048=C8048, "YES", "WRONG")</f>
        <v/>
      </c>
    </row>
    <row r="8049">
      <c r="A8049" t="n">
        <v>8048</v>
      </c>
      <c r="B8049" t="inlineStr">
        <is>
          <t>V̅MMMXLVIII</t>
        </is>
      </c>
      <c r="C8049">
        <f>ROMAN(8048)</f>
        <v/>
      </c>
      <c r="D8049">
        <f>IF(B8049=C8049, "YES", "WRONG")</f>
        <v/>
      </c>
    </row>
    <row r="8050">
      <c r="A8050" t="n">
        <v>8049</v>
      </c>
      <c r="B8050" t="inlineStr">
        <is>
          <t>V̅MMMXLIX</t>
        </is>
      </c>
      <c r="C8050">
        <f>ROMAN(8049)</f>
        <v/>
      </c>
      <c r="D8050">
        <f>IF(B8050=C8050, "YES", "WRONG")</f>
        <v/>
      </c>
    </row>
    <row r="8051">
      <c r="A8051" t="n">
        <v>8050</v>
      </c>
      <c r="B8051" t="inlineStr">
        <is>
          <t>V̅MMML</t>
        </is>
      </c>
      <c r="C8051">
        <f>ROMAN(8050)</f>
        <v/>
      </c>
      <c r="D8051">
        <f>IF(B8051=C8051, "YES", "WRONG")</f>
        <v/>
      </c>
    </row>
    <row r="8052">
      <c r="A8052" t="n">
        <v>8051</v>
      </c>
      <c r="B8052" t="inlineStr">
        <is>
          <t>V̅MMMLI</t>
        </is>
      </c>
      <c r="C8052">
        <f>ROMAN(8051)</f>
        <v/>
      </c>
      <c r="D8052">
        <f>IF(B8052=C8052, "YES", "WRONG")</f>
        <v/>
      </c>
    </row>
    <row r="8053">
      <c r="A8053" t="n">
        <v>8052</v>
      </c>
      <c r="B8053" t="inlineStr">
        <is>
          <t>V̅MMMLII</t>
        </is>
      </c>
      <c r="C8053">
        <f>ROMAN(8052)</f>
        <v/>
      </c>
      <c r="D8053">
        <f>IF(B8053=C8053, "YES", "WRONG")</f>
        <v/>
      </c>
    </row>
    <row r="8054">
      <c r="A8054" t="n">
        <v>8053</v>
      </c>
      <c r="B8054" t="inlineStr">
        <is>
          <t>V̅MMMLIII</t>
        </is>
      </c>
      <c r="C8054">
        <f>ROMAN(8053)</f>
        <v/>
      </c>
      <c r="D8054">
        <f>IF(B8054=C8054, "YES", "WRONG")</f>
        <v/>
      </c>
    </row>
    <row r="8055">
      <c r="A8055" t="n">
        <v>8054</v>
      </c>
      <c r="B8055" t="inlineStr">
        <is>
          <t>V̅MMMLIV</t>
        </is>
      </c>
      <c r="C8055">
        <f>ROMAN(8054)</f>
        <v/>
      </c>
      <c r="D8055">
        <f>IF(B8055=C8055, "YES", "WRONG")</f>
        <v/>
      </c>
    </row>
    <row r="8056">
      <c r="A8056" t="n">
        <v>8055</v>
      </c>
      <c r="B8056" t="inlineStr">
        <is>
          <t>V̅MMMLV</t>
        </is>
      </c>
      <c r="C8056">
        <f>ROMAN(8055)</f>
        <v/>
      </c>
      <c r="D8056">
        <f>IF(B8056=C8056, "YES", "WRONG")</f>
        <v/>
      </c>
    </row>
    <row r="8057">
      <c r="A8057" t="n">
        <v>8056</v>
      </c>
      <c r="B8057" t="inlineStr">
        <is>
          <t>V̅MMMLVI</t>
        </is>
      </c>
      <c r="C8057">
        <f>ROMAN(8056)</f>
        <v/>
      </c>
      <c r="D8057">
        <f>IF(B8057=C8057, "YES", "WRONG")</f>
        <v/>
      </c>
    </row>
    <row r="8058">
      <c r="A8058" t="n">
        <v>8057</v>
      </c>
      <c r="B8058" t="inlineStr">
        <is>
          <t>V̅MMMLVII</t>
        </is>
      </c>
      <c r="C8058">
        <f>ROMAN(8057)</f>
        <v/>
      </c>
      <c r="D8058">
        <f>IF(B8058=C8058, "YES", "WRONG")</f>
        <v/>
      </c>
    </row>
    <row r="8059">
      <c r="A8059" t="n">
        <v>8058</v>
      </c>
      <c r="B8059" t="inlineStr">
        <is>
          <t>V̅MMMLVIII</t>
        </is>
      </c>
      <c r="C8059">
        <f>ROMAN(8058)</f>
        <v/>
      </c>
      <c r="D8059">
        <f>IF(B8059=C8059, "YES", "WRONG")</f>
        <v/>
      </c>
    </row>
    <row r="8060">
      <c r="A8060" t="n">
        <v>8059</v>
      </c>
      <c r="B8060" t="inlineStr">
        <is>
          <t>V̅MMMLIX</t>
        </is>
      </c>
      <c r="C8060">
        <f>ROMAN(8059)</f>
        <v/>
      </c>
      <c r="D8060">
        <f>IF(B8060=C8060, "YES", "WRONG")</f>
        <v/>
      </c>
    </row>
    <row r="8061">
      <c r="A8061" t="n">
        <v>8060</v>
      </c>
      <c r="B8061" t="inlineStr">
        <is>
          <t>V̅MMMLX</t>
        </is>
      </c>
      <c r="C8061">
        <f>ROMAN(8060)</f>
        <v/>
      </c>
      <c r="D8061">
        <f>IF(B8061=C8061, "YES", "WRONG")</f>
        <v/>
      </c>
    </row>
    <row r="8062">
      <c r="A8062" t="n">
        <v>8061</v>
      </c>
      <c r="B8062" t="inlineStr">
        <is>
          <t>V̅MMMLXI</t>
        </is>
      </c>
      <c r="C8062">
        <f>ROMAN(8061)</f>
        <v/>
      </c>
      <c r="D8062">
        <f>IF(B8062=C8062, "YES", "WRONG")</f>
        <v/>
      </c>
    </row>
    <row r="8063">
      <c r="A8063" t="n">
        <v>8062</v>
      </c>
      <c r="B8063" t="inlineStr">
        <is>
          <t>V̅MMMLXII</t>
        </is>
      </c>
      <c r="C8063">
        <f>ROMAN(8062)</f>
        <v/>
      </c>
      <c r="D8063">
        <f>IF(B8063=C8063, "YES", "WRONG")</f>
        <v/>
      </c>
    </row>
    <row r="8064">
      <c r="A8064" t="n">
        <v>8063</v>
      </c>
      <c r="B8064" t="inlineStr">
        <is>
          <t>V̅MMMLXIII</t>
        </is>
      </c>
      <c r="C8064">
        <f>ROMAN(8063)</f>
        <v/>
      </c>
      <c r="D8064">
        <f>IF(B8064=C8064, "YES", "WRONG")</f>
        <v/>
      </c>
    </row>
    <row r="8065">
      <c r="A8065" t="n">
        <v>8064</v>
      </c>
      <c r="B8065" t="inlineStr">
        <is>
          <t>V̅MMMLXIV</t>
        </is>
      </c>
      <c r="C8065">
        <f>ROMAN(8064)</f>
        <v/>
      </c>
      <c r="D8065">
        <f>IF(B8065=C8065, "YES", "WRONG")</f>
        <v/>
      </c>
    </row>
    <row r="8066">
      <c r="A8066" t="n">
        <v>8065</v>
      </c>
      <c r="B8066" t="inlineStr">
        <is>
          <t>V̅MMMLXV</t>
        </is>
      </c>
      <c r="C8066">
        <f>ROMAN(8065)</f>
        <v/>
      </c>
      <c r="D8066">
        <f>IF(B8066=C8066, "YES", "WRONG")</f>
        <v/>
      </c>
    </row>
    <row r="8067">
      <c r="A8067" t="n">
        <v>8066</v>
      </c>
      <c r="B8067" t="inlineStr">
        <is>
          <t>V̅MMMLXVI</t>
        </is>
      </c>
      <c r="C8067">
        <f>ROMAN(8066)</f>
        <v/>
      </c>
      <c r="D8067">
        <f>IF(B8067=C8067, "YES", "WRONG")</f>
        <v/>
      </c>
    </row>
    <row r="8068">
      <c r="A8068" t="n">
        <v>8067</v>
      </c>
      <c r="B8068" t="inlineStr">
        <is>
          <t>V̅MMMLXVII</t>
        </is>
      </c>
      <c r="C8068">
        <f>ROMAN(8067)</f>
        <v/>
      </c>
      <c r="D8068">
        <f>IF(B8068=C8068, "YES", "WRONG")</f>
        <v/>
      </c>
    </row>
    <row r="8069">
      <c r="A8069" t="n">
        <v>8068</v>
      </c>
      <c r="B8069" t="inlineStr">
        <is>
          <t>V̅MMMLXVIII</t>
        </is>
      </c>
      <c r="C8069">
        <f>ROMAN(8068)</f>
        <v/>
      </c>
      <c r="D8069">
        <f>IF(B8069=C8069, "YES", "WRONG")</f>
        <v/>
      </c>
    </row>
    <row r="8070">
      <c r="A8070" t="n">
        <v>8069</v>
      </c>
      <c r="B8070" t="inlineStr">
        <is>
          <t>V̅MMMLXIX</t>
        </is>
      </c>
      <c r="C8070">
        <f>ROMAN(8069)</f>
        <v/>
      </c>
      <c r="D8070">
        <f>IF(B8070=C8070, "YES", "WRONG")</f>
        <v/>
      </c>
    </row>
    <row r="8071">
      <c r="A8071" t="n">
        <v>8070</v>
      </c>
      <c r="B8071" t="inlineStr">
        <is>
          <t>V̅MMMLXX</t>
        </is>
      </c>
      <c r="C8071">
        <f>ROMAN(8070)</f>
        <v/>
      </c>
      <c r="D8071">
        <f>IF(B8071=C8071, "YES", "WRONG")</f>
        <v/>
      </c>
    </row>
    <row r="8072">
      <c r="A8072" t="n">
        <v>8071</v>
      </c>
      <c r="B8072" t="inlineStr">
        <is>
          <t>V̅MMMLXXI</t>
        </is>
      </c>
      <c r="C8072">
        <f>ROMAN(8071)</f>
        <v/>
      </c>
      <c r="D8072">
        <f>IF(B8072=C8072, "YES", "WRONG")</f>
        <v/>
      </c>
    </row>
    <row r="8073">
      <c r="A8073" t="n">
        <v>8072</v>
      </c>
      <c r="B8073" t="inlineStr">
        <is>
          <t>V̅MMMLXXII</t>
        </is>
      </c>
      <c r="C8073">
        <f>ROMAN(8072)</f>
        <v/>
      </c>
      <c r="D8073">
        <f>IF(B8073=C8073, "YES", "WRONG")</f>
        <v/>
      </c>
    </row>
    <row r="8074">
      <c r="A8074" t="n">
        <v>8073</v>
      </c>
      <c r="B8074" t="inlineStr">
        <is>
          <t>V̅MMMLXXIII</t>
        </is>
      </c>
      <c r="C8074">
        <f>ROMAN(8073)</f>
        <v/>
      </c>
      <c r="D8074">
        <f>IF(B8074=C8074, "YES", "WRONG")</f>
        <v/>
      </c>
    </row>
    <row r="8075">
      <c r="A8075" t="n">
        <v>8074</v>
      </c>
      <c r="B8075" t="inlineStr">
        <is>
          <t>V̅MMMLXXIV</t>
        </is>
      </c>
      <c r="C8075">
        <f>ROMAN(8074)</f>
        <v/>
      </c>
      <c r="D8075">
        <f>IF(B8075=C8075, "YES", "WRONG")</f>
        <v/>
      </c>
    </row>
    <row r="8076">
      <c r="A8076" t="n">
        <v>8075</v>
      </c>
      <c r="B8076" t="inlineStr">
        <is>
          <t>V̅MMMLXXV</t>
        </is>
      </c>
      <c r="C8076">
        <f>ROMAN(8075)</f>
        <v/>
      </c>
      <c r="D8076">
        <f>IF(B8076=C8076, "YES", "WRONG")</f>
        <v/>
      </c>
    </row>
    <row r="8077">
      <c r="A8077" t="n">
        <v>8076</v>
      </c>
      <c r="B8077" t="inlineStr">
        <is>
          <t>V̅MMMLXXVI</t>
        </is>
      </c>
      <c r="C8077">
        <f>ROMAN(8076)</f>
        <v/>
      </c>
      <c r="D8077">
        <f>IF(B8077=C8077, "YES", "WRONG")</f>
        <v/>
      </c>
    </row>
    <row r="8078">
      <c r="A8078" t="n">
        <v>8077</v>
      </c>
      <c r="B8078" t="inlineStr">
        <is>
          <t>V̅MMMLXXVII</t>
        </is>
      </c>
      <c r="C8078">
        <f>ROMAN(8077)</f>
        <v/>
      </c>
      <c r="D8078">
        <f>IF(B8078=C8078, "YES", "WRONG")</f>
        <v/>
      </c>
    </row>
    <row r="8079">
      <c r="A8079" t="n">
        <v>8078</v>
      </c>
      <c r="B8079" t="inlineStr">
        <is>
          <t>V̅MMMLXXVIII</t>
        </is>
      </c>
      <c r="C8079">
        <f>ROMAN(8078)</f>
        <v/>
      </c>
      <c r="D8079">
        <f>IF(B8079=C8079, "YES", "WRONG")</f>
        <v/>
      </c>
    </row>
    <row r="8080">
      <c r="A8080" t="n">
        <v>8079</v>
      </c>
      <c r="B8080" t="inlineStr">
        <is>
          <t>V̅MMMLXXIX</t>
        </is>
      </c>
      <c r="C8080">
        <f>ROMAN(8079)</f>
        <v/>
      </c>
      <c r="D8080">
        <f>IF(B8080=C8080, "YES", "WRONG")</f>
        <v/>
      </c>
    </row>
    <row r="8081">
      <c r="A8081" t="n">
        <v>8080</v>
      </c>
      <c r="B8081" t="inlineStr">
        <is>
          <t>V̅MMMLXXX</t>
        </is>
      </c>
      <c r="C8081">
        <f>ROMAN(8080)</f>
        <v/>
      </c>
      <c r="D8081">
        <f>IF(B8081=C8081, "YES", "WRONG")</f>
        <v/>
      </c>
    </row>
    <row r="8082">
      <c r="A8082" t="n">
        <v>8081</v>
      </c>
      <c r="B8082" t="inlineStr">
        <is>
          <t>V̅MMMLXXXI</t>
        </is>
      </c>
      <c r="C8082">
        <f>ROMAN(8081)</f>
        <v/>
      </c>
      <c r="D8082">
        <f>IF(B8082=C8082, "YES", "WRONG")</f>
        <v/>
      </c>
    </row>
    <row r="8083">
      <c r="A8083" t="n">
        <v>8082</v>
      </c>
      <c r="B8083" t="inlineStr">
        <is>
          <t>V̅MMMLXXXII</t>
        </is>
      </c>
      <c r="C8083">
        <f>ROMAN(8082)</f>
        <v/>
      </c>
      <c r="D8083">
        <f>IF(B8083=C8083, "YES", "WRONG")</f>
        <v/>
      </c>
    </row>
    <row r="8084">
      <c r="A8084" t="n">
        <v>8083</v>
      </c>
      <c r="B8084" t="inlineStr">
        <is>
          <t>V̅MMMLXXXIII</t>
        </is>
      </c>
      <c r="C8084">
        <f>ROMAN(8083)</f>
        <v/>
      </c>
      <c r="D8084">
        <f>IF(B8084=C8084, "YES", "WRONG")</f>
        <v/>
      </c>
    </row>
    <row r="8085">
      <c r="A8085" t="n">
        <v>8084</v>
      </c>
      <c r="B8085" t="inlineStr">
        <is>
          <t>V̅MMMLXXXIV</t>
        </is>
      </c>
      <c r="C8085">
        <f>ROMAN(8084)</f>
        <v/>
      </c>
      <c r="D8085">
        <f>IF(B8085=C8085, "YES", "WRONG")</f>
        <v/>
      </c>
    </row>
    <row r="8086">
      <c r="A8086" t="n">
        <v>8085</v>
      </c>
      <c r="B8086" t="inlineStr">
        <is>
          <t>V̅MMMLXXXV</t>
        </is>
      </c>
      <c r="C8086">
        <f>ROMAN(8085)</f>
        <v/>
      </c>
      <c r="D8086">
        <f>IF(B8086=C8086, "YES", "WRONG")</f>
        <v/>
      </c>
    </row>
    <row r="8087">
      <c r="A8087" t="n">
        <v>8086</v>
      </c>
      <c r="B8087" t="inlineStr">
        <is>
          <t>V̅MMMLXXXVI</t>
        </is>
      </c>
      <c r="C8087">
        <f>ROMAN(8086)</f>
        <v/>
      </c>
      <c r="D8087">
        <f>IF(B8087=C8087, "YES", "WRONG")</f>
        <v/>
      </c>
    </row>
    <row r="8088">
      <c r="A8088" t="n">
        <v>8087</v>
      </c>
      <c r="B8088" t="inlineStr">
        <is>
          <t>V̅MMMLXXXVII</t>
        </is>
      </c>
      <c r="C8088">
        <f>ROMAN(8087)</f>
        <v/>
      </c>
      <c r="D8088">
        <f>IF(B8088=C8088, "YES", "WRONG")</f>
        <v/>
      </c>
    </row>
    <row r="8089">
      <c r="A8089" t="n">
        <v>8088</v>
      </c>
      <c r="B8089" t="inlineStr">
        <is>
          <t>V̅MMMLXXXVIII</t>
        </is>
      </c>
      <c r="C8089">
        <f>ROMAN(8088)</f>
        <v/>
      </c>
      <c r="D8089">
        <f>IF(B8089=C8089, "YES", "WRONG")</f>
        <v/>
      </c>
    </row>
    <row r="8090">
      <c r="A8090" t="n">
        <v>8089</v>
      </c>
      <c r="B8090" t="inlineStr">
        <is>
          <t>V̅MMMLXXXIX</t>
        </is>
      </c>
      <c r="C8090">
        <f>ROMAN(8089)</f>
        <v/>
      </c>
      <c r="D8090">
        <f>IF(B8090=C8090, "YES", "WRONG")</f>
        <v/>
      </c>
    </row>
    <row r="8091">
      <c r="A8091" t="n">
        <v>8090</v>
      </c>
      <c r="B8091" t="inlineStr">
        <is>
          <t>V̅MMMXC</t>
        </is>
      </c>
      <c r="C8091">
        <f>ROMAN(8090)</f>
        <v/>
      </c>
      <c r="D8091">
        <f>IF(B8091=C8091, "YES", "WRONG")</f>
        <v/>
      </c>
    </row>
    <row r="8092">
      <c r="A8092" t="n">
        <v>8091</v>
      </c>
      <c r="B8092" t="inlineStr">
        <is>
          <t>V̅MMMXCI</t>
        </is>
      </c>
      <c r="C8092">
        <f>ROMAN(8091)</f>
        <v/>
      </c>
      <c r="D8092">
        <f>IF(B8092=C8092, "YES", "WRONG")</f>
        <v/>
      </c>
    </row>
    <row r="8093">
      <c r="A8093" t="n">
        <v>8092</v>
      </c>
      <c r="B8093" t="inlineStr">
        <is>
          <t>V̅MMMXCII</t>
        </is>
      </c>
      <c r="C8093">
        <f>ROMAN(8092)</f>
        <v/>
      </c>
      <c r="D8093">
        <f>IF(B8093=C8093, "YES", "WRONG")</f>
        <v/>
      </c>
    </row>
    <row r="8094">
      <c r="A8094" t="n">
        <v>8093</v>
      </c>
      <c r="B8094" t="inlineStr">
        <is>
          <t>V̅MMMXCIII</t>
        </is>
      </c>
      <c r="C8094">
        <f>ROMAN(8093)</f>
        <v/>
      </c>
      <c r="D8094">
        <f>IF(B8094=C8094, "YES", "WRONG")</f>
        <v/>
      </c>
    </row>
    <row r="8095">
      <c r="A8095" t="n">
        <v>8094</v>
      </c>
      <c r="B8095" t="inlineStr">
        <is>
          <t>V̅MMMXCIV</t>
        </is>
      </c>
      <c r="C8095">
        <f>ROMAN(8094)</f>
        <v/>
      </c>
      <c r="D8095">
        <f>IF(B8095=C8095, "YES", "WRONG")</f>
        <v/>
      </c>
    </row>
    <row r="8096">
      <c r="A8096" t="n">
        <v>8095</v>
      </c>
      <c r="B8096" t="inlineStr">
        <is>
          <t>V̅MMMXCV</t>
        </is>
      </c>
      <c r="C8096">
        <f>ROMAN(8095)</f>
        <v/>
      </c>
      <c r="D8096">
        <f>IF(B8096=C8096, "YES", "WRONG")</f>
        <v/>
      </c>
    </row>
    <row r="8097">
      <c r="A8097" t="n">
        <v>8096</v>
      </c>
      <c r="B8097" t="inlineStr">
        <is>
          <t>V̅MMMXCVI</t>
        </is>
      </c>
      <c r="C8097">
        <f>ROMAN(8096)</f>
        <v/>
      </c>
      <c r="D8097">
        <f>IF(B8097=C8097, "YES", "WRONG")</f>
        <v/>
      </c>
    </row>
    <row r="8098">
      <c r="A8098" t="n">
        <v>8097</v>
      </c>
      <c r="B8098" t="inlineStr">
        <is>
          <t>V̅MMMXCVII</t>
        </is>
      </c>
      <c r="C8098">
        <f>ROMAN(8097)</f>
        <v/>
      </c>
      <c r="D8098">
        <f>IF(B8098=C8098, "YES", "WRONG")</f>
        <v/>
      </c>
    </row>
    <row r="8099">
      <c r="A8099" t="n">
        <v>8098</v>
      </c>
      <c r="B8099" t="inlineStr">
        <is>
          <t>V̅MMMXCVIII</t>
        </is>
      </c>
      <c r="C8099">
        <f>ROMAN(8098)</f>
        <v/>
      </c>
      <c r="D8099">
        <f>IF(B8099=C8099, "YES", "WRONG")</f>
        <v/>
      </c>
    </row>
    <row r="8100">
      <c r="A8100" t="n">
        <v>8099</v>
      </c>
      <c r="B8100" t="inlineStr">
        <is>
          <t>V̅MMMXCIX</t>
        </is>
      </c>
      <c r="C8100">
        <f>ROMAN(8099)</f>
        <v/>
      </c>
      <c r="D8100">
        <f>IF(B8100=C8100, "YES", "WRONG")</f>
        <v/>
      </c>
    </row>
    <row r="8101">
      <c r="A8101" t="n">
        <v>8100</v>
      </c>
      <c r="B8101" t="inlineStr">
        <is>
          <t>V̅MMMC</t>
        </is>
      </c>
      <c r="C8101">
        <f>ROMAN(8100)</f>
        <v/>
      </c>
      <c r="D8101">
        <f>IF(B8101=C8101, "YES", "WRONG")</f>
        <v/>
      </c>
    </row>
    <row r="8102">
      <c r="A8102" t="n">
        <v>8101</v>
      </c>
      <c r="B8102" t="inlineStr">
        <is>
          <t>V̅MMMCI</t>
        </is>
      </c>
      <c r="C8102">
        <f>ROMAN(8101)</f>
        <v/>
      </c>
      <c r="D8102">
        <f>IF(B8102=C8102, "YES", "WRONG")</f>
        <v/>
      </c>
    </row>
    <row r="8103">
      <c r="A8103" t="n">
        <v>8102</v>
      </c>
      <c r="B8103" t="inlineStr">
        <is>
          <t>V̅MMMCII</t>
        </is>
      </c>
      <c r="C8103">
        <f>ROMAN(8102)</f>
        <v/>
      </c>
      <c r="D8103">
        <f>IF(B8103=C8103, "YES", "WRONG")</f>
        <v/>
      </c>
    </row>
    <row r="8104">
      <c r="A8104" t="n">
        <v>8103</v>
      </c>
      <c r="B8104" t="inlineStr">
        <is>
          <t>V̅MMMCIII</t>
        </is>
      </c>
      <c r="C8104">
        <f>ROMAN(8103)</f>
        <v/>
      </c>
      <c r="D8104">
        <f>IF(B8104=C8104, "YES", "WRONG")</f>
        <v/>
      </c>
    </row>
    <row r="8105">
      <c r="A8105" t="n">
        <v>8104</v>
      </c>
      <c r="B8105" t="inlineStr">
        <is>
          <t>V̅MMMCIV</t>
        </is>
      </c>
      <c r="C8105">
        <f>ROMAN(8104)</f>
        <v/>
      </c>
      <c r="D8105">
        <f>IF(B8105=C8105, "YES", "WRONG")</f>
        <v/>
      </c>
    </row>
    <row r="8106">
      <c r="A8106" t="n">
        <v>8105</v>
      </c>
      <c r="B8106" t="inlineStr">
        <is>
          <t>V̅MMMCV</t>
        </is>
      </c>
      <c r="C8106">
        <f>ROMAN(8105)</f>
        <v/>
      </c>
      <c r="D8106">
        <f>IF(B8106=C8106, "YES", "WRONG")</f>
        <v/>
      </c>
    </row>
    <row r="8107">
      <c r="A8107" t="n">
        <v>8106</v>
      </c>
      <c r="B8107" t="inlineStr">
        <is>
          <t>V̅MMMCVI</t>
        </is>
      </c>
      <c r="C8107">
        <f>ROMAN(8106)</f>
        <v/>
      </c>
      <c r="D8107">
        <f>IF(B8107=C8107, "YES", "WRONG")</f>
        <v/>
      </c>
    </row>
    <row r="8108">
      <c r="A8108" t="n">
        <v>8107</v>
      </c>
      <c r="B8108" t="inlineStr">
        <is>
          <t>V̅MMMCVII</t>
        </is>
      </c>
      <c r="C8108">
        <f>ROMAN(8107)</f>
        <v/>
      </c>
      <c r="D8108">
        <f>IF(B8108=C8108, "YES", "WRONG")</f>
        <v/>
      </c>
    </row>
    <row r="8109">
      <c r="A8109" t="n">
        <v>8108</v>
      </c>
      <c r="B8109" t="inlineStr">
        <is>
          <t>V̅MMMCVIII</t>
        </is>
      </c>
      <c r="C8109">
        <f>ROMAN(8108)</f>
        <v/>
      </c>
      <c r="D8109">
        <f>IF(B8109=C8109, "YES", "WRONG")</f>
        <v/>
      </c>
    </row>
    <row r="8110">
      <c r="A8110" t="n">
        <v>8109</v>
      </c>
      <c r="B8110" t="inlineStr">
        <is>
          <t>V̅MMMCIX</t>
        </is>
      </c>
      <c r="C8110">
        <f>ROMAN(8109)</f>
        <v/>
      </c>
      <c r="D8110">
        <f>IF(B8110=C8110, "YES", "WRONG")</f>
        <v/>
      </c>
    </row>
    <row r="8111">
      <c r="A8111" t="n">
        <v>8110</v>
      </c>
      <c r="B8111" t="inlineStr">
        <is>
          <t>V̅MMMCX</t>
        </is>
      </c>
      <c r="C8111">
        <f>ROMAN(8110)</f>
        <v/>
      </c>
      <c r="D8111">
        <f>IF(B8111=C8111, "YES", "WRONG")</f>
        <v/>
      </c>
    </row>
    <row r="8112">
      <c r="A8112" t="n">
        <v>8111</v>
      </c>
      <c r="B8112" t="inlineStr">
        <is>
          <t>V̅MMMCXI</t>
        </is>
      </c>
      <c r="C8112">
        <f>ROMAN(8111)</f>
        <v/>
      </c>
      <c r="D8112">
        <f>IF(B8112=C8112, "YES", "WRONG")</f>
        <v/>
      </c>
    </row>
    <row r="8113">
      <c r="A8113" t="n">
        <v>8112</v>
      </c>
      <c r="B8113" t="inlineStr">
        <is>
          <t>V̅MMMCXII</t>
        </is>
      </c>
      <c r="C8113">
        <f>ROMAN(8112)</f>
        <v/>
      </c>
      <c r="D8113">
        <f>IF(B8113=C8113, "YES", "WRONG")</f>
        <v/>
      </c>
    </row>
    <row r="8114">
      <c r="A8114" t="n">
        <v>8113</v>
      </c>
      <c r="B8114" t="inlineStr">
        <is>
          <t>V̅MMMCXIII</t>
        </is>
      </c>
      <c r="C8114">
        <f>ROMAN(8113)</f>
        <v/>
      </c>
      <c r="D8114">
        <f>IF(B8114=C8114, "YES", "WRONG")</f>
        <v/>
      </c>
    </row>
    <row r="8115">
      <c r="A8115" t="n">
        <v>8114</v>
      </c>
      <c r="B8115" t="inlineStr">
        <is>
          <t>V̅MMMCXIV</t>
        </is>
      </c>
      <c r="C8115">
        <f>ROMAN(8114)</f>
        <v/>
      </c>
      <c r="D8115">
        <f>IF(B8115=C8115, "YES", "WRONG")</f>
        <v/>
      </c>
    </row>
    <row r="8116">
      <c r="A8116" t="n">
        <v>8115</v>
      </c>
      <c r="B8116" t="inlineStr">
        <is>
          <t>V̅MMMCXV</t>
        </is>
      </c>
      <c r="C8116">
        <f>ROMAN(8115)</f>
        <v/>
      </c>
      <c r="D8116">
        <f>IF(B8116=C8116, "YES", "WRONG")</f>
        <v/>
      </c>
    </row>
    <row r="8117">
      <c r="A8117" t="n">
        <v>8116</v>
      </c>
      <c r="B8117" t="inlineStr">
        <is>
          <t>V̅MMMCXVI</t>
        </is>
      </c>
      <c r="C8117">
        <f>ROMAN(8116)</f>
        <v/>
      </c>
      <c r="D8117">
        <f>IF(B8117=C8117, "YES", "WRONG")</f>
        <v/>
      </c>
    </row>
    <row r="8118">
      <c r="A8118" t="n">
        <v>8117</v>
      </c>
      <c r="B8118" t="inlineStr">
        <is>
          <t>V̅MMMCXVII</t>
        </is>
      </c>
      <c r="C8118">
        <f>ROMAN(8117)</f>
        <v/>
      </c>
      <c r="D8118">
        <f>IF(B8118=C8118, "YES", "WRONG")</f>
        <v/>
      </c>
    </row>
    <row r="8119">
      <c r="A8119" t="n">
        <v>8118</v>
      </c>
      <c r="B8119" t="inlineStr">
        <is>
          <t>V̅MMMCXVIII</t>
        </is>
      </c>
      <c r="C8119">
        <f>ROMAN(8118)</f>
        <v/>
      </c>
      <c r="D8119">
        <f>IF(B8119=C8119, "YES", "WRONG")</f>
        <v/>
      </c>
    </row>
    <row r="8120">
      <c r="A8120" t="n">
        <v>8119</v>
      </c>
      <c r="B8120" t="inlineStr">
        <is>
          <t>V̅MMMCXIX</t>
        </is>
      </c>
      <c r="C8120">
        <f>ROMAN(8119)</f>
        <v/>
      </c>
      <c r="D8120">
        <f>IF(B8120=C8120, "YES", "WRONG")</f>
        <v/>
      </c>
    </row>
    <row r="8121">
      <c r="A8121" t="n">
        <v>8120</v>
      </c>
      <c r="B8121" t="inlineStr">
        <is>
          <t>V̅MMMCXX</t>
        </is>
      </c>
      <c r="C8121">
        <f>ROMAN(8120)</f>
        <v/>
      </c>
      <c r="D8121">
        <f>IF(B8121=C8121, "YES", "WRONG")</f>
        <v/>
      </c>
    </row>
    <row r="8122">
      <c r="A8122" t="n">
        <v>8121</v>
      </c>
      <c r="B8122" t="inlineStr">
        <is>
          <t>V̅MMMCXXI</t>
        </is>
      </c>
      <c r="C8122">
        <f>ROMAN(8121)</f>
        <v/>
      </c>
      <c r="D8122">
        <f>IF(B8122=C8122, "YES", "WRONG")</f>
        <v/>
      </c>
    </row>
    <row r="8123">
      <c r="A8123" t="n">
        <v>8122</v>
      </c>
      <c r="B8123" t="inlineStr">
        <is>
          <t>V̅MMMCXXII</t>
        </is>
      </c>
      <c r="C8123">
        <f>ROMAN(8122)</f>
        <v/>
      </c>
      <c r="D8123">
        <f>IF(B8123=C8123, "YES", "WRONG")</f>
        <v/>
      </c>
    </row>
    <row r="8124">
      <c r="A8124" t="n">
        <v>8123</v>
      </c>
      <c r="B8124" t="inlineStr">
        <is>
          <t>V̅MMMCXXIII</t>
        </is>
      </c>
      <c r="C8124">
        <f>ROMAN(8123)</f>
        <v/>
      </c>
      <c r="D8124">
        <f>IF(B8124=C8124, "YES", "WRONG")</f>
        <v/>
      </c>
    </row>
    <row r="8125">
      <c r="A8125" t="n">
        <v>8124</v>
      </c>
      <c r="B8125" t="inlineStr">
        <is>
          <t>V̅MMMCXXIV</t>
        </is>
      </c>
      <c r="C8125">
        <f>ROMAN(8124)</f>
        <v/>
      </c>
      <c r="D8125">
        <f>IF(B8125=C8125, "YES", "WRONG")</f>
        <v/>
      </c>
    </row>
    <row r="8126">
      <c r="A8126" t="n">
        <v>8125</v>
      </c>
      <c r="B8126" t="inlineStr">
        <is>
          <t>V̅MMMCXXV</t>
        </is>
      </c>
      <c r="C8126">
        <f>ROMAN(8125)</f>
        <v/>
      </c>
      <c r="D8126">
        <f>IF(B8126=C8126, "YES", "WRONG")</f>
        <v/>
      </c>
    </row>
    <row r="8127">
      <c r="A8127" t="n">
        <v>8126</v>
      </c>
      <c r="B8127" t="inlineStr">
        <is>
          <t>V̅MMMCXXVI</t>
        </is>
      </c>
      <c r="C8127">
        <f>ROMAN(8126)</f>
        <v/>
      </c>
      <c r="D8127">
        <f>IF(B8127=C8127, "YES", "WRONG")</f>
        <v/>
      </c>
    </row>
    <row r="8128">
      <c r="A8128" t="n">
        <v>8127</v>
      </c>
      <c r="B8128" t="inlineStr">
        <is>
          <t>V̅MMMCXXVII</t>
        </is>
      </c>
      <c r="C8128">
        <f>ROMAN(8127)</f>
        <v/>
      </c>
      <c r="D8128">
        <f>IF(B8128=C8128, "YES", "WRONG")</f>
        <v/>
      </c>
    </row>
    <row r="8129">
      <c r="A8129" t="n">
        <v>8128</v>
      </c>
      <c r="B8129" t="inlineStr">
        <is>
          <t>V̅MMMCXXVIII</t>
        </is>
      </c>
      <c r="C8129">
        <f>ROMAN(8128)</f>
        <v/>
      </c>
      <c r="D8129">
        <f>IF(B8129=C8129, "YES", "WRONG")</f>
        <v/>
      </c>
    </row>
    <row r="8130">
      <c r="A8130" t="n">
        <v>8129</v>
      </c>
      <c r="B8130" t="inlineStr">
        <is>
          <t>V̅MMMCXXIX</t>
        </is>
      </c>
      <c r="C8130">
        <f>ROMAN(8129)</f>
        <v/>
      </c>
      <c r="D8130">
        <f>IF(B8130=C8130, "YES", "WRONG")</f>
        <v/>
      </c>
    </row>
    <row r="8131">
      <c r="A8131" t="n">
        <v>8130</v>
      </c>
      <c r="B8131" t="inlineStr">
        <is>
          <t>V̅MMMCXXX</t>
        </is>
      </c>
      <c r="C8131">
        <f>ROMAN(8130)</f>
        <v/>
      </c>
      <c r="D8131">
        <f>IF(B8131=C8131, "YES", "WRONG")</f>
        <v/>
      </c>
    </row>
    <row r="8132">
      <c r="A8132" t="n">
        <v>8131</v>
      </c>
      <c r="B8132" t="inlineStr">
        <is>
          <t>V̅MMMCXXXI</t>
        </is>
      </c>
      <c r="C8132">
        <f>ROMAN(8131)</f>
        <v/>
      </c>
      <c r="D8132">
        <f>IF(B8132=C8132, "YES", "WRONG")</f>
        <v/>
      </c>
    </row>
    <row r="8133">
      <c r="A8133" t="n">
        <v>8132</v>
      </c>
      <c r="B8133" t="inlineStr">
        <is>
          <t>V̅MMMCXXXII</t>
        </is>
      </c>
      <c r="C8133">
        <f>ROMAN(8132)</f>
        <v/>
      </c>
      <c r="D8133">
        <f>IF(B8133=C8133, "YES", "WRONG")</f>
        <v/>
      </c>
    </row>
    <row r="8134">
      <c r="A8134" t="n">
        <v>8133</v>
      </c>
      <c r="B8134" t="inlineStr">
        <is>
          <t>V̅MMMCXXXIII</t>
        </is>
      </c>
      <c r="C8134">
        <f>ROMAN(8133)</f>
        <v/>
      </c>
      <c r="D8134">
        <f>IF(B8134=C8134, "YES", "WRONG")</f>
        <v/>
      </c>
    </row>
    <row r="8135">
      <c r="A8135" t="n">
        <v>8134</v>
      </c>
      <c r="B8135" t="inlineStr">
        <is>
          <t>V̅MMMCXXXIV</t>
        </is>
      </c>
      <c r="C8135">
        <f>ROMAN(8134)</f>
        <v/>
      </c>
      <c r="D8135">
        <f>IF(B8135=C8135, "YES", "WRONG")</f>
        <v/>
      </c>
    </row>
    <row r="8136">
      <c r="A8136" t="n">
        <v>8135</v>
      </c>
      <c r="B8136" t="inlineStr">
        <is>
          <t>V̅MMMCXXXV</t>
        </is>
      </c>
      <c r="C8136">
        <f>ROMAN(8135)</f>
        <v/>
      </c>
      <c r="D8136">
        <f>IF(B8136=C8136, "YES", "WRONG")</f>
        <v/>
      </c>
    </row>
    <row r="8137">
      <c r="A8137" t="n">
        <v>8136</v>
      </c>
      <c r="B8137" t="inlineStr">
        <is>
          <t>V̅MMMCXXXVI</t>
        </is>
      </c>
      <c r="C8137">
        <f>ROMAN(8136)</f>
        <v/>
      </c>
      <c r="D8137">
        <f>IF(B8137=C8137, "YES", "WRONG")</f>
        <v/>
      </c>
    </row>
    <row r="8138">
      <c r="A8138" t="n">
        <v>8137</v>
      </c>
      <c r="B8138" t="inlineStr">
        <is>
          <t>V̅MMMCXXXVII</t>
        </is>
      </c>
      <c r="C8138">
        <f>ROMAN(8137)</f>
        <v/>
      </c>
      <c r="D8138">
        <f>IF(B8138=C8138, "YES", "WRONG")</f>
        <v/>
      </c>
    </row>
    <row r="8139">
      <c r="A8139" t="n">
        <v>8138</v>
      </c>
      <c r="B8139" t="inlineStr">
        <is>
          <t>V̅MMMCXXXVIII</t>
        </is>
      </c>
      <c r="C8139">
        <f>ROMAN(8138)</f>
        <v/>
      </c>
      <c r="D8139">
        <f>IF(B8139=C8139, "YES", "WRONG")</f>
        <v/>
      </c>
    </row>
    <row r="8140">
      <c r="A8140" t="n">
        <v>8139</v>
      </c>
      <c r="B8140" t="inlineStr">
        <is>
          <t>V̅MMMCXXXIX</t>
        </is>
      </c>
      <c r="C8140">
        <f>ROMAN(8139)</f>
        <v/>
      </c>
      <c r="D8140">
        <f>IF(B8140=C8140, "YES", "WRONG")</f>
        <v/>
      </c>
    </row>
    <row r="8141">
      <c r="A8141" t="n">
        <v>8140</v>
      </c>
      <c r="B8141" t="inlineStr">
        <is>
          <t>V̅MMMCXL</t>
        </is>
      </c>
      <c r="C8141">
        <f>ROMAN(8140)</f>
        <v/>
      </c>
      <c r="D8141">
        <f>IF(B8141=C8141, "YES", "WRONG")</f>
        <v/>
      </c>
    </row>
    <row r="8142">
      <c r="A8142" t="n">
        <v>8141</v>
      </c>
      <c r="B8142" t="inlineStr">
        <is>
          <t>V̅MMMCXLI</t>
        </is>
      </c>
      <c r="C8142">
        <f>ROMAN(8141)</f>
        <v/>
      </c>
      <c r="D8142">
        <f>IF(B8142=C8142, "YES", "WRONG")</f>
        <v/>
      </c>
    </row>
    <row r="8143">
      <c r="A8143" t="n">
        <v>8142</v>
      </c>
      <c r="B8143" t="inlineStr">
        <is>
          <t>V̅MMMCXLII</t>
        </is>
      </c>
      <c r="C8143">
        <f>ROMAN(8142)</f>
        <v/>
      </c>
      <c r="D8143">
        <f>IF(B8143=C8143, "YES", "WRONG")</f>
        <v/>
      </c>
    </row>
    <row r="8144">
      <c r="A8144" t="n">
        <v>8143</v>
      </c>
      <c r="B8144" t="inlineStr">
        <is>
          <t>V̅MMMCXLIII</t>
        </is>
      </c>
      <c r="C8144">
        <f>ROMAN(8143)</f>
        <v/>
      </c>
      <c r="D8144">
        <f>IF(B8144=C8144, "YES", "WRONG")</f>
        <v/>
      </c>
    </row>
    <row r="8145">
      <c r="A8145" t="n">
        <v>8144</v>
      </c>
      <c r="B8145" t="inlineStr">
        <is>
          <t>V̅MMMCXLIV</t>
        </is>
      </c>
      <c r="C8145">
        <f>ROMAN(8144)</f>
        <v/>
      </c>
      <c r="D8145">
        <f>IF(B8145=C8145, "YES", "WRONG")</f>
        <v/>
      </c>
    </row>
    <row r="8146">
      <c r="A8146" t="n">
        <v>8145</v>
      </c>
      <c r="B8146" t="inlineStr">
        <is>
          <t>V̅MMMCXLV</t>
        </is>
      </c>
      <c r="C8146">
        <f>ROMAN(8145)</f>
        <v/>
      </c>
      <c r="D8146">
        <f>IF(B8146=C8146, "YES", "WRONG")</f>
        <v/>
      </c>
    </row>
    <row r="8147">
      <c r="A8147" t="n">
        <v>8146</v>
      </c>
      <c r="B8147" t="inlineStr">
        <is>
          <t>V̅MMMCXLVI</t>
        </is>
      </c>
      <c r="C8147">
        <f>ROMAN(8146)</f>
        <v/>
      </c>
      <c r="D8147">
        <f>IF(B8147=C8147, "YES", "WRONG")</f>
        <v/>
      </c>
    </row>
    <row r="8148">
      <c r="A8148" t="n">
        <v>8147</v>
      </c>
      <c r="B8148" t="inlineStr">
        <is>
          <t>V̅MMMCXLVII</t>
        </is>
      </c>
      <c r="C8148">
        <f>ROMAN(8147)</f>
        <v/>
      </c>
      <c r="D8148">
        <f>IF(B8148=C8148, "YES", "WRONG")</f>
        <v/>
      </c>
    </row>
    <row r="8149">
      <c r="A8149" t="n">
        <v>8148</v>
      </c>
      <c r="B8149" t="inlineStr">
        <is>
          <t>V̅MMMCXLVIII</t>
        </is>
      </c>
      <c r="C8149">
        <f>ROMAN(8148)</f>
        <v/>
      </c>
      <c r="D8149">
        <f>IF(B8149=C8149, "YES", "WRONG")</f>
        <v/>
      </c>
    </row>
    <row r="8150">
      <c r="A8150" t="n">
        <v>8149</v>
      </c>
      <c r="B8150" t="inlineStr">
        <is>
          <t>V̅MMMCXLIX</t>
        </is>
      </c>
      <c r="C8150">
        <f>ROMAN(8149)</f>
        <v/>
      </c>
      <c r="D8150">
        <f>IF(B8150=C8150, "YES", "WRONG")</f>
        <v/>
      </c>
    </row>
    <row r="8151">
      <c r="A8151" t="n">
        <v>8150</v>
      </c>
      <c r="B8151" t="inlineStr">
        <is>
          <t>V̅MMMCL</t>
        </is>
      </c>
      <c r="C8151">
        <f>ROMAN(8150)</f>
        <v/>
      </c>
      <c r="D8151">
        <f>IF(B8151=C8151, "YES", "WRONG")</f>
        <v/>
      </c>
    </row>
    <row r="8152">
      <c r="A8152" t="n">
        <v>8151</v>
      </c>
      <c r="B8152" t="inlineStr">
        <is>
          <t>V̅MMMCLI</t>
        </is>
      </c>
      <c r="C8152">
        <f>ROMAN(8151)</f>
        <v/>
      </c>
      <c r="D8152">
        <f>IF(B8152=C8152, "YES", "WRONG")</f>
        <v/>
      </c>
    </row>
    <row r="8153">
      <c r="A8153" t="n">
        <v>8152</v>
      </c>
      <c r="B8153" t="inlineStr">
        <is>
          <t>V̅MMMCLII</t>
        </is>
      </c>
      <c r="C8153">
        <f>ROMAN(8152)</f>
        <v/>
      </c>
      <c r="D8153">
        <f>IF(B8153=C8153, "YES", "WRONG")</f>
        <v/>
      </c>
    </row>
    <row r="8154">
      <c r="A8154" t="n">
        <v>8153</v>
      </c>
      <c r="B8154" t="inlineStr">
        <is>
          <t>V̅MMMCLIII</t>
        </is>
      </c>
      <c r="C8154">
        <f>ROMAN(8153)</f>
        <v/>
      </c>
      <c r="D8154">
        <f>IF(B8154=C8154, "YES", "WRONG")</f>
        <v/>
      </c>
    </row>
    <row r="8155">
      <c r="A8155" t="n">
        <v>8154</v>
      </c>
      <c r="B8155" t="inlineStr">
        <is>
          <t>V̅MMMCLIV</t>
        </is>
      </c>
      <c r="C8155">
        <f>ROMAN(8154)</f>
        <v/>
      </c>
      <c r="D8155">
        <f>IF(B8155=C8155, "YES", "WRONG")</f>
        <v/>
      </c>
    </row>
    <row r="8156">
      <c r="A8156" t="n">
        <v>8155</v>
      </c>
      <c r="B8156" t="inlineStr">
        <is>
          <t>V̅MMMCLV</t>
        </is>
      </c>
      <c r="C8156">
        <f>ROMAN(8155)</f>
        <v/>
      </c>
      <c r="D8156">
        <f>IF(B8156=C8156, "YES", "WRONG")</f>
        <v/>
      </c>
    </row>
    <row r="8157">
      <c r="A8157" t="n">
        <v>8156</v>
      </c>
      <c r="B8157" t="inlineStr">
        <is>
          <t>V̅MMMCLVI</t>
        </is>
      </c>
      <c r="C8157">
        <f>ROMAN(8156)</f>
        <v/>
      </c>
      <c r="D8157">
        <f>IF(B8157=C8157, "YES", "WRONG")</f>
        <v/>
      </c>
    </row>
    <row r="8158">
      <c r="A8158" t="n">
        <v>8157</v>
      </c>
      <c r="B8158" t="inlineStr">
        <is>
          <t>V̅MMMCLVII</t>
        </is>
      </c>
      <c r="C8158">
        <f>ROMAN(8157)</f>
        <v/>
      </c>
      <c r="D8158">
        <f>IF(B8158=C8158, "YES", "WRONG")</f>
        <v/>
      </c>
    </row>
    <row r="8159">
      <c r="A8159" t="n">
        <v>8158</v>
      </c>
      <c r="B8159" t="inlineStr">
        <is>
          <t>V̅MMMCLVIII</t>
        </is>
      </c>
      <c r="C8159">
        <f>ROMAN(8158)</f>
        <v/>
      </c>
      <c r="D8159">
        <f>IF(B8159=C8159, "YES", "WRONG")</f>
        <v/>
      </c>
    </row>
    <row r="8160">
      <c r="A8160" t="n">
        <v>8159</v>
      </c>
      <c r="B8160" t="inlineStr">
        <is>
          <t>V̅MMMCLIX</t>
        </is>
      </c>
      <c r="C8160">
        <f>ROMAN(8159)</f>
        <v/>
      </c>
      <c r="D8160">
        <f>IF(B8160=C8160, "YES", "WRONG")</f>
        <v/>
      </c>
    </row>
    <row r="8161">
      <c r="A8161" t="n">
        <v>8160</v>
      </c>
      <c r="B8161" t="inlineStr">
        <is>
          <t>V̅MMMCLX</t>
        </is>
      </c>
      <c r="C8161">
        <f>ROMAN(8160)</f>
        <v/>
      </c>
      <c r="D8161">
        <f>IF(B8161=C8161, "YES", "WRONG")</f>
        <v/>
      </c>
    </row>
    <row r="8162">
      <c r="A8162" t="n">
        <v>8161</v>
      </c>
      <c r="B8162" t="inlineStr">
        <is>
          <t>V̅MMMCLXI</t>
        </is>
      </c>
      <c r="C8162">
        <f>ROMAN(8161)</f>
        <v/>
      </c>
      <c r="D8162">
        <f>IF(B8162=C8162, "YES", "WRONG")</f>
        <v/>
      </c>
    </row>
    <row r="8163">
      <c r="A8163" t="n">
        <v>8162</v>
      </c>
      <c r="B8163" t="inlineStr">
        <is>
          <t>V̅MMMCLXII</t>
        </is>
      </c>
      <c r="C8163">
        <f>ROMAN(8162)</f>
        <v/>
      </c>
      <c r="D8163">
        <f>IF(B8163=C8163, "YES", "WRONG")</f>
        <v/>
      </c>
    </row>
    <row r="8164">
      <c r="A8164" t="n">
        <v>8163</v>
      </c>
      <c r="B8164" t="inlineStr">
        <is>
          <t>V̅MMMCLXIII</t>
        </is>
      </c>
      <c r="C8164">
        <f>ROMAN(8163)</f>
        <v/>
      </c>
      <c r="D8164">
        <f>IF(B8164=C8164, "YES", "WRONG")</f>
        <v/>
      </c>
    </row>
    <row r="8165">
      <c r="A8165" t="n">
        <v>8164</v>
      </c>
      <c r="B8165" t="inlineStr">
        <is>
          <t>V̅MMMCLXIV</t>
        </is>
      </c>
      <c r="C8165">
        <f>ROMAN(8164)</f>
        <v/>
      </c>
      <c r="D8165">
        <f>IF(B8165=C8165, "YES", "WRONG")</f>
        <v/>
      </c>
    </row>
    <row r="8166">
      <c r="A8166" t="n">
        <v>8165</v>
      </c>
      <c r="B8166" t="inlineStr">
        <is>
          <t>V̅MMMCLXV</t>
        </is>
      </c>
      <c r="C8166">
        <f>ROMAN(8165)</f>
        <v/>
      </c>
      <c r="D8166">
        <f>IF(B8166=C8166, "YES", "WRONG")</f>
        <v/>
      </c>
    </row>
    <row r="8167">
      <c r="A8167" t="n">
        <v>8166</v>
      </c>
      <c r="B8167" t="inlineStr">
        <is>
          <t>V̅MMMCLXVI</t>
        </is>
      </c>
      <c r="C8167">
        <f>ROMAN(8166)</f>
        <v/>
      </c>
      <c r="D8167">
        <f>IF(B8167=C8167, "YES", "WRONG")</f>
        <v/>
      </c>
    </row>
    <row r="8168">
      <c r="A8168" t="n">
        <v>8167</v>
      </c>
      <c r="B8168" t="inlineStr">
        <is>
          <t>V̅MMMCLXVII</t>
        </is>
      </c>
      <c r="C8168">
        <f>ROMAN(8167)</f>
        <v/>
      </c>
      <c r="D8168">
        <f>IF(B8168=C8168, "YES", "WRONG")</f>
        <v/>
      </c>
    </row>
    <row r="8169">
      <c r="A8169" t="n">
        <v>8168</v>
      </c>
      <c r="B8169" t="inlineStr">
        <is>
          <t>V̅MMMCLXVIII</t>
        </is>
      </c>
      <c r="C8169">
        <f>ROMAN(8168)</f>
        <v/>
      </c>
      <c r="D8169">
        <f>IF(B8169=C8169, "YES", "WRONG")</f>
        <v/>
      </c>
    </row>
    <row r="8170">
      <c r="A8170" t="n">
        <v>8169</v>
      </c>
      <c r="B8170" t="inlineStr">
        <is>
          <t>V̅MMMCLXIX</t>
        </is>
      </c>
      <c r="C8170">
        <f>ROMAN(8169)</f>
        <v/>
      </c>
      <c r="D8170">
        <f>IF(B8170=C8170, "YES", "WRONG")</f>
        <v/>
      </c>
    </row>
    <row r="8171">
      <c r="A8171" t="n">
        <v>8170</v>
      </c>
      <c r="B8171" t="inlineStr">
        <is>
          <t>V̅MMMCLXX</t>
        </is>
      </c>
      <c r="C8171">
        <f>ROMAN(8170)</f>
        <v/>
      </c>
      <c r="D8171">
        <f>IF(B8171=C8171, "YES", "WRONG")</f>
        <v/>
      </c>
    </row>
    <row r="8172">
      <c r="A8172" t="n">
        <v>8171</v>
      </c>
      <c r="B8172" t="inlineStr">
        <is>
          <t>V̅MMMCLXXI</t>
        </is>
      </c>
      <c r="C8172">
        <f>ROMAN(8171)</f>
        <v/>
      </c>
      <c r="D8172">
        <f>IF(B8172=C8172, "YES", "WRONG")</f>
        <v/>
      </c>
    </row>
    <row r="8173">
      <c r="A8173" t="n">
        <v>8172</v>
      </c>
      <c r="B8173" t="inlineStr">
        <is>
          <t>V̅MMMCLXXII</t>
        </is>
      </c>
      <c r="C8173">
        <f>ROMAN(8172)</f>
        <v/>
      </c>
      <c r="D8173">
        <f>IF(B8173=C8173, "YES", "WRONG")</f>
        <v/>
      </c>
    </row>
    <row r="8174">
      <c r="A8174" t="n">
        <v>8173</v>
      </c>
      <c r="B8174" t="inlineStr">
        <is>
          <t>V̅MMMCLXXIII</t>
        </is>
      </c>
      <c r="C8174">
        <f>ROMAN(8173)</f>
        <v/>
      </c>
      <c r="D8174">
        <f>IF(B8174=C8174, "YES", "WRONG")</f>
        <v/>
      </c>
    </row>
    <row r="8175">
      <c r="A8175" t="n">
        <v>8174</v>
      </c>
      <c r="B8175" t="inlineStr">
        <is>
          <t>V̅MMMCLXXIV</t>
        </is>
      </c>
      <c r="C8175">
        <f>ROMAN(8174)</f>
        <v/>
      </c>
      <c r="D8175">
        <f>IF(B8175=C8175, "YES", "WRONG")</f>
        <v/>
      </c>
    </row>
    <row r="8176">
      <c r="A8176" t="n">
        <v>8175</v>
      </c>
      <c r="B8176" t="inlineStr">
        <is>
          <t>V̅MMMCLXXV</t>
        </is>
      </c>
      <c r="C8176">
        <f>ROMAN(8175)</f>
        <v/>
      </c>
      <c r="D8176">
        <f>IF(B8176=C8176, "YES", "WRONG")</f>
        <v/>
      </c>
    </row>
    <row r="8177">
      <c r="A8177" t="n">
        <v>8176</v>
      </c>
      <c r="B8177" t="inlineStr">
        <is>
          <t>V̅MMMCLXXVI</t>
        </is>
      </c>
      <c r="C8177">
        <f>ROMAN(8176)</f>
        <v/>
      </c>
      <c r="D8177">
        <f>IF(B8177=C8177, "YES", "WRONG")</f>
        <v/>
      </c>
    </row>
    <row r="8178">
      <c r="A8178" t="n">
        <v>8177</v>
      </c>
      <c r="B8178" t="inlineStr">
        <is>
          <t>V̅MMMCLXXVII</t>
        </is>
      </c>
      <c r="C8178">
        <f>ROMAN(8177)</f>
        <v/>
      </c>
      <c r="D8178">
        <f>IF(B8178=C8178, "YES", "WRONG")</f>
        <v/>
      </c>
    </row>
    <row r="8179">
      <c r="A8179" t="n">
        <v>8178</v>
      </c>
      <c r="B8179" t="inlineStr">
        <is>
          <t>V̅MMMCLXXVIII</t>
        </is>
      </c>
      <c r="C8179">
        <f>ROMAN(8178)</f>
        <v/>
      </c>
      <c r="D8179">
        <f>IF(B8179=C8179, "YES", "WRONG")</f>
        <v/>
      </c>
    </row>
    <row r="8180">
      <c r="A8180" t="n">
        <v>8179</v>
      </c>
      <c r="B8180" t="inlineStr">
        <is>
          <t>V̅MMMCLXXIX</t>
        </is>
      </c>
      <c r="C8180">
        <f>ROMAN(8179)</f>
        <v/>
      </c>
      <c r="D8180">
        <f>IF(B8180=C8180, "YES", "WRONG")</f>
        <v/>
      </c>
    </row>
    <row r="8181">
      <c r="A8181" t="n">
        <v>8180</v>
      </c>
      <c r="B8181" t="inlineStr">
        <is>
          <t>V̅MMMCLXXX</t>
        </is>
      </c>
      <c r="C8181">
        <f>ROMAN(8180)</f>
        <v/>
      </c>
      <c r="D8181">
        <f>IF(B8181=C8181, "YES", "WRONG")</f>
        <v/>
      </c>
    </row>
    <row r="8182">
      <c r="A8182" t="n">
        <v>8181</v>
      </c>
      <c r="B8182" t="inlineStr">
        <is>
          <t>V̅MMMCLXXXI</t>
        </is>
      </c>
      <c r="C8182">
        <f>ROMAN(8181)</f>
        <v/>
      </c>
      <c r="D8182">
        <f>IF(B8182=C8182, "YES", "WRONG")</f>
        <v/>
      </c>
    </row>
    <row r="8183">
      <c r="A8183" t="n">
        <v>8182</v>
      </c>
      <c r="B8183" t="inlineStr">
        <is>
          <t>V̅MMMCLXXXII</t>
        </is>
      </c>
      <c r="C8183">
        <f>ROMAN(8182)</f>
        <v/>
      </c>
      <c r="D8183">
        <f>IF(B8183=C8183, "YES", "WRONG")</f>
        <v/>
      </c>
    </row>
    <row r="8184">
      <c r="A8184" t="n">
        <v>8183</v>
      </c>
      <c r="B8184" t="inlineStr">
        <is>
          <t>V̅MMMCLXXXIII</t>
        </is>
      </c>
      <c r="C8184">
        <f>ROMAN(8183)</f>
        <v/>
      </c>
      <c r="D8184">
        <f>IF(B8184=C8184, "YES", "WRONG")</f>
        <v/>
      </c>
    </row>
    <row r="8185">
      <c r="A8185" t="n">
        <v>8184</v>
      </c>
      <c r="B8185" t="inlineStr">
        <is>
          <t>V̅MMMCLXXXIV</t>
        </is>
      </c>
      <c r="C8185">
        <f>ROMAN(8184)</f>
        <v/>
      </c>
      <c r="D8185">
        <f>IF(B8185=C8185, "YES", "WRONG")</f>
        <v/>
      </c>
    </row>
    <row r="8186">
      <c r="A8186" t="n">
        <v>8185</v>
      </c>
      <c r="B8186" t="inlineStr">
        <is>
          <t>V̅MMMCLXXXV</t>
        </is>
      </c>
      <c r="C8186">
        <f>ROMAN(8185)</f>
        <v/>
      </c>
      <c r="D8186">
        <f>IF(B8186=C8186, "YES", "WRONG")</f>
        <v/>
      </c>
    </row>
    <row r="8187">
      <c r="A8187" t="n">
        <v>8186</v>
      </c>
      <c r="B8187" t="inlineStr">
        <is>
          <t>V̅MMMCLXXXVI</t>
        </is>
      </c>
      <c r="C8187">
        <f>ROMAN(8186)</f>
        <v/>
      </c>
      <c r="D8187">
        <f>IF(B8187=C8187, "YES", "WRONG")</f>
        <v/>
      </c>
    </row>
    <row r="8188">
      <c r="A8188" t="n">
        <v>8187</v>
      </c>
      <c r="B8188" t="inlineStr">
        <is>
          <t>V̅MMMCLXXXVII</t>
        </is>
      </c>
      <c r="C8188">
        <f>ROMAN(8187)</f>
        <v/>
      </c>
      <c r="D8188">
        <f>IF(B8188=C8188, "YES", "WRONG")</f>
        <v/>
      </c>
    </row>
    <row r="8189">
      <c r="A8189" t="n">
        <v>8188</v>
      </c>
      <c r="B8189" t="inlineStr">
        <is>
          <t>V̅MMMCLXXXVIII</t>
        </is>
      </c>
      <c r="C8189">
        <f>ROMAN(8188)</f>
        <v/>
      </c>
      <c r="D8189">
        <f>IF(B8189=C8189, "YES", "WRONG")</f>
        <v/>
      </c>
    </row>
    <row r="8190">
      <c r="A8190" t="n">
        <v>8189</v>
      </c>
      <c r="B8190" t="inlineStr">
        <is>
          <t>V̅MMMCLXXXIX</t>
        </is>
      </c>
      <c r="C8190">
        <f>ROMAN(8189)</f>
        <v/>
      </c>
      <c r="D8190">
        <f>IF(B8190=C8190, "YES", "WRONG")</f>
        <v/>
      </c>
    </row>
    <row r="8191">
      <c r="A8191" t="n">
        <v>8190</v>
      </c>
      <c r="B8191" t="inlineStr">
        <is>
          <t>V̅MMMCXC</t>
        </is>
      </c>
      <c r="C8191">
        <f>ROMAN(8190)</f>
        <v/>
      </c>
      <c r="D8191">
        <f>IF(B8191=C8191, "YES", "WRONG")</f>
        <v/>
      </c>
    </row>
    <row r="8192">
      <c r="A8192" t="n">
        <v>8191</v>
      </c>
      <c r="B8192" t="inlineStr">
        <is>
          <t>V̅MMMCXCI</t>
        </is>
      </c>
      <c r="C8192">
        <f>ROMAN(8191)</f>
        <v/>
      </c>
      <c r="D8192">
        <f>IF(B8192=C8192, "YES", "WRONG")</f>
        <v/>
      </c>
    </row>
    <row r="8193">
      <c r="A8193" t="n">
        <v>8192</v>
      </c>
      <c r="B8193" t="inlineStr">
        <is>
          <t>V̅MMMCXCII</t>
        </is>
      </c>
      <c r="C8193">
        <f>ROMAN(8192)</f>
        <v/>
      </c>
      <c r="D8193">
        <f>IF(B8193=C8193, "YES", "WRONG")</f>
        <v/>
      </c>
    </row>
    <row r="8194">
      <c r="A8194" t="n">
        <v>8193</v>
      </c>
      <c r="B8194" t="inlineStr">
        <is>
          <t>V̅MMMCXCIII</t>
        </is>
      </c>
      <c r="C8194">
        <f>ROMAN(8193)</f>
        <v/>
      </c>
      <c r="D8194">
        <f>IF(B8194=C8194, "YES", "WRONG")</f>
        <v/>
      </c>
    </row>
    <row r="8195">
      <c r="A8195" t="n">
        <v>8194</v>
      </c>
      <c r="B8195" t="inlineStr">
        <is>
          <t>V̅MMMCXCIV</t>
        </is>
      </c>
      <c r="C8195">
        <f>ROMAN(8194)</f>
        <v/>
      </c>
      <c r="D8195">
        <f>IF(B8195=C8195, "YES", "WRONG")</f>
        <v/>
      </c>
    </row>
    <row r="8196">
      <c r="A8196" t="n">
        <v>8195</v>
      </c>
      <c r="B8196" t="inlineStr">
        <is>
          <t>V̅MMMCXCV</t>
        </is>
      </c>
      <c r="C8196">
        <f>ROMAN(8195)</f>
        <v/>
      </c>
      <c r="D8196">
        <f>IF(B8196=C8196, "YES", "WRONG")</f>
        <v/>
      </c>
    </row>
    <row r="8197">
      <c r="A8197" t="n">
        <v>8196</v>
      </c>
      <c r="B8197" t="inlineStr">
        <is>
          <t>V̅MMMCXCVI</t>
        </is>
      </c>
      <c r="C8197">
        <f>ROMAN(8196)</f>
        <v/>
      </c>
      <c r="D8197">
        <f>IF(B8197=C8197, "YES", "WRONG")</f>
        <v/>
      </c>
    </row>
    <row r="8198">
      <c r="A8198" t="n">
        <v>8197</v>
      </c>
      <c r="B8198" t="inlineStr">
        <is>
          <t>V̅MMMCXCVII</t>
        </is>
      </c>
      <c r="C8198">
        <f>ROMAN(8197)</f>
        <v/>
      </c>
      <c r="D8198">
        <f>IF(B8198=C8198, "YES", "WRONG")</f>
        <v/>
      </c>
    </row>
    <row r="8199">
      <c r="A8199" t="n">
        <v>8198</v>
      </c>
      <c r="B8199" t="inlineStr">
        <is>
          <t>V̅MMMCXCVIII</t>
        </is>
      </c>
      <c r="C8199">
        <f>ROMAN(8198)</f>
        <v/>
      </c>
      <c r="D8199">
        <f>IF(B8199=C8199, "YES", "WRONG")</f>
        <v/>
      </c>
    </row>
    <row r="8200">
      <c r="A8200" t="n">
        <v>8199</v>
      </c>
      <c r="B8200" t="inlineStr">
        <is>
          <t>V̅MMMCXCIX</t>
        </is>
      </c>
      <c r="C8200">
        <f>ROMAN(8199)</f>
        <v/>
      </c>
      <c r="D8200">
        <f>IF(B8200=C8200, "YES", "WRONG")</f>
        <v/>
      </c>
    </row>
    <row r="8201">
      <c r="A8201" t="n">
        <v>8200</v>
      </c>
      <c r="B8201" t="inlineStr">
        <is>
          <t>V̅MMMCC</t>
        </is>
      </c>
      <c r="C8201">
        <f>ROMAN(8200)</f>
        <v/>
      </c>
      <c r="D8201">
        <f>IF(B8201=C8201, "YES", "WRONG")</f>
        <v/>
      </c>
    </row>
    <row r="8202">
      <c r="A8202" t="n">
        <v>8201</v>
      </c>
      <c r="B8202" t="inlineStr">
        <is>
          <t>V̅MMMCCI</t>
        </is>
      </c>
      <c r="C8202">
        <f>ROMAN(8201)</f>
        <v/>
      </c>
      <c r="D8202">
        <f>IF(B8202=C8202, "YES", "WRONG")</f>
        <v/>
      </c>
    </row>
    <row r="8203">
      <c r="A8203" t="n">
        <v>8202</v>
      </c>
      <c r="B8203" t="inlineStr">
        <is>
          <t>V̅MMMCCII</t>
        </is>
      </c>
      <c r="C8203">
        <f>ROMAN(8202)</f>
        <v/>
      </c>
      <c r="D8203">
        <f>IF(B8203=C8203, "YES", "WRONG")</f>
        <v/>
      </c>
    </row>
    <row r="8204">
      <c r="A8204" t="n">
        <v>8203</v>
      </c>
      <c r="B8204" t="inlineStr">
        <is>
          <t>V̅MMMCCIII</t>
        </is>
      </c>
      <c r="C8204">
        <f>ROMAN(8203)</f>
        <v/>
      </c>
      <c r="D8204">
        <f>IF(B8204=C8204, "YES", "WRONG")</f>
        <v/>
      </c>
    </row>
    <row r="8205">
      <c r="A8205" t="n">
        <v>8204</v>
      </c>
      <c r="B8205" t="inlineStr">
        <is>
          <t>V̅MMMCCIV</t>
        </is>
      </c>
      <c r="C8205">
        <f>ROMAN(8204)</f>
        <v/>
      </c>
      <c r="D8205">
        <f>IF(B8205=C8205, "YES", "WRONG")</f>
        <v/>
      </c>
    </row>
    <row r="8206">
      <c r="A8206" t="n">
        <v>8205</v>
      </c>
      <c r="B8206" t="inlineStr">
        <is>
          <t>V̅MMMCCV</t>
        </is>
      </c>
      <c r="C8206">
        <f>ROMAN(8205)</f>
        <v/>
      </c>
      <c r="D8206">
        <f>IF(B8206=C8206, "YES", "WRONG")</f>
        <v/>
      </c>
    </row>
    <row r="8207">
      <c r="A8207" t="n">
        <v>8206</v>
      </c>
      <c r="B8207" t="inlineStr">
        <is>
          <t>V̅MMMCCVI</t>
        </is>
      </c>
      <c r="C8207">
        <f>ROMAN(8206)</f>
        <v/>
      </c>
      <c r="D8207">
        <f>IF(B8207=C8207, "YES", "WRONG")</f>
        <v/>
      </c>
    </row>
    <row r="8208">
      <c r="A8208" t="n">
        <v>8207</v>
      </c>
      <c r="B8208" t="inlineStr">
        <is>
          <t>V̅MMMCCVII</t>
        </is>
      </c>
      <c r="C8208">
        <f>ROMAN(8207)</f>
        <v/>
      </c>
      <c r="D8208">
        <f>IF(B8208=C8208, "YES", "WRONG")</f>
        <v/>
      </c>
    </row>
    <row r="8209">
      <c r="A8209" t="n">
        <v>8208</v>
      </c>
      <c r="B8209" t="inlineStr">
        <is>
          <t>V̅MMMCCVIII</t>
        </is>
      </c>
      <c r="C8209">
        <f>ROMAN(8208)</f>
        <v/>
      </c>
      <c r="D8209">
        <f>IF(B8209=C8209, "YES", "WRONG")</f>
        <v/>
      </c>
    </row>
    <row r="8210">
      <c r="A8210" t="n">
        <v>8209</v>
      </c>
      <c r="B8210" t="inlineStr">
        <is>
          <t>V̅MMMCCIX</t>
        </is>
      </c>
      <c r="C8210">
        <f>ROMAN(8209)</f>
        <v/>
      </c>
      <c r="D8210">
        <f>IF(B8210=C8210, "YES", "WRONG")</f>
        <v/>
      </c>
    </row>
    <row r="8211">
      <c r="A8211" t="n">
        <v>8210</v>
      </c>
      <c r="B8211" t="inlineStr">
        <is>
          <t>V̅MMMCCX</t>
        </is>
      </c>
      <c r="C8211">
        <f>ROMAN(8210)</f>
        <v/>
      </c>
      <c r="D8211">
        <f>IF(B8211=C8211, "YES", "WRONG")</f>
        <v/>
      </c>
    </row>
    <row r="8212">
      <c r="A8212" t="n">
        <v>8211</v>
      </c>
      <c r="B8212" t="inlineStr">
        <is>
          <t>V̅MMMCCXI</t>
        </is>
      </c>
      <c r="C8212">
        <f>ROMAN(8211)</f>
        <v/>
      </c>
      <c r="D8212">
        <f>IF(B8212=C8212, "YES", "WRONG")</f>
        <v/>
      </c>
    </row>
    <row r="8213">
      <c r="A8213" t="n">
        <v>8212</v>
      </c>
      <c r="B8213" t="inlineStr">
        <is>
          <t>V̅MMMCCXII</t>
        </is>
      </c>
      <c r="C8213">
        <f>ROMAN(8212)</f>
        <v/>
      </c>
      <c r="D8213">
        <f>IF(B8213=C8213, "YES", "WRONG")</f>
        <v/>
      </c>
    </row>
    <row r="8214">
      <c r="A8214" t="n">
        <v>8213</v>
      </c>
      <c r="B8214" t="inlineStr">
        <is>
          <t>V̅MMMCCXIII</t>
        </is>
      </c>
      <c r="C8214">
        <f>ROMAN(8213)</f>
        <v/>
      </c>
      <c r="D8214">
        <f>IF(B8214=C8214, "YES", "WRONG")</f>
        <v/>
      </c>
    </row>
    <row r="8215">
      <c r="A8215" t="n">
        <v>8214</v>
      </c>
      <c r="B8215" t="inlineStr">
        <is>
          <t>V̅MMMCCXIV</t>
        </is>
      </c>
      <c r="C8215">
        <f>ROMAN(8214)</f>
        <v/>
      </c>
      <c r="D8215">
        <f>IF(B8215=C8215, "YES", "WRONG")</f>
        <v/>
      </c>
    </row>
    <row r="8216">
      <c r="A8216" t="n">
        <v>8215</v>
      </c>
      <c r="B8216" t="inlineStr">
        <is>
          <t>V̅MMMCCXV</t>
        </is>
      </c>
      <c r="C8216">
        <f>ROMAN(8215)</f>
        <v/>
      </c>
      <c r="D8216">
        <f>IF(B8216=C8216, "YES", "WRONG")</f>
        <v/>
      </c>
    </row>
    <row r="8217">
      <c r="A8217" t="n">
        <v>8216</v>
      </c>
      <c r="B8217" t="inlineStr">
        <is>
          <t>V̅MMMCCXVI</t>
        </is>
      </c>
      <c r="C8217">
        <f>ROMAN(8216)</f>
        <v/>
      </c>
      <c r="D8217">
        <f>IF(B8217=C8217, "YES", "WRONG")</f>
        <v/>
      </c>
    </row>
    <row r="8218">
      <c r="A8218" t="n">
        <v>8217</v>
      </c>
      <c r="B8218" t="inlineStr">
        <is>
          <t>V̅MMMCCXVII</t>
        </is>
      </c>
      <c r="C8218">
        <f>ROMAN(8217)</f>
        <v/>
      </c>
      <c r="D8218">
        <f>IF(B8218=C8218, "YES", "WRONG")</f>
        <v/>
      </c>
    </row>
    <row r="8219">
      <c r="A8219" t="n">
        <v>8218</v>
      </c>
      <c r="B8219" t="inlineStr">
        <is>
          <t>V̅MMMCCXVIII</t>
        </is>
      </c>
      <c r="C8219">
        <f>ROMAN(8218)</f>
        <v/>
      </c>
      <c r="D8219">
        <f>IF(B8219=C8219, "YES", "WRONG")</f>
        <v/>
      </c>
    </row>
    <row r="8220">
      <c r="A8220" t="n">
        <v>8219</v>
      </c>
      <c r="B8220" t="inlineStr">
        <is>
          <t>V̅MMMCCXIX</t>
        </is>
      </c>
      <c r="C8220">
        <f>ROMAN(8219)</f>
        <v/>
      </c>
      <c r="D8220">
        <f>IF(B8220=C8220, "YES", "WRONG")</f>
        <v/>
      </c>
    </row>
    <row r="8221">
      <c r="A8221" t="n">
        <v>8220</v>
      </c>
      <c r="B8221" t="inlineStr">
        <is>
          <t>V̅MMMCCXX</t>
        </is>
      </c>
      <c r="C8221">
        <f>ROMAN(8220)</f>
        <v/>
      </c>
      <c r="D8221">
        <f>IF(B8221=C8221, "YES", "WRONG")</f>
        <v/>
      </c>
    </row>
    <row r="8222">
      <c r="A8222" t="n">
        <v>8221</v>
      </c>
      <c r="B8222" t="inlineStr">
        <is>
          <t>V̅MMMCCXXI</t>
        </is>
      </c>
      <c r="C8222">
        <f>ROMAN(8221)</f>
        <v/>
      </c>
      <c r="D8222">
        <f>IF(B8222=C8222, "YES", "WRONG")</f>
        <v/>
      </c>
    </row>
    <row r="8223">
      <c r="A8223" t="n">
        <v>8222</v>
      </c>
      <c r="B8223" t="inlineStr">
        <is>
          <t>V̅MMMCCXXII</t>
        </is>
      </c>
      <c r="C8223">
        <f>ROMAN(8222)</f>
        <v/>
      </c>
      <c r="D8223">
        <f>IF(B8223=C8223, "YES", "WRONG")</f>
        <v/>
      </c>
    </row>
    <row r="8224">
      <c r="A8224" t="n">
        <v>8223</v>
      </c>
      <c r="B8224" t="inlineStr">
        <is>
          <t>V̅MMMCCXXIII</t>
        </is>
      </c>
      <c r="C8224">
        <f>ROMAN(8223)</f>
        <v/>
      </c>
      <c r="D8224">
        <f>IF(B8224=C8224, "YES", "WRONG")</f>
        <v/>
      </c>
    </row>
    <row r="8225">
      <c r="A8225" t="n">
        <v>8224</v>
      </c>
      <c r="B8225" t="inlineStr">
        <is>
          <t>V̅MMMCCXXIV</t>
        </is>
      </c>
      <c r="C8225">
        <f>ROMAN(8224)</f>
        <v/>
      </c>
      <c r="D8225">
        <f>IF(B8225=C8225, "YES", "WRONG")</f>
        <v/>
      </c>
    </row>
    <row r="8226">
      <c r="A8226" t="n">
        <v>8225</v>
      </c>
      <c r="B8226" t="inlineStr">
        <is>
          <t>V̅MMMCCXXV</t>
        </is>
      </c>
      <c r="C8226">
        <f>ROMAN(8225)</f>
        <v/>
      </c>
      <c r="D8226">
        <f>IF(B8226=C8226, "YES", "WRONG")</f>
        <v/>
      </c>
    </row>
    <row r="8227">
      <c r="A8227" t="n">
        <v>8226</v>
      </c>
      <c r="B8227" t="inlineStr">
        <is>
          <t>V̅MMMCCXXVI</t>
        </is>
      </c>
      <c r="C8227">
        <f>ROMAN(8226)</f>
        <v/>
      </c>
      <c r="D8227">
        <f>IF(B8227=C8227, "YES", "WRONG")</f>
        <v/>
      </c>
    </row>
    <row r="8228">
      <c r="A8228" t="n">
        <v>8227</v>
      </c>
      <c r="B8228" t="inlineStr">
        <is>
          <t>V̅MMMCCXXVII</t>
        </is>
      </c>
      <c r="C8228">
        <f>ROMAN(8227)</f>
        <v/>
      </c>
      <c r="D8228">
        <f>IF(B8228=C8228, "YES", "WRONG")</f>
        <v/>
      </c>
    </row>
    <row r="8229">
      <c r="A8229" t="n">
        <v>8228</v>
      </c>
      <c r="B8229" t="inlineStr">
        <is>
          <t>V̅MMMCCXXVIII</t>
        </is>
      </c>
      <c r="C8229">
        <f>ROMAN(8228)</f>
        <v/>
      </c>
      <c r="D8229">
        <f>IF(B8229=C8229, "YES", "WRONG")</f>
        <v/>
      </c>
    </row>
    <row r="8230">
      <c r="A8230" t="n">
        <v>8229</v>
      </c>
      <c r="B8230" t="inlineStr">
        <is>
          <t>V̅MMMCCXXIX</t>
        </is>
      </c>
      <c r="C8230">
        <f>ROMAN(8229)</f>
        <v/>
      </c>
      <c r="D8230">
        <f>IF(B8230=C8230, "YES", "WRONG")</f>
        <v/>
      </c>
    </row>
    <row r="8231">
      <c r="A8231" t="n">
        <v>8230</v>
      </c>
      <c r="B8231" t="inlineStr">
        <is>
          <t>V̅MMMCCXXX</t>
        </is>
      </c>
      <c r="C8231">
        <f>ROMAN(8230)</f>
        <v/>
      </c>
      <c r="D8231">
        <f>IF(B8231=C8231, "YES", "WRONG")</f>
        <v/>
      </c>
    </row>
    <row r="8232">
      <c r="A8232" t="n">
        <v>8231</v>
      </c>
      <c r="B8232" t="inlineStr">
        <is>
          <t>V̅MMMCCXXXI</t>
        </is>
      </c>
      <c r="C8232">
        <f>ROMAN(8231)</f>
        <v/>
      </c>
      <c r="D8232">
        <f>IF(B8232=C8232, "YES", "WRONG")</f>
        <v/>
      </c>
    </row>
    <row r="8233">
      <c r="A8233" t="n">
        <v>8232</v>
      </c>
      <c r="B8233" t="inlineStr">
        <is>
          <t>V̅MMMCCXXXII</t>
        </is>
      </c>
      <c r="C8233">
        <f>ROMAN(8232)</f>
        <v/>
      </c>
      <c r="D8233">
        <f>IF(B8233=C8233, "YES", "WRONG")</f>
        <v/>
      </c>
    </row>
    <row r="8234">
      <c r="A8234" t="n">
        <v>8233</v>
      </c>
      <c r="B8234" t="inlineStr">
        <is>
          <t>V̅MMMCCXXXIII</t>
        </is>
      </c>
      <c r="C8234">
        <f>ROMAN(8233)</f>
        <v/>
      </c>
      <c r="D8234">
        <f>IF(B8234=C8234, "YES", "WRONG")</f>
        <v/>
      </c>
    </row>
    <row r="8235">
      <c r="A8235" t="n">
        <v>8234</v>
      </c>
      <c r="B8235" t="inlineStr">
        <is>
          <t>V̅MMMCCXXXIV</t>
        </is>
      </c>
      <c r="C8235">
        <f>ROMAN(8234)</f>
        <v/>
      </c>
      <c r="D8235">
        <f>IF(B8235=C8235, "YES", "WRONG")</f>
        <v/>
      </c>
    </row>
    <row r="8236">
      <c r="A8236" t="n">
        <v>8235</v>
      </c>
      <c r="B8236" t="inlineStr">
        <is>
          <t>V̅MMMCCXXXV</t>
        </is>
      </c>
      <c r="C8236">
        <f>ROMAN(8235)</f>
        <v/>
      </c>
      <c r="D8236">
        <f>IF(B8236=C8236, "YES", "WRONG")</f>
        <v/>
      </c>
    </row>
    <row r="8237">
      <c r="A8237" t="n">
        <v>8236</v>
      </c>
      <c r="B8237" t="inlineStr">
        <is>
          <t>V̅MMMCCXXXVI</t>
        </is>
      </c>
      <c r="C8237">
        <f>ROMAN(8236)</f>
        <v/>
      </c>
      <c r="D8237">
        <f>IF(B8237=C8237, "YES", "WRONG")</f>
        <v/>
      </c>
    </row>
    <row r="8238">
      <c r="A8238" t="n">
        <v>8237</v>
      </c>
      <c r="B8238" t="inlineStr">
        <is>
          <t>V̅MMMCCXXXVII</t>
        </is>
      </c>
      <c r="C8238">
        <f>ROMAN(8237)</f>
        <v/>
      </c>
      <c r="D8238">
        <f>IF(B8238=C8238, "YES", "WRONG")</f>
        <v/>
      </c>
    </row>
    <row r="8239">
      <c r="A8239" t="n">
        <v>8238</v>
      </c>
      <c r="B8239" t="inlineStr">
        <is>
          <t>V̅MMMCCXXXVIII</t>
        </is>
      </c>
      <c r="C8239">
        <f>ROMAN(8238)</f>
        <v/>
      </c>
      <c r="D8239">
        <f>IF(B8239=C8239, "YES", "WRONG")</f>
        <v/>
      </c>
    </row>
    <row r="8240">
      <c r="A8240" t="n">
        <v>8239</v>
      </c>
      <c r="B8240" t="inlineStr">
        <is>
          <t>V̅MMMCCXXXIX</t>
        </is>
      </c>
      <c r="C8240">
        <f>ROMAN(8239)</f>
        <v/>
      </c>
      <c r="D8240">
        <f>IF(B8240=C8240, "YES", "WRONG")</f>
        <v/>
      </c>
    </row>
    <row r="8241">
      <c r="A8241" t="n">
        <v>8240</v>
      </c>
      <c r="B8241" t="inlineStr">
        <is>
          <t>V̅MMMCCXL</t>
        </is>
      </c>
      <c r="C8241">
        <f>ROMAN(8240)</f>
        <v/>
      </c>
      <c r="D8241">
        <f>IF(B8241=C8241, "YES", "WRONG")</f>
        <v/>
      </c>
    </row>
    <row r="8242">
      <c r="A8242" t="n">
        <v>8241</v>
      </c>
      <c r="B8242" t="inlineStr">
        <is>
          <t>V̅MMMCCXLI</t>
        </is>
      </c>
      <c r="C8242">
        <f>ROMAN(8241)</f>
        <v/>
      </c>
      <c r="D8242">
        <f>IF(B8242=C8242, "YES", "WRONG")</f>
        <v/>
      </c>
    </row>
    <row r="8243">
      <c r="A8243" t="n">
        <v>8242</v>
      </c>
      <c r="B8243" t="inlineStr">
        <is>
          <t>V̅MMMCCXLII</t>
        </is>
      </c>
      <c r="C8243">
        <f>ROMAN(8242)</f>
        <v/>
      </c>
      <c r="D8243">
        <f>IF(B8243=C8243, "YES", "WRONG")</f>
        <v/>
      </c>
    </row>
    <row r="8244">
      <c r="A8244" t="n">
        <v>8243</v>
      </c>
      <c r="B8244" t="inlineStr">
        <is>
          <t>V̅MMMCCXLIII</t>
        </is>
      </c>
      <c r="C8244">
        <f>ROMAN(8243)</f>
        <v/>
      </c>
      <c r="D8244">
        <f>IF(B8244=C8244, "YES", "WRONG")</f>
        <v/>
      </c>
    </row>
    <row r="8245">
      <c r="A8245" t="n">
        <v>8244</v>
      </c>
      <c r="B8245" t="inlineStr">
        <is>
          <t>V̅MMMCCXLIV</t>
        </is>
      </c>
      <c r="C8245">
        <f>ROMAN(8244)</f>
        <v/>
      </c>
      <c r="D8245">
        <f>IF(B8245=C8245, "YES", "WRONG")</f>
        <v/>
      </c>
    </row>
    <row r="8246">
      <c r="A8246" t="n">
        <v>8245</v>
      </c>
      <c r="B8246" t="inlineStr">
        <is>
          <t>V̅MMMCCXLV</t>
        </is>
      </c>
      <c r="C8246">
        <f>ROMAN(8245)</f>
        <v/>
      </c>
      <c r="D8246">
        <f>IF(B8246=C8246, "YES", "WRONG")</f>
        <v/>
      </c>
    </row>
    <row r="8247">
      <c r="A8247" t="n">
        <v>8246</v>
      </c>
      <c r="B8247" t="inlineStr">
        <is>
          <t>V̅MMMCCXLVI</t>
        </is>
      </c>
      <c r="C8247">
        <f>ROMAN(8246)</f>
        <v/>
      </c>
      <c r="D8247">
        <f>IF(B8247=C8247, "YES", "WRONG")</f>
        <v/>
      </c>
    </row>
    <row r="8248">
      <c r="A8248" t="n">
        <v>8247</v>
      </c>
      <c r="B8248" t="inlineStr">
        <is>
          <t>V̅MMMCCXLVII</t>
        </is>
      </c>
      <c r="C8248">
        <f>ROMAN(8247)</f>
        <v/>
      </c>
      <c r="D8248">
        <f>IF(B8248=C8248, "YES", "WRONG")</f>
        <v/>
      </c>
    </row>
    <row r="8249">
      <c r="A8249" t="n">
        <v>8248</v>
      </c>
      <c r="B8249" t="inlineStr">
        <is>
          <t>V̅MMMCCXLVIII</t>
        </is>
      </c>
      <c r="C8249">
        <f>ROMAN(8248)</f>
        <v/>
      </c>
      <c r="D8249">
        <f>IF(B8249=C8249, "YES", "WRONG")</f>
        <v/>
      </c>
    </row>
    <row r="8250">
      <c r="A8250" t="n">
        <v>8249</v>
      </c>
      <c r="B8250" t="inlineStr">
        <is>
          <t>V̅MMMCCXLIX</t>
        </is>
      </c>
      <c r="C8250">
        <f>ROMAN(8249)</f>
        <v/>
      </c>
      <c r="D8250">
        <f>IF(B8250=C8250, "YES", "WRONG")</f>
        <v/>
      </c>
    </row>
    <row r="8251">
      <c r="A8251" t="n">
        <v>8250</v>
      </c>
      <c r="B8251" t="inlineStr">
        <is>
          <t>V̅MMMCCL</t>
        </is>
      </c>
      <c r="C8251">
        <f>ROMAN(8250)</f>
        <v/>
      </c>
      <c r="D8251">
        <f>IF(B8251=C8251, "YES", "WRONG")</f>
        <v/>
      </c>
    </row>
    <row r="8252">
      <c r="A8252" t="n">
        <v>8251</v>
      </c>
      <c r="B8252" t="inlineStr">
        <is>
          <t>V̅MMMCCLI</t>
        </is>
      </c>
      <c r="C8252">
        <f>ROMAN(8251)</f>
        <v/>
      </c>
      <c r="D8252">
        <f>IF(B8252=C8252, "YES", "WRONG")</f>
        <v/>
      </c>
    </row>
    <row r="8253">
      <c r="A8253" t="n">
        <v>8252</v>
      </c>
      <c r="B8253" t="inlineStr">
        <is>
          <t>V̅MMMCCLII</t>
        </is>
      </c>
      <c r="C8253">
        <f>ROMAN(8252)</f>
        <v/>
      </c>
      <c r="D8253">
        <f>IF(B8253=C8253, "YES", "WRONG")</f>
        <v/>
      </c>
    </row>
    <row r="8254">
      <c r="A8254" t="n">
        <v>8253</v>
      </c>
      <c r="B8254" t="inlineStr">
        <is>
          <t>V̅MMMCCLIII</t>
        </is>
      </c>
      <c r="C8254">
        <f>ROMAN(8253)</f>
        <v/>
      </c>
      <c r="D8254">
        <f>IF(B8254=C8254, "YES", "WRONG")</f>
        <v/>
      </c>
    </row>
    <row r="8255">
      <c r="A8255" t="n">
        <v>8254</v>
      </c>
      <c r="B8255" t="inlineStr">
        <is>
          <t>V̅MMMCCLIV</t>
        </is>
      </c>
      <c r="C8255">
        <f>ROMAN(8254)</f>
        <v/>
      </c>
      <c r="D8255">
        <f>IF(B8255=C8255, "YES", "WRONG")</f>
        <v/>
      </c>
    </row>
    <row r="8256">
      <c r="A8256" t="n">
        <v>8255</v>
      </c>
      <c r="B8256" t="inlineStr">
        <is>
          <t>V̅MMMCCLV</t>
        </is>
      </c>
      <c r="C8256">
        <f>ROMAN(8255)</f>
        <v/>
      </c>
      <c r="D8256">
        <f>IF(B8256=C8256, "YES", "WRONG")</f>
        <v/>
      </c>
    </row>
    <row r="8257">
      <c r="A8257" t="n">
        <v>8256</v>
      </c>
      <c r="B8257" t="inlineStr">
        <is>
          <t>V̅MMMCCLVI</t>
        </is>
      </c>
      <c r="C8257">
        <f>ROMAN(8256)</f>
        <v/>
      </c>
      <c r="D8257">
        <f>IF(B8257=C8257, "YES", "WRONG")</f>
        <v/>
      </c>
    </row>
    <row r="8258">
      <c r="A8258" t="n">
        <v>8257</v>
      </c>
      <c r="B8258" t="inlineStr">
        <is>
          <t>V̅MMMCCLVII</t>
        </is>
      </c>
      <c r="C8258">
        <f>ROMAN(8257)</f>
        <v/>
      </c>
      <c r="D8258">
        <f>IF(B8258=C8258, "YES", "WRONG")</f>
        <v/>
      </c>
    </row>
    <row r="8259">
      <c r="A8259" t="n">
        <v>8258</v>
      </c>
      <c r="B8259" t="inlineStr">
        <is>
          <t>V̅MMMCCLVIII</t>
        </is>
      </c>
      <c r="C8259">
        <f>ROMAN(8258)</f>
        <v/>
      </c>
      <c r="D8259">
        <f>IF(B8259=C8259, "YES", "WRONG")</f>
        <v/>
      </c>
    </row>
    <row r="8260">
      <c r="A8260" t="n">
        <v>8259</v>
      </c>
      <c r="B8260" t="inlineStr">
        <is>
          <t>V̅MMMCCLIX</t>
        </is>
      </c>
      <c r="C8260">
        <f>ROMAN(8259)</f>
        <v/>
      </c>
      <c r="D8260">
        <f>IF(B8260=C8260, "YES", "WRONG")</f>
        <v/>
      </c>
    </row>
    <row r="8261">
      <c r="A8261" t="n">
        <v>8260</v>
      </c>
      <c r="B8261" t="inlineStr">
        <is>
          <t>V̅MMMCCLX</t>
        </is>
      </c>
      <c r="C8261">
        <f>ROMAN(8260)</f>
        <v/>
      </c>
      <c r="D8261">
        <f>IF(B8261=C8261, "YES", "WRONG")</f>
        <v/>
      </c>
    </row>
    <row r="8262">
      <c r="A8262" t="n">
        <v>8261</v>
      </c>
      <c r="B8262" t="inlineStr">
        <is>
          <t>V̅MMMCCLXI</t>
        </is>
      </c>
      <c r="C8262">
        <f>ROMAN(8261)</f>
        <v/>
      </c>
      <c r="D8262">
        <f>IF(B8262=C8262, "YES", "WRONG")</f>
        <v/>
      </c>
    </row>
    <row r="8263">
      <c r="A8263" t="n">
        <v>8262</v>
      </c>
      <c r="B8263" t="inlineStr">
        <is>
          <t>V̅MMMCCLXII</t>
        </is>
      </c>
      <c r="C8263">
        <f>ROMAN(8262)</f>
        <v/>
      </c>
      <c r="D8263">
        <f>IF(B8263=C8263, "YES", "WRONG")</f>
        <v/>
      </c>
    </row>
    <row r="8264">
      <c r="A8264" t="n">
        <v>8263</v>
      </c>
      <c r="B8264" t="inlineStr">
        <is>
          <t>V̅MMMCCLXIII</t>
        </is>
      </c>
      <c r="C8264">
        <f>ROMAN(8263)</f>
        <v/>
      </c>
      <c r="D8264">
        <f>IF(B8264=C8264, "YES", "WRONG")</f>
        <v/>
      </c>
    </row>
    <row r="8265">
      <c r="A8265" t="n">
        <v>8264</v>
      </c>
      <c r="B8265" t="inlineStr">
        <is>
          <t>V̅MMMCCLXIV</t>
        </is>
      </c>
      <c r="C8265">
        <f>ROMAN(8264)</f>
        <v/>
      </c>
      <c r="D8265">
        <f>IF(B8265=C8265, "YES", "WRONG")</f>
        <v/>
      </c>
    </row>
    <row r="8266">
      <c r="A8266" t="n">
        <v>8265</v>
      </c>
      <c r="B8266" t="inlineStr">
        <is>
          <t>V̅MMMCCLXV</t>
        </is>
      </c>
      <c r="C8266">
        <f>ROMAN(8265)</f>
        <v/>
      </c>
      <c r="D8266">
        <f>IF(B8266=C8266, "YES", "WRONG")</f>
        <v/>
      </c>
    </row>
    <row r="8267">
      <c r="A8267" t="n">
        <v>8266</v>
      </c>
      <c r="B8267" t="inlineStr">
        <is>
          <t>V̅MMMCCLXVI</t>
        </is>
      </c>
      <c r="C8267">
        <f>ROMAN(8266)</f>
        <v/>
      </c>
      <c r="D8267">
        <f>IF(B8267=C8267, "YES", "WRONG")</f>
        <v/>
      </c>
    </row>
    <row r="8268">
      <c r="A8268" t="n">
        <v>8267</v>
      </c>
      <c r="B8268" t="inlineStr">
        <is>
          <t>V̅MMMCCLXVII</t>
        </is>
      </c>
      <c r="C8268">
        <f>ROMAN(8267)</f>
        <v/>
      </c>
      <c r="D8268">
        <f>IF(B8268=C8268, "YES", "WRONG")</f>
        <v/>
      </c>
    </row>
    <row r="8269">
      <c r="A8269" t="n">
        <v>8268</v>
      </c>
      <c r="B8269" t="inlineStr">
        <is>
          <t>V̅MMMCCLXVIII</t>
        </is>
      </c>
      <c r="C8269">
        <f>ROMAN(8268)</f>
        <v/>
      </c>
      <c r="D8269">
        <f>IF(B8269=C8269, "YES", "WRONG")</f>
        <v/>
      </c>
    </row>
    <row r="8270">
      <c r="A8270" t="n">
        <v>8269</v>
      </c>
      <c r="B8270" t="inlineStr">
        <is>
          <t>V̅MMMCCLXIX</t>
        </is>
      </c>
      <c r="C8270">
        <f>ROMAN(8269)</f>
        <v/>
      </c>
      <c r="D8270">
        <f>IF(B8270=C8270, "YES", "WRONG")</f>
        <v/>
      </c>
    </row>
    <row r="8271">
      <c r="A8271" t="n">
        <v>8270</v>
      </c>
      <c r="B8271" t="inlineStr">
        <is>
          <t>V̅MMMCCLXX</t>
        </is>
      </c>
      <c r="C8271">
        <f>ROMAN(8270)</f>
        <v/>
      </c>
      <c r="D8271">
        <f>IF(B8271=C8271, "YES", "WRONG")</f>
        <v/>
      </c>
    </row>
    <row r="8272">
      <c r="A8272" t="n">
        <v>8271</v>
      </c>
      <c r="B8272" t="inlineStr">
        <is>
          <t>V̅MMMCCLXXI</t>
        </is>
      </c>
      <c r="C8272">
        <f>ROMAN(8271)</f>
        <v/>
      </c>
      <c r="D8272">
        <f>IF(B8272=C8272, "YES", "WRONG")</f>
        <v/>
      </c>
    </row>
    <row r="8273">
      <c r="A8273" t="n">
        <v>8272</v>
      </c>
      <c r="B8273" t="inlineStr">
        <is>
          <t>V̅MMMCCLXXII</t>
        </is>
      </c>
      <c r="C8273">
        <f>ROMAN(8272)</f>
        <v/>
      </c>
      <c r="D8273">
        <f>IF(B8273=C8273, "YES", "WRONG")</f>
        <v/>
      </c>
    </row>
    <row r="8274">
      <c r="A8274" t="n">
        <v>8273</v>
      </c>
      <c r="B8274" t="inlineStr">
        <is>
          <t>V̅MMMCCLXXIII</t>
        </is>
      </c>
      <c r="C8274">
        <f>ROMAN(8273)</f>
        <v/>
      </c>
      <c r="D8274">
        <f>IF(B8274=C8274, "YES", "WRONG")</f>
        <v/>
      </c>
    </row>
    <row r="8275">
      <c r="A8275" t="n">
        <v>8274</v>
      </c>
      <c r="B8275" t="inlineStr">
        <is>
          <t>V̅MMMCCLXXIV</t>
        </is>
      </c>
      <c r="C8275">
        <f>ROMAN(8274)</f>
        <v/>
      </c>
      <c r="D8275">
        <f>IF(B8275=C8275, "YES", "WRONG")</f>
        <v/>
      </c>
    </row>
    <row r="8276">
      <c r="A8276" t="n">
        <v>8275</v>
      </c>
      <c r="B8276" t="inlineStr">
        <is>
          <t>V̅MMMCCLXXV</t>
        </is>
      </c>
      <c r="C8276">
        <f>ROMAN(8275)</f>
        <v/>
      </c>
      <c r="D8276">
        <f>IF(B8276=C8276, "YES", "WRONG")</f>
        <v/>
      </c>
    </row>
    <row r="8277">
      <c r="A8277" t="n">
        <v>8276</v>
      </c>
      <c r="B8277" t="inlineStr">
        <is>
          <t>V̅MMMCCLXXVI</t>
        </is>
      </c>
      <c r="C8277">
        <f>ROMAN(8276)</f>
        <v/>
      </c>
      <c r="D8277">
        <f>IF(B8277=C8277, "YES", "WRONG")</f>
        <v/>
      </c>
    </row>
    <row r="8278">
      <c r="A8278" t="n">
        <v>8277</v>
      </c>
      <c r="B8278" t="inlineStr">
        <is>
          <t>V̅MMMCCLXXVII</t>
        </is>
      </c>
      <c r="C8278">
        <f>ROMAN(8277)</f>
        <v/>
      </c>
      <c r="D8278">
        <f>IF(B8278=C8278, "YES", "WRONG")</f>
        <v/>
      </c>
    </row>
    <row r="8279">
      <c r="A8279" t="n">
        <v>8278</v>
      </c>
      <c r="B8279" t="inlineStr">
        <is>
          <t>V̅MMMCCLXXVIII</t>
        </is>
      </c>
      <c r="C8279">
        <f>ROMAN(8278)</f>
        <v/>
      </c>
      <c r="D8279">
        <f>IF(B8279=C8279, "YES", "WRONG")</f>
        <v/>
      </c>
    </row>
    <row r="8280">
      <c r="A8280" t="n">
        <v>8279</v>
      </c>
      <c r="B8280" t="inlineStr">
        <is>
          <t>V̅MMMCCLXXIX</t>
        </is>
      </c>
      <c r="C8280">
        <f>ROMAN(8279)</f>
        <v/>
      </c>
      <c r="D8280">
        <f>IF(B8280=C8280, "YES", "WRONG")</f>
        <v/>
      </c>
    </row>
    <row r="8281">
      <c r="A8281" t="n">
        <v>8280</v>
      </c>
      <c r="B8281" t="inlineStr">
        <is>
          <t>V̅MMMCCLXXX</t>
        </is>
      </c>
      <c r="C8281">
        <f>ROMAN(8280)</f>
        <v/>
      </c>
      <c r="D8281">
        <f>IF(B8281=C8281, "YES", "WRONG")</f>
        <v/>
      </c>
    </row>
    <row r="8282">
      <c r="A8282" t="n">
        <v>8281</v>
      </c>
      <c r="B8282" t="inlineStr">
        <is>
          <t>V̅MMMCCLXXXI</t>
        </is>
      </c>
      <c r="C8282">
        <f>ROMAN(8281)</f>
        <v/>
      </c>
      <c r="D8282">
        <f>IF(B8282=C8282, "YES", "WRONG")</f>
        <v/>
      </c>
    </row>
    <row r="8283">
      <c r="A8283" t="n">
        <v>8282</v>
      </c>
      <c r="B8283" t="inlineStr">
        <is>
          <t>V̅MMMCCLXXXII</t>
        </is>
      </c>
      <c r="C8283">
        <f>ROMAN(8282)</f>
        <v/>
      </c>
      <c r="D8283">
        <f>IF(B8283=C8283, "YES", "WRONG")</f>
        <v/>
      </c>
    </row>
    <row r="8284">
      <c r="A8284" t="n">
        <v>8283</v>
      </c>
      <c r="B8284" t="inlineStr">
        <is>
          <t>V̅MMMCCLXXXIII</t>
        </is>
      </c>
      <c r="C8284">
        <f>ROMAN(8283)</f>
        <v/>
      </c>
      <c r="D8284">
        <f>IF(B8284=C8284, "YES", "WRONG")</f>
        <v/>
      </c>
    </row>
    <row r="8285">
      <c r="A8285" t="n">
        <v>8284</v>
      </c>
      <c r="B8285" t="inlineStr">
        <is>
          <t>V̅MMMCCLXXXIV</t>
        </is>
      </c>
      <c r="C8285">
        <f>ROMAN(8284)</f>
        <v/>
      </c>
      <c r="D8285">
        <f>IF(B8285=C8285, "YES", "WRONG")</f>
        <v/>
      </c>
    </row>
    <row r="8286">
      <c r="A8286" t="n">
        <v>8285</v>
      </c>
      <c r="B8286" t="inlineStr">
        <is>
          <t>V̅MMMCCLXXXV</t>
        </is>
      </c>
      <c r="C8286">
        <f>ROMAN(8285)</f>
        <v/>
      </c>
      <c r="D8286">
        <f>IF(B8286=C8286, "YES", "WRONG")</f>
        <v/>
      </c>
    </row>
    <row r="8287">
      <c r="A8287" t="n">
        <v>8286</v>
      </c>
      <c r="B8287" t="inlineStr">
        <is>
          <t>V̅MMMCCLXXXVI</t>
        </is>
      </c>
      <c r="C8287">
        <f>ROMAN(8286)</f>
        <v/>
      </c>
      <c r="D8287">
        <f>IF(B8287=C8287, "YES", "WRONG")</f>
        <v/>
      </c>
    </row>
    <row r="8288">
      <c r="A8288" t="n">
        <v>8287</v>
      </c>
      <c r="B8288" t="inlineStr">
        <is>
          <t>V̅MMMCCLXXXVII</t>
        </is>
      </c>
      <c r="C8288">
        <f>ROMAN(8287)</f>
        <v/>
      </c>
      <c r="D8288">
        <f>IF(B8288=C8288, "YES", "WRONG")</f>
        <v/>
      </c>
    </row>
    <row r="8289">
      <c r="A8289" t="n">
        <v>8288</v>
      </c>
      <c r="B8289" t="inlineStr">
        <is>
          <t>V̅MMMCCLXXXVIII</t>
        </is>
      </c>
      <c r="C8289">
        <f>ROMAN(8288)</f>
        <v/>
      </c>
      <c r="D8289">
        <f>IF(B8289=C8289, "YES", "WRONG")</f>
        <v/>
      </c>
    </row>
    <row r="8290">
      <c r="A8290" t="n">
        <v>8289</v>
      </c>
      <c r="B8290" t="inlineStr">
        <is>
          <t>V̅MMMCCLXXXIX</t>
        </is>
      </c>
      <c r="C8290">
        <f>ROMAN(8289)</f>
        <v/>
      </c>
      <c r="D8290">
        <f>IF(B8290=C8290, "YES", "WRONG")</f>
        <v/>
      </c>
    </row>
    <row r="8291">
      <c r="A8291" t="n">
        <v>8290</v>
      </c>
      <c r="B8291" t="inlineStr">
        <is>
          <t>V̅MMMCCXC</t>
        </is>
      </c>
      <c r="C8291">
        <f>ROMAN(8290)</f>
        <v/>
      </c>
      <c r="D8291">
        <f>IF(B8291=C8291, "YES", "WRONG")</f>
        <v/>
      </c>
    </row>
    <row r="8292">
      <c r="A8292" t="n">
        <v>8291</v>
      </c>
      <c r="B8292" t="inlineStr">
        <is>
          <t>V̅MMMCCXCI</t>
        </is>
      </c>
      <c r="C8292">
        <f>ROMAN(8291)</f>
        <v/>
      </c>
      <c r="D8292">
        <f>IF(B8292=C8292, "YES", "WRONG")</f>
        <v/>
      </c>
    </row>
    <row r="8293">
      <c r="A8293" t="n">
        <v>8292</v>
      </c>
      <c r="B8293" t="inlineStr">
        <is>
          <t>V̅MMMCCXCII</t>
        </is>
      </c>
      <c r="C8293">
        <f>ROMAN(8292)</f>
        <v/>
      </c>
      <c r="D8293">
        <f>IF(B8293=C8293, "YES", "WRONG")</f>
        <v/>
      </c>
    </row>
    <row r="8294">
      <c r="A8294" t="n">
        <v>8293</v>
      </c>
      <c r="B8294" t="inlineStr">
        <is>
          <t>V̅MMMCCXCIII</t>
        </is>
      </c>
      <c r="C8294">
        <f>ROMAN(8293)</f>
        <v/>
      </c>
      <c r="D8294">
        <f>IF(B8294=C8294, "YES", "WRONG")</f>
        <v/>
      </c>
    </row>
    <row r="8295">
      <c r="A8295" t="n">
        <v>8294</v>
      </c>
      <c r="B8295" t="inlineStr">
        <is>
          <t>V̅MMMCCXCIV</t>
        </is>
      </c>
      <c r="C8295">
        <f>ROMAN(8294)</f>
        <v/>
      </c>
      <c r="D8295">
        <f>IF(B8295=C8295, "YES", "WRONG")</f>
        <v/>
      </c>
    </row>
    <row r="8296">
      <c r="A8296" t="n">
        <v>8295</v>
      </c>
      <c r="B8296" t="inlineStr">
        <is>
          <t>V̅MMMCCXCV</t>
        </is>
      </c>
      <c r="C8296">
        <f>ROMAN(8295)</f>
        <v/>
      </c>
      <c r="D8296">
        <f>IF(B8296=C8296, "YES", "WRONG")</f>
        <v/>
      </c>
    </row>
    <row r="8297">
      <c r="A8297" t="n">
        <v>8296</v>
      </c>
      <c r="B8297" t="inlineStr">
        <is>
          <t>V̅MMMCCXCVI</t>
        </is>
      </c>
      <c r="C8297">
        <f>ROMAN(8296)</f>
        <v/>
      </c>
      <c r="D8297">
        <f>IF(B8297=C8297, "YES", "WRONG")</f>
        <v/>
      </c>
    </row>
    <row r="8298">
      <c r="A8298" t="n">
        <v>8297</v>
      </c>
      <c r="B8298" t="inlineStr">
        <is>
          <t>V̅MMMCCXCVII</t>
        </is>
      </c>
      <c r="C8298">
        <f>ROMAN(8297)</f>
        <v/>
      </c>
      <c r="D8298">
        <f>IF(B8298=C8298, "YES", "WRONG")</f>
        <v/>
      </c>
    </row>
    <row r="8299">
      <c r="A8299" t="n">
        <v>8298</v>
      </c>
      <c r="B8299" t="inlineStr">
        <is>
          <t>V̅MMMCCXCVIII</t>
        </is>
      </c>
      <c r="C8299">
        <f>ROMAN(8298)</f>
        <v/>
      </c>
      <c r="D8299">
        <f>IF(B8299=C8299, "YES", "WRONG")</f>
        <v/>
      </c>
    </row>
    <row r="8300">
      <c r="A8300" t="n">
        <v>8299</v>
      </c>
      <c r="B8300" t="inlineStr">
        <is>
          <t>V̅MMMCCXCIX</t>
        </is>
      </c>
      <c r="C8300">
        <f>ROMAN(8299)</f>
        <v/>
      </c>
      <c r="D8300">
        <f>IF(B8300=C8300, "YES", "WRONG")</f>
        <v/>
      </c>
    </row>
    <row r="8301">
      <c r="A8301" t="n">
        <v>8300</v>
      </c>
      <c r="B8301" t="inlineStr">
        <is>
          <t>V̅MMMCCC</t>
        </is>
      </c>
      <c r="C8301">
        <f>ROMAN(8300)</f>
        <v/>
      </c>
      <c r="D8301">
        <f>IF(B8301=C8301, "YES", "WRONG")</f>
        <v/>
      </c>
    </row>
    <row r="8302">
      <c r="A8302" t="n">
        <v>8301</v>
      </c>
      <c r="B8302" t="inlineStr">
        <is>
          <t>V̅MMMCCCI</t>
        </is>
      </c>
      <c r="C8302">
        <f>ROMAN(8301)</f>
        <v/>
      </c>
      <c r="D8302">
        <f>IF(B8302=C8302, "YES", "WRONG")</f>
        <v/>
      </c>
    </row>
    <row r="8303">
      <c r="A8303" t="n">
        <v>8302</v>
      </c>
      <c r="B8303" t="inlineStr">
        <is>
          <t>V̅MMMCCCII</t>
        </is>
      </c>
      <c r="C8303">
        <f>ROMAN(8302)</f>
        <v/>
      </c>
      <c r="D8303">
        <f>IF(B8303=C8303, "YES", "WRONG")</f>
        <v/>
      </c>
    </row>
    <row r="8304">
      <c r="A8304" t="n">
        <v>8303</v>
      </c>
      <c r="B8304" t="inlineStr">
        <is>
          <t>V̅MMMCCCIII</t>
        </is>
      </c>
      <c r="C8304">
        <f>ROMAN(8303)</f>
        <v/>
      </c>
      <c r="D8304">
        <f>IF(B8304=C8304, "YES", "WRONG")</f>
        <v/>
      </c>
    </row>
    <row r="8305">
      <c r="A8305" t="n">
        <v>8304</v>
      </c>
      <c r="B8305" t="inlineStr">
        <is>
          <t>V̅MMMCCCIV</t>
        </is>
      </c>
      <c r="C8305">
        <f>ROMAN(8304)</f>
        <v/>
      </c>
      <c r="D8305">
        <f>IF(B8305=C8305, "YES", "WRONG")</f>
        <v/>
      </c>
    </row>
    <row r="8306">
      <c r="A8306" t="n">
        <v>8305</v>
      </c>
      <c r="B8306" t="inlineStr">
        <is>
          <t>V̅MMMCCCV</t>
        </is>
      </c>
      <c r="C8306">
        <f>ROMAN(8305)</f>
        <v/>
      </c>
      <c r="D8306">
        <f>IF(B8306=C8306, "YES", "WRONG")</f>
        <v/>
      </c>
    </row>
    <row r="8307">
      <c r="A8307" t="n">
        <v>8306</v>
      </c>
      <c r="B8307" t="inlineStr">
        <is>
          <t>V̅MMMCCCVI</t>
        </is>
      </c>
      <c r="C8307">
        <f>ROMAN(8306)</f>
        <v/>
      </c>
      <c r="D8307">
        <f>IF(B8307=C8307, "YES", "WRONG")</f>
        <v/>
      </c>
    </row>
    <row r="8308">
      <c r="A8308" t="n">
        <v>8307</v>
      </c>
      <c r="B8308" t="inlineStr">
        <is>
          <t>V̅MMMCCCVII</t>
        </is>
      </c>
      <c r="C8308">
        <f>ROMAN(8307)</f>
        <v/>
      </c>
      <c r="D8308">
        <f>IF(B8308=C8308, "YES", "WRONG")</f>
        <v/>
      </c>
    </row>
    <row r="8309">
      <c r="A8309" t="n">
        <v>8308</v>
      </c>
      <c r="B8309" t="inlineStr">
        <is>
          <t>V̅MMMCCCVIII</t>
        </is>
      </c>
      <c r="C8309">
        <f>ROMAN(8308)</f>
        <v/>
      </c>
      <c r="D8309">
        <f>IF(B8309=C8309, "YES", "WRONG")</f>
        <v/>
      </c>
    </row>
    <row r="8310">
      <c r="A8310" t="n">
        <v>8309</v>
      </c>
      <c r="B8310" t="inlineStr">
        <is>
          <t>V̅MMMCCCIX</t>
        </is>
      </c>
      <c r="C8310">
        <f>ROMAN(8309)</f>
        <v/>
      </c>
      <c r="D8310">
        <f>IF(B8310=C8310, "YES", "WRONG")</f>
        <v/>
      </c>
    </row>
    <row r="8311">
      <c r="A8311" t="n">
        <v>8310</v>
      </c>
      <c r="B8311" t="inlineStr">
        <is>
          <t>V̅MMMCCCX</t>
        </is>
      </c>
      <c r="C8311">
        <f>ROMAN(8310)</f>
        <v/>
      </c>
      <c r="D8311">
        <f>IF(B8311=C8311, "YES", "WRONG")</f>
        <v/>
      </c>
    </row>
    <row r="8312">
      <c r="A8312" t="n">
        <v>8311</v>
      </c>
      <c r="B8312" t="inlineStr">
        <is>
          <t>V̅MMMCCCXI</t>
        </is>
      </c>
      <c r="C8312">
        <f>ROMAN(8311)</f>
        <v/>
      </c>
      <c r="D8312">
        <f>IF(B8312=C8312, "YES", "WRONG")</f>
        <v/>
      </c>
    </row>
    <row r="8313">
      <c r="A8313" t="n">
        <v>8312</v>
      </c>
      <c r="B8313" t="inlineStr">
        <is>
          <t>V̅MMMCCCXII</t>
        </is>
      </c>
      <c r="C8313">
        <f>ROMAN(8312)</f>
        <v/>
      </c>
      <c r="D8313">
        <f>IF(B8313=C8313, "YES", "WRONG")</f>
        <v/>
      </c>
    </row>
    <row r="8314">
      <c r="A8314" t="n">
        <v>8313</v>
      </c>
      <c r="B8314" t="inlineStr">
        <is>
          <t>V̅MMMCCCXIII</t>
        </is>
      </c>
      <c r="C8314">
        <f>ROMAN(8313)</f>
        <v/>
      </c>
      <c r="D8314">
        <f>IF(B8314=C8314, "YES", "WRONG")</f>
        <v/>
      </c>
    </row>
    <row r="8315">
      <c r="A8315" t="n">
        <v>8314</v>
      </c>
      <c r="B8315" t="inlineStr">
        <is>
          <t>V̅MMMCCCXIV</t>
        </is>
      </c>
      <c r="C8315">
        <f>ROMAN(8314)</f>
        <v/>
      </c>
      <c r="D8315">
        <f>IF(B8315=C8315, "YES", "WRONG")</f>
        <v/>
      </c>
    </row>
    <row r="8316">
      <c r="A8316" t="n">
        <v>8315</v>
      </c>
      <c r="B8316" t="inlineStr">
        <is>
          <t>V̅MMMCCCXV</t>
        </is>
      </c>
      <c r="C8316">
        <f>ROMAN(8315)</f>
        <v/>
      </c>
      <c r="D8316">
        <f>IF(B8316=C8316, "YES", "WRONG")</f>
        <v/>
      </c>
    </row>
    <row r="8317">
      <c r="A8317" t="n">
        <v>8316</v>
      </c>
      <c r="B8317" t="inlineStr">
        <is>
          <t>V̅MMMCCCXVI</t>
        </is>
      </c>
      <c r="C8317">
        <f>ROMAN(8316)</f>
        <v/>
      </c>
      <c r="D8317">
        <f>IF(B8317=C8317, "YES", "WRONG")</f>
        <v/>
      </c>
    </row>
    <row r="8318">
      <c r="A8318" t="n">
        <v>8317</v>
      </c>
      <c r="B8318" t="inlineStr">
        <is>
          <t>V̅MMMCCCXVII</t>
        </is>
      </c>
      <c r="C8318">
        <f>ROMAN(8317)</f>
        <v/>
      </c>
      <c r="D8318">
        <f>IF(B8318=C8318, "YES", "WRONG")</f>
        <v/>
      </c>
    </row>
    <row r="8319">
      <c r="A8319" t="n">
        <v>8318</v>
      </c>
      <c r="B8319" t="inlineStr">
        <is>
          <t>V̅MMMCCCXVIII</t>
        </is>
      </c>
      <c r="C8319">
        <f>ROMAN(8318)</f>
        <v/>
      </c>
      <c r="D8319">
        <f>IF(B8319=C8319, "YES", "WRONG")</f>
        <v/>
      </c>
    </row>
    <row r="8320">
      <c r="A8320" t="n">
        <v>8319</v>
      </c>
      <c r="B8320" t="inlineStr">
        <is>
          <t>V̅MMMCCCXIX</t>
        </is>
      </c>
      <c r="C8320">
        <f>ROMAN(8319)</f>
        <v/>
      </c>
      <c r="D8320">
        <f>IF(B8320=C8320, "YES", "WRONG")</f>
        <v/>
      </c>
    </row>
    <row r="8321">
      <c r="A8321" t="n">
        <v>8320</v>
      </c>
      <c r="B8321" t="inlineStr">
        <is>
          <t>V̅MMMCCCXX</t>
        </is>
      </c>
      <c r="C8321">
        <f>ROMAN(8320)</f>
        <v/>
      </c>
      <c r="D8321">
        <f>IF(B8321=C8321, "YES", "WRONG")</f>
        <v/>
      </c>
    </row>
    <row r="8322">
      <c r="A8322" t="n">
        <v>8321</v>
      </c>
      <c r="B8322" t="inlineStr">
        <is>
          <t>V̅MMMCCCXXI</t>
        </is>
      </c>
      <c r="C8322">
        <f>ROMAN(8321)</f>
        <v/>
      </c>
      <c r="D8322">
        <f>IF(B8322=C8322, "YES", "WRONG")</f>
        <v/>
      </c>
    </row>
    <row r="8323">
      <c r="A8323" t="n">
        <v>8322</v>
      </c>
      <c r="B8323" t="inlineStr">
        <is>
          <t>V̅MMMCCCXXII</t>
        </is>
      </c>
      <c r="C8323">
        <f>ROMAN(8322)</f>
        <v/>
      </c>
      <c r="D8323">
        <f>IF(B8323=C8323, "YES", "WRONG")</f>
        <v/>
      </c>
    </row>
    <row r="8324">
      <c r="A8324" t="n">
        <v>8323</v>
      </c>
      <c r="B8324" t="inlineStr">
        <is>
          <t>V̅MMMCCCXXIII</t>
        </is>
      </c>
      <c r="C8324">
        <f>ROMAN(8323)</f>
        <v/>
      </c>
      <c r="D8324">
        <f>IF(B8324=C8324, "YES", "WRONG")</f>
        <v/>
      </c>
    </row>
    <row r="8325">
      <c r="A8325" t="n">
        <v>8324</v>
      </c>
      <c r="B8325" t="inlineStr">
        <is>
          <t>V̅MMMCCCXXIV</t>
        </is>
      </c>
      <c r="C8325">
        <f>ROMAN(8324)</f>
        <v/>
      </c>
      <c r="D8325">
        <f>IF(B8325=C8325, "YES", "WRONG")</f>
        <v/>
      </c>
    </row>
    <row r="8326">
      <c r="A8326" t="n">
        <v>8325</v>
      </c>
      <c r="B8326" t="inlineStr">
        <is>
          <t>V̅MMMCCCXXV</t>
        </is>
      </c>
      <c r="C8326">
        <f>ROMAN(8325)</f>
        <v/>
      </c>
      <c r="D8326">
        <f>IF(B8326=C8326, "YES", "WRONG")</f>
        <v/>
      </c>
    </row>
    <row r="8327">
      <c r="A8327" t="n">
        <v>8326</v>
      </c>
      <c r="B8327" t="inlineStr">
        <is>
          <t>V̅MMMCCCXXVI</t>
        </is>
      </c>
      <c r="C8327">
        <f>ROMAN(8326)</f>
        <v/>
      </c>
      <c r="D8327">
        <f>IF(B8327=C8327, "YES", "WRONG")</f>
        <v/>
      </c>
    </row>
    <row r="8328">
      <c r="A8328" t="n">
        <v>8327</v>
      </c>
      <c r="B8328" t="inlineStr">
        <is>
          <t>V̅MMMCCCXXVII</t>
        </is>
      </c>
      <c r="C8328">
        <f>ROMAN(8327)</f>
        <v/>
      </c>
      <c r="D8328">
        <f>IF(B8328=C8328, "YES", "WRONG")</f>
        <v/>
      </c>
    </row>
    <row r="8329">
      <c r="A8329" t="n">
        <v>8328</v>
      </c>
      <c r="B8329" t="inlineStr">
        <is>
          <t>V̅MMMCCCXXVIII</t>
        </is>
      </c>
      <c r="C8329">
        <f>ROMAN(8328)</f>
        <v/>
      </c>
      <c r="D8329">
        <f>IF(B8329=C8329, "YES", "WRONG")</f>
        <v/>
      </c>
    </row>
    <row r="8330">
      <c r="A8330" t="n">
        <v>8329</v>
      </c>
      <c r="B8330" t="inlineStr">
        <is>
          <t>V̅MMMCCCXXIX</t>
        </is>
      </c>
      <c r="C8330">
        <f>ROMAN(8329)</f>
        <v/>
      </c>
      <c r="D8330">
        <f>IF(B8330=C8330, "YES", "WRONG")</f>
        <v/>
      </c>
    </row>
    <row r="8331">
      <c r="A8331" t="n">
        <v>8330</v>
      </c>
      <c r="B8331" t="inlineStr">
        <is>
          <t>V̅MMMCCCXXX</t>
        </is>
      </c>
      <c r="C8331">
        <f>ROMAN(8330)</f>
        <v/>
      </c>
      <c r="D8331">
        <f>IF(B8331=C8331, "YES", "WRONG")</f>
        <v/>
      </c>
    </row>
    <row r="8332">
      <c r="A8332" t="n">
        <v>8331</v>
      </c>
      <c r="B8332" t="inlineStr">
        <is>
          <t>V̅MMMCCCXXXI</t>
        </is>
      </c>
      <c r="C8332">
        <f>ROMAN(8331)</f>
        <v/>
      </c>
      <c r="D8332">
        <f>IF(B8332=C8332, "YES", "WRONG")</f>
        <v/>
      </c>
    </row>
    <row r="8333">
      <c r="A8333" t="n">
        <v>8332</v>
      </c>
      <c r="B8333" t="inlineStr">
        <is>
          <t>V̅MMMCCCXXXII</t>
        </is>
      </c>
      <c r="C8333">
        <f>ROMAN(8332)</f>
        <v/>
      </c>
      <c r="D8333">
        <f>IF(B8333=C8333, "YES", "WRONG")</f>
        <v/>
      </c>
    </row>
    <row r="8334">
      <c r="A8334" t="n">
        <v>8333</v>
      </c>
      <c r="B8334" t="inlineStr">
        <is>
          <t>V̅MMMCCCXXXIII</t>
        </is>
      </c>
      <c r="C8334">
        <f>ROMAN(8333)</f>
        <v/>
      </c>
      <c r="D8334">
        <f>IF(B8334=C8334, "YES", "WRONG")</f>
        <v/>
      </c>
    </row>
    <row r="8335">
      <c r="A8335" t="n">
        <v>8334</v>
      </c>
      <c r="B8335" t="inlineStr">
        <is>
          <t>V̅MMMCCCXXXIV</t>
        </is>
      </c>
      <c r="C8335">
        <f>ROMAN(8334)</f>
        <v/>
      </c>
      <c r="D8335">
        <f>IF(B8335=C8335, "YES", "WRONG")</f>
        <v/>
      </c>
    </row>
    <row r="8336">
      <c r="A8336" t="n">
        <v>8335</v>
      </c>
      <c r="B8336" t="inlineStr">
        <is>
          <t>V̅MMMCCCXXXV</t>
        </is>
      </c>
      <c r="C8336">
        <f>ROMAN(8335)</f>
        <v/>
      </c>
      <c r="D8336">
        <f>IF(B8336=C8336, "YES", "WRONG")</f>
        <v/>
      </c>
    </row>
    <row r="8337">
      <c r="A8337" t="n">
        <v>8336</v>
      </c>
      <c r="B8337" t="inlineStr">
        <is>
          <t>V̅MMMCCCXXXVI</t>
        </is>
      </c>
      <c r="C8337">
        <f>ROMAN(8336)</f>
        <v/>
      </c>
      <c r="D8337">
        <f>IF(B8337=C8337, "YES", "WRONG")</f>
        <v/>
      </c>
    </row>
    <row r="8338">
      <c r="A8338" t="n">
        <v>8337</v>
      </c>
      <c r="B8338" t="inlineStr">
        <is>
          <t>V̅MMMCCCXXXVII</t>
        </is>
      </c>
      <c r="C8338">
        <f>ROMAN(8337)</f>
        <v/>
      </c>
      <c r="D8338">
        <f>IF(B8338=C8338, "YES", "WRONG")</f>
        <v/>
      </c>
    </row>
    <row r="8339">
      <c r="A8339" t="n">
        <v>8338</v>
      </c>
      <c r="B8339" t="inlineStr">
        <is>
          <t>V̅MMMCCCXXXVIII</t>
        </is>
      </c>
      <c r="C8339">
        <f>ROMAN(8338)</f>
        <v/>
      </c>
      <c r="D8339">
        <f>IF(B8339=C8339, "YES", "WRONG")</f>
        <v/>
      </c>
    </row>
    <row r="8340">
      <c r="A8340" t="n">
        <v>8339</v>
      </c>
      <c r="B8340" t="inlineStr">
        <is>
          <t>V̅MMMCCCXXXIX</t>
        </is>
      </c>
      <c r="C8340">
        <f>ROMAN(8339)</f>
        <v/>
      </c>
      <c r="D8340">
        <f>IF(B8340=C8340, "YES", "WRONG")</f>
        <v/>
      </c>
    </row>
    <row r="8341">
      <c r="A8341" t="n">
        <v>8340</v>
      </c>
      <c r="B8341" t="inlineStr">
        <is>
          <t>V̅MMMCCCXL</t>
        </is>
      </c>
      <c r="C8341">
        <f>ROMAN(8340)</f>
        <v/>
      </c>
      <c r="D8341">
        <f>IF(B8341=C8341, "YES", "WRONG")</f>
        <v/>
      </c>
    </row>
    <row r="8342">
      <c r="A8342" t="n">
        <v>8341</v>
      </c>
      <c r="B8342" t="inlineStr">
        <is>
          <t>V̅MMMCCCXLI</t>
        </is>
      </c>
      <c r="C8342">
        <f>ROMAN(8341)</f>
        <v/>
      </c>
      <c r="D8342">
        <f>IF(B8342=C8342, "YES", "WRONG")</f>
        <v/>
      </c>
    </row>
    <row r="8343">
      <c r="A8343" t="n">
        <v>8342</v>
      </c>
      <c r="B8343" t="inlineStr">
        <is>
          <t>V̅MMMCCCXLII</t>
        </is>
      </c>
      <c r="C8343">
        <f>ROMAN(8342)</f>
        <v/>
      </c>
      <c r="D8343">
        <f>IF(B8343=C8343, "YES", "WRONG")</f>
        <v/>
      </c>
    </row>
    <row r="8344">
      <c r="A8344" t="n">
        <v>8343</v>
      </c>
      <c r="B8344" t="inlineStr">
        <is>
          <t>V̅MMMCCCXLIII</t>
        </is>
      </c>
      <c r="C8344">
        <f>ROMAN(8343)</f>
        <v/>
      </c>
      <c r="D8344">
        <f>IF(B8344=C8344, "YES", "WRONG")</f>
        <v/>
      </c>
    </row>
    <row r="8345">
      <c r="A8345" t="n">
        <v>8344</v>
      </c>
      <c r="B8345" t="inlineStr">
        <is>
          <t>V̅MMMCCCXLIV</t>
        </is>
      </c>
      <c r="C8345">
        <f>ROMAN(8344)</f>
        <v/>
      </c>
      <c r="D8345">
        <f>IF(B8345=C8345, "YES", "WRONG")</f>
        <v/>
      </c>
    </row>
    <row r="8346">
      <c r="A8346" t="n">
        <v>8345</v>
      </c>
      <c r="B8346" t="inlineStr">
        <is>
          <t>V̅MMMCCCXLV</t>
        </is>
      </c>
      <c r="C8346">
        <f>ROMAN(8345)</f>
        <v/>
      </c>
      <c r="D8346">
        <f>IF(B8346=C8346, "YES", "WRONG")</f>
        <v/>
      </c>
    </row>
    <row r="8347">
      <c r="A8347" t="n">
        <v>8346</v>
      </c>
      <c r="B8347" t="inlineStr">
        <is>
          <t>V̅MMMCCCXLVI</t>
        </is>
      </c>
      <c r="C8347">
        <f>ROMAN(8346)</f>
        <v/>
      </c>
      <c r="D8347">
        <f>IF(B8347=C8347, "YES", "WRONG")</f>
        <v/>
      </c>
    </row>
    <row r="8348">
      <c r="A8348" t="n">
        <v>8347</v>
      </c>
      <c r="B8348" t="inlineStr">
        <is>
          <t>V̅MMMCCCXLVII</t>
        </is>
      </c>
      <c r="C8348">
        <f>ROMAN(8347)</f>
        <v/>
      </c>
      <c r="D8348">
        <f>IF(B8348=C8348, "YES", "WRONG")</f>
        <v/>
      </c>
    </row>
    <row r="8349">
      <c r="A8349" t="n">
        <v>8348</v>
      </c>
      <c r="B8349" t="inlineStr">
        <is>
          <t>V̅MMMCCCXLVIII</t>
        </is>
      </c>
      <c r="C8349">
        <f>ROMAN(8348)</f>
        <v/>
      </c>
      <c r="D8349">
        <f>IF(B8349=C8349, "YES", "WRONG")</f>
        <v/>
      </c>
    </row>
    <row r="8350">
      <c r="A8350" t="n">
        <v>8349</v>
      </c>
      <c r="B8350" t="inlineStr">
        <is>
          <t>V̅MMMCCCXLIX</t>
        </is>
      </c>
      <c r="C8350">
        <f>ROMAN(8349)</f>
        <v/>
      </c>
      <c r="D8350">
        <f>IF(B8350=C8350, "YES", "WRONG")</f>
        <v/>
      </c>
    </row>
    <row r="8351">
      <c r="A8351" t="n">
        <v>8350</v>
      </c>
      <c r="B8351" t="inlineStr">
        <is>
          <t>V̅MMMCCCL</t>
        </is>
      </c>
      <c r="C8351">
        <f>ROMAN(8350)</f>
        <v/>
      </c>
      <c r="D8351">
        <f>IF(B8351=C8351, "YES", "WRONG")</f>
        <v/>
      </c>
    </row>
    <row r="8352">
      <c r="A8352" t="n">
        <v>8351</v>
      </c>
      <c r="B8352" t="inlineStr">
        <is>
          <t>V̅MMMCCCLI</t>
        </is>
      </c>
      <c r="C8352">
        <f>ROMAN(8351)</f>
        <v/>
      </c>
      <c r="D8352">
        <f>IF(B8352=C8352, "YES", "WRONG")</f>
        <v/>
      </c>
    </row>
    <row r="8353">
      <c r="A8353" t="n">
        <v>8352</v>
      </c>
      <c r="B8353" t="inlineStr">
        <is>
          <t>V̅MMMCCCLII</t>
        </is>
      </c>
      <c r="C8353">
        <f>ROMAN(8352)</f>
        <v/>
      </c>
      <c r="D8353">
        <f>IF(B8353=C8353, "YES", "WRONG")</f>
        <v/>
      </c>
    </row>
    <row r="8354">
      <c r="A8354" t="n">
        <v>8353</v>
      </c>
      <c r="B8354" t="inlineStr">
        <is>
          <t>V̅MMMCCCLIII</t>
        </is>
      </c>
      <c r="C8354">
        <f>ROMAN(8353)</f>
        <v/>
      </c>
      <c r="D8354">
        <f>IF(B8354=C8354, "YES", "WRONG")</f>
        <v/>
      </c>
    </row>
    <row r="8355">
      <c r="A8355" t="n">
        <v>8354</v>
      </c>
      <c r="B8355" t="inlineStr">
        <is>
          <t>V̅MMMCCCLIV</t>
        </is>
      </c>
      <c r="C8355">
        <f>ROMAN(8354)</f>
        <v/>
      </c>
      <c r="D8355">
        <f>IF(B8355=C8355, "YES", "WRONG")</f>
        <v/>
      </c>
    </row>
    <row r="8356">
      <c r="A8356" t="n">
        <v>8355</v>
      </c>
      <c r="B8356" t="inlineStr">
        <is>
          <t>V̅MMMCCCLV</t>
        </is>
      </c>
      <c r="C8356">
        <f>ROMAN(8355)</f>
        <v/>
      </c>
      <c r="D8356">
        <f>IF(B8356=C8356, "YES", "WRONG")</f>
        <v/>
      </c>
    </row>
    <row r="8357">
      <c r="A8357" t="n">
        <v>8356</v>
      </c>
      <c r="B8357" t="inlineStr">
        <is>
          <t>V̅MMMCCCLVI</t>
        </is>
      </c>
      <c r="C8357">
        <f>ROMAN(8356)</f>
        <v/>
      </c>
      <c r="D8357">
        <f>IF(B8357=C8357, "YES", "WRONG")</f>
        <v/>
      </c>
    </row>
    <row r="8358">
      <c r="A8358" t="n">
        <v>8357</v>
      </c>
      <c r="B8358" t="inlineStr">
        <is>
          <t>V̅MMMCCCLVII</t>
        </is>
      </c>
      <c r="C8358">
        <f>ROMAN(8357)</f>
        <v/>
      </c>
      <c r="D8358">
        <f>IF(B8358=C8358, "YES", "WRONG")</f>
        <v/>
      </c>
    </row>
    <row r="8359">
      <c r="A8359" t="n">
        <v>8358</v>
      </c>
      <c r="B8359" t="inlineStr">
        <is>
          <t>V̅MMMCCCLVIII</t>
        </is>
      </c>
      <c r="C8359">
        <f>ROMAN(8358)</f>
        <v/>
      </c>
      <c r="D8359">
        <f>IF(B8359=C8359, "YES", "WRONG")</f>
        <v/>
      </c>
    </row>
    <row r="8360">
      <c r="A8360" t="n">
        <v>8359</v>
      </c>
      <c r="B8360" t="inlineStr">
        <is>
          <t>V̅MMMCCCLIX</t>
        </is>
      </c>
      <c r="C8360">
        <f>ROMAN(8359)</f>
        <v/>
      </c>
      <c r="D8360">
        <f>IF(B8360=C8360, "YES", "WRONG")</f>
        <v/>
      </c>
    </row>
    <row r="8361">
      <c r="A8361" t="n">
        <v>8360</v>
      </c>
      <c r="B8361" t="inlineStr">
        <is>
          <t>V̅MMMCCCLX</t>
        </is>
      </c>
      <c r="C8361">
        <f>ROMAN(8360)</f>
        <v/>
      </c>
      <c r="D8361">
        <f>IF(B8361=C8361, "YES", "WRONG")</f>
        <v/>
      </c>
    </row>
    <row r="8362">
      <c r="A8362" t="n">
        <v>8361</v>
      </c>
      <c r="B8362" t="inlineStr">
        <is>
          <t>V̅MMMCCCLXI</t>
        </is>
      </c>
      <c r="C8362">
        <f>ROMAN(8361)</f>
        <v/>
      </c>
      <c r="D8362">
        <f>IF(B8362=C8362, "YES", "WRONG")</f>
        <v/>
      </c>
    </row>
    <row r="8363">
      <c r="A8363" t="n">
        <v>8362</v>
      </c>
      <c r="B8363" t="inlineStr">
        <is>
          <t>V̅MMMCCCLXII</t>
        </is>
      </c>
      <c r="C8363">
        <f>ROMAN(8362)</f>
        <v/>
      </c>
      <c r="D8363">
        <f>IF(B8363=C8363, "YES", "WRONG")</f>
        <v/>
      </c>
    </row>
    <row r="8364">
      <c r="A8364" t="n">
        <v>8363</v>
      </c>
      <c r="B8364" t="inlineStr">
        <is>
          <t>V̅MMMCCCLXIII</t>
        </is>
      </c>
      <c r="C8364">
        <f>ROMAN(8363)</f>
        <v/>
      </c>
      <c r="D8364">
        <f>IF(B8364=C8364, "YES", "WRONG")</f>
        <v/>
      </c>
    </row>
    <row r="8365">
      <c r="A8365" t="n">
        <v>8364</v>
      </c>
      <c r="B8365" t="inlineStr">
        <is>
          <t>V̅MMMCCCLXIV</t>
        </is>
      </c>
      <c r="C8365">
        <f>ROMAN(8364)</f>
        <v/>
      </c>
      <c r="D8365">
        <f>IF(B8365=C8365, "YES", "WRONG")</f>
        <v/>
      </c>
    </row>
    <row r="8366">
      <c r="A8366" t="n">
        <v>8365</v>
      </c>
      <c r="B8366" t="inlineStr">
        <is>
          <t>V̅MMMCCCLXV</t>
        </is>
      </c>
      <c r="C8366">
        <f>ROMAN(8365)</f>
        <v/>
      </c>
      <c r="D8366">
        <f>IF(B8366=C8366, "YES", "WRONG")</f>
        <v/>
      </c>
    </row>
    <row r="8367">
      <c r="A8367" t="n">
        <v>8366</v>
      </c>
      <c r="B8367" t="inlineStr">
        <is>
          <t>V̅MMMCCCLXVI</t>
        </is>
      </c>
      <c r="C8367">
        <f>ROMAN(8366)</f>
        <v/>
      </c>
      <c r="D8367">
        <f>IF(B8367=C8367, "YES", "WRONG")</f>
        <v/>
      </c>
    </row>
    <row r="8368">
      <c r="A8368" t="n">
        <v>8367</v>
      </c>
      <c r="B8368" t="inlineStr">
        <is>
          <t>V̅MMMCCCLXVII</t>
        </is>
      </c>
      <c r="C8368">
        <f>ROMAN(8367)</f>
        <v/>
      </c>
      <c r="D8368">
        <f>IF(B8368=C8368, "YES", "WRONG")</f>
        <v/>
      </c>
    </row>
    <row r="8369">
      <c r="A8369" t="n">
        <v>8368</v>
      </c>
      <c r="B8369" t="inlineStr">
        <is>
          <t>V̅MMMCCCLXVIII</t>
        </is>
      </c>
      <c r="C8369">
        <f>ROMAN(8368)</f>
        <v/>
      </c>
      <c r="D8369">
        <f>IF(B8369=C8369, "YES", "WRONG")</f>
        <v/>
      </c>
    </row>
    <row r="8370">
      <c r="A8370" t="n">
        <v>8369</v>
      </c>
      <c r="B8370" t="inlineStr">
        <is>
          <t>V̅MMMCCCLXIX</t>
        </is>
      </c>
      <c r="C8370">
        <f>ROMAN(8369)</f>
        <v/>
      </c>
      <c r="D8370">
        <f>IF(B8370=C8370, "YES", "WRONG")</f>
        <v/>
      </c>
    </row>
    <row r="8371">
      <c r="A8371" t="n">
        <v>8370</v>
      </c>
      <c r="B8371" t="inlineStr">
        <is>
          <t>V̅MMMCCCLXX</t>
        </is>
      </c>
      <c r="C8371">
        <f>ROMAN(8370)</f>
        <v/>
      </c>
      <c r="D8371">
        <f>IF(B8371=C8371, "YES", "WRONG")</f>
        <v/>
      </c>
    </row>
    <row r="8372">
      <c r="A8372" t="n">
        <v>8371</v>
      </c>
      <c r="B8372" t="inlineStr">
        <is>
          <t>V̅MMMCCCLXXI</t>
        </is>
      </c>
      <c r="C8372">
        <f>ROMAN(8371)</f>
        <v/>
      </c>
      <c r="D8372">
        <f>IF(B8372=C8372, "YES", "WRONG")</f>
        <v/>
      </c>
    </row>
    <row r="8373">
      <c r="A8373" t="n">
        <v>8372</v>
      </c>
      <c r="B8373" t="inlineStr">
        <is>
          <t>V̅MMMCCCLXXII</t>
        </is>
      </c>
      <c r="C8373">
        <f>ROMAN(8372)</f>
        <v/>
      </c>
      <c r="D8373">
        <f>IF(B8373=C8373, "YES", "WRONG")</f>
        <v/>
      </c>
    </row>
    <row r="8374">
      <c r="A8374" t="n">
        <v>8373</v>
      </c>
      <c r="B8374" t="inlineStr">
        <is>
          <t>V̅MMMCCCLXXIII</t>
        </is>
      </c>
      <c r="C8374">
        <f>ROMAN(8373)</f>
        <v/>
      </c>
      <c r="D8374">
        <f>IF(B8374=C8374, "YES", "WRONG")</f>
        <v/>
      </c>
    </row>
    <row r="8375">
      <c r="A8375" t="n">
        <v>8374</v>
      </c>
      <c r="B8375" t="inlineStr">
        <is>
          <t>V̅MMMCCCLXXIV</t>
        </is>
      </c>
      <c r="C8375">
        <f>ROMAN(8374)</f>
        <v/>
      </c>
      <c r="D8375">
        <f>IF(B8375=C8375, "YES", "WRONG")</f>
        <v/>
      </c>
    </row>
    <row r="8376">
      <c r="A8376" t="n">
        <v>8375</v>
      </c>
      <c r="B8376" t="inlineStr">
        <is>
          <t>V̅MMMCCCLXXV</t>
        </is>
      </c>
      <c r="C8376">
        <f>ROMAN(8375)</f>
        <v/>
      </c>
      <c r="D8376">
        <f>IF(B8376=C8376, "YES", "WRONG")</f>
        <v/>
      </c>
    </row>
    <row r="8377">
      <c r="A8377" t="n">
        <v>8376</v>
      </c>
      <c r="B8377" t="inlineStr">
        <is>
          <t>V̅MMMCCCLXXVI</t>
        </is>
      </c>
      <c r="C8377">
        <f>ROMAN(8376)</f>
        <v/>
      </c>
      <c r="D8377">
        <f>IF(B8377=C8377, "YES", "WRONG")</f>
        <v/>
      </c>
    </row>
    <row r="8378">
      <c r="A8378" t="n">
        <v>8377</v>
      </c>
      <c r="B8378" t="inlineStr">
        <is>
          <t>V̅MMMCCCLXXVII</t>
        </is>
      </c>
      <c r="C8378">
        <f>ROMAN(8377)</f>
        <v/>
      </c>
      <c r="D8378">
        <f>IF(B8378=C8378, "YES", "WRONG")</f>
        <v/>
      </c>
    </row>
    <row r="8379">
      <c r="A8379" t="n">
        <v>8378</v>
      </c>
      <c r="B8379" t="inlineStr">
        <is>
          <t>V̅MMMCCCLXXVIII</t>
        </is>
      </c>
      <c r="C8379">
        <f>ROMAN(8378)</f>
        <v/>
      </c>
      <c r="D8379">
        <f>IF(B8379=C8379, "YES", "WRONG")</f>
        <v/>
      </c>
    </row>
    <row r="8380">
      <c r="A8380" t="n">
        <v>8379</v>
      </c>
      <c r="B8380" t="inlineStr">
        <is>
          <t>V̅MMMCCCLXXIX</t>
        </is>
      </c>
      <c r="C8380">
        <f>ROMAN(8379)</f>
        <v/>
      </c>
      <c r="D8380">
        <f>IF(B8380=C8380, "YES", "WRONG")</f>
        <v/>
      </c>
    </row>
    <row r="8381">
      <c r="A8381" t="n">
        <v>8380</v>
      </c>
      <c r="B8381" t="inlineStr">
        <is>
          <t>V̅MMMCCCLXXX</t>
        </is>
      </c>
      <c r="C8381">
        <f>ROMAN(8380)</f>
        <v/>
      </c>
      <c r="D8381">
        <f>IF(B8381=C8381, "YES", "WRONG")</f>
        <v/>
      </c>
    </row>
    <row r="8382">
      <c r="A8382" t="n">
        <v>8381</v>
      </c>
      <c r="B8382" t="inlineStr">
        <is>
          <t>V̅MMMCCCLXXXI</t>
        </is>
      </c>
      <c r="C8382">
        <f>ROMAN(8381)</f>
        <v/>
      </c>
      <c r="D8382">
        <f>IF(B8382=C8382, "YES", "WRONG")</f>
        <v/>
      </c>
    </row>
    <row r="8383">
      <c r="A8383" t="n">
        <v>8382</v>
      </c>
      <c r="B8383" t="inlineStr">
        <is>
          <t>V̅MMMCCCLXXXII</t>
        </is>
      </c>
      <c r="C8383">
        <f>ROMAN(8382)</f>
        <v/>
      </c>
      <c r="D8383">
        <f>IF(B8383=C8383, "YES", "WRONG")</f>
        <v/>
      </c>
    </row>
    <row r="8384">
      <c r="A8384" t="n">
        <v>8383</v>
      </c>
      <c r="B8384" t="inlineStr">
        <is>
          <t>V̅MMMCCCLXXXIII</t>
        </is>
      </c>
      <c r="C8384">
        <f>ROMAN(8383)</f>
        <v/>
      </c>
      <c r="D8384">
        <f>IF(B8384=C8384, "YES", "WRONG")</f>
        <v/>
      </c>
    </row>
    <row r="8385">
      <c r="A8385" t="n">
        <v>8384</v>
      </c>
      <c r="B8385" t="inlineStr">
        <is>
          <t>V̅MMMCCCLXXXIV</t>
        </is>
      </c>
      <c r="C8385">
        <f>ROMAN(8384)</f>
        <v/>
      </c>
      <c r="D8385">
        <f>IF(B8385=C8385, "YES", "WRONG")</f>
        <v/>
      </c>
    </row>
    <row r="8386">
      <c r="A8386" t="n">
        <v>8385</v>
      </c>
      <c r="B8386" t="inlineStr">
        <is>
          <t>V̅MMMCCCLXXXV</t>
        </is>
      </c>
      <c r="C8386">
        <f>ROMAN(8385)</f>
        <v/>
      </c>
      <c r="D8386">
        <f>IF(B8386=C8386, "YES", "WRONG")</f>
        <v/>
      </c>
    </row>
    <row r="8387">
      <c r="A8387" t="n">
        <v>8386</v>
      </c>
      <c r="B8387" t="inlineStr">
        <is>
          <t>V̅MMMCCCLXXXVI</t>
        </is>
      </c>
      <c r="C8387">
        <f>ROMAN(8386)</f>
        <v/>
      </c>
      <c r="D8387">
        <f>IF(B8387=C8387, "YES", "WRONG")</f>
        <v/>
      </c>
    </row>
    <row r="8388">
      <c r="A8388" t="n">
        <v>8387</v>
      </c>
      <c r="B8388" t="inlineStr">
        <is>
          <t>V̅MMMCCCLXXXVII</t>
        </is>
      </c>
      <c r="C8388">
        <f>ROMAN(8387)</f>
        <v/>
      </c>
      <c r="D8388">
        <f>IF(B8388=C8388, "YES", "WRONG")</f>
        <v/>
      </c>
    </row>
    <row r="8389">
      <c r="A8389" t="n">
        <v>8388</v>
      </c>
      <c r="B8389" t="inlineStr">
        <is>
          <t>V̅MMMCCCLXXXVIII</t>
        </is>
      </c>
      <c r="C8389">
        <f>ROMAN(8388)</f>
        <v/>
      </c>
      <c r="D8389">
        <f>IF(B8389=C8389, "YES", "WRONG")</f>
        <v/>
      </c>
    </row>
    <row r="8390">
      <c r="A8390" t="n">
        <v>8389</v>
      </c>
      <c r="B8390" t="inlineStr">
        <is>
          <t>V̅MMMCCCLXXXIX</t>
        </is>
      </c>
      <c r="C8390">
        <f>ROMAN(8389)</f>
        <v/>
      </c>
      <c r="D8390">
        <f>IF(B8390=C8390, "YES", "WRONG")</f>
        <v/>
      </c>
    </row>
    <row r="8391">
      <c r="A8391" t="n">
        <v>8390</v>
      </c>
      <c r="B8391" t="inlineStr">
        <is>
          <t>V̅MMMCCCXC</t>
        </is>
      </c>
      <c r="C8391">
        <f>ROMAN(8390)</f>
        <v/>
      </c>
      <c r="D8391">
        <f>IF(B8391=C8391, "YES", "WRONG")</f>
        <v/>
      </c>
    </row>
    <row r="8392">
      <c r="A8392" t="n">
        <v>8391</v>
      </c>
      <c r="B8392" t="inlineStr">
        <is>
          <t>V̅MMMCCCXCI</t>
        </is>
      </c>
      <c r="C8392">
        <f>ROMAN(8391)</f>
        <v/>
      </c>
      <c r="D8392">
        <f>IF(B8392=C8392, "YES", "WRONG")</f>
        <v/>
      </c>
    </row>
    <row r="8393">
      <c r="A8393" t="n">
        <v>8392</v>
      </c>
      <c r="B8393" t="inlineStr">
        <is>
          <t>V̅MMMCCCXCII</t>
        </is>
      </c>
      <c r="C8393">
        <f>ROMAN(8392)</f>
        <v/>
      </c>
      <c r="D8393">
        <f>IF(B8393=C8393, "YES", "WRONG")</f>
        <v/>
      </c>
    </row>
    <row r="8394">
      <c r="A8394" t="n">
        <v>8393</v>
      </c>
      <c r="B8394" t="inlineStr">
        <is>
          <t>V̅MMMCCCXCIII</t>
        </is>
      </c>
      <c r="C8394">
        <f>ROMAN(8393)</f>
        <v/>
      </c>
      <c r="D8394">
        <f>IF(B8394=C8394, "YES", "WRONG")</f>
        <v/>
      </c>
    </row>
    <row r="8395">
      <c r="A8395" t="n">
        <v>8394</v>
      </c>
      <c r="B8395" t="inlineStr">
        <is>
          <t>V̅MMMCCCXCIV</t>
        </is>
      </c>
      <c r="C8395">
        <f>ROMAN(8394)</f>
        <v/>
      </c>
      <c r="D8395">
        <f>IF(B8395=C8395, "YES", "WRONG")</f>
        <v/>
      </c>
    </row>
    <row r="8396">
      <c r="A8396" t="n">
        <v>8395</v>
      </c>
      <c r="B8396" t="inlineStr">
        <is>
          <t>V̅MMMCCCXCV</t>
        </is>
      </c>
      <c r="C8396">
        <f>ROMAN(8395)</f>
        <v/>
      </c>
      <c r="D8396">
        <f>IF(B8396=C8396, "YES", "WRONG")</f>
        <v/>
      </c>
    </row>
    <row r="8397">
      <c r="A8397" t="n">
        <v>8396</v>
      </c>
      <c r="B8397" t="inlineStr">
        <is>
          <t>V̅MMMCCCXCVI</t>
        </is>
      </c>
      <c r="C8397">
        <f>ROMAN(8396)</f>
        <v/>
      </c>
      <c r="D8397">
        <f>IF(B8397=C8397, "YES", "WRONG")</f>
        <v/>
      </c>
    </row>
    <row r="8398">
      <c r="A8398" t="n">
        <v>8397</v>
      </c>
      <c r="B8398" t="inlineStr">
        <is>
          <t>V̅MMMCCCXCVII</t>
        </is>
      </c>
      <c r="C8398">
        <f>ROMAN(8397)</f>
        <v/>
      </c>
      <c r="D8398">
        <f>IF(B8398=C8398, "YES", "WRONG")</f>
        <v/>
      </c>
    </row>
    <row r="8399">
      <c r="A8399" t="n">
        <v>8398</v>
      </c>
      <c r="B8399" t="inlineStr">
        <is>
          <t>V̅MMMCCCXCVIII</t>
        </is>
      </c>
      <c r="C8399">
        <f>ROMAN(8398)</f>
        <v/>
      </c>
      <c r="D8399">
        <f>IF(B8399=C8399, "YES", "WRONG")</f>
        <v/>
      </c>
    </row>
    <row r="8400">
      <c r="A8400" t="n">
        <v>8399</v>
      </c>
      <c r="B8400" t="inlineStr">
        <is>
          <t>V̅MMMCCCXCIX</t>
        </is>
      </c>
      <c r="C8400">
        <f>ROMAN(8399)</f>
        <v/>
      </c>
      <c r="D8400">
        <f>IF(B8400=C8400, "YES", "WRONG")</f>
        <v/>
      </c>
    </row>
    <row r="8401">
      <c r="A8401" t="n">
        <v>8400</v>
      </c>
      <c r="B8401" t="inlineStr">
        <is>
          <t>V̅MMMCD</t>
        </is>
      </c>
      <c r="C8401">
        <f>ROMAN(8400)</f>
        <v/>
      </c>
      <c r="D8401">
        <f>IF(B8401=C8401, "YES", "WRONG")</f>
        <v/>
      </c>
    </row>
    <row r="8402">
      <c r="A8402" t="n">
        <v>8401</v>
      </c>
      <c r="B8402" t="inlineStr">
        <is>
          <t>V̅MMMCDI</t>
        </is>
      </c>
      <c r="C8402">
        <f>ROMAN(8401)</f>
        <v/>
      </c>
      <c r="D8402">
        <f>IF(B8402=C8402, "YES", "WRONG")</f>
        <v/>
      </c>
    </row>
    <row r="8403">
      <c r="A8403" t="n">
        <v>8402</v>
      </c>
      <c r="B8403" t="inlineStr">
        <is>
          <t>V̅MMMCDII</t>
        </is>
      </c>
      <c r="C8403">
        <f>ROMAN(8402)</f>
        <v/>
      </c>
      <c r="D8403">
        <f>IF(B8403=C8403, "YES", "WRONG")</f>
        <v/>
      </c>
    </row>
    <row r="8404">
      <c r="A8404" t="n">
        <v>8403</v>
      </c>
      <c r="B8404" t="inlineStr">
        <is>
          <t>V̅MMMCDIII</t>
        </is>
      </c>
      <c r="C8404">
        <f>ROMAN(8403)</f>
        <v/>
      </c>
      <c r="D8404">
        <f>IF(B8404=C8404, "YES", "WRONG")</f>
        <v/>
      </c>
    </row>
    <row r="8405">
      <c r="A8405" t="n">
        <v>8404</v>
      </c>
      <c r="B8405" t="inlineStr">
        <is>
          <t>V̅MMMCDIV</t>
        </is>
      </c>
      <c r="C8405">
        <f>ROMAN(8404)</f>
        <v/>
      </c>
      <c r="D8405">
        <f>IF(B8405=C8405, "YES", "WRONG")</f>
        <v/>
      </c>
    </row>
    <row r="8406">
      <c r="A8406" t="n">
        <v>8405</v>
      </c>
      <c r="B8406" t="inlineStr">
        <is>
          <t>V̅MMMCDV</t>
        </is>
      </c>
      <c r="C8406">
        <f>ROMAN(8405)</f>
        <v/>
      </c>
      <c r="D8406">
        <f>IF(B8406=C8406, "YES", "WRONG")</f>
        <v/>
      </c>
    </row>
    <row r="8407">
      <c r="A8407" t="n">
        <v>8406</v>
      </c>
      <c r="B8407" t="inlineStr">
        <is>
          <t>V̅MMMCDVI</t>
        </is>
      </c>
      <c r="C8407">
        <f>ROMAN(8406)</f>
        <v/>
      </c>
      <c r="D8407">
        <f>IF(B8407=C8407, "YES", "WRONG")</f>
        <v/>
      </c>
    </row>
    <row r="8408">
      <c r="A8408" t="n">
        <v>8407</v>
      </c>
      <c r="B8408" t="inlineStr">
        <is>
          <t>V̅MMMCDVII</t>
        </is>
      </c>
      <c r="C8408">
        <f>ROMAN(8407)</f>
        <v/>
      </c>
      <c r="D8408">
        <f>IF(B8408=C8408, "YES", "WRONG")</f>
        <v/>
      </c>
    </row>
    <row r="8409">
      <c r="A8409" t="n">
        <v>8408</v>
      </c>
      <c r="B8409" t="inlineStr">
        <is>
          <t>V̅MMMCDVIII</t>
        </is>
      </c>
      <c r="C8409">
        <f>ROMAN(8408)</f>
        <v/>
      </c>
      <c r="D8409">
        <f>IF(B8409=C8409, "YES", "WRONG")</f>
        <v/>
      </c>
    </row>
    <row r="8410">
      <c r="A8410" t="n">
        <v>8409</v>
      </c>
      <c r="B8410" t="inlineStr">
        <is>
          <t>V̅MMMCDIX</t>
        </is>
      </c>
      <c r="C8410">
        <f>ROMAN(8409)</f>
        <v/>
      </c>
      <c r="D8410">
        <f>IF(B8410=C8410, "YES", "WRONG")</f>
        <v/>
      </c>
    </row>
    <row r="8411">
      <c r="A8411" t="n">
        <v>8410</v>
      </c>
      <c r="B8411" t="inlineStr">
        <is>
          <t>V̅MMMCDX</t>
        </is>
      </c>
      <c r="C8411">
        <f>ROMAN(8410)</f>
        <v/>
      </c>
      <c r="D8411">
        <f>IF(B8411=C8411, "YES", "WRONG")</f>
        <v/>
      </c>
    </row>
    <row r="8412">
      <c r="A8412" t="n">
        <v>8411</v>
      </c>
      <c r="B8412" t="inlineStr">
        <is>
          <t>V̅MMMCDXI</t>
        </is>
      </c>
      <c r="C8412">
        <f>ROMAN(8411)</f>
        <v/>
      </c>
      <c r="D8412">
        <f>IF(B8412=C8412, "YES", "WRONG")</f>
        <v/>
      </c>
    </row>
    <row r="8413">
      <c r="A8413" t="n">
        <v>8412</v>
      </c>
      <c r="B8413" t="inlineStr">
        <is>
          <t>V̅MMMCDXII</t>
        </is>
      </c>
      <c r="C8413">
        <f>ROMAN(8412)</f>
        <v/>
      </c>
      <c r="D8413">
        <f>IF(B8413=C8413, "YES", "WRONG")</f>
        <v/>
      </c>
    </row>
    <row r="8414">
      <c r="A8414" t="n">
        <v>8413</v>
      </c>
      <c r="B8414" t="inlineStr">
        <is>
          <t>V̅MMMCDXIII</t>
        </is>
      </c>
      <c r="C8414">
        <f>ROMAN(8413)</f>
        <v/>
      </c>
      <c r="D8414">
        <f>IF(B8414=C8414, "YES", "WRONG")</f>
        <v/>
      </c>
    </row>
    <row r="8415">
      <c r="A8415" t="n">
        <v>8414</v>
      </c>
      <c r="B8415" t="inlineStr">
        <is>
          <t>V̅MMMCDXIV</t>
        </is>
      </c>
      <c r="C8415">
        <f>ROMAN(8414)</f>
        <v/>
      </c>
      <c r="D8415">
        <f>IF(B8415=C8415, "YES", "WRONG")</f>
        <v/>
      </c>
    </row>
    <row r="8416">
      <c r="A8416" t="n">
        <v>8415</v>
      </c>
      <c r="B8416" t="inlineStr">
        <is>
          <t>V̅MMMCDXV</t>
        </is>
      </c>
      <c r="C8416">
        <f>ROMAN(8415)</f>
        <v/>
      </c>
      <c r="D8416">
        <f>IF(B8416=C8416, "YES", "WRONG")</f>
        <v/>
      </c>
    </row>
    <row r="8417">
      <c r="A8417" t="n">
        <v>8416</v>
      </c>
      <c r="B8417" t="inlineStr">
        <is>
          <t>V̅MMMCDXVI</t>
        </is>
      </c>
      <c r="C8417">
        <f>ROMAN(8416)</f>
        <v/>
      </c>
      <c r="D8417">
        <f>IF(B8417=C8417, "YES", "WRONG")</f>
        <v/>
      </c>
    </row>
    <row r="8418">
      <c r="A8418" t="n">
        <v>8417</v>
      </c>
      <c r="B8418" t="inlineStr">
        <is>
          <t>V̅MMMCDXVII</t>
        </is>
      </c>
      <c r="C8418">
        <f>ROMAN(8417)</f>
        <v/>
      </c>
      <c r="D8418">
        <f>IF(B8418=C8418, "YES", "WRONG")</f>
        <v/>
      </c>
    </row>
    <row r="8419">
      <c r="A8419" t="n">
        <v>8418</v>
      </c>
      <c r="B8419" t="inlineStr">
        <is>
          <t>V̅MMMCDXVIII</t>
        </is>
      </c>
      <c r="C8419">
        <f>ROMAN(8418)</f>
        <v/>
      </c>
      <c r="D8419">
        <f>IF(B8419=C8419, "YES", "WRONG")</f>
        <v/>
      </c>
    </row>
    <row r="8420">
      <c r="A8420" t="n">
        <v>8419</v>
      </c>
      <c r="B8420" t="inlineStr">
        <is>
          <t>V̅MMMCDXIX</t>
        </is>
      </c>
      <c r="C8420">
        <f>ROMAN(8419)</f>
        <v/>
      </c>
      <c r="D8420">
        <f>IF(B8420=C8420, "YES", "WRONG")</f>
        <v/>
      </c>
    </row>
    <row r="8421">
      <c r="A8421" t="n">
        <v>8420</v>
      </c>
      <c r="B8421" t="inlineStr">
        <is>
          <t>V̅MMMCDXX</t>
        </is>
      </c>
      <c r="C8421">
        <f>ROMAN(8420)</f>
        <v/>
      </c>
      <c r="D8421">
        <f>IF(B8421=C8421, "YES", "WRONG")</f>
        <v/>
      </c>
    </row>
    <row r="8422">
      <c r="A8422" t="n">
        <v>8421</v>
      </c>
      <c r="B8422" t="inlineStr">
        <is>
          <t>V̅MMMCDXXI</t>
        </is>
      </c>
      <c r="C8422">
        <f>ROMAN(8421)</f>
        <v/>
      </c>
      <c r="D8422">
        <f>IF(B8422=C8422, "YES", "WRONG")</f>
        <v/>
      </c>
    </row>
    <row r="8423">
      <c r="A8423" t="n">
        <v>8422</v>
      </c>
      <c r="B8423" t="inlineStr">
        <is>
          <t>V̅MMMCDXXII</t>
        </is>
      </c>
      <c r="C8423">
        <f>ROMAN(8422)</f>
        <v/>
      </c>
      <c r="D8423">
        <f>IF(B8423=C8423, "YES", "WRONG")</f>
        <v/>
      </c>
    </row>
    <row r="8424">
      <c r="A8424" t="n">
        <v>8423</v>
      </c>
      <c r="B8424" t="inlineStr">
        <is>
          <t>V̅MMMCDXXIII</t>
        </is>
      </c>
      <c r="C8424">
        <f>ROMAN(8423)</f>
        <v/>
      </c>
      <c r="D8424">
        <f>IF(B8424=C8424, "YES", "WRONG")</f>
        <v/>
      </c>
    </row>
    <row r="8425">
      <c r="A8425" t="n">
        <v>8424</v>
      </c>
      <c r="B8425" t="inlineStr">
        <is>
          <t>V̅MMMCDXXIV</t>
        </is>
      </c>
      <c r="C8425">
        <f>ROMAN(8424)</f>
        <v/>
      </c>
      <c r="D8425">
        <f>IF(B8425=C8425, "YES", "WRONG")</f>
        <v/>
      </c>
    </row>
    <row r="8426">
      <c r="A8426" t="n">
        <v>8425</v>
      </c>
      <c r="B8426" t="inlineStr">
        <is>
          <t>V̅MMMCDXXV</t>
        </is>
      </c>
      <c r="C8426">
        <f>ROMAN(8425)</f>
        <v/>
      </c>
      <c r="D8426">
        <f>IF(B8426=C8426, "YES", "WRONG")</f>
        <v/>
      </c>
    </row>
    <row r="8427">
      <c r="A8427" t="n">
        <v>8426</v>
      </c>
      <c r="B8427" t="inlineStr">
        <is>
          <t>V̅MMMCDXXVI</t>
        </is>
      </c>
      <c r="C8427">
        <f>ROMAN(8426)</f>
        <v/>
      </c>
      <c r="D8427">
        <f>IF(B8427=C8427, "YES", "WRONG")</f>
        <v/>
      </c>
    </row>
    <row r="8428">
      <c r="A8428" t="n">
        <v>8427</v>
      </c>
      <c r="B8428" t="inlineStr">
        <is>
          <t>V̅MMMCDXXVII</t>
        </is>
      </c>
      <c r="C8428">
        <f>ROMAN(8427)</f>
        <v/>
      </c>
      <c r="D8428">
        <f>IF(B8428=C8428, "YES", "WRONG")</f>
        <v/>
      </c>
    </row>
    <row r="8429">
      <c r="A8429" t="n">
        <v>8428</v>
      </c>
      <c r="B8429" t="inlineStr">
        <is>
          <t>V̅MMMCDXXVIII</t>
        </is>
      </c>
      <c r="C8429">
        <f>ROMAN(8428)</f>
        <v/>
      </c>
      <c r="D8429">
        <f>IF(B8429=C8429, "YES", "WRONG")</f>
        <v/>
      </c>
    </row>
    <row r="8430">
      <c r="A8430" t="n">
        <v>8429</v>
      </c>
      <c r="B8430" t="inlineStr">
        <is>
          <t>V̅MMMCDXXIX</t>
        </is>
      </c>
      <c r="C8430">
        <f>ROMAN(8429)</f>
        <v/>
      </c>
      <c r="D8430">
        <f>IF(B8430=C8430, "YES", "WRONG")</f>
        <v/>
      </c>
    </row>
    <row r="8431">
      <c r="A8431" t="n">
        <v>8430</v>
      </c>
      <c r="B8431" t="inlineStr">
        <is>
          <t>V̅MMMCDXXX</t>
        </is>
      </c>
      <c r="C8431">
        <f>ROMAN(8430)</f>
        <v/>
      </c>
      <c r="D8431">
        <f>IF(B8431=C8431, "YES", "WRONG")</f>
        <v/>
      </c>
    </row>
    <row r="8432">
      <c r="A8432" t="n">
        <v>8431</v>
      </c>
      <c r="B8432" t="inlineStr">
        <is>
          <t>V̅MMMCDXXXI</t>
        </is>
      </c>
      <c r="C8432">
        <f>ROMAN(8431)</f>
        <v/>
      </c>
      <c r="D8432">
        <f>IF(B8432=C8432, "YES", "WRONG")</f>
        <v/>
      </c>
    </row>
    <row r="8433">
      <c r="A8433" t="n">
        <v>8432</v>
      </c>
      <c r="B8433" t="inlineStr">
        <is>
          <t>V̅MMMCDXXXII</t>
        </is>
      </c>
      <c r="C8433">
        <f>ROMAN(8432)</f>
        <v/>
      </c>
      <c r="D8433">
        <f>IF(B8433=C8433, "YES", "WRONG")</f>
        <v/>
      </c>
    </row>
    <row r="8434">
      <c r="A8434" t="n">
        <v>8433</v>
      </c>
      <c r="B8434" t="inlineStr">
        <is>
          <t>V̅MMMCDXXXIII</t>
        </is>
      </c>
      <c r="C8434">
        <f>ROMAN(8433)</f>
        <v/>
      </c>
      <c r="D8434">
        <f>IF(B8434=C8434, "YES", "WRONG")</f>
        <v/>
      </c>
    </row>
    <row r="8435">
      <c r="A8435" t="n">
        <v>8434</v>
      </c>
      <c r="B8435" t="inlineStr">
        <is>
          <t>V̅MMMCDXXXIV</t>
        </is>
      </c>
      <c r="C8435">
        <f>ROMAN(8434)</f>
        <v/>
      </c>
      <c r="D8435">
        <f>IF(B8435=C8435, "YES", "WRONG")</f>
        <v/>
      </c>
    </row>
    <row r="8436">
      <c r="A8436" t="n">
        <v>8435</v>
      </c>
      <c r="B8436" t="inlineStr">
        <is>
          <t>V̅MMMCDXXXV</t>
        </is>
      </c>
      <c r="C8436">
        <f>ROMAN(8435)</f>
        <v/>
      </c>
      <c r="D8436">
        <f>IF(B8436=C8436, "YES", "WRONG")</f>
        <v/>
      </c>
    </row>
    <row r="8437">
      <c r="A8437" t="n">
        <v>8436</v>
      </c>
      <c r="B8437" t="inlineStr">
        <is>
          <t>V̅MMMCDXXXVI</t>
        </is>
      </c>
      <c r="C8437">
        <f>ROMAN(8436)</f>
        <v/>
      </c>
      <c r="D8437">
        <f>IF(B8437=C8437, "YES", "WRONG")</f>
        <v/>
      </c>
    </row>
    <row r="8438">
      <c r="A8438" t="n">
        <v>8437</v>
      </c>
      <c r="B8438" t="inlineStr">
        <is>
          <t>V̅MMMCDXXXVII</t>
        </is>
      </c>
      <c r="C8438">
        <f>ROMAN(8437)</f>
        <v/>
      </c>
      <c r="D8438">
        <f>IF(B8438=C8438, "YES", "WRONG")</f>
        <v/>
      </c>
    </row>
    <row r="8439">
      <c r="A8439" t="n">
        <v>8438</v>
      </c>
      <c r="B8439" t="inlineStr">
        <is>
          <t>V̅MMMCDXXXVIII</t>
        </is>
      </c>
      <c r="C8439">
        <f>ROMAN(8438)</f>
        <v/>
      </c>
      <c r="D8439">
        <f>IF(B8439=C8439, "YES", "WRONG")</f>
        <v/>
      </c>
    </row>
    <row r="8440">
      <c r="A8440" t="n">
        <v>8439</v>
      </c>
      <c r="B8440" t="inlineStr">
        <is>
          <t>V̅MMMCDXXXIX</t>
        </is>
      </c>
      <c r="C8440">
        <f>ROMAN(8439)</f>
        <v/>
      </c>
      <c r="D8440">
        <f>IF(B8440=C8440, "YES", "WRONG")</f>
        <v/>
      </c>
    </row>
    <row r="8441">
      <c r="A8441" t="n">
        <v>8440</v>
      </c>
      <c r="B8441" t="inlineStr">
        <is>
          <t>V̅MMMCDXL</t>
        </is>
      </c>
      <c r="C8441">
        <f>ROMAN(8440)</f>
        <v/>
      </c>
      <c r="D8441">
        <f>IF(B8441=C8441, "YES", "WRONG")</f>
        <v/>
      </c>
    </row>
    <row r="8442">
      <c r="A8442" t="n">
        <v>8441</v>
      </c>
      <c r="B8442" t="inlineStr">
        <is>
          <t>V̅MMMCDXLI</t>
        </is>
      </c>
      <c r="C8442">
        <f>ROMAN(8441)</f>
        <v/>
      </c>
      <c r="D8442">
        <f>IF(B8442=C8442, "YES", "WRONG")</f>
        <v/>
      </c>
    </row>
    <row r="8443">
      <c r="A8443" t="n">
        <v>8442</v>
      </c>
      <c r="B8443" t="inlineStr">
        <is>
          <t>V̅MMMCDXLII</t>
        </is>
      </c>
      <c r="C8443">
        <f>ROMAN(8442)</f>
        <v/>
      </c>
      <c r="D8443">
        <f>IF(B8443=C8443, "YES", "WRONG")</f>
        <v/>
      </c>
    </row>
    <row r="8444">
      <c r="A8444" t="n">
        <v>8443</v>
      </c>
      <c r="B8444" t="inlineStr">
        <is>
          <t>V̅MMMCDXLIII</t>
        </is>
      </c>
      <c r="C8444">
        <f>ROMAN(8443)</f>
        <v/>
      </c>
      <c r="D8444">
        <f>IF(B8444=C8444, "YES", "WRONG")</f>
        <v/>
      </c>
    </row>
    <row r="8445">
      <c r="A8445" t="n">
        <v>8444</v>
      </c>
      <c r="B8445" t="inlineStr">
        <is>
          <t>V̅MMMCDXLIV</t>
        </is>
      </c>
      <c r="C8445">
        <f>ROMAN(8444)</f>
        <v/>
      </c>
      <c r="D8445">
        <f>IF(B8445=C8445, "YES", "WRONG")</f>
        <v/>
      </c>
    </row>
    <row r="8446">
      <c r="A8446" t="n">
        <v>8445</v>
      </c>
      <c r="B8446" t="inlineStr">
        <is>
          <t>V̅MMMCDXLV</t>
        </is>
      </c>
      <c r="C8446">
        <f>ROMAN(8445)</f>
        <v/>
      </c>
      <c r="D8446">
        <f>IF(B8446=C8446, "YES", "WRONG")</f>
        <v/>
      </c>
    </row>
    <row r="8447">
      <c r="A8447" t="n">
        <v>8446</v>
      </c>
      <c r="B8447" t="inlineStr">
        <is>
          <t>V̅MMMCDXLVI</t>
        </is>
      </c>
      <c r="C8447">
        <f>ROMAN(8446)</f>
        <v/>
      </c>
      <c r="D8447">
        <f>IF(B8447=C8447, "YES", "WRONG")</f>
        <v/>
      </c>
    </row>
    <row r="8448">
      <c r="A8448" t="n">
        <v>8447</v>
      </c>
      <c r="B8448" t="inlineStr">
        <is>
          <t>V̅MMMCDXLVII</t>
        </is>
      </c>
      <c r="C8448">
        <f>ROMAN(8447)</f>
        <v/>
      </c>
      <c r="D8448">
        <f>IF(B8448=C8448, "YES", "WRONG")</f>
        <v/>
      </c>
    </row>
    <row r="8449">
      <c r="A8449" t="n">
        <v>8448</v>
      </c>
      <c r="B8449" t="inlineStr">
        <is>
          <t>V̅MMMCDXLVIII</t>
        </is>
      </c>
      <c r="C8449">
        <f>ROMAN(8448)</f>
        <v/>
      </c>
      <c r="D8449">
        <f>IF(B8449=C8449, "YES", "WRONG")</f>
        <v/>
      </c>
    </row>
    <row r="8450">
      <c r="A8450" t="n">
        <v>8449</v>
      </c>
      <c r="B8450" t="inlineStr">
        <is>
          <t>V̅MMMCDXLIX</t>
        </is>
      </c>
      <c r="C8450">
        <f>ROMAN(8449)</f>
        <v/>
      </c>
      <c r="D8450">
        <f>IF(B8450=C8450, "YES", "WRONG")</f>
        <v/>
      </c>
    </row>
    <row r="8451">
      <c r="A8451" t="n">
        <v>8450</v>
      </c>
      <c r="B8451" t="inlineStr">
        <is>
          <t>V̅MMMCDL</t>
        </is>
      </c>
      <c r="C8451">
        <f>ROMAN(8450)</f>
        <v/>
      </c>
      <c r="D8451">
        <f>IF(B8451=C8451, "YES", "WRONG")</f>
        <v/>
      </c>
    </row>
    <row r="8452">
      <c r="A8452" t="n">
        <v>8451</v>
      </c>
      <c r="B8452" t="inlineStr">
        <is>
          <t>V̅MMMCDLI</t>
        </is>
      </c>
      <c r="C8452">
        <f>ROMAN(8451)</f>
        <v/>
      </c>
      <c r="D8452">
        <f>IF(B8452=C8452, "YES", "WRONG")</f>
        <v/>
      </c>
    </row>
    <row r="8453">
      <c r="A8453" t="n">
        <v>8452</v>
      </c>
      <c r="B8453" t="inlineStr">
        <is>
          <t>V̅MMMCDLII</t>
        </is>
      </c>
      <c r="C8453">
        <f>ROMAN(8452)</f>
        <v/>
      </c>
      <c r="D8453">
        <f>IF(B8453=C8453, "YES", "WRONG")</f>
        <v/>
      </c>
    </row>
    <row r="8454">
      <c r="A8454" t="n">
        <v>8453</v>
      </c>
      <c r="B8454" t="inlineStr">
        <is>
          <t>V̅MMMCDLIII</t>
        </is>
      </c>
      <c r="C8454">
        <f>ROMAN(8453)</f>
        <v/>
      </c>
      <c r="D8454">
        <f>IF(B8454=C8454, "YES", "WRONG")</f>
        <v/>
      </c>
    </row>
    <row r="8455">
      <c r="A8455" t="n">
        <v>8454</v>
      </c>
      <c r="B8455" t="inlineStr">
        <is>
          <t>V̅MMMCDLIV</t>
        </is>
      </c>
      <c r="C8455">
        <f>ROMAN(8454)</f>
        <v/>
      </c>
      <c r="D8455">
        <f>IF(B8455=C8455, "YES", "WRONG")</f>
        <v/>
      </c>
    </row>
    <row r="8456">
      <c r="A8456" t="n">
        <v>8455</v>
      </c>
      <c r="B8456" t="inlineStr">
        <is>
          <t>V̅MMMCDLV</t>
        </is>
      </c>
      <c r="C8456">
        <f>ROMAN(8455)</f>
        <v/>
      </c>
      <c r="D8456">
        <f>IF(B8456=C8456, "YES", "WRONG")</f>
        <v/>
      </c>
    </row>
    <row r="8457">
      <c r="A8457" t="n">
        <v>8456</v>
      </c>
      <c r="B8457" t="inlineStr">
        <is>
          <t>V̅MMMCDLVI</t>
        </is>
      </c>
      <c r="C8457">
        <f>ROMAN(8456)</f>
        <v/>
      </c>
      <c r="D8457">
        <f>IF(B8457=C8457, "YES", "WRONG")</f>
        <v/>
      </c>
    </row>
    <row r="8458">
      <c r="A8458" t="n">
        <v>8457</v>
      </c>
      <c r="B8458" t="inlineStr">
        <is>
          <t>V̅MMMCDLVII</t>
        </is>
      </c>
      <c r="C8458">
        <f>ROMAN(8457)</f>
        <v/>
      </c>
      <c r="D8458">
        <f>IF(B8458=C8458, "YES", "WRONG")</f>
        <v/>
      </c>
    </row>
    <row r="8459">
      <c r="A8459" t="n">
        <v>8458</v>
      </c>
      <c r="B8459" t="inlineStr">
        <is>
          <t>V̅MMMCDLVIII</t>
        </is>
      </c>
      <c r="C8459">
        <f>ROMAN(8458)</f>
        <v/>
      </c>
      <c r="D8459">
        <f>IF(B8459=C8459, "YES", "WRONG")</f>
        <v/>
      </c>
    </row>
    <row r="8460">
      <c r="A8460" t="n">
        <v>8459</v>
      </c>
      <c r="B8460" t="inlineStr">
        <is>
          <t>V̅MMMCDLIX</t>
        </is>
      </c>
      <c r="C8460">
        <f>ROMAN(8459)</f>
        <v/>
      </c>
      <c r="D8460">
        <f>IF(B8460=C8460, "YES", "WRONG")</f>
        <v/>
      </c>
    </row>
    <row r="8461">
      <c r="A8461" t="n">
        <v>8460</v>
      </c>
      <c r="B8461" t="inlineStr">
        <is>
          <t>V̅MMMCDLX</t>
        </is>
      </c>
      <c r="C8461">
        <f>ROMAN(8460)</f>
        <v/>
      </c>
      <c r="D8461">
        <f>IF(B8461=C8461, "YES", "WRONG")</f>
        <v/>
      </c>
    </row>
    <row r="8462">
      <c r="A8462" t="n">
        <v>8461</v>
      </c>
      <c r="B8462" t="inlineStr">
        <is>
          <t>V̅MMMCDLXI</t>
        </is>
      </c>
      <c r="C8462">
        <f>ROMAN(8461)</f>
        <v/>
      </c>
      <c r="D8462">
        <f>IF(B8462=C8462, "YES", "WRONG")</f>
        <v/>
      </c>
    </row>
    <row r="8463">
      <c r="A8463" t="n">
        <v>8462</v>
      </c>
      <c r="B8463" t="inlineStr">
        <is>
          <t>V̅MMMCDLXII</t>
        </is>
      </c>
      <c r="C8463">
        <f>ROMAN(8462)</f>
        <v/>
      </c>
      <c r="D8463">
        <f>IF(B8463=C8463, "YES", "WRONG")</f>
        <v/>
      </c>
    </row>
    <row r="8464">
      <c r="A8464" t="n">
        <v>8463</v>
      </c>
      <c r="B8464" t="inlineStr">
        <is>
          <t>V̅MMMCDLXIII</t>
        </is>
      </c>
      <c r="C8464">
        <f>ROMAN(8463)</f>
        <v/>
      </c>
      <c r="D8464">
        <f>IF(B8464=C8464, "YES", "WRONG")</f>
        <v/>
      </c>
    </row>
    <row r="8465">
      <c r="A8465" t="n">
        <v>8464</v>
      </c>
      <c r="B8465" t="inlineStr">
        <is>
          <t>V̅MMMCDLXIV</t>
        </is>
      </c>
      <c r="C8465">
        <f>ROMAN(8464)</f>
        <v/>
      </c>
      <c r="D8465">
        <f>IF(B8465=C8465, "YES", "WRONG")</f>
        <v/>
      </c>
    </row>
    <row r="8466">
      <c r="A8466" t="n">
        <v>8465</v>
      </c>
      <c r="B8466" t="inlineStr">
        <is>
          <t>V̅MMMCDLXV</t>
        </is>
      </c>
      <c r="C8466">
        <f>ROMAN(8465)</f>
        <v/>
      </c>
      <c r="D8466">
        <f>IF(B8466=C8466, "YES", "WRONG")</f>
        <v/>
      </c>
    </row>
    <row r="8467">
      <c r="A8467" t="n">
        <v>8466</v>
      </c>
      <c r="B8467" t="inlineStr">
        <is>
          <t>V̅MMMCDLXVI</t>
        </is>
      </c>
      <c r="C8467">
        <f>ROMAN(8466)</f>
        <v/>
      </c>
      <c r="D8467">
        <f>IF(B8467=C8467, "YES", "WRONG")</f>
        <v/>
      </c>
    </row>
    <row r="8468">
      <c r="A8468" t="n">
        <v>8467</v>
      </c>
      <c r="B8468" t="inlineStr">
        <is>
          <t>V̅MMMCDLXVII</t>
        </is>
      </c>
      <c r="C8468">
        <f>ROMAN(8467)</f>
        <v/>
      </c>
      <c r="D8468">
        <f>IF(B8468=C8468, "YES", "WRONG")</f>
        <v/>
      </c>
    </row>
    <row r="8469">
      <c r="A8469" t="n">
        <v>8468</v>
      </c>
      <c r="B8469" t="inlineStr">
        <is>
          <t>V̅MMMCDLXVIII</t>
        </is>
      </c>
      <c r="C8469">
        <f>ROMAN(8468)</f>
        <v/>
      </c>
      <c r="D8469">
        <f>IF(B8469=C8469, "YES", "WRONG")</f>
        <v/>
      </c>
    </row>
    <row r="8470">
      <c r="A8470" t="n">
        <v>8469</v>
      </c>
      <c r="B8470" t="inlineStr">
        <is>
          <t>V̅MMMCDLXIX</t>
        </is>
      </c>
      <c r="C8470">
        <f>ROMAN(8469)</f>
        <v/>
      </c>
      <c r="D8470">
        <f>IF(B8470=C8470, "YES", "WRONG")</f>
        <v/>
      </c>
    </row>
    <row r="8471">
      <c r="A8471" t="n">
        <v>8470</v>
      </c>
      <c r="B8471" t="inlineStr">
        <is>
          <t>V̅MMMCDLXX</t>
        </is>
      </c>
      <c r="C8471">
        <f>ROMAN(8470)</f>
        <v/>
      </c>
      <c r="D8471">
        <f>IF(B8471=C8471, "YES", "WRONG")</f>
        <v/>
      </c>
    </row>
    <row r="8472">
      <c r="A8472" t="n">
        <v>8471</v>
      </c>
      <c r="B8472" t="inlineStr">
        <is>
          <t>V̅MMMCDLXXI</t>
        </is>
      </c>
      <c r="C8472">
        <f>ROMAN(8471)</f>
        <v/>
      </c>
      <c r="D8472">
        <f>IF(B8472=C8472, "YES", "WRONG")</f>
        <v/>
      </c>
    </row>
    <row r="8473">
      <c r="A8473" t="n">
        <v>8472</v>
      </c>
      <c r="B8473" t="inlineStr">
        <is>
          <t>V̅MMMCDLXXII</t>
        </is>
      </c>
      <c r="C8473">
        <f>ROMAN(8472)</f>
        <v/>
      </c>
      <c r="D8473">
        <f>IF(B8473=C8473, "YES", "WRONG")</f>
        <v/>
      </c>
    </row>
    <row r="8474">
      <c r="A8474" t="n">
        <v>8473</v>
      </c>
      <c r="B8474" t="inlineStr">
        <is>
          <t>V̅MMMCDLXXIII</t>
        </is>
      </c>
      <c r="C8474">
        <f>ROMAN(8473)</f>
        <v/>
      </c>
      <c r="D8474">
        <f>IF(B8474=C8474, "YES", "WRONG")</f>
        <v/>
      </c>
    </row>
    <row r="8475">
      <c r="A8475" t="n">
        <v>8474</v>
      </c>
      <c r="B8475" t="inlineStr">
        <is>
          <t>V̅MMMCDLXXIV</t>
        </is>
      </c>
      <c r="C8475">
        <f>ROMAN(8474)</f>
        <v/>
      </c>
      <c r="D8475">
        <f>IF(B8475=C8475, "YES", "WRONG")</f>
        <v/>
      </c>
    </row>
    <row r="8476">
      <c r="A8476" t="n">
        <v>8475</v>
      </c>
      <c r="B8476" t="inlineStr">
        <is>
          <t>V̅MMMCDLXXV</t>
        </is>
      </c>
      <c r="C8476">
        <f>ROMAN(8475)</f>
        <v/>
      </c>
      <c r="D8476">
        <f>IF(B8476=C8476, "YES", "WRONG")</f>
        <v/>
      </c>
    </row>
    <row r="8477">
      <c r="A8477" t="n">
        <v>8476</v>
      </c>
      <c r="B8477" t="inlineStr">
        <is>
          <t>V̅MMMCDLXXVI</t>
        </is>
      </c>
      <c r="C8477">
        <f>ROMAN(8476)</f>
        <v/>
      </c>
      <c r="D8477">
        <f>IF(B8477=C8477, "YES", "WRONG")</f>
        <v/>
      </c>
    </row>
    <row r="8478">
      <c r="A8478" t="n">
        <v>8477</v>
      </c>
      <c r="B8478" t="inlineStr">
        <is>
          <t>V̅MMMCDLXXVII</t>
        </is>
      </c>
      <c r="C8478">
        <f>ROMAN(8477)</f>
        <v/>
      </c>
      <c r="D8478">
        <f>IF(B8478=C8478, "YES", "WRONG")</f>
        <v/>
      </c>
    </row>
    <row r="8479">
      <c r="A8479" t="n">
        <v>8478</v>
      </c>
      <c r="B8479" t="inlineStr">
        <is>
          <t>V̅MMMCDLXXVIII</t>
        </is>
      </c>
      <c r="C8479">
        <f>ROMAN(8478)</f>
        <v/>
      </c>
      <c r="D8479">
        <f>IF(B8479=C8479, "YES", "WRONG")</f>
        <v/>
      </c>
    </row>
    <row r="8480">
      <c r="A8480" t="n">
        <v>8479</v>
      </c>
      <c r="B8480" t="inlineStr">
        <is>
          <t>V̅MMMCDLXXIX</t>
        </is>
      </c>
      <c r="C8480">
        <f>ROMAN(8479)</f>
        <v/>
      </c>
      <c r="D8480">
        <f>IF(B8480=C8480, "YES", "WRONG")</f>
        <v/>
      </c>
    </row>
    <row r="8481">
      <c r="A8481" t="n">
        <v>8480</v>
      </c>
      <c r="B8481" t="inlineStr">
        <is>
          <t>V̅MMMCDLXXX</t>
        </is>
      </c>
      <c r="C8481">
        <f>ROMAN(8480)</f>
        <v/>
      </c>
      <c r="D8481">
        <f>IF(B8481=C8481, "YES", "WRONG")</f>
        <v/>
      </c>
    </row>
    <row r="8482">
      <c r="A8482" t="n">
        <v>8481</v>
      </c>
      <c r="B8482" t="inlineStr">
        <is>
          <t>V̅MMMCDLXXXI</t>
        </is>
      </c>
      <c r="C8482">
        <f>ROMAN(8481)</f>
        <v/>
      </c>
      <c r="D8482">
        <f>IF(B8482=C8482, "YES", "WRONG")</f>
        <v/>
      </c>
    </row>
    <row r="8483">
      <c r="A8483" t="n">
        <v>8482</v>
      </c>
      <c r="B8483" t="inlineStr">
        <is>
          <t>V̅MMMCDLXXXII</t>
        </is>
      </c>
      <c r="C8483">
        <f>ROMAN(8482)</f>
        <v/>
      </c>
      <c r="D8483">
        <f>IF(B8483=C8483, "YES", "WRONG")</f>
        <v/>
      </c>
    </row>
    <row r="8484">
      <c r="A8484" t="n">
        <v>8483</v>
      </c>
      <c r="B8484" t="inlineStr">
        <is>
          <t>V̅MMMCDLXXXIII</t>
        </is>
      </c>
      <c r="C8484">
        <f>ROMAN(8483)</f>
        <v/>
      </c>
      <c r="D8484">
        <f>IF(B8484=C8484, "YES", "WRONG")</f>
        <v/>
      </c>
    </row>
    <row r="8485">
      <c r="A8485" t="n">
        <v>8484</v>
      </c>
      <c r="B8485" t="inlineStr">
        <is>
          <t>V̅MMMCDLXXXIV</t>
        </is>
      </c>
      <c r="C8485">
        <f>ROMAN(8484)</f>
        <v/>
      </c>
      <c r="D8485">
        <f>IF(B8485=C8485, "YES", "WRONG")</f>
        <v/>
      </c>
    </row>
    <row r="8486">
      <c r="A8486" t="n">
        <v>8485</v>
      </c>
      <c r="B8486" t="inlineStr">
        <is>
          <t>V̅MMMCDLXXXV</t>
        </is>
      </c>
      <c r="C8486">
        <f>ROMAN(8485)</f>
        <v/>
      </c>
      <c r="D8486">
        <f>IF(B8486=C8486, "YES", "WRONG")</f>
        <v/>
      </c>
    </row>
    <row r="8487">
      <c r="A8487" t="n">
        <v>8486</v>
      </c>
      <c r="B8487" t="inlineStr">
        <is>
          <t>V̅MMMCDLXXXVI</t>
        </is>
      </c>
      <c r="C8487">
        <f>ROMAN(8486)</f>
        <v/>
      </c>
      <c r="D8487">
        <f>IF(B8487=C8487, "YES", "WRONG")</f>
        <v/>
      </c>
    </row>
    <row r="8488">
      <c r="A8488" t="n">
        <v>8487</v>
      </c>
      <c r="B8488" t="inlineStr">
        <is>
          <t>V̅MMMCDLXXXVII</t>
        </is>
      </c>
      <c r="C8488">
        <f>ROMAN(8487)</f>
        <v/>
      </c>
      <c r="D8488">
        <f>IF(B8488=C8488, "YES", "WRONG")</f>
        <v/>
      </c>
    </row>
    <row r="8489">
      <c r="A8489" t="n">
        <v>8488</v>
      </c>
      <c r="B8489" t="inlineStr">
        <is>
          <t>V̅MMMCDLXXXVIII</t>
        </is>
      </c>
      <c r="C8489">
        <f>ROMAN(8488)</f>
        <v/>
      </c>
      <c r="D8489">
        <f>IF(B8489=C8489, "YES", "WRONG")</f>
        <v/>
      </c>
    </row>
    <row r="8490">
      <c r="A8490" t="n">
        <v>8489</v>
      </c>
      <c r="B8490" t="inlineStr">
        <is>
          <t>V̅MMMCDLXXXIX</t>
        </is>
      </c>
      <c r="C8490">
        <f>ROMAN(8489)</f>
        <v/>
      </c>
      <c r="D8490">
        <f>IF(B8490=C8490, "YES", "WRONG")</f>
        <v/>
      </c>
    </row>
    <row r="8491">
      <c r="A8491" t="n">
        <v>8490</v>
      </c>
      <c r="B8491" t="inlineStr">
        <is>
          <t>V̅MMMCDXC</t>
        </is>
      </c>
      <c r="C8491">
        <f>ROMAN(8490)</f>
        <v/>
      </c>
      <c r="D8491">
        <f>IF(B8491=C8491, "YES", "WRONG")</f>
        <v/>
      </c>
    </row>
    <row r="8492">
      <c r="A8492" t="n">
        <v>8491</v>
      </c>
      <c r="B8492" t="inlineStr">
        <is>
          <t>V̅MMMCDXCI</t>
        </is>
      </c>
      <c r="C8492">
        <f>ROMAN(8491)</f>
        <v/>
      </c>
      <c r="D8492">
        <f>IF(B8492=C8492, "YES", "WRONG")</f>
        <v/>
      </c>
    </row>
    <row r="8493">
      <c r="A8493" t="n">
        <v>8492</v>
      </c>
      <c r="B8493" t="inlineStr">
        <is>
          <t>V̅MMMCDXCII</t>
        </is>
      </c>
      <c r="C8493">
        <f>ROMAN(8492)</f>
        <v/>
      </c>
      <c r="D8493">
        <f>IF(B8493=C8493, "YES", "WRONG")</f>
        <v/>
      </c>
    </row>
    <row r="8494">
      <c r="A8494" t="n">
        <v>8493</v>
      </c>
      <c r="B8494" t="inlineStr">
        <is>
          <t>V̅MMMCDXCIII</t>
        </is>
      </c>
      <c r="C8494">
        <f>ROMAN(8493)</f>
        <v/>
      </c>
      <c r="D8494">
        <f>IF(B8494=C8494, "YES", "WRONG")</f>
        <v/>
      </c>
    </row>
    <row r="8495">
      <c r="A8495" t="n">
        <v>8494</v>
      </c>
      <c r="B8495" t="inlineStr">
        <is>
          <t>V̅MMMCDXCIV</t>
        </is>
      </c>
      <c r="C8495">
        <f>ROMAN(8494)</f>
        <v/>
      </c>
      <c r="D8495">
        <f>IF(B8495=C8495, "YES", "WRONG")</f>
        <v/>
      </c>
    </row>
    <row r="8496">
      <c r="A8496" t="n">
        <v>8495</v>
      </c>
      <c r="B8496" t="inlineStr">
        <is>
          <t>V̅MMMCDXCV</t>
        </is>
      </c>
      <c r="C8496">
        <f>ROMAN(8495)</f>
        <v/>
      </c>
      <c r="D8496">
        <f>IF(B8496=C8496, "YES", "WRONG")</f>
        <v/>
      </c>
    </row>
    <row r="8497">
      <c r="A8497" t="n">
        <v>8496</v>
      </c>
      <c r="B8497" t="inlineStr">
        <is>
          <t>V̅MMMCDXCVI</t>
        </is>
      </c>
      <c r="C8497">
        <f>ROMAN(8496)</f>
        <v/>
      </c>
      <c r="D8497">
        <f>IF(B8497=C8497, "YES", "WRONG")</f>
        <v/>
      </c>
    </row>
    <row r="8498">
      <c r="A8498" t="n">
        <v>8497</v>
      </c>
      <c r="B8498" t="inlineStr">
        <is>
          <t>V̅MMMCDXCVII</t>
        </is>
      </c>
      <c r="C8498">
        <f>ROMAN(8497)</f>
        <v/>
      </c>
      <c r="D8498">
        <f>IF(B8498=C8498, "YES", "WRONG")</f>
        <v/>
      </c>
    </row>
    <row r="8499">
      <c r="A8499" t="n">
        <v>8498</v>
      </c>
      <c r="B8499" t="inlineStr">
        <is>
          <t>V̅MMMCDXCVIII</t>
        </is>
      </c>
      <c r="C8499">
        <f>ROMAN(8498)</f>
        <v/>
      </c>
      <c r="D8499">
        <f>IF(B8499=C8499, "YES", "WRONG")</f>
        <v/>
      </c>
    </row>
    <row r="8500">
      <c r="A8500" t="n">
        <v>8499</v>
      </c>
      <c r="B8500" t="inlineStr">
        <is>
          <t>V̅MMMCDXCIX</t>
        </is>
      </c>
      <c r="C8500">
        <f>ROMAN(8499)</f>
        <v/>
      </c>
      <c r="D8500">
        <f>IF(B8500=C8500, "YES", "WRONG")</f>
        <v/>
      </c>
    </row>
    <row r="8501">
      <c r="A8501" t="n">
        <v>8500</v>
      </c>
      <c r="B8501" t="inlineStr">
        <is>
          <t>V̅MMMD</t>
        </is>
      </c>
      <c r="C8501">
        <f>ROMAN(8500)</f>
        <v/>
      </c>
      <c r="D8501">
        <f>IF(B8501=C8501, "YES", "WRONG")</f>
        <v/>
      </c>
    </row>
    <row r="8502">
      <c r="A8502" t="n">
        <v>8501</v>
      </c>
      <c r="B8502" t="inlineStr">
        <is>
          <t>V̅MMMDI</t>
        </is>
      </c>
      <c r="C8502">
        <f>ROMAN(8501)</f>
        <v/>
      </c>
      <c r="D8502">
        <f>IF(B8502=C8502, "YES", "WRONG")</f>
        <v/>
      </c>
    </row>
    <row r="8503">
      <c r="A8503" t="n">
        <v>8502</v>
      </c>
      <c r="B8503" t="inlineStr">
        <is>
          <t>V̅MMMDII</t>
        </is>
      </c>
      <c r="C8503">
        <f>ROMAN(8502)</f>
        <v/>
      </c>
      <c r="D8503">
        <f>IF(B8503=C8503, "YES", "WRONG")</f>
        <v/>
      </c>
    </row>
    <row r="8504">
      <c r="A8504" t="n">
        <v>8503</v>
      </c>
      <c r="B8504" t="inlineStr">
        <is>
          <t>V̅MMMDIII</t>
        </is>
      </c>
      <c r="C8504">
        <f>ROMAN(8503)</f>
        <v/>
      </c>
      <c r="D8504">
        <f>IF(B8504=C8504, "YES", "WRONG")</f>
        <v/>
      </c>
    </row>
    <row r="8505">
      <c r="A8505" t="n">
        <v>8504</v>
      </c>
      <c r="B8505" t="inlineStr">
        <is>
          <t>V̅MMMDIV</t>
        </is>
      </c>
      <c r="C8505">
        <f>ROMAN(8504)</f>
        <v/>
      </c>
      <c r="D8505">
        <f>IF(B8505=C8505, "YES", "WRONG")</f>
        <v/>
      </c>
    </row>
    <row r="8506">
      <c r="A8506" t="n">
        <v>8505</v>
      </c>
      <c r="B8506" t="inlineStr">
        <is>
          <t>V̅MMMDV</t>
        </is>
      </c>
      <c r="C8506">
        <f>ROMAN(8505)</f>
        <v/>
      </c>
      <c r="D8506">
        <f>IF(B8506=C8506, "YES", "WRONG")</f>
        <v/>
      </c>
    </row>
    <row r="8507">
      <c r="A8507" t="n">
        <v>8506</v>
      </c>
      <c r="B8507" t="inlineStr">
        <is>
          <t>V̅MMMDVI</t>
        </is>
      </c>
      <c r="C8507">
        <f>ROMAN(8506)</f>
        <v/>
      </c>
      <c r="D8507">
        <f>IF(B8507=C8507, "YES", "WRONG")</f>
        <v/>
      </c>
    </row>
    <row r="8508">
      <c r="A8508" t="n">
        <v>8507</v>
      </c>
      <c r="B8508" t="inlineStr">
        <is>
          <t>V̅MMMDVII</t>
        </is>
      </c>
      <c r="C8508">
        <f>ROMAN(8507)</f>
        <v/>
      </c>
      <c r="D8508">
        <f>IF(B8508=C8508, "YES", "WRONG")</f>
        <v/>
      </c>
    </row>
    <row r="8509">
      <c r="A8509" t="n">
        <v>8508</v>
      </c>
      <c r="B8509" t="inlineStr">
        <is>
          <t>V̅MMMDVIII</t>
        </is>
      </c>
      <c r="C8509">
        <f>ROMAN(8508)</f>
        <v/>
      </c>
      <c r="D8509">
        <f>IF(B8509=C8509, "YES", "WRONG")</f>
        <v/>
      </c>
    </row>
    <row r="8510">
      <c r="A8510" t="n">
        <v>8509</v>
      </c>
      <c r="B8510" t="inlineStr">
        <is>
          <t>V̅MMMDIX</t>
        </is>
      </c>
      <c r="C8510">
        <f>ROMAN(8509)</f>
        <v/>
      </c>
      <c r="D8510">
        <f>IF(B8510=C8510, "YES", "WRONG")</f>
        <v/>
      </c>
    </row>
    <row r="8511">
      <c r="A8511" t="n">
        <v>8510</v>
      </c>
      <c r="B8511" t="inlineStr">
        <is>
          <t>V̅MMMDX</t>
        </is>
      </c>
      <c r="C8511">
        <f>ROMAN(8510)</f>
        <v/>
      </c>
      <c r="D8511">
        <f>IF(B8511=C8511, "YES", "WRONG")</f>
        <v/>
      </c>
    </row>
    <row r="8512">
      <c r="A8512" t="n">
        <v>8511</v>
      </c>
      <c r="B8512" t="inlineStr">
        <is>
          <t>V̅MMMDXI</t>
        </is>
      </c>
      <c r="C8512">
        <f>ROMAN(8511)</f>
        <v/>
      </c>
      <c r="D8512">
        <f>IF(B8512=C8512, "YES", "WRONG")</f>
        <v/>
      </c>
    </row>
    <row r="8513">
      <c r="A8513" t="n">
        <v>8512</v>
      </c>
      <c r="B8513" t="inlineStr">
        <is>
          <t>V̅MMMDXII</t>
        </is>
      </c>
      <c r="C8513">
        <f>ROMAN(8512)</f>
        <v/>
      </c>
      <c r="D8513">
        <f>IF(B8513=C8513, "YES", "WRONG")</f>
        <v/>
      </c>
    </row>
    <row r="8514">
      <c r="A8514" t="n">
        <v>8513</v>
      </c>
      <c r="B8514" t="inlineStr">
        <is>
          <t>V̅MMMDXIII</t>
        </is>
      </c>
      <c r="C8514">
        <f>ROMAN(8513)</f>
        <v/>
      </c>
      <c r="D8514">
        <f>IF(B8514=C8514, "YES", "WRONG")</f>
        <v/>
      </c>
    </row>
    <row r="8515">
      <c r="A8515" t="n">
        <v>8514</v>
      </c>
      <c r="B8515" t="inlineStr">
        <is>
          <t>V̅MMMDXIV</t>
        </is>
      </c>
      <c r="C8515">
        <f>ROMAN(8514)</f>
        <v/>
      </c>
      <c r="D8515">
        <f>IF(B8515=C8515, "YES", "WRONG")</f>
        <v/>
      </c>
    </row>
    <row r="8516">
      <c r="A8516" t="n">
        <v>8515</v>
      </c>
      <c r="B8516" t="inlineStr">
        <is>
          <t>V̅MMMDXV</t>
        </is>
      </c>
      <c r="C8516">
        <f>ROMAN(8515)</f>
        <v/>
      </c>
      <c r="D8516">
        <f>IF(B8516=C8516, "YES", "WRONG")</f>
        <v/>
      </c>
    </row>
    <row r="8517">
      <c r="A8517" t="n">
        <v>8516</v>
      </c>
      <c r="B8517" t="inlineStr">
        <is>
          <t>V̅MMMDXVI</t>
        </is>
      </c>
      <c r="C8517">
        <f>ROMAN(8516)</f>
        <v/>
      </c>
      <c r="D8517">
        <f>IF(B8517=C8517, "YES", "WRONG")</f>
        <v/>
      </c>
    </row>
    <row r="8518">
      <c r="A8518" t="n">
        <v>8517</v>
      </c>
      <c r="B8518" t="inlineStr">
        <is>
          <t>V̅MMMDXVII</t>
        </is>
      </c>
      <c r="C8518">
        <f>ROMAN(8517)</f>
        <v/>
      </c>
      <c r="D8518">
        <f>IF(B8518=C8518, "YES", "WRONG")</f>
        <v/>
      </c>
    </row>
    <row r="8519">
      <c r="A8519" t="n">
        <v>8518</v>
      </c>
      <c r="B8519" t="inlineStr">
        <is>
          <t>V̅MMMDXVIII</t>
        </is>
      </c>
      <c r="C8519">
        <f>ROMAN(8518)</f>
        <v/>
      </c>
      <c r="D8519">
        <f>IF(B8519=C8519, "YES", "WRONG")</f>
        <v/>
      </c>
    </row>
    <row r="8520">
      <c r="A8520" t="n">
        <v>8519</v>
      </c>
      <c r="B8520" t="inlineStr">
        <is>
          <t>V̅MMMDXIX</t>
        </is>
      </c>
      <c r="C8520">
        <f>ROMAN(8519)</f>
        <v/>
      </c>
      <c r="D8520">
        <f>IF(B8520=C8520, "YES", "WRONG")</f>
        <v/>
      </c>
    </row>
    <row r="8521">
      <c r="A8521" t="n">
        <v>8520</v>
      </c>
      <c r="B8521" t="inlineStr">
        <is>
          <t>V̅MMMDXX</t>
        </is>
      </c>
      <c r="C8521">
        <f>ROMAN(8520)</f>
        <v/>
      </c>
      <c r="D8521">
        <f>IF(B8521=C8521, "YES", "WRONG")</f>
        <v/>
      </c>
    </row>
    <row r="8522">
      <c r="A8522" t="n">
        <v>8521</v>
      </c>
      <c r="B8522" t="inlineStr">
        <is>
          <t>V̅MMMDXXI</t>
        </is>
      </c>
      <c r="C8522">
        <f>ROMAN(8521)</f>
        <v/>
      </c>
      <c r="D8522">
        <f>IF(B8522=C8522, "YES", "WRONG")</f>
        <v/>
      </c>
    </row>
    <row r="8523">
      <c r="A8523" t="n">
        <v>8522</v>
      </c>
      <c r="B8523" t="inlineStr">
        <is>
          <t>V̅MMMDXXII</t>
        </is>
      </c>
      <c r="C8523">
        <f>ROMAN(8522)</f>
        <v/>
      </c>
      <c r="D8523">
        <f>IF(B8523=C8523, "YES", "WRONG")</f>
        <v/>
      </c>
    </row>
    <row r="8524">
      <c r="A8524" t="n">
        <v>8523</v>
      </c>
      <c r="B8524" t="inlineStr">
        <is>
          <t>V̅MMMDXXIII</t>
        </is>
      </c>
      <c r="C8524">
        <f>ROMAN(8523)</f>
        <v/>
      </c>
      <c r="D8524">
        <f>IF(B8524=C8524, "YES", "WRONG")</f>
        <v/>
      </c>
    </row>
    <row r="8525">
      <c r="A8525" t="n">
        <v>8524</v>
      </c>
      <c r="B8525" t="inlineStr">
        <is>
          <t>V̅MMMDXXIV</t>
        </is>
      </c>
      <c r="C8525">
        <f>ROMAN(8524)</f>
        <v/>
      </c>
      <c r="D8525">
        <f>IF(B8525=C8525, "YES", "WRONG")</f>
        <v/>
      </c>
    </row>
    <row r="8526">
      <c r="A8526" t="n">
        <v>8525</v>
      </c>
      <c r="B8526" t="inlineStr">
        <is>
          <t>V̅MMMDXXV</t>
        </is>
      </c>
      <c r="C8526">
        <f>ROMAN(8525)</f>
        <v/>
      </c>
      <c r="D8526">
        <f>IF(B8526=C8526, "YES", "WRONG")</f>
        <v/>
      </c>
    </row>
    <row r="8527">
      <c r="A8527" t="n">
        <v>8526</v>
      </c>
      <c r="B8527" t="inlineStr">
        <is>
          <t>V̅MMMDXXVI</t>
        </is>
      </c>
      <c r="C8527">
        <f>ROMAN(8526)</f>
        <v/>
      </c>
      <c r="D8527">
        <f>IF(B8527=C8527, "YES", "WRONG")</f>
        <v/>
      </c>
    </row>
    <row r="8528">
      <c r="A8528" t="n">
        <v>8527</v>
      </c>
      <c r="B8528" t="inlineStr">
        <is>
          <t>V̅MMMDXXVII</t>
        </is>
      </c>
      <c r="C8528">
        <f>ROMAN(8527)</f>
        <v/>
      </c>
      <c r="D8528">
        <f>IF(B8528=C8528, "YES", "WRONG")</f>
        <v/>
      </c>
    </row>
    <row r="8529">
      <c r="A8529" t="n">
        <v>8528</v>
      </c>
      <c r="B8529" t="inlineStr">
        <is>
          <t>V̅MMMDXXVIII</t>
        </is>
      </c>
      <c r="C8529">
        <f>ROMAN(8528)</f>
        <v/>
      </c>
      <c r="D8529">
        <f>IF(B8529=C8529, "YES", "WRONG")</f>
        <v/>
      </c>
    </row>
    <row r="8530">
      <c r="A8530" t="n">
        <v>8529</v>
      </c>
      <c r="B8530" t="inlineStr">
        <is>
          <t>V̅MMMDXXIX</t>
        </is>
      </c>
      <c r="C8530">
        <f>ROMAN(8529)</f>
        <v/>
      </c>
      <c r="D8530">
        <f>IF(B8530=C8530, "YES", "WRONG")</f>
        <v/>
      </c>
    </row>
    <row r="8531">
      <c r="A8531" t="n">
        <v>8530</v>
      </c>
      <c r="B8531" t="inlineStr">
        <is>
          <t>V̅MMMDXXX</t>
        </is>
      </c>
      <c r="C8531">
        <f>ROMAN(8530)</f>
        <v/>
      </c>
      <c r="D8531">
        <f>IF(B8531=C8531, "YES", "WRONG")</f>
        <v/>
      </c>
    </row>
    <row r="8532">
      <c r="A8532" t="n">
        <v>8531</v>
      </c>
      <c r="B8532" t="inlineStr">
        <is>
          <t>V̅MMMDXXXI</t>
        </is>
      </c>
      <c r="C8532">
        <f>ROMAN(8531)</f>
        <v/>
      </c>
      <c r="D8532">
        <f>IF(B8532=C8532, "YES", "WRONG")</f>
        <v/>
      </c>
    </row>
    <row r="8533">
      <c r="A8533" t="n">
        <v>8532</v>
      </c>
      <c r="B8533" t="inlineStr">
        <is>
          <t>V̅MMMDXXXII</t>
        </is>
      </c>
      <c r="C8533">
        <f>ROMAN(8532)</f>
        <v/>
      </c>
      <c r="D8533">
        <f>IF(B8533=C8533, "YES", "WRONG")</f>
        <v/>
      </c>
    </row>
    <row r="8534">
      <c r="A8534" t="n">
        <v>8533</v>
      </c>
      <c r="B8534" t="inlineStr">
        <is>
          <t>V̅MMMDXXXIII</t>
        </is>
      </c>
      <c r="C8534">
        <f>ROMAN(8533)</f>
        <v/>
      </c>
      <c r="D8534">
        <f>IF(B8534=C8534, "YES", "WRONG")</f>
        <v/>
      </c>
    </row>
    <row r="8535">
      <c r="A8535" t="n">
        <v>8534</v>
      </c>
      <c r="B8535" t="inlineStr">
        <is>
          <t>V̅MMMDXXXIV</t>
        </is>
      </c>
      <c r="C8535">
        <f>ROMAN(8534)</f>
        <v/>
      </c>
      <c r="D8535">
        <f>IF(B8535=C8535, "YES", "WRONG")</f>
        <v/>
      </c>
    </row>
    <row r="8536">
      <c r="A8536" t="n">
        <v>8535</v>
      </c>
      <c r="B8536" t="inlineStr">
        <is>
          <t>V̅MMMDXXXV</t>
        </is>
      </c>
      <c r="C8536">
        <f>ROMAN(8535)</f>
        <v/>
      </c>
      <c r="D8536">
        <f>IF(B8536=C8536, "YES", "WRONG")</f>
        <v/>
      </c>
    </row>
    <row r="8537">
      <c r="A8537" t="n">
        <v>8536</v>
      </c>
      <c r="B8537" t="inlineStr">
        <is>
          <t>V̅MMMDXXXVI</t>
        </is>
      </c>
      <c r="C8537">
        <f>ROMAN(8536)</f>
        <v/>
      </c>
      <c r="D8537">
        <f>IF(B8537=C8537, "YES", "WRONG")</f>
        <v/>
      </c>
    </row>
    <row r="8538">
      <c r="A8538" t="n">
        <v>8537</v>
      </c>
      <c r="B8538" t="inlineStr">
        <is>
          <t>V̅MMMDXXXVII</t>
        </is>
      </c>
      <c r="C8538">
        <f>ROMAN(8537)</f>
        <v/>
      </c>
      <c r="D8538">
        <f>IF(B8538=C8538, "YES", "WRONG")</f>
        <v/>
      </c>
    </row>
    <row r="8539">
      <c r="A8539" t="n">
        <v>8538</v>
      </c>
      <c r="B8539" t="inlineStr">
        <is>
          <t>V̅MMMDXXXVIII</t>
        </is>
      </c>
      <c r="C8539">
        <f>ROMAN(8538)</f>
        <v/>
      </c>
      <c r="D8539">
        <f>IF(B8539=C8539, "YES", "WRONG")</f>
        <v/>
      </c>
    </row>
    <row r="8540">
      <c r="A8540" t="n">
        <v>8539</v>
      </c>
      <c r="B8540" t="inlineStr">
        <is>
          <t>V̅MMMDXXXIX</t>
        </is>
      </c>
      <c r="C8540">
        <f>ROMAN(8539)</f>
        <v/>
      </c>
      <c r="D8540">
        <f>IF(B8540=C8540, "YES", "WRONG")</f>
        <v/>
      </c>
    </row>
    <row r="8541">
      <c r="A8541" t="n">
        <v>8540</v>
      </c>
      <c r="B8541" t="inlineStr">
        <is>
          <t>V̅MMMDXL</t>
        </is>
      </c>
      <c r="C8541">
        <f>ROMAN(8540)</f>
        <v/>
      </c>
      <c r="D8541">
        <f>IF(B8541=C8541, "YES", "WRONG")</f>
        <v/>
      </c>
    </row>
    <row r="8542">
      <c r="A8542" t="n">
        <v>8541</v>
      </c>
      <c r="B8542" t="inlineStr">
        <is>
          <t>V̅MMMDXLI</t>
        </is>
      </c>
      <c r="C8542">
        <f>ROMAN(8541)</f>
        <v/>
      </c>
      <c r="D8542">
        <f>IF(B8542=C8542, "YES", "WRONG")</f>
        <v/>
      </c>
    </row>
    <row r="8543">
      <c r="A8543" t="n">
        <v>8542</v>
      </c>
      <c r="B8543" t="inlineStr">
        <is>
          <t>V̅MMMDXLII</t>
        </is>
      </c>
      <c r="C8543">
        <f>ROMAN(8542)</f>
        <v/>
      </c>
      <c r="D8543">
        <f>IF(B8543=C8543, "YES", "WRONG")</f>
        <v/>
      </c>
    </row>
    <row r="8544">
      <c r="A8544" t="n">
        <v>8543</v>
      </c>
      <c r="B8544" t="inlineStr">
        <is>
          <t>V̅MMMDXLIII</t>
        </is>
      </c>
      <c r="C8544">
        <f>ROMAN(8543)</f>
        <v/>
      </c>
      <c r="D8544">
        <f>IF(B8544=C8544, "YES", "WRONG")</f>
        <v/>
      </c>
    </row>
    <row r="8545">
      <c r="A8545" t="n">
        <v>8544</v>
      </c>
      <c r="B8545" t="inlineStr">
        <is>
          <t>V̅MMMDXLIV</t>
        </is>
      </c>
      <c r="C8545">
        <f>ROMAN(8544)</f>
        <v/>
      </c>
      <c r="D8545">
        <f>IF(B8545=C8545, "YES", "WRONG")</f>
        <v/>
      </c>
    </row>
    <row r="8546">
      <c r="A8546" t="n">
        <v>8545</v>
      </c>
      <c r="B8546" t="inlineStr">
        <is>
          <t>V̅MMMDXLV</t>
        </is>
      </c>
      <c r="C8546">
        <f>ROMAN(8545)</f>
        <v/>
      </c>
      <c r="D8546">
        <f>IF(B8546=C8546, "YES", "WRONG")</f>
        <v/>
      </c>
    </row>
    <row r="8547">
      <c r="A8547" t="n">
        <v>8546</v>
      </c>
      <c r="B8547" t="inlineStr">
        <is>
          <t>V̅MMMDXLVI</t>
        </is>
      </c>
      <c r="C8547">
        <f>ROMAN(8546)</f>
        <v/>
      </c>
      <c r="D8547">
        <f>IF(B8547=C8547, "YES", "WRONG")</f>
        <v/>
      </c>
    </row>
    <row r="8548">
      <c r="A8548" t="n">
        <v>8547</v>
      </c>
      <c r="B8548" t="inlineStr">
        <is>
          <t>V̅MMMDXLVII</t>
        </is>
      </c>
      <c r="C8548">
        <f>ROMAN(8547)</f>
        <v/>
      </c>
      <c r="D8548">
        <f>IF(B8548=C8548, "YES", "WRONG")</f>
        <v/>
      </c>
    </row>
    <row r="8549">
      <c r="A8549" t="n">
        <v>8548</v>
      </c>
      <c r="B8549" t="inlineStr">
        <is>
          <t>V̅MMMDXLVIII</t>
        </is>
      </c>
      <c r="C8549">
        <f>ROMAN(8548)</f>
        <v/>
      </c>
      <c r="D8549">
        <f>IF(B8549=C8549, "YES", "WRONG")</f>
        <v/>
      </c>
    </row>
    <row r="8550">
      <c r="A8550" t="n">
        <v>8549</v>
      </c>
      <c r="B8550" t="inlineStr">
        <is>
          <t>V̅MMMDXLIX</t>
        </is>
      </c>
      <c r="C8550">
        <f>ROMAN(8549)</f>
        <v/>
      </c>
      <c r="D8550">
        <f>IF(B8550=C8550, "YES", "WRONG")</f>
        <v/>
      </c>
    </row>
    <row r="8551">
      <c r="A8551" t="n">
        <v>8550</v>
      </c>
      <c r="B8551" t="inlineStr">
        <is>
          <t>V̅MMMDL</t>
        </is>
      </c>
      <c r="C8551">
        <f>ROMAN(8550)</f>
        <v/>
      </c>
      <c r="D8551">
        <f>IF(B8551=C8551, "YES", "WRONG")</f>
        <v/>
      </c>
    </row>
    <row r="8552">
      <c r="A8552" t="n">
        <v>8551</v>
      </c>
      <c r="B8552" t="inlineStr">
        <is>
          <t>V̅MMMDLI</t>
        </is>
      </c>
      <c r="C8552">
        <f>ROMAN(8551)</f>
        <v/>
      </c>
      <c r="D8552">
        <f>IF(B8552=C8552, "YES", "WRONG")</f>
        <v/>
      </c>
    </row>
    <row r="8553">
      <c r="A8553" t="n">
        <v>8552</v>
      </c>
      <c r="B8553" t="inlineStr">
        <is>
          <t>V̅MMMDLII</t>
        </is>
      </c>
      <c r="C8553">
        <f>ROMAN(8552)</f>
        <v/>
      </c>
      <c r="D8553">
        <f>IF(B8553=C8553, "YES", "WRONG")</f>
        <v/>
      </c>
    </row>
    <row r="8554">
      <c r="A8554" t="n">
        <v>8553</v>
      </c>
      <c r="B8554" t="inlineStr">
        <is>
          <t>V̅MMMDLIII</t>
        </is>
      </c>
      <c r="C8554">
        <f>ROMAN(8553)</f>
        <v/>
      </c>
      <c r="D8554">
        <f>IF(B8554=C8554, "YES", "WRONG")</f>
        <v/>
      </c>
    </row>
    <row r="8555">
      <c r="A8555" t="n">
        <v>8554</v>
      </c>
      <c r="B8555" t="inlineStr">
        <is>
          <t>V̅MMMDLIV</t>
        </is>
      </c>
      <c r="C8555">
        <f>ROMAN(8554)</f>
        <v/>
      </c>
      <c r="D8555">
        <f>IF(B8555=C8555, "YES", "WRONG")</f>
        <v/>
      </c>
    </row>
    <row r="8556">
      <c r="A8556" t="n">
        <v>8555</v>
      </c>
      <c r="B8556" t="inlineStr">
        <is>
          <t>V̅MMMDLV</t>
        </is>
      </c>
      <c r="C8556">
        <f>ROMAN(8555)</f>
        <v/>
      </c>
      <c r="D8556">
        <f>IF(B8556=C8556, "YES", "WRONG")</f>
        <v/>
      </c>
    </row>
    <row r="8557">
      <c r="A8557" t="n">
        <v>8556</v>
      </c>
      <c r="B8557" t="inlineStr">
        <is>
          <t>V̅MMMDLVI</t>
        </is>
      </c>
      <c r="C8557">
        <f>ROMAN(8556)</f>
        <v/>
      </c>
      <c r="D8557">
        <f>IF(B8557=C8557, "YES", "WRONG")</f>
        <v/>
      </c>
    </row>
    <row r="8558">
      <c r="A8558" t="n">
        <v>8557</v>
      </c>
      <c r="B8558" t="inlineStr">
        <is>
          <t>V̅MMMDLVII</t>
        </is>
      </c>
      <c r="C8558">
        <f>ROMAN(8557)</f>
        <v/>
      </c>
      <c r="D8558">
        <f>IF(B8558=C8558, "YES", "WRONG")</f>
        <v/>
      </c>
    </row>
    <row r="8559">
      <c r="A8559" t="n">
        <v>8558</v>
      </c>
      <c r="B8559" t="inlineStr">
        <is>
          <t>V̅MMMDLVIII</t>
        </is>
      </c>
      <c r="C8559">
        <f>ROMAN(8558)</f>
        <v/>
      </c>
      <c r="D8559">
        <f>IF(B8559=C8559, "YES", "WRONG")</f>
        <v/>
      </c>
    </row>
    <row r="8560">
      <c r="A8560" t="n">
        <v>8559</v>
      </c>
      <c r="B8560" t="inlineStr">
        <is>
          <t>V̅MMMDLIX</t>
        </is>
      </c>
      <c r="C8560">
        <f>ROMAN(8559)</f>
        <v/>
      </c>
      <c r="D8560">
        <f>IF(B8560=C8560, "YES", "WRONG")</f>
        <v/>
      </c>
    </row>
    <row r="8561">
      <c r="A8561" t="n">
        <v>8560</v>
      </c>
      <c r="B8561" t="inlineStr">
        <is>
          <t>V̅MMMDLX</t>
        </is>
      </c>
      <c r="C8561">
        <f>ROMAN(8560)</f>
        <v/>
      </c>
      <c r="D8561">
        <f>IF(B8561=C8561, "YES", "WRONG")</f>
        <v/>
      </c>
    </row>
    <row r="8562">
      <c r="A8562" t="n">
        <v>8561</v>
      </c>
      <c r="B8562" t="inlineStr">
        <is>
          <t>V̅MMMDLXI</t>
        </is>
      </c>
      <c r="C8562">
        <f>ROMAN(8561)</f>
        <v/>
      </c>
      <c r="D8562">
        <f>IF(B8562=C8562, "YES", "WRONG")</f>
        <v/>
      </c>
    </row>
    <row r="8563">
      <c r="A8563" t="n">
        <v>8562</v>
      </c>
      <c r="B8563" t="inlineStr">
        <is>
          <t>V̅MMMDLXII</t>
        </is>
      </c>
      <c r="C8563">
        <f>ROMAN(8562)</f>
        <v/>
      </c>
      <c r="D8563">
        <f>IF(B8563=C8563, "YES", "WRONG")</f>
        <v/>
      </c>
    </row>
    <row r="8564">
      <c r="A8564" t="n">
        <v>8563</v>
      </c>
      <c r="B8564" t="inlineStr">
        <is>
          <t>V̅MMMDLXIII</t>
        </is>
      </c>
      <c r="C8564">
        <f>ROMAN(8563)</f>
        <v/>
      </c>
      <c r="D8564">
        <f>IF(B8564=C8564, "YES", "WRONG")</f>
        <v/>
      </c>
    </row>
    <row r="8565">
      <c r="A8565" t="n">
        <v>8564</v>
      </c>
      <c r="B8565" t="inlineStr">
        <is>
          <t>V̅MMMDLXIV</t>
        </is>
      </c>
      <c r="C8565">
        <f>ROMAN(8564)</f>
        <v/>
      </c>
      <c r="D8565">
        <f>IF(B8565=C8565, "YES", "WRONG")</f>
        <v/>
      </c>
    </row>
    <row r="8566">
      <c r="A8566" t="n">
        <v>8565</v>
      </c>
      <c r="B8566" t="inlineStr">
        <is>
          <t>V̅MMMDLXV</t>
        </is>
      </c>
      <c r="C8566">
        <f>ROMAN(8565)</f>
        <v/>
      </c>
      <c r="D8566">
        <f>IF(B8566=C8566, "YES", "WRONG")</f>
        <v/>
      </c>
    </row>
    <row r="8567">
      <c r="A8567" t="n">
        <v>8566</v>
      </c>
      <c r="B8567" t="inlineStr">
        <is>
          <t>V̅MMMDLXVI</t>
        </is>
      </c>
      <c r="C8567">
        <f>ROMAN(8566)</f>
        <v/>
      </c>
      <c r="D8567">
        <f>IF(B8567=C8567, "YES", "WRONG")</f>
        <v/>
      </c>
    </row>
    <row r="8568">
      <c r="A8568" t="n">
        <v>8567</v>
      </c>
      <c r="B8568" t="inlineStr">
        <is>
          <t>V̅MMMDLXVII</t>
        </is>
      </c>
      <c r="C8568">
        <f>ROMAN(8567)</f>
        <v/>
      </c>
      <c r="D8568">
        <f>IF(B8568=C8568, "YES", "WRONG")</f>
        <v/>
      </c>
    </row>
    <row r="8569">
      <c r="A8569" t="n">
        <v>8568</v>
      </c>
      <c r="B8569" t="inlineStr">
        <is>
          <t>V̅MMMDLXVIII</t>
        </is>
      </c>
      <c r="C8569">
        <f>ROMAN(8568)</f>
        <v/>
      </c>
      <c r="D8569">
        <f>IF(B8569=C8569, "YES", "WRONG")</f>
        <v/>
      </c>
    </row>
    <row r="8570">
      <c r="A8570" t="n">
        <v>8569</v>
      </c>
      <c r="B8570" t="inlineStr">
        <is>
          <t>V̅MMMDLXIX</t>
        </is>
      </c>
      <c r="C8570">
        <f>ROMAN(8569)</f>
        <v/>
      </c>
      <c r="D8570">
        <f>IF(B8570=C8570, "YES", "WRONG")</f>
        <v/>
      </c>
    </row>
    <row r="8571">
      <c r="A8571" t="n">
        <v>8570</v>
      </c>
      <c r="B8571" t="inlineStr">
        <is>
          <t>V̅MMMDLXX</t>
        </is>
      </c>
      <c r="C8571">
        <f>ROMAN(8570)</f>
        <v/>
      </c>
      <c r="D8571">
        <f>IF(B8571=C8571, "YES", "WRONG")</f>
        <v/>
      </c>
    </row>
    <row r="8572">
      <c r="A8572" t="n">
        <v>8571</v>
      </c>
      <c r="B8572" t="inlineStr">
        <is>
          <t>V̅MMMDLXXI</t>
        </is>
      </c>
      <c r="C8572">
        <f>ROMAN(8571)</f>
        <v/>
      </c>
      <c r="D8572">
        <f>IF(B8572=C8572, "YES", "WRONG")</f>
        <v/>
      </c>
    </row>
    <row r="8573">
      <c r="A8573" t="n">
        <v>8572</v>
      </c>
      <c r="B8573" t="inlineStr">
        <is>
          <t>V̅MMMDLXXII</t>
        </is>
      </c>
      <c r="C8573">
        <f>ROMAN(8572)</f>
        <v/>
      </c>
      <c r="D8573">
        <f>IF(B8573=C8573, "YES", "WRONG")</f>
        <v/>
      </c>
    </row>
    <row r="8574">
      <c r="A8574" t="n">
        <v>8573</v>
      </c>
      <c r="B8574" t="inlineStr">
        <is>
          <t>V̅MMMDLXXIII</t>
        </is>
      </c>
      <c r="C8574">
        <f>ROMAN(8573)</f>
        <v/>
      </c>
      <c r="D8574">
        <f>IF(B8574=C8574, "YES", "WRONG")</f>
        <v/>
      </c>
    </row>
    <row r="8575">
      <c r="A8575" t="n">
        <v>8574</v>
      </c>
      <c r="B8575" t="inlineStr">
        <is>
          <t>V̅MMMDLXXIV</t>
        </is>
      </c>
      <c r="C8575">
        <f>ROMAN(8574)</f>
        <v/>
      </c>
      <c r="D8575">
        <f>IF(B8575=C8575, "YES", "WRONG")</f>
        <v/>
      </c>
    </row>
    <row r="8576">
      <c r="A8576" t="n">
        <v>8575</v>
      </c>
      <c r="B8576" t="inlineStr">
        <is>
          <t>V̅MMMDLXXV</t>
        </is>
      </c>
      <c r="C8576">
        <f>ROMAN(8575)</f>
        <v/>
      </c>
      <c r="D8576">
        <f>IF(B8576=C8576, "YES", "WRONG")</f>
        <v/>
      </c>
    </row>
    <row r="8577">
      <c r="A8577" t="n">
        <v>8576</v>
      </c>
      <c r="B8577" t="inlineStr">
        <is>
          <t>V̅MMMDLXXVI</t>
        </is>
      </c>
      <c r="C8577">
        <f>ROMAN(8576)</f>
        <v/>
      </c>
      <c r="D8577">
        <f>IF(B8577=C8577, "YES", "WRONG")</f>
        <v/>
      </c>
    </row>
    <row r="8578">
      <c r="A8578" t="n">
        <v>8577</v>
      </c>
      <c r="B8578" t="inlineStr">
        <is>
          <t>V̅MMMDLXXVII</t>
        </is>
      </c>
      <c r="C8578">
        <f>ROMAN(8577)</f>
        <v/>
      </c>
      <c r="D8578">
        <f>IF(B8578=C8578, "YES", "WRONG")</f>
        <v/>
      </c>
    </row>
    <row r="8579">
      <c r="A8579" t="n">
        <v>8578</v>
      </c>
      <c r="B8579" t="inlineStr">
        <is>
          <t>V̅MMMDLXXVIII</t>
        </is>
      </c>
      <c r="C8579">
        <f>ROMAN(8578)</f>
        <v/>
      </c>
      <c r="D8579">
        <f>IF(B8579=C8579, "YES", "WRONG")</f>
        <v/>
      </c>
    </row>
    <row r="8580">
      <c r="A8580" t="n">
        <v>8579</v>
      </c>
      <c r="B8580" t="inlineStr">
        <is>
          <t>V̅MMMDLXXIX</t>
        </is>
      </c>
      <c r="C8580">
        <f>ROMAN(8579)</f>
        <v/>
      </c>
      <c r="D8580">
        <f>IF(B8580=C8580, "YES", "WRONG")</f>
        <v/>
      </c>
    </row>
    <row r="8581">
      <c r="A8581" t="n">
        <v>8580</v>
      </c>
      <c r="B8581" t="inlineStr">
        <is>
          <t>V̅MMMDLXXX</t>
        </is>
      </c>
      <c r="C8581">
        <f>ROMAN(8580)</f>
        <v/>
      </c>
      <c r="D8581">
        <f>IF(B8581=C8581, "YES", "WRONG")</f>
        <v/>
      </c>
    </row>
    <row r="8582">
      <c r="A8582" t="n">
        <v>8581</v>
      </c>
      <c r="B8582" t="inlineStr">
        <is>
          <t>V̅MMMDLXXXI</t>
        </is>
      </c>
      <c r="C8582">
        <f>ROMAN(8581)</f>
        <v/>
      </c>
      <c r="D8582">
        <f>IF(B8582=C8582, "YES", "WRONG")</f>
        <v/>
      </c>
    </row>
    <row r="8583">
      <c r="A8583" t="n">
        <v>8582</v>
      </c>
      <c r="B8583" t="inlineStr">
        <is>
          <t>V̅MMMDLXXXII</t>
        </is>
      </c>
      <c r="C8583">
        <f>ROMAN(8582)</f>
        <v/>
      </c>
      <c r="D8583">
        <f>IF(B8583=C8583, "YES", "WRONG")</f>
        <v/>
      </c>
    </row>
    <row r="8584">
      <c r="A8584" t="n">
        <v>8583</v>
      </c>
      <c r="B8584" t="inlineStr">
        <is>
          <t>V̅MMMDLXXXIII</t>
        </is>
      </c>
      <c r="C8584">
        <f>ROMAN(8583)</f>
        <v/>
      </c>
      <c r="D8584">
        <f>IF(B8584=C8584, "YES", "WRONG")</f>
        <v/>
      </c>
    </row>
    <row r="8585">
      <c r="A8585" t="n">
        <v>8584</v>
      </c>
      <c r="B8585" t="inlineStr">
        <is>
          <t>V̅MMMDLXXXIV</t>
        </is>
      </c>
      <c r="C8585">
        <f>ROMAN(8584)</f>
        <v/>
      </c>
      <c r="D8585">
        <f>IF(B8585=C8585, "YES", "WRONG")</f>
        <v/>
      </c>
    </row>
    <row r="8586">
      <c r="A8586" t="n">
        <v>8585</v>
      </c>
      <c r="B8586" t="inlineStr">
        <is>
          <t>V̅MMMDLXXXV</t>
        </is>
      </c>
      <c r="C8586">
        <f>ROMAN(8585)</f>
        <v/>
      </c>
      <c r="D8586">
        <f>IF(B8586=C8586, "YES", "WRONG")</f>
        <v/>
      </c>
    </row>
    <row r="8587">
      <c r="A8587" t="n">
        <v>8586</v>
      </c>
      <c r="B8587" t="inlineStr">
        <is>
          <t>V̅MMMDLXXXVI</t>
        </is>
      </c>
      <c r="C8587">
        <f>ROMAN(8586)</f>
        <v/>
      </c>
      <c r="D8587">
        <f>IF(B8587=C8587, "YES", "WRONG")</f>
        <v/>
      </c>
    </row>
    <row r="8588">
      <c r="A8588" t="n">
        <v>8587</v>
      </c>
      <c r="B8588" t="inlineStr">
        <is>
          <t>V̅MMMDLXXXVII</t>
        </is>
      </c>
      <c r="C8588">
        <f>ROMAN(8587)</f>
        <v/>
      </c>
      <c r="D8588">
        <f>IF(B8588=C8588, "YES", "WRONG")</f>
        <v/>
      </c>
    </row>
    <row r="8589">
      <c r="A8589" t="n">
        <v>8588</v>
      </c>
      <c r="B8589" t="inlineStr">
        <is>
          <t>V̅MMMDLXXXVIII</t>
        </is>
      </c>
      <c r="C8589">
        <f>ROMAN(8588)</f>
        <v/>
      </c>
      <c r="D8589">
        <f>IF(B8589=C8589, "YES", "WRONG")</f>
        <v/>
      </c>
    </row>
    <row r="8590">
      <c r="A8590" t="n">
        <v>8589</v>
      </c>
      <c r="B8590" t="inlineStr">
        <is>
          <t>V̅MMMDLXXXIX</t>
        </is>
      </c>
      <c r="C8590">
        <f>ROMAN(8589)</f>
        <v/>
      </c>
      <c r="D8590">
        <f>IF(B8590=C8590, "YES", "WRONG")</f>
        <v/>
      </c>
    </row>
    <row r="8591">
      <c r="A8591" t="n">
        <v>8590</v>
      </c>
      <c r="B8591" t="inlineStr">
        <is>
          <t>V̅MMMDXC</t>
        </is>
      </c>
      <c r="C8591">
        <f>ROMAN(8590)</f>
        <v/>
      </c>
      <c r="D8591">
        <f>IF(B8591=C8591, "YES", "WRONG")</f>
        <v/>
      </c>
    </row>
    <row r="8592">
      <c r="A8592" t="n">
        <v>8591</v>
      </c>
      <c r="B8592" t="inlineStr">
        <is>
          <t>V̅MMMDXCI</t>
        </is>
      </c>
      <c r="C8592">
        <f>ROMAN(8591)</f>
        <v/>
      </c>
      <c r="D8592">
        <f>IF(B8592=C8592, "YES", "WRONG")</f>
        <v/>
      </c>
    </row>
    <row r="8593">
      <c r="A8593" t="n">
        <v>8592</v>
      </c>
      <c r="B8593" t="inlineStr">
        <is>
          <t>V̅MMMDXCII</t>
        </is>
      </c>
      <c r="C8593">
        <f>ROMAN(8592)</f>
        <v/>
      </c>
      <c r="D8593">
        <f>IF(B8593=C8593, "YES", "WRONG")</f>
        <v/>
      </c>
    </row>
    <row r="8594">
      <c r="A8594" t="n">
        <v>8593</v>
      </c>
      <c r="B8594" t="inlineStr">
        <is>
          <t>V̅MMMDXCIII</t>
        </is>
      </c>
      <c r="C8594">
        <f>ROMAN(8593)</f>
        <v/>
      </c>
      <c r="D8594">
        <f>IF(B8594=C8594, "YES", "WRONG")</f>
        <v/>
      </c>
    </row>
    <row r="8595">
      <c r="A8595" t="n">
        <v>8594</v>
      </c>
      <c r="B8595" t="inlineStr">
        <is>
          <t>V̅MMMDXCIV</t>
        </is>
      </c>
      <c r="C8595">
        <f>ROMAN(8594)</f>
        <v/>
      </c>
      <c r="D8595">
        <f>IF(B8595=C8595, "YES", "WRONG")</f>
        <v/>
      </c>
    </row>
    <row r="8596">
      <c r="A8596" t="n">
        <v>8595</v>
      </c>
      <c r="B8596" t="inlineStr">
        <is>
          <t>V̅MMMDXCV</t>
        </is>
      </c>
      <c r="C8596">
        <f>ROMAN(8595)</f>
        <v/>
      </c>
      <c r="D8596">
        <f>IF(B8596=C8596, "YES", "WRONG")</f>
        <v/>
      </c>
    </row>
    <row r="8597">
      <c r="A8597" t="n">
        <v>8596</v>
      </c>
      <c r="B8597" t="inlineStr">
        <is>
          <t>V̅MMMDXCVI</t>
        </is>
      </c>
      <c r="C8597">
        <f>ROMAN(8596)</f>
        <v/>
      </c>
      <c r="D8597">
        <f>IF(B8597=C8597, "YES", "WRONG")</f>
        <v/>
      </c>
    </row>
    <row r="8598">
      <c r="A8598" t="n">
        <v>8597</v>
      </c>
      <c r="B8598" t="inlineStr">
        <is>
          <t>V̅MMMDXCVII</t>
        </is>
      </c>
      <c r="C8598">
        <f>ROMAN(8597)</f>
        <v/>
      </c>
      <c r="D8598">
        <f>IF(B8598=C8598, "YES", "WRONG")</f>
        <v/>
      </c>
    </row>
    <row r="8599">
      <c r="A8599" t="n">
        <v>8598</v>
      </c>
      <c r="B8599" t="inlineStr">
        <is>
          <t>V̅MMMDXCVIII</t>
        </is>
      </c>
      <c r="C8599">
        <f>ROMAN(8598)</f>
        <v/>
      </c>
      <c r="D8599">
        <f>IF(B8599=C8599, "YES", "WRONG")</f>
        <v/>
      </c>
    </row>
    <row r="8600">
      <c r="A8600" t="n">
        <v>8599</v>
      </c>
      <c r="B8600" t="inlineStr">
        <is>
          <t>V̅MMMDXCIX</t>
        </is>
      </c>
      <c r="C8600">
        <f>ROMAN(8599)</f>
        <v/>
      </c>
      <c r="D8600">
        <f>IF(B8600=C8600, "YES", "WRONG")</f>
        <v/>
      </c>
    </row>
    <row r="8601">
      <c r="A8601" t="n">
        <v>8600</v>
      </c>
      <c r="B8601" t="inlineStr">
        <is>
          <t>V̅MMMDC</t>
        </is>
      </c>
      <c r="C8601">
        <f>ROMAN(8600)</f>
        <v/>
      </c>
      <c r="D8601">
        <f>IF(B8601=C8601, "YES", "WRONG")</f>
        <v/>
      </c>
    </row>
    <row r="8602">
      <c r="A8602" t="n">
        <v>8601</v>
      </c>
      <c r="B8602" t="inlineStr">
        <is>
          <t>V̅MMMDCI</t>
        </is>
      </c>
      <c r="C8602">
        <f>ROMAN(8601)</f>
        <v/>
      </c>
      <c r="D8602">
        <f>IF(B8602=C8602, "YES", "WRONG")</f>
        <v/>
      </c>
    </row>
    <row r="8603">
      <c r="A8603" t="n">
        <v>8602</v>
      </c>
      <c r="B8603" t="inlineStr">
        <is>
          <t>V̅MMMDCII</t>
        </is>
      </c>
      <c r="C8603">
        <f>ROMAN(8602)</f>
        <v/>
      </c>
      <c r="D8603">
        <f>IF(B8603=C8603, "YES", "WRONG")</f>
        <v/>
      </c>
    </row>
    <row r="8604">
      <c r="A8604" t="n">
        <v>8603</v>
      </c>
      <c r="B8604" t="inlineStr">
        <is>
          <t>V̅MMMDCIII</t>
        </is>
      </c>
      <c r="C8604">
        <f>ROMAN(8603)</f>
        <v/>
      </c>
      <c r="D8604">
        <f>IF(B8604=C8604, "YES", "WRONG")</f>
        <v/>
      </c>
    </row>
    <row r="8605">
      <c r="A8605" t="n">
        <v>8604</v>
      </c>
      <c r="B8605" t="inlineStr">
        <is>
          <t>V̅MMMDCIV</t>
        </is>
      </c>
      <c r="C8605">
        <f>ROMAN(8604)</f>
        <v/>
      </c>
      <c r="D8605">
        <f>IF(B8605=C8605, "YES", "WRONG")</f>
        <v/>
      </c>
    </row>
    <row r="8606">
      <c r="A8606" t="n">
        <v>8605</v>
      </c>
      <c r="B8606" t="inlineStr">
        <is>
          <t>V̅MMMDCV</t>
        </is>
      </c>
      <c r="C8606">
        <f>ROMAN(8605)</f>
        <v/>
      </c>
      <c r="D8606">
        <f>IF(B8606=C8606, "YES", "WRONG")</f>
        <v/>
      </c>
    </row>
    <row r="8607">
      <c r="A8607" t="n">
        <v>8606</v>
      </c>
      <c r="B8607" t="inlineStr">
        <is>
          <t>V̅MMMDCVI</t>
        </is>
      </c>
      <c r="C8607">
        <f>ROMAN(8606)</f>
        <v/>
      </c>
      <c r="D8607">
        <f>IF(B8607=C8607, "YES", "WRONG")</f>
        <v/>
      </c>
    </row>
    <row r="8608">
      <c r="A8608" t="n">
        <v>8607</v>
      </c>
      <c r="B8608" t="inlineStr">
        <is>
          <t>V̅MMMDCVII</t>
        </is>
      </c>
      <c r="C8608">
        <f>ROMAN(8607)</f>
        <v/>
      </c>
      <c r="D8608">
        <f>IF(B8608=C8608, "YES", "WRONG")</f>
        <v/>
      </c>
    </row>
    <row r="8609">
      <c r="A8609" t="n">
        <v>8608</v>
      </c>
      <c r="B8609" t="inlineStr">
        <is>
          <t>V̅MMMDCVIII</t>
        </is>
      </c>
      <c r="C8609">
        <f>ROMAN(8608)</f>
        <v/>
      </c>
      <c r="D8609">
        <f>IF(B8609=C8609, "YES", "WRONG")</f>
        <v/>
      </c>
    </row>
    <row r="8610">
      <c r="A8610" t="n">
        <v>8609</v>
      </c>
      <c r="B8610" t="inlineStr">
        <is>
          <t>V̅MMMDCIX</t>
        </is>
      </c>
      <c r="C8610">
        <f>ROMAN(8609)</f>
        <v/>
      </c>
      <c r="D8610">
        <f>IF(B8610=C8610, "YES", "WRONG")</f>
        <v/>
      </c>
    </row>
    <row r="8611">
      <c r="A8611" t="n">
        <v>8610</v>
      </c>
      <c r="B8611" t="inlineStr">
        <is>
          <t>V̅MMMDCX</t>
        </is>
      </c>
      <c r="C8611">
        <f>ROMAN(8610)</f>
        <v/>
      </c>
      <c r="D8611">
        <f>IF(B8611=C8611, "YES", "WRONG")</f>
        <v/>
      </c>
    </row>
    <row r="8612">
      <c r="A8612" t="n">
        <v>8611</v>
      </c>
      <c r="B8612" t="inlineStr">
        <is>
          <t>V̅MMMDCXI</t>
        </is>
      </c>
      <c r="C8612">
        <f>ROMAN(8611)</f>
        <v/>
      </c>
      <c r="D8612">
        <f>IF(B8612=C8612, "YES", "WRONG")</f>
        <v/>
      </c>
    </row>
    <row r="8613">
      <c r="A8613" t="n">
        <v>8612</v>
      </c>
      <c r="B8613" t="inlineStr">
        <is>
          <t>V̅MMMDCXII</t>
        </is>
      </c>
      <c r="C8613">
        <f>ROMAN(8612)</f>
        <v/>
      </c>
      <c r="D8613">
        <f>IF(B8613=C8613, "YES", "WRONG")</f>
        <v/>
      </c>
    </row>
    <row r="8614">
      <c r="A8614" t="n">
        <v>8613</v>
      </c>
      <c r="B8614" t="inlineStr">
        <is>
          <t>V̅MMMDCXIII</t>
        </is>
      </c>
      <c r="C8614">
        <f>ROMAN(8613)</f>
        <v/>
      </c>
      <c r="D8614">
        <f>IF(B8614=C8614, "YES", "WRONG")</f>
        <v/>
      </c>
    </row>
    <row r="8615">
      <c r="A8615" t="n">
        <v>8614</v>
      </c>
      <c r="B8615" t="inlineStr">
        <is>
          <t>V̅MMMDCXIV</t>
        </is>
      </c>
      <c r="C8615">
        <f>ROMAN(8614)</f>
        <v/>
      </c>
      <c r="D8615">
        <f>IF(B8615=C8615, "YES", "WRONG")</f>
        <v/>
      </c>
    </row>
    <row r="8616">
      <c r="A8616" t="n">
        <v>8615</v>
      </c>
      <c r="B8616" t="inlineStr">
        <is>
          <t>V̅MMMDCXV</t>
        </is>
      </c>
      <c r="C8616">
        <f>ROMAN(8615)</f>
        <v/>
      </c>
      <c r="D8616">
        <f>IF(B8616=C8616, "YES", "WRONG")</f>
        <v/>
      </c>
    </row>
    <row r="8617">
      <c r="A8617" t="n">
        <v>8616</v>
      </c>
      <c r="B8617" t="inlineStr">
        <is>
          <t>V̅MMMDCXVI</t>
        </is>
      </c>
      <c r="C8617">
        <f>ROMAN(8616)</f>
        <v/>
      </c>
      <c r="D8617">
        <f>IF(B8617=C8617, "YES", "WRONG")</f>
        <v/>
      </c>
    </row>
    <row r="8618">
      <c r="A8618" t="n">
        <v>8617</v>
      </c>
      <c r="B8618" t="inlineStr">
        <is>
          <t>V̅MMMDCXVII</t>
        </is>
      </c>
      <c r="C8618">
        <f>ROMAN(8617)</f>
        <v/>
      </c>
      <c r="D8618">
        <f>IF(B8618=C8618, "YES", "WRONG")</f>
        <v/>
      </c>
    </row>
    <row r="8619">
      <c r="A8619" t="n">
        <v>8618</v>
      </c>
      <c r="B8619" t="inlineStr">
        <is>
          <t>V̅MMMDCXVIII</t>
        </is>
      </c>
      <c r="C8619">
        <f>ROMAN(8618)</f>
        <v/>
      </c>
      <c r="D8619">
        <f>IF(B8619=C8619, "YES", "WRONG")</f>
        <v/>
      </c>
    </row>
    <row r="8620">
      <c r="A8620" t="n">
        <v>8619</v>
      </c>
      <c r="B8620" t="inlineStr">
        <is>
          <t>V̅MMMDCXIX</t>
        </is>
      </c>
      <c r="C8620">
        <f>ROMAN(8619)</f>
        <v/>
      </c>
      <c r="D8620">
        <f>IF(B8620=C8620, "YES", "WRONG")</f>
        <v/>
      </c>
    </row>
    <row r="8621">
      <c r="A8621" t="n">
        <v>8620</v>
      </c>
      <c r="B8621" t="inlineStr">
        <is>
          <t>V̅MMMDCXX</t>
        </is>
      </c>
      <c r="C8621">
        <f>ROMAN(8620)</f>
        <v/>
      </c>
      <c r="D8621">
        <f>IF(B8621=C8621, "YES", "WRONG")</f>
        <v/>
      </c>
    </row>
    <row r="8622">
      <c r="A8622" t="n">
        <v>8621</v>
      </c>
      <c r="B8622" t="inlineStr">
        <is>
          <t>V̅MMMDCXXI</t>
        </is>
      </c>
      <c r="C8622">
        <f>ROMAN(8621)</f>
        <v/>
      </c>
      <c r="D8622">
        <f>IF(B8622=C8622, "YES", "WRONG")</f>
        <v/>
      </c>
    </row>
    <row r="8623">
      <c r="A8623" t="n">
        <v>8622</v>
      </c>
      <c r="B8623" t="inlineStr">
        <is>
          <t>V̅MMMDCXXII</t>
        </is>
      </c>
      <c r="C8623">
        <f>ROMAN(8622)</f>
        <v/>
      </c>
      <c r="D8623">
        <f>IF(B8623=C8623, "YES", "WRONG")</f>
        <v/>
      </c>
    </row>
    <row r="8624">
      <c r="A8624" t="n">
        <v>8623</v>
      </c>
      <c r="B8624" t="inlineStr">
        <is>
          <t>V̅MMMDCXXIII</t>
        </is>
      </c>
      <c r="C8624">
        <f>ROMAN(8623)</f>
        <v/>
      </c>
      <c r="D8624">
        <f>IF(B8624=C8624, "YES", "WRONG")</f>
        <v/>
      </c>
    </row>
    <row r="8625">
      <c r="A8625" t="n">
        <v>8624</v>
      </c>
      <c r="B8625" t="inlineStr">
        <is>
          <t>V̅MMMDCXXIV</t>
        </is>
      </c>
      <c r="C8625">
        <f>ROMAN(8624)</f>
        <v/>
      </c>
      <c r="D8625">
        <f>IF(B8625=C8625, "YES", "WRONG")</f>
        <v/>
      </c>
    </row>
    <row r="8626">
      <c r="A8626" t="n">
        <v>8625</v>
      </c>
      <c r="B8626" t="inlineStr">
        <is>
          <t>V̅MMMDCXXV</t>
        </is>
      </c>
      <c r="C8626">
        <f>ROMAN(8625)</f>
        <v/>
      </c>
      <c r="D8626">
        <f>IF(B8626=C8626, "YES", "WRONG")</f>
        <v/>
      </c>
    </row>
    <row r="8627">
      <c r="A8627" t="n">
        <v>8626</v>
      </c>
      <c r="B8627" t="inlineStr">
        <is>
          <t>V̅MMMDCXXVI</t>
        </is>
      </c>
      <c r="C8627">
        <f>ROMAN(8626)</f>
        <v/>
      </c>
      <c r="D8627">
        <f>IF(B8627=C8627, "YES", "WRONG")</f>
        <v/>
      </c>
    </row>
    <row r="8628">
      <c r="A8628" t="n">
        <v>8627</v>
      </c>
      <c r="B8628" t="inlineStr">
        <is>
          <t>V̅MMMDCXXVII</t>
        </is>
      </c>
      <c r="C8628">
        <f>ROMAN(8627)</f>
        <v/>
      </c>
      <c r="D8628">
        <f>IF(B8628=C8628, "YES", "WRONG")</f>
        <v/>
      </c>
    </row>
    <row r="8629">
      <c r="A8629" t="n">
        <v>8628</v>
      </c>
      <c r="B8629" t="inlineStr">
        <is>
          <t>V̅MMMDCXXVIII</t>
        </is>
      </c>
      <c r="C8629">
        <f>ROMAN(8628)</f>
        <v/>
      </c>
      <c r="D8629">
        <f>IF(B8629=C8629, "YES", "WRONG")</f>
        <v/>
      </c>
    </row>
    <row r="8630">
      <c r="A8630" t="n">
        <v>8629</v>
      </c>
      <c r="B8630" t="inlineStr">
        <is>
          <t>V̅MMMDCXXIX</t>
        </is>
      </c>
      <c r="C8630">
        <f>ROMAN(8629)</f>
        <v/>
      </c>
      <c r="D8630">
        <f>IF(B8630=C8630, "YES", "WRONG")</f>
        <v/>
      </c>
    </row>
    <row r="8631">
      <c r="A8631" t="n">
        <v>8630</v>
      </c>
      <c r="B8631" t="inlineStr">
        <is>
          <t>V̅MMMDCXXX</t>
        </is>
      </c>
      <c r="C8631">
        <f>ROMAN(8630)</f>
        <v/>
      </c>
      <c r="D8631">
        <f>IF(B8631=C8631, "YES", "WRONG")</f>
        <v/>
      </c>
    </row>
    <row r="8632">
      <c r="A8632" t="n">
        <v>8631</v>
      </c>
      <c r="B8632" t="inlineStr">
        <is>
          <t>V̅MMMDCXXXI</t>
        </is>
      </c>
      <c r="C8632">
        <f>ROMAN(8631)</f>
        <v/>
      </c>
      <c r="D8632">
        <f>IF(B8632=C8632, "YES", "WRONG")</f>
        <v/>
      </c>
    </row>
    <row r="8633">
      <c r="A8633" t="n">
        <v>8632</v>
      </c>
      <c r="B8633" t="inlineStr">
        <is>
          <t>V̅MMMDCXXXII</t>
        </is>
      </c>
      <c r="C8633">
        <f>ROMAN(8632)</f>
        <v/>
      </c>
      <c r="D8633">
        <f>IF(B8633=C8633, "YES", "WRONG")</f>
        <v/>
      </c>
    </row>
    <row r="8634">
      <c r="A8634" t="n">
        <v>8633</v>
      </c>
      <c r="B8634" t="inlineStr">
        <is>
          <t>V̅MMMDCXXXIII</t>
        </is>
      </c>
      <c r="C8634">
        <f>ROMAN(8633)</f>
        <v/>
      </c>
      <c r="D8634">
        <f>IF(B8634=C8634, "YES", "WRONG")</f>
        <v/>
      </c>
    </row>
    <row r="8635">
      <c r="A8635" t="n">
        <v>8634</v>
      </c>
      <c r="B8635" t="inlineStr">
        <is>
          <t>V̅MMMDCXXXIV</t>
        </is>
      </c>
      <c r="C8635">
        <f>ROMAN(8634)</f>
        <v/>
      </c>
      <c r="D8635">
        <f>IF(B8635=C8635, "YES", "WRONG")</f>
        <v/>
      </c>
    </row>
    <row r="8636">
      <c r="A8636" t="n">
        <v>8635</v>
      </c>
      <c r="B8636" t="inlineStr">
        <is>
          <t>V̅MMMDCXXXV</t>
        </is>
      </c>
      <c r="C8636">
        <f>ROMAN(8635)</f>
        <v/>
      </c>
      <c r="D8636">
        <f>IF(B8636=C8636, "YES", "WRONG")</f>
        <v/>
      </c>
    </row>
    <row r="8637">
      <c r="A8637" t="n">
        <v>8636</v>
      </c>
      <c r="B8637" t="inlineStr">
        <is>
          <t>V̅MMMDCXXXVI</t>
        </is>
      </c>
      <c r="C8637">
        <f>ROMAN(8636)</f>
        <v/>
      </c>
      <c r="D8637">
        <f>IF(B8637=C8637, "YES", "WRONG")</f>
        <v/>
      </c>
    </row>
    <row r="8638">
      <c r="A8638" t="n">
        <v>8637</v>
      </c>
      <c r="B8638" t="inlineStr">
        <is>
          <t>V̅MMMDCXXXVII</t>
        </is>
      </c>
      <c r="C8638">
        <f>ROMAN(8637)</f>
        <v/>
      </c>
      <c r="D8638">
        <f>IF(B8638=C8638, "YES", "WRONG")</f>
        <v/>
      </c>
    </row>
    <row r="8639">
      <c r="A8639" t="n">
        <v>8638</v>
      </c>
      <c r="B8639" t="inlineStr">
        <is>
          <t>V̅MMMDCXXXVIII</t>
        </is>
      </c>
      <c r="C8639">
        <f>ROMAN(8638)</f>
        <v/>
      </c>
      <c r="D8639">
        <f>IF(B8639=C8639, "YES", "WRONG")</f>
        <v/>
      </c>
    </row>
    <row r="8640">
      <c r="A8640" t="n">
        <v>8639</v>
      </c>
      <c r="B8640" t="inlineStr">
        <is>
          <t>V̅MMMDCXXXIX</t>
        </is>
      </c>
      <c r="C8640">
        <f>ROMAN(8639)</f>
        <v/>
      </c>
      <c r="D8640">
        <f>IF(B8640=C8640, "YES", "WRONG")</f>
        <v/>
      </c>
    </row>
    <row r="8641">
      <c r="A8641" t="n">
        <v>8640</v>
      </c>
      <c r="B8641" t="inlineStr">
        <is>
          <t>V̅MMMDCXL</t>
        </is>
      </c>
      <c r="C8641">
        <f>ROMAN(8640)</f>
        <v/>
      </c>
      <c r="D8641">
        <f>IF(B8641=C8641, "YES", "WRONG")</f>
        <v/>
      </c>
    </row>
    <row r="8642">
      <c r="A8642" t="n">
        <v>8641</v>
      </c>
      <c r="B8642" t="inlineStr">
        <is>
          <t>V̅MMMDCXLI</t>
        </is>
      </c>
      <c r="C8642">
        <f>ROMAN(8641)</f>
        <v/>
      </c>
      <c r="D8642">
        <f>IF(B8642=C8642, "YES", "WRONG")</f>
        <v/>
      </c>
    </row>
    <row r="8643">
      <c r="A8643" t="n">
        <v>8642</v>
      </c>
      <c r="B8643" t="inlineStr">
        <is>
          <t>V̅MMMDCXLII</t>
        </is>
      </c>
      <c r="C8643">
        <f>ROMAN(8642)</f>
        <v/>
      </c>
      <c r="D8643">
        <f>IF(B8643=C8643, "YES", "WRONG")</f>
        <v/>
      </c>
    </row>
    <row r="8644">
      <c r="A8644" t="n">
        <v>8643</v>
      </c>
      <c r="B8644" t="inlineStr">
        <is>
          <t>V̅MMMDCXLIII</t>
        </is>
      </c>
      <c r="C8644">
        <f>ROMAN(8643)</f>
        <v/>
      </c>
      <c r="D8644">
        <f>IF(B8644=C8644, "YES", "WRONG")</f>
        <v/>
      </c>
    </row>
    <row r="8645">
      <c r="A8645" t="n">
        <v>8644</v>
      </c>
      <c r="B8645" t="inlineStr">
        <is>
          <t>V̅MMMDCXLIV</t>
        </is>
      </c>
      <c r="C8645">
        <f>ROMAN(8644)</f>
        <v/>
      </c>
      <c r="D8645">
        <f>IF(B8645=C8645, "YES", "WRONG")</f>
        <v/>
      </c>
    </row>
    <row r="8646">
      <c r="A8646" t="n">
        <v>8645</v>
      </c>
      <c r="B8646" t="inlineStr">
        <is>
          <t>V̅MMMDCXLV</t>
        </is>
      </c>
      <c r="C8646">
        <f>ROMAN(8645)</f>
        <v/>
      </c>
      <c r="D8646">
        <f>IF(B8646=C8646, "YES", "WRONG")</f>
        <v/>
      </c>
    </row>
    <row r="8647">
      <c r="A8647" t="n">
        <v>8646</v>
      </c>
      <c r="B8647" t="inlineStr">
        <is>
          <t>V̅MMMDCXLVI</t>
        </is>
      </c>
      <c r="C8647">
        <f>ROMAN(8646)</f>
        <v/>
      </c>
      <c r="D8647">
        <f>IF(B8647=C8647, "YES", "WRONG")</f>
        <v/>
      </c>
    </row>
    <row r="8648">
      <c r="A8648" t="n">
        <v>8647</v>
      </c>
      <c r="B8648" t="inlineStr">
        <is>
          <t>V̅MMMDCXLVII</t>
        </is>
      </c>
      <c r="C8648">
        <f>ROMAN(8647)</f>
        <v/>
      </c>
      <c r="D8648">
        <f>IF(B8648=C8648, "YES", "WRONG")</f>
        <v/>
      </c>
    </row>
    <row r="8649">
      <c r="A8649" t="n">
        <v>8648</v>
      </c>
      <c r="B8649" t="inlineStr">
        <is>
          <t>V̅MMMDCXLVIII</t>
        </is>
      </c>
      <c r="C8649">
        <f>ROMAN(8648)</f>
        <v/>
      </c>
      <c r="D8649">
        <f>IF(B8649=C8649, "YES", "WRONG")</f>
        <v/>
      </c>
    </row>
    <row r="8650">
      <c r="A8650" t="n">
        <v>8649</v>
      </c>
      <c r="B8650" t="inlineStr">
        <is>
          <t>V̅MMMDCXLIX</t>
        </is>
      </c>
      <c r="C8650">
        <f>ROMAN(8649)</f>
        <v/>
      </c>
      <c r="D8650">
        <f>IF(B8650=C8650, "YES", "WRONG")</f>
        <v/>
      </c>
    </row>
    <row r="8651">
      <c r="A8651" t="n">
        <v>8650</v>
      </c>
      <c r="B8651" t="inlineStr">
        <is>
          <t>V̅MMMDCL</t>
        </is>
      </c>
      <c r="C8651">
        <f>ROMAN(8650)</f>
        <v/>
      </c>
      <c r="D8651">
        <f>IF(B8651=C8651, "YES", "WRONG")</f>
        <v/>
      </c>
    </row>
    <row r="8652">
      <c r="A8652" t="n">
        <v>8651</v>
      </c>
      <c r="B8652" t="inlineStr">
        <is>
          <t>V̅MMMDCLI</t>
        </is>
      </c>
      <c r="C8652">
        <f>ROMAN(8651)</f>
        <v/>
      </c>
      <c r="D8652">
        <f>IF(B8652=C8652, "YES", "WRONG")</f>
        <v/>
      </c>
    </row>
    <row r="8653">
      <c r="A8653" t="n">
        <v>8652</v>
      </c>
      <c r="B8653" t="inlineStr">
        <is>
          <t>V̅MMMDCLII</t>
        </is>
      </c>
      <c r="C8653">
        <f>ROMAN(8652)</f>
        <v/>
      </c>
      <c r="D8653">
        <f>IF(B8653=C8653, "YES", "WRONG")</f>
        <v/>
      </c>
    </row>
    <row r="8654">
      <c r="A8654" t="n">
        <v>8653</v>
      </c>
      <c r="B8654" t="inlineStr">
        <is>
          <t>V̅MMMDCLIII</t>
        </is>
      </c>
      <c r="C8654">
        <f>ROMAN(8653)</f>
        <v/>
      </c>
      <c r="D8654">
        <f>IF(B8654=C8654, "YES", "WRONG")</f>
        <v/>
      </c>
    </row>
    <row r="8655">
      <c r="A8655" t="n">
        <v>8654</v>
      </c>
      <c r="B8655" t="inlineStr">
        <is>
          <t>V̅MMMDCLIV</t>
        </is>
      </c>
      <c r="C8655">
        <f>ROMAN(8654)</f>
        <v/>
      </c>
      <c r="D8655">
        <f>IF(B8655=C8655, "YES", "WRONG")</f>
        <v/>
      </c>
    </row>
    <row r="8656">
      <c r="A8656" t="n">
        <v>8655</v>
      </c>
      <c r="B8656" t="inlineStr">
        <is>
          <t>V̅MMMDCLV</t>
        </is>
      </c>
      <c r="C8656">
        <f>ROMAN(8655)</f>
        <v/>
      </c>
      <c r="D8656">
        <f>IF(B8656=C8656, "YES", "WRONG")</f>
        <v/>
      </c>
    </row>
    <row r="8657">
      <c r="A8657" t="n">
        <v>8656</v>
      </c>
      <c r="B8657" t="inlineStr">
        <is>
          <t>V̅MMMDCLVI</t>
        </is>
      </c>
      <c r="C8657">
        <f>ROMAN(8656)</f>
        <v/>
      </c>
      <c r="D8657">
        <f>IF(B8657=C8657, "YES", "WRONG")</f>
        <v/>
      </c>
    </row>
    <row r="8658">
      <c r="A8658" t="n">
        <v>8657</v>
      </c>
      <c r="B8658" t="inlineStr">
        <is>
          <t>V̅MMMDCLVII</t>
        </is>
      </c>
      <c r="C8658">
        <f>ROMAN(8657)</f>
        <v/>
      </c>
      <c r="D8658">
        <f>IF(B8658=C8658, "YES", "WRONG")</f>
        <v/>
      </c>
    </row>
    <row r="8659">
      <c r="A8659" t="n">
        <v>8658</v>
      </c>
      <c r="B8659" t="inlineStr">
        <is>
          <t>V̅MMMDCLVIII</t>
        </is>
      </c>
      <c r="C8659">
        <f>ROMAN(8658)</f>
        <v/>
      </c>
      <c r="D8659">
        <f>IF(B8659=C8659, "YES", "WRONG")</f>
        <v/>
      </c>
    </row>
    <row r="8660">
      <c r="A8660" t="n">
        <v>8659</v>
      </c>
      <c r="B8660" t="inlineStr">
        <is>
          <t>V̅MMMDCLIX</t>
        </is>
      </c>
      <c r="C8660">
        <f>ROMAN(8659)</f>
        <v/>
      </c>
      <c r="D8660">
        <f>IF(B8660=C8660, "YES", "WRONG")</f>
        <v/>
      </c>
    </row>
    <row r="8661">
      <c r="A8661" t="n">
        <v>8660</v>
      </c>
      <c r="B8661" t="inlineStr">
        <is>
          <t>V̅MMMDCLX</t>
        </is>
      </c>
      <c r="C8661">
        <f>ROMAN(8660)</f>
        <v/>
      </c>
      <c r="D8661">
        <f>IF(B8661=C8661, "YES", "WRONG")</f>
        <v/>
      </c>
    </row>
    <row r="8662">
      <c r="A8662" t="n">
        <v>8661</v>
      </c>
      <c r="B8662" t="inlineStr">
        <is>
          <t>V̅MMMDCLXI</t>
        </is>
      </c>
      <c r="C8662">
        <f>ROMAN(8661)</f>
        <v/>
      </c>
      <c r="D8662">
        <f>IF(B8662=C8662, "YES", "WRONG")</f>
        <v/>
      </c>
    </row>
    <row r="8663">
      <c r="A8663" t="n">
        <v>8662</v>
      </c>
      <c r="B8663" t="inlineStr">
        <is>
          <t>V̅MMMDCLXII</t>
        </is>
      </c>
      <c r="C8663">
        <f>ROMAN(8662)</f>
        <v/>
      </c>
      <c r="D8663">
        <f>IF(B8663=C8663, "YES", "WRONG")</f>
        <v/>
      </c>
    </row>
    <row r="8664">
      <c r="A8664" t="n">
        <v>8663</v>
      </c>
      <c r="B8664" t="inlineStr">
        <is>
          <t>V̅MMMDCLXIII</t>
        </is>
      </c>
      <c r="C8664">
        <f>ROMAN(8663)</f>
        <v/>
      </c>
      <c r="D8664">
        <f>IF(B8664=C8664, "YES", "WRONG")</f>
        <v/>
      </c>
    </row>
    <row r="8665">
      <c r="A8665" t="n">
        <v>8664</v>
      </c>
      <c r="B8665" t="inlineStr">
        <is>
          <t>V̅MMMDCLXIV</t>
        </is>
      </c>
      <c r="C8665">
        <f>ROMAN(8664)</f>
        <v/>
      </c>
      <c r="D8665">
        <f>IF(B8665=C8665, "YES", "WRONG")</f>
        <v/>
      </c>
    </row>
    <row r="8666">
      <c r="A8666" t="n">
        <v>8665</v>
      </c>
      <c r="B8666" t="inlineStr">
        <is>
          <t>V̅MMMDCLXV</t>
        </is>
      </c>
      <c r="C8666">
        <f>ROMAN(8665)</f>
        <v/>
      </c>
      <c r="D8666">
        <f>IF(B8666=C8666, "YES", "WRONG")</f>
        <v/>
      </c>
    </row>
    <row r="8667">
      <c r="A8667" t="n">
        <v>8666</v>
      </c>
      <c r="B8667" t="inlineStr">
        <is>
          <t>V̅MMMDCLXVI</t>
        </is>
      </c>
      <c r="C8667">
        <f>ROMAN(8666)</f>
        <v/>
      </c>
      <c r="D8667">
        <f>IF(B8667=C8667, "YES", "WRONG")</f>
        <v/>
      </c>
    </row>
    <row r="8668">
      <c r="A8668" t="n">
        <v>8667</v>
      </c>
      <c r="B8668" t="inlineStr">
        <is>
          <t>V̅MMMDCLXVII</t>
        </is>
      </c>
      <c r="C8668">
        <f>ROMAN(8667)</f>
        <v/>
      </c>
      <c r="D8668">
        <f>IF(B8668=C8668, "YES", "WRONG")</f>
        <v/>
      </c>
    </row>
    <row r="8669">
      <c r="A8669" t="n">
        <v>8668</v>
      </c>
      <c r="B8669" t="inlineStr">
        <is>
          <t>V̅MMMDCLXVIII</t>
        </is>
      </c>
      <c r="C8669">
        <f>ROMAN(8668)</f>
        <v/>
      </c>
      <c r="D8669">
        <f>IF(B8669=C8669, "YES", "WRONG")</f>
        <v/>
      </c>
    </row>
    <row r="8670">
      <c r="A8670" t="n">
        <v>8669</v>
      </c>
      <c r="B8670" t="inlineStr">
        <is>
          <t>V̅MMMDCLXIX</t>
        </is>
      </c>
      <c r="C8670">
        <f>ROMAN(8669)</f>
        <v/>
      </c>
      <c r="D8670">
        <f>IF(B8670=C8670, "YES", "WRONG")</f>
        <v/>
      </c>
    </row>
    <row r="8671">
      <c r="A8671" t="n">
        <v>8670</v>
      </c>
      <c r="B8671" t="inlineStr">
        <is>
          <t>V̅MMMDCLXX</t>
        </is>
      </c>
      <c r="C8671">
        <f>ROMAN(8670)</f>
        <v/>
      </c>
      <c r="D8671">
        <f>IF(B8671=C8671, "YES", "WRONG")</f>
        <v/>
      </c>
    </row>
    <row r="8672">
      <c r="A8672" t="n">
        <v>8671</v>
      </c>
      <c r="B8672" t="inlineStr">
        <is>
          <t>V̅MMMDCLXXI</t>
        </is>
      </c>
      <c r="C8672">
        <f>ROMAN(8671)</f>
        <v/>
      </c>
      <c r="D8672">
        <f>IF(B8672=C8672, "YES", "WRONG")</f>
        <v/>
      </c>
    </row>
    <row r="8673">
      <c r="A8673" t="n">
        <v>8672</v>
      </c>
      <c r="B8673" t="inlineStr">
        <is>
          <t>V̅MMMDCLXXII</t>
        </is>
      </c>
      <c r="C8673">
        <f>ROMAN(8672)</f>
        <v/>
      </c>
      <c r="D8673">
        <f>IF(B8673=C8673, "YES", "WRONG")</f>
        <v/>
      </c>
    </row>
    <row r="8674">
      <c r="A8674" t="n">
        <v>8673</v>
      </c>
      <c r="B8674" t="inlineStr">
        <is>
          <t>V̅MMMDCLXXIII</t>
        </is>
      </c>
      <c r="C8674">
        <f>ROMAN(8673)</f>
        <v/>
      </c>
      <c r="D8674">
        <f>IF(B8674=C8674, "YES", "WRONG")</f>
        <v/>
      </c>
    </row>
    <row r="8675">
      <c r="A8675" t="n">
        <v>8674</v>
      </c>
      <c r="B8675" t="inlineStr">
        <is>
          <t>V̅MMMDCLXXIV</t>
        </is>
      </c>
      <c r="C8675">
        <f>ROMAN(8674)</f>
        <v/>
      </c>
      <c r="D8675">
        <f>IF(B8675=C8675, "YES", "WRONG")</f>
        <v/>
      </c>
    </row>
    <row r="8676">
      <c r="A8676" t="n">
        <v>8675</v>
      </c>
      <c r="B8676" t="inlineStr">
        <is>
          <t>V̅MMMDCLXXV</t>
        </is>
      </c>
      <c r="C8676">
        <f>ROMAN(8675)</f>
        <v/>
      </c>
      <c r="D8676">
        <f>IF(B8676=C8676, "YES", "WRONG")</f>
        <v/>
      </c>
    </row>
    <row r="8677">
      <c r="A8677" t="n">
        <v>8676</v>
      </c>
      <c r="B8677" t="inlineStr">
        <is>
          <t>V̅MMMDCLXXVI</t>
        </is>
      </c>
      <c r="C8677">
        <f>ROMAN(8676)</f>
        <v/>
      </c>
      <c r="D8677">
        <f>IF(B8677=C8677, "YES", "WRONG")</f>
        <v/>
      </c>
    </row>
    <row r="8678">
      <c r="A8678" t="n">
        <v>8677</v>
      </c>
      <c r="B8678" t="inlineStr">
        <is>
          <t>V̅MMMDCLXXVII</t>
        </is>
      </c>
      <c r="C8678">
        <f>ROMAN(8677)</f>
        <v/>
      </c>
      <c r="D8678">
        <f>IF(B8678=C8678, "YES", "WRONG")</f>
        <v/>
      </c>
    </row>
    <row r="8679">
      <c r="A8679" t="n">
        <v>8678</v>
      </c>
      <c r="B8679" t="inlineStr">
        <is>
          <t>V̅MMMDCLXXVIII</t>
        </is>
      </c>
      <c r="C8679">
        <f>ROMAN(8678)</f>
        <v/>
      </c>
      <c r="D8679">
        <f>IF(B8679=C8679, "YES", "WRONG")</f>
        <v/>
      </c>
    </row>
    <row r="8680">
      <c r="A8680" t="n">
        <v>8679</v>
      </c>
      <c r="B8680" t="inlineStr">
        <is>
          <t>V̅MMMDCLXXIX</t>
        </is>
      </c>
      <c r="C8680">
        <f>ROMAN(8679)</f>
        <v/>
      </c>
      <c r="D8680">
        <f>IF(B8680=C8680, "YES", "WRONG")</f>
        <v/>
      </c>
    </row>
    <row r="8681">
      <c r="A8681" t="n">
        <v>8680</v>
      </c>
      <c r="B8681" t="inlineStr">
        <is>
          <t>V̅MMMDCLXXX</t>
        </is>
      </c>
      <c r="C8681">
        <f>ROMAN(8680)</f>
        <v/>
      </c>
      <c r="D8681">
        <f>IF(B8681=C8681, "YES", "WRONG")</f>
        <v/>
      </c>
    </row>
    <row r="8682">
      <c r="A8682" t="n">
        <v>8681</v>
      </c>
      <c r="B8682" t="inlineStr">
        <is>
          <t>V̅MMMDCLXXXI</t>
        </is>
      </c>
      <c r="C8682">
        <f>ROMAN(8681)</f>
        <v/>
      </c>
      <c r="D8682">
        <f>IF(B8682=C8682, "YES", "WRONG")</f>
        <v/>
      </c>
    </row>
    <row r="8683">
      <c r="A8683" t="n">
        <v>8682</v>
      </c>
      <c r="B8683" t="inlineStr">
        <is>
          <t>V̅MMMDCLXXXII</t>
        </is>
      </c>
      <c r="C8683">
        <f>ROMAN(8682)</f>
        <v/>
      </c>
      <c r="D8683">
        <f>IF(B8683=C8683, "YES", "WRONG")</f>
        <v/>
      </c>
    </row>
    <row r="8684">
      <c r="A8684" t="n">
        <v>8683</v>
      </c>
      <c r="B8684" t="inlineStr">
        <is>
          <t>V̅MMMDCLXXXIII</t>
        </is>
      </c>
      <c r="C8684">
        <f>ROMAN(8683)</f>
        <v/>
      </c>
      <c r="D8684">
        <f>IF(B8684=C8684, "YES", "WRONG")</f>
        <v/>
      </c>
    </row>
    <row r="8685">
      <c r="A8685" t="n">
        <v>8684</v>
      </c>
      <c r="B8685" t="inlineStr">
        <is>
          <t>V̅MMMDCLXXXIV</t>
        </is>
      </c>
      <c r="C8685">
        <f>ROMAN(8684)</f>
        <v/>
      </c>
      <c r="D8685">
        <f>IF(B8685=C8685, "YES", "WRONG")</f>
        <v/>
      </c>
    </row>
    <row r="8686">
      <c r="A8686" t="n">
        <v>8685</v>
      </c>
      <c r="B8686" t="inlineStr">
        <is>
          <t>V̅MMMDCLXXXV</t>
        </is>
      </c>
      <c r="C8686">
        <f>ROMAN(8685)</f>
        <v/>
      </c>
      <c r="D8686">
        <f>IF(B8686=C8686, "YES", "WRONG")</f>
        <v/>
      </c>
    </row>
    <row r="8687">
      <c r="A8687" t="n">
        <v>8686</v>
      </c>
      <c r="B8687" t="inlineStr">
        <is>
          <t>V̅MMMDCLXXXVI</t>
        </is>
      </c>
      <c r="C8687">
        <f>ROMAN(8686)</f>
        <v/>
      </c>
      <c r="D8687">
        <f>IF(B8687=C8687, "YES", "WRONG")</f>
        <v/>
      </c>
    </row>
    <row r="8688">
      <c r="A8688" t="n">
        <v>8687</v>
      </c>
      <c r="B8688" t="inlineStr">
        <is>
          <t>V̅MMMDCLXXXVII</t>
        </is>
      </c>
      <c r="C8688">
        <f>ROMAN(8687)</f>
        <v/>
      </c>
      <c r="D8688">
        <f>IF(B8688=C8688, "YES", "WRONG")</f>
        <v/>
      </c>
    </row>
    <row r="8689">
      <c r="A8689" t="n">
        <v>8688</v>
      </c>
      <c r="B8689" t="inlineStr">
        <is>
          <t>V̅MMMDCLXXXVIII</t>
        </is>
      </c>
      <c r="C8689">
        <f>ROMAN(8688)</f>
        <v/>
      </c>
      <c r="D8689">
        <f>IF(B8689=C8689, "YES", "WRONG")</f>
        <v/>
      </c>
    </row>
    <row r="8690">
      <c r="A8690" t="n">
        <v>8689</v>
      </c>
      <c r="B8690" t="inlineStr">
        <is>
          <t>V̅MMMDCLXXXIX</t>
        </is>
      </c>
      <c r="C8690">
        <f>ROMAN(8689)</f>
        <v/>
      </c>
      <c r="D8690">
        <f>IF(B8690=C8690, "YES", "WRONG")</f>
        <v/>
      </c>
    </row>
    <row r="8691">
      <c r="A8691" t="n">
        <v>8690</v>
      </c>
      <c r="B8691" t="inlineStr">
        <is>
          <t>V̅MMMDCXC</t>
        </is>
      </c>
      <c r="C8691">
        <f>ROMAN(8690)</f>
        <v/>
      </c>
      <c r="D8691">
        <f>IF(B8691=C8691, "YES", "WRONG")</f>
        <v/>
      </c>
    </row>
    <row r="8692">
      <c r="A8692" t="n">
        <v>8691</v>
      </c>
      <c r="B8692" t="inlineStr">
        <is>
          <t>V̅MMMDCXCI</t>
        </is>
      </c>
      <c r="C8692">
        <f>ROMAN(8691)</f>
        <v/>
      </c>
      <c r="D8692">
        <f>IF(B8692=C8692, "YES", "WRONG")</f>
        <v/>
      </c>
    </row>
    <row r="8693">
      <c r="A8693" t="n">
        <v>8692</v>
      </c>
      <c r="B8693" t="inlineStr">
        <is>
          <t>V̅MMMDCXCII</t>
        </is>
      </c>
      <c r="C8693">
        <f>ROMAN(8692)</f>
        <v/>
      </c>
      <c r="D8693">
        <f>IF(B8693=C8693, "YES", "WRONG")</f>
        <v/>
      </c>
    </row>
    <row r="8694">
      <c r="A8694" t="n">
        <v>8693</v>
      </c>
      <c r="B8694" t="inlineStr">
        <is>
          <t>V̅MMMDCXCIII</t>
        </is>
      </c>
      <c r="C8694">
        <f>ROMAN(8693)</f>
        <v/>
      </c>
      <c r="D8694">
        <f>IF(B8694=C8694, "YES", "WRONG")</f>
        <v/>
      </c>
    </row>
    <row r="8695">
      <c r="A8695" t="n">
        <v>8694</v>
      </c>
      <c r="B8695" t="inlineStr">
        <is>
          <t>V̅MMMDCXCIV</t>
        </is>
      </c>
      <c r="C8695">
        <f>ROMAN(8694)</f>
        <v/>
      </c>
      <c r="D8695">
        <f>IF(B8695=C8695, "YES", "WRONG")</f>
        <v/>
      </c>
    </row>
    <row r="8696">
      <c r="A8696" t="n">
        <v>8695</v>
      </c>
      <c r="B8696" t="inlineStr">
        <is>
          <t>V̅MMMDCXCV</t>
        </is>
      </c>
      <c r="C8696">
        <f>ROMAN(8695)</f>
        <v/>
      </c>
      <c r="D8696">
        <f>IF(B8696=C8696, "YES", "WRONG")</f>
        <v/>
      </c>
    </row>
    <row r="8697">
      <c r="A8697" t="n">
        <v>8696</v>
      </c>
      <c r="B8697" t="inlineStr">
        <is>
          <t>V̅MMMDCXCVI</t>
        </is>
      </c>
      <c r="C8697">
        <f>ROMAN(8696)</f>
        <v/>
      </c>
      <c r="D8697">
        <f>IF(B8697=C8697, "YES", "WRONG")</f>
        <v/>
      </c>
    </row>
    <row r="8698">
      <c r="A8698" t="n">
        <v>8697</v>
      </c>
      <c r="B8698" t="inlineStr">
        <is>
          <t>V̅MMMDCXCVII</t>
        </is>
      </c>
      <c r="C8698">
        <f>ROMAN(8697)</f>
        <v/>
      </c>
      <c r="D8698">
        <f>IF(B8698=C8698, "YES", "WRONG")</f>
        <v/>
      </c>
    </row>
    <row r="8699">
      <c r="A8699" t="n">
        <v>8698</v>
      </c>
      <c r="B8699" t="inlineStr">
        <is>
          <t>V̅MMMDCXCVIII</t>
        </is>
      </c>
      <c r="C8699">
        <f>ROMAN(8698)</f>
        <v/>
      </c>
      <c r="D8699">
        <f>IF(B8699=C8699, "YES", "WRONG")</f>
        <v/>
      </c>
    </row>
    <row r="8700">
      <c r="A8700" t="n">
        <v>8699</v>
      </c>
      <c r="B8700" t="inlineStr">
        <is>
          <t>V̅MMMDCXCIX</t>
        </is>
      </c>
      <c r="C8700">
        <f>ROMAN(8699)</f>
        <v/>
      </c>
      <c r="D8700">
        <f>IF(B8700=C8700, "YES", "WRONG")</f>
        <v/>
      </c>
    </row>
    <row r="8701">
      <c r="A8701" t="n">
        <v>8700</v>
      </c>
      <c r="B8701" t="inlineStr">
        <is>
          <t>V̅MMMDCC</t>
        </is>
      </c>
      <c r="C8701">
        <f>ROMAN(8700)</f>
        <v/>
      </c>
      <c r="D8701">
        <f>IF(B8701=C8701, "YES", "WRONG")</f>
        <v/>
      </c>
    </row>
    <row r="8702">
      <c r="A8702" t="n">
        <v>8701</v>
      </c>
      <c r="B8702" t="inlineStr">
        <is>
          <t>V̅MMMDCCI</t>
        </is>
      </c>
      <c r="C8702">
        <f>ROMAN(8701)</f>
        <v/>
      </c>
      <c r="D8702">
        <f>IF(B8702=C8702, "YES", "WRONG")</f>
        <v/>
      </c>
    </row>
    <row r="8703">
      <c r="A8703" t="n">
        <v>8702</v>
      </c>
      <c r="B8703" t="inlineStr">
        <is>
          <t>V̅MMMDCCII</t>
        </is>
      </c>
      <c r="C8703">
        <f>ROMAN(8702)</f>
        <v/>
      </c>
      <c r="D8703">
        <f>IF(B8703=C8703, "YES", "WRONG")</f>
        <v/>
      </c>
    </row>
    <row r="8704">
      <c r="A8704" t="n">
        <v>8703</v>
      </c>
      <c r="B8704" t="inlineStr">
        <is>
          <t>V̅MMMDCCIII</t>
        </is>
      </c>
      <c r="C8704">
        <f>ROMAN(8703)</f>
        <v/>
      </c>
      <c r="D8704">
        <f>IF(B8704=C8704, "YES", "WRONG")</f>
        <v/>
      </c>
    </row>
    <row r="8705">
      <c r="A8705" t="n">
        <v>8704</v>
      </c>
      <c r="B8705" t="inlineStr">
        <is>
          <t>V̅MMMDCCIV</t>
        </is>
      </c>
      <c r="C8705">
        <f>ROMAN(8704)</f>
        <v/>
      </c>
      <c r="D8705">
        <f>IF(B8705=C8705, "YES", "WRONG")</f>
        <v/>
      </c>
    </row>
    <row r="8706">
      <c r="A8706" t="n">
        <v>8705</v>
      </c>
      <c r="B8706" t="inlineStr">
        <is>
          <t>V̅MMMDCCV</t>
        </is>
      </c>
      <c r="C8706">
        <f>ROMAN(8705)</f>
        <v/>
      </c>
      <c r="D8706">
        <f>IF(B8706=C8706, "YES", "WRONG")</f>
        <v/>
      </c>
    </row>
    <row r="8707">
      <c r="A8707" t="n">
        <v>8706</v>
      </c>
      <c r="B8707" t="inlineStr">
        <is>
          <t>V̅MMMDCCVI</t>
        </is>
      </c>
      <c r="C8707">
        <f>ROMAN(8706)</f>
        <v/>
      </c>
      <c r="D8707">
        <f>IF(B8707=C8707, "YES", "WRONG")</f>
        <v/>
      </c>
    </row>
    <row r="8708">
      <c r="A8708" t="n">
        <v>8707</v>
      </c>
      <c r="B8708" t="inlineStr">
        <is>
          <t>V̅MMMDCCVII</t>
        </is>
      </c>
      <c r="C8708">
        <f>ROMAN(8707)</f>
        <v/>
      </c>
      <c r="D8708">
        <f>IF(B8708=C8708, "YES", "WRONG")</f>
        <v/>
      </c>
    </row>
    <row r="8709">
      <c r="A8709" t="n">
        <v>8708</v>
      </c>
      <c r="B8709" t="inlineStr">
        <is>
          <t>V̅MMMDCCVIII</t>
        </is>
      </c>
      <c r="C8709">
        <f>ROMAN(8708)</f>
        <v/>
      </c>
      <c r="D8709">
        <f>IF(B8709=C8709, "YES", "WRONG")</f>
        <v/>
      </c>
    </row>
    <row r="8710">
      <c r="A8710" t="n">
        <v>8709</v>
      </c>
      <c r="B8710" t="inlineStr">
        <is>
          <t>V̅MMMDCCIX</t>
        </is>
      </c>
      <c r="C8710">
        <f>ROMAN(8709)</f>
        <v/>
      </c>
      <c r="D8710">
        <f>IF(B8710=C8710, "YES", "WRONG")</f>
        <v/>
      </c>
    </row>
    <row r="8711">
      <c r="A8711" t="n">
        <v>8710</v>
      </c>
      <c r="B8711" t="inlineStr">
        <is>
          <t>V̅MMMDCCX</t>
        </is>
      </c>
      <c r="C8711">
        <f>ROMAN(8710)</f>
        <v/>
      </c>
      <c r="D8711">
        <f>IF(B8711=C8711, "YES", "WRONG")</f>
        <v/>
      </c>
    </row>
    <row r="8712">
      <c r="A8712" t="n">
        <v>8711</v>
      </c>
      <c r="B8712" t="inlineStr">
        <is>
          <t>V̅MMMDCCXI</t>
        </is>
      </c>
      <c r="C8712">
        <f>ROMAN(8711)</f>
        <v/>
      </c>
      <c r="D8712">
        <f>IF(B8712=C8712, "YES", "WRONG")</f>
        <v/>
      </c>
    </row>
    <row r="8713">
      <c r="A8713" t="n">
        <v>8712</v>
      </c>
      <c r="B8713" t="inlineStr">
        <is>
          <t>V̅MMMDCCXII</t>
        </is>
      </c>
      <c r="C8713">
        <f>ROMAN(8712)</f>
        <v/>
      </c>
      <c r="D8713">
        <f>IF(B8713=C8713, "YES", "WRONG")</f>
        <v/>
      </c>
    </row>
    <row r="8714">
      <c r="A8714" t="n">
        <v>8713</v>
      </c>
      <c r="B8714" t="inlineStr">
        <is>
          <t>V̅MMMDCCXIII</t>
        </is>
      </c>
      <c r="C8714">
        <f>ROMAN(8713)</f>
        <v/>
      </c>
      <c r="D8714">
        <f>IF(B8714=C8714, "YES", "WRONG")</f>
        <v/>
      </c>
    </row>
    <row r="8715">
      <c r="A8715" t="n">
        <v>8714</v>
      </c>
      <c r="B8715" t="inlineStr">
        <is>
          <t>V̅MMMDCCXIV</t>
        </is>
      </c>
      <c r="C8715">
        <f>ROMAN(8714)</f>
        <v/>
      </c>
      <c r="D8715">
        <f>IF(B8715=C8715, "YES", "WRONG")</f>
        <v/>
      </c>
    </row>
    <row r="8716">
      <c r="A8716" t="n">
        <v>8715</v>
      </c>
      <c r="B8716" t="inlineStr">
        <is>
          <t>V̅MMMDCCXV</t>
        </is>
      </c>
      <c r="C8716">
        <f>ROMAN(8715)</f>
        <v/>
      </c>
      <c r="D8716">
        <f>IF(B8716=C8716, "YES", "WRONG")</f>
        <v/>
      </c>
    </row>
    <row r="8717">
      <c r="A8717" t="n">
        <v>8716</v>
      </c>
      <c r="B8717" t="inlineStr">
        <is>
          <t>V̅MMMDCCXVI</t>
        </is>
      </c>
      <c r="C8717">
        <f>ROMAN(8716)</f>
        <v/>
      </c>
      <c r="D8717">
        <f>IF(B8717=C8717, "YES", "WRONG")</f>
        <v/>
      </c>
    </row>
    <row r="8718">
      <c r="A8718" t="n">
        <v>8717</v>
      </c>
      <c r="B8718" t="inlineStr">
        <is>
          <t>V̅MMMDCCXVII</t>
        </is>
      </c>
      <c r="C8718">
        <f>ROMAN(8717)</f>
        <v/>
      </c>
      <c r="D8718">
        <f>IF(B8718=C8718, "YES", "WRONG")</f>
        <v/>
      </c>
    </row>
    <row r="8719">
      <c r="A8719" t="n">
        <v>8718</v>
      </c>
      <c r="B8719" t="inlineStr">
        <is>
          <t>V̅MMMDCCXVIII</t>
        </is>
      </c>
      <c r="C8719">
        <f>ROMAN(8718)</f>
        <v/>
      </c>
      <c r="D8719">
        <f>IF(B8719=C8719, "YES", "WRONG")</f>
        <v/>
      </c>
    </row>
    <row r="8720">
      <c r="A8720" t="n">
        <v>8719</v>
      </c>
      <c r="B8720" t="inlineStr">
        <is>
          <t>V̅MMMDCCXIX</t>
        </is>
      </c>
      <c r="C8720">
        <f>ROMAN(8719)</f>
        <v/>
      </c>
      <c r="D8720">
        <f>IF(B8720=C8720, "YES", "WRONG")</f>
        <v/>
      </c>
    </row>
    <row r="8721">
      <c r="A8721" t="n">
        <v>8720</v>
      </c>
      <c r="B8721" t="inlineStr">
        <is>
          <t>V̅MMMDCCXX</t>
        </is>
      </c>
      <c r="C8721">
        <f>ROMAN(8720)</f>
        <v/>
      </c>
      <c r="D8721">
        <f>IF(B8721=C8721, "YES", "WRONG")</f>
        <v/>
      </c>
    </row>
    <row r="8722">
      <c r="A8722" t="n">
        <v>8721</v>
      </c>
      <c r="B8722" t="inlineStr">
        <is>
          <t>V̅MMMDCCXXI</t>
        </is>
      </c>
      <c r="C8722">
        <f>ROMAN(8721)</f>
        <v/>
      </c>
      <c r="D8722">
        <f>IF(B8722=C8722, "YES", "WRONG")</f>
        <v/>
      </c>
    </row>
    <row r="8723">
      <c r="A8723" t="n">
        <v>8722</v>
      </c>
      <c r="B8723" t="inlineStr">
        <is>
          <t>V̅MMMDCCXXII</t>
        </is>
      </c>
      <c r="C8723">
        <f>ROMAN(8722)</f>
        <v/>
      </c>
      <c r="D8723">
        <f>IF(B8723=C8723, "YES", "WRONG")</f>
        <v/>
      </c>
    </row>
    <row r="8724">
      <c r="A8724" t="n">
        <v>8723</v>
      </c>
      <c r="B8724" t="inlineStr">
        <is>
          <t>V̅MMMDCCXXIII</t>
        </is>
      </c>
      <c r="C8724">
        <f>ROMAN(8723)</f>
        <v/>
      </c>
      <c r="D8724">
        <f>IF(B8724=C8724, "YES", "WRONG")</f>
        <v/>
      </c>
    </row>
    <row r="8725">
      <c r="A8725" t="n">
        <v>8724</v>
      </c>
      <c r="B8725" t="inlineStr">
        <is>
          <t>V̅MMMDCCXXIV</t>
        </is>
      </c>
      <c r="C8725">
        <f>ROMAN(8724)</f>
        <v/>
      </c>
      <c r="D8725">
        <f>IF(B8725=C8725, "YES", "WRONG")</f>
        <v/>
      </c>
    </row>
    <row r="8726">
      <c r="A8726" t="n">
        <v>8725</v>
      </c>
      <c r="B8726" t="inlineStr">
        <is>
          <t>V̅MMMDCCXXV</t>
        </is>
      </c>
      <c r="C8726">
        <f>ROMAN(8725)</f>
        <v/>
      </c>
      <c r="D8726">
        <f>IF(B8726=C8726, "YES", "WRONG")</f>
        <v/>
      </c>
    </row>
    <row r="8727">
      <c r="A8727" t="n">
        <v>8726</v>
      </c>
      <c r="B8727" t="inlineStr">
        <is>
          <t>V̅MMMDCCXXVI</t>
        </is>
      </c>
      <c r="C8727">
        <f>ROMAN(8726)</f>
        <v/>
      </c>
      <c r="D8727">
        <f>IF(B8727=C8727, "YES", "WRONG")</f>
        <v/>
      </c>
    </row>
    <row r="8728">
      <c r="A8728" t="n">
        <v>8727</v>
      </c>
      <c r="B8728" t="inlineStr">
        <is>
          <t>V̅MMMDCCXXVII</t>
        </is>
      </c>
      <c r="C8728">
        <f>ROMAN(8727)</f>
        <v/>
      </c>
      <c r="D8728">
        <f>IF(B8728=C8728, "YES", "WRONG")</f>
        <v/>
      </c>
    </row>
    <row r="8729">
      <c r="A8729" t="n">
        <v>8728</v>
      </c>
      <c r="B8729" t="inlineStr">
        <is>
          <t>V̅MMMDCCXXVIII</t>
        </is>
      </c>
      <c r="C8729">
        <f>ROMAN(8728)</f>
        <v/>
      </c>
      <c r="D8729">
        <f>IF(B8729=C8729, "YES", "WRONG")</f>
        <v/>
      </c>
    </row>
    <row r="8730">
      <c r="A8730" t="n">
        <v>8729</v>
      </c>
      <c r="B8730" t="inlineStr">
        <is>
          <t>V̅MMMDCCXXIX</t>
        </is>
      </c>
      <c r="C8730">
        <f>ROMAN(8729)</f>
        <v/>
      </c>
      <c r="D8730">
        <f>IF(B8730=C8730, "YES", "WRONG")</f>
        <v/>
      </c>
    </row>
    <row r="8731">
      <c r="A8731" t="n">
        <v>8730</v>
      </c>
      <c r="B8731" t="inlineStr">
        <is>
          <t>V̅MMMDCCXXX</t>
        </is>
      </c>
      <c r="C8731">
        <f>ROMAN(8730)</f>
        <v/>
      </c>
      <c r="D8731">
        <f>IF(B8731=C8731, "YES", "WRONG")</f>
        <v/>
      </c>
    </row>
    <row r="8732">
      <c r="A8732" t="n">
        <v>8731</v>
      </c>
      <c r="B8732" t="inlineStr">
        <is>
          <t>V̅MMMDCCXXXI</t>
        </is>
      </c>
      <c r="C8732">
        <f>ROMAN(8731)</f>
        <v/>
      </c>
      <c r="D8732">
        <f>IF(B8732=C8732, "YES", "WRONG")</f>
        <v/>
      </c>
    </row>
    <row r="8733">
      <c r="A8733" t="n">
        <v>8732</v>
      </c>
      <c r="B8733" t="inlineStr">
        <is>
          <t>V̅MMMDCCXXXII</t>
        </is>
      </c>
      <c r="C8733">
        <f>ROMAN(8732)</f>
        <v/>
      </c>
      <c r="D8733">
        <f>IF(B8733=C8733, "YES", "WRONG")</f>
        <v/>
      </c>
    </row>
    <row r="8734">
      <c r="A8734" t="n">
        <v>8733</v>
      </c>
      <c r="B8734" t="inlineStr">
        <is>
          <t>V̅MMMDCCXXXIII</t>
        </is>
      </c>
      <c r="C8734">
        <f>ROMAN(8733)</f>
        <v/>
      </c>
      <c r="D8734">
        <f>IF(B8734=C8734, "YES", "WRONG")</f>
        <v/>
      </c>
    </row>
    <row r="8735">
      <c r="A8735" t="n">
        <v>8734</v>
      </c>
      <c r="B8735" t="inlineStr">
        <is>
          <t>V̅MMMDCCXXXIV</t>
        </is>
      </c>
      <c r="C8735">
        <f>ROMAN(8734)</f>
        <v/>
      </c>
      <c r="D8735">
        <f>IF(B8735=C8735, "YES", "WRONG")</f>
        <v/>
      </c>
    </row>
    <row r="8736">
      <c r="A8736" t="n">
        <v>8735</v>
      </c>
      <c r="B8736" t="inlineStr">
        <is>
          <t>V̅MMMDCCXXXV</t>
        </is>
      </c>
      <c r="C8736">
        <f>ROMAN(8735)</f>
        <v/>
      </c>
      <c r="D8736">
        <f>IF(B8736=C8736, "YES", "WRONG")</f>
        <v/>
      </c>
    </row>
    <row r="8737">
      <c r="A8737" t="n">
        <v>8736</v>
      </c>
      <c r="B8737" t="inlineStr">
        <is>
          <t>V̅MMMDCCXXXVI</t>
        </is>
      </c>
      <c r="C8737">
        <f>ROMAN(8736)</f>
        <v/>
      </c>
      <c r="D8737">
        <f>IF(B8737=C8737, "YES", "WRONG")</f>
        <v/>
      </c>
    </row>
    <row r="8738">
      <c r="A8738" t="n">
        <v>8737</v>
      </c>
      <c r="B8738" t="inlineStr">
        <is>
          <t>V̅MMMDCCXXXVII</t>
        </is>
      </c>
      <c r="C8738">
        <f>ROMAN(8737)</f>
        <v/>
      </c>
      <c r="D8738">
        <f>IF(B8738=C8738, "YES", "WRONG")</f>
        <v/>
      </c>
    </row>
    <row r="8739">
      <c r="A8739" t="n">
        <v>8738</v>
      </c>
      <c r="B8739" t="inlineStr">
        <is>
          <t>V̅MMMDCCXXXVIII</t>
        </is>
      </c>
      <c r="C8739">
        <f>ROMAN(8738)</f>
        <v/>
      </c>
      <c r="D8739">
        <f>IF(B8739=C8739, "YES", "WRONG")</f>
        <v/>
      </c>
    </row>
    <row r="8740">
      <c r="A8740" t="n">
        <v>8739</v>
      </c>
      <c r="B8740" t="inlineStr">
        <is>
          <t>V̅MMMDCCXXXIX</t>
        </is>
      </c>
      <c r="C8740">
        <f>ROMAN(8739)</f>
        <v/>
      </c>
      <c r="D8740">
        <f>IF(B8740=C8740, "YES", "WRONG")</f>
        <v/>
      </c>
    </row>
    <row r="8741">
      <c r="A8741" t="n">
        <v>8740</v>
      </c>
      <c r="B8741" t="inlineStr">
        <is>
          <t>V̅MMMDCCXL</t>
        </is>
      </c>
      <c r="C8741">
        <f>ROMAN(8740)</f>
        <v/>
      </c>
      <c r="D8741">
        <f>IF(B8741=C8741, "YES", "WRONG")</f>
        <v/>
      </c>
    </row>
    <row r="8742">
      <c r="A8742" t="n">
        <v>8741</v>
      </c>
      <c r="B8742" t="inlineStr">
        <is>
          <t>V̅MMMDCCXLI</t>
        </is>
      </c>
      <c r="C8742">
        <f>ROMAN(8741)</f>
        <v/>
      </c>
      <c r="D8742">
        <f>IF(B8742=C8742, "YES", "WRONG")</f>
        <v/>
      </c>
    </row>
    <row r="8743">
      <c r="A8743" t="n">
        <v>8742</v>
      </c>
      <c r="B8743" t="inlineStr">
        <is>
          <t>V̅MMMDCCXLII</t>
        </is>
      </c>
      <c r="C8743">
        <f>ROMAN(8742)</f>
        <v/>
      </c>
      <c r="D8743">
        <f>IF(B8743=C8743, "YES", "WRONG")</f>
        <v/>
      </c>
    </row>
    <row r="8744">
      <c r="A8744" t="n">
        <v>8743</v>
      </c>
      <c r="B8744" t="inlineStr">
        <is>
          <t>V̅MMMDCCXLIII</t>
        </is>
      </c>
      <c r="C8744">
        <f>ROMAN(8743)</f>
        <v/>
      </c>
      <c r="D8744">
        <f>IF(B8744=C8744, "YES", "WRONG")</f>
        <v/>
      </c>
    </row>
    <row r="8745">
      <c r="A8745" t="n">
        <v>8744</v>
      </c>
      <c r="B8745" t="inlineStr">
        <is>
          <t>V̅MMMDCCXLIV</t>
        </is>
      </c>
      <c r="C8745">
        <f>ROMAN(8744)</f>
        <v/>
      </c>
      <c r="D8745">
        <f>IF(B8745=C8745, "YES", "WRONG")</f>
        <v/>
      </c>
    </row>
    <row r="8746">
      <c r="A8746" t="n">
        <v>8745</v>
      </c>
      <c r="B8746" t="inlineStr">
        <is>
          <t>V̅MMMDCCXLV</t>
        </is>
      </c>
      <c r="C8746">
        <f>ROMAN(8745)</f>
        <v/>
      </c>
      <c r="D8746">
        <f>IF(B8746=C8746, "YES", "WRONG")</f>
        <v/>
      </c>
    </row>
    <row r="8747">
      <c r="A8747" t="n">
        <v>8746</v>
      </c>
      <c r="B8747" t="inlineStr">
        <is>
          <t>V̅MMMDCCXLVI</t>
        </is>
      </c>
      <c r="C8747">
        <f>ROMAN(8746)</f>
        <v/>
      </c>
      <c r="D8747">
        <f>IF(B8747=C8747, "YES", "WRONG")</f>
        <v/>
      </c>
    </row>
    <row r="8748">
      <c r="A8748" t="n">
        <v>8747</v>
      </c>
      <c r="B8748" t="inlineStr">
        <is>
          <t>V̅MMMDCCXLVII</t>
        </is>
      </c>
      <c r="C8748">
        <f>ROMAN(8747)</f>
        <v/>
      </c>
      <c r="D8748">
        <f>IF(B8748=C8748, "YES", "WRONG")</f>
        <v/>
      </c>
    </row>
    <row r="8749">
      <c r="A8749" t="n">
        <v>8748</v>
      </c>
      <c r="B8749" t="inlineStr">
        <is>
          <t>V̅MMMDCCXLVIII</t>
        </is>
      </c>
      <c r="C8749">
        <f>ROMAN(8748)</f>
        <v/>
      </c>
      <c r="D8749">
        <f>IF(B8749=C8749, "YES", "WRONG")</f>
        <v/>
      </c>
    </row>
    <row r="8750">
      <c r="A8750" t="n">
        <v>8749</v>
      </c>
      <c r="B8750" t="inlineStr">
        <is>
          <t>V̅MMMDCCXLIX</t>
        </is>
      </c>
      <c r="C8750">
        <f>ROMAN(8749)</f>
        <v/>
      </c>
      <c r="D8750">
        <f>IF(B8750=C8750, "YES", "WRONG")</f>
        <v/>
      </c>
    </row>
    <row r="8751">
      <c r="A8751" t="n">
        <v>8750</v>
      </c>
      <c r="B8751" t="inlineStr">
        <is>
          <t>V̅MMMDCCL</t>
        </is>
      </c>
      <c r="C8751">
        <f>ROMAN(8750)</f>
        <v/>
      </c>
      <c r="D8751">
        <f>IF(B8751=C8751, "YES", "WRONG")</f>
        <v/>
      </c>
    </row>
    <row r="8752">
      <c r="A8752" t="n">
        <v>8751</v>
      </c>
      <c r="B8752" t="inlineStr">
        <is>
          <t>V̅MMMDCCLI</t>
        </is>
      </c>
      <c r="C8752">
        <f>ROMAN(8751)</f>
        <v/>
      </c>
      <c r="D8752">
        <f>IF(B8752=C8752, "YES", "WRONG")</f>
        <v/>
      </c>
    </row>
    <row r="8753">
      <c r="A8753" t="n">
        <v>8752</v>
      </c>
      <c r="B8753" t="inlineStr">
        <is>
          <t>V̅MMMDCCLII</t>
        </is>
      </c>
      <c r="C8753">
        <f>ROMAN(8752)</f>
        <v/>
      </c>
      <c r="D8753">
        <f>IF(B8753=C8753, "YES", "WRONG")</f>
        <v/>
      </c>
    </row>
    <row r="8754">
      <c r="A8754" t="n">
        <v>8753</v>
      </c>
      <c r="B8754" t="inlineStr">
        <is>
          <t>V̅MMMDCCLIII</t>
        </is>
      </c>
      <c r="C8754">
        <f>ROMAN(8753)</f>
        <v/>
      </c>
      <c r="D8754">
        <f>IF(B8754=C8754, "YES", "WRONG")</f>
        <v/>
      </c>
    </row>
    <row r="8755">
      <c r="A8755" t="n">
        <v>8754</v>
      </c>
      <c r="B8755" t="inlineStr">
        <is>
          <t>V̅MMMDCCLIV</t>
        </is>
      </c>
      <c r="C8755">
        <f>ROMAN(8754)</f>
        <v/>
      </c>
      <c r="D8755">
        <f>IF(B8755=C8755, "YES", "WRONG")</f>
        <v/>
      </c>
    </row>
    <row r="8756">
      <c r="A8756" t="n">
        <v>8755</v>
      </c>
      <c r="B8756" t="inlineStr">
        <is>
          <t>V̅MMMDCCLV</t>
        </is>
      </c>
      <c r="C8756">
        <f>ROMAN(8755)</f>
        <v/>
      </c>
      <c r="D8756">
        <f>IF(B8756=C8756, "YES", "WRONG")</f>
        <v/>
      </c>
    </row>
    <row r="8757">
      <c r="A8757" t="n">
        <v>8756</v>
      </c>
      <c r="B8757" t="inlineStr">
        <is>
          <t>V̅MMMDCCLVI</t>
        </is>
      </c>
      <c r="C8757">
        <f>ROMAN(8756)</f>
        <v/>
      </c>
      <c r="D8757">
        <f>IF(B8757=C8757, "YES", "WRONG")</f>
        <v/>
      </c>
    </row>
    <row r="8758">
      <c r="A8758" t="n">
        <v>8757</v>
      </c>
      <c r="B8758" t="inlineStr">
        <is>
          <t>V̅MMMDCCLVII</t>
        </is>
      </c>
      <c r="C8758">
        <f>ROMAN(8757)</f>
        <v/>
      </c>
      <c r="D8758">
        <f>IF(B8758=C8758, "YES", "WRONG")</f>
        <v/>
      </c>
    </row>
    <row r="8759">
      <c r="A8759" t="n">
        <v>8758</v>
      </c>
      <c r="B8759" t="inlineStr">
        <is>
          <t>V̅MMMDCCLVIII</t>
        </is>
      </c>
      <c r="C8759">
        <f>ROMAN(8758)</f>
        <v/>
      </c>
      <c r="D8759">
        <f>IF(B8759=C8759, "YES", "WRONG")</f>
        <v/>
      </c>
    </row>
    <row r="8760">
      <c r="A8760" t="n">
        <v>8759</v>
      </c>
      <c r="B8760" t="inlineStr">
        <is>
          <t>V̅MMMDCCLIX</t>
        </is>
      </c>
      <c r="C8760">
        <f>ROMAN(8759)</f>
        <v/>
      </c>
      <c r="D8760">
        <f>IF(B8760=C8760, "YES", "WRONG")</f>
        <v/>
      </c>
    </row>
    <row r="8761">
      <c r="A8761" t="n">
        <v>8760</v>
      </c>
      <c r="B8761" t="inlineStr">
        <is>
          <t>V̅MMMDCCLX</t>
        </is>
      </c>
      <c r="C8761">
        <f>ROMAN(8760)</f>
        <v/>
      </c>
      <c r="D8761">
        <f>IF(B8761=C8761, "YES", "WRONG")</f>
        <v/>
      </c>
    </row>
    <row r="8762">
      <c r="A8762" t="n">
        <v>8761</v>
      </c>
      <c r="B8762" t="inlineStr">
        <is>
          <t>V̅MMMDCCLXI</t>
        </is>
      </c>
      <c r="C8762">
        <f>ROMAN(8761)</f>
        <v/>
      </c>
      <c r="D8762">
        <f>IF(B8762=C8762, "YES", "WRONG")</f>
        <v/>
      </c>
    </row>
    <row r="8763">
      <c r="A8763" t="n">
        <v>8762</v>
      </c>
      <c r="B8763" t="inlineStr">
        <is>
          <t>V̅MMMDCCLXII</t>
        </is>
      </c>
      <c r="C8763">
        <f>ROMAN(8762)</f>
        <v/>
      </c>
      <c r="D8763">
        <f>IF(B8763=C8763, "YES", "WRONG")</f>
        <v/>
      </c>
    </row>
    <row r="8764">
      <c r="A8764" t="n">
        <v>8763</v>
      </c>
      <c r="B8764" t="inlineStr">
        <is>
          <t>V̅MMMDCCLXIII</t>
        </is>
      </c>
      <c r="C8764">
        <f>ROMAN(8763)</f>
        <v/>
      </c>
      <c r="D8764">
        <f>IF(B8764=C8764, "YES", "WRONG")</f>
        <v/>
      </c>
    </row>
    <row r="8765">
      <c r="A8765" t="n">
        <v>8764</v>
      </c>
      <c r="B8765" t="inlineStr">
        <is>
          <t>V̅MMMDCCLXIV</t>
        </is>
      </c>
      <c r="C8765">
        <f>ROMAN(8764)</f>
        <v/>
      </c>
      <c r="D8765">
        <f>IF(B8765=C8765, "YES", "WRONG")</f>
        <v/>
      </c>
    </row>
    <row r="8766">
      <c r="A8766" t="n">
        <v>8765</v>
      </c>
      <c r="B8766" t="inlineStr">
        <is>
          <t>V̅MMMDCCLXV</t>
        </is>
      </c>
      <c r="C8766">
        <f>ROMAN(8765)</f>
        <v/>
      </c>
      <c r="D8766">
        <f>IF(B8766=C8766, "YES", "WRONG")</f>
        <v/>
      </c>
    </row>
    <row r="8767">
      <c r="A8767" t="n">
        <v>8766</v>
      </c>
      <c r="B8767" t="inlineStr">
        <is>
          <t>V̅MMMDCCLXVI</t>
        </is>
      </c>
      <c r="C8767">
        <f>ROMAN(8766)</f>
        <v/>
      </c>
      <c r="D8767">
        <f>IF(B8767=C8767, "YES", "WRONG")</f>
        <v/>
      </c>
    </row>
    <row r="8768">
      <c r="A8768" t="n">
        <v>8767</v>
      </c>
      <c r="B8768" t="inlineStr">
        <is>
          <t>V̅MMMDCCLXVII</t>
        </is>
      </c>
      <c r="C8768">
        <f>ROMAN(8767)</f>
        <v/>
      </c>
      <c r="D8768">
        <f>IF(B8768=C8768, "YES", "WRONG")</f>
        <v/>
      </c>
    </row>
    <row r="8769">
      <c r="A8769" t="n">
        <v>8768</v>
      </c>
      <c r="B8769" t="inlineStr">
        <is>
          <t>V̅MMMDCCLXVIII</t>
        </is>
      </c>
      <c r="C8769">
        <f>ROMAN(8768)</f>
        <v/>
      </c>
      <c r="D8769">
        <f>IF(B8769=C8769, "YES", "WRONG")</f>
        <v/>
      </c>
    </row>
    <row r="8770">
      <c r="A8770" t="n">
        <v>8769</v>
      </c>
      <c r="B8770" t="inlineStr">
        <is>
          <t>V̅MMMDCCLXIX</t>
        </is>
      </c>
      <c r="C8770">
        <f>ROMAN(8769)</f>
        <v/>
      </c>
      <c r="D8770">
        <f>IF(B8770=C8770, "YES", "WRONG")</f>
        <v/>
      </c>
    </row>
    <row r="8771">
      <c r="A8771" t="n">
        <v>8770</v>
      </c>
      <c r="B8771" t="inlineStr">
        <is>
          <t>V̅MMMDCCLXX</t>
        </is>
      </c>
      <c r="C8771">
        <f>ROMAN(8770)</f>
        <v/>
      </c>
      <c r="D8771">
        <f>IF(B8771=C8771, "YES", "WRONG")</f>
        <v/>
      </c>
    </row>
    <row r="8772">
      <c r="A8772" t="n">
        <v>8771</v>
      </c>
      <c r="B8772" t="inlineStr">
        <is>
          <t>V̅MMMDCCLXXI</t>
        </is>
      </c>
      <c r="C8772">
        <f>ROMAN(8771)</f>
        <v/>
      </c>
      <c r="D8772">
        <f>IF(B8772=C8772, "YES", "WRONG")</f>
        <v/>
      </c>
    </row>
    <row r="8773">
      <c r="A8773" t="n">
        <v>8772</v>
      </c>
      <c r="B8773" t="inlineStr">
        <is>
          <t>V̅MMMDCCLXXII</t>
        </is>
      </c>
      <c r="C8773">
        <f>ROMAN(8772)</f>
        <v/>
      </c>
      <c r="D8773">
        <f>IF(B8773=C8773, "YES", "WRONG")</f>
        <v/>
      </c>
    </row>
    <row r="8774">
      <c r="A8774" t="n">
        <v>8773</v>
      </c>
      <c r="B8774" t="inlineStr">
        <is>
          <t>V̅MMMDCCLXXIII</t>
        </is>
      </c>
      <c r="C8774">
        <f>ROMAN(8773)</f>
        <v/>
      </c>
      <c r="D8774">
        <f>IF(B8774=C8774, "YES", "WRONG")</f>
        <v/>
      </c>
    </row>
    <row r="8775">
      <c r="A8775" t="n">
        <v>8774</v>
      </c>
      <c r="B8775" t="inlineStr">
        <is>
          <t>V̅MMMDCCLXXIV</t>
        </is>
      </c>
      <c r="C8775">
        <f>ROMAN(8774)</f>
        <v/>
      </c>
      <c r="D8775">
        <f>IF(B8775=C8775, "YES", "WRONG")</f>
        <v/>
      </c>
    </row>
    <row r="8776">
      <c r="A8776" t="n">
        <v>8775</v>
      </c>
      <c r="B8776" t="inlineStr">
        <is>
          <t>V̅MMMDCCLXXV</t>
        </is>
      </c>
      <c r="C8776">
        <f>ROMAN(8775)</f>
        <v/>
      </c>
      <c r="D8776">
        <f>IF(B8776=C8776, "YES", "WRONG")</f>
        <v/>
      </c>
    </row>
    <row r="8777">
      <c r="A8777" t="n">
        <v>8776</v>
      </c>
      <c r="B8777" t="inlineStr">
        <is>
          <t>V̅MMMDCCLXXVI</t>
        </is>
      </c>
      <c r="C8777">
        <f>ROMAN(8776)</f>
        <v/>
      </c>
      <c r="D8777">
        <f>IF(B8777=C8777, "YES", "WRONG")</f>
        <v/>
      </c>
    </row>
    <row r="8778">
      <c r="A8778" t="n">
        <v>8777</v>
      </c>
      <c r="B8778" t="inlineStr">
        <is>
          <t>V̅MMMDCCLXXVII</t>
        </is>
      </c>
      <c r="C8778">
        <f>ROMAN(8777)</f>
        <v/>
      </c>
      <c r="D8778">
        <f>IF(B8778=C8778, "YES", "WRONG")</f>
        <v/>
      </c>
    </row>
    <row r="8779">
      <c r="A8779" t="n">
        <v>8778</v>
      </c>
      <c r="B8779" t="inlineStr">
        <is>
          <t>V̅MMMDCCLXXVIII</t>
        </is>
      </c>
      <c r="C8779">
        <f>ROMAN(8778)</f>
        <v/>
      </c>
      <c r="D8779">
        <f>IF(B8779=C8779, "YES", "WRONG")</f>
        <v/>
      </c>
    </row>
    <row r="8780">
      <c r="A8780" t="n">
        <v>8779</v>
      </c>
      <c r="B8780" t="inlineStr">
        <is>
          <t>V̅MMMDCCLXXIX</t>
        </is>
      </c>
      <c r="C8780">
        <f>ROMAN(8779)</f>
        <v/>
      </c>
      <c r="D8780">
        <f>IF(B8780=C8780, "YES", "WRONG")</f>
        <v/>
      </c>
    </row>
    <row r="8781">
      <c r="A8781" t="n">
        <v>8780</v>
      </c>
      <c r="B8781" t="inlineStr">
        <is>
          <t>V̅MMMDCCLXXX</t>
        </is>
      </c>
      <c r="C8781">
        <f>ROMAN(8780)</f>
        <v/>
      </c>
      <c r="D8781">
        <f>IF(B8781=C8781, "YES", "WRONG")</f>
        <v/>
      </c>
    </row>
    <row r="8782">
      <c r="A8782" t="n">
        <v>8781</v>
      </c>
      <c r="B8782" t="inlineStr">
        <is>
          <t>V̅MMMDCCLXXXI</t>
        </is>
      </c>
      <c r="C8782">
        <f>ROMAN(8781)</f>
        <v/>
      </c>
      <c r="D8782">
        <f>IF(B8782=C8782, "YES", "WRONG")</f>
        <v/>
      </c>
    </row>
    <row r="8783">
      <c r="A8783" t="n">
        <v>8782</v>
      </c>
      <c r="B8783" t="inlineStr">
        <is>
          <t>V̅MMMDCCLXXXII</t>
        </is>
      </c>
      <c r="C8783">
        <f>ROMAN(8782)</f>
        <v/>
      </c>
      <c r="D8783">
        <f>IF(B8783=C8783, "YES", "WRONG")</f>
        <v/>
      </c>
    </row>
    <row r="8784">
      <c r="A8784" t="n">
        <v>8783</v>
      </c>
      <c r="B8784" t="inlineStr">
        <is>
          <t>V̅MMMDCCLXXXIII</t>
        </is>
      </c>
      <c r="C8784">
        <f>ROMAN(8783)</f>
        <v/>
      </c>
      <c r="D8784">
        <f>IF(B8784=C8784, "YES", "WRONG")</f>
        <v/>
      </c>
    </row>
    <row r="8785">
      <c r="A8785" t="n">
        <v>8784</v>
      </c>
      <c r="B8785" t="inlineStr">
        <is>
          <t>V̅MMMDCCLXXXIV</t>
        </is>
      </c>
      <c r="C8785">
        <f>ROMAN(8784)</f>
        <v/>
      </c>
      <c r="D8785">
        <f>IF(B8785=C8785, "YES", "WRONG")</f>
        <v/>
      </c>
    </row>
    <row r="8786">
      <c r="A8786" t="n">
        <v>8785</v>
      </c>
      <c r="B8786" t="inlineStr">
        <is>
          <t>V̅MMMDCCLXXXV</t>
        </is>
      </c>
      <c r="C8786">
        <f>ROMAN(8785)</f>
        <v/>
      </c>
      <c r="D8786">
        <f>IF(B8786=C8786, "YES", "WRONG")</f>
        <v/>
      </c>
    </row>
    <row r="8787">
      <c r="A8787" t="n">
        <v>8786</v>
      </c>
      <c r="B8787" t="inlineStr">
        <is>
          <t>V̅MMMDCCLXXXVI</t>
        </is>
      </c>
      <c r="C8787">
        <f>ROMAN(8786)</f>
        <v/>
      </c>
      <c r="D8787">
        <f>IF(B8787=C8787, "YES", "WRONG")</f>
        <v/>
      </c>
    </row>
    <row r="8788">
      <c r="A8788" t="n">
        <v>8787</v>
      </c>
      <c r="B8788" t="inlineStr">
        <is>
          <t>V̅MMMDCCLXXXVII</t>
        </is>
      </c>
      <c r="C8788">
        <f>ROMAN(8787)</f>
        <v/>
      </c>
      <c r="D8788">
        <f>IF(B8788=C8788, "YES", "WRONG")</f>
        <v/>
      </c>
    </row>
    <row r="8789">
      <c r="A8789" t="n">
        <v>8788</v>
      </c>
      <c r="B8789" t="inlineStr">
        <is>
          <t>V̅MMMDCCLXXXVIII</t>
        </is>
      </c>
      <c r="C8789">
        <f>ROMAN(8788)</f>
        <v/>
      </c>
      <c r="D8789">
        <f>IF(B8789=C8789, "YES", "WRONG")</f>
        <v/>
      </c>
    </row>
    <row r="8790">
      <c r="A8790" t="n">
        <v>8789</v>
      </c>
      <c r="B8790" t="inlineStr">
        <is>
          <t>V̅MMMDCCLXXXIX</t>
        </is>
      </c>
      <c r="C8790">
        <f>ROMAN(8789)</f>
        <v/>
      </c>
      <c r="D8790">
        <f>IF(B8790=C8790, "YES", "WRONG")</f>
        <v/>
      </c>
    </row>
    <row r="8791">
      <c r="A8791" t="n">
        <v>8790</v>
      </c>
      <c r="B8791" t="inlineStr">
        <is>
          <t>V̅MMMDCCXC</t>
        </is>
      </c>
      <c r="C8791">
        <f>ROMAN(8790)</f>
        <v/>
      </c>
      <c r="D8791">
        <f>IF(B8791=C8791, "YES", "WRONG")</f>
        <v/>
      </c>
    </row>
    <row r="8792">
      <c r="A8792" t="n">
        <v>8791</v>
      </c>
      <c r="B8792" t="inlineStr">
        <is>
          <t>V̅MMMDCCXCI</t>
        </is>
      </c>
      <c r="C8792">
        <f>ROMAN(8791)</f>
        <v/>
      </c>
      <c r="D8792">
        <f>IF(B8792=C8792, "YES", "WRONG")</f>
        <v/>
      </c>
    </row>
    <row r="8793">
      <c r="A8793" t="n">
        <v>8792</v>
      </c>
      <c r="B8793" t="inlineStr">
        <is>
          <t>V̅MMMDCCXCII</t>
        </is>
      </c>
      <c r="C8793">
        <f>ROMAN(8792)</f>
        <v/>
      </c>
      <c r="D8793">
        <f>IF(B8793=C8793, "YES", "WRONG")</f>
        <v/>
      </c>
    </row>
    <row r="8794">
      <c r="A8794" t="n">
        <v>8793</v>
      </c>
      <c r="B8794" t="inlineStr">
        <is>
          <t>V̅MMMDCCXCIII</t>
        </is>
      </c>
      <c r="C8794">
        <f>ROMAN(8793)</f>
        <v/>
      </c>
      <c r="D8794">
        <f>IF(B8794=C8794, "YES", "WRONG")</f>
        <v/>
      </c>
    </row>
    <row r="8795">
      <c r="A8795" t="n">
        <v>8794</v>
      </c>
      <c r="B8795" t="inlineStr">
        <is>
          <t>V̅MMMDCCXCIV</t>
        </is>
      </c>
      <c r="C8795">
        <f>ROMAN(8794)</f>
        <v/>
      </c>
      <c r="D8795">
        <f>IF(B8795=C8795, "YES", "WRONG")</f>
        <v/>
      </c>
    </row>
    <row r="8796">
      <c r="A8796" t="n">
        <v>8795</v>
      </c>
      <c r="B8796" t="inlineStr">
        <is>
          <t>V̅MMMDCCXCV</t>
        </is>
      </c>
      <c r="C8796">
        <f>ROMAN(8795)</f>
        <v/>
      </c>
      <c r="D8796">
        <f>IF(B8796=C8796, "YES", "WRONG")</f>
        <v/>
      </c>
    </row>
    <row r="8797">
      <c r="A8797" t="n">
        <v>8796</v>
      </c>
      <c r="B8797" t="inlineStr">
        <is>
          <t>V̅MMMDCCXCVI</t>
        </is>
      </c>
      <c r="C8797">
        <f>ROMAN(8796)</f>
        <v/>
      </c>
      <c r="D8797">
        <f>IF(B8797=C8797, "YES", "WRONG")</f>
        <v/>
      </c>
    </row>
    <row r="8798">
      <c r="A8798" t="n">
        <v>8797</v>
      </c>
      <c r="B8798" t="inlineStr">
        <is>
          <t>V̅MMMDCCXCVII</t>
        </is>
      </c>
      <c r="C8798">
        <f>ROMAN(8797)</f>
        <v/>
      </c>
      <c r="D8798">
        <f>IF(B8798=C8798, "YES", "WRONG")</f>
        <v/>
      </c>
    </row>
    <row r="8799">
      <c r="A8799" t="n">
        <v>8798</v>
      </c>
      <c r="B8799" t="inlineStr">
        <is>
          <t>V̅MMMDCCXCVIII</t>
        </is>
      </c>
      <c r="C8799">
        <f>ROMAN(8798)</f>
        <v/>
      </c>
      <c r="D8799">
        <f>IF(B8799=C8799, "YES", "WRONG")</f>
        <v/>
      </c>
    </row>
    <row r="8800">
      <c r="A8800" t="n">
        <v>8799</v>
      </c>
      <c r="B8800" t="inlineStr">
        <is>
          <t>V̅MMMDCCXCIX</t>
        </is>
      </c>
      <c r="C8800">
        <f>ROMAN(8799)</f>
        <v/>
      </c>
      <c r="D8800">
        <f>IF(B8800=C8800, "YES", "WRONG")</f>
        <v/>
      </c>
    </row>
    <row r="8801">
      <c r="A8801" t="n">
        <v>8800</v>
      </c>
      <c r="B8801" t="inlineStr">
        <is>
          <t>V̅MMMDCCC</t>
        </is>
      </c>
      <c r="C8801">
        <f>ROMAN(8800)</f>
        <v/>
      </c>
      <c r="D8801">
        <f>IF(B8801=C8801, "YES", "WRONG")</f>
        <v/>
      </c>
    </row>
    <row r="8802">
      <c r="A8802" t="n">
        <v>8801</v>
      </c>
      <c r="B8802" t="inlineStr">
        <is>
          <t>V̅MMMDCCCI</t>
        </is>
      </c>
      <c r="C8802">
        <f>ROMAN(8801)</f>
        <v/>
      </c>
      <c r="D8802">
        <f>IF(B8802=C8802, "YES", "WRONG")</f>
        <v/>
      </c>
    </row>
    <row r="8803">
      <c r="A8803" t="n">
        <v>8802</v>
      </c>
      <c r="B8803" t="inlineStr">
        <is>
          <t>V̅MMMDCCCII</t>
        </is>
      </c>
      <c r="C8803">
        <f>ROMAN(8802)</f>
        <v/>
      </c>
      <c r="D8803">
        <f>IF(B8803=C8803, "YES", "WRONG")</f>
        <v/>
      </c>
    </row>
    <row r="8804">
      <c r="A8804" t="n">
        <v>8803</v>
      </c>
      <c r="B8804" t="inlineStr">
        <is>
          <t>V̅MMMDCCCIII</t>
        </is>
      </c>
      <c r="C8804">
        <f>ROMAN(8803)</f>
        <v/>
      </c>
      <c r="D8804">
        <f>IF(B8804=C8804, "YES", "WRONG")</f>
        <v/>
      </c>
    </row>
    <row r="8805">
      <c r="A8805" t="n">
        <v>8804</v>
      </c>
      <c r="B8805" t="inlineStr">
        <is>
          <t>V̅MMMDCCCIV</t>
        </is>
      </c>
      <c r="C8805">
        <f>ROMAN(8804)</f>
        <v/>
      </c>
      <c r="D8805">
        <f>IF(B8805=C8805, "YES", "WRONG")</f>
        <v/>
      </c>
    </row>
    <row r="8806">
      <c r="A8806" t="n">
        <v>8805</v>
      </c>
      <c r="B8806" t="inlineStr">
        <is>
          <t>V̅MMMDCCCV</t>
        </is>
      </c>
      <c r="C8806">
        <f>ROMAN(8805)</f>
        <v/>
      </c>
      <c r="D8806">
        <f>IF(B8806=C8806, "YES", "WRONG")</f>
        <v/>
      </c>
    </row>
    <row r="8807">
      <c r="A8807" t="n">
        <v>8806</v>
      </c>
      <c r="B8807" t="inlineStr">
        <is>
          <t>V̅MMMDCCCVI</t>
        </is>
      </c>
      <c r="C8807">
        <f>ROMAN(8806)</f>
        <v/>
      </c>
      <c r="D8807">
        <f>IF(B8807=C8807, "YES", "WRONG")</f>
        <v/>
      </c>
    </row>
    <row r="8808">
      <c r="A8808" t="n">
        <v>8807</v>
      </c>
      <c r="B8808" t="inlineStr">
        <is>
          <t>V̅MMMDCCCVII</t>
        </is>
      </c>
      <c r="C8808">
        <f>ROMAN(8807)</f>
        <v/>
      </c>
      <c r="D8808">
        <f>IF(B8808=C8808, "YES", "WRONG")</f>
        <v/>
      </c>
    </row>
    <row r="8809">
      <c r="A8809" t="n">
        <v>8808</v>
      </c>
      <c r="B8809" t="inlineStr">
        <is>
          <t>V̅MMMDCCCVIII</t>
        </is>
      </c>
      <c r="C8809">
        <f>ROMAN(8808)</f>
        <v/>
      </c>
      <c r="D8809">
        <f>IF(B8809=C8809, "YES", "WRONG")</f>
        <v/>
      </c>
    </row>
    <row r="8810">
      <c r="A8810" t="n">
        <v>8809</v>
      </c>
      <c r="B8810" t="inlineStr">
        <is>
          <t>V̅MMMDCCCIX</t>
        </is>
      </c>
      <c r="C8810">
        <f>ROMAN(8809)</f>
        <v/>
      </c>
      <c r="D8810">
        <f>IF(B8810=C8810, "YES", "WRONG")</f>
        <v/>
      </c>
    </row>
    <row r="8811">
      <c r="A8811" t="n">
        <v>8810</v>
      </c>
      <c r="B8811" t="inlineStr">
        <is>
          <t>V̅MMMDCCCX</t>
        </is>
      </c>
      <c r="C8811">
        <f>ROMAN(8810)</f>
        <v/>
      </c>
      <c r="D8811">
        <f>IF(B8811=C8811, "YES", "WRONG")</f>
        <v/>
      </c>
    </row>
    <row r="8812">
      <c r="A8812" t="n">
        <v>8811</v>
      </c>
      <c r="B8812" t="inlineStr">
        <is>
          <t>V̅MMMDCCCXI</t>
        </is>
      </c>
      <c r="C8812">
        <f>ROMAN(8811)</f>
        <v/>
      </c>
      <c r="D8812">
        <f>IF(B8812=C8812, "YES", "WRONG")</f>
        <v/>
      </c>
    </row>
    <row r="8813">
      <c r="A8813" t="n">
        <v>8812</v>
      </c>
      <c r="B8813" t="inlineStr">
        <is>
          <t>V̅MMMDCCCXII</t>
        </is>
      </c>
      <c r="C8813">
        <f>ROMAN(8812)</f>
        <v/>
      </c>
      <c r="D8813">
        <f>IF(B8813=C8813, "YES", "WRONG")</f>
        <v/>
      </c>
    </row>
    <row r="8814">
      <c r="A8814" t="n">
        <v>8813</v>
      </c>
      <c r="B8814" t="inlineStr">
        <is>
          <t>V̅MMMDCCCXIII</t>
        </is>
      </c>
      <c r="C8814">
        <f>ROMAN(8813)</f>
        <v/>
      </c>
      <c r="D8814">
        <f>IF(B8814=C8814, "YES", "WRONG")</f>
        <v/>
      </c>
    </row>
    <row r="8815">
      <c r="A8815" t="n">
        <v>8814</v>
      </c>
      <c r="B8815" t="inlineStr">
        <is>
          <t>V̅MMMDCCCXIV</t>
        </is>
      </c>
      <c r="C8815">
        <f>ROMAN(8814)</f>
        <v/>
      </c>
      <c r="D8815">
        <f>IF(B8815=C8815, "YES", "WRONG")</f>
        <v/>
      </c>
    </row>
    <row r="8816">
      <c r="A8816" t="n">
        <v>8815</v>
      </c>
      <c r="B8816" t="inlineStr">
        <is>
          <t>V̅MMMDCCCXV</t>
        </is>
      </c>
      <c r="C8816">
        <f>ROMAN(8815)</f>
        <v/>
      </c>
      <c r="D8816">
        <f>IF(B8816=C8816, "YES", "WRONG")</f>
        <v/>
      </c>
    </row>
    <row r="8817">
      <c r="A8817" t="n">
        <v>8816</v>
      </c>
      <c r="B8817" t="inlineStr">
        <is>
          <t>V̅MMMDCCCXVI</t>
        </is>
      </c>
      <c r="C8817">
        <f>ROMAN(8816)</f>
        <v/>
      </c>
      <c r="D8817">
        <f>IF(B8817=C8817, "YES", "WRONG")</f>
        <v/>
      </c>
    </row>
    <row r="8818">
      <c r="A8818" t="n">
        <v>8817</v>
      </c>
      <c r="B8818" t="inlineStr">
        <is>
          <t>V̅MMMDCCCXVII</t>
        </is>
      </c>
      <c r="C8818">
        <f>ROMAN(8817)</f>
        <v/>
      </c>
      <c r="D8818">
        <f>IF(B8818=C8818, "YES", "WRONG")</f>
        <v/>
      </c>
    </row>
    <row r="8819">
      <c r="A8819" t="n">
        <v>8818</v>
      </c>
      <c r="B8819" t="inlineStr">
        <is>
          <t>V̅MMMDCCCXVIII</t>
        </is>
      </c>
      <c r="C8819">
        <f>ROMAN(8818)</f>
        <v/>
      </c>
      <c r="D8819">
        <f>IF(B8819=C8819, "YES", "WRONG")</f>
        <v/>
      </c>
    </row>
    <row r="8820">
      <c r="A8820" t="n">
        <v>8819</v>
      </c>
      <c r="B8820" t="inlineStr">
        <is>
          <t>V̅MMMDCCCXIX</t>
        </is>
      </c>
      <c r="C8820">
        <f>ROMAN(8819)</f>
        <v/>
      </c>
      <c r="D8820">
        <f>IF(B8820=C8820, "YES", "WRONG")</f>
        <v/>
      </c>
    </row>
    <row r="8821">
      <c r="A8821" t="n">
        <v>8820</v>
      </c>
      <c r="B8821" t="inlineStr">
        <is>
          <t>V̅MMMDCCCXX</t>
        </is>
      </c>
      <c r="C8821">
        <f>ROMAN(8820)</f>
        <v/>
      </c>
      <c r="D8821">
        <f>IF(B8821=C8821, "YES", "WRONG")</f>
        <v/>
      </c>
    </row>
    <row r="8822">
      <c r="A8822" t="n">
        <v>8821</v>
      </c>
      <c r="B8822" t="inlineStr">
        <is>
          <t>V̅MMMDCCCXXI</t>
        </is>
      </c>
      <c r="C8822">
        <f>ROMAN(8821)</f>
        <v/>
      </c>
      <c r="D8822">
        <f>IF(B8822=C8822, "YES", "WRONG")</f>
        <v/>
      </c>
    </row>
    <row r="8823">
      <c r="A8823" t="n">
        <v>8822</v>
      </c>
      <c r="B8823" t="inlineStr">
        <is>
          <t>V̅MMMDCCCXXII</t>
        </is>
      </c>
      <c r="C8823">
        <f>ROMAN(8822)</f>
        <v/>
      </c>
      <c r="D8823">
        <f>IF(B8823=C8823, "YES", "WRONG")</f>
        <v/>
      </c>
    </row>
    <row r="8824">
      <c r="A8824" t="n">
        <v>8823</v>
      </c>
      <c r="B8824" t="inlineStr">
        <is>
          <t>V̅MMMDCCCXXIII</t>
        </is>
      </c>
      <c r="C8824">
        <f>ROMAN(8823)</f>
        <v/>
      </c>
      <c r="D8824">
        <f>IF(B8824=C8824, "YES", "WRONG")</f>
        <v/>
      </c>
    </row>
    <row r="8825">
      <c r="A8825" t="n">
        <v>8824</v>
      </c>
      <c r="B8825" t="inlineStr">
        <is>
          <t>V̅MMMDCCCXXIV</t>
        </is>
      </c>
      <c r="C8825">
        <f>ROMAN(8824)</f>
        <v/>
      </c>
      <c r="D8825">
        <f>IF(B8825=C8825, "YES", "WRONG")</f>
        <v/>
      </c>
    </row>
    <row r="8826">
      <c r="A8826" t="n">
        <v>8825</v>
      </c>
      <c r="B8826" t="inlineStr">
        <is>
          <t>V̅MMMDCCCXXV</t>
        </is>
      </c>
      <c r="C8826">
        <f>ROMAN(8825)</f>
        <v/>
      </c>
      <c r="D8826">
        <f>IF(B8826=C8826, "YES", "WRONG")</f>
        <v/>
      </c>
    </row>
    <row r="8827">
      <c r="A8827" t="n">
        <v>8826</v>
      </c>
      <c r="B8827" t="inlineStr">
        <is>
          <t>V̅MMMDCCCXXVI</t>
        </is>
      </c>
      <c r="C8827">
        <f>ROMAN(8826)</f>
        <v/>
      </c>
      <c r="D8827">
        <f>IF(B8827=C8827, "YES", "WRONG")</f>
        <v/>
      </c>
    </row>
    <row r="8828">
      <c r="A8828" t="n">
        <v>8827</v>
      </c>
      <c r="B8828" t="inlineStr">
        <is>
          <t>V̅MMMDCCCXXVII</t>
        </is>
      </c>
      <c r="C8828">
        <f>ROMAN(8827)</f>
        <v/>
      </c>
      <c r="D8828">
        <f>IF(B8828=C8828, "YES", "WRONG")</f>
        <v/>
      </c>
    </row>
    <row r="8829">
      <c r="A8829" t="n">
        <v>8828</v>
      </c>
      <c r="B8829" t="inlineStr">
        <is>
          <t>V̅MMMDCCCXXVIII</t>
        </is>
      </c>
      <c r="C8829">
        <f>ROMAN(8828)</f>
        <v/>
      </c>
      <c r="D8829">
        <f>IF(B8829=C8829, "YES", "WRONG")</f>
        <v/>
      </c>
    </row>
    <row r="8830">
      <c r="A8830" t="n">
        <v>8829</v>
      </c>
      <c r="B8830" t="inlineStr">
        <is>
          <t>V̅MMMDCCCXXIX</t>
        </is>
      </c>
      <c r="C8830">
        <f>ROMAN(8829)</f>
        <v/>
      </c>
      <c r="D8830">
        <f>IF(B8830=C8830, "YES", "WRONG")</f>
        <v/>
      </c>
    </row>
    <row r="8831">
      <c r="A8831" t="n">
        <v>8830</v>
      </c>
      <c r="B8831" t="inlineStr">
        <is>
          <t>V̅MMMDCCCXXX</t>
        </is>
      </c>
      <c r="C8831">
        <f>ROMAN(8830)</f>
        <v/>
      </c>
      <c r="D8831">
        <f>IF(B8831=C8831, "YES", "WRONG")</f>
        <v/>
      </c>
    </row>
    <row r="8832">
      <c r="A8832" t="n">
        <v>8831</v>
      </c>
      <c r="B8832" t="inlineStr">
        <is>
          <t>V̅MMMDCCCXXXI</t>
        </is>
      </c>
      <c r="C8832">
        <f>ROMAN(8831)</f>
        <v/>
      </c>
      <c r="D8832">
        <f>IF(B8832=C8832, "YES", "WRONG")</f>
        <v/>
      </c>
    </row>
    <row r="8833">
      <c r="A8833" t="n">
        <v>8832</v>
      </c>
      <c r="B8833" t="inlineStr">
        <is>
          <t>V̅MMMDCCCXXXII</t>
        </is>
      </c>
      <c r="C8833">
        <f>ROMAN(8832)</f>
        <v/>
      </c>
      <c r="D8833">
        <f>IF(B8833=C8833, "YES", "WRONG")</f>
        <v/>
      </c>
    </row>
    <row r="8834">
      <c r="A8834" t="n">
        <v>8833</v>
      </c>
      <c r="B8834" t="inlineStr">
        <is>
          <t>V̅MMMDCCCXXXIII</t>
        </is>
      </c>
      <c r="C8834">
        <f>ROMAN(8833)</f>
        <v/>
      </c>
      <c r="D8834">
        <f>IF(B8834=C8834, "YES", "WRONG")</f>
        <v/>
      </c>
    </row>
    <row r="8835">
      <c r="A8835" t="n">
        <v>8834</v>
      </c>
      <c r="B8835" t="inlineStr">
        <is>
          <t>V̅MMMDCCCXXXIV</t>
        </is>
      </c>
      <c r="C8835">
        <f>ROMAN(8834)</f>
        <v/>
      </c>
      <c r="D8835">
        <f>IF(B8835=C8835, "YES", "WRONG")</f>
        <v/>
      </c>
    </row>
    <row r="8836">
      <c r="A8836" t="n">
        <v>8835</v>
      </c>
      <c r="B8836" t="inlineStr">
        <is>
          <t>V̅MMMDCCCXXXV</t>
        </is>
      </c>
      <c r="C8836">
        <f>ROMAN(8835)</f>
        <v/>
      </c>
      <c r="D8836">
        <f>IF(B8836=C8836, "YES", "WRONG")</f>
        <v/>
      </c>
    </row>
    <row r="8837">
      <c r="A8837" t="n">
        <v>8836</v>
      </c>
      <c r="B8837" t="inlineStr">
        <is>
          <t>V̅MMMDCCCXXXVI</t>
        </is>
      </c>
      <c r="C8837">
        <f>ROMAN(8836)</f>
        <v/>
      </c>
      <c r="D8837">
        <f>IF(B8837=C8837, "YES", "WRONG")</f>
        <v/>
      </c>
    </row>
    <row r="8838">
      <c r="A8838" t="n">
        <v>8837</v>
      </c>
      <c r="B8838" t="inlineStr">
        <is>
          <t>V̅MMMDCCCXXXVII</t>
        </is>
      </c>
      <c r="C8838">
        <f>ROMAN(8837)</f>
        <v/>
      </c>
      <c r="D8838">
        <f>IF(B8838=C8838, "YES", "WRONG")</f>
        <v/>
      </c>
    </row>
    <row r="8839">
      <c r="A8839" t="n">
        <v>8838</v>
      </c>
      <c r="B8839" t="inlineStr">
        <is>
          <t>V̅MMMDCCCXXXVIII</t>
        </is>
      </c>
      <c r="C8839">
        <f>ROMAN(8838)</f>
        <v/>
      </c>
      <c r="D8839">
        <f>IF(B8839=C8839, "YES", "WRONG")</f>
        <v/>
      </c>
    </row>
    <row r="8840">
      <c r="A8840" t="n">
        <v>8839</v>
      </c>
      <c r="B8840" t="inlineStr">
        <is>
          <t>V̅MMMDCCCXXXIX</t>
        </is>
      </c>
      <c r="C8840">
        <f>ROMAN(8839)</f>
        <v/>
      </c>
      <c r="D8840">
        <f>IF(B8840=C8840, "YES", "WRONG")</f>
        <v/>
      </c>
    </row>
    <row r="8841">
      <c r="A8841" t="n">
        <v>8840</v>
      </c>
      <c r="B8841" t="inlineStr">
        <is>
          <t>V̅MMMDCCCXL</t>
        </is>
      </c>
      <c r="C8841">
        <f>ROMAN(8840)</f>
        <v/>
      </c>
      <c r="D8841">
        <f>IF(B8841=C8841, "YES", "WRONG")</f>
        <v/>
      </c>
    </row>
    <row r="8842">
      <c r="A8842" t="n">
        <v>8841</v>
      </c>
      <c r="B8842" t="inlineStr">
        <is>
          <t>V̅MMMDCCCXLI</t>
        </is>
      </c>
      <c r="C8842">
        <f>ROMAN(8841)</f>
        <v/>
      </c>
      <c r="D8842">
        <f>IF(B8842=C8842, "YES", "WRONG")</f>
        <v/>
      </c>
    </row>
    <row r="8843">
      <c r="A8843" t="n">
        <v>8842</v>
      </c>
      <c r="B8843" t="inlineStr">
        <is>
          <t>V̅MMMDCCCXLII</t>
        </is>
      </c>
      <c r="C8843">
        <f>ROMAN(8842)</f>
        <v/>
      </c>
      <c r="D8843">
        <f>IF(B8843=C8843, "YES", "WRONG")</f>
        <v/>
      </c>
    </row>
    <row r="8844">
      <c r="A8844" t="n">
        <v>8843</v>
      </c>
      <c r="B8844" t="inlineStr">
        <is>
          <t>V̅MMMDCCCXLIII</t>
        </is>
      </c>
      <c r="C8844">
        <f>ROMAN(8843)</f>
        <v/>
      </c>
      <c r="D8844">
        <f>IF(B8844=C8844, "YES", "WRONG")</f>
        <v/>
      </c>
    </row>
    <row r="8845">
      <c r="A8845" t="n">
        <v>8844</v>
      </c>
      <c r="B8845" t="inlineStr">
        <is>
          <t>V̅MMMDCCCXLIV</t>
        </is>
      </c>
      <c r="C8845">
        <f>ROMAN(8844)</f>
        <v/>
      </c>
      <c r="D8845">
        <f>IF(B8845=C8845, "YES", "WRONG")</f>
        <v/>
      </c>
    </row>
    <row r="8846">
      <c r="A8846" t="n">
        <v>8845</v>
      </c>
      <c r="B8846" t="inlineStr">
        <is>
          <t>V̅MMMDCCCXLV</t>
        </is>
      </c>
      <c r="C8846">
        <f>ROMAN(8845)</f>
        <v/>
      </c>
      <c r="D8846">
        <f>IF(B8846=C8846, "YES", "WRONG")</f>
        <v/>
      </c>
    </row>
    <row r="8847">
      <c r="A8847" t="n">
        <v>8846</v>
      </c>
      <c r="B8847" t="inlineStr">
        <is>
          <t>V̅MMMDCCCXLVI</t>
        </is>
      </c>
      <c r="C8847">
        <f>ROMAN(8846)</f>
        <v/>
      </c>
      <c r="D8847">
        <f>IF(B8847=C8847, "YES", "WRONG")</f>
        <v/>
      </c>
    </row>
    <row r="8848">
      <c r="A8848" t="n">
        <v>8847</v>
      </c>
      <c r="B8848" t="inlineStr">
        <is>
          <t>V̅MMMDCCCXLVII</t>
        </is>
      </c>
      <c r="C8848">
        <f>ROMAN(8847)</f>
        <v/>
      </c>
      <c r="D8848">
        <f>IF(B8848=C8848, "YES", "WRONG")</f>
        <v/>
      </c>
    </row>
    <row r="8849">
      <c r="A8849" t="n">
        <v>8848</v>
      </c>
      <c r="B8849" t="inlineStr">
        <is>
          <t>V̅MMMDCCCXLVIII</t>
        </is>
      </c>
      <c r="C8849">
        <f>ROMAN(8848)</f>
        <v/>
      </c>
      <c r="D8849">
        <f>IF(B8849=C8849, "YES", "WRONG")</f>
        <v/>
      </c>
    </row>
    <row r="8850">
      <c r="A8850" t="n">
        <v>8849</v>
      </c>
      <c r="B8850" t="inlineStr">
        <is>
          <t>V̅MMMDCCCXLIX</t>
        </is>
      </c>
      <c r="C8850">
        <f>ROMAN(8849)</f>
        <v/>
      </c>
      <c r="D8850">
        <f>IF(B8850=C8850, "YES", "WRONG")</f>
        <v/>
      </c>
    </row>
    <row r="8851">
      <c r="A8851" t="n">
        <v>8850</v>
      </c>
      <c r="B8851" t="inlineStr">
        <is>
          <t>V̅MMMDCCCL</t>
        </is>
      </c>
      <c r="C8851">
        <f>ROMAN(8850)</f>
        <v/>
      </c>
      <c r="D8851">
        <f>IF(B8851=C8851, "YES", "WRONG")</f>
        <v/>
      </c>
    </row>
    <row r="8852">
      <c r="A8852" t="n">
        <v>8851</v>
      </c>
      <c r="B8852" t="inlineStr">
        <is>
          <t>V̅MMMDCCCLI</t>
        </is>
      </c>
      <c r="C8852">
        <f>ROMAN(8851)</f>
        <v/>
      </c>
      <c r="D8852">
        <f>IF(B8852=C8852, "YES", "WRONG")</f>
        <v/>
      </c>
    </row>
    <row r="8853">
      <c r="A8853" t="n">
        <v>8852</v>
      </c>
      <c r="B8853" t="inlineStr">
        <is>
          <t>V̅MMMDCCCLII</t>
        </is>
      </c>
      <c r="C8853">
        <f>ROMAN(8852)</f>
        <v/>
      </c>
      <c r="D8853">
        <f>IF(B8853=C8853, "YES", "WRONG")</f>
        <v/>
      </c>
    </row>
    <row r="8854">
      <c r="A8854" t="n">
        <v>8853</v>
      </c>
      <c r="B8854" t="inlineStr">
        <is>
          <t>V̅MMMDCCCLIII</t>
        </is>
      </c>
      <c r="C8854">
        <f>ROMAN(8853)</f>
        <v/>
      </c>
      <c r="D8854">
        <f>IF(B8854=C8854, "YES", "WRONG")</f>
        <v/>
      </c>
    </row>
    <row r="8855">
      <c r="A8855" t="n">
        <v>8854</v>
      </c>
      <c r="B8855" t="inlineStr">
        <is>
          <t>V̅MMMDCCCLIV</t>
        </is>
      </c>
      <c r="C8855">
        <f>ROMAN(8854)</f>
        <v/>
      </c>
      <c r="D8855">
        <f>IF(B8855=C8855, "YES", "WRONG")</f>
        <v/>
      </c>
    </row>
    <row r="8856">
      <c r="A8856" t="n">
        <v>8855</v>
      </c>
      <c r="B8856" t="inlineStr">
        <is>
          <t>V̅MMMDCCCLV</t>
        </is>
      </c>
      <c r="C8856">
        <f>ROMAN(8855)</f>
        <v/>
      </c>
      <c r="D8856">
        <f>IF(B8856=C8856, "YES", "WRONG")</f>
        <v/>
      </c>
    </row>
    <row r="8857">
      <c r="A8857" t="n">
        <v>8856</v>
      </c>
      <c r="B8857" t="inlineStr">
        <is>
          <t>V̅MMMDCCCLVI</t>
        </is>
      </c>
      <c r="C8857">
        <f>ROMAN(8856)</f>
        <v/>
      </c>
      <c r="D8857">
        <f>IF(B8857=C8857, "YES", "WRONG")</f>
        <v/>
      </c>
    </row>
    <row r="8858">
      <c r="A8858" t="n">
        <v>8857</v>
      </c>
      <c r="B8858" t="inlineStr">
        <is>
          <t>V̅MMMDCCCLVII</t>
        </is>
      </c>
      <c r="C8858">
        <f>ROMAN(8857)</f>
        <v/>
      </c>
      <c r="D8858">
        <f>IF(B8858=C8858, "YES", "WRONG")</f>
        <v/>
      </c>
    </row>
    <row r="8859">
      <c r="A8859" t="n">
        <v>8858</v>
      </c>
      <c r="B8859" t="inlineStr">
        <is>
          <t>V̅MMMDCCCLVIII</t>
        </is>
      </c>
      <c r="C8859">
        <f>ROMAN(8858)</f>
        <v/>
      </c>
      <c r="D8859">
        <f>IF(B8859=C8859, "YES", "WRONG")</f>
        <v/>
      </c>
    </row>
    <row r="8860">
      <c r="A8860" t="n">
        <v>8859</v>
      </c>
      <c r="B8860" t="inlineStr">
        <is>
          <t>V̅MMMDCCCLIX</t>
        </is>
      </c>
      <c r="C8860">
        <f>ROMAN(8859)</f>
        <v/>
      </c>
      <c r="D8860">
        <f>IF(B8860=C8860, "YES", "WRONG")</f>
        <v/>
      </c>
    </row>
    <row r="8861">
      <c r="A8861" t="n">
        <v>8860</v>
      </c>
      <c r="B8861" t="inlineStr">
        <is>
          <t>V̅MMMDCCCLX</t>
        </is>
      </c>
      <c r="C8861">
        <f>ROMAN(8860)</f>
        <v/>
      </c>
      <c r="D8861">
        <f>IF(B8861=C8861, "YES", "WRONG")</f>
        <v/>
      </c>
    </row>
    <row r="8862">
      <c r="A8862" t="n">
        <v>8861</v>
      </c>
      <c r="B8862" t="inlineStr">
        <is>
          <t>V̅MMMDCCCLXI</t>
        </is>
      </c>
      <c r="C8862">
        <f>ROMAN(8861)</f>
        <v/>
      </c>
      <c r="D8862">
        <f>IF(B8862=C8862, "YES", "WRONG")</f>
        <v/>
      </c>
    </row>
    <row r="8863">
      <c r="A8863" t="n">
        <v>8862</v>
      </c>
      <c r="B8863" t="inlineStr">
        <is>
          <t>V̅MMMDCCCLXII</t>
        </is>
      </c>
      <c r="C8863">
        <f>ROMAN(8862)</f>
        <v/>
      </c>
      <c r="D8863">
        <f>IF(B8863=C8863, "YES", "WRONG")</f>
        <v/>
      </c>
    </row>
    <row r="8864">
      <c r="A8864" t="n">
        <v>8863</v>
      </c>
      <c r="B8864" t="inlineStr">
        <is>
          <t>V̅MMMDCCCLXIII</t>
        </is>
      </c>
      <c r="C8864">
        <f>ROMAN(8863)</f>
        <v/>
      </c>
      <c r="D8864">
        <f>IF(B8864=C8864, "YES", "WRONG")</f>
        <v/>
      </c>
    </row>
    <row r="8865">
      <c r="A8865" t="n">
        <v>8864</v>
      </c>
      <c r="B8865" t="inlineStr">
        <is>
          <t>V̅MMMDCCCLXIV</t>
        </is>
      </c>
      <c r="C8865">
        <f>ROMAN(8864)</f>
        <v/>
      </c>
      <c r="D8865">
        <f>IF(B8865=C8865, "YES", "WRONG")</f>
        <v/>
      </c>
    </row>
    <row r="8866">
      <c r="A8866" t="n">
        <v>8865</v>
      </c>
      <c r="B8866" t="inlineStr">
        <is>
          <t>V̅MMMDCCCLXV</t>
        </is>
      </c>
      <c r="C8866">
        <f>ROMAN(8865)</f>
        <v/>
      </c>
      <c r="D8866">
        <f>IF(B8866=C8866, "YES", "WRONG")</f>
        <v/>
      </c>
    </row>
    <row r="8867">
      <c r="A8867" t="n">
        <v>8866</v>
      </c>
      <c r="B8867" t="inlineStr">
        <is>
          <t>V̅MMMDCCCLXVI</t>
        </is>
      </c>
      <c r="C8867">
        <f>ROMAN(8866)</f>
        <v/>
      </c>
      <c r="D8867">
        <f>IF(B8867=C8867, "YES", "WRONG")</f>
        <v/>
      </c>
    </row>
    <row r="8868">
      <c r="A8868" t="n">
        <v>8867</v>
      </c>
      <c r="B8868" t="inlineStr">
        <is>
          <t>V̅MMMDCCCLXVII</t>
        </is>
      </c>
      <c r="C8868">
        <f>ROMAN(8867)</f>
        <v/>
      </c>
      <c r="D8868">
        <f>IF(B8868=C8868, "YES", "WRONG")</f>
        <v/>
      </c>
    </row>
    <row r="8869">
      <c r="A8869" t="n">
        <v>8868</v>
      </c>
      <c r="B8869" t="inlineStr">
        <is>
          <t>V̅MMMDCCCLXVIII</t>
        </is>
      </c>
      <c r="C8869">
        <f>ROMAN(8868)</f>
        <v/>
      </c>
      <c r="D8869">
        <f>IF(B8869=C8869, "YES", "WRONG")</f>
        <v/>
      </c>
    </row>
    <row r="8870">
      <c r="A8870" t="n">
        <v>8869</v>
      </c>
      <c r="B8870" t="inlineStr">
        <is>
          <t>V̅MMMDCCCLXIX</t>
        </is>
      </c>
      <c r="C8870">
        <f>ROMAN(8869)</f>
        <v/>
      </c>
      <c r="D8870">
        <f>IF(B8870=C8870, "YES", "WRONG")</f>
        <v/>
      </c>
    </row>
    <row r="8871">
      <c r="A8871" t="n">
        <v>8870</v>
      </c>
      <c r="B8871" t="inlineStr">
        <is>
          <t>V̅MMMDCCCLXX</t>
        </is>
      </c>
      <c r="C8871">
        <f>ROMAN(8870)</f>
        <v/>
      </c>
      <c r="D8871">
        <f>IF(B8871=C8871, "YES", "WRONG")</f>
        <v/>
      </c>
    </row>
    <row r="8872">
      <c r="A8872" t="n">
        <v>8871</v>
      </c>
      <c r="B8872" t="inlineStr">
        <is>
          <t>V̅MMMDCCCLXXI</t>
        </is>
      </c>
      <c r="C8872">
        <f>ROMAN(8871)</f>
        <v/>
      </c>
      <c r="D8872">
        <f>IF(B8872=C8872, "YES", "WRONG")</f>
        <v/>
      </c>
    </row>
    <row r="8873">
      <c r="A8873" t="n">
        <v>8872</v>
      </c>
      <c r="B8873" t="inlineStr">
        <is>
          <t>V̅MMMDCCCLXXII</t>
        </is>
      </c>
      <c r="C8873">
        <f>ROMAN(8872)</f>
        <v/>
      </c>
      <c r="D8873">
        <f>IF(B8873=C8873, "YES", "WRONG")</f>
        <v/>
      </c>
    </row>
    <row r="8874">
      <c r="A8874" t="n">
        <v>8873</v>
      </c>
      <c r="B8874" t="inlineStr">
        <is>
          <t>V̅MMMDCCCLXXIII</t>
        </is>
      </c>
      <c r="C8874">
        <f>ROMAN(8873)</f>
        <v/>
      </c>
      <c r="D8874">
        <f>IF(B8874=C8874, "YES", "WRONG")</f>
        <v/>
      </c>
    </row>
    <row r="8875">
      <c r="A8875" t="n">
        <v>8874</v>
      </c>
      <c r="B8875" t="inlineStr">
        <is>
          <t>V̅MMMDCCCLXXIV</t>
        </is>
      </c>
      <c r="C8875">
        <f>ROMAN(8874)</f>
        <v/>
      </c>
      <c r="D8875">
        <f>IF(B8875=C8875, "YES", "WRONG")</f>
        <v/>
      </c>
    </row>
    <row r="8876">
      <c r="A8876" t="n">
        <v>8875</v>
      </c>
      <c r="B8876" t="inlineStr">
        <is>
          <t>V̅MMMDCCCLXXV</t>
        </is>
      </c>
      <c r="C8876">
        <f>ROMAN(8875)</f>
        <v/>
      </c>
      <c r="D8876">
        <f>IF(B8876=C8876, "YES", "WRONG")</f>
        <v/>
      </c>
    </row>
    <row r="8877">
      <c r="A8877" t="n">
        <v>8876</v>
      </c>
      <c r="B8877" t="inlineStr">
        <is>
          <t>V̅MMMDCCCLXXVI</t>
        </is>
      </c>
      <c r="C8877">
        <f>ROMAN(8876)</f>
        <v/>
      </c>
      <c r="D8877">
        <f>IF(B8877=C8877, "YES", "WRONG")</f>
        <v/>
      </c>
    </row>
    <row r="8878">
      <c r="A8878" t="n">
        <v>8877</v>
      </c>
      <c r="B8878" t="inlineStr">
        <is>
          <t>V̅MMMDCCCLXXVII</t>
        </is>
      </c>
      <c r="C8878">
        <f>ROMAN(8877)</f>
        <v/>
      </c>
      <c r="D8878">
        <f>IF(B8878=C8878, "YES", "WRONG")</f>
        <v/>
      </c>
    </row>
    <row r="8879">
      <c r="A8879" t="n">
        <v>8878</v>
      </c>
      <c r="B8879" t="inlineStr">
        <is>
          <t>V̅MMMDCCCLXXVIII</t>
        </is>
      </c>
      <c r="C8879">
        <f>ROMAN(8878)</f>
        <v/>
      </c>
      <c r="D8879">
        <f>IF(B8879=C8879, "YES", "WRONG")</f>
        <v/>
      </c>
    </row>
    <row r="8880">
      <c r="A8880" t="n">
        <v>8879</v>
      </c>
      <c r="B8880" t="inlineStr">
        <is>
          <t>V̅MMMDCCCLXXIX</t>
        </is>
      </c>
      <c r="C8880">
        <f>ROMAN(8879)</f>
        <v/>
      </c>
      <c r="D8880">
        <f>IF(B8880=C8880, "YES", "WRONG")</f>
        <v/>
      </c>
    </row>
    <row r="8881">
      <c r="A8881" t="n">
        <v>8880</v>
      </c>
      <c r="B8881" t="inlineStr">
        <is>
          <t>V̅MMMDCCCLXXX</t>
        </is>
      </c>
      <c r="C8881">
        <f>ROMAN(8880)</f>
        <v/>
      </c>
      <c r="D8881">
        <f>IF(B8881=C8881, "YES", "WRONG")</f>
        <v/>
      </c>
    </row>
    <row r="8882">
      <c r="A8882" t="n">
        <v>8881</v>
      </c>
      <c r="B8882" t="inlineStr">
        <is>
          <t>V̅MMMDCCCLXXXI</t>
        </is>
      </c>
      <c r="C8882">
        <f>ROMAN(8881)</f>
        <v/>
      </c>
      <c r="D8882">
        <f>IF(B8882=C8882, "YES", "WRONG")</f>
        <v/>
      </c>
    </row>
    <row r="8883">
      <c r="A8883" t="n">
        <v>8882</v>
      </c>
      <c r="B8883" t="inlineStr">
        <is>
          <t>V̅MMMDCCCLXXXII</t>
        </is>
      </c>
      <c r="C8883">
        <f>ROMAN(8882)</f>
        <v/>
      </c>
      <c r="D8883">
        <f>IF(B8883=C8883, "YES", "WRONG")</f>
        <v/>
      </c>
    </row>
    <row r="8884">
      <c r="A8884" t="n">
        <v>8883</v>
      </c>
      <c r="B8884" t="inlineStr">
        <is>
          <t>V̅MMMDCCCLXXXIII</t>
        </is>
      </c>
      <c r="C8884">
        <f>ROMAN(8883)</f>
        <v/>
      </c>
      <c r="D8884">
        <f>IF(B8884=C8884, "YES", "WRONG")</f>
        <v/>
      </c>
    </row>
    <row r="8885">
      <c r="A8885" t="n">
        <v>8884</v>
      </c>
      <c r="B8885" t="inlineStr">
        <is>
          <t>V̅MMMDCCCLXXXIV</t>
        </is>
      </c>
      <c r="C8885">
        <f>ROMAN(8884)</f>
        <v/>
      </c>
      <c r="D8885">
        <f>IF(B8885=C8885, "YES", "WRONG")</f>
        <v/>
      </c>
    </row>
    <row r="8886">
      <c r="A8886" t="n">
        <v>8885</v>
      </c>
      <c r="B8886" t="inlineStr">
        <is>
          <t>V̅MMMDCCCLXXXV</t>
        </is>
      </c>
      <c r="C8886">
        <f>ROMAN(8885)</f>
        <v/>
      </c>
      <c r="D8886">
        <f>IF(B8886=C8886, "YES", "WRONG")</f>
        <v/>
      </c>
    </row>
    <row r="8887">
      <c r="A8887" t="n">
        <v>8886</v>
      </c>
      <c r="B8887" t="inlineStr">
        <is>
          <t>V̅MMMDCCCLXXXVI</t>
        </is>
      </c>
      <c r="C8887">
        <f>ROMAN(8886)</f>
        <v/>
      </c>
      <c r="D8887">
        <f>IF(B8887=C8887, "YES", "WRONG")</f>
        <v/>
      </c>
    </row>
    <row r="8888">
      <c r="A8888" t="n">
        <v>8887</v>
      </c>
      <c r="B8888" t="inlineStr">
        <is>
          <t>V̅MMMDCCCLXXXVII</t>
        </is>
      </c>
      <c r="C8888">
        <f>ROMAN(8887)</f>
        <v/>
      </c>
      <c r="D8888">
        <f>IF(B8888=C8888, "YES", "WRONG")</f>
        <v/>
      </c>
    </row>
    <row r="8889">
      <c r="A8889" t="n">
        <v>8888</v>
      </c>
      <c r="B8889" t="inlineStr">
        <is>
          <t>V̅MMMDCCCLXXXVIII</t>
        </is>
      </c>
      <c r="C8889">
        <f>ROMAN(8888)</f>
        <v/>
      </c>
      <c r="D8889">
        <f>IF(B8889=C8889, "YES", "WRONG")</f>
        <v/>
      </c>
    </row>
    <row r="8890">
      <c r="A8890" t="n">
        <v>8889</v>
      </c>
      <c r="B8890" t="inlineStr">
        <is>
          <t>V̅MMMDCCCLXXXIX</t>
        </is>
      </c>
      <c r="C8890">
        <f>ROMAN(8889)</f>
        <v/>
      </c>
      <c r="D8890">
        <f>IF(B8890=C8890, "YES", "WRONG")</f>
        <v/>
      </c>
    </row>
    <row r="8891">
      <c r="A8891" t="n">
        <v>8890</v>
      </c>
      <c r="B8891" t="inlineStr">
        <is>
          <t>V̅MMMDCCCXC</t>
        </is>
      </c>
      <c r="C8891">
        <f>ROMAN(8890)</f>
        <v/>
      </c>
      <c r="D8891">
        <f>IF(B8891=C8891, "YES", "WRONG")</f>
        <v/>
      </c>
    </row>
    <row r="8892">
      <c r="A8892" t="n">
        <v>8891</v>
      </c>
      <c r="B8892" t="inlineStr">
        <is>
          <t>V̅MMMDCCCXCI</t>
        </is>
      </c>
      <c r="C8892">
        <f>ROMAN(8891)</f>
        <v/>
      </c>
      <c r="D8892">
        <f>IF(B8892=C8892, "YES", "WRONG")</f>
        <v/>
      </c>
    </row>
    <row r="8893">
      <c r="A8893" t="n">
        <v>8892</v>
      </c>
      <c r="B8893" t="inlineStr">
        <is>
          <t>V̅MMMDCCCXCII</t>
        </is>
      </c>
      <c r="C8893">
        <f>ROMAN(8892)</f>
        <v/>
      </c>
      <c r="D8893">
        <f>IF(B8893=C8893, "YES", "WRONG")</f>
        <v/>
      </c>
    </row>
    <row r="8894">
      <c r="A8894" t="n">
        <v>8893</v>
      </c>
      <c r="B8894" t="inlineStr">
        <is>
          <t>V̅MMMDCCCXCIII</t>
        </is>
      </c>
      <c r="C8894">
        <f>ROMAN(8893)</f>
        <v/>
      </c>
      <c r="D8894">
        <f>IF(B8894=C8894, "YES", "WRONG")</f>
        <v/>
      </c>
    </row>
    <row r="8895">
      <c r="A8895" t="n">
        <v>8894</v>
      </c>
      <c r="B8895" t="inlineStr">
        <is>
          <t>V̅MMMDCCCXCIV</t>
        </is>
      </c>
      <c r="C8895">
        <f>ROMAN(8894)</f>
        <v/>
      </c>
      <c r="D8895">
        <f>IF(B8895=C8895, "YES", "WRONG")</f>
        <v/>
      </c>
    </row>
    <row r="8896">
      <c r="A8896" t="n">
        <v>8895</v>
      </c>
      <c r="B8896" t="inlineStr">
        <is>
          <t>V̅MMMDCCCXCV</t>
        </is>
      </c>
      <c r="C8896">
        <f>ROMAN(8895)</f>
        <v/>
      </c>
      <c r="D8896">
        <f>IF(B8896=C8896, "YES", "WRONG")</f>
        <v/>
      </c>
    </row>
    <row r="8897">
      <c r="A8897" t="n">
        <v>8896</v>
      </c>
      <c r="B8897" t="inlineStr">
        <is>
          <t>V̅MMMDCCCXCVI</t>
        </is>
      </c>
      <c r="C8897">
        <f>ROMAN(8896)</f>
        <v/>
      </c>
      <c r="D8897">
        <f>IF(B8897=C8897, "YES", "WRONG")</f>
        <v/>
      </c>
    </row>
    <row r="8898">
      <c r="A8898" t="n">
        <v>8897</v>
      </c>
      <c r="B8898" t="inlineStr">
        <is>
          <t>V̅MMMDCCCXCVII</t>
        </is>
      </c>
      <c r="C8898">
        <f>ROMAN(8897)</f>
        <v/>
      </c>
      <c r="D8898">
        <f>IF(B8898=C8898, "YES", "WRONG")</f>
        <v/>
      </c>
    </row>
    <row r="8899">
      <c r="A8899" t="n">
        <v>8898</v>
      </c>
      <c r="B8899" t="inlineStr">
        <is>
          <t>V̅MMMDCCCXCVIII</t>
        </is>
      </c>
      <c r="C8899">
        <f>ROMAN(8898)</f>
        <v/>
      </c>
      <c r="D8899">
        <f>IF(B8899=C8899, "YES", "WRONG")</f>
        <v/>
      </c>
    </row>
    <row r="8900">
      <c r="A8900" t="n">
        <v>8899</v>
      </c>
      <c r="B8900" t="inlineStr">
        <is>
          <t>V̅MMMDCCCXCIX</t>
        </is>
      </c>
      <c r="C8900">
        <f>ROMAN(8899)</f>
        <v/>
      </c>
      <c r="D8900">
        <f>IF(B8900=C8900, "YES", "WRONG")</f>
        <v/>
      </c>
    </row>
    <row r="8901">
      <c r="A8901" t="n">
        <v>8900</v>
      </c>
      <c r="B8901" t="inlineStr">
        <is>
          <t>V̅MMMCM</t>
        </is>
      </c>
      <c r="C8901">
        <f>ROMAN(8900)</f>
        <v/>
      </c>
      <c r="D8901">
        <f>IF(B8901=C8901, "YES", "WRONG")</f>
        <v/>
      </c>
    </row>
    <row r="8902">
      <c r="A8902" t="n">
        <v>8901</v>
      </c>
      <c r="B8902" t="inlineStr">
        <is>
          <t>V̅MMMCMI</t>
        </is>
      </c>
      <c r="C8902">
        <f>ROMAN(8901)</f>
        <v/>
      </c>
      <c r="D8902">
        <f>IF(B8902=C8902, "YES", "WRONG")</f>
        <v/>
      </c>
    </row>
    <row r="8903">
      <c r="A8903" t="n">
        <v>8902</v>
      </c>
      <c r="B8903" t="inlineStr">
        <is>
          <t>V̅MMMCMII</t>
        </is>
      </c>
      <c r="C8903">
        <f>ROMAN(8902)</f>
        <v/>
      </c>
      <c r="D8903">
        <f>IF(B8903=C8903, "YES", "WRONG")</f>
        <v/>
      </c>
    </row>
    <row r="8904">
      <c r="A8904" t="n">
        <v>8903</v>
      </c>
      <c r="B8904" t="inlineStr">
        <is>
          <t>V̅MMMCMIII</t>
        </is>
      </c>
      <c r="C8904">
        <f>ROMAN(8903)</f>
        <v/>
      </c>
      <c r="D8904">
        <f>IF(B8904=C8904, "YES", "WRONG")</f>
        <v/>
      </c>
    </row>
    <row r="8905">
      <c r="A8905" t="n">
        <v>8904</v>
      </c>
      <c r="B8905" t="inlineStr">
        <is>
          <t>V̅MMMCMIV</t>
        </is>
      </c>
      <c r="C8905">
        <f>ROMAN(8904)</f>
        <v/>
      </c>
      <c r="D8905">
        <f>IF(B8905=C8905, "YES", "WRONG")</f>
        <v/>
      </c>
    </row>
    <row r="8906">
      <c r="A8906" t="n">
        <v>8905</v>
      </c>
      <c r="B8906" t="inlineStr">
        <is>
          <t>V̅MMMCMV</t>
        </is>
      </c>
      <c r="C8906">
        <f>ROMAN(8905)</f>
        <v/>
      </c>
      <c r="D8906">
        <f>IF(B8906=C8906, "YES", "WRONG")</f>
        <v/>
      </c>
    </row>
    <row r="8907">
      <c r="A8907" t="n">
        <v>8906</v>
      </c>
      <c r="B8907" t="inlineStr">
        <is>
          <t>V̅MMMCMVI</t>
        </is>
      </c>
      <c r="C8907">
        <f>ROMAN(8906)</f>
        <v/>
      </c>
      <c r="D8907">
        <f>IF(B8907=C8907, "YES", "WRONG")</f>
        <v/>
      </c>
    </row>
    <row r="8908">
      <c r="A8908" t="n">
        <v>8907</v>
      </c>
      <c r="B8908" t="inlineStr">
        <is>
          <t>V̅MMMCMVII</t>
        </is>
      </c>
      <c r="C8908">
        <f>ROMAN(8907)</f>
        <v/>
      </c>
      <c r="D8908">
        <f>IF(B8908=C8908, "YES", "WRONG")</f>
        <v/>
      </c>
    </row>
    <row r="8909">
      <c r="A8909" t="n">
        <v>8908</v>
      </c>
      <c r="B8909" t="inlineStr">
        <is>
          <t>V̅MMMCMVIII</t>
        </is>
      </c>
      <c r="C8909">
        <f>ROMAN(8908)</f>
        <v/>
      </c>
      <c r="D8909">
        <f>IF(B8909=C8909, "YES", "WRONG")</f>
        <v/>
      </c>
    </row>
    <row r="8910">
      <c r="A8910" t="n">
        <v>8909</v>
      </c>
      <c r="B8910" t="inlineStr">
        <is>
          <t>V̅MMMCMIX</t>
        </is>
      </c>
      <c r="C8910">
        <f>ROMAN(8909)</f>
        <v/>
      </c>
      <c r="D8910">
        <f>IF(B8910=C8910, "YES", "WRONG")</f>
        <v/>
      </c>
    </row>
    <row r="8911">
      <c r="A8911" t="n">
        <v>8910</v>
      </c>
      <c r="B8911" t="inlineStr">
        <is>
          <t>V̅MMMCMX</t>
        </is>
      </c>
      <c r="C8911">
        <f>ROMAN(8910)</f>
        <v/>
      </c>
      <c r="D8911">
        <f>IF(B8911=C8911, "YES", "WRONG")</f>
        <v/>
      </c>
    </row>
    <row r="8912">
      <c r="A8912" t="n">
        <v>8911</v>
      </c>
      <c r="B8912" t="inlineStr">
        <is>
          <t>V̅MMMCMXI</t>
        </is>
      </c>
      <c r="C8912">
        <f>ROMAN(8911)</f>
        <v/>
      </c>
      <c r="D8912">
        <f>IF(B8912=C8912, "YES", "WRONG")</f>
        <v/>
      </c>
    </row>
    <row r="8913">
      <c r="A8913" t="n">
        <v>8912</v>
      </c>
      <c r="B8913" t="inlineStr">
        <is>
          <t>V̅MMMCMXII</t>
        </is>
      </c>
      <c r="C8913">
        <f>ROMAN(8912)</f>
        <v/>
      </c>
      <c r="D8913">
        <f>IF(B8913=C8913, "YES", "WRONG")</f>
        <v/>
      </c>
    </row>
    <row r="8914">
      <c r="A8914" t="n">
        <v>8913</v>
      </c>
      <c r="B8914" t="inlineStr">
        <is>
          <t>V̅MMMCMXIII</t>
        </is>
      </c>
      <c r="C8914">
        <f>ROMAN(8913)</f>
        <v/>
      </c>
      <c r="D8914">
        <f>IF(B8914=C8914, "YES", "WRONG")</f>
        <v/>
      </c>
    </row>
    <row r="8915">
      <c r="A8915" t="n">
        <v>8914</v>
      </c>
      <c r="B8915" t="inlineStr">
        <is>
          <t>V̅MMMCMXIV</t>
        </is>
      </c>
      <c r="C8915">
        <f>ROMAN(8914)</f>
        <v/>
      </c>
      <c r="D8915">
        <f>IF(B8915=C8915, "YES", "WRONG")</f>
        <v/>
      </c>
    </row>
    <row r="8916">
      <c r="A8916" t="n">
        <v>8915</v>
      </c>
      <c r="B8916" t="inlineStr">
        <is>
          <t>V̅MMMCMXV</t>
        </is>
      </c>
      <c r="C8916">
        <f>ROMAN(8915)</f>
        <v/>
      </c>
      <c r="D8916">
        <f>IF(B8916=C8916, "YES", "WRONG")</f>
        <v/>
      </c>
    </row>
    <row r="8917">
      <c r="A8917" t="n">
        <v>8916</v>
      </c>
      <c r="B8917" t="inlineStr">
        <is>
          <t>V̅MMMCMXVI</t>
        </is>
      </c>
      <c r="C8917">
        <f>ROMAN(8916)</f>
        <v/>
      </c>
      <c r="D8917">
        <f>IF(B8917=C8917, "YES", "WRONG")</f>
        <v/>
      </c>
    </row>
    <row r="8918">
      <c r="A8918" t="n">
        <v>8917</v>
      </c>
      <c r="B8918" t="inlineStr">
        <is>
          <t>V̅MMMCMXVII</t>
        </is>
      </c>
      <c r="C8918">
        <f>ROMAN(8917)</f>
        <v/>
      </c>
      <c r="D8918">
        <f>IF(B8918=C8918, "YES", "WRONG")</f>
        <v/>
      </c>
    </row>
    <row r="8919">
      <c r="A8919" t="n">
        <v>8918</v>
      </c>
      <c r="B8919" t="inlineStr">
        <is>
          <t>V̅MMMCMXVIII</t>
        </is>
      </c>
      <c r="C8919">
        <f>ROMAN(8918)</f>
        <v/>
      </c>
      <c r="D8919">
        <f>IF(B8919=C8919, "YES", "WRONG")</f>
        <v/>
      </c>
    </row>
    <row r="8920">
      <c r="A8920" t="n">
        <v>8919</v>
      </c>
      <c r="B8920" t="inlineStr">
        <is>
          <t>V̅MMMCMXIX</t>
        </is>
      </c>
      <c r="C8920">
        <f>ROMAN(8919)</f>
        <v/>
      </c>
      <c r="D8920">
        <f>IF(B8920=C8920, "YES", "WRONG")</f>
        <v/>
      </c>
    </row>
    <row r="8921">
      <c r="A8921" t="n">
        <v>8920</v>
      </c>
      <c r="B8921" t="inlineStr">
        <is>
          <t>V̅MMMCMXX</t>
        </is>
      </c>
      <c r="C8921">
        <f>ROMAN(8920)</f>
        <v/>
      </c>
      <c r="D8921">
        <f>IF(B8921=C8921, "YES", "WRONG")</f>
        <v/>
      </c>
    </row>
    <row r="8922">
      <c r="A8922" t="n">
        <v>8921</v>
      </c>
      <c r="B8922" t="inlineStr">
        <is>
          <t>V̅MMMCMXXI</t>
        </is>
      </c>
      <c r="C8922">
        <f>ROMAN(8921)</f>
        <v/>
      </c>
      <c r="D8922">
        <f>IF(B8922=C8922, "YES", "WRONG")</f>
        <v/>
      </c>
    </row>
    <row r="8923">
      <c r="A8923" t="n">
        <v>8922</v>
      </c>
      <c r="B8923" t="inlineStr">
        <is>
          <t>V̅MMMCMXXII</t>
        </is>
      </c>
      <c r="C8923">
        <f>ROMAN(8922)</f>
        <v/>
      </c>
      <c r="D8923">
        <f>IF(B8923=C8923, "YES", "WRONG")</f>
        <v/>
      </c>
    </row>
    <row r="8924">
      <c r="A8924" t="n">
        <v>8923</v>
      </c>
      <c r="B8924" t="inlineStr">
        <is>
          <t>V̅MMMCMXXIII</t>
        </is>
      </c>
      <c r="C8924">
        <f>ROMAN(8923)</f>
        <v/>
      </c>
      <c r="D8924">
        <f>IF(B8924=C8924, "YES", "WRONG")</f>
        <v/>
      </c>
    </row>
    <row r="8925">
      <c r="A8925" t="n">
        <v>8924</v>
      </c>
      <c r="B8925" t="inlineStr">
        <is>
          <t>V̅MMMCMXXIV</t>
        </is>
      </c>
      <c r="C8925">
        <f>ROMAN(8924)</f>
        <v/>
      </c>
      <c r="D8925">
        <f>IF(B8925=C8925, "YES", "WRONG")</f>
        <v/>
      </c>
    </row>
    <row r="8926">
      <c r="A8926" t="n">
        <v>8925</v>
      </c>
      <c r="B8926" t="inlineStr">
        <is>
          <t>V̅MMMCMXXV</t>
        </is>
      </c>
      <c r="C8926">
        <f>ROMAN(8925)</f>
        <v/>
      </c>
      <c r="D8926">
        <f>IF(B8926=C8926, "YES", "WRONG")</f>
        <v/>
      </c>
    </row>
    <row r="8927">
      <c r="A8927" t="n">
        <v>8926</v>
      </c>
      <c r="B8927" t="inlineStr">
        <is>
          <t>V̅MMMCMXXVI</t>
        </is>
      </c>
      <c r="C8927">
        <f>ROMAN(8926)</f>
        <v/>
      </c>
      <c r="D8927">
        <f>IF(B8927=C8927, "YES", "WRONG")</f>
        <v/>
      </c>
    </row>
    <row r="8928">
      <c r="A8928" t="n">
        <v>8927</v>
      </c>
      <c r="B8928" t="inlineStr">
        <is>
          <t>V̅MMMCMXXVII</t>
        </is>
      </c>
      <c r="C8928">
        <f>ROMAN(8927)</f>
        <v/>
      </c>
      <c r="D8928">
        <f>IF(B8928=C8928, "YES", "WRONG")</f>
        <v/>
      </c>
    </row>
    <row r="8929">
      <c r="A8929" t="n">
        <v>8928</v>
      </c>
      <c r="B8929" t="inlineStr">
        <is>
          <t>V̅MMMCMXXVIII</t>
        </is>
      </c>
      <c r="C8929">
        <f>ROMAN(8928)</f>
        <v/>
      </c>
      <c r="D8929">
        <f>IF(B8929=C8929, "YES", "WRONG")</f>
        <v/>
      </c>
    </row>
    <row r="8930">
      <c r="A8930" t="n">
        <v>8929</v>
      </c>
      <c r="B8930" t="inlineStr">
        <is>
          <t>V̅MMMCMXXIX</t>
        </is>
      </c>
      <c r="C8930">
        <f>ROMAN(8929)</f>
        <v/>
      </c>
      <c r="D8930">
        <f>IF(B8930=C8930, "YES", "WRONG")</f>
        <v/>
      </c>
    </row>
    <row r="8931">
      <c r="A8931" t="n">
        <v>8930</v>
      </c>
      <c r="B8931" t="inlineStr">
        <is>
          <t>V̅MMMCMXXX</t>
        </is>
      </c>
      <c r="C8931">
        <f>ROMAN(8930)</f>
        <v/>
      </c>
      <c r="D8931">
        <f>IF(B8931=C8931, "YES", "WRONG")</f>
        <v/>
      </c>
    </row>
    <row r="8932">
      <c r="A8932" t="n">
        <v>8931</v>
      </c>
      <c r="B8932" t="inlineStr">
        <is>
          <t>V̅MMMCMXXXI</t>
        </is>
      </c>
      <c r="C8932">
        <f>ROMAN(8931)</f>
        <v/>
      </c>
      <c r="D8932">
        <f>IF(B8932=C8932, "YES", "WRONG")</f>
        <v/>
      </c>
    </row>
    <row r="8933">
      <c r="A8933" t="n">
        <v>8932</v>
      </c>
      <c r="B8933" t="inlineStr">
        <is>
          <t>V̅MMMCMXXXII</t>
        </is>
      </c>
      <c r="C8933">
        <f>ROMAN(8932)</f>
        <v/>
      </c>
      <c r="D8933">
        <f>IF(B8933=C8933, "YES", "WRONG")</f>
        <v/>
      </c>
    </row>
    <row r="8934">
      <c r="A8934" t="n">
        <v>8933</v>
      </c>
      <c r="B8934" t="inlineStr">
        <is>
          <t>V̅MMMCMXXXIII</t>
        </is>
      </c>
      <c r="C8934">
        <f>ROMAN(8933)</f>
        <v/>
      </c>
      <c r="D8934">
        <f>IF(B8934=C8934, "YES", "WRONG")</f>
        <v/>
      </c>
    </row>
    <row r="8935">
      <c r="A8935" t="n">
        <v>8934</v>
      </c>
      <c r="B8935" t="inlineStr">
        <is>
          <t>V̅MMMCMXXXIV</t>
        </is>
      </c>
      <c r="C8935">
        <f>ROMAN(8934)</f>
        <v/>
      </c>
      <c r="D8935">
        <f>IF(B8935=C8935, "YES", "WRONG")</f>
        <v/>
      </c>
    </row>
    <row r="8936">
      <c r="A8936" t="n">
        <v>8935</v>
      </c>
      <c r="B8936" t="inlineStr">
        <is>
          <t>V̅MMMCMXXXV</t>
        </is>
      </c>
      <c r="C8936">
        <f>ROMAN(8935)</f>
        <v/>
      </c>
      <c r="D8936">
        <f>IF(B8936=C8936, "YES", "WRONG")</f>
        <v/>
      </c>
    </row>
    <row r="8937">
      <c r="A8937" t="n">
        <v>8936</v>
      </c>
      <c r="B8937" t="inlineStr">
        <is>
          <t>V̅MMMCMXXXVI</t>
        </is>
      </c>
      <c r="C8937">
        <f>ROMAN(8936)</f>
        <v/>
      </c>
      <c r="D8937">
        <f>IF(B8937=C8937, "YES", "WRONG")</f>
        <v/>
      </c>
    </row>
    <row r="8938">
      <c r="A8938" t="n">
        <v>8937</v>
      </c>
      <c r="B8938" t="inlineStr">
        <is>
          <t>V̅MMMCMXXXVII</t>
        </is>
      </c>
      <c r="C8938">
        <f>ROMAN(8937)</f>
        <v/>
      </c>
      <c r="D8938">
        <f>IF(B8938=C8938, "YES", "WRONG")</f>
        <v/>
      </c>
    </row>
    <row r="8939">
      <c r="A8939" t="n">
        <v>8938</v>
      </c>
      <c r="B8939" t="inlineStr">
        <is>
          <t>V̅MMMCMXXXVIII</t>
        </is>
      </c>
      <c r="C8939">
        <f>ROMAN(8938)</f>
        <v/>
      </c>
      <c r="D8939">
        <f>IF(B8939=C8939, "YES", "WRONG")</f>
        <v/>
      </c>
    </row>
    <row r="8940">
      <c r="A8940" t="n">
        <v>8939</v>
      </c>
      <c r="B8940" t="inlineStr">
        <is>
          <t>V̅MMMCMXXXIX</t>
        </is>
      </c>
      <c r="C8940">
        <f>ROMAN(8939)</f>
        <v/>
      </c>
      <c r="D8940">
        <f>IF(B8940=C8940, "YES", "WRONG")</f>
        <v/>
      </c>
    </row>
    <row r="8941">
      <c r="A8941" t="n">
        <v>8940</v>
      </c>
      <c r="B8941" t="inlineStr">
        <is>
          <t>V̅MMMCMXL</t>
        </is>
      </c>
      <c r="C8941">
        <f>ROMAN(8940)</f>
        <v/>
      </c>
      <c r="D8941">
        <f>IF(B8941=C8941, "YES", "WRONG")</f>
        <v/>
      </c>
    </row>
    <row r="8942">
      <c r="A8942" t="n">
        <v>8941</v>
      </c>
      <c r="B8942" t="inlineStr">
        <is>
          <t>V̅MMMCMXLI</t>
        </is>
      </c>
      <c r="C8942">
        <f>ROMAN(8941)</f>
        <v/>
      </c>
      <c r="D8942">
        <f>IF(B8942=C8942, "YES", "WRONG")</f>
        <v/>
      </c>
    </row>
    <row r="8943">
      <c r="A8943" t="n">
        <v>8942</v>
      </c>
      <c r="B8943" t="inlineStr">
        <is>
          <t>V̅MMMCMXLII</t>
        </is>
      </c>
      <c r="C8943">
        <f>ROMAN(8942)</f>
        <v/>
      </c>
      <c r="D8943">
        <f>IF(B8943=C8943, "YES", "WRONG")</f>
        <v/>
      </c>
    </row>
    <row r="8944">
      <c r="A8944" t="n">
        <v>8943</v>
      </c>
      <c r="B8944" t="inlineStr">
        <is>
          <t>V̅MMMCMXLIII</t>
        </is>
      </c>
      <c r="C8944">
        <f>ROMAN(8943)</f>
        <v/>
      </c>
      <c r="D8944">
        <f>IF(B8944=C8944, "YES", "WRONG")</f>
        <v/>
      </c>
    </row>
    <row r="8945">
      <c r="A8945" t="n">
        <v>8944</v>
      </c>
      <c r="B8945" t="inlineStr">
        <is>
          <t>V̅MMMCMXLIV</t>
        </is>
      </c>
      <c r="C8945">
        <f>ROMAN(8944)</f>
        <v/>
      </c>
      <c r="D8945">
        <f>IF(B8945=C8945, "YES", "WRONG")</f>
        <v/>
      </c>
    </row>
    <row r="8946">
      <c r="A8946" t="n">
        <v>8945</v>
      </c>
      <c r="B8946" t="inlineStr">
        <is>
          <t>V̅MMMCMXLV</t>
        </is>
      </c>
      <c r="C8946">
        <f>ROMAN(8945)</f>
        <v/>
      </c>
      <c r="D8946">
        <f>IF(B8946=C8946, "YES", "WRONG")</f>
        <v/>
      </c>
    </row>
    <row r="8947">
      <c r="A8947" t="n">
        <v>8946</v>
      </c>
      <c r="B8947" t="inlineStr">
        <is>
          <t>V̅MMMCMXLVI</t>
        </is>
      </c>
      <c r="C8947">
        <f>ROMAN(8946)</f>
        <v/>
      </c>
      <c r="D8947">
        <f>IF(B8947=C8947, "YES", "WRONG")</f>
        <v/>
      </c>
    </row>
    <row r="8948">
      <c r="A8948" t="n">
        <v>8947</v>
      </c>
      <c r="B8948" t="inlineStr">
        <is>
          <t>V̅MMMCMXLVII</t>
        </is>
      </c>
      <c r="C8948">
        <f>ROMAN(8947)</f>
        <v/>
      </c>
      <c r="D8948">
        <f>IF(B8948=C8948, "YES", "WRONG")</f>
        <v/>
      </c>
    </row>
    <row r="8949">
      <c r="A8949" t="n">
        <v>8948</v>
      </c>
      <c r="B8949" t="inlineStr">
        <is>
          <t>V̅MMMCMXLVIII</t>
        </is>
      </c>
      <c r="C8949">
        <f>ROMAN(8948)</f>
        <v/>
      </c>
      <c r="D8949">
        <f>IF(B8949=C8949, "YES", "WRONG")</f>
        <v/>
      </c>
    </row>
    <row r="8950">
      <c r="A8950" t="n">
        <v>8949</v>
      </c>
      <c r="B8950" t="inlineStr">
        <is>
          <t>V̅MMMCMXLIX</t>
        </is>
      </c>
      <c r="C8950">
        <f>ROMAN(8949)</f>
        <v/>
      </c>
      <c r="D8950">
        <f>IF(B8950=C8950, "YES", "WRONG")</f>
        <v/>
      </c>
    </row>
    <row r="8951">
      <c r="A8951" t="n">
        <v>8950</v>
      </c>
      <c r="B8951" t="inlineStr">
        <is>
          <t>V̅MMMCML</t>
        </is>
      </c>
      <c r="C8951">
        <f>ROMAN(8950)</f>
        <v/>
      </c>
      <c r="D8951">
        <f>IF(B8951=C8951, "YES", "WRONG")</f>
        <v/>
      </c>
    </row>
    <row r="8952">
      <c r="A8952" t="n">
        <v>8951</v>
      </c>
      <c r="B8952" t="inlineStr">
        <is>
          <t>V̅MMMCMLI</t>
        </is>
      </c>
      <c r="C8952">
        <f>ROMAN(8951)</f>
        <v/>
      </c>
      <c r="D8952">
        <f>IF(B8952=C8952, "YES", "WRONG")</f>
        <v/>
      </c>
    </row>
    <row r="8953">
      <c r="A8953" t="n">
        <v>8952</v>
      </c>
      <c r="B8953" t="inlineStr">
        <is>
          <t>V̅MMMCMLII</t>
        </is>
      </c>
      <c r="C8953">
        <f>ROMAN(8952)</f>
        <v/>
      </c>
      <c r="D8953">
        <f>IF(B8953=C8953, "YES", "WRONG")</f>
        <v/>
      </c>
    </row>
    <row r="8954">
      <c r="A8954" t="n">
        <v>8953</v>
      </c>
      <c r="B8954" t="inlineStr">
        <is>
          <t>V̅MMMCMLIII</t>
        </is>
      </c>
      <c r="C8954">
        <f>ROMAN(8953)</f>
        <v/>
      </c>
      <c r="D8954">
        <f>IF(B8954=C8954, "YES", "WRONG")</f>
        <v/>
      </c>
    </row>
    <row r="8955">
      <c r="A8955" t="n">
        <v>8954</v>
      </c>
      <c r="B8955" t="inlineStr">
        <is>
          <t>V̅MMMCMLIV</t>
        </is>
      </c>
      <c r="C8955">
        <f>ROMAN(8954)</f>
        <v/>
      </c>
      <c r="D8955">
        <f>IF(B8955=C8955, "YES", "WRONG")</f>
        <v/>
      </c>
    </row>
    <row r="8956">
      <c r="A8956" t="n">
        <v>8955</v>
      </c>
      <c r="B8956" t="inlineStr">
        <is>
          <t>V̅MMMCMLV</t>
        </is>
      </c>
      <c r="C8956">
        <f>ROMAN(8955)</f>
        <v/>
      </c>
      <c r="D8956">
        <f>IF(B8956=C8956, "YES", "WRONG")</f>
        <v/>
      </c>
    </row>
    <row r="8957">
      <c r="A8957" t="n">
        <v>8956</v>
      </c>
      <c r="B8957" t="inlineStr">
        <is>
          <t>V̅MMMCMLVI</t>
        </is>
      </c>
      <c r="C8957">
        <f>ROMAN(8956)</f>
        <v/>
      </c>
      <c r="D8957">
        <f>IF(B8957=C8957, "YES", "WRONG")</f>
        <v/>
      </c>
    </row>
    <row r="8958">
      <c r="A8958" t="n">
        <v>8957</v>
      </c>
      <c r="B8958" t="inlineStr">
        <is>
          <t>V̅MMMCMLVII</t>
        </is>
      </c>
      <c r="C8958">
        <f>ROMAN(8957)</f>
        <v/>
      </c>
      <c r="D8958">
        <f>IF(B8958=C8958, "YES", "WRONG")</f>
        <v/>
      </c>
    </row>
    <row r="8959">
      <c r="A8959" t="n">
        <v>8958</v>
      </c>
      <c r="B8959" t="inlineStr">
        <is>
          <t>V̅MMMCMLVIII</t>
        </is>
      </c>
      <c r="C8959">
        <f>ROMAN(8958)</f>
        <v/>
      </c>
      <c r="D8959">
        <f>IF(B8959=C8959, "YES", "WRONG")</f>
        <v/>
      </c>
    </row>
    <row r="8960">
      <c r="A8960" t="n">
        <v>8959</v>
      </c>
      <c r="B8960" t="inlineStr">
        <is>
          <t>V̅MMMCMLIX</t>
        </is>
      </c>
      <c r="C8960">
        <f>ROMAN(8959)</f>
        <v/>
      </c>
      <c r="D8960">
        <f>IF(B8960=C8960, "YES", "WRONG")</f>
        <v/>
      </c>
    </row>
    <row r="8961">
      <c r="A8961" t="n">
        <v>8960</v>
      </c>
      <c r="B8961" t="inlineStr">
        <is>
          <t>V̅MMMCMLX</t>
        </is>
      </c>
      <c r="C8961">
        <f>ROMAN(8960)</f>
        <v/>
      </c>
      <c r="D8961">
        <f>IF(B8961=C8961, "YES", "WRONG")</f>
        <v/>
      </c>
    </row>
    <row r="8962">
      <c r="A8962" t="n">
        <v>8961</v>
      </c>
      <c r="B8962" t="inlineStr">
        <is>
          <t>V̅MMMCMLXI</t>
        </is>
      </c>
      <c r="C8962">
        <f>ROMAN(8961)</f>
        <v/>
      </c>
      <c r="D8962">
        <f>IF(B8962=C8962, "YES", "WRONG")</f>
        <v/>
      </c>
    </row>
    <row r="8963">
      <c r="A8963" t="n">
        <v>8962</v>
      </c>
      <c r="B8963" t="inlineStr">
        <is>
          <t>V̅MMMCMLXII</t>
        </is>
      </c>
      <c r="C8963">
        <f>ROMAN(8962)</f>
        <v/>
      </c>
      <c r="D8963">
        <f>IF(B8963=C8963, "YES", "WRONG")</f>
        <v/>
      </c>
    </row>
    <row r="8964">
      <c r="A8964" t="n">
        <v>8963</v>
      </c>
      <c r="B8964" t="inlineStr">
        <is>
          <t>V̅MMMCMLXIII</t>
        </is>
      </c>
      <c r="C8964">
        <f>ROMAN(8963)</f>
        <v/>
      </c>
      <c r="D8964">
        <f>IF(B8964=C8964, "YES", "WRONG")</f>
        <v/>
      </c>
    </row>
    <row r="8965">
      <c r="A8965" t="n">
        <v>8964</v>
      </c>
      <c r="B8965" t="inlineStr">
        <is>
          <t>V̅MMMCMLXIV</t>
        </is>
      </c>
      <c r="C8965">
        <f>ROMAN(8964)</f>
        <v/>
      </c>
      <c r="D8965">
        <f>IF(B8965=C8965, "YES", "WRONG")</f>
        <v/>
      </c>
    </row>
    <row r="8966">
      <c r="A8966" t="n">
        <v>8965</v>
      </c>
      <c r="B8966" t="inlineStr">
        <is>
          <t>V̅MMMCMLXV</t>
        </is>
      </c>
      <c r="C8966">
        <f>ROMAN(8965)</f>
        <v/>
      </c>
      <c r="D8966">
        <f>IF(B8966=C8966, "YES", "WRONG")</f>
        <v/>
      </c>
    </row>
    <row r="8967">
      <c r="A8967" t="n">
        <v>8966</v>
      </c>
      <c r="B8967" t="inlineStr">
        <is>
          <t>V̅MMMCMLXVI</t>
        </is>
      </c>
      <c r="C8967">
        <f>ROMAN(8966)</f>
        <v/>
      </c>
      <c r="D8967">
        <f>IF(B8967=C8967, "YES", "WRONG")</f>
        <v/>
      </c>
    </row>
    <row r="8968">
      <c r="A8968" t="n">
        <v>8967</v>
      </c>
      <c r="B8968" t="inlineStr">
        <is>
          <t>V̅MMMCMLXVII</t>
        </is>
      </c>
      <c r="C8968">
        <f>ROMAN(8967)</f>
        <v/>
      </c>
      <c r="D8968">
        <f>IF(B8968=C8968, "YES", "WRONG")</f>
        <v/>
      </c>
    </row>
    <row r="8969">
      <c r="A8969" t="n">
        <v>8968</v>
      </c>
      <c r="B8969" t="inlineStr">
        <is>
          <t>V̅MMMCMLXVIII</t>
        </is>
      </c>
      <c r="C8969">
        <f>ROMAN(8968)</f>
        <v/>
      </c>
      <c r="D8969">
        <f>IF(B8969=C8969, "YES", "WRONG")</f>
        <v/>
      </c>
    </row>
    <row r="8970">
      <c r="A8970" t="n">
        <v>8969</v>
      </c>
      <c r="B8970" t="inlineStr">
        <is>
          <t>V̅MMMCMLXIX</t>
        </is>
      </c>
      <c r="C8970">
        <f>ROMAN(8969)</f>
        <v/>
      </c>
      <c r="D8970">
        <f>IF(B8970=C8970, "YES", "WRONG")</f>
        <v/>
      </c>
    </row>
    <row r="8971">
      <c r="A8971" t="n">
        <v>8970</v>
      </c>
      <c r="B8971" t="inlineStr">
        <is>
          <t>V̅MMMCMLXX</t>
        </is>
      </c>
      <c r="C8971">
        <f>ROMAN(8970)</f>
        <v/>
      </c>
      <c r="D8971">
        <f>IF(B8971=C8971, "YES", "WRONG")</f>
        <v/>
      </c>
    </row>
    <row r="8972">
      <c r="A8972" t="n">
        <v>8971</v>
      </c>
      <c r="B8972" t="inlineStr">
        <is>
          <t>V̅MMMCMLXXI</t>
        </is>
      </c>
      <c r="C8972">
        <f>ROMAN(8971)</f>
        <v/>
      </c>
      <c r="D8972">
        <f>IF(B8972=C8972, "YES", "WRONG")</f>
        <v/>
      </c>
    </row>
    <row r="8973">
      <c r="A8973" t="n">
        <v>8972</v>
      </c>
      <c r="B8973" t="inlineStr">
        <is>
          <t>V̅MMMCMLXXII</t>
        </is>
      </c>
      <c r="C8973">
        <f>ROMAN(8972)</f>
        <v/>
      </c>
      <c r="D8973">
        <f>IF(B8973=C8973, "YES", "WRONG")</f>
        <v/>
      </c>
    </row>
    <row r="8974">
      <c r="A8974" t="n">
        <v>8973</v>
      </c>
      <c r="B8974" t="inlineStr">
        <is>
          <t>V̅MMMCMLXXIII</t>
        </is>
      </c>
      <c r="C8974">
        <f>ROMAN(8973)</f>
        <v/>
      </c>
      <c r="D8974">
        <f>IF(B8974=C8974, "YES", "WRONG")</f>
        <v/>
      </c>
    </row>
    <row r="8975">
      <c r="A8975" t="n">
        <v>8974</v>
      </c>
      <c r="B8975" t="inlineStr">
        <is>
          <t>V̅MMMCMLXXIV</t>
        </is>
      </c>
      <c r="C8975">
        <f>ROMAN(8974)</f>
        <v/>
      </c>
      <c r="D8975">
        <f>IF(B8975=C8975, "YES", "WRONG")</f>
        <v/>
      </c>
    </row>
    <row r="8976">
      <c r="A8976" t="n">
        <v>8975</v>
      </c>
      <c r="B8976" t="inlineStr">
        <is>
          <t>V̅MMMCMLXXV</t>
        </is>
      </c>
      <c r="C8976">
        <f>ROMAN(8975)</f>
        <v/>
      </c>
      <c r="D8976">
        <f>IF(B8976=C8976, "YES", "WRONG")</f>
        <v/>
      </c>
    </row>
    <row r="8977">
      <c r="A8977" t="n">
        <v>8976</v>
      </c>
      <c r="B8977" t="inlineStr">
        <is>
          <t>V̅MMMCMLXXVI</t>
        </is>
      </c>
      <c r="C8977">
        <f>ROMAN(8976)</f>
        <v/>
      </c>
      <c r="D8977">
        <f>IF(B8977=C8977, "YES", "WRONG")</f>
        <v/>
      </c>
    </row>
    <row r="8978">
      <c r="A8978" t="n">
        <v>8977</v>
      </c>
      <c r="B8978" t="inlineStr">
        <is>
          <t>V̅MMMCMLXXVII</t>
        </is>
      </c>
      <c r="C8978">
        <f>ROMAN(8977)</f>
        <v/>
      </c>
      <c r="D8978">
        <f>IF(B8978=C8978, "YES", "WRONG")</f>
        <v/>
      </c>
    </row>
    <row r="8979">
      <c r="A8979" t="n">
        <v>8978</v>
      </c>
      <c r="B8979" t="inlineStr">
        <is>
          <t>V̅MMMCMLXXVIII</t>
        </is>
      </c>
      <c r="C8979">
        <f>ROMAN(8978)</f>
        <v/>
      </c>
      <c r="D8979">
        <f>IF(B8979=C8979, "YES", "WRONG")</f>
        <v/>
      </c>
    </row>
    <row r="8980">
      <c r="A8980" t="n">
        <v>8979</v>
      </c>
      <c r="B8980" t="inlineStr">
        <is>
          <t>V̅MMMCMLXXIX</t>
        </is>
      </c>
      <c r="C8980">
        <f>ROMAN(8979)</f>
        <v/>
      </c>
      <c r="D8980">
        <f>IF(B8980=C8980, "YES", "WRONG")</f>
        <v/>
      </c>
    </row>
    <row r="8981">
      <c r="A8981" t="n">
        <v>8980</v>
      </c>
      <c r="B8981" t="inlineStr">
        <is>
          <t>V̅MMMCMLXXX</t>
        </is>
      </c>
      <c r="C8981">
        <f>ROMAN(8980)</f>
        <v/>
      </c>
      <c r="D8981">
        <f>IF(B8981=C8981, "YES", "WRONG")</f>
        <v/>
      </c>
    </row>
    <row r="8982">
      <c r="A8982" t="n">
        <v>8981</v>
      </c>
      <c r="B8982" t="inlineStr">
        <is>
          <t>V̅MMMCMLXXXI</t>
        </is>
      </c>
      <c r="C8982">
        <f>ROMAN(8981)</f>
        <v/>
      </c>
      <c r="D8982">
        <f>IF(B8982=C8982, "YES", "WRONG")</f>
        <v/>
      </c>
    </row>
    <row r="8983">
      <c r="A8983" t="n">
        <v>8982</v>
      </c>
      <c r="B8983" t="inlineStr">
        <is>
          <t>V̅MMMCMLXXXII</t>
        </is>
      </c>
      <c r="C8983">
        <f>ROMAN(8982)</f>
        <v/>
      </c>
      <c r="D8983">
        <f>IF(B8983=C8983, "YES", "WRONG")</f>
        <v/>
      </c>
    </row>
    <row r="8984">
      <c r="A8984" t="n">
        <v>8983</v>
      </c>
      <c r="B8984" t="inlineStr">
        <is>
          <t>V̅MMMCMLXXXIII</t>
        </is>
      </c>
      <c r="C8984">
        <f>ROMAN(8983)</f>
        <v/>
      </c>
      <c r="D8984">
        <f>IF(B8984=C8984, "YES", "WRONG")</f>
        <v/>
      </c>
    </row>
    <row r="8985">
      <c r="A8985" t="n">
        <v>8984</v>
      </c>
      <c r="B8985" t="inlineStr">
        <is>
          <t>V̅MMMCMLXXXIV</t>
        </is>
      </c>
      <c r="C8985">
        <f>ROMAN(8984)</f>
        <v/>
      </c>
      <c r="D8985">
        <f>IF(B8985=C8985, "YES", "WRONG")</f>
        <v/>
      </c>
    </row>
    <row r="8986">
      <c r="A8986" t="n">
        <v>8985</v>
      </c>
      <c r="B8986" t="inlineStr">
        <is>
          <t>V̅MMMCMLXXXV</t>
        </is>
      </c>
      <c r="C8986">
        <f>ROMAN(8985)</f>
        <v/>
      </c>
      <c r="D8986">
        <f>IF(B8986=C8986, "YES", "WRONG")</f>
        <v/>
      </c>
    </row>
    <row r="8987">
      <c r="A8987" t="n">
        <v>8986</v>
      </c>
      <c r="B8987" t="inlineStr">
        <is>
          <t>V̅MMMCMLXXXVI</t>
        </is>
      </c>
      <c r="C8987">
        <f>ROMAN(8986)</f>
        <v/>
      </c>
      <c r="D8987">
        <f>IF(B8987=C8987, "YES", "WRONG")</f>
        <v/>
      </c>
    </row>
    <row r="8988">
      <c r="A8988" t="n">
        <v>8987</v>
      </c>
      <c r="B8988" t="inlineStr">
        <is>
          <t>V̅MMMCMLXXXVII</t>
        </is>
      </c>
      <c r="C8988">
        <f>ROMAN(8987)</f>
        <v/>
      </c>
      <c r="D8988">
        <f>IF(B8988=C8988, "YES", "WRONG")</f>
        <v/>
      </c>
    </row>
    <row r="8989">
      <c r="A8989" t="n">
        <v>8988</v>
      </c>
      <c r="B8989" t="inlineStr">
        <is>
          <t>V̅MMMCMLXXXVIII</t>
        </is>
      </c>
      <c r="C8989">
        <f>ROMAN(8988)</f>
        <v/>
      </c>
      <c r="D8989">
        <f>IF(B8989=C8989, "YES", "WRONG")</f>
        <v/>
      </c>
    </row>
    <row r="8990">
      <c r="A8990" t="n">
        <v>8989</v>
      </c>
      <c r="B8990" t="inlineStr">
        <is>
          <t>V̅MMMCMLXXXIX</t>
        </is>
      </c>
      <c r="C8990">
        <f>ROMAN(8989)</f>
        <v/>
      </c>
      <c r="D8990">
        <f>IF(B8990=C8990, "YES", "WRONG")</f>
        <v/>
      </c>
    </row>
    <row r="8991">
      <c r="A8991" t="n">
        <v>8990</v>
      </c>
      <c r="B8991" t="inlineStr">
        <is>
          <t>V̅MMMCMXC</t>
        </is>
      </c>
      <c r="C8991">
        <f>ROMAN(8990)</f>
        <v/>
      </c>
      <c r="D8991">
        <f>IF(B8991=C8991, "YES", "WRONG")</f>
        <v/>
      </c>
    </row>
    <row r="8992">
      <c r="A8992" t="n">
        <v>8991</v>
      </c>
      <c r="B8992" t="inlineStr">
        <is>
          <t>V̅MMMCMXCI</t>
        </is>
      </c>
      <c r="C8992">
        <f>ROMAN(8991)</f>
        <v/>
      </c>
      <c r="D8992">
        <f>IF(B8992=C8992, "YES", "WRONG")</f>
        <v/>
      </c>
    </row>
    <row r="8993">
      <c r="A8993" t="n">
        <v>8992</v>
      </c>
      <c r="B8993" t="inlineStr">
        <is>
          <t>V̅MMMCMXCII</t>
        </is>
      </c>
      <c r="C8993">
        <f>ROMAN(8992)</f>
        <v/>
      </c>
      <c r="D8993">
        <f>IF(B8993=C8993, "YES", "WRONG")</f>
        <v/>
      </c>
    </row>
    <row r="8994">
      <c r="A8994" t="n">
        <v>8993</v>
      </c>
      <c r="B8994" t="inlineStr">
        <is>
          <t>V̅MMMCMXCIII</t>
        </is>
      </c>
      <c r="C8994">
        <f>ROMAN(8993)</f>
        <v/>
      </c>
      <c r="D8994">
        <f>IF(B8994=C8994, "YES", "WRONG")</f>
        <v/>
      </c>
    </row>
    <row r="8995">
      <c r="A8995" t="n">
        <v>8994</v>
      </c>
      <c r="B8995" t="inlineStr">
        <is>
          <t>V̅MMMCMXCIV</t>
        </is>
      </c>
      <c r="C8995">
        <f>ROMAN(8994)</f>
        <v/>
      </c>
      <c r="D8995">
        <f>IF(B8995=C8995, "YES", "WRONG")</f>
        <v/>
      </c>
    </row>
    <row r="8996">
      <c r="A8996" t="n">
        <v>8995</v>
      </c>
      <c r="B8996" t="inlineStr">
        <is>
          <t>V̅MMMCMXCV</t>
        </is>
      </c>
      <c r="C8996">
        <f>ROMAN(8995)</f>
        <v/>
      </c>
      <c r="D8996">
        <f>IF(B8996=C8996, "YES", "WRONG")</f>
        <v/>
      </c>
    </row>
    <row r="8997">
      <c r="A8997" t="n">
        <v>8996</v>
      </c>
      <c r="B8997" t="inlineStr">
        <is>
          <t>V̅MMMCMXCVI</t>
        </is>
      </c>
      <c r="C8997">
        <f>ROMAN(8996)</f>
        <v/>
      </c>
      <c r="D8997">
        <f>IF(B8997=C8997, "YES", "WRONG")</f>
        <v/>
      </c>
    </row>
    <row r="8998">
      <c r="A8998" t="n">
        <v>8997</v>
      </c>
      <c r="B8998" t="inlineStr">
        <is>
          <t>V̅MMMCMXCVII</t>
        </is>
      </c>
      <c r="C8998">
        <f>ROMAN(8997)</f>
        <v/>
      </c>
      <c r="D8998">
        <f>IF(B8998=C8998, "YES", "WRONG")</f>
        <v/>
      </c>
    </row>
    <row r="8999">
      <c r="A8999" t="n">
        <v>8998</v>
      </c>
      <c r="B8999" t="inlineStr">
        <is>
          <t>V̅MMMCMXCVIII</t>
        </is>
      </c>
      <c r="C8999">
        <f>ROMAN(8998)</f>
        <v/>
      </c>
      <c r="D8999">
        <f>IF(B8999=C8999, "YES", "WRONG")</f>
        <v/>
      </c>
    </row>
    <row r="9000">
      <c r="A9000" t="n">
        <v>8999</v>
      </c>
      <c r="B9000" t="inlineStr">
        <is>
          <t>V̅MMMCMXCIX</t>
        </is>
      </c>
      <c r="C9000">
        <f>ROMAN(8999)</f>
        <v/>
      </c>
      <c r="D9000">
        <f>IF(B9000=C9000, "YES", "WRONG")</f>
        <v/>
      </c>
    </row>
    <row r="9001">
      <c r="A9001" t="n">
        <v>9000</v>
      </c>
      <c r="B9001" t="inlineStr">
        <is>
          <t>Mx̄</t>
        </is>
      </c>
      <c r="C9001">
        <f>ROMAN(9000)</f>
        <v/>
      </c>
      <c r="D9001">
        <f>IF(B9001=C9001, "YES", "WRONG")</f>
        <v/>
      </c>
    </row>
    <row r="9002">
      <c r="A9002" t="n">
        <v>9001</v>
      </c>
      <c r="B9002" t="inlineStr">
        <is>
          <t>Mx̄I</t>
        </is>
      </c>
      <c r="C9002">
        <f>ROMAN(9001)</f>
        <v/>
      </c>
      <c r="D9002">
        <f>IF(B9002=C9002, "YES", "WRONG")</f>
        <v/>
      </c>
    </row>
    <row r="9003">
      <c r="A9003" t="n">
        <v>9002</v>
      </c>
      <c r="B9003" t="inlineStr">
        <is>
          <t>Mx̄II</t>
        </is>
      </c>
      <c r="C9003">
        <f>ROMAN(9002)</f>
        <v/>
      </c>
      <c r="D9003">
        <f>IF(B9003=C9003, "YES", "WRONG")</f>
        <v/>
      </c>
    </row>
    <row r="9004">
      <c r="A9004" t="n">
        <v>9003</v>
      </c>
      <c r="B9004" t="inlineStr">
        <is>
          <t>Mx̄III</t>
        </is>
      </c>
      <c r="C9004">
        <f>ROMAN(9003)</f>
        <v/>
      </c>
      <c r="D9004">
        <f>IF(B9004=C9004, "YES", "WRONG")</f>
        <v/>
      </c>
    </row>
    <row r="9005">
      <c r="A9005" t="n">
        <v>9004</v>
      </c>
      <c r="B9005" t="inlineStr">
        <is>
          <t>Mx̄IV</t>
        </is>
      </c>
      <c r="C9005">
        <f>ROMAN(9004)</f>
        <v/>
      </c>
      <c r="D9005">
        <f>IF(B9005=C9005, "YES", "WRONG")</f>
        <v/>
      </c>
    </row>
    <row r="9006">
      <c r="A9006" t="n">
        <v>9005</v>
      </c>
      <c r="B9006" t="inlineStr">
        <is>
          <t>Mx̄V</t>
        </is>
      </c>
      <c r="C9006">
        <f>ROMAN(9005)</f>
        <v/>
      </c>
      <c r="D9006">
        <f>IF(B9006=C9006, "YES", "WRONG")</f>
        <v/>
      </c>
    </row>
    <row r="9007">
      <c r="A9007" t="n">
        <v>9006</v>
      </c>
      <c r="B9007" t="inlineStr">
        <is>
          <t>Mx̄VI</t>
        </is>
      </c>
      <c r="C9007">
        <f>ROMAN(9006)</f>
        <v/>
      </c>
      <c r="D9007">
        <f>IF(B9007=C9007, "YES", "WRONG")</f>
        <v/>
      </c>
    </row>
    <row r="9008">
      <c r="A9008" t="n">
        <v>9007</v>
      </c>
      <c r="B9008" t="inlineStr">
        <is>
          <t>Mx̄VII</t>
        </is>
      </c>
      <c r="C9008">
        <f>ROMAN(9007)</f>
        <v/>
      </c>
      <c r="D9008">
        <f>IF(B9008=C9008, "YES", "WRONG")</f>
        <v/>
      </c>
    </row>
    <row r="9009">
      <c r="A9009" t="n">
        <v>9008</v>
      </c>
      <c r="B9009" t="inlineStr">
        <is>
          <t>Mx̄VIII</t>
        </is>
      </c>
      <c r="C9009">
        <f>ROMAN(9008)</f>
        <v/>
      </c>
      <c r="D9009">
        <f>IF(B9009=C9009, "YES", "WRONG")</f>
        <v/>
      </c>
    </row>
    <row r="9010">
      <c r="A9010" t="n">
        <v>9009</v>
      </c>
      <c r="B9010" t="inlineStr">
        <is>
          <t>Mx̄IX</t>
        </is>
      </c>
      <c r="C9010">
        <f>ROMAN(9009)</f>
        <v/>
      </c>
      <c r="D9010">
        <f>IF(B9010=C9010, "YES", "WRONG")</f>
        <v/>
      </c>
    </row>
    <row r="9011">
      <c r="A9011" t="n">
        <v>9010</v>
      </c>
      <c r="B9011" t="inlineStr">
        <is>
          <t>Mx̄X</t>
        </is>
      </c>
      <c r="C9011">
        <f>ROMAN(9010)</f>
        <v/>
      </c>
      <c r="D9011">
        <f>IF(B9011=C9011, "YES", "WRONG")</f>
        <v/>
      </c>
    </row>
    <row r="9012">
      <c r="A9012" t="n">
        <v>9011</v>
      </c>
      <c r="B9012" t="inlineStr">
        <is>
          <t>Mx̄XI</t>
        </is>
      </c>
      <c r="C9012">
        <f>ROMAN(9011)</f>
        <v/>
      </c>
      <c r="D9012">
        <f>IF(B9012=C9012, "YES", "WRONG")</f>
        <v/>
      </c>
    </row>
    <row r="9013">
      <c r="A9013" t="n">
        <v>9012</v>
      </c>
      <c r="B9013" t="inlineStr">
        <is>
          <t>Mx̄XII</t>
        </is>
      </c>
      <c r="C9013">
        <f>ROMAN(9012)</f>
        <v/>
      </c>
      <c r="D9013">
        <f>IF(B9013=C9013, "YES", "WRONG")</f>
        <v/>
      </c>
    </row>
    <row r="9014">
      <c r="A9014" t="n">
        <v>9013</v>
      </c>
      <c r="B9014" t="inlineStr">
        <is>
          <t>Mx̄XIII</t>
        </is>
      </c>
      <c r="C9014">
        <f>ROMAN(9013)</f>
        <v/>
      </c>
      <c r="D9014">
        <f>IF(B9014=C9014, "YES", "WRONG")</f>
        <v/>
      </c>
    </row>
    <row r="9015">
      <c r="A9015" t="n">
        <v>9014</v>
      </c>
      <c r="B9015" t="inlineStr">
        <is>
          <t>Mx̄XIV</t>
        </is>
      </c>
      <c r="C9015">
        <f>ROMAN(9014)</f>
        <v/>
      </c>
      <c r="D9015">
        <f>IF(B9015=C9015, "YES", "WRONG")</f>
        <v/>
      </c>
    </row>
    <row r="9016">
      <c r="A9016" t="n">
        <v>9015</v>
      </c>
      <c r="B9016" t="inlineStr">
        <is>
          <t>Mx̄XV</t>
        </is>
      </c>
      <c r="C9016">
        <f>ROMAN(9015)</f>
        <v/>
      </c>
      <c r="D9016">
        <f>IF(B9016=C9016, "YES", "WRONG")</f>
        <v/>
      </c>
    </row>
    <row r="9017">
      <c r="A9017" t="n">
        <v>9016</v>
      </c>
      <c r="B9017" t="inlineStr">
        <is>
          <t>Mx̄XVI</t>
        </is>
      </c>
      <c r="C9017">
        <f>ROMAN(9016)</f>
        <v/>
      </c>
      <c r="D9017">
        <f>IF(B9017=C9017, "YES", "WRONG")</f>
        <v/>
      </c>
    </row>
    <row r="9018">
      <c r="A9018" t="n">
        <v>9017</v>
      </c>
      <c r="B9018" t="inlineStr">
        <is>
          <t>Mx̄XVII</t>
        </is>
      </c>
      <c r="C9018">
        <f>ROMAN(9017)</f>
        <v/>
      </c>
      <c r="D9018">
        <f>IF(B9018=C9018, "YES", "WRONG")</f>
        <v/>
      </c>
    </row>
    <row r="9019">
      <c r="A9019" t="n">
        <v>9018</v>
      </c>
      <c r="B9019" t="inlineStr">
        <is>
          <t>Mx̄XVIII</t>
        </is>
      </c>
      <c r="C9019">
        <f>ROMAN(9018)</f>
        <v/>
      </c>
      <c r="D9019">
        <f>IF(B9019=C9019, "YES", "WRONG")</f>
        <v/>
      </c>
    </row>
    <row r="9020">
      <c r="A9020" t="n">
        <v>9019</v>
      </c>
      <c r="B9020" t="inlineStr">
        <is>
          <t>Mx̄XIX</t>
        </is>
      </c>
      <c r="C9020">
        <f>ROMAN(9019)</f>
        <v/>
      </c>
      <c r="D9020">
        <f>IF(B9020=C9020, "YES", "WRONG")</f>
        <v/>
      </c>
    </row>
    <row r="9021">
      <c r="A9021" t="n">
        <v>9020</v>
      </c>
      <c r="B9021" t="inlineStr">
        <is>
          <t>Mx̄XX</t>
        </is>
      </c>
      <c r="C9021">
        <f>ROMAN(9020)</f>
        <v/>
      </c>
      <c r="D9021">
        <f>IF(B9021=C9021, "YES", "WRONG")</f>
        <v/>
      </c>
    </row>
    <row r="9022">
      <c r="A9022" t="n">
        <v>9021</v>
      </c>
      <c r="B9022" t="inlineStr">
        <is>
          <t>Mx̄XXI</t>
        </is>
      </c>
      <c r="C9022">
        <f>ROMAN(9021)</f>
        <v/>
      </c>
      <c r="D9022">
        <f>IF(B9022=C9022, "YES", "WRONG")</f>
        <v/>
      </c>
    </row>
    <row r="9023">
      <c r="A9023" t="n">
        <v>9022</v>
      </c>
      <c r="B9023" t="inlineStr">
        <is>
          <t>Mx̄XXII</t>
        </is>
      </c>
      <c r="C9023">
        <f>ROMAN(9022)</f>
        <v/>
      </c>
      <c r="D9023">
        <f>IF(B9023=C9023, "YES", "WRONG")</f>
        <v/>
      </c>
    </row>
    <row r="9024">
      <c r="A9024" t="n">
        <v>9023</v>
      </c>
      <c r="B9024" t="inlineStr">
        <is>
          <t>Mx̄XXIII</t>
        </is>
      </c>
      <c r="C9024">
        <f>ROMAN(9023)</f>
        <v/>
      </c>
      <c r="D9024">
        <f>IF(B9024=C9024, "YES", "WRONG")</f>
        <v/>
      </c>
    </row>
    <row r="9025">
      <c r="A9025" t="n">
        <v>9024</v>
      </c>
      <c r="B9025" t="inlineStr">
        <is>
          <t>Mx̄XXIV</t>
        </is>
      </c>
      <c r="C9025">
        <f>ROMAN(9024)</f>
        <v/>
      </c>
      <c r="D9025">
        <f>IF(B9025=C9025, "YES", "WRONG")</f>
        <v/>
      </c>
    </row>
    <row r="9026">
      <c r="A9026" t="n">
        <v>9025</v>
      </c>
      <c r="B9026" t="inlineStr">
        <is>
          <t>Mx̄XXV</t>
        </is>
      </c>
      <c r="C9026">
        <f>ROMAN(9025)</f>
        <v/>
      </c>
      <c r="D9026">
        <f>IF(B9026=C9026, "YES", "WRONG")</f>
        <v/>
      </c>
    </row>
    <row r="9027">
      <c r="A9027" t="n">
        <v>9026</v>
      </c>
      <c r="B9027" t="inlineStr">
        <is>
          <t>Mx̄XXVI</t>
        </is>
      </c>
      <c r="C9027">
        <f>ROMAN(9026)</f>
        <v/>
      </c>
      <c r="D9027">
        <f>IF(B9027=C9027, "YES", "WRONG")</f>
        <v/>
      </c>
    </row>
    <row r="9028">
      <c r="A9028" t="n">
        <v>9027</v>
      </c>
      <c r="B9028" t="inlineStr">
        <is>
          <t>Mx̄XXVII</t>
        </is>
      </c>
      <c r="C9028">
        <f>ROMAN(9027)</f>
        <v/>
      </c>
      <c r="D9028">
        <f>IF(B9028=C9028, "YES", "WRONG")</f>
        <v/>
      </c>
    </row>
    <row r="9029">
      <c r="A9029" t="n">
        <v>9028</v>
      </c>
      <c r="B9029" t="inlineStr">
        <is>
          <t>Mx̄XXVIII</t>
        </is>
      </c>
      <c r="C9029">
        <f>ROMAN(9028)</f>
        <v/>
      </c>
      <c r="D9029">
        <f>IF(B9029=C9029, "YES", "WRONG")</f>
        <v/>
      </c>
    </row>
    <row r="9030">
      <c r="A9030" t="n">
        <v>9029</v>
      </c>
      <c r="B9030" t="inlineStr">
        <is>
          <t>Mx̄XXIX</t>
        </is>
      </c>
      <c r="C9030">
        <f>ROMAN(9029)</f>
        <v/>
      </c>
      <c r="D9030">
        <f>IF(B9030=C9030, "YES", "WRONG")</f>
        <v/>
      </c>
    </row>
    <row r="9031">
      <c r="A9031" t="n">
        <v>9030</v>
      </c>
      <c r="B9031" t="inlineStr">
        <is>
          <t>Mx̄XXX</t>
        </is>
      </c>
      <c r="C9031">
        <f>ROMAN(9030)</f>
        <v/>
      </c>
      <c r="D9031">
        <f>IF(B9031=C9031, "YES", "WRONG")</f>
        <v/>
      </c>
    </row>
    <row r="9032">
      <c r="A9032" t="n">
        <v>9031</v>
      </c>
      <c r="B9032" t="inlineStr">
        <is>
          <t>Mx̄XXXI</t>
        </is>
      </c>
      <c r="C9032">
        <f>ROMAN(9031)</f>
        <v/>
      </c>
      <c r="D9032">
        <f>IF(B9032=C9032, "YES", "WRONG")</f>
        <v/>
      </c>
    </row>
    <row r="9033">
      <c r="A9033" t="n">
        <v>9032</v>
      </c>
      <c r="B9033" t="inlineStr">
        <is>
          <t>Mx̄XXXII</t>
        </is>
      </c>
      <c r="C9033">
        <f>ROMAN(9032)</f>
        <v/>
      </c>
      <c r="D9033">
        <f>IF(B9033=C9033, "YES", "WRONG")</f>
        <v/>
      </c>
    </row>
    <row r="9034">
      <c r="A9034" t="n">
        <v>9033</v>
      </c>
      <c r="B9034" t="inlineStr">
        <is>
          <t>Mx̄XXXIII</t>
        </is>
      </c>
      <c r="C9034">
        <f>ROMAN(9033)</f>
        <v/>
      </c>
      <c r="D9034">
        <f>IF(B9034=C9034, "YES", "WRONG")</f>
        <v/>
      </c>
    </row>
    <row r="9035">
      <c r="A9035" t="n">
        <v>9034</v>
      </c>
      <c r="B9035" t="inlineStr">
        <is>
          <t>Mx̄XXXIV</t>
        </is>
      </c>
      <c r="C9035">
        <f>ROMAN(9034)</f>
        <v/>
      </c>
      <c r="D9035">
        <f>IF(B9035=C9035, "YES", "WRONG")</f>
        <v/>
      </c>
    </row>
    <row r="9036">
      <c r="A9036" t="n">
        <v>9035</v>
      </c>
      <c r="B9036" t="inlineStr">
        <is>
          <t>Mx̄XXXV</t>
        </is>
      </c>
      <c r="C9036">
        <f>ROMAN(9035)</f>
        <v/>
      </c>
      <c r="D9036">
        <f>IF(B9036=C9036, "YES", "WRONG")</f>
        <v/>
      </c>
    </row>
    <row r="9037">
      <c r="A9037" t="n">
        <v>9036</v>
      </c>
      <c r="B9037" t="inlineStr">
        <is>
          <t>Mx̄XXXVI</t>
        </is>
      </c>
      <c r="C9037">
        <f>ROMAN(9036)</f>
        <v/>
      </c>
      <c r="D9037">
        <f>IF(B9037=C9037, "YES", "WRONG")</f>
        <v/>
      </c>
    </row>
    <row r="9038">
      <c r="A9038" t="n">
        <v>9037</v>
      </c>
      <c r="B9038" t="inlineStr">
        <is>
          <t>Mx̄XXXVII</t>
        </is>
      </c>
      <c r="C9038">
        <f>ROMAN(9037)</f>
        <v/>
      </c>
      <c r="D9038">
        <f>IF(B9038=C9038, "YES", "WRONG")</f>
        <v/>
      </c>
    </row>
    <row r="9039">
      <c r="A9039" t="n">
        <v>9038</v>
      </c>
      <c r="B9039" t="inlineStr">
        <is>
          <t>Mx̄XXXVIII</t>
        </is>
      </c>
      <c r="C9039">
        <f>ROMAN(9038)</f>
        <v/>
      </c>
      <c r="D9039">
        <f>IF(B9039=C9039, "YES", "WRONG")</f>
        <v/>
      </c>
    </row>
    <row r="9040">
      <c r="A9040" t="n">
        <v>9039</v>
      </c>
      <c r="B9040" t="inlineStr">
        <is>
          <t>Mx̄XXXIX</t>
        </is>
      </c>
      <c r="C9040">
        <f>ROMAN(9039)</f>
        <v/>
      </c>
      <c r="D9040">
        <f>IF(B9040=C9040, "YES", "WRONG")</f>
        <v/>
      </c>
    </row>
    <row r="9041">
      <c r="A9041" t="n">
        <v>9040</v>
      </c>
      <c r="B9041" t="inlineStr">
        <is>
          <t>Mx̄XL</t>
        </is>
      </c>
      <c r="C9041">
        <f>ROMAN(9040)</f>
        <v/>
      </c>
      <c r="D9041">
        <f>IF(B9041=C9041, "YES", "WRONG")</f>
        <v/>
      </c>
    </row>
    <row r="9042">
      <c r="A9042" t="n">
        <v>9041</v>
      </c>
      <c r="B9042" t="inlineStr">
        <is>
          <t>Mx̄XLI</t>
        </is>
      </c>
      <c r="C9042">
        <f>ROMAN(9041)</f>
        <v/>
      </c>
      <c r="D9042">
        <f>IF(B9042=C9042, "YES", "WRONG")</f>
        <v/>
      </c>
    </row>
    <row r="9043">
      <c r="A9043" t="n">
        <v>9042</v>
      </c>
      <c r="B9043" t="inlineStr">
        <is>
          <t>Mx̄XLII</t>
        </is>
      </c>
      <c r="C9043">
        <f>ROMAN(9042)</f>
        <v/>
      </c>
      <c r="D9043">
        <f>IF(B9043=C9043, "YES", "WRONG")</f>
        <v/>
      </c>
    </row>
    <row r="9044">
      <c r="A9044" t="n">
        <v>9043</v>
      </c>
      <c r="B9044" t="inlineStr">
        <is>
          <t>Mx̄XLIII</t>
        </is>
      </c>
      <c r="C9044">
        <f>ROMAN(9043)</f>
        <v/>
      </c>
      <c r="D9044">
        <f>IF(B9044=C9044, "YES", "WRONG")</f>
        <v/>
      </c>
    </row>
    <row r="9045">
      <c r="A9045" t="n">
        <v>9044</v>
      </c>
      <c r="B9045" t="inlineStr">
        <is>
          <t>Mx̄XLIV</t>
        </is>
      </c>
      <c r="C9045">
        <f>ROMAN(9044)</f>
        <v/>
      </c>
      <c r="D9045">
        <f>IF(B9045=C9045, "YES", "WRONG")</f>
        <v/>
      </c>
    </row>
    <row r="9046">
      <c r="A9046" t="n">
        <v>9045</v>
      </c>
      <c r="B9046" t="inlineStr">
        <is>
          <t>Mx̄XLV</t>
        </is>
      </c>
      <c r="C9046">
        <f>ROMAN(9045)</f>
        <v/>
      </c>
      <c r="D9046">
        <f>IF(B9046=C9046, "YES", "WRONG")</f>
        <v/>
      </c>
    </row>
    <row r="9047">
      <c r="A9047" t="n">
        <v>9046</v>
      </c>
      <c r="B9047" t="inlineStr">
        <is>
          <t>Mx̄XLVI</t>
        </is>
      </c>
      <c r="C9047">
        <f>ROMAN(9046)</f>
        <v/>
      </c>
      <c r="D9047">
        <f>IF(B9047=C9047, "YES", "WRONG")</f>
        <v/>
      </c>
    </row>
    <row r="9048">
      <c r="A9048" t="n">
        <v>9047</v>
      </c>
      <c r="B9048" t="inlineStr">
        <is>
          <t>Mx̄XLVII</t>
        </is>
      </c>
      <c r="C9048">
        <f>ROMAN(9047)</f>
        <v/>
      </c>
      <c r="D9048">
        <f>IF(B9048=C9048, "YES", "WRONG")</f>
        <v/>
      </c>
    </row>
    <row r="9049">
      <c r="A9049" t="n">
        <v>9048</v>
      </c>
      <c r="B9049" t="inlineStr">
        <is>
          <t>Mx̄XLVIII</t>
        </is>
      </c>
      <c r="C9049">
        <f>ROMAN(9048)</f>
        <v/>
      </c>
      <c r="D9049">
        <f>IF(B9049=C9049, "YES", "WRONG")</f>
        <v/>
      </c>
    </row>
    <row r="9050">
      <c r="A9050" t="n">
        <v>9049</v>
      </c>
      <c r="B9050" t="inlineStr">
        <is>
          <t>Mx̄XLIX</t>
        </is>
      </c>
      <c r="C9050">
        <f>ROMAN(9049)</f>
        <v/>
      </c>
      <c r="D9050">
        <f>IF(B9050=C9050, "YES", "WRONG")</f>
        <v/>
      </c>
    </row>
    <row r="9051">
      <c r="A9051" t="n">
        <v>9050</v>
      </c>
      <c r="B9051" t="inlineStr">
        <is>
          <t>Mx̄L</t>
        </is>
      </c>
      <c r="C9051">
        <f>ROMAN(9050)</f>
        <v/>
      </c>
      <c r="D9051">
        <f>IF(B9051=C9051, "YES", "WRONG")</f>
        <v/>
      </c>
    </row>
    <row r="9052">
      <c r="A9052" t="n">
        <v>9051</v>
      </c>
      <c r="B9052" t="inlineStr">
        <is>
          <t>Mx̄LI</t>
        </is>
      </c>
      <c r="C9052">
        <f>ROMAN(9051)</f>
        <v/>
      </c>
      <c r="D9052">
        <f>IF(B9052=C9052, "YES", "WRONG")</f>
        <v/>
      </c>
    </row>
    <row r="9053">
      <c r="A9053" t="n">
        <v>9052</v>
      </c>
      <c r="B9053" t="inlineStr">
        <is>
          <t>Mx̄LII</t>
        </is>
      </c>
      <c r="C9053">
        <f>ROMAN(9052)</f>
        <v/>
      </c>
      <c r="D9053">
        <f>IF(B9053=C9053, "YES", "WRONG")</f>
        <v/>
      </c>
    </row>
    <row r="9054">
      <c r="A9054" t="n">
        <v>9053</v>
      </c>
      <c r="B9054" t="inlineStr">
        <is>
          <t>Mx̄LIII</t>
        </is>
      </c>
      <c r="C9054">
        <f>ROMAN(9053)</f>
        <v/>
      </c>
      <c r="D9054">
        <f>IF(B9054=C9054, "YES", "WRONG")</f>
        <v/>
      </c>
    </row>
    <row r="9055">
      <c r="A9055" t="n">
        <v>9054</v>
      </c>
      <c r="B9055" t="inlineStr">
        <is>
          <t>Mx̄LIV</t>
        </is>
      </c>
      <c r="C9055">
        <f>ROMAN(9054)</f>
        <v/>
      </c>
      <c r="D9055">
        <f>IF(B9055=C9055, "YES", "WRONG")</f>
        <v/>
      </c>
    </row>
    <row r="9056">
      <c r="A9056" t="n">
        <v>9055</v>
      </c>
      <c r="B9056" t="inlineStr">
        <is>
          <t>Mx̄LV</t>
        </is>
      </c>
      <c r="C9056">
        <f>ROMAN(9055)</f>
        <v/>
      </c>
      <c r="D9056">
        <f>IF(B9056=C9056, "YES", "WRONG")</f>
        <v/>
      </c>
    </row>
    <row r="9057">
      <c r="A9057" t="n">
        <v>9056</v>
      </c>
      <c r="B9057" t="inlineStr">
        <is>
          <t>Mx̄LVI</t>
        </is>
      </c>
      <c r="C9057">
        <f>ROMAN(9056)</f>
        <v/>
      </c>
      <c r="D9057">
        <f>IF(B9057=C9057, "YES", "WRONG")</f>
        <v/>
      </c>
    </row>
    <row r="9058">
      <c r="A9058" t="n">
        <v>9057</v>
      </c>
      <c r="B9058" t="inlineStr">
        <is>
          <t>Mx̄LVII</t>
        </is>
      </c>
      <c r="C9058">
        <f>ROMAN(9057)</f>
        <v/>
      </c>
      <c r="D9058">
        <f>IF(B9058=C9058, "YES", "WRONG")</f>
        <v/>
      </c>
    </row>
    <row r="9059">
      <c r="A9059" t="n">
        <v>9058</v>
      </c>
      <c r="B9059" t="inlineStr">
        <is>
          <t>Mx̄LVIII</t>
        </is>
      </c>
      <c r="C9059">
        <f>ROMAN(9058)</f>
        <v/>
      </c>
      <c r="D9059">
        <f>IF(B9059=C9059, "YES", "WRONG")</f>
        <v/>
      </c>
    </row>
    <row r="9060">
      <c r="A9060" t="n">
        <v>9059</v>
      </c>
      <c r="B9060" t="inlineStr">
        <is>
          <t>Mx̄LIX</t>
        </is>
      </c>
      <c r="C9060">
        <f>ROMAN(9059)</f>
        <v/>
      </c>
      <c r="D9060">
        <f>IF(B9060=C9060, "YES", "WRONG")</f>
        <v/>
      </c>
    </row>
    <row r="9061">
      <c r="A9061" t="n">
        <v>9060</v>
      </c>
      <c r="B9061" t="inlineStr">
        <is>
          <t>Mx̄LX</t>
        </is>
      </c>
      <c r="C9061">
        <f>ROMAN(9060)</f>
        <v/>
      </c>
      <c r="D9061">
        <f>IF(B9061=C9061, "YES", "WRONG")</f>
        <v/>
      </c>
    </row>
    <row r="9062">
      <c r="A9062" t="n">
        <v>9061</v>
      </c>
      <c r="B9062" t="inlineStr">
        <is>
          <t>Mx̄LXI</t>
        </is>
      </c>
      <c r="C9062">
        <f>ROMAN(9061)</f>
        <v/>
      </c>
      <c r="D9062">
        <f>IF(B9062=C9062, "YES", "WRONG")</f>
        <v/>
      </c>
    </row>
    <row r="9063">
      <c r="A9063" t="n">
        <v>9062</v>
      </c>
      <c r="B9063" t="inlineStr">
        <is>
          <t>Mx̄LXII</t>
        </is>
      </c>
      <c r="C9063">
        <f>ROMAN(9062)</f>
        <v/>
      </c>
      <c r="D9063">
        <f>IF(B9063=C9063, "YES", "WRONG")</f>
        <v/>
      </c>
    </row>
    <row r="9064">
      <c r="A9064" t="n">
        <v>9063</v>
      </c>
      <c r="B9064" t="inlineStr">
        <is>
          <t>Mx̄LXIII</t>
        </is>
      </c>
      <c r="C9064">
        <f>ROMAN(9063)</f>
        <v/>
      </c>
      <c r="D9064">
        <f>IF(B9064=C9064, "YES", "WRONG")</f>
        <v/>
      </c>
    </row>
    <row r="9065">
      <c r="A9065" t="n">
        <v>9064</v>
      </c>
      <c r="B9065" t="inlineStr">
        <is>
          <t>Mx̄LXIV</t>
        </is>
      </c>
      <c r="C9065">
        <f>ROMAN(9064)</f>
        <v/>
      </c>
      <c r="D9065">
        <f>IF(B9065=C9065, "YES", "WRONG")</f>
        <v/>
      </c>
    </row>
    <row r="9066">
      <c r="A9066" t="n">
        <v>9065</v>
      </c>
      <c r="B9066" t="inlineStr">
        <is>
          <t>Mx̄LXV</t>
        </is>
      </c>
      <c r="C9066">
        <f>ROMAN(9065)</f>
        <v/>
      </c>
      <c r="D9066">
        <f>IF(B9066=C9066, "YES", "WRONG")</f>
        <v/>
      </c>
    </row>
    <row r="9067">
      <c r="A9067" t="n">
        <v>9066</v>
      </c>
      <c r="B9067" t="inlineStr">
        <is>
          <t>Mx̄LXVI</t>
        </is>
      </c>
      <c r="C9067">
        <f>ROMAN(9066)</f>
        <v/>
      </c>
      <c r="D9067">
        <f>IF(B9067=C9067, "YES", "WRONG")</f>
        <v/>
      </c>
    </row>
    <row r="9068">
      <c r="A9068" t="n">
        <v>9067</v>
      </c>
      <c r="B9068" t="inlineStr">
        <is>
          <t>Mx̄LXVII</t>
        </is>
      </c>
      <c r="C9068">
        <f>ROMAN(9067)</f>
        <v/>
      </c>
      <c r="D9068">
        <f>IF(B9068=C9068, "YES", "WRONG")</f>
        <v/>
      </c>
    </row>
    <row r="9069">
      <c r="A9069" t="n">
        <v>9068</v>
      </c>
      <c r="B9069" t="inlineStr">
        <is>
          <t>Mx̄LXVIII</t>
        </is>
      </c>
      <c r="C9069">
        <f>ROMAN(9068)</f>
        <v/>
      </c>
      <c r="D9069">
        <f>IF(B9069=C9069, "YES", "WRONG")</f>
        <v/>
      </c>
    </row>
    <row r="9070">
      <c r="A9070" t="n">
        <v>9069</v>
      </c>
      <c r="B9070" t="inlineStr">
        <is>
          <t>Mx̄LXIX</t>
        </is>
      </c>
      <c r="C9070">
        <f>ROMAN(9069)</f>
        <v/>
      </c>
      <c r="D9070">
        <f>IF(B9070=C9070, "YES", "WRONG")</f>
        <v/>
      </c>
    </row>
    <row r="9071">
      <c r="A9071" t="n">
        <v>9070</v>
      </c>
      <c r="B9071" t="inlineStr">
        <is>
          <t>Mx̄LXX</t>
        </is>
      </c>
      <c r="C9071">
        <f>ROMAN(9070)</f>
        <v/>
      </c>
      <c r="D9071">
        <f>IF(B9071=C9071, "YES", "WRONG")</f>
        <v/>
      </c>
    </row>
    <row r="9072">
      <c r="A9072" t="n">
        <v>9071</v>
      </c>
      <c r="B9072" t="inlineStr">
        <is>
          <t>Mx̄LXXI</t>
        </is>
      </c>
      <c r="C9072">
        <f>ROMAN(9071)</f>
        <v/>
      </c>
      <c r="D9072">
        <f>IF(B9072=C9072, "YES", "WRONG")</f>
        <v/>
      </c>
    </row>
    <row r="9073">
      <c r="A9073" t="n">
        <v>9072</v>
      </c>
      <c r="B9073" t="inlineStr">
        <is>
          <t>Mx̄LXXII</t>
        </is>
      </c>
      <c r="C9073">
        <f>ROMAN(9072)</f>
        <v/>
      </c>
      <c r="D9073">
        <f>IF(B9073=C9073, "YES", "WRONG")</f>
        <v/>
      </c>
    </row>
    <row r="9074">
      <c r="A9074" t="n">
        <v>9073</v>
      </c>
      <c r="B9074" t="inlineStr">
        <is>
          <t>Mx̄LXXIII</t>
        </is>
      </c>
      <c r="C9074">
        <f>ROMAN(9073)</f>
        <v/>
      </c>
      <c r="D9074">
        <f>IF(B9074=C9074, "YES", "WRONG")</f>
        <v/>
      </c>
    </row>
    <row r="9075">
      <c r="A9075" t="n">
        <v>9074</v>
      </c>
      <c r="B9075" t="inlineStr">
        <is>
          <t>Mx̄LXXIV</t>
        </is>
      </c>
      <c r="C9075">
        <f>ROMAN(9074)</f>
        <v/>
      </c>
      <c r="D9075">
        <f>IF(B9075=C9075, "YES", "WRONG")</f>
        <v/>
      </c>
    </row>
    <row r="9076">
      <c r="A9076" t="n">
        <v>9075</v>
      </c>
      <c r="B9076" t="inlineStr">
        <is>
          <t>Mx̄LXXV</t>
        </is>
      </c>
      <c r="C9076">
        <f>ROMAN(9075)</f>
        <v/>
      </c>
      <c r="D9076">
        <f>IF(B9076=C9076, "YES", "WRONG")</f>
        <v/>
      </c>
    </row>
    <row r="9077">
      <c r="A9077" t="n">
        <v>9076</v>
      </c>
      <c r="B9077" t="inlineStr">
        <is>
          <t>Mx̄LXXVI</t>
        </is>
      </c>
      <c r="C9077">
        <f>ROMAN(9076)</f>
        <v/>
      </c>
      <c r="D9077">
        <f>IF(B9077=C9077, "YES", "WRONG")</f>
        <v/>
      </c>
    </row>
    <row r="9078">
      <c r="A9078" t="n">
        <v>9077</v>
      </c>
      <c r="B9078" t="inlineStr">
        <is>
          <t>Mx̄LXXVII</t>
        </is>
      </c>
      <c r="C9078">
        <f>ROMAN(9077)</f>
        <v/>
      </c>
      <c r="D9078">
        <f>IF(B9078=C9078, "YES", "WRONG")</f>
        <v/>
      </c>
    </row>
    <row r="9079">
      <c r="A9079" t="n">
        <v>9078</v>
      </c>
      <c r="B9079" t="inlineStr">
        <is>
          <t>Mx̄LXXVIII</t>
        </is>
      </c>
      <c r="C9079">
        <f>ROMAN(9078)</f>
        <v/>
      </c>
      <c r="D9079">
        <f>IF(B9079=C9079, "YES", "WRONG")</f>
        <v/>
      </c>
    </row>
    <row r="9080">
      <c r="A9080" t="n">
        <v>9079</v>
      </c>
      <c r="B9080" t="inlineStr">
        <is>
          <t>Mx̄LXXIX</t>
        </is>
      </c>
      <c r="C9080">
        <f>ROMAN(9079)</f>
        <v/>
      </c>
      <c r="D9080">
        <f>IF(B9080=C9080, "YES", "WRONG")</f>
        <v/>
      </c>
    </row>
    <row r="9081">
      <c r="A9081" t="n">
        <v>9080</v>
      </c>
      <c r="B9081" t="inlineStr">
        <is>
          <t>Mx̄LXXX</t>
        </is>
      </c>
      <c r="C9081">
        <f>ROMAN(9080)</f>
        <v/>
      </c>
      <c r="D9081">
        <f>IF(B9081=C9081, "YES", "WRONG")</f>
        <v/>
      </c>
    </row>
    <row r="9082">
      <c r="A9082" t="n">
        <v>9081</v>
      </c>
      <c r="B9082" t="inlineStr">
        <is>
          <t>Mx̄LXXXI</t>
        </is>
      </c>
      <c r="C9082">
        <f>ROMAN(9081)</f>
        <v/>
      </c>
      <c r="D9082">
        <f>IF(B9082=C9082, "YES", "WRONG")</f>
        <v/>
      </c>
    </row>
    <row r="9083">
      <c r="A9083" t="n">
        <v>9082</v>
      </c>
      <c r="B9083" t="inlineStr">
        <is>
          <t>Mx̄LXXXII</t>
        </is>
      </c>
      <c r="C9083">
        <f>ROMAN(9082)</f>
        <v/>
      </c>
      <c r="D9083">
        <f>IF(B9083=C9083, "YES", "WRONG")</f>
        <v/>
      </c>
    </row>
    <row r="9084">
      <c r="A9084" t="n">
        <v>9083</v>
      </c>
      <c r="B9084" t="inlineStr">
        <is>
          <t>Mx̄LXXXIII</t>
        </is>
      </c>
      <c r="C9084">
        <f>ROMAN(9083)</f>
        <v/>
      </c>
      <c r="D9084">
        <f>IF(B9084=C9084, "YES", "WRONG")</f>
        <v/>
      </c>
    </row>
    <row r="9085">
      <c r="A9085" t="n">
        <v>9084</v>
      </c>
      <c r="B9085" t="inlineStr">
        <is>
          <t>Mx̄LXXXIV</t>
        </is>
      </c>
      <c r="C9085">
        <f>ROMAN(9084)</f>
        <v/>
      </c>
      <c r="D9085">
        <f>IF(B9085=C9085, "YES", "WRONG")</f>
        <v/>
      </c>
    </row>
    <row r="9086">
      <c r="A9086" t="n">
        <v>9085</v>
      </c>
      <c r="B9086" t="inlineStr">
        <is>
          <t>Mx̄LXXXV</t>
        </is>
      </c>
      <c r="C9086">
        <f>ROMAN(9085)</f>
        <v/>
      </c>
      <c r="D9086">
        <f>IF(B9086=C9086, "YES", "WRONG")</f>
        <v/>
      </c>
    </row>
    <row r="9087">
      <c r="A9087" t="n">
        <v>9086</v>
      </c>
      <c r="B9087" t="inlineStr">
        <is>
          <t>Mx̄LXXXVI</t>
        </is>
      </c>
      <c r="C9087">
        <f>ROMAN(9086)</f>
        <v/>
      </c>
      <c r="D9087">
        <f>IF(B9087=C9087, "YES", "WRONG")</f>
        <v/>
      </c>
    </row>
    <row r="9088">
      <c r="A9088" t="n">
        <v>9087</v>
      </c>
      <c r="B9088" t="inlineStr">
        <is>
          <t>Mx̄LXXXVII</t>
        </is>
      </c>
      <c r="C9088">
        <f>ROMAN(9087)</f>
        <v/>
      </c>
      <c r="D9088">
        <f>IF(B9088=C9088, "YES", "WRONG")</f>
        <v/>
      </c>
    </row>
    <row r="9089">
      <c r="A9089" t="n">
        <v>9088</v>
      </c>
      <c r="B9089" t="inlineStr">
        <is>
          <t>Mx̄LXXXVIII</t>
        </is>
      </c>
      <c r="C9089">
        <f>ROMAN(9088)</f>
        <v/>
      </c>
      <c r="D9089">
        <f>IF(B9089=C9089, "YES", "WRONG")</f>
        <v/>
      </c>
    </row>
    <row r="9090">
      <c r="A9090" t="n">
        <v>9089</v>
      </c>
      <c r="B9090" t="inlineStr">
        <is>
          <t>Mx̄LXXXIX</t>
        </is>
      </c>
      <c r="C9090">
        <f>ROMAN(9089)</f>
        <v/>
      </c>
      <c r="D9090">
        <f>IF(B9090=C9090, "YES", "WRONG")</f>
        <v/>
      </c>
    </row>
    <row r="9091">
      <c r="A9091" t="n">
        <v>9090</v>
      </c>
      <c r="B9091" t="inlineStr">
        <is>
          <t>Mx̄XC</t>
        </is>
      </c>
      <c r="C9091">
        <f>ROMAN(9090)</f>
        <v/>
      </c>
      <c r="D9091">
        <f>IF(B9091=C9091, "YES", "WRONG")</f>
        <v/>
      </c>
    </row>
    <row r="9092">
      <c r="A9092" t="n">
        <v>9091</v>
      </c>
      <c r="B9092" t="inlineStr">
        <is>
          <t>Mx̄XCI</t>
        </is>
      </c>
      <c r="C9092">
        <f>ROMAN(9091)</f>
        <v/>
      </c>
      <c r="D9092">
        <f>IF(B9092=C9092, "YES", "WRONG")</f>
        <v/>
      </c>
    </row>
    <row r="9093">
      <c r="A9093" t="n">
        <v>9092</v>
      </c>
      <c r="B9093" t="inlineStr">
        <is>
          <t>Mx̄XCII</t>
        </is>
      </c>
      <c r="C9093">
        <f>ROMAN(9092)</f>
        <v/>
      </c>
      <c r="D9093">
        <f>IF(B9093=C9093, "YES", "WRONG")</f>
        <v/>
      </c>
    </row>
    <row r="9094">
      <c r="A9094" t="n">
        <v>9093</v>
      </c>
      <c r="B9094" t="inlineStr">
        <is>
          <t>Mx̄XCIII</t>
        </is>
      </c>
      <c r="C9094">
        <f>ROMAN(9093)</f>
        <v/>
      </c>
      <c r="D9094">
        <f>IF(B9094=C9094, "YES", "WRONG")</f>
        <v/>
      </c>
    </row>
    <row r="9095">
      <c r="A9095" t="n">
        <v>9094</v>
      </c>
      <c r="B9095" t="inlineStr">
        <is>
          <t>Mx̄XCIV</t>
        </is>
      </c>
      <c r="C9095">
        <f>ROMAN(9094)</f>
        <v/>
      </c>
      <c r="D9095">
        <f>IF(B9095=C9095, "YES", "WRONG")</f>
        <v/>
      </c>
    </row>
    <row r="9096">
      <c r="A9096" t="n">
        <v>9095</v>
      </c>
      <c r="B9096" t="inlineStr">
        <is>
          <t>Mx̄XCV</t>
        </is>
      </c>
      <c r="C9096">
        <f>ROMAN(9095)</f>
        <v/>
      </c>
      <c r="D9096">
        <f>IF(B9096=C9096, "YES", "WRONG")</f>
        <v/>
      </c>
    </row>
    <row r="9097">
      <c r="A9097" t="n">
        <v>9096</v>
      </c>
      <c r="B9097" t="inlineStr">
        <is>
          <t>Mx̄XCVI</t>
        </is>
      </c>
      <c r="C9097">
        <f>ROMAN(9096)</f>
        <v/>
      </c>
      <c r="D9097">
        <f>IF(B9097=C9097, "YES", "WRONG")</f>
        <v/>
      </c>
    </row>
    <row r="9098">
      <c r="A9098" t="n">
        <v>9097</v>
      </c>
      <c r="B9098" t="inlineStr">
        <is>
          <t>Mx̄XCVII</t>
        </is>
      </c>
      <c r="C9098">
        <f>ROMAN(9097)</f>
        <v/>
      </c>
      <c r="D9098">
        <f>IF(B9098=C9098, "YES", "WRONG")</f>
        <v/>
      </c>
    </row>
    <row r="9099">
      <c r="A9099" t="n">
        <v>9098</v>
      </c>
      <c r="B9099" t="inlineStr">
        <is>
          <t>Mx̄XCVIII</t>
        </is>
      </c>
      <c r="C9099">
        <f>ROMAN(9098)</f>
        <v/>
      </c>
      <c r="D9099">
        <f>IF(B9099=C9099, "YES", "WRONG")</f>
        <v/>
      </c>
    </row>
    <row r="9100">
      <c r="A9100" t="n">
        <v>9099</v>
      </c>
      <c r="B9100" t="inlineStr">
        <is>
          <t>Mx̄XCIX</t>
        </is>
      </c>
      <c r="C9100">
        <f>ROMAN(9099)</f>
        <v/>
      </c>
      <c r="D9100">
        <f>IF(B9100=C9100, "YES", "WRONG")</f>
        <v/>
      </c>
    </row>
    <row r="9101">
      <c r="A9101" t="n">
        <v>9100</v>
      </c>
      <c r="B9101" t="inlineStr">
        <is>
          <t>Mx̄C</t>
        </is>
      </c>
      <c r="C9101">
        <f>ROMAN(9100)</f>
        <v/>
      </c>
      <c r="D9101">
        <f>IF(B9101=C9101, "YES", "WRONG")</f>
        <v/>
      </c>
    </row>
    <row r="9102">
      <c r="A9102" t="n">
        <v>9101</v>
      </c>
      <c r="B9102" t="inlineStr">
        <is>
          <t>Mx̄CI</t>
        </is>
      </c>
      <c r="C9102">
        <f>ROMAN(9101)</f>
        <v/>
      </c>
      <c r="D9102">
        <f>IF(B9102=C9102, "YES", "WRONG")</f>
        <v/>
      </c>
    </row>
    <row r="9103">
      <c r="A9103" t="n">
        <v>9102</v>
      </c>
      <c r="B9103" t="inlineStr">
        <is>
          <t>Mx̄CII</t>
        </is>
      </c>
      <c r="C9103">
        <f>ROMAN(9102)</f>
        <v/>
      </c>
      <c r="D9103">
        <f>IF(B9103=C9103, "YES", "WRONG")</f>
        <v/>
      </c>
    </row>
    <row r="9104">
      <c r="A9104" t="n">
        <v>9103</v>
      </c>
      <c r="B9104" t="inlineStr">
        <is>
          <t>Mx̄CIII</t>
        </is>
      </c>
      <c r="C9104">
        <f>ROMAN(9103)</f>
        <v/>
      </c>
      <c r="D9104">
        <f>IF(B9104=C9104, "YES", "WRONG")</f>
        <v/>
      </c>
    </row>
    <row r="9105">
      <c r="A9105" t="n">
        <v>9104</v>
      </c>
      <c r="B9105" t="inlineStr">
        <is>
          <t>Mx̄CIV</t>
        </is>
      </c>
      <c r="C9105">
        <f>ROMAN(9104)</f>
        <v/>
      </c>
      <c r="D9105">
        <f>IF(B9105=C9105, "YES", "WRONG")</f>
        <v/>
      </c>
    </row>
    <row r="9106">
      <c r="A9106" t="n">
        <v>9105</v>
      </c>
      <c r="B9106" t="inlineStr">
        <is>
          <t>Mx̄CV</t>
        </is>
      </c>
      <c r="C9106">
        <f>ROMAN(9105)</f>
        <v/>
      </c>
      <c r="D9106">
        <f>IF(B9106=C9106, "YES", "WRONG")</f>
        <v/>
      </c>
    </row>
    <row r="9107">
      <c r="A9107" t="n">
        <v>9106</v>
      </c>
      <c r="B9107" t="inlineStr">
        <is>
          <t>Mx̄CVI</t>
        </is>
      </c>
      <c r="C9107">
        <f>ROMAN(9106)</f>
        <v/>
      </c>
      <c r="D9107">
        <f>IF(B9107=C9107, "YES", "WRONG")</f>
        <v/>
      </c>
    </row>
    <row r="9108">
      <c r="A9108" t="n">
        <v>9107</v>
      </c>
      <c r="B9108" t="inlineStr">
        <is>
          <t>Mx̄CVII</t>
        </is>
      </c>
      <c r="C9108">
        <f>ROMAN(9107)</f>
        <v/>
      </c>
      <c r="D9108">
        <f>IF(B9108=C9108, "YES", "WRONG")</f>
        <v/>
      </c>
    </row>
    <row r="9109">
      <c r="A9109" t="n">
        <v>9108</v>
      </c>
      <c r="B9109" t="inlineStr">
        <is>
          <t>Mx̄CVIII</t>
        </is>
      </c>
      <c r="C9109">
        <f>ROMAN(9108)</f>
        <v/>
      </c>
      <c r="D9109">
        <f>IF(B9109=C9109, "YES", "WRONG")</f>
        <v/>
      </c>
    </row>
    <row r="9110">
      <c r="A9110" t="n">
        <v>9109</v>
      </c>
      <c r="B9110" t="inlineStr">
        <is>
          <t>Mx̄CIX</t>
        </is>
      </c>
      <c r="C9110">
        <f>ROMAN(9109)</f>
        <v/>
      </c>
      <c r="D9110">
        <f>IF(B9110=C9110, "YES", "WRONG")</f>
        <v/>
      </c>
    </row>
    <row r="9111">
      <c r="A9111" t="n">
        <v>9110</v>
      </c>
      <c r="B9111" t="inlineStr">
        <is>
          <t>Mx̄CX</t>
        </is>
      </c>
      <c r="C9111">
        <f>ROMAN(9110)</f>
        <v/>
      </c>
      <c r="D9111">
        <f>IF(B9111=C9111, "YES", "WRONG")</f>
        <v/>
      </c>
    </row>
    <row r="9112">
      <c r="A9112" t="n">
        <v>9111</v>
      </c>
      <c r="B9112" t="inlineStr">
        <is>
          <t>Mx̄CXI</t>
        </is>
      </c>
      <c r="C9112">
        <f>ROMAN(9111)</f>
        <v/>
      </c>
      <c r="D9112">
        <f>IF(B9112=C9112, "YES", "WRONG")</f>
        <v/>
      </c>
    </row>
    <row r="9113">
      <c r="A9113" t="n">
        <v>9112</v>
      </c>
      <c r="B9113" t="inlineStr">
        <is>
          <t>Mx̄CXII</t>
        </is>
      </c>
      <c r="C9113">
        <f>ROMAN(9112)</f>
        <v/>
      </c>
      <c r="D9113">
        <f>IF(B9113=C9113, "YES", "WRONG")</f>
        <v/>
      </c>
    </row>
    <row r="9114">
      <c r="A9114" t="n">
        <v>9113</v>
      </c>
      <c r="B9114" t="inlineStr">
        <is>
          <t>Mx̄CXIII</t>
        </is>
      </c>
      <c r="C9114">
        <f>ROMAN(9113)</f>
        <v/>
      </c>
      <c r="D9114">
        <f>IF(B9114=C9114, "YES", "WRONG")</f>
        <v/>
      </c>
    </row>
    <row r="9115">
      <c r="A9115" t="n">
        <v>9114</v>
      </c>
      <c r="B9115" t="inlineStr">
        <is>
          <t>Mx̄CXIV</t>
        </is>
      </c>
      <c r="C9115">
        <f>ROMAN(9114)</f>
        <v/>
      </c>
      <c r="D9115">
        <f>IF(B9115=C9115, "YES", "WRONG")</f>
        <v/>
      </c>
    </row>
    <row r="9116">
      <c r="A9116" t="n">
        <v>9115</v>
      </c>
      <c r="B9116" t="inlineStr">
        <is>
          <t>Mx̄CXV</t>
        </is>
      </c>
      <c r="C9116">
        <f>ROMAN(9115)</f>
        <v/>
      </c>
      <c r="D9116">
        <f>IF(B9116=C9116, "YES", "WRONG")</f>
        <v/>
      </c>
    </row>
    <row r="9117">
      <c r="A9117" t="n">
        <v>9116</v>
      </c>
      <c r="B9117" t="inlineStr">
        <is>
          <t>Mx̄CXVI</t>
        </is>
      </c>
      <c r="C9117">
        <f>ROMAN(9116)</f>
        <v/>
      </c>
      <c r="D9117">
        <f>IF(B9117=C9117, "YES", "WRONG")</f>
        <v/>
      </c>
    </row>
    <row r="9118">
      <c r="A9118" t="n">
        <v>9117</v>
      </c>
      <c r="B9118" t="inlineStr">
        <is>
          <t>Mx̄CXVII</t>
        </is>
      </c>
      <c r="C9118">
        <f>ROMAN(9117)</f>
        <v/>
      </c>
      <c r="D9118">
        <f>IF(B9118=C9118, "YES", "WRONG")</f>
        <v/>
      </c>
    </row>
    <row r="9119">
      <c r="A9119" t="n">
        <v>9118</v>
      </c>
      <c r="B9119" t="inlineStr">
        <is>
          <t>Mx̄CXVIII</t>
        </is>
      </c>
      <c r="C9119">
        <f>ROMAN(9118)</f>
        <v/>
      </c>
      <c r="D9119">
        <f>IF(B9119=C9119, "YES", "WRONG")</f>
        <v/>
      </c>
    </row>
    <row r="9120">
      <c r="A9120" t="n">
        <v>9119</v>
      </c>
      <c r="B9120" t="inlineStr">
        <is>
          <t>Mx̄CXIX</t>
        </is>
      </c>
      <c r="C9120">
        <f>ROMAN(9119)</f>
        <v/>
      </c>
      <c r="D9120">
        <f>IF(B9120=C9120, "YES", "WRONG")</f>
        <v/>
      </c>
    </row>
    <row r="9121">
      <c r="A9121" t="n">
        <v>9120</v>
      </c>
      <c r="B9121" t="inlineStr">
        <is>
          <t>Mx̄CXX</t>
        </is>
      </c>
      <c r="C9121">
        <f>ROMAN(9120)</f>
        <v/>
      </c>
      <c r="D9121">
        <f>IF(B9121=C9121, "YES", "WRONG")</f>
        <v/>
      </c>
    </row>
    <row r="9122">
      <c r="A9122" t="n">
        <v>9121</v>
      </c>
      <c r="B9122" t="inlineStr">
        <is>
          <t>Mx̄CXXI</t>
        </is>
      </c>
      <c r="C9122">
        <f>ROMAN(9121)</f>
        <v/>
      </c>
      <c r="D9122">
        <f>IF(B9122=C9122, "YES", "WRONG")</f>
        <v/>
      </c>
    </row>
    <row r="9123">
      <c r="A9123" t="n">
        <v>9122</v>
      </c>
      <c r="B9123" t="inlineStr">
        <is>
          <t>Mx̄CXXII</t>
        </is>
      </c>
      <c r="C9123">
        <f>ROMAN(9122)</f>
        <v/>
      </c>
      <c r="D9123">
        <f>IF(B9123=C9123, "YES", "WRONG")</f>
        <v/>
      </c>
    </row>
    <row r="9124">
      <c r="A9124" t="n">
        <v>9123</v>
      </c>
      <c r="B9124" t="inlineStr">
        <is>
          <t>Mx̄CXXIII</t>
        </is>
      </c>
      <c r="C9124">
        <f>ROMAN(9123)</f>
        <v/>
      </c>
      <c r="D9124">
        <f>IF(B9124=C9124, "YES", "WRONG")</f>
        <v/>
      </c>
    </row>
    <row r="9125">
      <c r="A9125" t="n">
        <v>9124</v>
      </c>
      <c r="B9125" t="inlineStr">
        <is>
          <t>Mx̄CXXIV</t>
        </is>
      </c>
      <c r="C9125">
        <f>ROMAN(9124)</f>
        <v/>
      </c>
      <c r="D9125">
        <f>IF(B9125=C9125, "YES", "WRONG")</f>
        <v/>
      </c>
    </row>
    <row r="9126">
      <c r="A9126" t="n">
        <v>9125</v>
      </c>
      <c r="B9126" t="inlineStr">
        <is>
          <t>Mx̄CXXV</t>
        </is>
      </c>
      <c r="C9126">
        <f>ROMAN(9125)</f>
        <v/>
      </c>
      <c r="D9126">
        <f>IF(B9126=C9126, "YES", "WRONG")</f>
        <v/>
      </c>
    </row>
    <row r="9127">
      <c r="A9127" t="n">
        <v>9126</v>
      </c>
      <c r="B9127" t="inlineStr">
        <is>
          <t>Mx̄CXXVI</t>
        </is>
      </c>
      <c r="C9127">
        <f>ROMAN(9126)</f>
        <v/>
      </c>
      <c r="D9127">
        <f>IF(B9127=C9127, "YES", "WRONG")</f>
        <v/>
      </c>
    </row>
    <row r="9128">
      <c r="A9128" t="n">
        <v>9127</v>
      </c>
      <c r="B9128" t="inlineStr">
        <is>
          <t>Mx̄CXXVII</t>
        </is>
      </c>
      <c r="C9128">
        <f>ROMAN(9127)</f>
        <v/>
      </c>
      <c r="D9128">
        <f>IF(B9128=C9128, "YES", "WRONG")</f>
        <v/>
      </c>
    </row>
    <row r="9129">
      <c r="A9129" t="n">
        <v>9128</v>
      </c>
      <c r="B9129" t="inlineStr">
        <is>
          <t>Mx̄CXXVIII</t>
        </is>
      </c>
      <c r="C9129">
        <f>ROMAN(9128)</f>
        <v/>
      </c>
      <c r="D9129">
        <f>IF(B9129=C9129, "YES", "WRONG")</f>
        <v/>
      </c>
    </row>
    <row r="9130">
      <c r="A9130" t="n">
        <v>9129</v>
      </c>
      <c r="B9130" t="inlineStr">
        <is>
          <t>Mx̄CXXIX</t>
        </is>
      </c>
      <c r="C9130">
        <f>ROMAN(9129)</f>
        <v/>
      </c>
      <c r="D9130">
        <f>IF(B9130=C9130, "YES", "WRONG")</f>
        <v/>
      </c>
    </row>
    <row r="9131">
      <c r="A9131" t="n">
        <v>9130</v>
      </c>
      <c r="B9131" t="inlineStr">
        <is>
          <t>Mx̄CXXX</t>
        </is>
      </c>
      <c r="C9131">
        <f>ROMAN(9130)</f>
        <v/>
      </c>
      <c r="D9131">
        <f>IF(B9131=C9131, "YES", "WRONG")</f>
        <v/>
      </c>
    </row>
    <row r="9132">
      <c r="A9132" t="n">
        <v>9131</v>
      </c>
      <c r="B9132" t="inlineStr">
        <is>
          <t>Mx̄CXXXI</t>
        </is>
      </c>
      <c r="C9132">
        <f>ROMAN(9131)</f>
        <v/>
      </c>
      <c r="D9132">
        <f>IF(B9132=C9132, "YES", "WRONG")</f>
        <v/>
      </c>
    </row>
    <row r="9133">
      <c r="A9133" t="n">
        <v>9132</v>
      </c>
      <c r="B9133" t="inlineStr">
        <is>
          <t>Mx̄CXXXII</t>
        </is>
      </c>
      <c r="C9133">
        <f>ROMAN(9132)</f>
        <v/>
      </c>
      <c r="D9133">
        <f>IF(B9133=C9133, "YES", "WRONG")</f>
        <v/>
      </c>
    </row>
    <row r="9134">
      <c r="A9134" t="n">
        <v>9133</v>
      </c>
      <c r="B9134" t="inlineStr">
        <is>
          <t>Mx̄CXXXIII</t>
        </is>
      </c>
      <c r="C9134">
        <f>ROMAN(9133)</f>
        <v/>
      </c>
      <c r="D9134">
        <f>IF(B9134=C9134, "YES", "WRONG")</f>
        <v/>
      </c>
    </row>
    <row r="9135">
      <c r="A9135" t="n">
        <v>9134</v>
      </c>
      <c r="B9135" t="inlineStr">
        <is>
          <t>Mx̄CXXXIV</t>
        </is>
      </c>
      <c r="C9135">
        <f>ROMAN(9134)</f>
        <v/>
      </c>
      <c r="D9135">
        <f>IF(B9135=C9135, "YES", "WRONG")</f>
        <v/>
      </c>
    </row>
    <row r="9136">
      <c r="A9136" t="n">
        <v>9135</v>
      </c>
      <c r="B9136" t="inlineStr">
        <is>
          <t>Mx̄CXXXV</t>
        </is>
      </c>
      <c r="C9136">
        <f>ROMAN(9135)</f>
        <v/>
      </c>
      <c r="D9136">
        <f>IF(B9136=C9136, "YES", "WRONG")</f>
        <v/>
      </c>
    </row>
    <row r="9137">
      <c r="A9137" t="n">
        <v>9136</v>
      </c>
      <c r="B9137" t="inlineStr">
        <is>
          <t>Mx̄CXXXVI</t>
        </is>
      </c>
      <c r="C9137">
        <f>ROMAN(9136)</f>
        <v/>
      </c>
      <c r="D9137">
        <f>IF(B9137=C9137, "YES", "WRONG")</f>
        <v/>
      </c>
    </row>
    <row r="9138">
      <c r="A9138" t="n">
        <v>9137</v>
      </c>
      <c r="B9138" t="inlineStr">
        <is>
          <t>Mx̄CXXXVII</t>
        </is>
      </c>
      <c r="C9138">
        <f>ROMAN(9137)</f>
        <v/>
      </c>
      <c r="D9138">
        <f>IF(B9138=C9138, "YES", "WRONG")</f>
        <v/>
      </c>
    </row>
    <row r="9139">
      <c r="A9139" t="n">
        <v>9138</v>
      </c>
      <c r="B9139" t="inlineStr">
        <is>
          <t>Mx̄CXXXVIII</t>
        </is>
      </c>
      <c r="C9139">
        <f>ROMAN(9138)</f>
        <v/>
      </c>
      <c r="D9139">
        <f>IF(B9139=C9139, "YES", "WRONG")</f>
        <v/>
      </c>
    </row>
    <row r="9140">
      <c r="A9140" t="n">
        <v>9139</v>
      </c>
      <c r="B9140" t="inlineStr">
        <is>
          <t>Mx̄CXXXIX</t>
        </is>
      </c>
      <c r="C9140">
        <f>ROMAN(9139)</f>
        <v/>
      </c>
      <c r="D9140">
        <f>IF(B9140=C9140, "YES", "WRONG")</f>
        <v/>
      </c>
    </row>
    <row r="9141">
      <c r="A9141" t="n">
        <v>9140</v>
      </c>
      <c r="B9141" t="inlineStr">
        <is>
          <t>Mx̄CXL</t>
        </is>
      </c>
      <c r="C9141">
        <f>ROMAN(9140)</f>
        <v/>
      </c>
      <c r="D9141">
        <f>IF(B9141=C9141, "YES", "WRONG")</f>
        <v/>
      </c>
    </row>
    <row r="9142">
      <c r="A9142" t="n">
        <v>9141</v>
      </c>
      <c r="B9142" t="inlineStr">
        <is>
          <t>Mx̄CXLI</t>
        </is>
      </c>
      <c r="C9142">
        <f>ROMAN(9141)</f>
        <v/>
      </c>
      <c r="D9142">
        <f>IF(B9142=C9142, "YES", "WRONG")</f>
        <v/>
      </c>
    </row>
    <row r="9143">
      <c r="A9143" t="n">
        <v>9142</v>
      </c>
      <c r="B9143" t="inlineStr">
        <is>
          <t>Mx̄CXLII</t>
        </is>
      </c>
      <c r="C9143">
        <f>ROMAN(9142)</f>
        <v/>
      </c>
      <c r="D9143">
        <f>IF(B9143=C9143, "YES", "WRONG")</f>
        <v/>
      </c>
    </row>
    <row r="9144">
      <c r="A9144" t="n">
        <v>9143</v>
      </c>
      <c r="B9144" t="inlineStr">
        <is>
          <t>Mx̄CXLIII</t>
        </is>
      </c>
      <c r="C9144">
        <f>ROMAN(9143)</f>
        <v/>
      </c>
      <c r="D9144">
        <f>IF(B9144=C9144, "YES", "WRONG")</f>
        <v/>
      </c>
    </row>
    <row r="9145">
      <c r="A9145" t="n">
        <v>9144</v>
      </c>
      <c r="B9145" t="inlineStr">
        <is>
          <t>Mx̄CXLIV</t>
        </is>
      </c>
      <c r="C9145">
        <f>ROMAN(9144)</f>
        <v/>
      </c>
      <c r="D9145">
        <f>IF(B9145=C9145, "YES", "WRONG")</f>
        <v/>
      </c>
    </row>
    <row r="9146">
      <c r="A9146" t="n">
        <v>9145</v>
      </c>
      <c r="B9146" t="inlineStr">
        <is>
          <t>Mx̄CXLV</t>
        </is>
      </c>
      <c r="C9146">
        <f>ROMAN(9145)</f>
        <v/>
      </c>
      <c r="D9146">
        <f>IF(B9146=C9146, "YES", "WRONG")</f>
        <v/>
      </c>
    </row>
    <row r="9147">
      <c r="A9147" t="n">
        <v>9146</v>
      </c>
      <c r="B9147" t="inlineStr">
        <is>
          <t>Mx̄CXLVI</t>
        </is>
      </c>
      <c r="C9147">
        <f>ROMAN(9146)</f>
        <v/>
      </c>
      <c r="D9147">
        <f>IF(B9147=C9147, "YES", "WRONG")</f>
        <v/>
      </c>
    </row>
    <row r="9148">
      <c r="A9148" t="n">
        <v>9147</v>
      </c>
      <c r="B9148" t="inlineStr">
        <is>
          <t>Mx̄CXLVII</t>
        </is>
      </c>
      <c r="C9148">
        <f>ROMAN(9147)</f>
        <v/>
      </c>
      <c r="D9148">
        <f>IF(B9148=C9148, "YES", "WRONG")</f>
        <v/>
      </c>
    </row>
    <row r="9149">
      <c r="A9149" t="n">
        <v>9148</v>
      </c>
      <c r="B9149" t="inlineStr">
        <is>
          <t>Mx̄CXLVIII</t>
        </is>
      </c>
      <c r="C9149">
        <f>ROMAN(9148)</f>
        <v/>
      </c>
      <c r="D9149">
        <f>IF(B9149=C9149, "YES", "WRONG")</f>
        <v/>
      </c>
    </row>
    <row r="9150">
      <c r="A9150" t="n">
        <v>9149</v>
      </c>
      <c r="B9150" t="inlineStr">
        <is>
          <t>Mx̄CXLIX</t>
        </is>
      </c>
      <c r="C9150">
        <f>ROMAN(9149)</f>
        <v/>
      </c>
      <c r="D9150">
        <f>IF(B9150=C9150, "YES", "WRONG")</f>
        <v/>
      </c>
    </row>
    <row r="9151">
      <c r="A9151" t="n">
        <v>9150</v>
      </c>
      <c r="B9151" t="inlineStr">
        <is>
          <t>Mx̄CL</t>
        </is>
      </c>
      <c r="C9151">
        <f>ROMAN(9150)</f>
        <v/>
      </c>
      <c r="D9151">
        <f>IF(B9151=C9151, "YES", "WRONG")</f>
        <v/>
      </c>
    </row>
    <row r="9152">
      <c r="A9152" t="n">
        <v>9151</v>
      </c>
      <c r="B9152" t="inlineStr">
        <is>
          <t>Mx̄CLI</t>
        </is>
      </c>
      <c r="C9152">
        <f>ROMAN(9151)</f>
        <v/>
      </c>
      <c r="D9152">
        <f>IF(B9152=C9152, "YES", "WRONG")</f>
        <v/>
      </c>
    </row>
    <row r="9153">
      <c r="A9153" t="n">
        <v>9152</v>
      </c>
      <c r="B9153" t="inlineStr">
        <is>
          <t>Mx̄CLII</t>
        </is>
      </c>
      <c r="C9153">
        <f>ROMAN(9152)</f>
        <v/>
      </c>
      <c r="D9153">
        <f>IF(B9153=C9153, "YES", "WRONG")</f>
        <v/>
      </c>
    </row>
    <row r="9154">
      <c r="A9154" t="n">
        <v>9153</v>
      </c>
      <c r="B9154" t="inlineStr">
        <is>
          <t>Mx̄CLIII</t>
        </is>
      </c>
      <c r="C9154">
        <f>ROMAN(9153)</f>
        <v/>
      </c>
      <c r="D9154">
        <f>IF(B9154=C9154, "YES", "WRONG")</f>
        <v/>
      </c>
    </row>
    <row r="9155">
      <c r="A9155" t="n">
        <v>9154</v>
      </c>
      <c r="B9155" t="inlineStr">
        <is>
          <t>Mx̄CLIV</t>
        </is>
      </c>
      <c r="C9155">
        <f>ROMAN(9154)</f>
        <v/>
      </c>
      <c r="D9155">
        <f>IF(B9155=C9155, "YES", "WRONG")</f>
        <v/>
      </c>
    </row>
    <row r="9156">
      <c r="A9156" t="n">
        <v>9155</v>
      </c>
      <c r="B9156" t="inlineStr">
        <is>
          <t>Mx̄CLV</t>
        </is>
      </c>
      <c r="C9156">
        <f>ROMAN(9155)</f>
        <v/>
      </c>
      <c r="D9156">
        <f>IF(B9156=C9156, "YES", "WRONG")</f>
        <v/>
      </c>
    </row>
    <row r="9157">
      <c r="A9157" t="n">
        <v>9156</v>
      </c>
      <c r="B9157" t="inlineStr">
        <is>
          <t>Mx̄CLVI</t>
        </is>
      </c>
      <c r="C9157">
        <f>ROMAN(9156)</f>
        <v/>
      </c>
      <c r="D9157">
        <f>IF(B9157=C9157, "YES", "WRONG")</f>
        <v/>
      </c>
    </row>
    <row r="9158">
      <c r="A9158" t="n">
        <v>9157</v>
      </c>
      <c r="B9158" t="inlineStr">
        <is>
          <t>Mx̄CLVII</t>
        </is>
      </c>
      <c r="C9158">
        <f>ROMAN(9157)</f>
        <v/>
      </c>
      <c r="D9158">
        <f>IF(B9158=C9158, "YES", "WRONG")</f>
        <v/>
      </c>
    </row>
    <row r="9159">
      <c r="A9159" t="n">
        <v>9158</v>
      </c>
      <c r="B9159" t="inlineStr">
        <is>
          <t>Mx̄CLVIII</t>
        </is>
      </c>
      <c r="C9159">
        <f>ROMAN(9158)</f>
        <v/>
      </c>
      <c r="D9159">
        <f>IF(B9159=C9159, "YES", "WRONG")</f>
        <v/>
      </c>
    </row>
    <row r="9160">
      <c r="A9160" t="n">
        <v>9159</v>
      </c>
      <c r="B9160" t="inlineStr">
        <is>
          <t>Mx̄CLIX</t>
        </is>
      </c>
      <c r="C9160">
        <f>ROMAN(9159)</f>
        <v/>
      </c>
      <c r="D9160">
        <f>IF(B9160=C9160, "YES", "WRONG")</f>
        <v/>
      </c>
    </row>
    <row r="9161">
      <c r="A9161" t="n">
        <v>9160</v>
      </c>
      <c r="B9161" t="inlineStr">
        <is>
          <t>Mx̄CLX</t>
        </is>
      </c>
      <c r="C9161">
        <f>ROMAN(9160)</f>
        <v/>
      </c>
      <c r="D9161">
        <f>IF(B9161=C9161, "YES", "WRONG")</f>
        <v/>
      </c>
    </row>
    <row r="9162">
      <c r="A9162" t="n">
        <v>9161</v>
      </c>
      <c r="B9162" t="inlineStr">
        <is>
          <t>Mx̄CLXI</t>
        </is>
      </c>
      <c r="C9162">
        <f>ROMAN(9161)</f>
        <v/>
      </c>
      <c r="D9162">
        <f>IF(B9162=C9162, "YES", "WRONG")</f>
        <v/>
      </c>
    </row>
    <row r="9163">
      <c r="A9163" t="n">
        <v>9162</v>
      </c>
      <c r="B9163" t="inlineStr">
        <is>
          <t>Mx̄CLXII</t>
        </is>
      </c>
      <c r="C9163">
        <f>ROMAN(9162)</f>
        <v/>
      </c>
      <c r="D9163">
        <f>IF(B9163=C9163, "YES", "WRONG")</f>
        <v/>
      </c>
    </row>
    <row r="9164">
      <c r="A9164" t="n">
        <v>9163</v>
      </c>
      <c r="B9164" t="inlineStr">
        <is>
          <t>Mx̄CLXIII</t>
        </is>
      </c>
      <c r="C9164">
        <f>ROMAN(9163)</f>
        <v/>
      </c>
      <c r="D9164">
        <f>IF(B9164=C9164, "YES", "WRONG")</f>
        <v/>
      </c>
    </row>
    <row r="9165">
      <c r="A9165" t="n">
        <v>9164</v>
      </c>
      <c r="B9165" t="inlineStr">
        <is>
          <t>Mx̄CLXIV</t>
        </is>
      </c>
      <c r="C9165">
        <f>ROMAN(9164)</f>
        <v/>
      </c>
      <c r="D9165">
        <f>IF(B9165=C9165, "YES", "WRONG")</f>
        <v/>
      </c>
    </row>
    <row r="9166">
      <c r="A9166" t="n">
        <v>9165</v>
      </c>
      <c r="B9166" t="inlineStr">
        <is>
          <t>Mx̄CLXV</t>
        </is>
      </c>
      <c r="C9166">
        <f>ROMAN(9165)</f>
        <v/>
      </c>
      <c r="D9166">
        <f>IF(B9166=C9166, "YES", "WRONG")</f>
        <v/>
      </c>
    </row>
    <row r="9167">
      <c r="A9167" t="n">
        <v>9166</v>
      </c>
      <c r="B9167" t="inlineStr">
        <is>
          <t>Mx̄CLXVI</t>
        </is>
      </c>
      <c r="C9167">
        <f>ROMAN(9166)</f>
        <v/>
      </c>
      <c r="D9167">
        <f>IF(B9167=C9167, "YES", "WRONG")</f>
        <v/>
      </c>
    </row>
    <row r="9168">
      <c r="A9168" t="n">
        <v>9167</v>
      </c>
      <c r="B9168" t="inlineStr">
        <is>
          <t>Mx̄CLXVII</t>
        </is>
      </c>
      <c r="C9168">
        <f>ROMAN(9167)</f>
        <v/>
      </c>
      <c r="D9168">
        <f>IF(B9168=C9168, "YES", "WRONG")</f>
        <v/>
      </c>
    </row>
    <row r="9169">
      <c r="A9169" t="n">
        <v>9168</v>
      </c>
      <c r="B9169" t="inlineStr">
        <is>
          <t>Mx̄CLXVIII</t>
        </is>
      </c>
      <c r="C9169">
        <f>ROMAN(9168)</f>
        <v/>
      </c>
      <c r="D9169">
        <f>IF(B9169=C9169, "YES", "WRONG")</f>
        <v/>
      </c>
    </row>
    <row r="9170">
      <c r="A9170" t="n">
        <v>9169</v>
      </c>
      <c r="B9170" t="inlineStr">
        <is>
          <t>Mx̄CLXIX</t>
        </is>
      </c>
      <c r="C9170">
        <f>ROMAN(9169)</f>
        <v/>
      </c>
      <c r="D9170">
        <f>IF(B9170=C9170, "YES", "WRONG")</f>
        <v/>
      </c>
    </row>
    <row r="9171">
      <c r="A9171" t="n">
        <v>9170</v>
      </c>
      <c r="B9171" t="inlineStr">
        <is>
          <t>Mx̄CLXX</t>
        </is>
      </c>
      <c r="C9171">
        <f>ROMAN(9170)</f>
        <v/>
      </c>
      <c r="D9171">
        <f>IF(B9171=C9171, "YES", "WRONG")</f>
        <v/>
      </c>
    </row>
    <row r="9172">
      <c r="A9172" t="n">
        <v>9171</v>
      </c>
      <c r="B9172" t="inlineStr">
        <is>
          <t>Mx̄CLXXI</t>
        </is>
      </c>
      <c r="C9172">
        <f>ROMAN(9171)</f>
        <v/>
      </c>
      <c r="D9172">
        <f>IF(B9172=C9172, "YES", "WRONG")</f>
        <v/>
      </c>
    </row>
    <row r="9173">
      <c r="A9173" t="n">
        <v>9172</v>
      </c>
      <c r="B9173" t="inlineStr">
        <is>
          <t>Mx̄CLXXII</t>
        </is>
      </c>
      <c r="C9173">
        <f>ROMAN(9172)</f>
        <v/>
      </c>
      <c r="D9173">
        <f>IF(B9173=C9173, "YES", "WRONG")</f>
        <v/>
      </c>
    </row>
    <row r="9174">
      <c r="A9174" t="n">
        <v>9173</v>
      </c>
      <c r="B9174" t="inlineStr">
        <is>
          <t>Mx̄CLXXIII</t>
        </is>
      </c>
      <c r="C9174">
        <f>ROMAN(9173)</f>
        <v/>
      </c>
      <c r="D9174">
        <f>IF(B9174=C9174, "YES", "WRONG")</f>
        <v/>
      </c>
    </row>
    <row r="9175">
      <c r="A9175" t="n">
        <v>9174</v>
      </c>
      <c r="B9175" t="inlineStr">
        <is>
          <t>Mx̄CLXXIV</t>
        </is>
      </c>
      <c r="C9175">
        <f>ROMAN(9174)</f>
        <v/>
      </c>
      <c r="D9175">
        <f>IF(B9175=C9175, "YES", "WRONG")</f>
        <v/>
      </c>
    </row>
    <row r="9176">
      <c r="A9176" t="n">
        <v>9175</v>
      </c>
      <c r="B9176" t="inlineStr">
        <is>
          <t>Mx̄CLXXV</t>
        </is>
      </c>
      <c r="C9176">
        <f>ROMAN(9175)</f>
        <v/>
      </c>
      <c r="D9176">
        <f>IF(B9176=C9176, "YES", "WRONG")</f>
        <v/>
      </c>
    </row>
    <row r="9177">
      <c r="A9177" t="n">
        <v>9176</v>
      </c>
      <c r="B9177" t="inlineStr">
        <is>
          <t>Mx̄CLXXVI</t>
        </is>
      </c>
      <c r="C9177">
        <f>ROMAN(9176)</f>
        <v/>
      </c>
      <c r="D9177">
        <f>IF(B9177=C9177, "YES", "WRONG")</f>
        <v/>
      </c>
    </row>
    <row r="9178">
      <c r="A9178" t="n">
        <v>9177</v>
      </c>
      <c r="B9178" t="inlineStr">
        <is>
          <t>Mx̄CLXXVII</t>
        </is>
      </c>
      <c r="C9178">
        <f>ROMAN(9177)</f>
        <v/>
      </c>
      <c r="D9178">
        <f>IF(B9178=C9178, "YES", "WRONG")</f>
        <v/>
      </c>
    </row>
    <row r="9179">
      <c r="A9179" t="n">
        <v>9178</v>
      </c>
      <c r="B9179" t="inlineStr">
        <is>
          <t>Mx̄CLXXVIII</t>
        </is>
      </c>
      <c r="C9179">
        <f>ROMAN(9178)</f>
        <v/>
      </c>
      <c r="D9179">
        <f>IF(B9179=C9179, "YES", "WRONG")</f>
        <v/>
      </c>
    </row>
    <row r="9180">
      <c r="A9180" t="n">
        <v>9179</v>
      </c>
      <c r="B9180" t="inlineStr">
        <is>
          <t>Mx̄CLXXIX</t>
        </is>
      </c>
      <c r="C9180">
        <f>ROMAN(9179)</f>
        <v/>
      </c>
      <c r="D9180">
        <f>IF(B9180=C9180, "YES", "WRONG")</f>
        <v/>
      </c>
    </row>
    <row r="9181">
      <c r="A9181" t="n">
        <v>9180</v>
      </c>
      <c r="B9181" t="inlineStr">
        <is>
          <t>Mx̄CLXXX</t>
        </is>
      </c>
      <c r="C9181">
        <f>ROMAN(9180)</f>
        <v/>
      </c>
      <c r="D9181">
        <f>IF(B9181=C9181, "YES", "WRONG")</f>
        <v/>
      </c>
    </row>
    <row r="9182">
      <c r="A9182" t="n">
        <v>9181</v>
      </c>
      <c r="B9182" t="inlineStr">
        <is>
          <t>Mx̄CLXXXI</t>
        </is>
      </c>
      <c r="C9182">
        <f>ROMAN(9181)</f>
        <v/>
      </c>
      <c r="D9182">
        <f>IF(B9182=C9182, "YES", "WRONG")</f>
        <v/>
      </c>
    </row>
    <row r="9183">
      <c r="A9183" t="n">
        <v>9182</v>
      </c>
      <c r="B9183" t="inlineStr">
        <is>
          <t>Mx̄CLXXXII</t>
        </is>
      </c>
      <c r="C9183">
        <f>ROMAN(9182)</f>
        <v/>
      </c>
      <c r="D9183">
        <f>IF(B9183=C9183, "YES", "WRONG")</f>
        <v/>
      </c>
    </row>
    <row r="9184">
      <c r="A9184" t="n">
        <v>9183</v>
      </c>
      <c r="B9184" t="inlineStr">
        <is>
          <t>Mx̄CLXXXIII</t>
        </is>
      </c>
      <c r="C9184">
        <f>ROMAN(9183)</f>
        <v/>
      </c>
      <c r="D9184">
        <f>IF(B9184=C9184, "YES", "WRONG")</f>
        <v/>
      </c>
    </row>
    <row r="9185">
      <c r="A9185" t="n">
        <v>9184</v>
      </c>
      <c r="B9185" t="inlineStr">
        <is>
          <t>Mx̄CLXXXIV</t>
        </is>
      </c>
      <c r="C9185">
        <f>ROMAN(9184)</f>
        <v/>
      </c>
      <c r="D9185">
        <f>IF(B9185=C9185, "YES", "WRONG")</f>
        <v/>
      </c>
    </row>
    <row r="9186">
      <c r="A9186" t="n">
        <v>9185</v>
      </c>
      <c r="B9186" t="inlineStr">
        <is>
          <t>Mx̄CLXXXV</t>
        </is>
      </c>
      <c r="C9186">
        <f>ROMAN(9185)</f>
        <v/>
      </c>
      <c r="D9186">
        <f>IF(B9186=C9186, "YES", "WRONG")</f>
        <v/>
      </c>
    </row>
    <row r="9187">
      <c r="A9187" t="n">
        <v>9186</v>
      </c>
      <c r="B9187" t="inlineStr">
        <is>
          <t>Mx̄CLXXXVI</t>
        </is>
      </c>
      <c r="C9187">
        <f>ROMAN(9186)</f>
        <v/>
      </c>
      <c r="D9187">
        <f>IF(B9187=C9187, "YES", "WRONG")</f>
        <v/>
      </c>
    </row>
    <row r="9188">
      <c r="A9188" t="n">
        <v>9187</v>
      </c>
      <c r="B9188" t="inlineStr">
        <is>
          <t>Mx̄CLXXXVII</t>
        </is>
      </c>
      <c r="C9188">
        <f>ROMAN(9187)</f>
        <v/>
      </c>
      <c r="D9188">
        <f>IF(B9188=C9188, "YES", "WRONG")</f>
        <v/>
      </c>
    </row>
    <row r="9189">
      <c r="A9189" t="n">
        <v>9188</v>
      </c>
      <c r="B9189" t="inlineStr">
        <is>
          <t>Mx̄CLXXXVIII</t>
        </is>
      </c>
      <c r="C9189">
        <f>ROMAN(9188)</f>
        <v/>
      </c>
      <c r="D9189">
        <f>IF(B9189=C9189, "YES", "WRONG")</f>
        <v/>
      </c>
    </row>
    <row r="9190">
      <c r="A9190" t="n">
        <v>9189</v>
      </c>
      <c r="B9190" t="inlineStr">
        <is>
          <t>Mx̄CLXXXIX</t>
        </is>
      </c>
      <c r="C9190">
        <f>ROMAN(9189)</f>
        <v/>
      </c>
      <c r="D9190">
        <f>IF(B9190=C9190, "YES", "WRONG")</f>
        <v/>
      </c>
    </row>
    <row r="9191">
      <c r="A9191" t="n">
        <v>9190</v>
      </c>
      <c r="B9191" t="inlineStr">
        <is>
          <t>Mx̄CXC</t>
        </is>
      </c>
      <c r="C9191">
        <f>ROMAN(9190)</f>
        <v/>
      </c>
      <c r="D9191">
        <f>IF(B9191=C9191, "YES", "WRONG")</f>
        <v/>
      </c>
    </row>
    <row r="9192">
      <c r="A9192" t="n">
        <v>9191</v>
      </c>
      <c r="B9192" t="inlineStr">
        <is>
          <t>Mx̄CXCI</t>
        </is>
      </c>
      <c r="C9192">
        <f>ROMAN(9191)</f>
        <v/>
      </c>
      <c r="D9192">
        <f>IF(B9192=C9192, "YES", "WRONG")</f>
        <v/>
      </c>
    </row>
    <row r="9193">
      <c r="A9193" t="n">
        <v>9192</v>
      </c>
      <c r="B9193" t="inlineStr">
        <is>
          <t>Mx̄CXCII</t>
        </is>
      </c>
      <c r="C9193">
        <f>ROMAN(9192)</f>
        <v/>
      </c>
      <c r="D9193">
        <f>IF(B9193=C9193, "YES", "WRONG")</f>
        <v/>
      </c>
    </row>
    <row r="9194">
      <c r="A9194" t="n">
        <v>9193</v>
      </c>
      <c r="B9194" t="inlineStr">
        <is>
          <t>Mx̄CXCIII</t>
        </is>
      </c>
      <c r="C9194">
        <f>ROMAN(9193)</f>
        <v/>
      </c>
      <c r="D9194">
        <f>IF(B9194=C9194, "YES", "WRONG")</f>
        <v/>
      </c>
    </row>
    <row r="9195">
      <c r="A9195" t="n">
        <v>9194</v>
      </c>
      <c r="B9195" t="inlineStr">
        <is>
          <t>Mx̄CXCIV</t>
        </is>
      </c>
      <c r="C9195">
        <f>ROMAN(9194)</f>
        <v/>
      </c>
      <c r="D9195">
        <f>IF(B9195=C9195, "YES", "WRONG")</f>
        <v/>
      </c>
    </row>
    <row r="9196">
      <c r="A9196" t="n">
        <v>9195</v>
      </c>
      <c r="B9196" t="inlineStr">
        <is>
          <t>Mx̄CXCV</t>
        </is>
      </c>
      <c r="C9196">
        <f>ROMAN(9195)</f>
        <v/>
      </c>
      <c r="D9196">
        <f>IF(B9196=C9196, "YES", "WRONG")</f>
        <v/>
      </c>
    </row>
    <row r="9197">
      <c r="A9197" t="n">
        <v>9196</v>
      </c>
      <c r="B9197" t="inlineStr">
        <is>
          <t>Mx̄CXCVI</t>
        </is>
      </c>
      <c r="C9197">
        <f>ROMAN(9196)</f>
        <v/>
      </c>
      <c r="D9197">
        <f>IF(B9197=C9197, "YES", "WRONG")</f>
        <v/>
      </c>
    </row>
    <row r="9198">
      <c r="A9198" t="n">
        <v>9197</v>
      </c>
      <c r="B9198" t="inlineStr">
        <is>
          <t>Mx̄CXCVII</t>
        </is>
      </c>
      <c r="C9198">
        <f>ROMAN(9197)</f>
        <v/>
      </c>
      <c r="D9198">
        <f>IF(B9198=C9198, "YES", "WRONG")</f>
        <v/>
      </c>
    </row>
    <row r="9199">
      <c r="A9199" t="n">
        <v>9198</v>
      </c>
      <c r="B9199" t="inlineStr">
        <is>
          <t>Mx̄CXCVIII</t>
        </is>
      </c>
      <c r="C9199">
        <f>ROMAN(9198)</f>
        <v/>
      </c>
      <c r="D9199">
        <f>IF(B9199=C9199, "YES", "WRONG")</f>
        <v/>
      </c>
    </row>
    <row r="9200">
      <c r="A9200" t="n">
        <v>9199</v>
      </c>
      <c r="B9200" t="inlineStr">
        <is>
          <t>Mx̄CXCIX</t>
        </is>
      </c>
      <c r="C9200">
        <f>ROMAN(9199)</f>
        <v/>
      </c>
      <c r="D9200">
        <f>IF(B9200=C9200, "YES", "WRONG")</f>
        <v/>
      </c>
    </row>
    <row r="9201">
      <c r="A9201" t="n">
        <v>9200</v>
      </c>
      <c r="B9201" t="inlineStr">
        <is>
          <t>Mx̄CC</t>
        </is>
      </c>
      <c r="C9201">
        <f>ROMAN(9200)</f>
        <v/>
      </c>
      <c r="D9201">
        <f>IF(B9201=C9201, "YES", "WRONG")</f>
        <v/>
      </c>
    </row>
    <row r="9202">
      <c r="A9202" t="n">
        <v>9201</v>
      </c>
      <c r="B9202" t="inlineStr">
        <is>
          <t>Mx̄CCI</t>
        </is>
      </c>
      <c r="C9202">
        <f>ROMAN(9201)</f>
        <v/>
      </c>
      <c r="D9202">
        <f>IF(B9202=C9202, "YES", "WRONG")</f>
        <v/>
      </c>
    </row>
    <row r="9203">
      <c r="A9203" t="n">
        <v>9202</v>
      </c>
      <c r="B9203" t="inlineStr">
        <is>
          <t>Mx̄CCII</t>
        </is>
      </c>
      <c r="C9203">
        <f>ROMAN(9202)</f>
        <v/>
      </c>
      <c r="D9203">
        <f>IF(B9203=C9203, "YES", "WRONG")</f>
        <v/>
      </c>
    </row>
    <row r="9204">
      <c r="A9204" t="n">
        <v>9203</v>
      </c>
      <c r="B9204" t="inlineStr">
        <is>
          <t>Mx̄CCIII</t>
        </is>
      </c>
      <c r="C9204">
        <f>ROMAN(9203)</f>
        <v/>
      </c>
      <c r="D9204">
        <f>IF(B9204=C9204, "YES", "WRONG")</f>
        <v/>
      </c>
    </row>
    <row r="9205">
      <c r="A9205" t="n">
        <v>9204</v>
      </c>
      <c r="B9205" t="inlineStr">
        <is>
          <t>Mx̄CCIV</t>
        </is>
      </c>
      <c r="C9205">
        <f>ROMAN(9204)</f>
        <v/>
      </c>
      <c r="D9205">
        <f>IF(B9205=C9205, "YES", "WRONG")</f>
        <v/>
      </c>
    </row>
    <row r="9206">
      <c r="A9206" t="n">
        <v>9205</v>
      </c>
      <c r="B9206" t="inlineStr">
        <is>
          <t>Mx̄CCV</t>
        </is>
      </c>
      <c r="C9206">
        <f>ROMAN(9205)</f>
        <v/>
      </c>
      <c r="D9206">
        <f>IF(B9206=C9206, "YES", "WRONG")</f>
        <v/>
      </c>
    </row>
    <row r="9207">
      <c r="A9207" t="n">
        <v>9206</v>
      </c>
      <c r="B9207" t="inlineStr">
        <is>
          <t>Mx̄CCVI</t>
        </is>
      </c>
      <c r="C9207">
        <f>ROMAN(9206)</f>
        <v/>
      </c>
      <c r="D9207">
        <f>IF(B9207=C9207, "YES", "WRONG")</f>
        <v/>
      </c>
    </row>
    <row r="9208">
      <c r="A9208" t="n">
        <v>9207</v>
      </c>
      <c r="B9208" t="inlineStr">
        <is>
          <t>Mx̄CCVII</t>
        </is>
      </c>
      <c r="C9208">
        <f>ROMAN(9207)</f>
        <v/>
      </c>
      <c r="D9208">
        <f>IF(B9208=C9208, "YES", "WRONG")</f>
        <v/>
      </c>
    </row>
    <row r="9209">
      <c r="A9209" t="n">
        <v>9208</v>
      </c>
      <c r="B9209" t="inlineStr">
        <is>
          <t>Mx̄CCVIII</t>
        </is>
      </c>
      <c r="C9209">
        <f>ROMAN(9208)</f>
        <v/>
      </c>
      <c r="D9209">
        <f>IF(B9209=C9209, "YES", "WRONG")</f>
        <v/>
      </c>
    </row>
    <row r="9210">
      <c r="A9210" t="n">
        <v>9209</v>
      </c>
      <c r="B9210" t="inlineStr">
        <is>
          <t>Mx̄CCIX</t>
        </is>
      </c>
      <c r="C9210">
        <f>ROMAN(9209)</f>
        <v/>
      </c>
      <c r="D9210">
        <f>IF(B9210=C9210, "YES", "WRONG")</f>
        <v/>
      </c>
    </row>
    <row r="9211">
      <c r="A9211" t="n">
        <v>9210</v>
      </c>
      <c r="B9211" t="inlineStr">
        <is>
          <t>Mx̄CCX</t>
        </is>
      </c>
      <c r="C9211">
        <f>ROMAN(9210)</f>
        <v/>
      </c>
      <c r="D9211">
        <f>IF(B9211=C9211, "YES", "WRONG")</f>
        <v/>
      </c>
    </row>
    <row r="9212">
      <c r="A9212" t="n">
        <v>9211</v>
      </c>
      <c r="B9212" t="inlineStr">
        <is>
          <t>Mx̄CCXI</t>
        </is>
      </c>
      <c r="C9212">
        <f>ROMAN(9211)</f>
        <v/>
      </c>
      <c r="D9212">
        <f>IF(B9212=C9212, "YES", "WRONG")</f>
        <v/>
      </c>
    </row>
    <row r="9213">
      <c r="A9213" t="n">
        <v>9212</v>
      </c>
      <c r="B9213" t="inlineStr">
        <is>
          <t>Mx̄CCXII</t>
        </is>
      </c>
      <c r="C9213">
        <f>ROMAN(9212)</f>
        <v/>
      </c>
      <c r="D9213">
        <f>IF(B9213=C9213, "YES", "WRONG")</f>
        <v/>
      </c>
    </row>
    <row r="9214">
      <c r="A9214" t="n">
        <v>9213</v>
      </c>
      <c r="B9214" t="inlineStr">
        <is>
          <t>Mx̄CCXIII</t>
        </is>
      </c>
      <c r="C9214">
        <f>ROMAN(9213)</f>
        <v/>
      </c>
      <c r="D9214">
        <f>IF(B9214=C9214, "YES", "WRONG")</f>
        <v/>
      </c>
    </row>
    <row r="9215">
      <c r="A9215" t="n">
        <v>9214</v>
      </c>
      <c r="B9215" t="inlineStr">
        <is>
          <t>Mx̄CCXIV</t>
        </is>
      </c>
      <c r="C9215">
        <f>ROMAN(9214)</f>
        <v/>
      </c>
      <c r="D9215">
        <f>IF(B9215=C9215, "YES", "WRONG")</f>
        <v/>
      </c>
    </row>
    <row r="9216">
      <c r="A9216" t="n">
        <v>9215</v>
      </c>
      <c r="B9216" t="inlineStr">
        <is>
          <t>Mx̄CCXV</t>
        </is>
      </c>
      <c r="C9216">
        <f>ROMAN(9215)</f>
        <v/>
      </c>
      <c r="D9216">
        <f>IF(B9216=C9216, "YES", "WRONG")</f>
        <v/>
      </c>
    </row>
    <row r="9217">
      <c r="A9217" t="n">
        <v>9216</v>
      </c>
      <c r="B9217" t="inlineStr">
        <is>
          <t>Mx̄CCXVI</t>
        </is>
      </c>
      <c r="C9217">
        <f>ROMAN(9216)</f>
        <v/>
      </c>
      <c r="D9217">
        <f>IF(B9217=C9217, "YES", "WRONG")</f>
        <v/>
      </c>
    </row>
    <row r="9218">
      <c r="A9218" t="n">
        <v>9217</v>
      </c>
      <c r="B9218" t="inlineStr">
        <is>
          <t>Mx̄CCXVII</t>
        </is>
      </c>
      <c r="C9218">
        <f>ROMAN(9217)</f>
        <v/>
      </c>
      <c r="D9218">
        <f>IF(B9218=C9218, "YES", "WRONG")</f>
        <v/>
      </c>
    </row>
    <row r="9219">
      <c r="A9219" t="n">
        <v>9218</v>
      </c>
      <c r="B9219" t="inlineStr">
        <is>
          <t>Mx̄CCXVIII</t>
        </is>
      </c>
      <c r="C9219">
        <f>ROMAN(9218)</f>
        <v/>
      </c>
      <c r="D9219">
        <f>IF(B9219=C9219, "YES", "WRONG")</f>
        <v/>
      </c>
    </row>
    <row r="9220">
      <c r="A9220" t="n">
        <v>9219</v>
      </c>
      <c r="B9220" t="inlineStr">
        <is>
          <t>Mx̄CCXIX</t>
        </is>
      </c>
      <c r="C9220">
        <f>ROMAN(9219)</f>
        <v/>
      </c>
      <c r="D9220">
        <f>IF(B9220=C9220, "YES", "WRONG")</f>
        <v/>
      </c>
    </row>
    <row r="9221">
      <c r="A9221" t="n">
        <v>9220</v>
      </c>
      <c r="B9221" t="inlineStr">
        <is>
          <t>Mx̄CCXX</t>
        </is>
      </c>
      <c r="C9221">
        <f>ROMAN(9220)</f>
        <v/>
      </c>
      <c r="D9221">
        <f>IF(B9221=C9221, "YES", "WRONG")</f>
        <v/>
      </c>
    </row>
    <row r="9222">
      <c r="A9222" t="n">
        <v>9221</v>
      </c>
      <c r="B9222" t="inlineStr">
        <is>
          <t>Mx̄CCXXI</t>
        </is>
      </c>
      <c r="C9222">
        <f>ROMAN(9221)</f>
        <v/>
      </c>
      <c r="D9222">
        <f>IF(B9222=C9222, "YES", "WRONG")</f>
        <v/>
      </c>
    </row>
    <row r="9223">
      <c r="A9223" t="n">
        <v>9222</v>
      </c>
      <c r="B9223" t="inlineStr">
        <is>
          <t>Mx̄CCXXII</t>
        </is>
      </c>
      <c r="C9223">
        <f>ROMAN(9222)</f>
        <v/>
      </c>
      <c r="D9223">
        <f>IF(B9223=C9223, "YES", "WRONG")</f>
        <v/>
      </c>
    </row>
    <row r="9224">
      <c r="A9224" t="n">
        <v>9223</v>
      </c>
      <c r="B9224" t="inlineStr">
        <is>
          <t>Mx̄CCXXIII</t>
        </is>
      </c>
      <c r="C9224">
        <f>ROMAN(9223)</f>
        <v/>
      </c>
      <c r="D9224">
        <f>IF(B9224=C9224, "YES", "WRONG")</f>
        <v/>
      </c>
    </row>
    <row r="9225">
      <c r="A9225" t="n">
        <v>9224</v>
      </c>
      <c r="B9225" t="inlineStr">
        <is>
          <t>Mx̄CCXXIV</t>
        </is>
      </c>
      <c r="C9225">
        <f>ROMAN(9224)</f>
        <v/>
      </c>
      <c r="D9225">
        <f>IF(B9225=C9225, "YES", "WRONG")</f>
        <v/>
      </c>
    </row>
    <row r="9226">
      <c r="A9226" t="n">
        <v>9225</v>
      </c>
      <c r="B9226" t="inlineStr">
        <is>
          <t>Mx̄CCXXV</t>
        </is>
      </c>
      <c r="C9226">
        <f>ROMAN(9225)</f>
        <v/>
      </c>
      <c r="D9226">
        <f>IF(B9226=C9226, "YES", "WRONG")</f>
        <v/>
      </c>
    </row>
    <row r="9227">
      <c r="A9227" t="n">
        <v>9226</v>
      </c>
      <c r="B9227" t="inlineStr">
        <is>
          <t>Mx̄CCXXVI</t>
        </is>
      </c>
      <c r="C9227">
        <f>ROMAN(9226)</f>
        <v/>
      </c>
      <c r="D9227">
        <f>IF(B9227=C9227, "YES", "WRONG")</f>
        <v/>
      </c>
    </row>
    <row r="9228">
      <c r="A9228" t="n">
        <v>9227</v>
      </c>
      <c r="B9228" t="inlineStr">
        <is>
          <t>Mx̄CCXXVII</t>
        </is>
      </c>
      <c r="C9228">
        <f>ROMAN(9227)</f>
        <v/>
      </c>
      <c r="D9228">
        <f>IF(B9228=C9228, "YES", "WRONG")</f>
        <v/>
      </c>
    </row>
    <row r="9229">
      <c r="A9229" t="n">
        <v>9228</v>
      </c>
      <c r="B9229" t="inlineStr">
        <is>
          <t>Mx̄CCXXVIII</t>
        </is>
      </c>
      <c r="C9229">
        <f>ROMAN(9228)</f>
        <v/>
      </c>
      <c r="D9229">
        <f>IF(B9229=C9229, "YES", "WRONG")</f>
        <v/>
      </c>
    </row>
    <row r="9230">
      <c r="A9230" t="n">
        <v>9229</v>
      </c>
      <c r="B9230" t="inlineStr">
        <is>
          <t>Mx̄CCXXIX</t>
        </is>
      </c>
      <c r="C9230">
        <f>ROMAN(9229)</f>
        <v/>
      </c>
      <c r="D9230">
        <f>IF(B9230=C9230, "YES", "WRONG")</f>
        <v/>
      </c>
    </row>
    <row r="9231">
      <c r="A9231" t="n">
        <v>9230</v>
      </c>
      <c r="B9231" t="inlineStr">
        <is>
          <t>Mx̄CCXXX</t>
        </is>
      </c>
      <c r="C9231">
        <f>ROMAN(9230)</f>
        <v/>
      </c>
      <c r="D9231">
        <f>IF(B9231=C9231, "YES", "WRONG")</f>
        <v/>
      </c>
    </row>
    <row r="9232">
      <c r="A9232" t="n">
        <v>9231</v>
      </c>
      <c r="B9232" t="inlineStr">
        <is>
          <t>Mx̄CCXXXI</t>
        </is>
      </c>
      <c r="C9232">
        <f>ROMAN(9231)</f>
        <v/>
      </c>
      <c r="D9232">
        <f>IF(B9232=C9232, "YES", "WRONG")</f>
        <v/>
      </c>
    </row>
    <row r="9233">
      <c r="A9233" t="n">
        <v>9232</v>
      </c>
      <c r="B9233" t="inlineStr">
        <is>
          <t>Mx̄CCXXXII</t>
        </is>
      </c>
      <c r="C9233">
        <f>ROMAN(9232)</f>
        <v/>
      </c>
      <c r="D9233">
        <f>IF(B9233=C9233, "YES", "WRONG")</f>
        <v/>
      </c>
    </row>
    <row r="9234">
      <c r="A9234" t="n">
        <v>9233</v>
      </c>
      <c r="B9234" t="inlineStr">
        <is>
          <t>Mx̄CCXXXIII</t>
        </is>
      </c>
      <c r="C9234">
        <f>ROMAN(9233)</f>
        <v/>
      </c>
      <c r="D9234">
        <f>IF(B9234=C9234, "YES", "WRONG")</f>
        <v/>
      </c>
    </row>
    <row r="9235">
      <c r="A9235" t="n">
        <v>9234</v>
      </c>
      <c r="B9235" t="inlineStr">
        <is>
          <t>Mx̄CCXXXIV</t>
        </is>
      </c>
      <c r="C9235">
        <f>ROMAN(9234)</f>
        <v/>
      </c>
      <c r="D9235">
        <f>IF(B9235=C9235, "YES", "WRONG")</f>
        <v/>
      </c>
    </row>
    <row r="9236">
      <c r="A9236" t="n">
        <v>9235</v>
      </c>
      <c r="B9236" t="inlineStr">
        <is>
          <t>Mx̄CCXXXV</t>
        </is>
      </c>
      <c r="C9236">
        <f>ROMAN(9235)</f>
        <v/>
      </c>
      <c r="D9236">
        <f>IF(B9236=C9236, "YES", "WRONG")</f>
        <v/>
      </c>
    </row>
    <row r="9237">
      <c r="A9237" t="n">
        <v>9236</v>
      </c>
      <c r="B9237" t="inlineStr">
        <is>
          <t>Mx̄CCXXXVI</t>
        </is>
      </c>
      <c r="C9237">
        <f>ROMAN(9236)</f>
        <v/>
      </c>
      <c r="D9237">
        <f>IF(B9237=C9237, "YES", "WRONG")</f>
        <v/>
      </c>
    </row>
    <row r="9238">
      <c r="A9238" t="n">
        <v>9237</v>
      </c>
      <c r="B9238" t="inlineStr">
        <is>
          <t>Mx̄CCXXXVII</t>
        </is>
      </c>
      <c r="C9238">
        <f>ROMAN(9237)</f>
        <v/>
      </c>
      <c r="D9238">
        <f>IF(B9238=C9238, "YES", "WRONG")</f>
        <v/>
      </c>
    </row>
    <row r="9239">
      <c r="A9239" t="n">
        <v>9238</v>
      </c>
      <c r="B9239" t="inlineStr">
        <is>
          <t>Mx̄CCXXXVIII</t>
        </is>
      </c>
      <c r="C9239">
        <f>ROMAN(9238)</f>
        <v/>
      </c>
      <c r="D9239">
        <f>IF(B9239=C9239, "YES", "WRONG")</f>
        <v/>
      </c>
    </row>
    <row r="9240">
      <c r="A9240" t="n">
        <v>9239</v>
      </c>
      <c r="B9240" t="inlineStr">
        <is>
          <t>Mx̄CCXXXIX</t>
        </is>
      </c>
      <c r="C9240">
        <f>ROMAN(9239)</f>
        <v/>
      </c>
      <c r="D9240">
        <f>IF(B9240=C9240, "YES", "WRONG")</f>
        <v/>
      </c>
    </row>
    <row r="9241">
      <c r="A9241" t="n">
        <v>9240</v>
      </c>
      <c r="B9241" t="inlineStr">
        <is>
          <t>Mx̄CCXL</t>
        </is>
      </c>
      <c r="C9241">
        <f>ROMAN(9240)</f>
        <v/>
      </c>
      <c r="D9241">
        <f>IF(B9241=C9241, "YES", "WRONG")</f>
        <v/>
      </c>
    </row>
    <row r="9242">
      <c r="A9242" t="n">
        <v>9241</v>
      </c>
      <c r="B9242" t="inlineStr">
        <is>
          <t>Mx̄CCXLI</t>
        </is>
      </c>
      <c r="C9242">
        <f>ROMAN(9241)</f>
        <v/>
      </c>
      <c r="D9242">
        <f>IF(B9242=C9242, "YES", "WRONG")</f>
        <v/>
      </c>
    </row>
    <row r="9243">
      <c r="A9243" t="n">
        <v>9242</v>
      </c>
      <c r="B9243" t="inlineStr">
        <is>
          <t>Mx̄CCXLII</t>
        </is>
      </c>
      <c r="C9243">
        <f>ROMAN(9242)</f>
        <v/>
      </c>
      <c r="D9243">
        <f>IF(B9243=C9243, "YES", "WRONG")</f>
        <v/>
      </c>
    </row>
    <row r="9244">
      <c r="A9244" t="n">
        <v>9243</v>
      </c>
      <c r="B9244" t="inlineStr">
        <is>
          <t>Mx̄CCXLIII</t>
        </is>
      </c>
      <c r="C9244">
        <f>ROMAN(9243)</f>
        <v/>
      </c>
      <c r="D9244">
        <f>IF(B9244=C9244, "YES", "WRONG")</f>
        <v/>
      </c>
    </row>
    <row r="9245">
      <c r="A9245" t="n">
        <v>9244</v>
      </c>
      <c r="B9245" t="inlineStr">
        <is>
          <t>Mx̄CCXLIV</t>
        </is>
      </c>
      <c r="C9245">
        <f>ROMAN(9244)</f>
        <v/>
      </c>
      <c r="D9245">
        <f>IF(B9245=C9245, "YES", "WRONG")</f>
        <v/>
      </c>
    </row>
    <row r="9246">
      <c r="A9246" t="n">
        <v>9245</v>
      </c>
      <c r="B9246" t="inlineStr">
        <is>
          <t>Mx̄CCXLV</t>
        </is>
      </c>
      <c r="C9246">
        <f>ROMAN(9245)</f>
        <v/>
      </c>
      <c r="D9246">
        <f>IF(B9246=C9246, "YES", "WRONG")</f>
        <v/>
      </c>
    </row>
    <row r="9247">
      <c r="A9247" t="n">
        <v>9246</v>
      </c>
      <c r="B9247" t="inlineStr">
        <is>
          <t>Mx̄CCXLVI</t>
        </is>
      </c>
      <c r="C9247">
        <f>ROMAN(9246)</f>
        <v/>
      </c>
      <c r="D9247">
        <f>IF(B9247=C9247, "YES", "WRONG")</f>
        <v/>
      </c>
    </row>
    <row r="9248">
      <c r="A9248" t="n">
        <v>9247</v>
      </c>
      <c r="B9248" t="inlineStr">
        <is>
          <t>Mx̄CCXLVII</t>
        </is>
      </c>
      <c r="C9248">
        <f>ROMAN(9247)</f>
        <v/>
      </c>
      <c r="D9248">
        <f>IF(B9248=C9248, "YES", "WRONG")</f>
        <v/>
      </c>
    </row>
    <row r="9249">
      <c r="A9249" t="n">
        <v>9248</v>
      </c>
      <c r="B9249" t="inlineStr">
        <is>
          <t>Mx̄CCXLVIII</t>
        </is>
      </c>
      <c r="C9249">
        <f>ROMAN(9248)</f>
        <v/>
      </c>
      <c r="D9249">
        <f>IF(B9249=C9249, "YES", "WRONG")</f>
        <v/>
      </c>
    </row>
    <row r="9250">
      <c r="A9250" t="n">
        <v>9249</v>
      </c>
      <c r="B9250" t="inlineStr">
        <is>
          <t>Mx̄CCXLIX</t>
        </is>
      </c>
      <c r="C9250">
        <f>ROMAN(9249)</f>
        <v/>
      </c>
      <c r="D9250">
        <f>IF(B9250=C9250, "YES", "WRONG")</f>
        <v/>
      </c>
    </row>
    <row r="9251">
      <c r="A9251" t="n">
        <v>9250</v>
      </c>
      <c r="B9251" t="inlineStr">
        <is>
          <t>Mx̄CCL</t>
        </is>
      </c>
      <c r="C9251">
        <f>ROMAN(9250)</f>
        <v/>
      </c>
      <c r="D9251">
        <f>IF(B9251=C9251, "YES", "WRONG")</f>
        <v/>
      </c>
    </row>
    <row r="9252">
      <c r="A9252" t="n">
        <v>9251</v>
      </c>
      <c r="B9252" t="inlineStr">
        <is>
          <t>Mx̄CCLI</t>
        </is>
      </c>
      <c r="C9252">
        <f>ROMAN(9251)</f>
        <v/>
      </c>
      <c r="D9252">
        <f>IF(B9252=C9252, "YES", "WRONG")</f>
        <v/>
      </c>
    </row>
    <row r="9253">
      <c r="A9253" t="n">
        <v>9252</v>
      </c>
      <c r="B9253" t="inlineStr">
        <is>
          <t>Mx̄CCLII</t>
        </is>
      </c>
      <c r="C9253">
        <f>ROMAN(9252)</f>
        <v/>
      </c>
      <c r="D9253">
        <f>IF(B9253=C9253, "YES", "WRONG")</f>
        <v/>
      </c>
    </row>
    <row r="9254">
      <c r="A9254" t="n">
        <v>9253</v>
      </c>
      <c r="B9254" t="inlineStr">
        <is>
          <t>Mx̄CCLIII</t>
        </is>
      </c>
      <c r="C9254">
        <f>ROMAN(9253)</f>
        <v/>
      </c>
      <c r="D9254">
        <f>IF(B9254=C9254, "YES", "WRONG")</f>
        <v/>
      </c>
    </row>
    <row r="9255">
      <c r="A9255" t="n">
        <v>9254</v>
      </c>
      <c r="B9255" t="inlineStr">
        <is>
          <t>Mx̄CCLIV</t>
        </is>
      </c>
      <c r="C9255">
        <f>ROMAN(9254)</f>
        <v/>
      </c>
      <c r="D9255">
        <f>IF(B9255=C9255, "YES", "WRONG")</f>
        <v/>
      </c>
    </row>
    <row r="9256">
      <c r="A9256" t="n">
        <v>9255</v>
      </c>
      <c r="B9256" t="inlineStr">
        <is>
          <t>Mx̄CCLV</t>
        </is>
      </c>
      <c r="C9256">
        <f>ROMAN(9255)</f>
        <v/>
      </c>
      <c r="D9256">
        <f>IF(B9256=C9256, "YES", "WRONG")</f>
        <v/>
      </c>
    </row>
    <row r="9257">
      <c r="A9257" t="n">
        <v>9256</v>
      </c>
      <c r="B9257" t="inlineStr">
        <is>
          <t>Mx̄CCLVI</t>
        </is>
      </c>
      <c r="C9257">
        <f>ROMAN(9256)</f>
        <v/>
      </c>
      <c r="D9257">
        <f>IF(B9257=C9257, "YES", "WRONG")</f>
        <v/>
      </c>
    </row>
    <row r="9258">
      <c r="A9258" t="n">
        <v>9257</v>
      </c>
      <c r="B9258" t="inlineStr">
        <is>
          <t>Mx̄CCLVII</t>
        </is>
      </c>
      <c r="C9258">
        <f>ROMAN(9257)</f>
        <v/>
      </c>
      <c r="D9258">
        <f>IF(B9258=C9258, "YES", "WRONG")</f>
        <v/>
      </c>
    </row>
    <row r="9259">
      <c r="A9259" t="n">
        <v>9258</v>
      </c>
      <c r="B9259" t="inlineStr">
        <is>
          <t>Mx̄CCLVIII</t>
        </is>
      </c>
      <c r="C9259">
        <f>ROMAN(9258)</f>
        <v/>
      </c>
      <c r="D9259">
        <f>IF(B9259=C9259, "YES", "WRONG")</f>
        <v/>
      </c>
    </row>
    <row r="9260">
      <c r="A9260" t="n">
        <v>9259</v>
      </c>
      <c r="B9260" t="inlineStr">
        <is>
          <t>Mx̄CCLIX</t>
        </is>
      </c>
      <c r="C9260">
        <f>ROMAN(9259)</f>
        <v/>
      </c>
      <c r="D9260">
        <f>IF(B9260=C9260, "YES", "WRONG")</f>
        <v/>
      </c>
    </row>
    <row r="9261">
      <c r="A9261" t="n">
        <v>9260</v>
      </c>
      <c r="B9261" t="inlineStr">
        <is>
          <t>Mx̄CCLX</t>
        </is>
      </c>
      <c r="C9261">
        <f>ROMAN(9260)</f>
        <v/>
      </c>
      <c r="D9261">
        <f>IF(B9261=C9261, "YES", "WRONG")</f>
        <v/>
      </c>
    </row>
    <row r="9262">
      <c r="A9262" t="n">
        <v>9261</v>
      </c>
      <c r="B9262" t="inlineStr">
        <is>
          <t>Mx̄CCLXI</t>
        </is>
      </c>
      <c r="C9262">
        <f>ROMAN(9261)</f>
        <v/>
      </c>
      <c r="D9262">
        <f>IF(B9262=C9262, "YES", "WRONG")</f>
        <v/>
      </c>
    </row>
    <row r="9263">
      <c r="A9263" t="n">
        <v>9262</v>
      </c>
      <c r="B9263" t="inlineStr">
        <is>
          <t>Mx̄CCLXII</t>
        </is>
      </c>
      <c r="C9263">
        <f>ROMAN(9262)</f>
        <v/>
      </c>
      <c r="D9263">
        <f>IF(B9263=C9263, "YES", "WRONG")</f>
        <v/>
      </c>
    </row>
    <row r="9264">
      <c r="A9264" t="n">
        <v>9263</v>
      </c>
      <c r="B9264" t="inlineStr">
        <is>
          <t>Mx̄CCLXIII</t>
        </is>
      </c>
      <c r="C9264">
        <f>ROMAN(9263)</f>
        <v/>
      </c>
      <c r="D9264">
        <f>IF(B9264=C9264, "YES", "WRONG")</f>
        <v/>
      </c>
    </row>
    <row r="9265">
      <c r="A9265" t="n">
        <v>9264</v>
      </c>
      <c r="B9265" t="inlineStr">
        <is>
          <t>Mx̄CCLXIV</t>
        </is>
      </c>
      <c r="C9265">
        <f>ROMAN(9264)</f>
        <v/>
      </c>
      <c r="D9265">
        <f>IF(B9265=C9265, "YES", "WRONG")</f>
        <v/>
      </c>
    </row>
    <row r="9266">
      <c r="A9266" t="n">
        <v>9265</v>
      </c>
      <c r="B9266" t="inlineStr">
        <is>
          <t>Mx̄CCLXV</t>
        </is>
      </c>
      <c r="C9266">
        <f>ROMAN(9265)</f>
        <v/>
      </c>
      <c r="D9266">
        <f>IF(B9266=C9266, "YES", "WRONG")</f>
        <v/>
      </c>
    </row>
    <row r="9267">
      <c r="A9267" t="n">
        <v>9266</v>
      </c>
      <c r="B9267" t="inlineStr">
        <is>
          <t>Mx̄CCLXVI</t>
        </is>
      </c>
      <c r="C9267">
        <f>ROMAN(9266)</f>
        <v/>
      </c>
      <c r="D9267">
        <f>IF(B9267=C9267, "YES", "WRONG")</f>
        <v/>
      </c>
    </row>
    <row r="9268">
      <c r="A9268" t="n">
        <v>9267</v>
      </c>
      <c r="B9268" t="inlineStr">
        <is>
          <t>Mx̄CCLXVII</t>
        </is>
      </c>
      <c r="C9268">
        <f>ROMAN(9267)</f>
        <v/>
      </c>
      <c r="D9268">
        <f>IF(B9268=C9268, "YES", "WRONG")</f>
        <v/>
      </c>
    </row>
    <row r="9269">
      <c r="A9269" t="n">
        <v>9268</v>
      </c>
      <c r="B9269" t="inlineStr">
        <is>
          <t>Mx̄CCLXVIII</t>
        </is>
      </c>
      <c r="C9269">
        <f>ROMAN(9268)</f>
        <v/>
      </c>
      <c r="D9269">
        <f>IF(B9269=C9269, "YES", "WRONG")</f>
        <v/>
      </c>
    </row>
    <row r="9270">
      <c r="A9270" t="n">
        <v>9269</v>
      </c>
      <c r="B9270" t="inlineStr">
        <is>
          <t>Mx̄CCLXIX</t>
        </is>
      </c>
      <c r="C9270">
        <f>ROMAN(9269)</f>
        <v/>
      </c>
      <c r="D9270">
        <f>IF(B9270=C9270, "YES", "WRONG")</f>
        <v/>
      </c>
    </row>
    <row r="9271">
      <c r="A9271" t="n">
        <v>9270</v>
      </c>
      <c r="B9271" t="inlineStr">
        <is>
          <t>Mx̄CCLXX</t>
        </is>
      </c>
      <c r="C9271">
        <f>ROMAN(9270)</f>
        <v/>
      </c>
      <c r="D9271">
        <f>IF(B9271=C9271, "YES", "WRONG")</f>
        <v/>
      </c>
    </row>
    <row r="9272">
      <c r="A9272" t="n">
        <v>9271</v>
      </c>
      <c r="B9272" t="inlineStr">
        <is>
          <t>Mx̄CCLXXI</t>
        </is>
      </c>
      <c r="C9272">
        <f>ROMAN(9271)</f>
        <v/>
      </c>
      <c r="D9272">
        <f>IF(B9272=C9272, "YES", "WRONG")</f>
        <v/>
      </c>
    </row>
    <row r="9273">
      <c r="A9273" t="n">
        <v>9272</v>
      </c>
      <c r="B9273" t="inlineStr">
        <is>
          <t>Mx̄CCLXXII</t>
        </is>
      </c>
      <c r="C9273">
        <f>ROMAN(9272)</f>
        <v/>
      </c>
      <c r="D9273">
        <f>IF(B9273=C9273, "YES", "WRONG")</f>
        <v/>
      </c>
    </row>
    <row r="9274">
      <c r="A9274" t="n">
        <v>9273</v>
      </c>
      <c r="B9274" t="inlineStr">
        <is>
          <t>Mx̄CCLXXIII</t>
        </is>
      </c>
      <c r="C9274">
        <f>ROMAN(9273)</f>
        <v/>
      </c>
      <c r="D9274">
        <f>IF(B9274=C9274, "YES", "WRONG")</f>
        <v/>
      </c>
    </row>
    <row r="9275">
      <c r="A9275" t="n">
        <v>9274</v>
      </c>
      <c r="B9275" t="inlineStr">
        <is>
          <t>Mx̄CCLXXIV</t>
        </is>
      </c>
      <c r="C9275">
        <f>ROMAN(9274)</f>
        <v/>
      </c>
      <c r="D9275">
        <f>IF(B9275=C9275, "YES", "WRONG")</f>
        <v/>
      </c>
    </row>
    <row r="9276">
      <c r="A9276" t="n">
        <v>9275</v>
      </c>
      <c r="B9276" t="inlineStr">
        <is>
          <t>Mx̄CCLXXV</t>
        </is>
      </c>
      <c r="C9276">
        <f>ROMAN(9275)</f>
        <v/>
      </c>
      <c r="D9276">
        <f>IF(B9276=C9276, "YES", "WRONG")</f>
        <v/>
      </c>
    </row>
    <row r="9277">
      <c r="A9277" t="n">
        <v>9276</v>
      </c>
      <c r="B9277" t="inlineStr">
        <is>
          <t>Mx̄CCLXXVI</t>
        </is>
      </c>
      <c r="C9277">
        <f>ROMAN(9276)</f>
        <v/>
      </c>
      <c r="D9277">
        <f>IF(B9277=C9277, "YES", "WRONG")</f>
        <v/>
      </c>
    </row>
    <row r="9278">
      <c r="A9278" t="n">
        <v>9277</v>
      </c>
      <c r="B9278" t="inlineStr">
        <is>
          <t>Mx̄CCLXXVII</t>
        </is>
      </c>
      <c r="C9278">
        <f>ROMAN(9277)</f>
        <v/>
      </c>
      <c r="D9278">
        <f>IF(B9278=C9278, "YES", "WRONG")</f>
        <v/>
      </c>
    </row>
    <row r="9279">
      <c r="A9279" t="n">
        <v>9278</v>
      </c>
      <c r="B9279" t="inlineStr">
        <is>
          <t>Mx̄CCLXXVIII</t>
        </is>
      </c>
      <c r="C9279">
        <f>ROMAN(9278)</f>
        <v/>
      </c>
      <c r="D9279">
        <f>IF(B9279=C9279, "YES", "WRONG")</f>
        <v/>
      </c>
    </row>
    <row r="9280">
      <c r="A9280" t="n">
        <v>9279</v>
      </c>
      <c r="B9280" t="inlineStr">
        <is>
          <t>Mx̄CCLXXIX</t>
        </is>
      </c>
      <c r="C9280">
        <f>ROMAN(9279)</f>
        <v/>
      </c>
      <c r="D9280">
        <f>IF(B9280=C9280, "YES", "WRONG")</f>
        <v/>
      </c>
    </row>
    <row r="9281">
      <c r="A9281" t="n">
        <v>9280</v>
      </c>
      <c r="B9281" t="inlineStr">
        <is>
          <t>Mx̄CCLXXX</t>
        </is>
      </c>
      <c r="C9281">
        <f>ROMAN(9280)</f>
        <v/>
      </c>
      <c r="D9281">
        <f>IF(B9281=C9281, "YES", "WRONG")</f>
        <v/>
      </c>
    </row>
    <row r="9282">
      <c r="A9282" t="n">
        <v>9281</v>
      </c>
      <c r="B9282" t="inlineStr">
        <is>
          <t>Mx̄CCLXXXI</t>
        </is>
      </c>
      <c r="C9282">
        <f>ROMAN(9281)</f>
        <v/>
      </c>
      <c r="D9282">
        <f>IF(B9282=C9282, "YES", "WRONG")</f>
        <v/>
      </c>
    </row>
    <row r="9283">
      <c r="A9283" t="n">
        <v>9282</v>
      </c>
      <c r="B9283" t="inlineStr">
        <is>
          <t>Mx̄CCLXXXII</t>
        </is>
      </c>
      <c r="C9283">
        <f>ROMAN(9282)</f>
        <v/>
      </c>
      <c r="D9283">
        <f>IF(B9283=C9283, "YES", "WRONG")</f>
        <v/>
      </c>
    </row>
    <row r="9284">
      <c r="A9284" t="n">
        <v>9283</v>
      </c>
      <c r="B9284" t="inlineStr">
        <is>
          <t>Mx̄CCLXXXIII</t>
        </is>
      </c>
      <c r="C9284">
        <f>ROMAN(9283)</f>
        <v/>
      </c>
      <c r="D9284">
        <f>IF(B9284=C9284, "YES", "WRONG")</f>
        <v/>
      </c>
    </row>
    <row r="9285">
      <c r="A9285" t="n">
        <v>9284</v>
      </c>
      <c r="B9285" t="inlineStr">
        <is>
          <t>Mx̄CCLXXXIV</t>
        </is>
      </c>
      <c r="C9285">
        <f>ROMAN(9284)</f>
        <v/>
      </c>
      <c r="D9285">
        <f>IF(B9285=C9285, "YES", "WRONG")</f>
        <v/>
      </c>
    </row>
    <row r="9286">
      <c r="A9286" t="n">
        <v>9285</v>
      </c>
      <c r="B9286" t="inlineStr">
        <is>
          <t>Mx̄CCLXXXV</t>
        </is>
      </c>
      <c r="C9286">
        <f>ROMAN(9285)</f>
        <v/>
      </c>
      <c r="D9286">
        <f>IF(B9286=C9286, "YES", "WRONG")</f>
        <v/>
      </c>
    </row>
    <row r="9287">
      <c r="A9287" t="n">
        <v>9286</v>
      </c>
      <c r="B9287" t="inlineStr">
        <is>
          <t>Mx̄CCLXXXVI</t>
        </is>
      </c>
      <c r="C9287">
        <f>ROMAN(9286)</f>
        <v/>
      </c>
      <c r="D9287">
        <f>IF(B9287=C9287, "YES", "WRONG")</f>
        <v/>
      </c>
    </row>
    <row r="9288">
      <c r="A9288" t="n">
        <v>9287</v>
      </c>
      <c r="B9288" t="inlineStr">
        <is>
          <t>Mx̄CCLXXXVII</t>
        </is>
      </c>
      <c r="C9288">
        <f>ROMAN(9287)</f>
        <v/>
      </c>
      <c r="D9288">
        <f>IF(B9288=C9288, "YES", "WRONG")</f>
        <v/>
      </c>
    </row>
    <row r="9289">
      <c r="A9289" t="n">
        <v>9288</v>
      </c>
      <c r="B9289" t="inlineStr">
        <is>
          <t>Mx̄CCLXXXVIII</t>
        </is>
      </c>
      <c r="C9289">
        <f>ROMAN(9288)</f>
        <v/>
      </c>
      <c r="D9289">
        <f>IF(B9289=C9289, "YES", "WRONG")</f>
        <v/>
      </c>
    </row>
    <row r="9290">
      <c r="A9290" t="n">
        <v>9289</v>
      </c>
      <c r="B9290" t="inlineStr">
        <is>
          <t>Mx̄CCLXXXIX</t>
        </is>
      </c>
      <c r="C9290">
        <f>ROMAN(9289)</f>
        <v/>
      </c>
      <c r="D9290">
        <f>IF(B9290=C9290, "YES", "WRONG")</f>
        <v/>
      </c>
    </row>
    <row r="9291">
      <c r="A9291" t="n">
        <v>9290</v>
      </c>
      <c r="B9291" t="inlineStr">
        <is>
          <t>Mx̄CCXC</t>
        </is>
      </c>
      <c r="C9291">
        <f>ROMAN(9290)</f>
        <v/>
      </c>
      <c r="D9291">
        <f>IF(B9291=C9291, "YES", "WRONG")</f>
        <v/>
      </c>
    </row>
    <row r="9292">
      <c r="A9292" t="n">
        <v>9291</v>
      </c>
      <c r="B9292" t="inlineStr">
        <is>
          <t>Mx̄CCXCI</t>
        </is>
      </c>
      <c r="C9292">
        <f>ROMAN(9291)</f>
        <v/>
      </c>
      <c r="D9292">
        <f>IF(B9292=C9292, "YES", "WRONG")</f>
        <v/>
      </c>
    </row>
    <row r="9293">
      <c r="A9293" t="n">
        <v>9292</v>
      </c>
      <c r="B9293" t="inlineStr">
        <is>
          <t>Mx̄CCXCII</t>
        </is>
      </c>
      <c r="C9293">
        <f>ROMAN(9292)</f>
        <v/>
      </c>
      <c r="D9293">
        <f>IF(B9293=C9293, "YES", "WRONG")</f>
        <v/>
      </c>
    </row>
    <row r="9294">
      <c r="A9294" t="n">
        <v>9293</v>
      </c>
      <c r="B9294" t="inlineStr">
        <is>
          <t>Mx̄CCXCIII</t>
        </is>
      </c>
      <c r="C9294">
        <f>ROMAN(9293)</f>
        <v/>
      </c>
      <c r="D9294">
        <f>IF(B9294=C9294, "YES", "WRONG")</f>
        <v/>
      </c>
    </row>
    <row r="9295">
      <c r="A9295" t="n">
        <v>9294</v>
      </c>
      <c r="B9295" t="inlineStr">
        <is>
          <t>Mx̄CCXCIV</t>
        </is>
      </c>
      <c r="C9295">
        <f>ROMAN(9294)</f>
        <v/>
      </c>
      <c r="D9295">
        <f>IF(B9295=C9295, "YES", "WRONG")</f>
        <v/>
      </c>
    </row>
    <row r="9296">
      <c r="A9296" t="n">
        <v>9295</v>
      </c>
      <c r="B9296" t="inlineStr">
        <is>
          <t>Mx̄CCXCV</t>
        </is>
      </c>
      <c r="C9296">
        <f>ROMAN(9295)</f>
        <v/>
      </c>
      <c r="D9296">
        <f>IF(B9296=C9296, "YES", "WRONG")</f>
        <v/>
      </c>
    </row>
    <row r="9297">
      <c r="A9297" t="n">
        <v>9296</v>
      </c>
      <c r="B9297" t="inlineStr">
        <is>
          <t>Mx̄CCXCVI</t>
        </is>
      </c>
      <c r="C9297">
        <f>ROMAN(9296)</f>
        <v/>
      </c>
      <c r="D9297">
        <f>IF(B9297=C9297, "YES", "WRONG")</f>
        <v/>
      </c>
    </row>
    <row r="9298">
      <c r="A9298" t="n">
        <v>9297</v>
      </c>
      <c r="B9298" t="inlineStr">
        <is>
          <t>Mx̄CCXCVII</t>
        </is>
      </c>
      <c r="C9298">
        <f>ROMAN(9297)</f>
        <v/>
      </c>
      <c r="D9298">
        <f>IF(B9298=C9298, "YES", "WRONG")</f>
        <v/>
      </c>
    </row>
    <row r="9299">
      <c r="A9299" t="n">
        <v>9298</v>
      </c>
      <c r="B9299" t="inlineStr">
        <is>
          <t>Mx̄CCXCVIII</t>
        </is>
      </c>
      <c r="C9299">
        <f>ROMAN(9298)</f>
        <v/>
      </c>
      <c r="D9299">
        <f>IF(B9299=C9299, "YES", "WRONG")</f>
        <v/>
      </c>
    </row>
    <row r="9300">
      <c r="A9300" t="n">
        <v>9299</v>
      </c>
      <c r="B9300" t="inlineStr">
        <is>
          <t>Mx̄CCXCIX</t>
        </is>
      </c>
      <c r="C9300">
        <f>ROMAN(9299)</f>
        <v/>
      </c>
      <c r="D9300">
        <f>IF(B9300=C9300, "YES", "WRONG")</f>
        <v/>
      </c>
    </row>
    <row r="9301">
      <c r="A9301" t="n">
        <v>9300</v>
      </c>
      <c r="B9301" t="inlineStr">
        <is>
          <t>Mx̄CCC</t>
        </is>
      </c>
      <c r="C9301">
        <f>ROMAN(9300)</f>
        <v/>
      </c>
      <c r="D9301">
        <f>IF(B9301=C9301, "YES", "WRONG")</f>
        <v/>
      </c>
    </row>
    <row r="9302">
      <c r="A9302" t="n">
        <v>9301</v>
      </c>
      <c r="B9302" t="inlineStr">
        <is>
          <t>Mx̄CCCI</t>
        </is>
      </c>
      <c r="C9302">
        <f>ROMAN(9301)</f>
        <v/>
      </c>
      <c r="D9302">
        <f>IF(B9302=C9302, "YES", "WRONG")</f>
        <v/>
      </c>
    </row>
    <row r="9303">
      <c r="A9303" t="n">
        <v>9302</v>
      </c>
      <c r="B9303" t="inlineStr">
        <is>
          <t>Mx̄CCCII</t>
        </is>
      </c>
      <c r="C9303">
        <f>ROMAN(9302)</f>
        <v/>
      </c>
      <c r="D9303">
        <f>IF(B9303=C9303, "YES", "WRONG")</f>
        <v/>
      </c>
    </row>
    <row r="9304">
      <c r="A9304" t="n">
        <v>9303</v>
      </c>
      <c r="B9304" t="inlineStr">
        <is>
          <t>Mx̄CCCIII</t>
        </is>
      </c>
      <c r="C9304">
        <f>ROMAN(9303)</f>
        <v/>
      </c>
      <c r="D9304">
        <f>IF(B9304=C9304, "YES", "WRONG")</f>
        <v/>
      </c>
    </row>
    <row r="9305">
      <c r="A9305" t="n">
        <v>9304</v>
      </c>
      <c r="B9305" t="inlineStr">
        <is>
          <t>Mx̄CCCIV</t>
        </is>
      </c>
      <c r="C9305">
        <f>ROMAN(9304)</f>
        <v/>
      </c>
      <c r="D9305">
        <f>IF(B9305=C9305, "YES", "WRONG")</f>
        <v/>
      </c>
    </row>
    <row r="9306">
      <c r="A9306" t="n">
        <v>9305</v>
      </c>
      <c r="B9306" t="inlineStr">
        <is>
          <t>Mx̄CCCV</t>
        </is>
      </c>
      <c r="C9306">
        <f>ROMAN(9305)</f>
        <v/>
      </c>
      <c r="D9306">
        <f>IF(B9306=C9306, "YES", "WRONG")</f>
        <v/>
      </c>
    </row>
    <row r="9307">
      <c r="A9307" t="n">
        <v>9306</v>
      </c>
      <c r="B9307" t="inlineStr">
        <is>
          <t>Mx̄CCCVI</t>
        </is>
      </c>
      <c r="C9307">
        <f>ROMAN(9306)</f>
        <v/>
      </c>
      <c r="D9307">
        <f>IF(B9307=C9307, "YES", "WRONG")</f>
        <v/>
      </c>
    </row>
    <row r="9308">
      <c r="A9308" t="n">
        <v>9307</v>
      </c>
      <c r="B9308" t="inlineStr">
        <is>
          <t>Mx̄CCCVII</t>
        </is>
      </c>
      <c r="C9308">
        <f>ROMAN(9307)</f>
        <v/>
      </c>
      <c r="D9308">
        <f>IF(B9308=C9308, "YES", "WRONG")</f>
        <v/>
      </c>
    </row>
    <row r="9309">
      <c r="A9309" t="n">
        <v>9308</v>
      </c>
      <c r="B9309" t="inlineStr">
        <is>
          <t>Mx̄CCCVIII</t>
        </is>
      </c>
      <c r="C9309">
        <f>ROMAN(9308)</f>
        <v/>
      </c>
      <c r="D9309">
        <f>IF(B9309=C9309, "YES", "WRONG")</f>
        <v/>
      </c>
    </row>
    <row r="9310">
      <c r="A9310" t="n">
        <v>9309</v>
      </c>
      <c r="B9310" t="inlineStr">
        <is>
          <t>Mx̄CCCIX</t>
        </is>
      </c>
      <c r="C9310">
        <f>ROMAN(9309)</f>
        <v/>
      </c>
      <c r="D9310">
        <f>IF(B9310=C9310, "YES", "WRONG")</f>
        <v/>
      </c>
    </row>
    <row r="9311">
      <c r="A9311" t="n">
        <v>9310</v>
      </c>
      <c r="B9311" t="inlineStr">
        <is>
          <t>Mx̄CCCX</t>
        </is>
      </c>
      <c r="C9311">
        <f>ROMAN(9310)</f>
        <v/>
      </c>
      <c r="D9311">
        <f>IF(B9311=C9311, "YES", "WRONG")</f>
        <v/>
      </c>
    </row>
    <row r="9312">
      <c r="A9312" t="n">
        <v>9311</v>
      </c>
      <c r="B9312" t="inlineStr">
        <is>
          <t>Mx̄CCCXI</t>
        </is>
      </c>
      <c r="C9312">
        <f>ROMAN(9311)</f>
        <v/>
      </c>
      <c r="D9312">
        <f>IF(B9312=C9312, "YES", "WRONG")</f>
        <v/>
      </c>
    </row>
    <row r="9313">
      <c r="A9313" t="n">
        <v>9312</v>
      </c>
      <c r="B9313" t="inlineStr">
        <is>
          <t>Mx̄CCCXII</t>
        </is>
      </c>
      <c r="C9313">
        <f>ROMAN(9312)</f>
        <v/>
      </c>
      <c r="D9313">
        <f>IF(B9313=C9313, "YES", "WRONG")</f>
        <v/>
      </c>
    </row>
    <row r="9314">
      <c r="A9314" t="n">
        <v>9313</v>
      </c>
      <c r="B9314" t="inlineStr">
        <is>
          <t>Mx̄CCCXIII</t>
        </is>
      </c>
      <c r="C9314">
        <f>ROMAN(9313)</f>
        <v/>
      </c>
      <c r="D9314">
        <f>IF(B9314=C9314, "YES", "WRONG")</f>
        <v/>
      </c>
    </row>
    <row r="9315">
      <c r="A9315" t="n">
        <v>9314</v>
      </c>
      <c r="B9315" t="inlineStr">
        <is>
          <t>Mx̄CCCXIV</t>
        </is>
      </c>
      <c r="C9315">
        <f>ROMAN(9314)</f>
        <v/>
      </c>
      <c r="D9315">
        <f>IF(B9315=C9315, "YES", "WRONG")</f>
        <v/>
      </c>
    </row>
    <row r="9316">
      <c r="A9316" t="n">
        <v>9315</v>
      </c>
      <c r="B9316" t="inlineStr">
        <is>
          <t>Mx̄CCCXV</t>
        </is>
      </c>
      <c r="C9316">
        <f>ROMAN(9315)</f>
        <v/>
      </c>
      <c r="D9316">
        <f>IF(B9316=C9316, "YES", "WRONG")</f>
        <v/>
      </c>
    </row>
    <row r="9317">
      <c r="A9317" t="n">
        <v>9316</v>
      </c>
      <c r="B9317" t="inlineStr">
        <is>
          <t>Mx̄CCCXVI</t>
        </is>
      </c>
      <c r="C9317">
        <f>ROMAN(9316)</f>
        <v/>
      </c>
      <c r="D9317">
        <f>IF(B9317=C9317, "YES", "WRONG")</f>
        <v/>
      </c>
    </row>
    <row r="9318">
      <c r="A9318" t="n">
        <v>9317</v>
      </c>
      <c r="B9318" t="inlineStr">
        <is>
          <t>Mx̄CCCXVII</t>
        </is>
      </c>
      <c r="C9318">
        <f>ROMAN(9317)</f>
        <v/>
      </c>
      <c r="D9318">
        <f>IF(B9318=C9318, "YES", "WRONG")</f>
        <v/>
      </c>
    </row>
    <row r="9319">
      <c r="A9319" t="n">
        <v>9318</v>
      </c>
      <c r="B9319" t="inlineStr">
        <is>
          <t>Mx̄CCCXVIII</t>
        </is>
      </c>
      <c r="C9319">
        <f>ROMAN(9318)</f>
        <v/>
      </c>
      <c r="D9319">
        <f>IF(B9319=C9319, "YES", "WRONG")</f>
        <v/>
      </c>
    </row>
    <row r="9320">
      <c r="A9320" t="n">
        <v>9319</v>
      </c>
      <c r="B9320" t="inlineStr">
        <is>
          <t>Mx̄CCCXIX</t>
        </is>
      </c>
      <c r="C9320">
        <f>ROMAN(9319)</f>
        <v/>
      </c>
      <c r="D9320">
        <f>IF(B9320=C9320, "YES", "WRONG")</f>
        <v/>
      </c>
    </row>
    <row r="9321">
      <c r="A9321" t="n">
        <v>9320</v>
      </c>
      <c r="B9321" t="inlineStr">
        <is>
          <t>Mx̄CCCXX</t>
        </is>
      </c>
      <c r="C9321">
        <f>ROMAN(9320)</f>
        <v/>
      </c>
      <c r="D9321">
        <f>IF(B9321=C9321, "YES", "WRONG")</f>
        <v/>
      </c>
    </row>
    <row r="9322">
      <c r="A9322" t="n">
        <v>9321</v>
      </c>
      <c r="B9322" t="inlineStr">
        <is>
          <t>Mx̄CCCXXI</t>
        </is>
      </c>
      <c r="C9322">
        <f>ROMAN(9321)</f>
        <v/>
      </c>
      <c r="D9322">
        <f>IF(B9322=C9322, "YES", "WRONG")</f>
        <v/>
      </c>
    </row>
    <row r="9323">
      <c r="A9323" t="n">
        <v>9322</v>
      </c>
      <c r="B9323" t="inlineStr">
        <is>
          <t>Mx̄CCCXXII</t>
        </is>
      </c>
      <c r="C9323">
        <f>ROMAN(9322)</f>
        <v/>
      </c>
      <c r="D9323">
        <f>IF(B9323=C9323, "YES", "WRONG")</f>
        <v/>
      </c>
    </row>
    <row r="9324">
      <c r="A9324" t="n">
        <v>9323</v>
      </c>
      <c r="B9324" t="inlineStr">
        <is>
          <t>Mx̄CCCXXIII</t>
        </is>
      </c>
      <c r="C9324">
        <f>ROMAN(9323)</f>
        <v/>
      </c>
      <c r="D9324">
        <f>IF(B9324=C9324, "YES", "WRONG")</f>
        <v/>
      </c>
    </row>
    <row r="9325">
      <c r="A9325" t="n">
        <v>9324</v>
      </c>
      <c r="B9325" t="inlineStr">
        <is>
          <t>Mx̄CCCXXIV</t>
        </is>
      </c>
      <c r="C9325">
        <f>ROMAN(9324)</f>
        <v/>
      </c>
      <c r="D9325">
        <f>IF(B9325=C9325, "YES", "WRONG")</f>
        <v/>
      </c>
    </row>
    <row r="9326">
      <c r="A9326" t="n">
        <v>9325</v>
      </c>
      <c r="B9326" t="inlineStr">
        <is>
          <t>Mx̄CCCXXV</t>
        </is>
      </c>
      <c r="C9326">
        <f>ROMAN(9325)</f>
        <v/>
      </c>
      <c r="D9326">
        <f>IF(B9326=C9326, "YES", "WRONG")</f>
        <v/>
      </c>
    </row>
    <row r="9327">
      <c r="A9327" t="n">
        <v>9326</v>
      </c>
      <c r="B9327" t="inlineStr">
        <is>
          <t>Mx̄CCCXXVI</t>
        </is>
      </c>
      <c r="C9327">
        <f>ROMAN(9326)</f>
        <v/>
      </c>
      <c r="D9327">
        <f>IF(B9327=C9327, "YES", "WRONG")</f>
        <v/>
      </c>
    </row>
    <row r="9328">
      <c r="A9328" t="n">
        <v>9327</v>
      </c>
      <c r="B9328" t="inlineStr">
        <is>
          <t>Mx̄CCCXXVII</t>
        </is>
      </c>
      <c r="C9328">
        <f>ROMAN(9327)</f>
        <v/>
      </c>
      <c r="D9328">
        <f>IF(B9328=C9328, "YES", "WRONG")</f>
        <v/>
      </c>
    </row>
    <row r="9329">
      <c r="A9329" t="n">
        <v>9328</v>
      </c>
      <c r="B9329" t="inlineStr">
        <is>
          <t>Mx̄CCCXXVIII</t>
        </is>
      </c>
      <c r="C9329">
        <f>ROMAN(9328)</f>
        <v/>
      </c>
      <c r="D9329">
        <f>IF(B9329=C9329, "YES", "WRONG")</f>
        <v/>
      </c>
    </row>
    <row r="9330">
      <c r="A9330" t="n">
        <v>9329</v>
      </c>
      <c r="B9330" t="inlineStr">
        <is>
          <t>Mx̄CCCXXIX</t>
        </is>
      </c>
      <c r="C9330">
        <f>ROMAN(9329)</f>
        <v/>
      </c>
      <c r="D9330">
        <f>IF(B9330=C9330, "YES", "WRONG")</f>
        <v/>
      </c>
    </row>
    <row r="9331">
      <c r="A9331" t="n">
        <v>9330</v>
      </c>
      <c r="B9331" t="inlineStr">
        <is>
          <t>Mx̄CCCXXX</t>
        </is>
      </c>
      <c r="C9331">
        <f>ROMAN(9330)</f>
        <v/>
      </c>
      <c r="D9331">
        <f>IF(B9331=C9331, "YES", "WRONG")</f>
        <v/>
      </c>
    </row>
    <row r="9332">
      <c r="A9332" t="n">
        <v>9331</v>
      </c>
      <c r="B9332" t="inlineStr">
        <is>
          <t>Mx̄CCCXXXI</t>
        </is>
      </c>
      <c r="C9332">
        <f>ROMAN(9331)</f>
        <v/>
      </c>
      <c r="D9332">
        <f>IF(B9332=C9332, "YES", "WRONG")</f>
        <v/>
      </c>
    </row>
    <row r="9333">
      <c r="A9333" t="n">
        <v>9332</v>
      </c>
      <c r="B9333" t="inlineStr">
        <is>
          <t>Mx̄CCCXXXII</t>
        </is>
      </c>
      <c r="C9333">
        <f>ROMAN(9332)</f>
        <v/>
      </c>
      <c r="D9333">
        <f>IF(B9333=C9333, "YES", "WRONG")</f>
        <v/>
      </c>
    </row>
    <row r="9334">
      <c r="A9334" t="n">
        <v>9333</v>
      </c>
      <c r="B9334" t="inlineStr">
        <is>
          <t>Mx̄CCCXXXIII</t>
        </is>
      </c>
      <c r="C9334">
        <f>ROMAN(9333)</f>
        <v/>
      </c>
      <c r="D9334">
        <f>IF(B9334=C9334, "YES", "WRONG")</f>
        <v/>
      </c>
    </row>
    <row r="9335">
      <c r="A9335" t="n">
        <v>9334</v>
      </c>
      <c r="B9335" t="inlineStr">
        <is>
          <t>Mx̄CCCXXXIV</t>
        </is>
      </c>
      <c r="C9335">
        <f>ROMAN(9334)</f>
        <v/>
      </c>
      <c r="D9335">
        <f>IF(B9335=C9335, "YES", "WRONG")</f>
        <v/>
      </c>
    </row>
    <row r="9336">
      <c r="A9336" t="n">
        <v>9335</v>
      </c>
      <c r="B9336" t="inlineStr">
        <is>
          <t>Mx̄CCCXXXV</t>
        </is>
      </c>
      <c r="C9336">
        <f>ROMAN(9335)</f>
        <v/>
      </c>
      <c r="D9336">
        <f>IF(B9336=C9336, "YES", "WRONG")</f>
        <v/>
      </c>
    </row>
    <row r="9337">
      <c r="A9337" t="n">
        <v>9336</v>
      </c>
      <c r="B9337" t="inlineStr">
        <is>
          <t>Mx̄CCCXXXVI</t>
        </is>
      </c>
      <c r="C9337">
        <f>ROMAN(9336)</f>
        <v/>
      </c>
      <c r="D9337">
        <f>IF(B9337=C9337, "YES", "WRONG")</f>
        <v/>
      </c>
    </row>
    <row r="9338">
      <c r="A9338" t="n">
        <v>9337</v>
      </c>
      <c r="B9338" t="inlineStr">
        <is>
          <t>Mx̄CCCXXXVII</t>
        </is>
      </c>
      <c r="C9338">
        <f>ROMAN(9337)</f>
        <v/>
      </c>
      <c r="D9338">
        <f>IF(B9338=C9338, "YES", "WRONG")</f>
        <v/>
      </c>
    </row>
    <row r="9339">
      <c r="A9339" t="n">
        <v>9338</v>
      </c>
      <c r="B9339" t="inlineStr">
        <is>
          <t>Mx̄CCCXXXVIII</t>
        </is>
      </c>
      <c r="C9339">
        <f>ROMAN(9338)</f>
        <v/>
      </c>
      <c r="D9339">
        <f>IF(B9339=C9339, "YES", "WRONG")</f>
        <v/>
      </c>
    </row>
    <row r="9340">
      <c r="A9340" t="n">
        <v>9339</v>
      </c>
      <c r="B9340" t="inlineStr">
        <is>
          <t>Mx̄CCCXXXIX</t>
        </is>
      </c>
      <c r="C9340">
        <f>ROMAN(9339)</f>
        <v/>
      </c>
      <c r="D9340">
        <f>IF(B9340=C9340, "YES", "WRONG")</f>
        <v/>
      </c>
    </row>
    <row r="9341">
      <c r="A9341" t="n">
        <v>9340</v>
      </c>
      <c r="B9341" t="inlineStr">
        <is>
          <t>Mx̄CCCXL</t>
        </is>
      </c>
      <c r="C9341">
        <f>ROMAN(9340)</f>
        <v/>
      </c>
      <c r="D9341">
        <f>IF(B9341=C9341, "YES", "WRONG")</f>
        <v/>
      </c>
    </row>
    <row r="9342">
      <c r="A9342" t="n">
        <v>9341</v>
      </c>
      <c r="B9342" t="inlineStr">
        <is>
          <t>Mx̄CCCXLI</t>
        </is>
      </c>
      <c r="C9342">
        <f>ROMAN(9341)</f>
        <v/>
      </c>
      <c r="D9342">
        <f>IF(B9342=C9342, "YES", "WRONG")</f>
        <v/>
      </c>
    </row>
    <row r="9343">
      <c r="A9343" t="n">
        <v>9342</v>
      </c>
      <c r="B9343" t="inlineStr">
        <is>
          <t>Mx̄CCCXLII</t>
        </is>
      </c>
      <c r="C9343">
        <f>ROMAN(9342)</f>
        <v/>
      </c>
      <c r="D9343">
        <f>IF(B9343=C9343, "YES", "WRONG")</f>
        <v/>
      </c>
    </row>
    <row r="9344">
      <c r="A9344" t="n">
        <v>9343</v>
      </c>
      <c r="B9344" t="inlineStr">
        <is>
          <t>Mx̄CCCXLIII</t>
        </is>
      </c>
      <c r="C9344">
        <f>ROMAN(9343)</f>
        <v/>
      </c>
      <c r="D9344">
        <f>IF(B9344=C9344, "YES", "WRONG")</f>
        <v/>
      </c>
    </row>
    <row r="9345">
      <c r="A9345" t="n">
        <v>9344</v>
      </c>
      <c r="B9345" t="inlineStr">
        <is>
          <t>Mx̄CCCXLIV</t>
        </is>
      </c>
      <c r="C9345">
        <f>ROMAN(9344)</f>
        <v/>
      </c>
      <c r="D9345">
        <f>IF(B9345=C9345, "YES", "WRONG")</f>
        <v/>
      </c>
    </row>
    <row r="9346">
      <c r="A9346" t="n">
        <v>9345</v>
      </c>
      <c r="B9346" t="inlineStr">
        <is>
          <t>Mx̄CCCXLV</t>
        </is>
      </c>
      <c r="C9346">
        <f>ROMAN(9345)</f>
        <v/>
      </c>
      <c r="D9346">
        <f>IF(B9346=C9346, "YES", "WRONG")</f>
        <v/>
      </c>
    </row>
    <row r="9347">
      <c r="A9347" t="n">
        <v>9346</v>
      </c>
      <c r="B9347" t="inlineStr">
        <is>
          <t>Mx̄CCCXLVI</t>
        </is>
      </c>
      <c r="C9347">
        <f>ROMAN(9346)</f>
        <v/>
      </c>
      <c r="D9347">
        <f>IF(B9347=C9347, "YES", "WRONG")</f>
        <v/>
      </c>
    </row>
    <row r="9348">
      <c r="A9348" t="n">
        <v>9347</v>
      </c>
      <c r="B9348" t="inlineStr">
        <is>
          <t>Mx̄CCCXLVII</t>
        </is>
      </c>
      <c r="C9348">
        <f>ROMAN(9347)</f>
        <v/>
      </c>
      <c r="D9348">
        <f>IF(B9348=C9348, "YES", "WRONG")</f>
        <v/>
      </c>
    </row>
    <row r="9349">
      <c r="A9349" t="n">
        <v>9348</v>
      </c>
      <c r="B9349" t="inlineStr">
        <is>
          <t>Mx̄CCCXLVIII</t>
        </is>
      </c>
      <c r="C9349">
        <f>ROMAN(9348)</f>
        <v/>
      </c>
      <c r="D9349">
        <f>IF(B9349=C9349, "YES", "WRONG")</f>
        <v/>
      </c>
    </row>
    <row r="9350">
      <c r="A9350" t="n">
        <v>9349</v>
      </c>
      <c r="B9350" t="inlineStr">
        <is>
          <t>Mx̄CCCXLIX</t>
        </is>
      </c>
      <c r="C9350">
        <f>ROMAN(9349)</f>
        <v/>
      </c>
      <c r="D9350">
        <f>IF(B9350=C9350, "YES", "WRONG")</f>
        <v/>
      </c>
    </row>
    <row r="9351">
      <c r="A9351" t="n">
        <v>9350</v>
      </c>
      <c r="B9351" t="inlineStr">
        <is>
          <t>Mx̄CCCL</t>
        </is>
      </c>
      <c r="C9351">
        <f>ROMAN(9350)</f>
        <v/>
      </c>
      <c r="D9351">
        <f>IF(B9351=C9351, "YES", "WRONG")</f>
        <v/>
      </c>
    </row>
    <row r="9352">
      <c r="A9352" t="n">
        <v>9351</v>
      </c>
      <c r="B9352" t="inlineStr">
        <is>
          <t>Mx̄CCCLI</t>
        </is>
      </c>
      <c r="C9352">
        <f>ROMAN(9351)</f>
        <v/>
      </c>
      <c r="D9352">
        <f>IF(B9352=C9352, "YES", "WRONG")</f>
        <v/>
      </c>
    </row>
    <row r="9353">
      <c r="A9353" t="n">
        <v>9352</v>
      </c>
      <c r="B9353" t="inlineStr">
        <is>
          <t>Mx̄CCCLII</t>
        </is>
      </c>
      <c r="C9353">
        <f>ROMAN(9352)</f>
        <v/>
      </c>
      <c r="D9353">
        <f>IF(B9353=C9353, "YES", "WRONG")</f>
        <v/>
      </c>
    </row>
    <row r="9354">
      <c r="A9354" t="n">
        <v>9353</v>
      </c>
      <c r="B9354" t="inlineStr">
        <is>
          <t>Mx̄CCCLIII</t>
        </is>
      </c>
      <c r="C9354">
        <f>ROMAN(9353)</f>
        <v/>
      </c>
      <c r="D9354">
        <f>IF(B9354=C9354, "YES", "WRONG")</f>
        <v/>
      </c>
    </row>
    <row r="9355">
      <c r="A9355" t="n">
        <v>9354</v>
      </c>
      <c r="B9355" t="inlineStr">
        <is>
          <t>Mx̄CCCLIV</t>
        </is>
      </c>
      <c r="C9355">
        <f>ROMAN(9354)</f>
        <v/>
      </c>
      <c r="D9355">
        <f>IF(B9355=C9355, "YES", "WRONG")</f>
        <v/>
      </c>
    </row>
    <row r="9356">
      <c r="A9356" t="n">
        <v>9355</v>
      </c>
      <c r="B9356" t="inlineStr">
        <is>
          <t>Mx̄CCCLV</t>
        </is>
      </c>
      <c r="C9356">
        <f>ROMAN(9355)</f>
        <v/>
      </c>
      <c r="D9356">
        <f>IF(B9356=C9356, "YES", "WRONG")</f>
        <v/>
      </c>
    </row>
    <row r="9357">
      <c r="A9357" t="n">
        <v>9356</v>
      </c>
      <c r="B9357" t="inlineStr">
        <is>
          <t>Mx̄CCCLVI</t>
        </is>
      </c>
      <c r="C9357">
        <f>ROMAN(9356)</f>
        <v/>
      </c>
      <c r="D9357">
        <f>IF(B9357=C9357, "YES", "WRONG")</f>
        <v/>
      </c>
    </row>
    <row r="9358">
      <c r="A9358" t="n">
        <v>9357</v>
      </c>
      <c r="B9358" t="inlineStr">
        <is>
          <t>Mx̄CCCLVII</t>
        </is>
      </c>
      <c r="C9358">
        <f>ROMAN(9357)</f>
        <v/>
      </c>
      <c r="D9358">
        <f>IF(B9358=C9358, "YES", "WRONG")</f>
        <v/>
      </c>
    </row>
    <row r="9359">
      <c r="A9359" t="n">
        <v>9358</v>
      </c>
      <c r="B9359" t="inlineStr">
        <is>
          <t>Mx̄CCCLVIII</t>
        </is>
      </c>
      <c r="C9359">
        <f>ROMAN(9358)</f>
        <v/>
      </c>
      <c r="D9359">
        <f>IF(B9359=C9359, "YES", "WRONG")</f>
        <v/>
      </c>
    </row>
    <row r="9360">
      <c r="A9360" t="n">
        <v>9359</v>
      </c>
      <c r="B9360" t="inlineStr">
        <is>
          <t>Mx̄CCCLIX</t>
        </is>
      </c>
      <c r="C9360">
        <f>ROMAN(9359)</f>
        <v/>
      </c>
      <c r="D9360">
        <f>IF(B9360=C9360, "YES", "WRONG")</f>
        <v/>
      </c>
    </row>
    <row r="9361">
      <c r="A9361" t="n">
        <v>9360</v>
      </c>
      <c r="B9361" t="inlineStr">
        <is>
          <t>Mx̄CCCLX</t>
        </is>
      </c>
      <c r="C9361">
        <f>ROMAN(9360)</f>
        <v/>
      </c>
      <c r="D9361">
        <f>IF(B9361=C9361, "YES", "WRONG")</f>
        <v/>
      </c>
    </row>
    <row r="9362">
      <c r="A9362" t="n">
        <v>9361</v>
      </c>
      <c r="B9362" t="inlineStr">
        <is>
          <t>Mx̄CCCLXI</t>
        </is>
      </c>
      <c r="C9362">
        <f>ROMAN(9361)</f>
        <v/>
      </c>
      <c r="D9362">
        <f>IF(B9362=C9362, "YES", "WRONG")</f>
        <v/>
      </c>
    </row>
    <row r="9363">
      <c r="A9363" t="n">
        <v>9362</v>
      </c>
      <c r="B9363" t="inlineStr">
        <is>
          <t>Mx̄CCCLXII</t>
        </is>
      </c>
      <c r="C9363">
        <f>ROMAN(9362)</f>
        <v/>
      </c>
      <c r="D9363">
        <f>IF(B9363=C9363, "YES", "WRONG")</f>
        <v/>
      </c>
    </row>
    <row r="9364">
      <c r="A9364" t="n">
        <v>9363</v>
      </c>
      <c r="B9364" t="inlineStr">
        <is>
          <t>Mx̄CCCLXIII</t>
        </is>
      </c>
      <c r="C9364">
        <f>ROMAN(9363)</f>
        <v/>
      </c>
      <c r="D9364">
        <f>IF(B9364=C9364, "YES", "WRONG")</f>
        <v/>
      </c>
    </row>
    <row r="9365">
      <c r="A9365" t="n">
        <v>9364</v>
      </c>
      <c r="B9365" t="inlineStr">
        <is>
          <t>Mx̄CCCLXIV</t>
        </is>
      </c>
      <c r="C9365">
        <f>ROMAN(9364)</f>
        <v/>
      </c>
      <c r="D9365">
        <f>IF(B9365=C9365, "YES", "WRONG")</f>
        <v/>
      </c>
    </row>
    <row r="9366">
      <c r="A9366" t="n">
        <v>9365</v>
      </c>
      <c r="B9366" t="inlineStr">
        <is>
          <t>Mx̄CCCLXV</t>
        </is>
      </c>
      <c r="C9366">
        <f>ROMAN(9365)</f>
        <v/>
      </c>
      <c r="D9366">
        <f>IF(B9366=C9366, "YES", "WRONG")</f>
        <v/>
      </c>
    </row>
    <row r="9367">
      <c r="A9367" t="n">
        <v>9366</v>
      </c>
      <c r="B9367" t="inlineStr">
        <is>
          <t>Mx̄CCCLXVI</t>
        </is>
      </c>
      <c r="C9367">
        <f>ROMAN(9366)</f>
        <v/>
      </c>
      <c r="D9367">
        <f>IF(B9367=C9367, "YES", "WRONG")</f>
        <v/>
      </c>
    </row>
    <row r="9368">
      <c r="A9368" t="n">
        <v>9367</v>
      </c>
      <c r="B9368" t="inlineStr">
        <is>
          <t>Mx̄CCCLXVII</t>
        </is>
      </c>
      <c r="C9368">
        <f>ROMAN(9367)</f>
        <v/>
      </c>
      <c r="D9368">
        <f>IF(B9368=C9368, "YES", "WRONG")</f>
        <v/>
      </c>
    </row>
    <row r="9369">
      <c r="A9369" t="n">
        <v>9368</v>
      </c>
      <c r="B9369" t="inlineStr">
        <is>
          <t>Mx̄CCCLXVIII</t>
        </is>
      </c>
      <c r="C9369">
        <f>ROMAN(9368)</f>
        <v/>
      </c>
      <c r="D9369">
        <f>IF(B9369=C9369, "YES", "WRONG")</f>
        <v/>
      </c>
    </row>
    <row r="9370">
      <c r="A9370" t="n">
        <v>9369</v>
      </c>
      <c r="B9370" t="inlineStr">
        <is>
          <t>Mx̄CCCLXIX</t>
        </is>
      </c>
      <c r="C9370">
        <f>ROMAN(9369)</f>
        <v/>
      </c>
      <c r="D9370">
        <f>IF(B9370=C9370, "YES", "WRONG")</f>
        <v/>
      </c>
    </row>
    <row r="9371">
      <c r="A9371" t="n">
        <v>9370</v>
      </c>
      <c r="B9371" t="inlineStr">
        <is>
          <t>Mx̄CCCLXX</t>
        </is>
      </c>
      <c r="C9371">
        <f>ROMAN(9370)</f>
        <v/>
      </c>
      <c r="D9371">
        <f>IF(B9371=C9371, "YES", "WRONG")</f>
        <v/>
      </c>
    </row>
    <row r="9372">
      <c r="A9372" t="n">
        <v>9371</v>
      </c>
      <c r="B9372" t="inlineStr">
        <is>
          <t>Mx̄CCCLXXI</t>
        </is>
      </c>
      <c r="C9372">
        <f>ROMAN(9371)</f>
        <v/>
      </c>
      <c r="D9372">
        <f>IF(B9372=C9372, "YES", "WRONG")</f>
        <v/>
      </c>
    </row>
    <row r="9373">
      <c r="A9373" t="n">
        <v>9372</v>
      </c>
      <c r="B9373" t="inlineStr">
        <is>
          <t>Mx̄CCCLXXII</t>
        </is>
      </c>
      <c r="C9373">
        <f>ROMAN(9372)</f>
        <v/>
      </c>
      <c r="D9373">
        <f>IF(B9373=C9373, "YES", "WRONG")</f>
        <v/>
      </c>
    </row>
    <row r="9374">
      <c r="A9374" t="n">
        <v>9373</v>
      </c>
      <c r="B9374" t="inlineStr">
        <is>
          <t>Mx̄CCCLXXIII</t>
        </is>
      </c>
      <c r="C9374">
        <f>ROMAN(9373)</f>
        <v/>
      </c>
      <c r="D9374">
        <f>IF(B9374=C9374, "YES", "WRONG")</f>
        <v/>
      </c>
    </row>
    <row r="9375">
      <c r="A9375" t="n">
        <v>9374</v>
      </c>
      <c r="B9375" t="inlineStr">
        <is>
          <t>Mx̄CCCLXXIV</t>
        </is>
      </c>
      <c r="C9375">
        <f>ROMAN(9374)</f>
        <v/>
      </c>
      <c r="D9375">
        <f>IF(B9375=C9375, "YES", "WRONG")</f>
        <v/>
      </c>
    </row>
    <row r="9376">
      <c r="A9376" t="n">
        <v>9375</v>
      </c>
      <c r="B9376" t="inlineStr">
        <is>
          <t>Mx̄CCCLXXV</t>
        </is>
      </c>
      <c r="C9376">
        <f>ROMAN(9375)</f>
        <v/>
      </c>
      <c r="D9376">
        <f>IF(B9376=C9376, "YES", "WRONG")</f>
        <v/>
      </c>
    </row>
    <row r="9377">
      <c r="A9377" t="n">
        <v>9376</v>
      </c>
      <c r="B9377" t="inlineStr">
        <is>
          <t>Mx̄CCCLXXVI</t>
        </is>
      </c>
      <c r="C9377">
        <f>ROMAN(9376)</f>
        <v/>
      </c>
      <c r="D9377">
        <f>IF(B9377=C9377, "YES", "WRONG")</f>
        <v/>
      </c>
    </row>
    <row r="9378">
      <c r="A9378" t="n">
        <v>9377</v>
      </c>
      <c r="B9378" t="inlineStr">
        <is>
          <t>Mx̄CCCLXXVII</t>
        </is>
      </c>
      <c r="C9378">
        <f>ROMAN(9377)</f>
        <v/>
      </c>
      <c r="D9378">
        <f>IF(B9378=C9378, "YES", "WRONG")</f>
        <v/>
      </c>
    </row>
    <row r="9379">
      <c r="A9379" t="n">
        <v>9378</v>
      </c>
      <c r="B9379" t="inlineStr">
        <is>
          <t>Mx̄CCCLXXVIII</t>
        </is>
      </c>
      <c r="C9379">
        <f>ROMAN(9378)</f>
        <v/>
      </c>
      <c r="D9379">
        <f>IF(B9379=C9379, "YES", "WRONG")</f>
        <v/>
      </c>
    </row>
    <row r="9380">
      <c r="A9380" t="n">
        <v>9379</v>
      </c>
      <c r="B9380" t="inlineStr">
        <is>
          <t>Mx̄CCCLXXIX</t>
        </is>
      </c>
      <c r="C9380">
        <f>ROMAN(9379)</f>
        <v/>
      </c>
      <c r="D9380">
        <f>IF(B9380=C9380, "YES", "WRONG")</f>
        <v/>
      </c>
    </row>
    <row r="9381">
      <c r="A9381" t="n">
        <v>9380</v>
      </c>
      <c r="B9381" t="inlineStr">
        <is>
          <t>Mx̄CCCLXXX</t>
        </is>
      </c>
      <c r="C9381">
        <f>ROMAN(9380)</f>
        <v/>
      </c>
      <c r="D9381">
        <f>IF(B9381=C9381, "YES", "WRONG")</f>
        <v/>
      </c>
    </row>
    <row r="9382">
      <c r="A9382" t="n">
        <v>9381</v>
      </c>
      <c r="B9382" t="inlineStr">
        <is>
          <t>Mx̄CCCLXXXI</t>
        </is>
      </c>
      <c r="C9382">
        <f>ROMAN(9381)</f>
        <v/>
      </c>
      <c r="D9382">
        <f>IF(B9382=C9382, "YES", "WRONG")</f>
        <v/>
      </c>
    </row>
    <row r="9383">
      <c r="A9383" t="n">
        <v>9382</v>
      </c>
      <c r="B9383" t="inlineStr">
        <is>
          <t>Mx̄CCCLXXXII</t>
        </is>
      </c>
      <c r="C9383">
        <f>ROMAN(9382)</f>
        <v/>
      </c>
      <c r="D9383">
        <f>IF(B9383=C9383, "YES", "WRONG")</f>
        <v/>
      </c>
    </row>
    <row r="9384">
      <c r="A9384" t="n">
        <v>9383</v>
      </c>
      <c r="B9384" t="inlineStr">
        <is>
          <t>Mx̄CCCLXXXIII</t>
        </is>
      </c>
      <c r="C9384">
        <f>ROMAN(9383)</f>
        <v/>
      </c>
      <c r="D9384">
        <f>IF(B9384=C9384, "YES", "WRONG")</f>
        <v/>
      </c>
    </row>
    <row r="9385">
      <c r="A9385" t="n">
        <v>9384</v>
      </c>
      <c r="B9385" t="inlineStr">
        <is>
          <t>Mx̄CCCLXXXIV</t>
        </is>
      </c>
      <c r="C9385">
        <f>ROMAN(9384)</f>
        <v/>
      </c>
      <c r="D9385">
        <f>IF(B9385=C9385, "YES", "WRONG")</f>
        <v/>
      </c>
    </row>
    <row r="9386">
      <c r="A9386" t="n">
        <v>9385</v>
      </c>
      <c r="B9386" t="inlineStr">
        <is>
          <t>Mx̄CCCLXXXV</t>
        </is>
      </c>
      <c r="C9386">
        <f>ROMAN(9385)</f>
        <v/>
      </c>
      <c r="D9386">
        <f>IF(B9386=C9386, "YES", "WRONG")</f>
        <v/>
      </c>
    </row>
    <row r="9387">
      <c r="A9387" t="n">
        <v>9386</v>
      </c>
      <c r="B9387" t="inlineStr">
        <is>
          <t>Mx̄CCCLXXXVI</t>
        </is>
      </c>
      <c r="C9387">
        <f>ROMAN(9386)</f>
        <v/>
      </c>
      <c r="D9387">
        <f>IF(B9387=C9387, "YES", "WRONG")</f>
        <v/>
      </c>
    </row>
    <row r="9388">
      <c r="A9388" t="n">
        <v>9387</v>
      </c>
      <c r="B9388" t="inlineStr">
        <is>
          <t>Mx̄CCCLXXXVII</t>
        </is>
      </c>
      <c r="C9388">
        <f>ROMAN(9387)</f>
        <v/>
      </c>
      <c r="D9388">
        <f>IF(B9388=C9388, "YES", "WRONG")</f>
        <v/>
      </c>
    </row>
    <row r="9389">
      <c r="A9389" t="n">
        <v>9388</v>
      </c>
      <c r="B9389" t="inlineStr">
        <is>
          <t>Mx̄CCCLXXXVIII</t>
        </is>
      </c>
      <c r="C9389">
        <f>ROMAN(9388)</f>
        <v/>
      </c>
      <c r="D9389">
        <f>IF(B9389=C9389, "YES", "WRONG")</f>
        <v/>
      </c>
    </row>
    <row r="9390">
      <c r="A9390" t="n">
        <v>9389</v>
      </c>
      <c r="B9390" t="inlineStr">
        <is>
          <t>Mx̄CCCLXXXIX</t>
        </is>
      </c>
      <c r="C9390">
        <f>ROMAN(9389)</f>
        <v/>
      </c>
      <c r="D9390">
        <f>IF(B9390=C9390, "YES", "WRONG")</f>
        <v/>
      </c>
    </row>
    <row r="9391">
      <c r="A9391" t="n">
        <v>9390</v>
      </c>
      <c r="B9391" t="inlineStr">
        <is>
          <t>Mx̄CCCXC</t>
        </is>
      </c>
      <c r="C9391">
        <f>ROMAN(9390)</f>
        <v/>
      </c>
      <c r="D9391">
        <f>IF(B9391=C9391, "YES", "WRONG")</f>
        <v/>
      </c>
    </row>
    <row r="9392">
      <c r="A9392" t="n">
        <v>9391</v>
      </c>
      <c r="B9392" t="inlineStr">
        <is>
          <t>Mx̄CCCXCI</t>
        </is>
      </c>
      <c r="C9392">
        <f>ROMAN(9391)</f>
        <v/>
      </c>
      <c r="D9392">
        <f>IF(B9392=C9392, "YES", "WRONG")</f>
        <v/>
      </c>
    </row>
    <row r="9393">
      <c r="A9393" t="n">
        <v>9392</v>
      </c>
      <c r="B9393" t="inlineStr">
        <is>
          <t>Mx̄CCCXCII</t>
        </is>
      </c>
      <c r="C9393">
        <f>ROMAN(9392)</f>
        <v/>
      </c>
      <c r="D9393">
        <f>IF(B9393=C9393, "YES", "WRONG")</f>
        <v/>
      </c>
    </row>
    <row r="9394">
      <c r="A9394" t="n">
        <v>9393</v>
      </c>
      <c r="B9394" t="inlineStr">
        <is>
          <t>Mx̄CCCXCIII</t>
        </is>
      </c>
      <c r="C9394">
        <f>ROMAN(9393)</f>
        <v/>
      </c>
      <c r="D9394">
        <f>IF(B9394=C9394, "YES", "WRONG")</f>
        <v/>
      </c>
    </row>
    <row r="9395">
      <c r="A9395" t="n">
        <v>9394</v>
      </c>
      <c r="B9395" t="inlineStr">
        <is>
          <t>Mx̄CCCXCIV</t>
        </is>
      </c>
      <c r="C9395">
        <f>ROMAN(9394)</f>
        <v/>
      </c>
      <c r="D9395">
        <f>IF(B9395=C9395, "YES", "WRONG")</f>
        <v/>
      </c>
    </row>
    <row r="9396">
      <c r="A9396" t="n">
        <v>9395</v>
      </c>
      <c r="B9396" t="inlineStr">
        <is>
          <t>Mx̄CCCXCV</t>
        </is>
      </c>
      <c r="C9396">
        <f>ROMAN(9395)</f>
        <v/>
      </c>
      <c r="D9396">
        <f>IF(B9396=C9396, "YES", "WRONG")</f>
        <v/>
      </c>
    </row>
    <row r="9397">
      <c r="A9397" t="n">
        <v>9396</v>
      </c>
      <c r="B9397" t="inlineStr">
        <is>
          <t>Mx̄CCCXCVI</t>
        </is>
      </c>
      <c r="C9397">
        <f>ROMAN(9396)</f>
        <v/>
      </c>
      <c r="D9397">
        <f>IF(B9397=C9397, "YES", "WRONG")</f>
        <v/>
      </c>
    </row>
    <row r="9398">
      <c r="A9398" t="n">
        <v>9397</v>
      </c>
      <c r="B9398" t="inlineStr">
        <is>
          <t>Mx̄CCCXCVII</t>
        </is>
      </c>
      <c r="C9398">
        <f>ROMAN(9397)</f>
        <v/>
      </c>
      <c r="D9398">
        <f>IF(B9398=C9398, "YES", "WRONG")</f>
        <v/>
      </c>
    </row>
    <row r="9399">
      <c r="A9399" t="n">
        <v>9398</v>
      </c>
      <c r="B9399" t="inlineStr">
        <is>
          <t>Mx̄CCCXCVIII</t>
        </is>
      </c>
      <c r="C9399">
        <f>ROMAN(9398)</f>
        <v/>
      </c>
      <c r="D9399">
        <f>IF(B9399=C9399, "YES", "WRONG")</f>
        <v/>
      </c>
    </row>
    <row r="9400">
      <c r="A9400" t="n">
        <v>9399</v>
      </c>
      <c r="B9400" t="inlineStr">
        <is>
          <t>Mx̄CCCXCIX</t>
        </is>
      </c>
      <c r="C9400">
        <f>ROMAN(9399)</f>
        <v/>
      </c>
      <c r="D9400">
        <f>IF(B9400=C9400, "YES", "WRONG")</f>
        <v/>
      </c>
    </row>
    <row r="9401">
      <c r="A9401" t="n">
        <v>9400</v>
      </c>
      <c r="B9401" t="inlineStr">
        <is>
          <t>Mx̄CD</t>
        </is>
      </c>
      <c r="C9401">
        <f>ROMAN(9400)</f>
        <v/>
      </c>
      <c r="D9401">
        <f>IF(B9401=C9401, "YES", "WRONG")</f>
        <v/>
      </c>
    </row>
    <row r="9402">
      <c r="A9402" t="n">
        <v>9401</v>
      </c>
      <c r="B9402" t="inlineStr">
        <is>
          <t>Mx̄CDI</t>
        </is>
      </c>
      <c r="C9402">
        <f>ROMAN(9401)</f>
        <v/>
      </c>
      <c r="D9402">
        <f>IF(B9402=C9402, "YES", "WRONG")</f>
        <v/>
      </c>
    </row>
    <row r="9403">
      <c r="A9403" t="n">
        <v>9402</v>
      </c>
      <c r="B9403" t="inlineStr">
        <is>
          <t>Mx̄CDII</t>
        </is>
      </c>
      <c r="C9403">
        <f>ROMAN(9402)</f>
        <v/>
      </c>
      <c r="D9403">
        <f>IF(B9403=C9403, "YES", "WRONG")</f>
        <v/>
      </c>
    </row>
    <row r="9404">
      <c r="A9404" t="n">
        <v>9403</v>
      </c>
      <c r="B9404" t="inlineStr">
        <is>
          <t>Mx̄CDIII</t>
        </is>
      </c>
      <c r="C9404">
        <f>ROMAN(9403)</f>
        <v/>
      </c>
      <c r="D9404">
        <f>IF(B9404=C9404, "YES", "WRONG")</f>
        <v/>
      </c>
    </row>
    <row r="9405">
      <c r="A9405" t="n">
        <v>9404</v>
      </c>
      <c r="B9405" t="inlineStr">
        <is>
          <t>Mx̄CDIV</t>
        </is>
      </c>
      <c r="C9405">
        <f>ROMAN(9404)</f>
        <v/>
      </c>
      <c r="D9405">
        <f>IF(B9405=C9405, "YES", "WRONG")</f>
        <v/>
      </c>
    </row>
    <row r="9406">
      <c r="A9406" t="n">
        <v>9405</v>
      </c>
      <c r="B9406" t="inlineStr">
        <is>
          <t>Mx̄CDV</t>
        </is>
      </c>
      <c r="C9406">
        <f>ROMAN(9405)</f>
        <v/>
      </c>
      <c r="D9406">
        <f>IF(B9406=C9406, "YES", "WRONG")</f>
        <v/>
      </c>
    </row>
    <row r="9407">
      <c r="A9407" t="n">
        <v>9406</v>
      </c>
      <c r="B9407" t="inlineStr">
        <is>
          <t>Mx̄CDVI</t>
        </is>
      </c>
      <c r="C9407">
        <f>ROMAN(9406)</f>
        <v/>
      </c>
      <c r="D9407">
        <f>IF(B9407=C9407, "YES", "WRONG")</f>
        <v/>
      </c>
    </row>
    <row r="9408">
      <c r="A9408" t="n">
        <v>9407</v>
      </c>
      <c r="B9408" t="inlineStr">
        <is>
          <t>Mx̄CDVII</t>
        </is>
      </c>
      <c r="C9408">
        <f>ROMAN(9407)</f>
        <v/>
      </c>
      <c r="D9408">
        <f>IF(B9408=C9408, "YES", "WRONG")</f>
        <v/>
      </c>
    </row>
    <row r="9409">
      <c r="A9409" t="n">
        <v>9408</v>
      </c>
      <c r="B9409" t="inlineStr">
        <is>
          <t>Mx̄CDVIII</t>
        </is>
      </c>
      <c r="C9409">
        <f>ROMAN(9408)</f>
        <v/>
      </c>
      <c r="D9409">
        <f>IF(B9409=C9409, "YES", "WRONG")</f>
        <v/>
      </c>
    </row>
    <row r="9410">
      <c r="A9410" t="n">
        <v>9409</v>
      </c>
      <c r="B9410" t="inlineStr">
        <is>
          <t>Mx̄CDIX</t>
        </is>
      </c>
      <c r="C9410">
        <f>ROMAN(9409)</f>
        <v/>
      </c>
      <c r="D9410">
        <f>IF(B9410=C9410, "YES", "WRONG")</f>
        <v/>
      </c>
    </row>
    <row r="9411">
      <c r="A9411" t="n">
        <v>9410</v>
      </c>
      <c r="B9411" t="inlineStr">
        <is>
          <t>Mx̄CDX</t>
        </is>
      </c>
      <c r="C9411">
        <f>ROMAN(9410)</f>
        <v/>
      </c>
      <c r="D9411">
        <f>IF(B9411=C9411, "YES", "WRONG")</f>
        <v/>
      </c>
    </row>
    <row r="9412">
      <c r="A9412" t="n">
        <v>9411</v>
      </c>
      <c r="B9412" t="inlineStr">
        <is>
          <t>Mx̄CDXI</t>
        </is>
      </c>
      <c r="C9412">
        <f>ROMAN(9411)</f>
        <v/>
      </c>
      <c r="D9412">
        <f>IF(B9412=C9412, "YES", "WRONG")</f>
        <v/>
      </c>
    </row>
    <row r="9413">
      <c r="A9413" t="n">
        <v>9412</v>
      </c>
      <c r="B9413" t="inlineStr">
        <is>
          <t>Mx̄CDXII</t>
        </is>
      </c>
      <c r="C9413">
        <f>ROMAN(9412)</f>
        <v/>
      </c>
      <c r="D9413">
        <f>IF(B9413=C9413, "YES", "WRONG")</f>
        <v/>
      </c>
    </row>
    <row r="9414">
      <c r="A9414" t="n">
        <v>9413</v>
      </c>
      <c r="B9414" t="inlineStr">
        <is>
          <t>Mx̄CDXIII</t>
        </is>
      </c>
      <c r="C9414">
        <f>ROMAN(9413)</f>
        <v/>
      </c>
      <c r="D9414">
        <f>IF(B9414=C9414, "YES", "WRONG")</f>
        <v/>
      </c>
    </row>
    <row r="9415">
      <c r="A9415" t="n">
        <v>9414</v>
      </c>
      <c r="B9415" t="inlineStr">
        <is>
          <t>Mx̄CDXIV</t>
        </is>
      </c>
      <c r="C9415">
        <f>ROMAN(9414)</f>
        <v/>
      </c>
      <c r="D9415">
        <f>IF(B9415=C9415, "YES", "WRONG")</f>
        <v/>
      </c>
    </row>
    <row r="9416">
      <c r="A9416" t="n">
        <v>9415</v>
      </c>
      <c r="B9416" t="inlineStr">
        <is>
          <t>Mx̄CDXV</t>
        </is>
      </c>
      <c r="C9416">
        <f>ROMAN(9415)</f>
        <v/>
      </c>
      <c r="D9416">
        <f>IF(B9416=C9416, "YES", "WRONG")</f>
        <v/>
      </c>
    </row>
    <row r="9417">
      <c r="A9417" t="n">
        <v>9416</v>
      </c>
      <c r="B9417" t="inlineStr">
        <is>
          <t>Mx̄CDXVI</t>
        </is>
      </c>
      <c r="C9417">
        <f>ROMAN(9416)</f>
        <v/>
      </c>
      <c r="D9417">
        <f>IF(B9417=C9417, "YES", "WRONG")</f>
        <v/>
      </c>
    </row>
    <row r="9418">
      <c r="A9418" t="n">
        <v>9417</v>
      </c>
      <c r="B9418" t="inlineStr">
        <is>
          <t>Mx̄CDXVII</t>
        </is>
      </c>
      <c r="C9418">
        <f>ROMAN(9417)</f>
        <v/>
      </c>
      <c r="D9418">
        <f>IF(B9418=C9418, "YES", "WRONG")</f>
        <v/>
      </c>
    </row>
    <row r="9419">
      <c r="A9419" t="n">
        <v>9418</v>
      </c>
      <c r="B9419" t="inlineStr">
        <is>
          <t>Mx̄CDXVIII</t>
        </is>
      </c>
      <c r="C9419">
        <f>ROMAN(9418)</f>
        <v/>
      </c>
      <c r="D9419">
        <f>IF(B9419=C9419, "YES", "WRONG")</f>
        <v/>
      </c>
    </row>
    <row r="9420">
      <c r="A9420" t="n">
        <v>9419</v>
      </c>
      <c r="B9420" t="inlineStr">
        <is>
          <t>Mx̄CDXIX</t>
        </is>
      </c>
      <c r="C9420">
        <f>ROMAN(9419)</f>
        <v/>
      </c>
      <c r="D9420">
        <f>IF(B9420=C9420, "YES", "WRONG")</f>
        <v/>
      </c>
    </row>
    <row r="9421">
      <c r="A9421" t="n">
        <v>9420</v>
      </c>
      <c r="B9421" t="inlineStr">
        <is>
          <t>Mx̄CDXX</t>
        </is>
      </c>
      <c r="C9421">
        <f>ROMAN(9420)</f>
        <v/>
      </c>
      <c r="D9421">
        <f>IF(B9421=C9421, "YES", "WRONG")</f>
        <v/>
      </c>
    </row>
    <row r="9422">
      <c r="A9422" t="n">
        <v>9421</v>
      </c>
      <c r="B9422" t="inlineStr">
        <is>
          <t>Mx̄CDXXI</t>
        </is>
      </c>
      <c r="C9422">
        <f>ROMAN(9421)</f>
        <v/>
      </c>
      <c r="D9422">
        <f>IF(B9422=C9422, "YES", "WRONG")</f>
        <v/>
      </c>
    </row>
    <row r="9423">
      <c r="A9423" t="n">
        <v>9422</v>
      </c>
      <c r="B9423" t="inlineStr">
        <is>
          <t>Mx̄CDXXII</t>
        </is>
      </c>
      <c r="C9423">
        <f>ROMAN(9422)</f>
        <v/>
      </c>
      <c r="D9423">
        <f>IF(B9423=C9423, "YES", "WRONG")</f>
        <v/>
      </c>
    </row>
    <row r="9424">
      <c r="A9424" t="n">
        <v>9423</v>
      </c>
      <c r="B9424" t="inlineStr">
        <is>
          <t>Mx̄CDXXIII</t>
        </is>
      </c>
      <c r="C9424">
        <f>ROMAN(9423)</f>
        <v/>
      </c>
      <c r="D9424">
        <f>IF(B9424=C9424, "YES", "WRONG")</f>
        <v/>
      </c>
    </row>
    <row r="9425">
      <c r="A9425" t="n">
        <v>9424</v>
      </c>
      <c r="B9425" t="inlineStr">
        <is>
          <t>Mx̄CDXXIV</t>
        </is>
      </c>
      <c r="C9425">
        <f>ROMAN(9424)</f>
        <v/>
      </c>
      <c r="D9425">
        <f>IF(B9425=C9425, "YES", "WRONG")</f>
        <v/>
      </c>
    </row>
    <row r="9426">
      <c r="A9426" t="n">
        <v>9425</v>
      </c>
      <c r="B9426" t="inlineStr">
        <is>
          <t>Mx̄CDXXV</t>
        </is>
      </c>
      <c r="C9426">
        <f>ROMAN(9425)</f>
        <v/>
      </c>
      <c r="D9426">
        <f>IF(B9426=C9426, "YES", "WRONG")</f>
        <v/>
      </c>
    </row>
    <row r="9427">
      <c r="A9427" t="n">
        <v>9426</v>
      </c>
      <c r="B9427" t="inlineStr">
        <is>
          <t>Mx̄CDXXVI</t>
        </is>
      </c>
      <c r="C9427">
        <f>ROMAN(9426)</f>
        <v/>
      </c>
      <c r="D9427">
        <f>IF(B9427=C9427, "YES", "WRONG")</f>
        <v/>
      </c>
    </row>
    <row r="9428">
      <c r="A9428" t="n">
        <v>9427</v>
      </c>
      <c r="B9428" t="inlineStr">
        <is>
          <t>Mx̄CDXXVII</t>
        </is>
      </c>
      <c r="C9428">
        <f>ROMAN(9427)</f>
        <v/>
      </c>
      <c r="D9428">
        <f>IF(B9428=C9428, "YES", "WRONG")</f>
        <v/>
      </c>
    </row>
    <row r="9429">
      <c r="A9429" t="n">
        <v>9428</v>
      </c>
      <c r="B9429" t="inlineStr">
        <is>
          <t>Mx̄CDXXVIII</t>
        </is>
      </c>
      <c r="C9429">
        <f>ROMAN(9428)</f>
        <v/>
      </c>
      <c r="D9429">
        <f>IF(B9429=C9429, "YES", "WRONG")</f>
        <v/>
      </c>
    </row>
    <row r="9430">
      <c r="A9430" t="n">
        <v>9429</v>
      </c>
      <c r="B9430" t="inlineStr">
        <is>
          <t>Mx̄CDXXIX</t>
        </is>
      </c>
      <c r="C9430">
        <f>ROMAN(9429)</f>
        <v/>
      </c>
      <c r="D9430">
        <f>IF(B9430=C9430, "YES", "WRONG")</f>
        <v/>
      </c>
    </row>
    <row r="9431">
      <c r="A9431" t="n">
        <v>9430</v>
      </c>
      <c r="B9431" t="inlineStr">
        <is>
          <t>Mx̄CDXXX</t>
        </is>
      </c>
      <c r="C9431">
        <f>ROMAN(9430)</f>
        <v/>
      </c>
      <c r="D9431">
        <f>IF(B9431=C9431, "YES", "WRONG")</f>
        <v/>
      </c>
    </row>
    <row r="9432">
      <c r="A9432" t="n">
        <v>9431</v>
      </c>
      <c r="B9432" t="inlineStr">
        <is>
          <t>Mx̄CDXXXI</t>
        </is>
      </c>
      <c r="C9432">
        <f>ROMAN(9431)</f>
        <v/>
      </c>
      <c r="D9432">
        <f>IF(B9432=C9432, "YES", "WRONG")</f>
        <v/>
      </c>
    </row>
    <row r="9433">
      <c r="A9433" t="n">
        <v>9432</v>
      </c>
      <c r="B9433" t="inlineStr">
        <is>
          <t>Mx̄CDXXXII</t>
        </is>
      </c>
      <c r="C9433">
        <f>ROMAN(9432)</f>
        <v/>
      </c>
      <c r="D9433">
        <f>IF(B9433=C9433, "YES", "WRONG")</f>
        <v/>
      </c>
    </row>
    <row r="9434">
      <c r="A9434" t="n">
        <v>9433</v>
      </c>
      <c r="B9434" t="inlineStr">
        <is>
          <t>Mx̄CDXXXIII</t>
        </is>
      </c>
      <c r="C9434">
        <f>ROMAN(9433)</f>
        <v/>
      </c>
      <c r="D9434">
        <f>IF(B9434=C9434, "YES", "WRONG")</f>
        <v/>
      </c>
    </row>
    <row r="9435">
      <c r="A9435" t="n">
        <v>9434</v>
      </c>
      <c r="B9435" t="inlineStr">
        <is>
          <t>Mx̄CDXXXIV</t>
        </is>
      </c>
      <c r="C9435">
        <f>ROMAN(9434)</f>
        <v/>
      </c>
      <c r="D9435">
        <f>IF(B9435=C9435, "YES", "WRONG")</f>
        <v/>
      </c>
    </row>
    <row r="9436">
      <c r="A9436" t="n">
        <v>9435</v>
      </c>
      <c r="B9436" t="inlineStr">
        <is>
          <t>Mx̄CDXXXV</t>
        </is>
      </c>
      <c r="C9436">
        <f>ROMAN(9435)</f>
        <v/>
      </c>
      <c r="D9436">
        <f>IF(B9436=C9436, "YES", "WRONG")</f>
        <v/>
      </c>
    </row>
    <row r="9437">
      <c r="A9437" t="n">
        <v>9436</v>
      </c>
      <c r="B9437" t="inlineStr">
        <is>
          <t>Mx̄CDXXXVI</t>
        </is>
      </c>
      <c r="C9437">
        <f>ROMAN(9436)</f>
        <v/>
      </c>
      <c r="D9437">
        <f>IF(B9437=C9437, "YES", "WRONG")</f>
        <v/>
      </c>
    </row>
    <row r="9438">
      <c r="A9438" t="n">
        <v>9437</v>
      </c>
      <c r="B9438" t="inlineStr">
        <is>
          <t>Mx̄CDXXXVII</t>
        </is>
      </c>
      <c r="C9438">
        <f>ROMAN(9437)</f>
        <v/>
      </c>
      <c r="D9438">
        <f>IF(B9438=C9438, "YES", "WRONG")</f>
        <v/>
      </c>
    </row>
    <row r="9439">
      <c r="A9439" t="n">
        <v>9438</v>
      </c>
      <c r="B9439" t="inlineStr">
        <is>
          <t>Mx̄CDXXXVIII</t>
        </is>
      </c>
      <c r="C9439">
        <f>ROMAN(9438)</f>
        <v/>
      </c>
      <c r="D9439">
        <f>IF(B9439=C9439, "YES", "WRONG")</f>
        <v/>
      </c>
    </row>
    <row r="9440">
      <c r="A9440" t="n">
        <v>9439</v>
      </c>
      <c r="B9440" t="inlineStr">
        <is>
          <t>Mx̄CDXXXIX</t>
        </is>
      </c>
      <c r="C9440">
        <f>ROMAN(9439)</f>
        <v/>
      </c>
      <c r="D9440">
        <f>IF(B9440=C9440, "YES", "WRONG")</f>
        <v/>
      </c>
    </row>
    <row r="9441">
      <c r="A9441" t="n">
        <v>9440</v>
      </c>
      <c r="B9441" t="inlineStr">
        <is>
          <t>Mx̄CDXL</t>
        </is>
      </c>
      <c r="C9441">
        <f>ROMAN(9440)</f>
        <v/>
      </c>
      <c r="D9441">
        <f>IF(B9441=C9441, "YES", "WRONG")</f>
        <v/>
      </c>
    </row>
    <row r="9442">
      <c r="A9442" t="n">
        <v>9441</v>
      </c>
      <c r="B9442" t="inlineStr">
        <is>
          <t>Mx̄CDXLI</t>
        </is>
      </c>
      <c r="C9442">
        <f>ROMAN(9441)</f>
        <v/>
      </c>
      <c r="D9442">
        <f>IF(B9442=C9442, "YES", "WRONG")</f>
        <v/>
      </c>
    </row>
    <row r="9443">
      <c r="A9443" t="n">
        <v>9442</v>
      </c>
      <c r="B9443" t="inlineStr">
        <is>
          <t>Mx̄CDXLII</t>
        </is>
      </c>
      <c r="C9443">
        <f>ROMAN(9442)</f>
        <v/>
      </c>
      <c r="D9443">
        <f>IF(B9443=C9443, "YES", "WRONG")</f>
        <v/>
      </c>
    </row>
    <row r="9444">
      <c r="A9444" t="n">
        <v>9443</v>
      </c>
      <c r="B9444" t="inlineStr">
        <is>
          <t>Mx̄CDXLIII</t>
        </is>
      </c>
      <c r="C9444">
        <f>ROMAN(9443)</f>
        <v/>
      </c>
      <c r="D9444">
        <f>IF(B9444=C9444, "YES", "WRONG")</f>
        <v/>
      </c>
    </row>
    <row r="9445">
      <c r="A9445" t="n">
        <v>9444</v>
      </c>
      <c r="B9445" t="inlineStr">
        <is>
          <t>Mx̄CDXLIV</t>
        </is>
      </c>
      <c r="C9445">
        <f>ROMAN(9444)</f>
        <v/>
      </c>
      <c r="D9445">
        <f>IF(B9445=C9445, "YES", "WRONG")</f>
        <v/>
      </c>
    </row>
    <row r="9446">
      <c r="A9446" t="n">
        <v>9445</v>
      </c>
      <c r="B9446" t="inlineStr">
        <is>
          <t>Mx̄CDXLV</t>
        </is>
      </c>
      <c r="C9446">
        <f>ROMAN(9445)</f>
        <v/>
      </c>
      <c r="D9446">
        <f>IF(B9446=C9446, "YES", "WRONG")</f>
        <v/>
      </c>
    </row>
    <row r="9447">
      <c r="A9447" t="n">
        <v>9446</v>
      </c>
      <c r="B9447" t="inlineStr">
        <is>
          <t>Mx̄CDXLVI</t>
        </is>
      </c>
      <c r="C9447">
        <f>ROMAN(9446)</f>
        <v/>
      </c>
      <c r="D9447">
        <f>IF(B9447=C9447, "YES", "WRONG")</f>
        <v/>
      </c>
    </row>
    <row r="9448">
      <c r="A9448" t="n">
        <v>9447</v>
      </c>
      <c r="B9448" t="inlineStr">
        <is>
          <t>Mx̄CDXLVII</t>
        </is>
      </c>
      <c r="C9448">
        <f>ROMAN(9447)</f>
        <v/>
      </c>
      <c r="D9448">
        <f>IF(B9448=C9448, "YES", "WRONG")</f>
        <v/>
      </c>
    </row>
    <row r="9449">
      <c r="A9449" t="n">
        <v>9448</v>
      </c>
      <c r="B9449" t="inlineStr">
        <is>
          <t>Mx̄CDXLVIII</t>
        </is>
      </c>
      <c r="C9449">
        <f>ROMAN(9448)</f>
        <v/>
      </c>
      <c r="D9449">
        <f>IF(B9449=C9449, "YES", "WRONG")</f>
        <v/>
      </c>
    </row>
    <row r="9450">
      <c r="A9450" t="n">
        <v>9449</v>
      </c>
      <c r="B9450" t="inlineStr">
        <is>
          <t>Mx̄CDXLIX</t>
        </is>
      </c>
      <c r="C9450">
        <f>ROMAN(9449)</f>
        <v/>
      </c>
      <c r="D9450">
        <f>IF(B9450=C9450, "YES", "WRONG")</f>
        <v/>
      </c>
    </row>
    <row r="9451">
      <c r="A9451" t="n">
        <v>9450</v>
      </c>
      <c r="B9451" t="inlineStr">
        <is>
          <t>Mx̄CDL</t>
        </is>
      </c>
      <c r="C9451">
        <f>ROMAN(9450)</f>
        <v/>
      </c>
      <c r="D9451">
        <f>IF(B9451=C9451, "YES", "WRONG")</f>
        <v/>
      </c>
    </row>
    <row r="9452">
      <c r="A9452" t="n">
        <v>9451</v>
      </c>
      <c r="B9452" t="inlineStr">
        <is>
          <t>Mx̄CDLI</t>
        </is>
      </c>
      <c r="C9452">
        <f>ROMAN(9451)</f>
        <v/>
      </c>
      <c r="D9452">
        <f>IF(B9452=C9452, "YES", "WRONG")</f>
        <v/>
      </c>
    </row>
    <row r="9453">
      <c r="A9453" t="n">
        <v>9452</v>
      </c>
      <c r="B9453" t="inlineStr">
        <is>
          <t>Mx̄CDLII</t>
        </is>
      </c>
      <c r="C9453">
        <f>ROMAN(9452)</f>
        <v/>
      </c>
      <c r="D9453">
        <f>IF(B9453=C9453, "YES", "WRONG")</f>
        <v/>
      </c>
    </row>
    <row r="9454">
      <c r="A9454" t="n">
        <v>9453</v>
      </c>
      <c r="B9454" t="inlineStr">
        <is>
          <t>Mx̄CDLIII</t>
        </is>
      </c>
      <c r="C9454">
        <f>ROMAN(9453)</f>
        <v/>
      </c>
      <c r="D9454">
        <f>IF(B9454=C9454, "YES", "WRONG")</f>
        <v/>
      </c>
    </row>
    <row r="9455">
      <c r="A9455" t="n">
        <v>9454</v>
      </c>
      <c r="B9455" t="inlineStr">
        <is>
          <t>Mx̄CDLIV</t>
        </is>
      </c>
      <c r="C9455">
        <f>ROMAN(9454)</f>
        <v/>
      </c>
      <c r="D9455">
        <f>IF(B9455=C9455, "YES", "WRONG")</f>
        <v/>
      </c>
    </row>
    <row r="9456">
      <c r="A9456" t="n">
        <v>9455</v>
      </c>
      <c r="B9456" t="inlineStr">
        <is>
          <t>Mx̄CDLV</t>
        </is>
      </c>
      <c r="C9456">
        <f>ROMAN(9455)</f>
        <v/>
      </c>
      <c r="D9456">
        <f>IF(B9456=C9456, "YES", "WRONG")</f>
        <v/>
      </c>
    </row>
    <row r="9457">
      <c r="A9457" t="n">
        <v>9456</v>
      </c>
      <c r="B9457" t="inlineStr">
        <is>
          <t>Mx̄CDLVI</t>
        </is>
      </c>
      <c r="C9457">
        <f>ROMAN(9456)</f>
        <v/>
      </c>
      <c r="D9457">
        <f>IF(B9457=C9457, "YES", "WRONG")</f>
        <v/>
      </c>
    </row>
    <row r="9458">
      <c r="A9458" t="n">
        <v>9457</v>
      </c>
      <c r="B9458" t="inlineStr">
        <is>
          <t>Mx̄CDLVII</t>
        </is>
      </c>
      <c r="C9458">
        <f>ROMAN(9457)</f>
        <v/>
      </c>
      <c r="D9458">
        <f>IF(B9458=C9458, "YES", "WRONG")</f>
        <v/>
      </c>
    </row>
    <row r="9459">
      <c r="A9459" t="n">
        <v>9458</v>
      </c>
      <c r="B9459" t="inlineStr">
        <is>
          <t>Mx̄CDLVIII</t>
        </is>
      </c>
      <c r="C9459">
        <f>ROMAN(9458)</f>
        <v/>
      </c>
      <c r="D9459">
        <f>IF(B9459=C9459, "YES", "WRONG")</f>
        <v/>
      </c>
    </row>
    <row r="9460">
      <c r="A9460" t="n">
        <v>9459</v>
      </c>
      <c r="B9460" t="inlineStr">
        <is>
          <t>Mx̄CDLIX</t>
        </is>
      </c>
      <c r="C9460">
        <f>ROMAN(9459)</f>
        <v/>
      </c>
      <c r="D9460">
        <f>IF(B9460=C9460, "YES", "WRONG")</f>
        <v/>
      </c>
    </row>
    <row r="9461">
      <c r="A9461" t="n">
        <v>9460</v>
      </c>
      <c r="B9461" t="inlineStr">
        <is>
          <t>Mx̄CDLX</t>
        </is>
      </c>
      <c r="C9461">
        <f>ROMAN(9460)</f>
        <v/>
      </c>
      <c r="D9461">
        <f>IF(B9461=C9461, "YES", "WRONG")</f>
        <v/>
      </c>
    </row>
    <row r="9462">
      <c r="A9462" t="n">
        <v>9461</v>
      </c>
      <c r="B9462" t="inlineStr">
        <is>
          <t>Mx̄CDLXI</t>
        </is>
      </c>
      <c r="C9462">
        <f>ROMAN(9461)</f>
        <v/>
      </c>
      <c r="D9462">
        <f>IF(B9462=C9462, "YES", "WRONG")</f>
        <v/>
      </c>
    </row>
    <row r="9463">
      <c r="A9463" t="n">
        <v>9462</v>
      </c>
      <c r="B9463" t="inlineStr">
        <is>
          <t>Mx̄CDLXII</t>
        </is>
      </c>
      <c r="C9463">
        <f>ROMAN(9462)</f>
        <v/>
      </c>
      <c r="D9463">
        <f>IF(B9463=C9463, "YES", "WRONG")</f>
        <v/>
      </c>
    </row>
    <row r="9464">
      <c r="A9464" t="n">
        <v>9463</v>
      </c>
      <c r="B9464" t="inlineStr">
        <is>
          <t>Mx̄CDLXIII</t>
        </is>
      </c>
      <c r="C9464">
        <f>ROMAN(9463)</f>
        <v/>
      </c>
      <c r="D9464">
        <f>IF(B9464=C9464, "YES", "WRONG")</f>
        <v/>
      </c>
    </row>
    <row r="9465">
      <c r="A9465" t="n">
        <v>9464</v>
      </c>
      <c r="B9465" t="inlineStr">
        <is>
          <t>Mx̄CDLXIV</t>
        </is>
      </c>
      <c r="C9465">
        <f>ROMAN(9464)</f>
        <v/>
      </c>
      <c r="D9465">
        <f>IF(B9465=C9465, "YES", "WRONG")</f>
        <v/>
      </c>
    </row>
    <row r="9466">
      <c r="A9466" t="n">
        <v>9465</v>
      </c>
      <c r="B9466" t="inlineStr">
        <is>
          <t>Mx̄CDLXV</t>
        </is>
      </c>
      <c r="C9466">
        <f>ROMAN(9465)</f>
        <v/>
      </c>
      <c r="D9466">
        <f>IF(B9466=C9466, "YES", "WRONG")</f>
        <v/>
      </c>
    </row>
    <row r="9467">
      <c r="A9467" t="n">
        <v>9466</v>
      </c>
      <c r="B9467" t="inlineStr">
        <is>
          <t>Mx̄CDLXVI</t>
        </is>
      </c>
      <c r="C9467">
        <f>ROMAN(9466)</f>
        <v/>
      </c>
      <c r="D9467">
        <f>IF(B9467=C9467, "YES", "WRONG")</f>
        <v/>
      </c>
    </row>
    <row r="9468">
      <c r="A9468" t="n">
        <v>9467</v>
      </c>
      <c r="B9468" t="inlineStr">
        <is>
          <t>Mx̄CDLXVII</t>
        </is>
      </c>
      <c r="C9468">
        <f>ROMAN(9467)</f>
        <v/>
      </c>
      <c r="D9468">
        <f>IF(B9468=C9468, "YES", "WRONG")</f>
        <v/>
      </c>
    </row>
    <row r="9469">
      <c r="A9469" t="n">
        <v>9468</v>
      </c>
      <c r="B9469" t="inlineStr">
        <is>
          <t>Mx̄CDLXVIII</t>
        </is>
      </c>
      <c r="C9469">
        <f>ROMAN(9468)</f>
        <v/>
      </c>
      <c r="D9469">
        <f>IF(B9469=C9469, "YES", "WRONG")</f>
        <v/>
      </c>
    </row>
    <row r="9470">
      <c r="A9470" t="n">
        <v>9469</v>
      </c>
      <c r="B9470" t="inlineStr">
        <is>
          <t>Mx̄CDLXIX</t>
        </is>
      </c>
      <c r="C9470">
        <f>ROMAN(9469)</f>
        <v/>
      </c>
      <c r="D9470">
        <f>IF(B9470=C9470, "YES", "WRONG")</f>
        <v/>
      </c>
    </row>
    <row r="9471">
      <c r="A9471" t="n">
        <v>9470</v>
      </c>
      <c r="B9471" t="inlineStr">
        <is>
          <t>Mx̄CDLXX</t>
        </is>
      </c>
      <c r="C9471">
        <f>ROMAN(9470)</f>
        <v/>
      </c>
      <c r="D9471">
        <f>IF(B9471=C9471, "YES", "WRONG")</f>
        <v/>
      </c>
    </row>
    <row r="9472">
      <c r="A9472" t="n">
        <v>9471</v>
      </c>
      <c r="B9472" t="inlineStr">
        <is>
          <t>Mx̄CDLXXI</t>
        </is>
      </c>
      <c r="C9472">
        <f>ROMAN(9471)</f>
        <v/>
      </c>
      <c r="D9472">
        <f>IF(B9472=C9472, "YES", "WRONG")</f>
        <v/>
      </c>
    </row>
    <row r="9473">
      <c r="A9473" t="n">
        <v>9472</v>
      </c>
      <c r="B9473" t="inlineStr">
        <is>
          <t>Mx̄CDLXXII</t>
        </is>
      </c>
      <c r="C9473">
        <f>ROMAN(9472)</f>
        <v/>
      </c>
      <c r="D9473">
        <f>IF(B9473=C9473, "YES", "WRONG")</f>
        <v/>
      </c>
    </row>
    <row r="9474">
      <c r="A9474" t="n">
        <v>9473</v>
      </c>
      <c r="B9474" t="inlineStr">
        <is>
          <t>Mx̄CDLXXIII</t>
        </is>
      </c>
      <c r="C9474">
        <f>ROMAN(9473)</f>
        <v/>
      </c>
      <c r="D9474">
        <f>IF(B9474=C9474, "YES", "WRONG")</f>
        <v/>
      </c>
    </row>
    <row r="9475">
      <c r="A9475" t="n">
        <v>9474</v>
      </c>
      <c r="B9475" t="inlineStr">
        <is>
          <t>Mx̄CDLXXIV</t>
        </is>
      </c>
      <c r="C9475">
        <f>ROMAN(9474)</f>
        <v/>
      </c>
      <c r="D9475">
        <f>IF(B9475=C9475, "YES", "WRONG")</f>
        <v/>
      </c>
    </row>
    <row r="9476">
      <c r="A9476" t="n">
        <v>9475</v>
      </c>
      <c r="B9476" t="inlineStr">
        <is>
          <t>Mx̄CDLXXV</t>
        </is>
      </c>
      <c r="C9476">
        <f>ROMAN(9475)</f>
        <v/>
      </c>
      <c r="D9476">
        <f>IF(B9476=C9476, "YES", "WRONG")</f>
        <v/>
      </c>
    </row>
    <row r="9477">
      <c r="A9477" t="n">
        <v>9476</v>
      </c>
      <c r="B9477" t="inlineStr">
        <is>
          <t>Mx̄CDLXXVI</t>
        </is>
      </c>
      <c r="C9477">
        <f>ROMAN(9476)</f>
        <v/>
      </c>
      <c r="D9477">
        <f>IF(B9477=C9477, "YES", "WRONG")</f>
        <v/>
      </c>
    </row>
    <row r="9478">
      <c r="A9478" t="n">
        <v>9477</v>
      </c>
      <c r="B9478" t="inlineStr">
        <is>
          <t>Mx̄CDLXXVII</t>
        </is>
      </c>
      <c r="C9478">
        <f>ROMAN(9477)</f>
        <v/>
      </c>
      <c r="D9478">
        <f>IF(B9478=C9478, "YES", "WRONG")</f>
        <v/>
      </c>
    </row>
    <row r="9479">
      <c r="A9479" t="n">
        <v>9478</v>
      </c>
      <c r="B9479" t="inlineStr">
        <is>
          <t>Mx̄CDLXXVIII</t>
        </is>
      </c>
      <c r="C9479">
        <f>ROMAN(9478)</f>
        <v/>
      </c>
      <c r="D9479">
        <f>IF(B9479=C9479, "YES", "WRONG")</f>
        <v/>
      </c>
    </row>
    <row r="9480">
      <c r="A9480" t="n">
        <v>9479</v>
      </c>
      <c r="B9480" t="inlineStr">
        <is>
          <t>Mx̄CDLXXIX</t>
        </is>
      </c>
      <c r="C9480">
        <f>ROMAN(9479)</f>
        <v/>
      </c>
      <c r="D9480">
        <f>IF(B9480=C9480, "YES", "WRONG")</f>
        <v/>
      </c>
    </row>
    <row r="9481">
      <c r="A9481" t="n">
        <v>9480</v>
      </c>
      <c r="B9481" t="inlineStr">
        <is>
          <t>Mx̄CDLXXX</t>
        </is>
      </c>
      <c r="C9481">
        <f>ROMAN(9480)</f>
        <v/>
      </c>
      <c r="D9481">
        <f>IF(B9481=C9481, "YES", "WRONG")</f>
        <v/>
      </c>
    </row>
    <row r="9482">
      <c r="A9482" t="n">
        <v>9481</v>
      </c>
      <c r="B9482" t="inlineStr">
        <is>
          <t>Mx̄CDLXXXI</t>
        </is>
      </c>
      <c r="C9482">
        <f>ROMAN(9481)</f>
        <v/>
      </c>
      <c r="D9482">
        <f>IF(B9482=C9482, "YES", "WRONG")</f>
        <v/>
      </c>
    </row>
    <row r="9483">
      <c r="A9483" t="n">
        <v>9482</v>
      </c>
      <c r="B9483" t="inlineStr">
        <is>
          <t>Mx̄CDLXXXII</t>
        </is>
      </c>
      <c r="C9483">
        <f>ROMAN(9482)</f>
        <v/>
      </c>
      <c r="D9483">
        <f>IF(B9483=C9483, "YES", "WRONG")</f>
        <v/>
      </c>
    </row>
    <row r="9484">
      <c r="A9484" t="n">
        <v>9483</v>
      </c>
      <c r="B9484" t="inlineStr">
        <is>
          <t>Mx̄CDLXXXIII</t>
        </is>
      </c>
      <c r="C9484">
        <f>ROMAN(9483)</f>
        <v/>
      </c>
      <c r="D9484">
        <f>IF(B9484=C9484, "YES", "WRONG")</f>
        <v/>
      </c>
    </row>
    <row r="9485">
      <c r="A9485" t="n">
        <v>9484</v>
      </c>
      <c r="B9485" t="inlineStr">
        <is>
          <t>Mx̄CDLXXXIV</t>
        </is>
      </c>
      <c r="C9485">
        <f>ROMAN(9484)</f>
        <v/>
      </c>
      <c r="D9485">
        <f>IF(B9485=C9485, "YES", "WRONG")</f>
        <v/>
      </c>
    </row>
    <row r="9486">
      <c r="A9486" t="n">
        <v>9485</v>
      </c>
      <c r="B9486" t="inlineStr">
        <is>
          <t>Mx̄CDLXXXV</t>
        </is>
      </c>
      <c r="C9486">
        <f>ROMAN(9485)</f>
        <v/>
      </c>
      <c r="D9486">
        <f>IF(B9486=C9486, "YES", "WRONG")</f>
        <v/>
      </c>
    </row>
    <row r="9487">
      <c r="A9487" t="n">
        <v>9486</v>
      </c>
      <c r="B9487" t="inlineStr">
        <is>
          <t>Mx̄CDLXXXVI</t>
        </is>
      </c>
      <c r="C9487">
        <f>ROMAN(9486)</f>
        <v/>
      </c>
      <c r="D9487">
        <f>IF(B9487=C9487, "YES", "WRONG")</f>
        <v/>
      </c>
    </row>
    <row r="9488">
      <c r="A9488" t="n">
        <v>9487</v>
      </c>
      <c r="B9488" t="inlineStr">
        <is>
          <t>Mx̄CDLXXXVII</t>
        </is>
      </c>
      <c r="C9488">
        <f>ROMAN(9487)</f>
        <v/>
      </c>
      <c r="D9488">
        <f>IF(B9488=C9488, "YES", "WRONG")</f>
        <v/>
      </c>
    </row>
    <row r="9489">
      <c r="A9489" t="n">
        <v>9488</v>
      </c>
      <c r="B9489" t="inlineStr">
        <is>
          <t>Mx̄CDLXXXVIII</t>
        </is>
      </c>
      <c r="C9489">
        <f>ROMAN(9488)</f>
        <v/>
      </c>
      <c r="D9489">
        <f>IF(B9489=C9489, "YES", "WRONG")</f>
        <v/>
      </c>
    </row>
    <row r="9490">
      <c r="A9490" t="n">
        <v>9489</v>
      </c>
      <c r="B9490" t="inlineStr">
        <is>
          <t>Mx̄CDLXXXIX</t>
        </is>
      </c>
      <c r="C9490">
        <f>ROMAN(9489)</f>
        <v/>
      </c>
      <c r="D9490">
        <f>IF(B9490=C9490, "YES", "WRONG")</f>
        <v/>
      </c>
    </row>
    <row r="9491">
      <c r="A9491" t="n">
        <v>9490</v>
      </c>
      <c r="B9491" t="inlineStr">
        <is>
          <t>Mx̄CDXC</t>
        </is>
      </c>
      <c r="C9491">
        <f>ROMAN(9490)</f>
        <v/>
      </c>
      <c r="D9491">
        <f>IF(B9491=C9491, "YES", "WRONG")</f>
        <v/>
      </c>
    </row>
    <row r="9492">
      <c r="A9492" t="n">
        <v>9491</v>
      </c>
      <c r="B9492" t="inlineStr">
        <is>
          <t>Mx̄CDXCI</t>
        </is>
      </c>
      <c r="C9492">
        <f>ROMAN(9491)</f>
        <v/>
      </c>
      <c r="D9492">
        <f>IF(B9492=C9492, "YES", "WRONG")</f>
        <v/>
      </c>
    </row>
    <row r="9493">
      <c r="A9493" t="n">
        <v>9492</v>
      </c>
      <c r="B9493" t="inlineStr">
        <is>
          <t>Mx̄CDXCII</t>
        </is>
      </c>
      <c r="C9493">
        <f>ROMAN(9492)</f>
        <v/>
      </c>
      <c r="D9493">
        <f>IF(B9493=C9493, "YES", "WRONG")</f>
        <v/>
      </c>
    </row>
    <row r="9494">
      <c r="A9494" t="n">
        <v>9493</v>
      </c>
      <c r="B9494" t="inlineStr">
        <is>
          <t>Mx̄CDXCIII</t>
        </is>
      </c>
      <c r="C9494">
        <f>ROMAN(9493)</f>
        <v/>
      </c>
      <c r="D9494">
        <f>IF(B9494=C9494, "YES", "WRONG")</f>
        <v/>
      </c>
    </row>
    <row r="9495">
      <c r="A9495" t="n">
        <v>9494</v>
      </c>
      <c r="B9495" t="inlineStr">
        <is>
          <t>Mx̄CDXCIV</t>
        </is>
      </c>
      <c r="C9495">
        <f>ROMAN(9494)</f>
        <v/>
      </c>
      <c r="D9495">
        <f>IF(B9495=C9495, "YES", "WRONG")</f>
        <v/>
      </c>
    </row>
    <row r="9496">
      <c r="A9496" t="n">
        <v>9495</v>
      </c>
      <c r="B9496" t="inlineStr">
        <is>
          <t>Mx̄CDXCV</t>
        </is>
      </c>
      <c r="C9496">
        <f>ROMAN(9495)</f>
        <v/>
      </c>
      <c r="D9496">
        <f>IF(B9496=C9496, "YES", "WRONG")</f>
        <v/>
      </c>
    </row>
    <row r="9497">
      <c r="A9497" t="n">
        <v>9496</v>
      </c>
      <c r="B9497" t="inlineStr">
        <is>
          <t>Mx̄CDXCVI</t>
        </is>
      </c>
      <c r="C9497">
        <f>ROMAN(9496)</f>
        <v/>
      </c>
      <c r="D9497">
        <f>IF(B9497=C9497, "YES", "WRONG")</f>
        <v/>
      </c>
    </row>
    <row r="9498">
      <c r="A9498" t="n">
        <v>9497</v>
      </c>
      <c r="B9498" t="inlineStr">
        <is>
          <t>Mx̄CDXCVII</t>
        </is>
      </c>
      <c r="C9498">
        <f>ROMAN(9497)</f>
        <v/>
      </c>
      <c r="D9498">
        <f>IF(B9498=C9498, "YES", "WRONG")</f>
        <v/>
      </c>
    </row>
    <row r="9499">
      <c r="A9499" t="n">
        <v>9498</v>
      </c>
      <c r="B9499" t="inlineStr">
        <is>
          <t>Mx̄CDXCVIII</t>
        </is>
      </c>
      <c r="C9499">
        <f>ROMAN(9498)</f>
        <v/>
      </c>
      <c r="D9499">
        <f>IF(B9499=C9499, "YES", "WRONG")</f>
        <v/>
      </c>
    </row>
    <row r="9500">
      <c r="A9500" t="n">
        <v>9499</v>
      </c>
      <c r="B9500" t="inlineStr">
        <is>
          <t>Mx̄CDXCIX</t>
        </is>
      </c>
      <c r="C9500">
        <f>ROMAN(9499)</f>
        <v/>
      </c>
      <c r="D9500">
        <f>IF(B9500=C9500, "YES", "WRONG")</f>
        <v/>
      </c>
    </row>
    <row r="9501">
      <c r="A9501" t="n">
        <v>9500</v>
      </c>
      <c r="B9501" t="inlineStr">
        <is>
          <t>Mx̄D</t>
        </is>
      </c>
      <c r="C9501">
        <f>ROMAN(9500)</f>
        <v/>
      </c>
      <c r="D9501">
        <f>IF(B9501=C9501, "YES", "WRONG")</f>
        <v/>
      </c>
    </row>
    <row r="9502">
      <c r="A9502" t="n">
        <v>9501</v>
      </c>
      <c r="B9502" t="inlineStr">
        <is>
          <t>Mx̄DI</t>
        </is>
      </c>
      <c r="C9502">
        <f>ROMAN(9501)</f>
        <v/>
      </c>
      <c r="D9502">
        <f>IF(B9502=C9502, "YES", "WRONG")</f>
        <v/>
      </c>
    </row>
    <row r="9503">
      <c r="A9503" t="n">
        <v>9502</v>
      </c>
      <c r="B9503" t="inlineStr">
        <is>
          <t>Mx̄DII</t>
        </is>
      </c>
      <c r="C9503">
        <f>ROMAN(9502)</f>
        <v/>
      </c>
      <c r="D9503">
        <f>IF(B9503=C9503, "YES", "WRONG")</f>
        <v/>
      </c>
    </row>
    <row r="9504">
      <c r="A9504" t="n">
        <v>9503</v>
      </c>
      <c r="B9504" t="inlineStr">
        <is>
          <t>Mx̄DIII</t>
        </is>
      </c>
      <c r="C9504">
        <f>ROMAN(9503)</f>
        <v/>
      </c>
      <c r="D9504">
        <f>IF(B9504=C9504, "YES", "WRONG")</f>
        <v/>
      </c>
    </row>
    <row r="9505">
      <c r="A9505" t="n">
        <v>9504</v>
      </c>
      <c r="B9505" t="inlineStr">
        <is>
          <t>Mx̄DIV</t>
        </is>
      </c>
      <c r="C9505">
        <f>ROMAN(9504)</f>
        <v/>
      </c>
      <c r="D9505">
        <f>IF(B9505=C9505, "YES", "WRONG")</f>
        <v/>
      </c>
    </row>
    <row r="9506">
      <c r="A9506" t="n">
        <v>9505</v>
      </c>
      <c r="B9506" t="inlineStr">
        <is>
          <t>Mx̄DV</t>
        </is>
      </c>
      <c r="C9506">
        <f>ROMAN(9505)</f>
        <v/>
      </c>
      <c r="D9506">
        <f>IF(B9506=C9506, "YES", "WRONG")</f>
        <v/>
      </c>
    </row>
    <row r="9507">
      <c r="A9507" t="n">
        <v>9506</v>
      </c>
      <c r="B9507" t="inlineStr">
        <is>
          <t>Mx̄DVI</t>
        </is>
      </c>
      <c r="C9507">
        <f>ROMAN(9506)</f>
        <v/>
      </c>
      <c r="D9507">
        <f>IF(B9507=C9507, "YES", "WRONG")</f>
        <v/>
      </c>
    </row>
    <row r="9508">
      <c r="A9508" t="n">
        <v>9507</v>
      </c>
      <c r="B9508" t="inlineStr">
        <is>
          <t>Mx̄DVII</t>
        </is>
      </c>
      <c r="C9508">
        <f>ROMAN(9507)</f>
        <v/>
      </c>
      <c r="D9508">
        <f>IF(B9508=C9508, "YES", "WRONG")</f>
        <v/>
      </c>
    </row>
    <row r="9509">
      <c r="A9509" t="n">
        <v>9508</v>
      </c>
      <c r="B9509" t="inlineStr">
        <is>
          <t>Mx̄DVIII</t>
        </is>
      </c>
      <c r="C9509">
        <f>ROMAN(9508)</f>
        <v/>
      </c>
      <c r="D9509">
        <f>IF(B9509=C9509, "YES", "WRONG")</f>
        <v/>
      </c>
    </row>
    <row r="9510">
      <c r="A9510" t="n">
        <v>9509</v>
      </c>
      <c r="B9510" t="inlineStr">
        <is>
          <t>Mx̄DIX</t>
        </is>
      </c>
      <c r="C9510">
        <f>ROMAN(9509)</f>
        <v/>
      </c>
      <c r="D9510">
        <f>IF(B9510=C9510, "YES", "WRONG")</f>
        <v/>
      </c>
    </row>
    <row r="9511">
      <c r="A9511" t="n">
        <v>9510</v>
      </c>
      <c r="B9511" t="inlineStr">
        <is>
          <t>Mx̄DX</t>
        </is>
      </c>
      <c r="C9511">
        <f>ROMAN(9510)</f>
        <v/>
      </c>
      <c r="D9511">
        <f>IF(B9511=C9511, "YES", "WRONG")</f>
        <v/>
      </c>
    </row>
    <row r="9512">
      <c r="A9512" t="n">
        <v>9511</v>
      </c>
      <c r="B9512" t="inlineStr">
        <is>
          <t>Mx̄DXI</t>
        </is>
      </c>
      <c r="C9512">
        <f>ROMAN(9511)</f>
        <v/>
      </c>
      <c r="D9512">
        <f>IF(B9512=C9512, "YES", "WRONG")</f>
        <v/>
      </c>
    </row>
    <row r="9513">
      <c r="A9513" t="n">
        <v>9512</v>
      </c>
      <c r="B9513" t="inlineStr">
        <is>
          <t>Mx̄DXII</t>
        </is>
      </c>
      <c r="C9513">
        <f>ROMAN(9512)</f>
        <v/>
      </c>
      <c r="D9513">
        <f>IF(B9513=C9513, "YES", "WRONG")</f>
        <v/>
      </c>
    </row>
    <row r="9514">
      <c r="A9514" t="n">
        <v>9513</v>
      </c>
      <c r="B9514" t="inlineStr">
        <is>
          <t>Mx̄DXIII</t>
        </is>
      </c>
      <c r="C9514">
        <f>ROMAN(9513)</f>
        <v/>
      </c>
      <c r="D9514">
        <f>IF(B9514=C9514, "YES", "WRONG")</f>
        <v/>
      </c>
    </row>
    <row r="9515">
      <c r="A9515" t="n">
        <v>9514</v>
      </c>
      <c r="B9515" t="inlineStr">
        <is>
          <t>Mx̄DXIV</t>
        </is>
      </c>
      <c r="C9515">
        <f>ROMAN(9514)</f>
        <v/>
      </c>
      <c r="D9515">
        <f>IF(B9515=C9515, "YES", "WRONG")</f>
        <v/>
      </c>
    </row>
    <row r="9516">
      <c r="A9516" t="n">
        <v>9515</v>
      </c>
      <c r="B9516" t="inlineStr">
        <is>
          <t>Mx̄DXV</t>
        </is>
      </c>
      <c r="C9516">
        <f>ROMAN(9515)</f>
        <v/>
      </c>
      <c r="D9516">
        <f>IF(B9516=C9516, "YES", "WRONG")</f>
        <v/>
      </c>
    </row>
    <row r="9517">
      <c r="A9517" t="n">
        <v>9516</v>
      </c>
      <c r="B9517" t="inlineStr">
        <is>
          <t>Mx̄DXVI</t>
        </is>
      </c>
      <c r="C9517">
        <f>ROMAN(9516)</f>
        <v/>
      </c>
      <c r="D9517">
        <f>IF(B9517=C9517, "YES", "WRONG")</f>
        <v/>
      </c>
    </row>
    <row r="9518">
      <c r="A9518" t="n">
        <v>9517</v>
      </c>
      <c r="B9518" t="inlineStr">
        <is>
          <t>Mx̄DXVII</t>
        </is>
      </c>
      <c r="C9518">
        <f>ROMAN(9517)</f>
        <v/>
      </c>
      <c r="D9518">
        <f>IF(B9518=C9518, "YES", "WRONG")</f>
        <v/>
      </c>
    </row>
    <row r="9519">
      <c r="A9519" t="n">
        <v>9518</v>
      </c>
      <c r="B9519" t="inlineStr">
        <is>
          <t>Mx̄DXVIII</t>
        </is>
      </c>
      <c r="C9519">
        <f>ROMAN(9518)</f>
        <v/>
      </c>
      <c r="D9519">
        <f>IF(B9519=C9519, "YES", "WRONG")</f>
        <v/>
      </c>
    </row>
    <row r="9520">
      <c r="A9520" t="n">
        <v>9519</v>
      </c>
      <c r="B9520" t="inlineStr">
        <is>
          <t>Mx̄DXIX</t>
        </is>
      </c>
      <c r="C9520">
        <f>ROMAN(9519)</f>
        <v/>
      </c>
      <c r="D9520">
        <f>IF(B9520=C9520, "YES", "WRONG")</f>
        <v/>
      </c>
    </row>
    <row r="9521">
      <c r="A9521" t="n">
        <v>9520</v>
      </c>
      <c r="B9521" t="inlineStr">
        <is>
          <t>Mx̄DXX</t>
        </is>
      </c>
      <c r="C9521">
        <f>ROMAN(9520)</f>
        <v/>
      </c>
      <c r="D9521">
        <f>IF(B9521=C9521, "YES", "WRONG")</f>
        <v/>
      </c>
    </row>
    <row r="9522">
      <c r="A9522" t="n">
        <v>9521</v>
      </c>
      <c r="B9522" t="inlineStr">
        <is>
          <t>Mx̄DXXI</t>
        </is>
      </c>
      <c r="C9522">
        <f>ROMAN(9521)</f>
        <v/>
      </c>
      <c r="D9522">
        <f>IF(B9522=C9522, "YES", "WRONG")</f>
        <v/>
      </c>
    </row>
    <row r="9523">
      <c r="A9523" t="n">
        <v>9522</v>
      </c>
      <c r="B9523" t="inlineStr">
        <is>
          <t>Mx̄DXXII</t>
        </is>
      </c>
      <c r="C9523">
        <f>ROMAN(9522)</f>
        <v/>
      </c>
      <c r="D9523">
        <f>IF(B9523=C9523, "YES", "WRONG")</f>
        <v/>
      </c>
    </row>
    <row r="9524">
      <c r="A9524" t="n">
        <v>9523</v>
      </c>
      <c r="B9524" t="inlineStr">
        <is>
          <t>Mx̄DXXIII</t>
        </is>
      </c>
      <c r="C9524">
        <f>ROMAN(9523)</f>
        <v/>
      </c>
      <c r="D9524">
        <f>IF(B9524=C9524, "YES", "WRONG")</f>
        <v/>
      </c>
    </row>
    <row r="9525">
      <c r="A9525" t="n">
        <v>9524</v>
      </c>
      <c r="B9525" t="inlineStr">
        <is>
          <t>Mx̄DXXIV</t>
        </is>
      </c>
      <c r="C9525">
        <f>ROMAN(9524)</f>
        <v/>
      </c>
      <c r="D9525">
        <f>IF(B9525=C9525, "YES", "WRONG")</f>
        <v/>
      </c>
    </row>
    <row r="9526">
      <c r="A9526" t="n">
        <v>9525</v>
      </c>
      <c r="B9526" t="inlineStr">
        <is>
          <t>Mx̄DXXV</t>
        </is>
      </c>
      <c r="C9526">
        <f>ROMAN(9525)</f>
        <v/>
      </c>
      <c r="D9526">
        <f>IF(B9526=C9526, "YES", "WRONG")</f>
        <v/>
      </c>
    </row>
    <row r="9527">
      <c r="A9527" t="n">
        <v>9526</v>
      </c>
      <c r="B9527" t="inlineStr">
        <is>
          <t>Mx̄DXXVI</t>
        </is>
      </c>
      <c r="C9527">
        <f>ROMAN(9526)</f>
        <v/>
      </c>
      <c r="D9527">
        <f>IF(B9527=C9527, "YES", "WRONG")</f>
        <v/>
      </c>
    </row>
    <row r="9528">
      <c r="A9528" t="n">
        <v>9527</v>
      </c>
      <c r="B9528" t="inlineStr">
        <is>
          <t>Mx̄DXXVII</t>
        </is>
      </c>
      <c r="C9528">
        <f>ROMAN(9527)</f>
        <v/>
      </c>
      <c r="D9528">
        <f>IF(B9528=C9528, "YES", "WRONG")</f>
        <v/>
      </c>
    </row>
    <row r="9529">
      <c r="A9529" t="n">
        <v>9528</v>
      </c>
      <c r="B9529" t="inlineStr">
        <is>
          <t>Mx̄DXXVIII</t>
        </is>
      </c>
      <c r="C9529">
        <f>ROMAN(9528)</f>
        <v/>
      </c>
      <c r="D9529">
        <f>IF(B9529=C9529, "YES", "WRONG")</f>
        <v/>
      </c>
    </row>
    <row r="9530">
      <c r="A9530" t="n">
        <v>9529</v>
      </c>
      <c r="B9530" t="inlineStr">
        <is>
          <t>Mx̄DXXIX</t>
        </is>
      </c>
      <c r="C9530">
        <f>ROMAN(9529)</f>
        <v/>
      </c>
      <c r="D9530">
        <f>IF(B9530=C9530, "YES", "WRONG")</f>
        <v/>
      </c>
    </row>
    <row r="9531">
      <c r="A9531" t="n">
        <v>9530</v>
      </c>
      <c r="B9531" t="inlineStr">
        <is>
          <t>Mx̄DXXX</t>
        </is>
      </c>
      <c r="C9531">
        <f>ROMAN(9530)</f>
        <v/>
      </c>
      <c r="D9531">
        <f>IF(B9531=C9531, "YES", "WRONG")</f>
        <v/>
      </c>
    </row>
    <row r="9532">
      <c r="A9532" t="n">
        <v>9531</v>
      </c>
      <c r="B9532" t="inlineStr">
        <is>
          <t>Mx̄DXXXI</t>
        </is>
      </c>
      <c r="C9532">
        <f>ROMAN(9531)</f>
        <v/>
      </c>
      <c r="D9532">
        <f>IF(B9532=C9532, "YES", "WRONG")</f>
        <v/>
      </c>
    </row>
    <row r="9533">
      <c r="A9533" t="n">
        <v>9532</v>
      </c>
      <c r="B9533" t="inlineStr">
        <is>
          <t>Mx̄DXXXII</t>
        </is>
      </c>
      <c r="C9533">
        <f>ROMAN(9532)</f>
        <v/>
      </c>
      <c r="D9533">
        <f>IF(B9533=C9533, "YES", "WRONG")</f>
        <v/>
      </c>
    </row>
    <row r="9534">
      <c r="A9534" t="n">
        <v>9533</v>
      </c>
      <c r="B9534" t="inlineStr">
        <is>
          <t>Mx̄DXXXIII</t>
        </is>
      </c>
      <c r="C9534">
        <f>ROMAN(9533)</f>
        <v/>
      </c>
      <c r="D9534">
        <f>IF(B9534=C9534, "YES", "WRONG")</f>
        <v/>
      </c>
    </row>
    <row r="9535">
      <c r="A9535" t="n">
        <v>9534</v>
      </c>
      <c r="B9535" t="inlineStr">
        <is>
          <t>Mx̄DXXXIV</t>
        </is>
      </c>
      <c r="C9535">
        <f>ROMAN(9534)</f>
        <v/>
      </c>
      <c r="D9535">
        <f>IF(B9535=C9535, "YES", "WRONG")</f>
        <v/>
      </c>
    </row>
    <row r="9536">
      <c r="A9536" t="n">
        <v>9535</v>
      </c>
      <c r="B9536" t="inlineStr">
        <is>
          <t>Mx̄DXXXV</t>
        </is>
      </c>
      <c r="C9536">
        <f>ROMAN(9535)</f>
        <v/>
      </c>
      <c r="D9536">
        <f>IF(B9536=C9536, "YES", "WRONG")</f>
        <v/>
      </c>
    </row>
    <row r="9537">
      <c r="A9537" t="n">
        <v>9536</v>
      </c>
      <c r="B9537" t="inlineStr">
        <is>
          <t>Mx̄DXXXVI</t>
        </is>
      </c>
      <c r="C9537">
        <f>ROMAN(9536)</f>
        <v/>
      </c>
      <c r="D9537">
        <f>IF(B9537=C9537, "YES", "WRONG")</f>
        <v/>
      </c>
    </row>
    <row r="9538">
      <c r="A9538" t="n">
        <v>9537</v>
      </c>
      <c r="B9538" t="inlineStr">
        <is>
          <t>Mx̄DXXXVII</t>
        </is>
      </c>
      <c r="C9538">
        <f>ROMAN(9537)</f>
        <v/>
      </c>
      <c r="D9538">
        <f>IF(B9538=C9538, "YES", "WRONG")</f>
        <v/>
      </c>
    </row>
    <row r="9539">
      <c r="A9539" t="n">
        <v>9538</v>
      </c>
      <c r="B9539" t="inlineStr">
        <is>
          <t>Mx̄DXXXVIII</t>
        </is>
      </c>
      <c r="C9539">
        <f>ROMAN(9538)</f>
        <v/>
      </c>
      <c r="D9539">
        <f>IF(B9539=C9539, "YES", "WRONG")</f>
        <v/>
      </c>
    </row>
    <row r="9540">
      <c r="A9540" t="n">
        <v>9539</v>
      </c>
      <c r="B9540" t="inlineStr">
        <is>
          <t>Mx̄DXXXIX</t>
        </is>
      </c>
      <c r="C9540">
        <f>ROMAN(9539)</f>
        <v/>
      </c>
      <c r="D9540">
        <f>IF(B9540=C9540, "YES", "WRONG")</f>
        <v/>
      </c>
    </row>
    <row r="9541">
      <c r="A9541" t="n">
        <v>9540</v>
      </c>
      <c r="B9541" t="inlineStr">
        <is>
          <t>Mx̄DXL</t>
        </is>
      </c>
      <c r="C9541">
        <f>ROMAN(9540)</f>
        <v/>
      </c>
      <c r="D9541">
        <f>IF(B9541=C9541, "YES", "WRONG")</f>
        <v/>
      </c>
    </row>
    <row r="9542">
      <c r="A9542" t="n">
        <v>9541</v>
      </c>
      <c r="B9542" t="inlineStr">
        <is>
          <t>Mx̄DXLI</t>
        </is>
      </c>
      <c r="C9542">
        <f>ROMAN(9541)</f>
        <v/>
      </c>
      <c r="D9542">
        <f>IF(B9542=C9542, "YES", "WRONG")</f>
        <v/>
      </c>
    </row>
    <row r="9543">
      <c r="A9543" t="n">
        <v>9542</v>
      </c>
      <c r="B9543" t="inlineStr">
        <is>
          <t>Mx̄DXLII</t>
        </is>
      </c>
      <c r="C9543">
        <f>ROMAN(9542)</f>
        <v/>
      </c>
      <c r="D9543">
        <f>IF(B9543=C9543, "YES", "WRONG")</f>
        <v/>
      </c>
    </row>
    <row r="9544">
      <c r="A9544" t="n">
        <v>9543</v>
      </c>
      <c r="B9544" t="inlineStr">
        <is>
          <t>Mx̄DXLIII</t>
        </is>
      </c>
      <c r="C9544">
        <f>ROMAN(9543)</f>
        <v/>
      </c>
      <c r="D9544">
        <f>IF(B9544=C9544, "YES", "WRONG")</f>
        <v/>
      </c>
    </row>
    <row r="9545">
      <c r="A9545" t="n">
        <v>9544</v>
      </c>
      <c r="B9545" t="inlineStr">
        <is>
          <t>Mx̄DXLIV</t>
        </is>
      </c>
      <c r="C9545">
        <f>ROMAN(9544)</f>
        <v/>
      </c>
      <c r="D9545">
        <f>IF(B9545=C9545, "YES", "WRONG")</f>
        <v/>
      </c>
    </row>
    <row r="9546">
      <c r="A9546" t="n">
        <v>9545</v>
      </c>
      <c r="B9546" t="inlineStr">
        <is>
          <t>Mx̄DXLV</t>
        </is>
      </c>
      <c r="C9546">
        <f>ROMAN(9545)</f>
        <v/>
      </c>
      <c r="D9546">
        <f>IF(B9546=C9546, "YES", "WRONG")</f>
        <v/>
      </c>
    </row>
    <row r="9547">
      <c r="A9547" t="n">
        <v>9546</v>
      </c>
      <c r="B9547" t="inlineStr">
        <is>
          <t>Mx̄DXLVI</t>
        </is>
      </c>
      <c r="C9547">
        <f>ROMAN(9546)</f>
        <v/>
      </c>
      <c r="D9547">
        <f>IF(B9547=C9547, "YES", "WRONG")</f>
        <v/>
      </c>
    </row>
    <row r="9548">
      <c r="A9548" t="n">
        <v>9547</v>
      </c>
      <c r="B9548" t="inlineStr">
        <is>
          <t>Mx̄DXLVII</t>
        </is>
      </c>
      <c r="C9548">
        <f>ROMAN(9547)</f>
        <v/>
      </c>
      <c r="D9548">
        <f>IF(B9548=C9548, "YES", "WRONG")</f>
        <v/>
      </c>
    </row>
    <row r="9549">
      <c r="A9549" t="n">
        <v>9548</v>
      </c>
      <c r="B9549" t="inlineStr">
        <is>
          <t>Mx̄DXLVIII</t>
        </is>
      </c>
      <c r="C9549">
        <f>ROMAN(9548)</f>
        <v/>
      </c>
      <c r="D9549">
        <f>IF(B9549=C9549, "YES", "WRONG")</f>
        <v/>
      </c>
    </row>
    <row r="9550">
      <c r="A9550" t="n">
        <v>9549</v>
      </c>
      <c r="B9550" t="inlineStr">
        <is>
          <t>Mx̄DXLIX</t>
        </is>
      </c>
      <c r="C9550">
        <f>ROMAN(9549)</f>
        <v/>
      </c>
      <c r="D9550">
        <f>IF(B9550=C9550, "YES", "WRONG")</f>
        <v/>
      </c>
    </row>
    <row r="9551">
      <c r="A9551" t="n">
        <v>9550</v>
      </c>
      <c r="B9551" t="inlineStr">
        <is>
          <t>Mx̄DL</t>
        </is>
      </c>
      <c r="C9551">
        <f>ROMAN(9550)</f>
        <v/>
      </c>
      <c r="D9551">
        <f>IF(B9551=C9551, "YES", "WRONG")</f>
        <v/>
      </c>
    </row>
    <row r="9552">
      <c r="A9552" t="n">
        <v>9551</v>
      </c>
      <c r="B9552" t="inlineStr">
        <is>
          <t>Mx̄DLI</t>
        </is>
      </c>
      <c r="C9552">
        <f>ROMAN(9551)</f>
        <v/>
      </c>
      <c r="D9552">
        <f>IF(B9552=C9552, "YES", "WRONG")</f>
        <v/>
      </c>
    </row>
    <row r="9553">
      <c r="A9553" t="n">
        <v>9552</v>
      </c>
      <c r="B9553" t="inlineStr">
        <is>
          <t>Mx̄DLII</t>
        </is>
      </c>
      <c r="C9553">
        <f>ROMAN(9552)</f>
        <v/>
      </c>
      <c r="D9553">
        <f>IF(B9553=C9553, "YES", "WRONG")</f>
        <v/>
      </c>
    </row>
    <row r="9554">
      <c r="A9554" t="n">
        <v>9553</v>
      </c>
      <c r="B9554" t="inlineStr">
        <is>
          <t>Mx̄DLIII</t>
        </is>
      </c>
      <c r="C9554">
        <f>ROMAN(9553)</f>
        <v/>
      </c>
      <c r="D9554">
        <f>IF(B9554=C9554, "YES", "WRONG")</f>
        <v/>
      </c>
    </row>
    <row r="9555">
      <c r="A9555" t="n">
        <v>9554</v>
      </c>
      <c r="B9555" t="inlineStr">
        <is>
          <t>Mx̄DLIV</t>
        </is>
      </c>
      <c r="C9555">
        <f>ROMAN(9554)</f>
        <v/>
      </c>
      <c r="D9555">
        <f>IF(B9555=C9555, "YES", "WRONG")</f>
        <v/>
      </c>
    </row>
    <row r="9556">
      <c r="A9556" t="n">
        <v>9555</v>
      </c>
      <c r="B9556" t="inlineStr">
        <is>
          <t>Mx̄DLV</t>
        </is>
      </c>
      <c r="C9556">
        <f>ROMAN(9555)</f>
        <v/>
      </c>
      <c r="D9556">
        <f>IF(B9556=C9556, "YES", "WRONG")</f>
        <v/>
      </c>
    </row>
    <row r="9557">
      <c r="A9557" t="n">
        <v>9556</v>
      </c>
      <c r="B9557" t="inlineStr">
        <is>
          <t>Mx̄DLVI</t>
        </is>
      </c>
      <c r="C9557">
        <f>ROMAN(9556)</f>
        <v/>
      </c>
      <c r="D9557">
        <f>IF(B9557=C9557, "YES", "WRONG")</f>
        <v/>
      </c>
    </row>
    <row r="9558">
      <c r="A9558" t="n">
        <v>9557</v>
      </c>
      <c r="B9558" t="inlineStr">
        <is>
          <t>Mx̄DLVII</t>
        </is>
      </c>
      <c r="C9558">
        <f>ROMAN(9557)</f>
        <v/>
      </c>
      <c r="D9558">
        <f>IF(B9558=C9558, "YES", "WRONG")</f>
        <v/>
      </c>
    </row>
    <row r="9559">
      <c r="A9559" t="n">
        <v>9558</v>
      </c>
      <c r="B9559" t="inlineStr">
        <is>
          <t>Mx̄DLVIII</t>
        </is>
      </c>
      <c r="C9559">
        <f>ROMAN(9558)</f>
        <v/>
      </c>
      <c r="D9559">
        <f>IF(B9559=C9559, "YES", "WRONG")</f>
        <v/>
      </c>
    </row>
    <row r="9560">
      <c r="A9560" t="n">
        <v>9559</v>
      </c>
      <c r="B9560" t="inlineStr">
        <is>
          <t>Mx̄DLIX</t>
        </is>
      </c>
      <c r="C9560">
        <f>ROMAN(9559)</f>
        <v/>
      </c>
      <c r="D9560">
        <f>IF(B9560=C9560, "YES", "WRONG")</f>
        <v/>
      </c>
    </row>
    <row r="9561">
      <c r="A9561" t="n">
        <v>9560</v>
      </c>
      <c r="B9561" t="inlineStr">
        <is>
          <t>Mx̄DLX</t>
        </is>
      </c>
      <c r="C9561">
        <f>ROMAN(9560)</f>
        <v/>
      </c>
      <c r="D9561">
        <f>IF(B9561=C9561, "YES", "WRONG")</f>
        <v/>
      </c>
    </row>
    <row r="9562">
      <c r="A9562" t="n">
        <v>9561</v>
      </c>
      <c r="B9562" t="inlineStr">
        <is>
          <t>Mx̄DLXI</t>
        </is>
      </c>
      <c r="C9562">
        <f>ROMAN(9561)</f>
        <v/>
      </c>
      <c r="D9562">
        <f>IF(B9562=C9562, "YES", "WRONG")</f>
        <v/>
      </c>
    </row>
    <row r="9563">
      <c r="A9563" t="n">
        <v>9562</v>
      </c>
      <c r="B9563" t="inlineStr">
        <is>
          <t>Mx̄DLXII</t>
        </is>
      </c>
      <c r="C9563">
        <f>ROMAN(9562)</f>
        <v/>
      </c>
      <c r="D9563">
        <f>IF(B9563=C9563, "YES", "WRONG")</f>
        <v/>
      </c>
    </row>
    <row r="9564">
      <c r="A9564" t="n">
        <v>9563</v>
      </c>
      <c r="B9564" t="inlineStr">
        <is>
          <t>Mx̄DLXIII</t>
        </is>
      </c>
      <c r="C9564">
        <f>ROMAN(9563)</f>
        <v/>
      </c>
      <c r="D9564">
        <f>IF(B9564=C9564, "YES", "WRONG")</f>
        <v/>
      </c>
    </row>
    <row r="9565">
      <c r="A9565" t="n">
        <v>9564</v>
      </c>
      <c r="B9565" t="inlineStr">
        <is>
          <t>Mx̄DLXIV</t>
        </is>
      </c>
      <c r="C9565">
        <f>ROMAN(9564)</f>
        <v/>
      </c>
      <c r="D9565">
        <f>IF(B9565=C9565, "YES", "WRONG")</f>
        <v/>
      </c>
    </row>
    <row r="9566">
      <c r="A9566" t="n">
        <v>9565</v>
      </c>
      <c r="B9566" t="inlineStr">
        <is>
          <t>Mx̄DLXV</t>
        </is>
      </c>
      <c r="C9566">
        <f>ROMAN(9565)</f>
        <v/>
      </c>
      <c r="D9566">
        <f>IF(B9566=C9566, "YES", "WRONG")</f>
        <v/>
      </c>
    </row>
    <row r="9567">
      <c r="A9567" t="n">
        <v>9566</v>
      </c>
      <c r="B9567" t="inlineStr">
        <is>
          <t>Mx̄DLXVI</t>
        </is>
      </c>
      <c r="C9567">
        <f>ROMAN(9566)</f>
        <v/>
      </c>
      <c r="D9567">
        <f>IF(B9567=C9567, "YES", "WRONG")</f>
        <v/>
      </c>
    </row>
    <row r="9568">
      <c r="A9568" t="n">
        <v>9567</v>
      </c>
      <c r="B9568" t="inlineStr">
        <is>
          <t>Mx̄DLXVII</t>
        </is>
      </c>
      <c r="C9568">
        <f>ROMAN(9567)</f>
        <v/>
      </c>
      <c r="D9568">
        <f>IF(B9568=C9568, "YES", "WRONG")</f>
        <v/>
      </c>
    </row>
    <row r="9569">
      <c r="A9569" t="n">
        <v>9568</v>
      </c>
      <c r="B9569" t="inlineStr">
        <is>
          <t>Mx̄DLXVIII</t>
        </is>
      </c>
      <c r="C9569">
        <f>ROMAN(9568)</f>
        <v/>
      </c>
      <c r="D9569">
        <f>IF(B9569=C9569, "YES", "WRONG")</f>
        <v/>
      </c>
    </row>
    <row r="9570">
      <c r="A9570" t="n">
        <v>9569</v>
      </c>
      <c r="B9570" t="inlineStr">
        <is>
          <t>Mx̄DLXIX</t>
        </is>
      </c>
      <c r="C9570">
        <f>ROMAN(9569)</f>
        <v/>
      </c>
      <c r="D9570">
        <f>IF(B9570=C9570, "YES", "WRONG")</f>
        <v/>
      </c>
    </row>
    <row r="9571">
      <c r="A9571" t="n">
        <v>9570</v>
      </c>
      <c r="B9571" t="inlineStr">
        <is>
          <t>Mx̄DLXX</t>
        </is>
      </c>
      <c r="C9571">
        <f>ROMAN(9570)</f>
        <v/>
      </c>
      <c r="D9571">
        <f>IF(B9571=C9571, "YES", "WRONG")</f>
        <v/>
      </c>
    </row>
    <row r="9572">
      <c r="A9572" t="n">
        <v>9571</v>
      </c>
      <c r="B9572" t="inlineStr">
        <is>
          <t>Mx̄DLXXI</t>
        </is>
      </c>
      <c r="C9572">
        <f>ROMAN(9571)</f>
        <v/>
      </c>
      <c r="D9572">
        <f>IF(B9572=C9572, "YES", "WRONG")</f>
        <v/>
      </c>
    </row>
    <row r="9573">
      <c r="A9573" t="n">
        <v>9572</v>
      </c>
      <c r="B9573" t="inlineStr">
        <is>
          <t>Mx̄DLXXII</t>
        </is>
      </c>
      <c r="C9573">
        <f>ROMAN(9572)</f>
        <v/>
      </c>
      <c r="D9573">
        <f>IF(B9573=C9573, "YES", "WRONG")</f>
        <v/>
      </c>
    </row>
    <row r="9574">
      <c r="A9574" t="n">
        <v>9573</v>
      </c>
      <c r="B9574" t="inlineStr">
        <is>
          <t>Mx̄DLXXIII</t>
        </is>
      </c>
      <c r="C9574">
        <f>ROMAN(9573)</f>
        <v/>
      </c>
      <c r="D9574">
        <f>IF(B9574=C9574, "YES", "WRONG")</f>
        <v/>
      </c>
    </row>
    <row r="9575">
      <c r="A9575" t="n">
        <v>9574</v>
      </c>
      <c r="B9575" t="inlineStr">
        <is>
          <t>Mx̄DLXXIV</t>
        </is>
      </c>
      <c r="C9575">
        <f>ROMAN(9574)</f>
        <v/>
      </c>
      <c r="D9575">
        <f>IF(B9575=C9575, "YES", "WRONG")</f>
        <v/>
      </c>
    </row>
    <row r="9576">
      <c r="A9576" t="n">
        <v>9575</v>
      </c>
      <c r="B9576" t="inlineStr">
        <is>
          <t>Mx̄DLXXV</t>
        </is>
      </c>
      <c r="C9576">
        <f>ROMAN(9575)</f>
        <v/>
      </c>
      <c r="D9576">
        <f>IF(B9576=C9576, "YES", "WRONG")</f>
        <v/>
      </c>
    </row>
    <row r="9577">
      <c r="A9577" t="n">
        <v>9576</v>
      </c>
      <c r="B9577" t="inlineStr">
        <is>
          <t>Mx̄DLXXVI</t>
        </is>
      </c>
      <c r="C9577">
        <f>ROMAN(9576)</f>
        <v/>
      </c>
      <c r="D9577">
        <f>IF(B9577=C9577, "YES", "WRONG")</f>
        <v/>
      </c>
    </row>
    <row r="9578">
      <c r="A9578" t="n">
        <v>9577</v>
      </c>
      <c r="B9578" t="inlineStr">
        <is>
          <t>Mx̄DLXXVII</t>
        </is>
      </c>
      <c r="C9578">
        <f>ROMAN(9577)</f>
        <v/>
      </c>
      <c r="D9578">
        <f>IF(B9578=C9578, "YES", "WRONG")</f>
        <v/>
      </c>
    </row>
    <row r="9579">
      <c r="A9579" t="n">
        <v>9578</v>
      </c>
      <c r="B9579" t="inlineStr">
        <is>
          <t>Mx̄DLXXVIII</t>
        </is>
      </c>
      <c r="C9579">
        <f>ROMAN(9578)</f>
        <v/>
      </c>
      <c r="D9579">
        <f>IF(B9579=C9579, "YES", "WRONG")</f>
        <v/>
      </c>
    </row>
    <row r="9580">
      <c r="A9580" t="n">
        <v>9579</v>
      </c>
      <c r="B9580" t="inlineStr">
        <is>
          <t>Mx̄DLXXIX</t>
        </is>
      </c>
      <c r="C9580">
        <f>ROMAN(9579)</f>
        <v/>
      </c>
      <c r="D9580">
        <f>IF(B9580=C9580, "YES", "WRONG")</f>
        <v/>
      </c>
    </row>
    <row r="9581">
      <c r="A9581" t="n">
        <v>9580</v>
      </c>
      <c r="B9581" t="inlineStr">
        <is>
          <t>Mx̄DLXXX</t>
        </is>
      </c>
      <c r="C9581">
        <f>ROMAN(9580)</f>
        <v/>
      </c>
      <c r="D9581">
        <f>IF(B9581=C9581, "YES", "WRONG")</f>
        <v/>
      </c>
    </row>
    <row r="9582">
      <c r="A9582" t="n">
        <v>9581</v>
      </c>
      <c r="B9582" t="inlineStr">
        <is>
          <t>Mx̄DLXXXI</t>
        </is>
      </c>
      <c r="C9582">
        <f>ROMAN(9581)</f>
        <v/>
      </c>
      <c r="D9582">
        <f>IF(B9582=C9582, "YES", "WRONG")</f>
        <v/>
      </c>
    </row>
    <row r="9583">
      <c r="A9583" t="n">
        <v>9582</v>
      </c>
      <c r="B9583" t="inlineStr">
        <is>
          <t>Mx̄DLXXXII</t>
        </is>
      </c>
      <c r="C9583">
        <f>ROMAN(9582)</f>
        <v/>
      </c>
      <c r="D9583">
        <f>IF(B9583=C9583, "YES", "WRONG")</f>
        <v/>
      </c>
    </row>
    <row r="9584">
      <c r="A9584" t="n">
        <v>9583</v>
      </c>
      <c r="B9584" t="inlineStr">
        <is>
          <t>Mx̄DLXXXIII</t>
        </is>
      </c>
      <c r="C9584">
        <f>ROMAN(9583)</f>
        <v/>
      </c>
      <c r="D9584">
        <f>IF(B9584=C9584, "YES", "WRONG")</f>
        <v/>
      </c>
    </row>
    <row r="9585">
      <c r="A9585" t="n">
        <v>9584</v>
      </c>
      <c r="B9585" t="inlineStr">
        <is>
          <t>Mx̄DLXXXIV</t>
        </is>
      </c>
      <c r="C9585">
        <f>ROMAN(9584)</f>
        <v/>
      </c>
      <c r="D9585">
        <f>IF(B9585=C9585, "YES", "WRONG")</f>
        <v/>
      </c>
    </row>
    <row r="9586">
      <c r="A9586" t="n">
        <v>9585</v>
      </c>
      <c r="B9586" t="inlineStr">
        <is>
          <t>Mx̄DLXXXV</t>
        </is>
      </c>
      <c r="C9586">
        <f>ROMAN(9585)</f>
        <v/>
      </c>
      <c r="D9586">
        <f>IF(B9586=C9586, "YES", "WRONG")</f>
        <v/>
      </c>
    </row>
    <row r="9587">
      <c r="A9587" t="n">
        <v>9586</v>
      </c>
      <c r="B9587" t="inlineStr">
        <is>
          <t>Mx̄DLXXXVI</t>
        </is>
      </c>
      <c r="C9587">
        <f>ROMAN(9586)</f>
        <v/>
      </c>
      <c r="D9587">
        <f>IF(B9587=C9587, "YES", "WRONG")</f>
        <v/>
      </c>
    </row>
    <row r="9588">
      <c r="A9588" t="n">
        <v>9587</v>
      </c>
      <c r="B9588" t="inlineStr">
        <is>
          <t>Mx̄DLXXXVII</t>
        </is>
      </c>
      <c r="C9588">
        <f>ROMAN(9587)</f>
        <v/>
      </c>
      <c r="D9588">
        <f>IF(B9588=C9588, "YES", "WRONG")</f>
        <v/>
      </c>
    </row>
    <row r="9589">
      <c r="A9589" t="n">
        <v>9588</v>
      </c>
      <c r="B9589" t="inlineStr">
        <is>
          <t>Mx̄DLXXXVIII</t>
        </is>
      </c>
      <c r="C9589">
        <f>ROMAN(9588)</f>
        <v/>
      </c>
      <c r="D9589">
        <f>IF(B9589=C9589, "YES", "WRONG")</f>
        <v/>
      </c>
    </row>
    <row r="9590">
      <c r="A9590" t="n">
        <v>9589</v>
      </c>
      <c r="B9590" t="inlineStr">
        <is>
          <t>Mx̄DLXXXIX</t>
        </is>
      </c>
      <c r="C9590">
        <f>ROMAN(9589)</f>
        <v/>
      </c>
      <c r="D9590">
        <f>IF(B9590=C9590, "YES", "WRONG")</f>
        <v/>
      </c>
    </row>
    <row r="9591">
      <c r="A9591" t="n">
        <v>9590</v>
      </c>
      <c r="B9591" t="inlineStr">
        <is>
          <t>Mx̄DXC</t>
        </is>
      </c>
      <c r="C9591">
        <f>ROMAN(9590)</f>
        <v/>
      </c>
      <c r="D9591">
        <f>IF(B9591=C9591, "YES", "WRONG")</f>
        <v/>
      </c>
    </row>
    <row r="9592">
      <c r="A9592" t="n">
        <v>9591</v>
      </c>
      <c r="B9592" t="inlineStr">
        <is>
          <t>Mx̄DXCI</t>
        </is>
      </c>
      <c r="C9592">
        <f>ROMAN(9591)</f>
        <v/>
      </c>
      <c r="D9592">
        <f>IF(B9592=C9592, "YES", "WRONG")</f>
        <v/>
      </c>
    </row>
    <row r="9593">
      <c r="A9593" t="n">
        <v>9592</v>
      </c>
      <c r="B9593" t="inlineStr">
        <is>
          <t>Mx̄DXCII</t>
        </is>
      </c>
      <c r="C9593">
        <f>ROMAN(9592)</f>
        <v/>
      </c>
      <c r="D9593">
        <f>IF(B9593=C9593, "YES", "WRONG")</f>
        <v/>
      </c>
    </row>
    <row r="9594">
      <c r="A9594" t="n">
        <v>9593</v>
      </c>
      <c r="B9594" t="inlineStr">
        <is>
          <t>Mx̄DXCIII</t>
        </is>
      </c>
      <c r="C9594">
        <f>ROMAN(9593)</f>
        <v/>
      </c>
      <c r="D9594">
        <f>IF(B9594=C9594, "YES", "WRONG")</f>
        <v/>
      </c>
    </row>
    <row r="9595">
      <c r="A9595" t="n">
        <v>9594</v>
      </c>
      <c r="B9595" t="inlineStr">
        <is>
          <t>Mx̄DXCIV</t>
        </is>
      </c>
      <c r="C9595">
        <f>ROMAN(9594)</f>
        <v/>
      </c>
      <c r="D9595">
        <f>IF(B9595=C9595, "YES", "WRONG")</f>
        <v/>
      </c>
    </row>
    <row r="9596">
      <c r="A9596" t="n">
        <v>9595</v>
      </c>
      <c r="B9596" t="inlineStr">
        <is>
          <t>Mx̄DXCV</t>
        </is>
      </c>
      <c r="C9596">
        <f>ROMAN(9595)</f>
        <v/>
      </c>
      <c r="D9596">
        <f>IF(B9596=C9596, "YES", "WRONG")</f>
        <v/>
      </c>
    </row>
    <row r="9597">
      <c r="A9597" t="n">
        <v>9596</v>
      </c>
      <c r="B9597" t="inlineStr">
        <is>
          <t>Mx̄DXCVI</t>
        </is>
      </c>
      <c r="C9597">
        <f>ROMAN(9596)</f>
        <v/>
      </c>
      <c r="D9597">
        <f>IF(B9597=C9597, "YES", "WRONG")</f>
        <v/>
      </c>
    </row>
    <row r="9598">
      <c r="A9598" t="n">
        <v>9597</v>
      </c>
      <c r="B9598" t="inlineStr">
        <is>
          <t>Mx̄DXCVII</t>
        </is>
      </c>
      <c r="C9598">
        <f>ROMAN(9597)</f>
        <v/>
      </c>
      <c r="D9598">
        <f>IF(B9598=C9598, "YES", "WRONG")</f>
        <v/>
      </c>
    </row>
    <row r="9599">
      <c r="A9599" t="n">
        <v>9598</v>
      </c>
      <c r="B9599" t="inlineStr">
        <is>
          <t>Mx̄DXCVIII</t>
        </is>
      </c>
      <c r="C9599">
        <f>ROMAN(9598)</f>
        <v/>
      </c>
      <c r="D9599">
        <f>IF(B9599=C9599, "YES", "WRONG")</f>
        <v/>
      </c>
    </row>
    <row r="9600">
      <c r="A9600" t="n">
        <v>9599</v>
      </c>
      <c r="B9600" t="inlineStr">
        <is>
          <t>Mx̄DXCIX</t>
        </is>
      </c>
      <c r="C9600">
        <f>ROMAN(9599)</f>
        <v/>
      </c>
      <c r="D9600">
        <f>IF(B9600=C9600, "YES", "WRONG")</f>
        <v/>
      </c>
    </row>
    <row r="9601">
      <c r="A9601" t="n">
        <v>9600</v>
      </c>
      <c r="B9601" t="inlineStr">
        <is>
          <t>Mx̄DC</t>
        </is>
      </c>
      <c r="C9601">
        <f>ROMAN(9600)</f>
        <v/>
      </c>
      <c r="D9601">
        <f>IF(B9601=C9601, "YES", "WRONG")</f>
        <v/>
      </c>
    </row>
    <row r="9602">
      <c r="A9602" t="n">
        <v>9601</v>
      </c>
      <c r="B9602" t="inlineStr">
        <is>
          <t>Mx̄DCI</t>
        </is>
      </c>
      <c r="C9602">
        <f>ROMAN(9601)</f>
        <v/>
      </c>
      <c r="D9602">
        <f>IF(B9602=C9602, "YES", "WRONG")</f>
        <v/>
      </c>
    </row>
    <row r="9603">
      <c r="A9603" t="n">
        <v>9602</v>
      </c>
      <c r="B9603" t="inlineStr">
        <is>
          <t>Mx̄DCII</t>
        </is>
      </c>
      <c r="C9603">
        <f>ROMAN(9602)</f>
        <v/>
      </c>
      <c r="D9603">
        <f>IF(B9603=C9603, "YES", "WRONG")</f>
        <v/>
      </c>
    </row>
    <row r="9604">
      <c r="A9604" t="n">
        <v>9603</v>
      </c>
      <c r="B9604" t="inlineStr">
        <is>
          <t>Mx̄DCIII</t>
        </is>
      </c>
      <c r="C9604">
        <f>ROMAN(9603)</f>
        <v/>
      </c>
      <c r="D9604">
        <f>IF(B9604=C9604, "YES", "WRONG")</f>
        <v/>
      </c>
    </row>
    <row r="9605">
      <c r="A9605" t="n">
        <v>9604</v>
      </c>
      <c r="B9605" t="inlineStr">
        <is>
          <t>Mx̄DCIV</t>
        </is>
      </c>
      <c r="C9605">
        <f>ROMAN(9604)</f>
        <v/>
      </c>
      <c r="D9605">
        <f>IF(B9605=C9605, "YES", "WRONG")</f>
        <v/>
      </c>
    </row>
    <row r="9606">
      <c r="A9606" t="n">
        <v>9605</v>
      </c>
      <c r="B9606" t="inlineStr">
        <is>
          <t>Mx̄DCV</t>
        </is>
      </c>
      <c r="C9606">
        <f>ROMAN(9605)</f>
        <v/>
      </c>
      <c r="D9606">
        <f>IF(B9606=C9606, "YES", "WRONG")</f>
        <v/>
      </c>
    </row>
    <row r="9607">
      <c r="A9607" t="n">
        <v>9606</v>
      </c>
      <c r="B9607" t="inlineStr">
        <is>
          <t>Mx̄DCVI</t>
        </is>
      </c>
      <c r="C9607">
        <f>ROMAN(9606)</f>
        <v/>
      </c>
      <c r="D9607">
        <f>IF(B9607=C9607, "YES", "WRONG")</f>
        <v/>
      </c>
    </row>
    <row r="9608">
      <c r="A9608" t="n">
        <v>9607</v>
      </c>
      <c r="B9608" t="inlineStr">
        <is>
          <t>Mx̄DCVII</t>
        </is>
      </c>
      <c r="C9608">
        <f>ROMAN(9607)</f>
        <v/>
      </c>
      <c r="D9608">
        <f>IF(B9608=C9608, "YES", "WRONG")</f>
        <v/>
      </c>
    </row>
    <row r="9609">
      <c r="A9609" t="n">
        <v>9608</v>
      </c>
      <c r="B9609" t="inlineStr">
        <is>
          <t>Mx̄DCVIII</t>
        </is>
      </c>
      <c r="C9609">
        <f>ROMAN(9608)</f>
        <v/>
      </c>
      <c r="D9609">
        <f>IF(B9609=C9609, "YES", "WRONG")</f>
        <v/>
      </c>
    </row>
    <row r="9610">
      <c r="A9610" t="n">
        <v>9609</v>
      </c>
      <c r="B9610" t="inlineStr">
        <is>
          <t>Mx̄DCIX</t>
        </is>
      </c>
      <c r="C9610">
        <f>ROMAN(9609)</f>
        <v/>
      </c>
      <c r="D9610">
        <f>IF(B9610=C9610, "YES", "WRONG")</f>
        <v/>
      </c>
    </row>
    <row r="9611">
      <c r="A9611" t="n">
        <v>9610</v>
      </c>
      <c r="B9611" t="inlineStr">
        <is>
          <t>Mx̄DCX</t>
        </is>
      </c>
      <c r="C9611">
        <f>ROMAN(9610)</f>
        <v/>
      </c>
      <c r="D9611">
        <f>IF(B9611=C9611, "YES", "WRONG")</f>
        <v/>
      </c>
    </row>
    <row r="9612">
      <c r="A9612" t="n">
        <v>9611</v>
      </c>
      <c r="B9612" t="inlineStr">
        <is>
          <t>Mx̄DCXI</t>
        </is>
      </c>
      <c r="C9612">
        <f>ROMAN(9611)</f>
        <v/>
      </c>
      <c r="D9612">
        <f>IF(B9612=C9612, "YES", "WRONG")</f>
        <v/>
      </c>
    </row>
    <row r="9613">
      <c r="A9613" t="n">
        <v>9612</v>
      </c>
      <c r="B9613" t="inlineStr">
        <is>
          <t>Mx̄DCXII</t>
        </is>
      </c>
      <c r="C9613">
        <f>ROMAN(9612)</f>
        <v/>
      </c>
      <c r="D9613">
        <f>IF(B9613=C9613, "YES", "WRONG")</f>
        <v/>
      </c>
    </row>
    <row r="9614">
      <c r="A9614" t="n">
        <v>9613</v>
      </c>
      <c r="B9614" t="inlineStr">
        <is>
          <t>Mx̄DCXIII</t>
        </is>
      </c>
      <c r="C9614">
        <f>ROMAN(9613)</f>
        <v/>
      </c>
      <c r="D9614">
        <f>IF(B9614=C9614, "YES", "WRONG")</f>
        <v/>
      </c>
    </row>
    <row r="9615">
      <c r="A9615" t="n">
        <v>9614</v>
      </c>
      <c r="B9615" t="inlineStr">
        <is>
          <t>Mx̄DCXIV</t>
        </is>
      </c>
      <c r="C9615">
        <f>ROMAN(9614)</f>
        <v/>
      </c>
      <c r="D9615">
        <f>IF(B9615=C9615, "YES", "WRONG")</f>
        <v/>
      </c>
    </row>
    <row r="9616">
      <c r="A9616" t="n">
        <v>9615</v>
      </c>
      <c r="B9616" t="inlineStr">
        <is>
          <t>Mx̄DCXV</t>
        </is>
      </c>
      <c r="C9616">
        <f>ROMAN(9615)</f>
        <v/>
      </c>
      <c r="D9616">
        <f>IF(B9616=C9616, "YES", "WRONG")</f>
        <v/>
      </c>
    </row>
    <row r="9617">
      <c r="A9617" t="n">
        <v>9616</v>
      </c>
      <c r="B9617" t="inlineStr">
        <is>
          <t>Mx̄DCXVI</t>
        </is>
      </c>
      <c r="C9617">
        <f>ROMAN(9616)</f>
        <v/>
      </c>
      <c r="D9617">
        <f>IF(B9617=C9617, "YES", "WRONG")</f>
        <v/>
      </c>
    </row>
    <row r="9618">
      <c r="A9618" t="n">
        <v>9617</v>
      </c>
      <c r="B9618" t="inlineStr">
        <is>
          <t>Mx̄DCXVII</t>
        </is>
      </c>
      <c r="C9618">
        <f>ROMAN(9617)</f>
        <v/>
      </c>
      <c r="D9618">
        <f>IF(B9618=C9618, "YES", "WRONG")</f>
        <v/>
      </c>
    </row>
    <row r="9619">
      <c r="A9619" t="n">
        <v>9618</v>
      </c>
      <c r="B9619" t="inlineStr">
        <is>
          <t>Mx̄DCXVIII</t>
        </is>
      </c>
      <c r="C9619">
        <f>ROMAN(9618)</f>
        <v/>
      </c>
      <c r="D9619">
        <f>IF(B9619=C9619, "YES", "WRONG")</f>
        <v/>
      </c>
    </row>
    <row r="9620">
      <c r="A9620" t="n">
        <v>9619</v>
      </c>
      <c r="B9620" t="inlineStr">
        <is>
          <t>Mx̄DCXIX</t>
        </is>
      </c>
      <c r="C9620">
        <f>ROMAN(9619)</f>
        <v/>
      </c>
      <c r="D9620">
        <f>IF(B9620=C9620, "YES", "WRONG")</f>
        <v/>
      </c>
    </row>
    <row r="9621">
      <c r="A9621" t="n">
        <v>9620</v>
      </c>
      <c r="B9621" t="inlineStr">
        <is>
          <t>Mx̄DCXX</t>
        </is>
      </c>
      <c r="C9621">
        <f>ROMAN(9620)</f>
        <v/>
      </c>
      <c r="D9621">
        <f>IF(B9621=C9621, "YES", "WRONG")</f>
        <v/>
      </c>
    </row>
    <row r="9622">
      <c r="A9622" t="n">
        <v>9621</v>
      </c>
      <c r="B9622" t="inlineStr">
        <is>
          <t>Mx̄DCXXI</t>
        </is>
      </c>
      <c r="C9622">
        <f>ROMAN(9621)</f>
        <v/>
      </c>
      <c r="D9622">
        <f>IF(B9622=C9622, "YES", "WRONG")</f>
        <v/>
      </c>
    </row>
    <row r="9623">
      <c r="A9623" t="n">
        <v>9622</v>
      </c>
      <c r="B9623" t="inlineStr">
        <is>
          <t>Mx̄DCXXII</t>
        </is>
      </c>
      <c r="C9623">
        <f>ROMAN(9622)</f>
        <v/>
      </c>
      <c r="D9623">
        <f>IF(B9623=C9623, "YES", "WRONG")</f>
        <v/>
      </c>
    </row>
    <row r="9624">
      <c r="A9624" t="n">
        <v>9623</v>
      </c>
      <c r="B9624" t="inlineStr">
        <is>
          <t>Mx̄DCXXIII</t>
        </is>
      </c>
      <c r="C9624">
        <f>ROMAN(9623)</f>
        <v/>
      </c>
      <c r="D9624">
        <f>IF(B9624=C9624, "YES", "WRONG")</f>
        <v/>
      </c>
    </row>
    <row r="9625">
      <c r="A9625" t="n">
        <v>9624</v>
      </c>
      <c r="B9625" t="inlineStr">
        <is>
          <t>Mx̄DCXXIV</t>
        </is>
      </c>
      <c r="C9625">
        <f>ROMAN(9624)</f>
        <v/>
      </c>
      <c r="D9625">
        <f>IF(B9625=C9625, "YES", "WRONG")</f>
        <v/>
      </c>
    </row>
    <row r="9626">
      <c r="A9626" t="n">
        <v>9625</v>
      </c>
      <c r="B9626" t="inlineStr">
        <is>
          <t>Mx̄DCXXV</t>
        </is>
      </c>
      <c r="C9626">
        <f>ROMAN(9625)</f>
        <v/>
      </c>
      <c r="D9626">
        <f>IF(B9626=C9626, "YES", "WRONG")</f>
        <v/>
      </c>
    </row>
    <row r="9627">
      <c r="A9627" t="n">
        <v>9626</v>
      </c>
      <c r="B9627" t="inlineStr">
        <is>
          <t>Mx̄DCXXVI</t>
        </is>
      </c>
      <c r="C9627">
        <f>ROMAN(9626)</f>
        <v/>
      </c>
      <c r="D9627">
        <f>IF(B9627=C9627, "YES", "WRONG")</f>
        <v/>
      </c>
    </row>
    <row r="9628">
      <c r="A9628" t="n">
        <v>9627</v>
      </c>
      <c r="B9628" t="inlineStr">
        <is>
          <t>Mx̄DCXXVII</t>
        </is>
      </c>
      <c r="C9628">
        <f>ROMAN(9627)</f>
        <v/>
      </c>
      <c r="D9628">
        <f>IF(B9628=C9628, "YES", "WRONG")</f>
        <v/>
      </c>
    </row>
    <row r="9629">
      <c r="A9629" t="n">
        <v>9628</v>
      </c>
      <c r="B9629" t="inlineStr">
        <is>
          <t>Mx̄DCXXVIII</t>
        </is>
      </c>
      <c r="C9629">
        <f>ROMAN(9628)</f>
        <v/>
      </c>
      <c r="D9629">
        <f>IF(B9629=C9629, "YES", "WRONG")</f>
        <v/>
      </c>
    </row>
    <row r="9630">
      <c r="A9630" t="n">
        <v>9629</v>
      </c>
      <c r="B9630" t="inlineStr">
        <is>
          <t>Mx̄DCXXIX</t>
        </is>
      </c>
      <c r="C9630">
        <f>ROMAN(9629)</f>
        <v/>
      </c>
      <c r="D9630">
        <f>IF(B9630=C9630, "YES", "WRONG")</f>
        <v/>
      </c>
    </row>
    <row r="9631">
      <c r="A9631" t="n">
        <v>9630</v>
      </c>
      <c r="B9631" t="inlineStr">
        <is>
          <t>Mx̄DCXXX</t>
        </is>
      </c>
      <c r="C9631">
        <f>ROMAN(9630)</f>
        <v/>
      </c>
      <c r="D9631">
        <f>IF(B9631=C9631, "YES", "WRONG")</f>
        <v/>
      </c>
    </row>
    <row r="9632">
      <c r="A9632" t="n">
        <v>9631</v>
      </c>
      <c r="B9632" t="inlineStr">
        <is>
          <t>Mx̄DCXXXI</t>
        </is>
      </c>
      <c r="C9632">
        <f>ROMAN(9631)</f>
        <v/>
      </c>
      <c r="D9632">
        <f>IF(B9632=C9632, "YES", "WRONG")</f>
        <v/>
      </c>
    </row>
    <row r="9633">
      <c r="A9633" t="n">
        <v>9632</v>
      </c>
      <c r="B9633" t="inlineStr">
        <is>
          <t>Mx̄DCXXXII</t>
        </is>
      </c>
      <c r="C9633">
        <f>ROMAN(9632)</f>
        <v/>
      </c>
      <c r="D9633">
        <f>IF(B9633=C9633, "YES", "WRONG")</f>
        <v/>
      </c>
    </row>
    <row r="9634">
      <c r="A9634" t="n">
        <v>9633</v>
      </c>
      <c r="B9634" t="inlineStr">
        <is>
          <t>Mx̄DCXXXIII</t>
        </is>
      </c>
      <c r="C9634">
        <f>ROMAN(9633)</f>
        <v/>
      </c>
      <c r="D9634">
        <f>IF(B9634=C9634, "YES", "WRONG")</f>
        <v/>
      </c>
    </row>
    <row r="9635">
      <c r="A9635" t="n">
        <v>9634</v>
      </c>
      <c r="B9635" t="inlineStr">
        <is>
          <t>Mx̄DCXXXIV</t>
        </is>
      </c>
      <c r="C9635">
        <f>ROMAN(9634)</f>
        <v/>
      </c>
      <c r="D9635">
        <f>IF(B9635=C9635, "YES", "WRONG")</f>
        <v/>
      </c>
    </row>
    <row r="9636">
      <c r="A9636" t="n">
        <v>9635</v>
      </c>
      <c r="B9636" t="inlineStr">
        <is>
          <t>Mx̄DCXXXV</t>
        </is>
      </c>
      <c r="C9636">
        <f>ROMAN(9635)</f>
        <v/>
      </c>
      <c r="D9636">
        <f>IF(B9636=C9636, "YES", "WRONG")</f>
        <v/>
      </c>
    </row>
    <row r="9637">
      <c r="A9637" t="n">
        <v>9636</v>
      </c>
      <c r="B9637" t="inlineStr">
        <is>
          <t>Mx̄DCXXXVI</t>
        </is>
      </c>
      <c r="C9637">
        <f>ROMAN(9636)</f>
        <v/>
      </c>
      <c r="D9637">
        <f>IF(B9637=C9637, "YES", "WRONG")</f>
        <v/>
      </c>
    </row>
    <row r="9638">
      <c r="A9638" t="n">
        <v>9637</v>
      </c>
      <c r="B9638" t="inlineStr">
        <is>
          <t>Mx̄DCXXXVII</t>
        </is>
      </c>
      <c r="C9638">
        <f>ROMAN(9637)</f>
        <v/>
      </c>
      <c r="D9638">
        <f>IF(B9638=C9638, "YES", "WRONG")</f>
        <v/>
      </c>
    </row>
    <row r="9639">
      <c r="A9639" t="n">
        <v>9638</v>
      </c>
      <c r="B9639" t="inlineStr">
        <is>
          <t>Mx̄DCXXXVIII</t>
        </is>
      </c>
      <c r="C9639">
        <f>ROMAN(9638)</f>
        <v/>
      </c>
      <c r="D9639">
        <f>IF(B9639=C9639, "YES", "WRONG")</f>
        <v/>
      </c>
    </row>
    <row r="9640">
      <c r="A9640" t="n">
        <v>9639</v>
      </c>
      <c r="B9640" t="inlineStr">
        <is>
          <t>Mx̄DCXXXIX</t>
        </is>
      </c>
      <c r="C9640">
        <f>ROMAN(9639)</f>
        <v/>
      </c>
      <c r="D9640">
        <f>IF(B9640=C9640, "YES", "WRONG")</f>
        <v/>
      </c>
    </row>
    <row r="9641">
      <c r="A9641" t="n">
        <v>9640</v>
      </c>
      <c r="B9641" t="inlineStr">
        <is>
          <t>Mx̄DCXL</t>
        </is>
      </c>
      <c r="C9641">
        <f>ROMAN(9640)</f>
        <v/>
      </c>
      <c r="D9641">
        <f>IF(B9641=C9641, "YES", "WRONG")</f>
        <v/>
      </c>
    </row>
    <row r="9642">
      <c r="A9642" t="n">
        <v>9641</v>
      </c>
      <c r="B9642" t="inlineStr">
        <is>
          <t>Mx̄DCXLI</t>
        </is>
      </c>
      <c r="C9642">
        <f>ROMAN(9641)</f>
        <v/>
      </c>
      <c r="D9642">
        <f>IF(B9642=C9642, "YES", "WRONG")</f>
        <v/>
      </c>
    </row>
    <row r="9643">
      <c r="A9643" t="n">
        <v>9642</v>
      </c>
      <c r="B9643" t="inlineStr">
        <is>
          <t>Mx̄DCXLII</t>
        </is>
      </c>
      <c r="C9643">
        <f>ROMAN(9642)</f>
        <v/>
      </c>
      <c r="D9643">
        <f>IF(B9643=C9643, "YES", "WRONG")</f>
        <v/>
      </c>
    </row>
    <row r="9644">
      <c r="A9644" t="n">
        <v>9643</v>
      </c>
      <c r="B9644" t="inlineStr">
        <is>
          <t>Mx̄DCXLIII</t>
        </is>
      </c>
      <c r="C9644">
        <f>ROMAN(9643)</f>
        <v/>
      </c>
      <c r="D9644">
        <f>IF(B9644=C9644, "YES", "WRONG")</f>
        <v/>
      </c>
    </row>
    <row r="9645">
      <c r="A9645" t="n">
        <v>9644</v>
      </c>
      <c r="B9645" t="inlineStr">
        <is>
          <t>Mx̄DCXLIV</t>
        </is>
      </c>
      <c r="C9645">
        <f>ROMAN(9644)</f>
        <v/>
      </c>
      <c r="D9645">
        <f>IF(B9645=C9645, "YES", "WRONG")</f>
        <v/>
      </c>
    </row>
    <row r="9646">
      <c r="A9646" t="n">
        <v>9645</v>
      </c>
      <c r="B9646" t="inlineStr">
        <is>
          <t>Mx̄DCXLV</t>
        </is>
      </c>
      <c r="C9646">
        <f>ROMAN(9645)</f>
        <v/>
      </c>
      <c r="D9646">
        <f>IF(B9646=C9646, "YES", "WRONG")</f>
        <v/>
      </c>
    </row>
    <row r="9647">
      <c r="A9647" t="n">
        <v>9646</v>
      </c>
      <c r="B9647" t="inlineStr">
        <is>
          <t>Mx̄DCXLVI</t>
        </is>
      </c>
      <c r="C9647">
        <f>ROMAN(9646)</f>
        <v/>
      </c>
      <c r="D9647">
        <f>IF(B9647=C9647, "YES", "WRONG")</f>
        <v/>
      </c>
    </row>
    <row r="9648">
      <c r="A9648" t="n">
        <v>9647</v>
      </c>
      <c r="B9648" t="inlineStr">
        <is>
          <t>Mx̄DCXLVII</t>
        </is>
      </c>
      <c r="C9648">
        <f>ROMAN(9647)</f>
        <v/>
      </c>
      <c r="D9648">
        <f>IF(B9648=C9648, "YES", "WRONG")</f>
        <v/>
      </c>
    </row>
    <row r="9649">
      <c r="A9649" t="n">
        <v>9648</v>
      </c>
      <c r="B9649" t="inlineStr">
        <is>
          <t>Mx̄DCXLVIII</t>
        </is>
      </c>
      <c r="C9649">
        <f>ROMAN(9648)</f>
        <v/>
      </c>
      <c r="D9649">
        <f>IF(B9649=C9649, "YES", "WRONG")</f>
        <v/>
      </c>
    </row>
    <row r="9650">
      <c r="A9650" t="n">
        <v>9649</v>
      </c>
      <c r="B9650" t="inlineStr">
        <is>
          <t>Mx̄DCXLIX</t>
        </is>
      </c>
      <c r="C9650">
        <f>ROMAN(9649)</f>
        <v/>
      </c>
      <c r="D9650">
        <f>IF(B9650=C9650, "YES", "WRONG")</f>
        <v/>
      </c>
    </row>
    <row r="9651">
      <c r="A9651" t="n">
        <v>9650</v>
      </c>
      <c r="B9651" t="inlineStr">
        <is>
          <t>Mx̄DCL</t>
        </is>
      </c>
      <c r="C9651">
        <f>ROMAN(9650)</f>
        <v/>
      </c>
      <c r="D9651">
        <f>IF(B9651=C9651, "YES", "WRONG")</f>
        <v/>
      </c>
    </row>
    <row r="9652">
      <c r="A9652" t="n">
        <v>9651</v>
      </c>
      <c r="B9652" t="inlineStr">
        <is>
          <t>Mx̄DCLI</t>
        </is>
      </c>
      <c r="C9652">
        <f>ROMAN(9651)</f>
        <v/>
      </c>
      <c r="D9652">
        <f>IF(B9652=C9652, "YES", "WRONG")</f>
        <v/>
      </c>
    </row>
    <row r="9653">
      <c r="A9653" t="n">
        <v>9652</v>
      </c>
      <c r="B9653" t="inlineStr">
        <is>
          <t>Mx̄DCLII</t>
        </is>
      </c>
      <c r="C9653">
        <f>ROMAN(9652)</f>
        <v/>
      </c>
      <c r="D9653">
        <f>IF(B9653=C9653, "YES", "WRONG")</f>
        <v/>
      </c>
    </row>
    <row r="9654">
      <c r="A9654" t="n">
        <v>9653</v>
      </c>
      <c r="B9654" t="inlineStr">
        <is>
          <t>Mx̄DCLIII</t>
        </is>
      </c>
      <c r="C9654">
        <f>ROMAN(9653)</f>
        <v/>
      </c>
      <c r="D9654">
        <f>IF(B9654=C9654, "YES", "WRONG")</f>
        <v/>
      </c>
    </row>
    <row r="9655">
      <c r="A9655" t="n">
        <v>9654</v>
      </c>
      <c r="B9655" t="inlineStr">
        <is>
          <t>Mx̄DCLIV</t>
        </is>
      </c>
      <c r="C9655">
        <f>ROMAN(9654)</f>
        <v/>
      </c>
      <c r="D9655">
        <f>IF(B9655=C9655, "YES", "WRONG")</f>
        <v/>
      </c>
    </row>
    <row r="9656">
      <c r="A9656" t="n">
        <v>9655</v>
      </c>
      <c r="B9656" t="inlineStr">
        <is>
          <t>Mx̄DCLV</t>
        </is>
      </c>
      <c r="C9656">
        <f>ROMAN(9655)</f>
        <v/>
      </c>
      <c r="D9656">
        <f>IF(B9656=C9656, "YES", "WRONG")</f>
        <v/>
      </c>
    </row>
    <row r="9657">
      <c r="A9657" t="n">
        <v>9656</v>
      </c>
      <c r="B9657" t="inlineStr">
        <is>
          <t>Mx̄DCLVI</t>
        </is>
      </c>
      <c r="C9657">
        <f>ROMAN(9656)</f>
        <v/>
      </c>
      <c r="D9657">
        <f>IF(B9657=C9657, "YES", "WRONG")</f>
        <v/>
      </c>
    </row>
    <row r="9658">
      <c r="A9658" t="n">
        <v>9657</v>
      </c>
      <c r="B9658" t="inlineStr">
        <is>
          <t>Mx̄DCLVII</t>
        </is>
      </c>
      <c r="C9658">
        <f>ROMAN(9657)</f>
        <v/>
      </c>
      <c r="D9658">
        <f>IF(B9658=C9658, "YES", "WRONG")</f>
        <v/>
      </c>
    </row>
    <row r="9659">
      <c r="A9659" t="n">
        <v>9658</v>
      </c>
      <c r="B9659" t="inlineStr">
        <is>
          <t>Mx̄DCLVIII</t>
        </is>
      </c>
      <c r="C9659">
        <f>ROMAN(9658)</f>
        <v/>
      </c>
      <c r="D9659">
        <f>IF(B9659=C9659, "YES", "WRONG")</f>
        <v/>
      </c>
    </row>
    <row r="9660">
      <c r="A9660" t="n">
        <v>9659</v>
      </c>
      <c r="B9660" t="inlineStr">
        <is>
          <t>Mx̄DCLIX</t>
        </is>
      </c>
      <c r="C9660">
        <f>ROMAN(9659)</f>
        <v/>
      </c>
      <c r="D9660">
        <f>IF(B9660=C9660, "YES", "WRONG")</f>
        <v/>
      </c>
    </row>
    <row r="9661">
      <c r="A9661" t="n">
        <v>9660</v>
      </c>
      <c r="B9661" t="inlineStr">
        <is>
          <t>Mx̄DCLX</t>
        </is>
      </c>
      <c r="C9661">
        <f>ROMAN(9660)</f>
        <v/>
      </c>
      <c r="D9661">
        <f>IF(B9661=C9661, "YES", "WRONG")</f>
        <v/>
      </c>
    </row>
    <row r="9662">
      <c r="A9662" t="n">
        <v>9661</v>
      </c>
      <c r="B9662" t="inlineStr">
        <is>
          <t>Mx̄DCLXI</t>
        </is>
      </c>
      <c r="C9662">
        <f>ROMAN(9661)</f>
        <v/>
      </c>
      <c r="D9662">
        <f>IF(B9662=C9662, "YES", "WRONG")</f>
        <v/>
      </c>
    </row>
    <row r="9663">
      <c r="A9663" t="n">
        <v>9662</v>
      </c>
      <c r="B9663" t="inlineStr">
        <is>
          <t>Mx̄DCLXII</t>
        </is>
      </c>
      <c r="C9663">
        <f>ROMAN(9662)</f>
        <v/>
      </c>
      <c r="D9663">
        <f>IF(B9663=C9663, "YES", "WRONG")</f>
        <v/>
      </c>
    </row>
    <row r="9664">
      <c r="A9664" t="n">
        <v>9663</v>
      </c>
      <c r="B9664" t="inlineStr">
        <is>
          <t>Mx̄DCLXIII</t>
        </is>
      </c>
      <c r="C9664">
        <f>ROMAN(9663)</f>
        <v/>
      </c>
      <c r="D9664">
        <f>IF(B9664=C9664, "YES", "WRONG")</f>
        <v/>
      </c>
    </row>
    <row r="9665">
      <c r="A9665" t="n">
        <v>9664</v>
      </c>
      <c r="B9665" t="inlineStr">
        <is>
          <t>Mx̄DCLXIV</t>
        </is>
      </c>
      <c r="C9665">
        <f>ROMAN(9664)</f>
        <v/>
      </c>
      <c r="D9665">
        <f>IF(B9665=C9665, "YES", "WRONG")</f>
        <v/>
      </c>
    </row>
    <row r="9666">
      <c r="A9666" t="n">
        <v>9665</v>
      </c>
      <c r="B9666" t="inlineStr">
        <is>
          <t>Mx̄DCLXV</t>
        </is>
      </c>
      <c r="C9666">
        <f>ROMAN(9665)</f>
        <v/>
      </c>
      <c r="D9666">
        <f>IF(B9666=C9666, "YES", "WRONG")</f>
        <v/>
      </c>
    </row>
    <row r="9667">
      <c r="A9667" t="n">
        <v>9666</v>
      </c>
      <c r="B9667" t="inlineStr">
        <is>
          <t>Mx̄DCLXVI</t>
        </is>
      </c>
      <c r="C9667">
        <f>ROMAN(9666)</f>
        <v/>
      </c>
      <c r="D9667">
        <f>IF(B9667=C9667, "YES", "WRONG")</f>
        <v/>
      </c>
    </row>
    <row r="9668">
      <c r="A9668" t="n">
        <v>9667</v>
      </c>
      <c r="B9668" t="inlineStr">
        <is>
          <t>Mx̄DCLXVII</t>
        </is>
      </c>
      <c r="C9668">
        <f>ROMAN(9667)</f>
        <v/>
      </c>
      <c r="D9668">
        <f>IF(B9668=C9668, "YES", "WRONG")</f>
        <v/>
      </c>
    </row>
    <row r="9669">
      <c r="A9669" t="n">
        <v>9668</v>
      </c>
      <c r="B9669" t="inlineStr">
        <is>
          <t>Mx̄DCLXVIII</t>
        </is>
      </c>
      <c r="C9669">
        <f>ROMAN(9668)</f>
        <v/>
      </c>
      <c r="D9669">
        <f>IF(B9669=C9669, "YES", "WRONG")</f>
        <v/>
      </c>
    </row>
    <row r="9670">
      <c r="A9670" t="n">
        <v>9669</v>
      </c>
      <c r="B9670" t="inlineStr">
        <is>
          <t>Mx̄DCLXIX</t>
        </is>
      </c>
      <c r="C9670">
        <f>ROMAN(9669)</f>
        <v/>
      </c>
      <c r="D9670">
        <f>IF(B9670=C9670, "YES", "WRONG")</f>
        <v/>
      </c>
    </row>
    <row r="9671">
      <c r="A9671" t="n">
        <v>9670</v>
      </c>
      <c r="B9671" t="inlineStr">
        <is>
          <t>Mx̄DCLXX</t>
        </is>
      </c>
      <c r="C9671">
        <f>ROMAN(9670)</f>
        <v/>
      </c>
      <c r="D9671">
        <f>IF(B9671=C9671, "YES", "WRONG")</f>
        <v/>
      </c>
    </row>
    <row r="9672">
      <c r="A9672" t="n">
        <v>9671</v>
      </c>
      <c r="B9672" t="inlineStr">
        <is>
          <t>Mx̄DCLXXI</t>
        </is>
      </c>
      <c r="C9672">
        <f>ROMAN(9671)</f>
        <v/>
      </c>
      <c r="D9672">
        <f>IF(B9672=C9672, "YES", "WRONG")</f>
        <v/>
      </c>
    </row>
    <row r="9673">
      <c r="A9673" t="n">
        <v>9672</v>
      </c>
      <c r="B9673" t="inlineStr">
        <is>
          <t>Mx̄DCLXXII</t>
        </is>
      </c>
      <c r="C9673">
        <f>ROMAN(9672)</f>
        <v/>
      </c>
      <c r="D9673">
        <f>IF(B9673=C9673, "YES", "WRONG")</f>
        <v/>
      </c>
    </row>
    <row r="9674">
      <c r="A9674" t="n">
        <v>9673</v>
      </c>
      <c r="B9674" t="inlineStr">
        <is>
          <t>Mx̄DCLXXIII</t>
        </is>
      </c>
      <c r="C9674">
        <f>ROMAN(9673)</f>
        <v/>
      </c>
      <c r="D9674">
        <f>IF(B9674=C9674, "YES", "WRONG")</f>
        <v/>
      </c>
    </row>
    <row r="9675">
      <c r="A9675" t="n">
        <v>9674</v>
      </c>
      <c r="B9675" t="inlineStr">
        <is>
          <t>Mx̄DCLXXIV</t>
        </is>
      </c>
      <c r="C9675">
        <f>ROMAN(9674)</f>
        <v/>
      </c>
      <c r="D9675">
        <f>IF(B9675=C9675, "YES", "WRONG")</f>
        <v/>
      </c>
    </row>
    <row r="9676">
      <c r="A9676" t="n">
        <v>9675</v>
      </c>
      <c r="B9676" t="inlineStr">
        <is>
          <t>Mx̄DCLXXV</t>
        </is>
      </c>
      <c r="C9676">
        <f>ROMAN(9675)</f>
        <v/>
      </c>
      <c r="D9676">
        <f>IF(B9676=C9676, "YES", "WRONG")</f>
        <v/>
      </c>
    </row>
    <row r="9677">
      <c r="A9677" t="n">
        <v>9676</v>
      </c>
      <c r="B9677" t="inlineStr">
        <is>
          <t>Mx̄DCLXXVI</t>
        </is>
      </c>
      <c r="C9677">
        <f>ROMAN(9676)</f>
        <v/>
      </c>
      <c r="D9677">
        <f>IF(B9677=C9677, "YES", "WRONG")</f>
        <v/>
      </c>
    </row>
    <row r="9678">
      <c r="A9678" t="n">
        <v>9677</v>
      </c>
      <c r="B9678" t="inlineStr">
        <is>
          <t>Mx̄DCLXXVII</t>
        </is>
      </c>
      <c r="C9678">
        <f>ROMAN(9677)</f>
        <v/>
      </c>
      <c r="D9678">
        <f>IF(B9678=C9678, "YES", "WRONG")</f>
        <v/>
      </c>
    </row>
    <row r="9679">
      <c r="A9679" t="n">
        <v>9678</v>
      </c>
      <c r="B9679" t="inlineStr">
        <is>
          <t>Mx̄DCLXXVIII</t>
        </is>
      </c>
      <c r="C9679">
        <f>ROMAN(9678)</f>
        <v/>
      </c>
      <c r="D9679">
        <f>IF(B9679=C9679, "YES", "WRONG")</f>
        <v/>
      </c>
    </row>
    <row r="9680">
      <c r="A9680" t="n">
        <v>9679</v>
      </c>
      <c r="B9680" t="inlineStr">
        <is>
          <t>Mx̄DCLXXIX</t>
        </is>
      </c>
      <c r="C9680">
        <f>ROMAN(9679)</f>
        <v/>
      </c>
      <c r="D9680">
        <f>IF(B9680=C9680, "YES", "WRONG")</f>
        <v/>
      </c>
    </row>
    <row r="9681">
      <c r="A9681" t="n">
        <v>9680</v>
      </c>
      <c r="B9681" t="inlineStr">
        <is>
          <t>Mx̄DCLXXX</t>
        </is>
      </c>
      <c r="C9681">
        <f>ROMAN(9680)</f>
        <v/>
      </c>
      <c r="D9681">
        <f>IF(B9681=C9681, "YES", "WRONG")</f>
        <v/>
      </c>
    </row>
    <row r="9682">
      <c r="A9682" t="n">
        <v>9681</v>
      </c>
      <c r="B9682" t="inlineStr">
        <is>
          <t>Mx̄DCLXXXI</t>
        </is>
      </c>
      <c r="C9682">
        <f>ROMAN(9681)</f>
        <v/>
      </c>
      <c r="D9682">
        <f>IF(B9682=C9682, "YES", "WRONG")</f>
        <v/>
      </c>
    </row>
    <row r="9683">
      <c r="A9683" t="n">
        <v>9682</v>
      </c>
      <c r="B9683" t="inlineStr">
        <is>
          <t>Mx̄DCLXXXII</t>
        </is>
      </c>
      <c r="C9683">
        <f>ROMAN(9682)</f>
        <v/>
      </c>
      <c r="D9683">
        <f>IF(B9683=C9683, "YES", "WRONG")</f>
        <v/>
      </c>
    </row>
    <row r="9684">
      <c r="A9684" t="n">
        <v>9683</v>
      </c>
      <c r="B9684" t="inlineStr">
        <is>
          <t>Mx̄DCLXXXIII</t>
        </is>
      </c>
      <c r="C9684">
        <f>ROMAN(9683)</f>
        <v/>
      </c>
      <c r="D9684">
        <f>IF(B9684=C9684, "YES", "WRONG")</f>
        <v/>
      </c>
    </row>
    <row r="9685">
      <c r="A9685" t="n">
        <v>9684</v>
      </c>
      <c r="B9685" t="inlineStr">
        <is>
          <t>Mx̄DCLXXXIV</t>
        </is>
      </c>
      <c r="C9685">
        <f>ROMAN(9684)</f>
        <v/>
      </c>
      <c r="D9685">
        <f>IF(B9685=C9685, "YES", "WRONG")</f>
        <v/>
      </c>
    </row>
    <row r="9686">
      <c r="A9686" t="n">
        <v>9685</v>
      </c>
      <c r="B9686" t="inlineStr">
        <is>
          <t>Mx̄DCLXXXV</t>
        </is>
      </c>
      <c r="C9686">
        <f>ROMAN(9685)</f>
        <v/>
      </c>
      <c r="D9686">
        <f>IF(B9686=C9686, "YES", "WRONG")</f>
        <v/>
      </c>
    </row>
    <row r="9687">
      <c r="A9687" t="n">
        <v>9686</v>
      </c>
      <c r="B9687" t="inlineStr">
        <is>
          <t>Mx̄DCLXXXVI</t>
        </is>
      </c>
      <c r="C9687">
        <f>ROMAN(9686)</f>
        <v/>
      </c>
      <c r="D9687">
        <f>IF(B9687=C9687, "YES", "WRONG")</f>
        <v/>
      </c>
    </row>
    <row r="9688">
      <c r="A9688" t="n">
        <v>9687</v>
      </c>
      <c r="B9688" t="inlineStr">
        <is>
          <t>Mx̄DCLXXXVII</t>
        </is>
      </c>
      <c r="C9688">
        <f>ROMAN(9687)</f>
        <v/>
      </c>
      <c r="D9688">
        <f>IF(B9688=C9688, "YES", "WRONG")</f>
        <v/>
      </c>
    </row>
    <row r="9689">
      <c r="A9689" t="n">
        <v>9688</v>
      </c>
      <c r="B9689" t="inlineStr">
        <is>
          <t>Mx̄DCLXXXVIII</t>
        </is>
      </c>
      <c r="C9689">
        <f>ROMAN(9688)</f>
        <v/>
      </c>
      <c r="D9689">
        <f>IF(B9689=C9689, "YES", "WRONG")</f>
        <v/>
      </c>
    </row>
    <row r="9690">
      <c r="A9690" t="n">
        <v>9689</v>
      </c>
      <c r="B9690" t="inlineStr">
        <is>
          <t>Mx̄DCLXXXIX</t>
        </is>
      </c>
      <c r="C9690">
        <f>ROMAN(9689)</f>
        <v/>
      </c>
      <c r="D9690">
        <f>IF(B9690=C9690, "YES", "WRONG")</f>
        <v/>
      </c>
    </row>
    <row r="9691">
      <c r="A9691" t="n">
        <v>9690</v>
      </c>
      <c r="B9691" t="inlineStr">
        <is>
          <t>Mx̄DCXC</t>
        </is>
      </c>
      <c r="C9691">
        <f>ROMAN(9690)</f>
        <v/>
      </c>
      <c r="D9691">
        <f>IF(B9691=C9691, "YES", "WRONG")</f>
        <v/>
      </c>
    </row>
    <row r="9692">
      <c r="A9692" t="n">
        <v>9691</v>
      </c>
      <c r="B9692" t="inlineStr">
        <is>
          <t>Mx̄DCXCI</t>
        </is>
      </c>
      <c r="C9692">
        <f>ROMAN(9691)</f>
        <v/>
      </c>
      <c r="D9692">
        <f>IF(B9692=C9692, "YES", "WRONG")</f>
        <v/>
      </c>
    </row>
    <row r="9693">
      <c r="A9693" t="n">
        <v>9692</v>
      </c>
      <c r="B9693" t="inlineStr">
        <is>
          <t>Mx̄DCXCII</t>
        </is>
      </c>
      <c r="C9693">
        <f>ROMAN(9692)</f>
        <v/>
      </c>
      <c r="D9693">
        <f>IF(B9693=C9693, "YES", "WRONG")</f>
        <v/>
      </c>
    </row>
    <row r="9694">
      <c r="A9694" t="n">
        <v>9693</v>
      </c>
      <c r="B9694" t="inlineStr">
        <is>
          <t>Mx̄DCXCIII</t>
        </is>
      </c>
      <c r="C9694">
        <f>ROMAN(9693)</f>
        <v/>
      </c>
      <c r="D9694">
        <f>IF(B9694=C9694, "YES", "WRONG")</f>
        <v/>
      </c>
    </row>
    <row r="9695">
      <c r="A9695" t="n">
        <v>9694</v>
      </c>
      <c r="B9695" t="inlineStr">
        <is>
          <t>Mx̄DCXCIV</t>
        </is>
      </c>
      <c r="C9695">
        <f>ROMAN(9694)</f>
        <v/>
      </c>
      <c r="D9695">
        <f>IF(B9695=C9695, "YES", "WRONG")</f>
        <v/>
      </c>
    </row>
    <row r="9696">
      <c r="A9696" t="n">
        <v>9695</v>
      </c>
      <c r="B9696" t="inlineStr">
        <is>
          <t>Mx̄DCXCV</t>
        </is>
      </c>
      <c r="C9696">
        <f>ROMAN(9695)</f>
        <v/>
      </c>
      <c r="D9696">
        <f>IF(B9696=C9696, "YES", "WRONG")</f>
        <v/>
      </c>
    </row>
    <row r="9697">
      <c r="A9697" t="n">
        <v>9696</v>
      </c>
      <c r="B9697" t="inlineStr">
        <is>
          <t>Mx̄DCXCVI</t>
        </is>
      </c>
      <c r="C9697">
        <f>ROMAN(9696)</f>
        <v/>
      </c>
      <c r="D9697">
        <f>IF(B9697=C9697, "YES", "WRONG")</f>
        <v/>
      </c>
    </row>
    <row r="9698">
      <c r="A9698" t="n">
        <v>9697</v>
      </c>
      <c r="B9698" t="inlineStr">
        <is>
          <t>Mx̄DCXCVII</t>
        </is>
      </c>
      <c r="C9698">
        <f>ROMAN(9697)</f>
        <v/>
      </c>
      <c r="D9698">
        <f>IF(B9698=C9698, "YES", "WRONG")</f>
        <v/>
      </c>
    </row>
    <row r="9699">
      <c r="A9699" t="n">
        <v>9698</v>
      </c>
      <c r="B9699" t="inlineStr">
        <is>
          <t>Mx̄DCXCVIII</t>
        </is>
      </c>
      <c r="C9699">
        <f>ROMAN(9698)</f>
        <v/>
      </c>
      <c r="D9699">
        <f>IF(B9699=C9699, "YES", "WRONG")</f>
        <v/>
      </c>
    </row>
    <row r="9700">
      <c r="A9700" t="n">
        <v>9699</v>
      </c>
      <c r="B9700" t="inlineStr">
        <is>
          <t>Mx̄DCXCIX</t>
        </is>
      </c>
      <c r="C9700">
        <f>ROMAN(9699)</f>
        <v/>
      </c>
      <c r="D9700">
        <f>IF(B9700=C9700, "YES", "WRONG")</f>
        <v/>
      </c>
    </row>
    <row r="9701">
      <c r="A9701" t="n">
        <v>9700</v>
      </c>
      <c r="B9701" t="inlineStr">
        <is>
          <t>Mx̄DCC</t>
        </is>
      </c>
      <c r="C9701">
        <f>ROMAN(9700)</f>
        <v/>
      </c>
      <c r="D9701">
        <f>IF(B9701=C9701, "YES", "WRONG")</f>
        <v/>
      </c>
    </row>
    <row r="9702">
      <c r="A9702" t="n">
        <v>9701</v>
      </c>
      <c r="B9702" t="inlineStr">
        <is>
          <t>Mx̄DCCI</t>
        </is>
      </c>
      <c r="C9702">
        <f>ROMAN(9701)</f>
        <v/>
      </c>
      <c r="D9702">
        <f>IF(B9702=C9702, "YES", "WRONG")</f>
        <v/>
      </c>
    </row>
    <row r="9703">
      <c r="A9703" t="n">
        <v>9702</v>
      </c>
      <c r="B9703" t="inlineStr">
        <is>
          <t>Mx̄DCCII</t>
        </is>
      </c>
      <c r="C9703">
        <f>ROMAN(9702)</f>
        <v/>
      </c>
      <c r="D9703">
        <f>IF(B9703=C9703, "YES", "WRONG")</f>
        <v/>
      </c>
    </row>
    <row r="9704">
      <c r="A9704" t="n">
        <v>9703</v>
      </c>
      <c r="B9704" t="inlineStr">
        <is>
          <t>Mx̄DCCIII</t>
        </is>
      </c>
      <c r="C9704">
        <f>ROMAN(9703)</f>
        <v/>
      </c>
      <c r="D9704">
        <f>IF(B9704=C9704, "YES", "WRONG")</f>
        <v/>
      </c>
    </row>
    <row r="9705">
      <c r="A9705" t="n">
        <v>9704</v>
      </c>
      <c r="B9705" t="inlineStr">
        <is>
          <t>Mx̄DCCIV</t>
        </is>
      </c>
      <c r="C9705">
        <f>ROMAN(9704)</f>
        <v/>
      </c>
      <c r="D9705">
        <f>IF(B9705=C9705, "YES", "WRONG")</f>
        <v/>
      </c>
    </row>
    <row r="9706">
      <c r="A9706" t="n">
        <v>9705</v>
      </c>
      <c r="B9706" t="inlineStr">
        <is>
          <t>Mx̄DCCV</t>
        </is>
      </c>
      <c r="C9706">
        <f>ROMAN(9705)</f>
        <v/>
      </c>
      <c r="D9706">
        <f>IF(B9706=C9706, "YES", "WRONG")</f>
        <v/>
      </c>
    </row>
    <row r="9707">
      <c r="A9707" t="n">
        <v>9706</v>
      </c>
      <c r="B9707" t="inlineStr">
        <is>
          <t>Mx̄DCCVI</t>
        </is>
      </c>
      <c r="C9707">
        <f>ROMAN(9706)</f>
        <v/>
      </c>
      <c r="D9707">
        <f>IF(B9707=C9707, "YES", "WRONG")</f>
        <v/>
      </c>
    </row>
    <row r="9708">
      <c r="A9708" t="n">
        <v>9707</v>
      </c>
      <c r="B9708" t="inlineStr">
        <is>
          <t>Mx̄DCCVII</t>
        </is>
      </c>
      <c r="C9708">
        <f>ROMAN(9707)</f>
        <v/>
      </c>
      <c r="D9708">
        <f>IF(B9708=C9708, "YES", "WRONG")</f>
        <v/>
      </c>
    </row>
    <row r="9709">
      <c r="A9709" t="n">
        <v>9708</v>
      </c>
      <c r="B9709" t="inlineStr">
        <is>
          <t>Mx̄DCCVIII</t>
        </is>
      </c>
      <c r="C9709">
        <f>ROMAN(9708)</f>
        <v/>
      </c>
      <c r="D9709">
        <f>IF(B9709=C9709, "YES", "WRONG")</f>
        <v/>
      </c>
    </row>
    <row r="9710">
      <c r="A9710" t="n">
        <v>9709</v>
      </c>
      <c r="B9710" t="inlineStr">
        <is>
          <t>Mx̄DCCIX</t>
        </is>
      </c>
      <c r="C9710">
        <f>ROMAN(9709)</f>
        <v/>
      </c>
      <c r="D9710">
        <f>IF(B9710=C9710, "YES", "WRONG")</f>
        <v/>
      </c>
    </row>
    <row r="9711">
      <c r="A9711" t="n">
        <v>9710</v>
      </c>
      <c r="B9711" t="inlineStr">
        <is>
          <t>Mx̄DCCX</t>
        </is>
      </c>
      <c r="C9711">
        <f>ROMAN(9710)</f>
        <v/>
      </c>
      <c r="D9711">
        <f>IF(B9711=C9711, "YES", "WRONG")</f>
        <v/>
      </c>
    </row>
    <row r="9712">
      <c r="A9712" t="n">
        <v>9711</v>
      </c>
      <c r="B9712" t="inlineStr">
        <is>
          <t>Mx̄DCCXI</t>
        </is>
      </c>
      <c r="C9712">
        <f>ROMAN(9711)</f>
        <v/>
      </c>
      <c r="D9712">
        <f>IF(B9712=C9712, "YES", "WRONG")</f>
        <v/>
      </c>
    </row>
    <row r="9713">
      <c r="A9713" t="n">
        <v>9712</v>
      </c>
      <c r="B9713" t="inlineStr">
        <is>
          <t>Mx̄DCCXII</t>
        </is>
      </c>
      <c r="C9713">
        <f>ROMAN(9712)</f>
        <v/>
      </c>
      <c r="D9713">
        <f>IF(B9713=C9713, "YES", "WRONG")</f>
        <v/>
      </c>
    </row>
    <row r="9714">
      <c r="A9714" t="n">
        <v>9713</v>
      </c>
      <c r="B9714" t="inlineStr">
        <is>
          <t>Mx̄DCCXIII</t>
        </is>
      </c>
      <c r="C9714">
        <f>ROMAN(9713)</f>
        <v/>
      </c>
      <c r="D9714">
        <f>IF(B9714=C9714, "YES", "WRONG")</f>
        <v/>
      </c>
    </row>
    <row r="9715">
      <c r="A9715" t="n">
        <v>9714</v>
      </c>
      <c r="B9715" t="inlineStr">
        <is>
          <t>Mx̄DCCXIV</t>
        </is>
      </c>
      <c r="C9715">
        <f>ROMAN(9714)</f>
        <v/>
      </c>
      <c r="D9715">
        <f>IF(B9715=C9715, "YES", "WRONG")</f>
        <v/>
      </c>
    </row>
    <row r="9716">
      <c r="A9716" t="n">
        <v>9715</v>
      </c>
      <c r="B9716" t="inlineStr">
        <is>
          <t>Mx̄DCCXV</t>
        </is>
      </c>
      <c r="C9716">
        <f>ROMAN(9715)</f>
        <v/>
      </c>
      <c r="D9716">
        <f>IF(B9716=C9716, "YES", "WRONG")</f>
        <v/>
      </c>
    </row>
    <row r="9717">
      <c r="A9717" t="n">
        <v>9716</v>
      </c>
      <c r="B9717" t="inlineStr">
        <is>
          <t>Mx̄DCCXVI</t>
        </is>
      </c>
      <c r="C9717">
        <f>ROMAN(9716)</f>
        <v/>
      </c>
      <c r="D9717">
        <f>IF(B9717=C9717, "YES", "WRONG")</f>
        <v/>
      </c>
    </row>
    <row r="9718">
      <c r="A9718" t="n">
        <v>9717</v>
      </c>
      <c r="B9718" t="inlineStr">
        <is>
          <t>Mx̄DCCXVII</t>
        </is>
      </c>
      <c r="C9718">
        <f>ROMAN(9717)</f>
        <v/>
      </c>
      <c r="D9718">
        <f>IF(B9718=C9718, "YES", "WRONG")</f>
        <v/>
      </c>
    </row>
    <row r="9719">
      <c r="A9719" t="n">
        <v>9718</v>
      </c>
      <c r="B9719" t="inlineStr">
        <is>
          <t>Mx̄DCCXVIII</t>
        </is>
      </c>
      <c r="C9719">
        <f>ROMAN(9718)</f>
        <v/>
      </c>
      <c r="D9719">
        <f>IF(B9719=C9719, "YES", "WRONG")</f>
        <v/>
      </c>
    </row>
    <row r="9720">
      <c r="A9720" t="n">
        <v>9719</v>
      </c>
      <c r="B9720" t="inlineStr">
        <is>
          <t>Mx̄DCCXIX</t>
        </is>
      </c>
      <c r="C9720">
        <f>ROMAN(9719)</f>
        <v/>
      </c>
      <c r="D9720">
        <f>IF(B9720=C9720, "YES", "WRONG")</f>
        <v/>
      </c>
    </row>
    <row r="9721">
      <c r="A9721" t="n">
        <v>9720</v>
      </c>
      <c r="B9721" t="inlineStr">
        <is>
          <t>Mx̄DCCXX</t>
        </is>
      </c>
      <c r="C9721">
        <f>ROMAN(9720)</f>
        <v/>
      </c>
      <c r="D9721">
        <f>IF(B9721=C9721, "YES", "WRONG")</f>
        <v/>
      </c>
    </row>
    <row r="9722">
      <c r="A9722" t="n">
        <v>9721</v>
      </c>
      <c r="B9722" t="inlineStr">
        <is>
          <t>Mx̄DCCXXI</t>
        </is>
      </c>
      <c r="C9722">
        <f>ROMAN(9721)</f>
        <v/>
      </c>
      <c r="D9722">
        <f>IF(B9722=C9722, "YES", "WRONG")</f>
        <v/>
      </c>
    </row>
    <row r="9723">
      <c r="A9723" t="n">
        <v>9722</v>
      </c>
      <c r="B9723" t="inlineStr">
        <is>
          <t>Mx̄DCCXXII</t>
        </is>
      </c>
      <c r="C9723">
        <f>ROMAN(9722)</f>
        <v/>
      </c>
      <c r="D9723">
        <f>IF(B9723=C9723, "YES", "WRONG")</f>
        <v/>
      </c>
    </row>
    <row r="9724">
      <c r="A9724" t="n">
        <v>9723</v>
      </c>
      <c r="B9724" t="inlineStr">
        <is>
          <t>Mx̄DCCXXIII</t>
        </is>
      </c>
      <c r="C9724">
        <f>ROMAN(9723)</f>
        <v/>
      </c>
      <c r="D9724">
        <f>IF(B9724=C9724, "YES", "WRONG")</f>
        <v/>
      </c>
    </row>
    <row r="9725">
      <c r="A9725" t="n">
        <v>9724</v>
      </c>
      <c r="B9725" t="inlineStr">
        <is>
          <t>Mx̄DCCXXIV</t>
        </is>
      </c>
      <c r="C9725">
        <f>ROMAN(9724)</f>
        <v/>
      </c>
      <c r="D9725">
        <f>IF(B9725=C9725, "YES", "WRONG")</f>
        <v/>
      </c>
    </row>
    <row r="9726">
      <c r="A9726" t="n">
        <v>9725</v>
      </c>
      <c r="B9726" t="inlineStr">
        <is>
          <t>Mx̄DCCXXV</t>
        </is>
      </c>
      <c r="C9726">
        <f>ROMAN(9725)</f>
        <v/>
      </c>
      <c r="D9726">
        <f>IF(B9726=C9726, "YES", "WRONG")</f>
        <v/>
      </c>
    </row>
    <row r="9727">
      <c r="A9727" t="n">
        <v>9726</v>
      </c>
      <c r="B9727" t="inlineStr">
        <is>
          <t>Mx̄DCCXXVI</t>
        </is>
      </c>
      <c r="C9727">
        <f>ROMAN(9726)</f>
        <v/>
      </c>
      <c r="D9727">
        <f>IF(B9727=C9727, "YES", "WRONG")</f>
        <v/>
      </c>
    </row>
    <row r="9728">
      <c r="A9728" t="n">
        <v>9727</v>
      </c>
      <c r="B9728" t="inlineStr">
        <is>
          <t>Mx̄DCCXXVII</t>
        </is>
      </c>
      <c r="C9728">
        <f>ROMAN(9727)</f>
        <v/>
      </c>
      <c r="D9728">
        <f>IF(B9728=C9728, "YES", "WRONG")</f>
        <v/>
      </c>
    </row>
    <row r="9729">
      <c r="A9729" t="n">
        <v>9728</v>
      </c>
      <c r="B9729" t="inlineStr">
        <is>
          <t>Mx̄DCCXXVIII</t>
        </is>
      </c>
      <c r="C9729">
        <f>ROMAN(9728)</f>
        <v/>
      </c>
      <c r="D9729">
        <f>IF(B9729=C9729, "YES", "WRONG")</f>
        <v/>
      </c>
    </row>
    <row r="9730">
      <c r="A9730" t="n">
        <v>9729</v>
      </c>
      <c r="B9730" t="inlineStr">
        <is>
          <t>Mx̄DCCXXIX</t>
        </is>
      </c>
      <c r="C9730">
        <f>ROMAN(9729)</f>
        <v/>
      </c>
      <c r="D9730">
        <f>IF(B9730=C9730, "YES", "WRONG")</f>
        <v/>
      </c>
    </row>
    <row r="9731">
      <c r="A9731" t="n">
        <v>9730</v>
      </c>
      <c r="B9731" t="inlineStr">
        <is>
          <t>Mx̄DCCXXX</t>
        </is>
      </c>
      <c r="C9731">
        <f>ROMAN(9730)</f>
        <v/>
      </c>
      <c r="D9731">
        <f>IF(B9731=C9731, "YES", "WRONG")</f>
        <v/>
      </c>
    </row>
    <row r="9732">
      <c r="A9732" t="n">
        <v>9731</v>
      </c>
      <c r="B9732" t="inlineStr">
        <is>
          <t>Mx̄DCCXXXI</t>
        </is>
      </c>
      <c r="C9732">
        <f>ROMAN(9731)</f>
        <v/>
      </c>
      <c r="D9732">
        <f>IF(B9732=C9732, "YES", "WRONG")</f>
        <v/>
      </c>
    </row>
    <row r="9733">
      <c r="A9733" t="n">
        <v>9732</v>
      </c>
      <c r="B9733" t="inlineStr">
        <is>
          <t>Mx̄DCCXXXII</t>
        </is>
      </c>
      <c r="C9733">
        <f>ROMAN(9732)</f>
        <v/>
      </c>
      <c r="D9733">
        <f>IF(B9733=C9733, "YES", "WRONG")</f>
        <v/>
      </c>
    </row>
    <row r="9734">
      <c r="A9734" t="n">
        <v>9733</v>
      </c>
      <c r="B9734" t="inlineStr">
        <is>
          <t>Mx̄DCCXXXIII</t>
        </is>
      </c>
      <c r="C9734">
        <f>ROMAN(9733)</f>
        <v/>
      </c>
      <c r="D9734">
        <f>IF(B9734=C9734, "YES", "WRONG")</f>
        <v/>
      </c>
    </row>
    <row r="9735">
      <c r="A9735" t="n">
        <v>9734</v>
      </c>
      <c r="B9735" t="inlineStr">
        <is>
          <t>Mx̄DCCXXXIV</t>
        </is>
      </c>
      <c r="C9735">
        <f>ROMAN(9734)</f>
        <v/>
      </c>
      <c r="D9735">
        <f>IF(B9735=C9735, "YES", "WRONG")</f>
        <v/>
      </c>
    </row>
    <row r="9736">
      <c r="A9736" t="n">
        <v>9735</v>
      </c>
      <c r="B9736" t="inlineStr">
        <is>
          <t>Mx̄DCCXXXV</t>
        </is>
      </c>
      <c r="C9736">
        <f>ROMAN(9735)</f>
        <v/>
      </c>
      <c r="D9736">
        <f>IF(B9736=C9736, "YES", "WRONG")</f>
        <v/>
      </c>
    </row>
    <row r="9737">
      <c r="A9737" t="n">
        <v>9736</v>
      </c>
      <c r="B9737" t="inlineStr">
        <is>
          <t>Mx̄DCCXXXVI</t>
        </is>
      </c>
      <c r="C9737">
        <f>ROMAN(9736)</f>
        <v/>
      </c>
      <c r="D9737">
        <f>IF(B9737=C9737, "YES", "WRONG")</f>
        <v/>
      </c>
    </row>
    <row r="9738">
      <c r="A9738" t="n">
        <v>9737</v>
      </c>
      <c r="B9738" t="inlineStr">
        <is>
          <t>Mx̄DCCXXXVII</t>
        </is>
      </c>
      <c r="C9738">
        <f>ROMAN(9737)</f>
        <v/>
      </c>
      <c r="D9738">
        <f>IF(B9738=C9738, "YES", "WRONG")</f>
        <v/>
      </c>
    </row>
    <row r="9739">
      <c r="A9739" t="n">
        <v>9738</v>
      </c>
      <c r="B9739" t="inlineStr">
        <is>
          <t>Mx̄DCCXXXVIII</t>
        </is>
      </c>
      <c r="C9739">
        <f>ROMAN(9738)</f>
        <v/>
      </c>
      <c r="D9739">
        <f>IF(B9739=C9739, "YES", "WRONG")</f>
        <v/>
      </c>
    </row>
    <row r="9740">
      <c r="A9740" t="n">
        <v>9739</v>
      </c>
      <c r="B9740" t="inlineStr">
        <is>
          <t>Mx̄DCCXXXIX</t>
        </is>
      </c>
      <c r="C9740">
        <f>ROMAN(9739)</f>
        <v/>
      </c>
      <c r="D9740">
        <f>IF(B9740=C9740, "YES", "WRONG")</f>
        <v/>
      </c>
    </row>
    <row r="9741">
      <c r="A9741" t="n">
        <v>9740</v>
      </c>
      <c r="B9741" t="inlineStr">
        <is>
          <t>Mx̄DCCXL</t>
        </is>
      </c>
      <c r="C9741">
        <f>ROMAN(9740)</f>
        <v/>
      </c>
      <c r="D9741">
        <f>IF(B9741=C9741, "YES", "WRONG")</f>
        <v/>
      </c>
    </row>
    <row r="9742">
      <c r="A9742" t="n">
        <v>9741</v>
      </c>
      <c r="B9742" t="inlineStr">
        <is>
          <t>Mx̄DCCXLI</t>
        </is>
      </c>
      <c r="C9742">
        <f>ROMAN(9741)</f>
        <v/>
      </c>
      <c r="D9742">
        <f>IF(B9742=C9742, "YES", "WRONG")</f>
        <v/>
      </c>
    </row>
    <row r="9743">
      <c r="A9743" t="n">
        <v>9742</v>
      </c>
      <c r="B9743" t="inlineStr">
        <is>
          <t>Mx̄DCCXLII</t>
        </is>
      </c>
      <c r="C9743">
        <f>ROMAN(9742)</f>
        <v/>
      </c>
      <c r="D9743">
        <f>IF(B9743=C9743, "YES", "WRONG")</f>
        <v/>
      </c>
    </row>
    <row r="9744">
      <c r="A9744" t="n">
        <v>9743</v>
      </c>
      <c r="B9744" t="inlineStr">
        <is>
          <t>Mx̄DCCXLIII</t>
        </is>
      </c>
      <c r="C9744">
        <f>ROMAN(9743)</f>
        <v/>
      </c>
      <c r="D9744">
        <f>IF(B9744=C9744, "YES", "WRONG")</f>
        <v/>
      </c>
    </row>
    <row r="9745">
      <c r="A9745" t="n">
        <v>9744</v>
      </c>
      <c r="B9745" t="inlineStr">
        <is>
          <t>Mx̄DCCXLIV</t>
        </is>
      </c>
      <c r="C9745">
        <f>ROMAN(9744)</f>
        <v/>
      </c>
      <c r="D9745">
        <f>IF(B9745=C9745, "YES", "WRONG")</f>
        <v/>
      </c>
    </row>
    <row r="9746">
      <c r="A9746" t="n">
        <v>9745</v>
      </c>
      <c r="B9746" t="inlineStr">
        <is>
          <t>Mx̄DCCXLV</t>
        </is>
      </c>
      <c r="C9746">
        <f>ROMAN(9745)</f>
        <v/>
      </c>
      <c r="D9746">
        <f>IF(B9746=C9746, "YES", "WRONG")</f>
        <v/>
      </c>
    </row>
    <row r="9747">
      <c r="A9747" t="n">
        <v>9746</v>
      </c>
      <c r="B9747" t="inlineStr">
        <is>
          <t>Mx̄DCCXLVI</t>
        </is>
      </c>
      <c r="C9747">
        <f>ROMAN(9746)</f>
        <v/>
      </c>
      <c r="D9747">
        <f>IF(B9747=C9747, "YES", "WRONG")</f>
        <v/>
      </c>
    </row>
    <row r="9748">
      <c r="A9748" t="n">
        <v>9747</v>
      </c>
      <c r="B9748" t="inlineStr">
        <is>
          <t>Mx̄DCCXLVII</t>
        </is>
      </c>
      <c r="C9748">
        <f>ROMAN(9747)</f>
        <v/>
      </c>
      <c r="D9748">
        <f>IF(B9748=C9748, "YES", "WRONG")</f>
        <v/>
      </c>
    </row>
    <row r="9749">
      <c r="A9749" t="n">
        <v>9748</v>
      </c>
      <c r="B9749" t="inlineStr">
        <is>
          <t>Mx̄DCCXLVIII</t>
        </is>
      </c>
      <c r="C9749">
        <f>ROMAN(9748)</f>
        <v/>
      </c>
      <c r="D9749">
        <f>IF(B9749=C9749, "YES", "WRONG")</f>
        <v/>
      </c>
    </row>
    <row r="9750">
      <c r="A9750" t="n">
        <v>9749</v>
      </c>
      <c r="B9750" t="inlineStr">
        <is>
          <t>Mx̄DCCXLIX</t>
        </is>
      </c>
      <c r="C9750">
        <f>ROMAN(9749)</f>
        <v/>
      </c>
      <c r="D9750">
        <f>IF(B9750=C9750, "YES", "WRONG")</f>
        <v/>
      </c>
    </row>
    <row r="9751">
      <c r="A9751" t="n">
        <v>9750</v>
      </c>
      <c r="B9751" t="inlineStr">
        <is>
          <t>Mx̄DCCL</t>
        </is>
      </c>
      <c r="C9751">
        <f>ROMAN(9750)</f>
        <v/>
      </c>
      <c r="D9751">
        <f>IF(B9751=C9751, "YES", "WRONG")</f>
        <v/>
      </c>
    </row>
    <row r="9752">
      <c r="A9752" t="n">
        <v>9751</v>
      </c>
      <c r="B9752" t="inlineStr">
        <is>
          <t>Mx̄DCCLI</t>
        </is>
      </c>
      <c r="C9752">
        <f>ROMAN(9751)</f>
        <v/>
      </c>
      <c r="D9752">
        <f>IF(B9752=C9752, "YES", "WRONG")</f>
        <v/>
      </c>
    </row>
    <row r="9753">
      <c r="A9753" t="n">
        <v>9752</v>
      </c>
      <c r="B9753" t="inlineStr">
        <is>
          <t>Mx̄DCCLII</t>
        </is>
      </c>
      <c r="C9753">
        <f>ROMAN(9752)</f>
        <v/>
      </c>
      <c r="D9753">
        <f>IF(B9753=C9753, "YES", "WRONG")</f>
        <v/>
      </c>
    </row>
    <row r="9754">
      <c r="A9754" t="n">
        <v>9753</v>
      </c>
      <c r="B9754" t="inlineStr">
        <is>
          <t>Mx̄DCCLIII</t>
        </is>
      </c>
      <c r="C9754">
        <f>ROMAN(9753)</f>
        <v/>
      </c>
      <c r="D9754">
        <f>IF(B9754=C9754, "YES", "WRONG")</f>
        <v/>
      </c>
    </row>
    <row r="9755">
      <c r="A9755" t="n">
        <v>9754</v>
      </c>
      <c r="B9755" t="inlineStr">
        <is>
          <t>Mx̄DCCLIV</t>
        </is>
      </c>
      <c r="C9755">
        <f>ROMAN(9754)</f>
        <v/>
      </c>
      <c r="D9755">
        <f>IF(B9755=C9755, "YES", "WRONG")</f>
        <v/>
      </c>
    </row>
    <row r="9756">
      <c r="A9756" t="n">
        <v>9755</v>
      </c>
      <c r="B9756" t="inlineStr">
        <is>
          <t>Mx̄DCCLV</t>
        </is>
      </c>
      <c r="C9756">
        <f>ROMAN(9755)</f>
        <v/>
      </c>
      <c r="D9756">
        <f>IF(B9756=C9756, "YES", "WRONG")</f>
        <v/>
      </c>
    </row>
    <row r="9757">
      <c r="A9757" t="n">
        <v>9756</v>
      </c>
      <c r="B9757" t="inlineStr">
        <is>
          <t>Mx̄DCCLVI</t>
        </is>
      </c>
      <c r="C9757">
        <f>ROMAN(9756)</f>
        <v/>
      </c>
      <c r="D9757">
        <f>IF(B9757=C9757, "YES", "WRONG")</f>
        <v/>
      </c>
    </row>
    <row r="9758">
      <c r="A9758" t="n">
        <v>9757</v>
      </c>
      <c r="B9758" t="inlineStr">
        <is>
          <t>Mx̄DCCLVII</t>
        </is>
      </c>
      <c r="C9758">
        <f>ROMAN(9757)</f>
        <v/>
      </c>
      <c r="D9758">
        <f>IF(B9758=C9758, "YES", "WRONG")</f>
        <v/>
      </c>
    </row>
    <row r="9759">
      <c r="A9759" t="n">
        <v>9758</v>
      </c>
      <c r="B9759" t="inlineStr">
        <is>
          <t>Mx̄DCCLVIII</t>
        </is>
      </c>
      <c r="C9759">
        <f>ROMAN(9758)</f>
        <v/>
      </c>
      <c r="D9759">
        <f>IF(B9759=C9759, "YES", "WRONG")</f>
        <v/>
      </c>
    </row>
    <row r="9760">
      <c r="A9760" t="n">
        <v>9759</v>
      </c>
      <c r="B9760" t="inlineStr">
        <is>
          <t>Mx̄DCCLIX</t>
        </is>
      </c>
      <c r="C9760">
        <f>ROMAN(9759)</f>
        <v/>
      </c>
      <c r="D9760">
        <f>IF(B9760=C9760, "YES", "WRONG")</f>
        <v/>
      </c>
    </row>
    <row r="9761">
      <c r="A9761" t="n">
        <v>9760</v>
      </c>
      <c r="B9761" t="inlineStr">
        <is>
          <t>Mx̄DCCLX</t>
        </is>
      </c>
      <c r="C9761">
        <f>ROMAN(9760)</f>
        <v/>
      </c>
      <c r="D9761">
        <f>IF(B9761=C9761, "YES", "WRONG")</f>
        <v/>
      </c>
    </row>
    <row r="9762">
      <c r="A9762" t="n">
        <v>9761</v>
      </c>
      <c r="B9762" t="inlineStr">
        <is>
          <t>Mx̄DCCLXI</t>
        </is>
      </c>
      <c r="C9762">
        <f>ROMAN(9761)</f>
        <v/>
      </c>
      <c r="D9762">
        <f>IF(B9762=C9762, "YES", "WRONG")</f>
        <v/>
      </c>
    </row>
    <row r="9763">
      <c r="A9763" t="n">
        <v>9762</v>
      </c>
      <c r="B9763" t="inlineStr">
        <is>
          <t>Mx̄DCCLXII</t>
        </is>
      </c>
      <c r="C9763">
        <f>ROMAN(9762)</f>
        <v/>
      </c>
      <c r="D9763">
        <f>IF(B9763=C9763, "YES", "WRONG")</f>
        <v/>
      </c>
    </row>
    <row r="9764">
      <c r="A9764" t="n">
        <v>9763</v>
      </c>
      <c r="B9764" t="inlineStr">
        <is>
          <t>Mx̄DCCLXIII</t>
        </is>
      </c>
      <c r="C9764">
        <f>ROMAN(9763)</f>
        <v/>
      </c>
      <c r="D9764">
        <f>IF(B9764=C9764, "YES", "WRONG")</f>
        <v/>
      </c>
    </row>
    <row r="9765">
      <c r="A9765" t="n">
        <v>9764</v>
      </c>
      <c r="B9765" t="inlineStr">
        <is>
          <t>Mx̄DCCLXIV</t>
        </is>
      </c>
      <c r="C9765">
        <f>ROMAN(9764)</f>
        <v/>
      </c>
      <c r="D9765">
        <f>IF(B9765=C9765, "YES", "WRONG")</f>
        <v/>
      </c>
    </row>
    <row r="9766">
      <c r="A9766" t="n">
        <v>9765</v>
      </c>
      <c r="B9766" t="inlineStr">
        <is>
          <t>Mx̄DCCLXV</t>
        </is>
      </c>
      <c r="C9766">
        <f>ROMAN(9765)</f>
        <v/>
      </c>
      <c r="D9766">
        <f>IF(B9766=C9766, "YES", "WRONG")</f>
        <v/>
      </c>
    </row>
    <row r="9767">
      <c r="A9767" t="n">
        <v>9766</v>
      </c>
      <c r="B9767" t="inlineStr">
        <is>
          <t>Mx̄DCCLXVI</t>
        </is>
      </c>
      <c r="C9767">
        <f>ROMAN(9766)</f>
        <v/>
      </c>
      <c r="D9767">
        <f>IF(B9767=C9767, "YES", "WRONG")</f>
        <v/>
      </c>
    </row>
    <row r="9768">
      <c r="A9768" t="n">
        <v>9767</v>
      </c>
      <c r="B9768" t="inlineStr">
        <is>
          <t>Mx̄DCCLXVII</t>
        </is>
      </c>
      <c r="C9768">
        <f>ROMAN(9767)</f>
        <v/>
      </c>
      <c r="D9768">
        <f>IF(B9768=C9768, "YES", "WRONG")</f>
        <v/>
      </c>
    </row>
    <row r="9769">
      <c r="A9769" t="n">
        <v>9768</v>
      </c>
      <c r="B9769" t="inlineStr">
        <is>
          <t>Mx̄DCCLXVIII</t>
        </is>
      </c>
      <c r="C9769">
        <f>ROMAN(9768)</f>
        <v/>
      </c>
      <c r="D9769">
        <f>IF(B9769=C9769, "YES", "WRONG")</f>
        <v/>
      </c>
    </row>
    <row r="9770">
      <c r="A9770" t="n">
        <v>9769</v>
      </c>
      <c r="B9770" t="inlineStr">
        <is>
          <t>Mx̄DCCLXIX</t>
        </is>
      </c>
      <c r="C9770">
        <f>ROMAN(9769)</f>
        <v/>
      </c>
      <c r="D9770">
        <f>IF(B9770=C9770, "YES", "WRONG")</f>
        <v/>
      </c>
    </row>
    <row r="9771">
      <c r="A9771" t="n">
        <v>9770</v>
      </c>
      <c r="B9771" t="inlineStr">
        <is>
          <t>Mx̄DCCLXX</t>
        </is>
      </c>
      <c r="C9771">
        <f>ROMAN(9770)</f>
        <v/>
      </c>
      <c r="D9771">
        <f>IF(B9771=C9771, "YES", "WRONG")</f>
        <v/>
      </c>
    </row>
    <row r="9772">
      <c r="A9772" t="n">
        <v>9771</v>
      </c>
      <c r="B9772" t="inlineStr">
        <is>
          <t>Mx̄DCCLXXI</t>
        </is>
      </c>
      <c r="C9772">
        <f>ROMAN(9771)</f>
        <v/>
      </c>
      <c r="D9772">
        <f>IF(B9772=C9772, "YES", "WRONG")</f>
        <v/>
      </c>
    </row>
    <row r="9773">
      <c r="A9773" t="n">
        <v>9772</v>
      </c>
      <c r="B9773" t="inlineStr">
        <is>
          <t>Mx̄DCCLXXII</t>
        </is>
      </c>
      <c r="C9773">
        <f>ROMAN(9772)</f>
        <v/>
      </c>
      <c r="D9773">
        <f>IF(B9773=C9773, "YES", "WRONG")</f>
        <v/>
      </c>
    </row>
    <row r="9774">
      <c r="A9774" t="n">
        <v>9773</v>
      </c>
      <c r="B9774" t="inlineStr">
        <is>
          <t>Mx̄DCCLXXIII</t>
        </is>
      </c>
      <c r="C9774">
        <f>ROMAN(9773)</f>
        <v/>
      </c>
      <c r="D9774">
        <f>IF(B9774=C9774, "YES", "WRONG")</f>
        <v/>
      </c>
    </row>
    <row r="9775">
      <c r="A9775" t="n">
        <v>9774</v>
      </c>
      <c r="B9775" t="inlineStr">
        <is>
          <t>Mx̄DCCLXXIV</t>
        </is>
      </c>
      <c r="C9775">
        <f>ROMAN(9774)</f>
        <v/>
      </c>
      <c r="D9775">
        <f>IF(B9775=C9775, "YES", "WRONG")</f>
        <v/>
      </c>
    </row>
    <row r="9776">
      <c r="A9776" t="n">
        <v>9775</v>
      </c>
      <c r="B9776" t="inlineStr">
        <is>
          <t>Mx̄DCCLXXV</t>
        </is>
      </c>
      <c r="C9776">
        <f>ROMAN(9775)</f>
        <v/>
      </c>
      <c r="D9776">
        <f>IF(B9776=C9776, "YES", "WRONG")</f>
        <v/>
      </c>
    </row>
    <row r="9777">
      <c r="A9777" t="n">
        <v>9776</v>
      </c>
      <c r="B9777" t="inlineStr">
        <is>
          <t>Mx̄DCCLXXVI</t>
        </is>
      </c>
      <c r="C9777">
        <f>ROMAN(9776)</f>
        <v/>
      </c>
      <c r="D9777">
        <f>IF(B9777=C9777, "YES", "WRONG")</f>
        <v/>
      </c>
    </row>
    <row r="9778">
      <c r="A9778" t="n">
        <v>9777</v>
      </c>
      <c r="B9778" t="inlineStr">
        <is>
          <t>Mx̄DCCLXXVII</t>
        </is>
      </c>
      <c r="C9778">
        <f>ROMAN(9777)</f>
        <v/>
      </c>
      <c r="D9778">
        <f>IF(B9778=C9778, "YES", "WRONG")</f>
        <v/>
      </c>
    </row>
    <row r="9779">
      <c r="A9779" t="n">
        <v>9778</v>
      </c>
      <c r="B9779" t="inlineStr">
        <is>
          <t>Mx̄DCCLXXVIII</t>
        </is>
      </c>
      <c r="C9779">
        <f>ROMAN(9778)</f>
        <v/>
      </c>
      <c r="D9779">
        <f>IF(B9779=C9779, "YES", "WRONG")</f>
        <v/>
      </c>
    </row>
    <row r="9780">
      <c r="A9780" t="n">
        <v>9779</v>
      </c>
      <c r="B9780" t="inlineStr">
        <is>
          <t>Mx̄DCCLXXIX</t>
        </is>
      </c>
      <c r="C9780">
        <f>ROMAN(9779)</f>
        <v/>
      </c>
      <c r="D9780">
        <f>IF(B9780=C9780, "YES", "WRONG")</f>
        <v/>
      </c>
    </row>
    <row r="9781">
      <c r="A9781" t="n">
        <v>9780</v>
      </c>
      <c r="B9781" t="inlineStr">
        <is>
          <t>Mx̄DCCLXXX</t>
        </is>
      </c>
      <c r="C9781">
        <f>ROMAN(9780)</f>
        <v/>
      </c>
      <c r="D9781">
        <f>IF(B9781=C9781, "YES", "WRONG")</f>
        <v/>
      </c>
    </row>
    <row r="9782">
      <c r="A9782" t="n">
        <v>9781</v>
      </c>
      <c r="B9782" t="inlineStr">
        <is>
          <t>Mx̄DCCLXXXI</t>
        </is>
      </c>
      <c r="C9782">
        <f>ROMAN(9781)</f>
        <v/>
      </c>
      <c r="D9782">
        <f>IF(B9782=C9782, "YES", "WRONG")</f>
        <v/>
      </c>
    </row>
    <row r="9783">
      <c r="A9783" t="n">
        <v>9782</v>
      </c>
      <c r="B9783" t="inlineStr">
        <is>
          <t>Mx̄DCCLXXXII</t>
        </is>
      </c>
      <c r="C9783">
        <f>ROMAN(9782)</f>
        <v/>
      </c>
      <c r="D9783">
        <f>IF(B9783=C9783, "YES", "WRONG")</f>
        <v/>
      </c>
    </row>
    <row r="9784">
      <c r="A9784" t="n">
        <v>9783</v>
      </c>
      <c r="B9784" t="inlineStr">
        <is>
          <t>Mx̄DCCLXXXIII</t>
        </is>
      </c>
      <c r="C9784">
        <f>ROMAN(9783)</f>
        <v/>
      </c>
      <c r="D9784">
        <f>IF(B9784=C9784, "YES", "WRONG")</f>
        <v/>
      </c>
    </row>
    <row r="9785">
      <c r="A9785" t="n">
        <v>9784</v>
      </c>
      <c r="B9785" t="inlineStr">
        <is>
          <t>Mx̄DCCLXXXIV</t>
        </is>
      </c>
      <c r="C9785">
        <f>ROMAN(9784)</f>
        <v/>
      </c>
      <c r="D9785">
        <f>IF(B9785=C9785, "YES", "WRONG")</f>
        <v/>
      </c>
    </row>
    <row r="9786">
      <c r="A9786" t="n">
        <v>9785</v>
      </c>
      <c r="B9786" t="inlineStr">
        <is>
          <t>Mx̄DCCLXXXV</t>
        </is>
      </c>
      <c r="C9786">
        <f>ROMAN(9785)</f>
        <v/>
      </c>
      <c r="D9786">
        <f>IF(B9786=C9786, "YES", "WRONG")</f>
        <v/>
      </c>
    </row>
    <row r="9787">
      <c r="A9787" t="n">
        <v>9786</v>
      </c>
      <c r="B9787" t="inlineStr">
        <is>
          <t>Mx̄DCCLXXXVI</t>
        </is>
      </c>
      <c r="C9787">
        <f>ROMAN(9786)</f>
        <v/>
      </c>
      <c r="D9787">
        <f>IF(B9787=C9787, "YES", "WRONG")</f>
        <v/>
      </c>
    </row>
    <row r="9788">
      <c r="A9788" t="n">
        <v>9787</v>
      </c>
      <c r="B9788" t="inlineStr">
        <is>
          <t>Mx̄DCCLXXXVII</t>
        </is>
      </c>
      <c r="C9788">
        <f>ROMAN(9787)</f>
        <v/>
      </c>
      <c r="D9788">
        <f>IF(B9788=C9788, "YES", "WRONG")</f>
        <v/>
      </c>
    </row>
    <row r="9789">
      <c r="A9789" t="n">
        <v>9788</v>
      </c>
      <c r="B9789" t="inlineStr">
        <is>
          <t>Mx̄DCCLXXXVIII</t>
        </is>
      </c>
      <c r="C9789">
        <f>ROMAN(9788)</f>
        <v/>
      </c>
      <c r="D9789">
        <f>IF(B9789=C9789, "YES", "WRONG")</f>
        <v/>
      </c>
    </row>
    <row r="9790">
      <c r="A9790" t="n">
        <v>9789</v>
      </c>
      <c r="B9790" t="inlineStr">
        <is>
          <t>Mx̄DCCLXXXIX</t>
        </is>
      </c>
      <c r="C9790">
        <f>ROMAN(9789)</f>
        <v/>
      </c>
      <c r="D9790">
        <f>IF(B9790=C9790, "YES", "WRONG")</f>
        <v/>
      </c>
    </row>
    <row r="9791">
      <c r="A9791" t="n">
        <v>9790</v>
      </c>
      <c r="B9791" t="inlineStr">
        <is>
          <t>Mx̄DCCXC</t>
        </is>
      </c>
      <c r="C9791">
        <f>ROMAN(9790)</f>
        <v/>
      </c>
      <c r="D9791">
        <f>IF(B9791=C9791, "YES", "WRONG")</f>
        <v/>
      </c>
    </row>
    <row r="9792">
      <c r="A9792" t="n">
        <v>9791</v>
      </c>
      <c r="B9792" t="inlineStr">
        <is>
          <t>Mx̄DCCXCI</t>
        </is>
      </c>
      <c r="C9792">
        <f>ROMAN(9791)</f>
        <v/>
      </c>
      <c r="D9792">
        <f>IF(B9792=C9792, "YES", "WRONG")</f>
        <v/>
      </c>
    </row>
    <row r="9793">
      <c r="A9793" t="n">
        <v>9792</v>
      </c>
      <c r="B9793" t="inlineStr">
        <is>
          <t>Mx̄DCCXCII</t>
        </is>
      </c>
      <c r="C9793">
        <f>ROMAN(9792)</f>
        <v/>
      </c>
      <c r="D9793">
        <f>IF(B9793=C9793, "YES", "WRONG")</f>
        <v/>
      </c>
    </row>
    <row r="9794">
      <c r="A9794" t="n">
        <v>9793</v>
      </c>
      <c r="B9794" t="inlineStr">
        <is>
          <t>Mx̄DCCXCIII</t>
        </is>
      </c>
      <c r="C9794">
        <f>ROMAN(9793)</f>
        <v/>
      </c>
      <c r="D9794">
        <f>IF(B9794=C9794, "YES", "WRONG")</f>
        <v/>
      </c>
    </row>
    <row r="9795">
      <c r="A9795" t="n">
        <v>9794</v>
      </c>
      <c r="B9795" t="inlineStr">
        <is>
          <t>Mx̄DCCXCIV</t>
        </is>
      </c>
      <c r="C9795">
        <f>ROMAN(9794)</f>
        <v/>
      </c>
      <c r="D9795">
        <f>IF(B9795=C9795, "YES", "WRONG")</f>
        <v/>
      </c>
    </row>
    <row r="9796">
      <c r="A9796" t="n">
        <v>9795</v>
      </c>
      <c r="B9796" t="inlineStr">
        <is>
          <t>Mx̄DCCXCV</t>
        </is>
      </c>
      <c r="C9796">
        <f>ROMAN(9795)</f>
        <v/>
      </c>
      <c r="D9796">
        <f>IF(B9796=C9796, "YES", "WRONG")</f>
        <v/>
      </c>
    </row>
    <row r="9797">
      <c r="A9797" t="n">
        <v>9796</v>
      </c>
      <c r="B9797" t="inlineStr">
        <is>
          <t>Mx̄DCCXCVI</t>
        </is>
      </c>
      <c r="C9797">
        <f>ROMAN(9796)</f>
        <v/>
      </c>
      <c r="D9797">
        <f>IF(B9797=C9797, "YES", "WRONG")</f>
        <v/>
      </c>
    </row>
    <row r="9798">
      <c r="A9798" t="n">
        <v>9797</v>
      </c>
      <c r="B9798" t="inlineStr">
        <is>
          <t>Mx̄DCCXCVII</t>
        </is>
      </c>
      <c r="C9798">
        <f>ROMAN(9797)</f>
        <v/>
      </c>
      <c r="D9798">
        <f>IF(B9798=C9798, "YES", "WRONG")</f>
        <v/>
      </c>
    </row>
    <row r="9799">
      <c r="A9799" t="n">
        <v>9798</v>
      </c>
      <c r="B9799" t="inlineStr">
        <is>
          <t>Mx̄DCCXCVIII</t>
        </is>
      </c>
      <c r="C9799">
        <f>ROMAN(9798)</f>
        <v/>
      </c>
      <c r="D9799">
        <f>IF(B9799=C9799, "YES", "WRONG")</f>
        <v/>
      </c>
    </row>
    <row r="9800">
      <c r="A9800" t="n">
        <v>9799</v>
      </c>
      <c r="B9800" t="inlineStr">
        <is>
          <t>Mx̄DCCXCIX</t>
        </is>
      </c>
      <c r="C9800">
        <f>ROMAN(9799)</f>
        <v/>
      </c>
      <c r="D9800">
        <f>IF(B9800=C9800, "YES", "WRONG")</f>
        <v/>
      </c>
    </row>
    <row r="9801">
      <c r="A9801" t="n">
        <v>9800</v>
      </c>
      <c r="B9801" t="inlineStr">
        <is>
          <t>Mx̄DCCC</t>
        </is>
      </c>
      <c r="C9801">
        <f>ROMAN(9800)</f>
        <v/>
      </c>
      <c r="D9801">
        <f>IF(B9801=C9801, "YES", "WRONG")</f>
        <v/>
      </c>
    </row>
    <row r="9802">
      <c r="A9802" t="n">
        <v>9801</v>
      </c>
      <c r="B9802" t="inlineStr">
        <is>
          <t>Mx̄DCCCI</t>
        </is>
      </c>
      <c r="C9802">
        <f>ROMAN(9801)</f>
        <v/>
      </c>
      <c r="D9802">
        <f>IF(B9802=C9802, "YES", "WRONG")</f>
        <v/>
      </c>
    </row>
    <row r="9803">
      <c r="A9803" t="n">
        <v>9802</v>
      </c>
      <c r="B9803" t="inlineStr">
        <is>
          <t>Mx̄DCCCII</t>
        </is>
      </c>
      <c r="C9803">
        <f>ROMAN(9802)</f>
        <v/>
      </c>
      <c r="D9803">
        <f>IF(B9803=C9803, "YES", "WRONG")</f>
        <v/>
      </c>
    </row>
    <row r="9804">
      <c r="A9804" t="n">
        <v>9803</v>
      </c>
      <c r="B9804" t="inlineStr">
        <is>
          <t>Mx̄DCCCIII</t>
        </is>
      </c>
      <c r="C9804">
        <f>ROMAN(9803)</f>
        <v/>
      </c>
      <c r="D9804">
        <f>IF(B9804=C9804, "YES", "WRONG")</f>
        <v/>
      </c>
    </row>
    <row r="9805">
      <c r="A9805" t="n">
        <v>9804</v>
      </c>
      <c r="B9805" t="inlineStr">
        <is>
          <t>Mx̄DCCCIV</t>
        </is>
      </c>
      <c r="C9805">
        <f>ROMAN(9804)</f>
        <v/>
      </c>
      <c r="D9805">
        <f>IF(B9805=C9805, "YES", "WRONG")</f>
        <v/>
      </c>
    </row>
    <row r="9806">
      <c r="A9806" t="n">
        <v>9805</v>
      </c>
      <c r="B9806" t="inlineStr">
        <is>
          <t>Mx̄DCCCV</t>
        </is>
      </c>
      <c r="C9806">
        <f>ROMAN(9805)</f>
        <v/>
      </c>
      <c r="D9806">
        <f>IF(B9806=C9806, "YES", "WRONG")</f>
        <v/>
      </c>
    </row>
    <row r="9807">
      <c r="A9807" t="n">
        <v>9806</v>
      </c>
      <c r="B9807" t="inlineStr">
        <is>
          <t>Mx̄DCCCVI</t>
        </is>
      </c>
      <c r="C9807">
        <f>ROMAN(9806)</f>
        <v/>
      </c>
      <c r="D9807">
        <f>IF(B9807=C9807, "YES", "WRONG")</f>
        <v/>
      </c>
    </row>
    <row r="9808">
      <c r="A9808" t="n">
        <v>9807</v>
      </c>
      <c r="B9808" t="inlineStr">
        <is>
          <t>Mx̄DCCCVII</t>
        </is>
      </c>
      <c r="C9808">
        <f>ROMAN(9807)</f>
        <v/>
      </c>
      <c r="D9808">
        <f>IF(B9808=C9808, "YES", "WRONG")</f>
        <v/>
      </c>
    </row>
    <row r="9809">
      <c r="A9809" t="n">
        <v>9808</v>
      </c>
      <c r="B9809" t="inlineStr">
        <is>
          <t>Mx̄DCCCVIII</t>
        </is>
      </c>
      <c r="C9809">
        <f>ROMAN(9808)</f>
        <v/>
      </c>
      <c r="D9809">
        <f>IF(B9809=C9809, "YES", "WRONG")</f>
        <v/>
      </c>
    </row>
    <row r="9810">
      <c r="A9810" t="n">
        <v>9809</v>
      </c>
      <c r="B9810" t="inlineStr">
        <is>
          <t>Mx̄DCCCIX</t>
        </is>
      </c>
      <c r="C9810">
        <f>ROMAN(9809)</f>
        <v/>
      </c>
      <c r="D9810">
        <f>IF(B9810=C9810, "YES", "WRONG")</f>
        <v/>
      </c>
    </row>
    <row r="9811">
      <c r="A9811" t="n">
        <v>9810</v>
      </c>
      <c r="B9811" t="inlineStr">
        <is>
          <t>Mx̄DCCCX</t>
        </is>
      </c>
      <c r="C9811">
        <f>ROMAN(9810)</f>
        <v/>
      </c>
      <c r="D9811">
        <f>IF(B9811=C9811, "YES", "WRONG")</f>
        <v/>
      </c>
    </row>
    <row r="9812">
      <c r="A9812" t="n">
        <v>9811</v>
      </c>
      <c r="B9812" t="inlineStr">
        <is>
          <t>Mx̄DCCCXI</t>
        </is>
      </c>
      <c r="C9812">
        <f>ROMAN(9811)</f>
        <v/>
      </c>
      <c r="D9812">
        <f>IF(B9812=C9812, "YES", "WRONG")</f>
        <v/>
      </c>
    </row>
    <row r="9813">
      <c r="A9813" t="n">
        <v>9812</v>
      </c>
      <c r="B9813" t="inlineStr">
        <is>
          <t>Mx̄DCCCXII</t>
        </is>
      </c>
      <c r="C9813">
        <f>ROMAN(9812)</f>
        <v/>
      </c>
      <c r="D9813">
        <f>IF(B9813=C9813, "YES", "WRONG")</f>
        <v/>
      </c>
    </row>
    <row r="9814">
      <c r="A9814" t="n">
        <v>9813</v>
      </c>
      <c r="B9814" t="inlineStr">
        <is>
          <t>Mx̄DCCCXIII</t>
        </is>
      </c>
      <c r="C9814">
        <f>ROMAN(9813)</f>
        <v/>
      </c>
      <c r="D9814">
        <f>IF(B9814=C9814, "YES", "WRONG")</f>
        <v/>
      </c>
    </row>
    <row r="9815">
      <c r="A9815" t="n">
        <v>9814</v>
      </c>
      <c r="B9815" t="inlineStr">
        <is>
          <t>Mx̄DCCCXIV</t>
        </is>
      </c>
      <c r="C9815">
        <f>ROMAN(9814)</f>
        <v/>
      </c>
      <c r="D9815">
        <f>IF(B9815=C9815, "YES", "WRONG")</f>
        <v/>
      </c>
    </row>
    <row r="9816">
      <c r="A9816" t="n">
        <v>9815</v>
      </c>
      <c r="B9816" t="inlineStr">
        <is>
          <t>Mx̄DCCCXV</t>
        </is>
      </c>
      <c r="C9816">
        <f>ROMAN(9815)</f>
        <v/>
      </c>
      <c r="D9816">
        <f>IF(B9816=C9816, "YES", "WRONG")</f>
        <v/>
      </c>
    </row>
    <row r="9817">
      <c r="A9817" t="n">
        <v>9816</v>
      </c>
      <c r="B9817" t="inlineStr">
        <is>
          <t>Mx̄DCCCXVI</t>
        </is>
      </c>
      <c r="C9817">
        <f>ROMAN(9816)</f>
        <v/>
      </c>
      <c r="D9817">
        <f>IF(B9817=C9817, "YES", "WRONG")</f>
        <v/>
      </c>
    </row>
    <row r="9818">
      <c r="A9818" t="n">
        <v>9817</v>
      </c>
      <c r="B9818" t="inlineStr">
        <is>
          <t>Mx̄DCCCXVII</t>
        </is>
      </c>
      <c r="C9818">
        <f>ROMAN(9817)</f>
        <v/>
      </c>
      <c r="D9818">
        <f>IF(B9818=C9818, "YES", "WRONG")</f>
        <v/>
      </c>
    </row>
    <row r="9819">
      <c r="A9819" t="n">
        <v>9818</v>
      </c>
      <c r="B9819" t="inlineStr">
        <is>
          <t>Mx̄DCCCXVIII</t>
        </is>
      </c>
      <c r="C9819">
        <f>ROMAN(9818)</f>
        <v/>
      </c>
      <c r="D9819">
        <f>IF(B9819=C9819, "YES", "WRONG")</f>
        <v/>
      </c>
    </row>
    <row r="9820">
      <c r="A9820" t="n">
        <v>9819</v>
      </c>
      <c r="B9820" t="inlineStr">
        <is>
          <t>Mx̄DCCCXIX</t>
        </is>
      </c>
      <c r="C9820">
        <f>ROMAN(9819)</f>
        <v/>
      </c>
      <c r="D9820">
        <f>IF(B9820=C9820, "YES", "WRONG")</f>
        <v/>
      </c>
    </row>
    <row r="9821">
      <c r="A9821" t="n">
        <v>9820</v>
      </c>
      <c r="B9821" t="inlineStr">
        <is>
          <t>Mx̄DCCCXX</t>
        </is>
      </c>
      <c r="C9821">
        <f>ROMAN(9820)</f>
        <v/>
      </c>
      <c r="D9821">
        <f>IF(B9821=C9821, "YES", "WRONG")</f>
        <v/>
      </c>
    </row>
    <row r="9822">
      <c r="A9822" t="n">
        <v>9821</v>
      </c>
      <c r="B9822" t="inlineStr">
        <is>
          <t>Mx̄DCCCXXI</t>
        </is>
      </c>
      <c r="C9822">
        <f>ROMAN(9821)</f>
        <v/>
      </c>
      <c r="D9822">
        <f>IF(B9822=C9822, "YES", "WRONG")</f>
        <v/>
      </c>
    </row>
    <row r="9823">
      <c r="A9823" t="n">
        <v>9822</v>
      </c>
      <c r="B9823" t="inlineStr">
        <is>
          <t>Mx̄DCCCXXII</t>
        </is>
      </c>
      <c r="C9823">
        <f>ROMAN(9822)</f>
        <v/>
      </c>
      <c r="D9823">
        <f>IF(B9823=C9823, "YES", "WRONG")</f>
        <v/>
      </c>
    </row>
    <row r="9824">
      <c r="A9824" t="n">
        <v>9823</v>
      </c>
      <c r="B9824" t="inlineStr">
        <is>
          <t>Mx̄DCCCXXIII</t>
        </is>
      </c>
      <c r="C9824">
        <f>ROMAN(9823)</f>
        <v/>
      </c>
      <c r="D9824">
        <f>IF(B9824=C9824, "YES", "WRONG")</f>
        <v/>
      </c>
    </row>
    <row r="9825">
      <c r="A9825" t="n">
        <v>9824</v>
      </c>
      <c r="B9825" t="inlineStr">
        <is>
          <t>Mx̄DCCCXXIV</t>
        </is>
      </c>
      <c r="C9825">
        <f>ROMAN(9824)</f>
        <v/>
      </c>
      <c r="D9825">
        <f>IF(B9825=C9825, "YES", "WRONG")</f>
        <v/>
      </c>
    </row>
    <row r="9826">
      <c r="A9826" t="n">
        <v>9825</v>
      </c>
      <c r="B9826" t="inlineStr">
        <is>
          <t>Mx̄DCCCXXV</t>
        </is>
      </c>
      <c r="C9826">
        <f>ROMAN(9825)</f>
        <v/>
      </c>
      <c r="D9826">
        <f>IF(B9826=C9826, "YES", "WRONG")</f>
        <v/>
      </c>
    </row>
    <row r="9827">
      <c r="A9827" t="n">
        <v>9826</v>
      </c>
      <c r="B9827" t="inlineStr">
        <is>
          <t>Mx̄DCCCXXVI</t>
        </is>
      </c>
      <c r="C9827">
        <f>ROMAN(9826)</f>
        <v/>
      </c>
      <c r="D9827">
        <f>IF(B9827=C9827, "YES", "WRONG")</f>
        <v/>
      </c>
    </row>
    <row r="9828">
      <c r="A9828" t="n">
        <v>9827</v>
      </c>
      <c r="B9828" t="inlineStr">
        <is>
          <t>Mx̄DCCCXXVII</t>
        </is>
      </c>
      <c r="C9828">
        <f>ROMAN(9827)</f>
        <v/>
      </c>
      <c r="D9828">
        <f>IF(B9828=C9828, "YES", "WRONG")</f>
        <v/>
      </c>
    </row>
    <row r="9829">
      <c r="A9829" t="n">
        <v>9828</v>
      </c>
      <c r="B9829" t="inlineStr">
        <is>
          <t>Mx̄DCCCXXVIII</t>
        </is>
      </c>
      <c r="C9829">
        <f>ROMAN(9828)</f>
        <v/>
      </c>
      <c r="D9829">
        <f>IF(B9829=C9829, "YES", "WRONG")</f>
        <v/>
      </c>
    </row>
    <row r="9830">
      <c r="A9830" t="n">
        <v>9829</v>
      </c>
      <c r="B9830" t="inlineStr">
        <is>
          <t>Mx̄DCCCXXIX</t>
        </is>
      </c>
      <c r="C9830">
        <f>ROMAN(9829)</f>
        <v/>
      </c>
      <c r="D9830">
        <f>IF(B9830=C9830, "YES", "WRONG")</f>
        <v/>
      </c>
    </row>
    <row r="9831">
      <c r="A9831" t="n">
        <v>9830</v>
      </c>
      <c r="B9831" t="inlineStr">
        <is>
          <t>Mx̄DCCCXXX</t>
        </is>
      </c>
      <c r="C9831">
        <f>ROMAN(9830)</f>
        <v/>
      </c>
      <c r="D9831">
        <f>IF(B9831=C9831, "YES", "WRONG")</f>
        <v/>
      </c>
    </row>
    <row r="9832">
      <c r="A9832" t="n">
        <v>9831</v>
      </c>
      <c r="B9832" t="inlineStr">
        <is>
          <t>Mx̄DCCCXXXI</t>
        </is>
      </c>
      <c r="C9832">
        <f>ROMAN(9831)</f>
        <v/>
      </c>
      <c r="D9832">
        <f>IF(B9832=C9832, "YES", "WRONG")</f>
        <v/>
      </c>
    </row>
    <row r="9833">
      <c r="A9833" t="n">
        <v>9832</v>
      </c>
      <c r="B9833" t="inlineStr">
        <is>
          <t>Mx̄DCCCXXXII</t>
        </is>
      </c>
      <c r="C9833">
        <f>ROMAN(9832)</f>
        <v/>
      </c>
      <c r="D9833">
        <f>IF(B9833=C9833, "YES", "WRONG")</f>
        <v/>
      </c>
    </row>
    <row r="9834">
      <c r="A9834" t="n">
        <v>9833</v>
      </c>
      <c r="B9834" t="inlineStr">
        <is>
          <t>Mx̄DCCCXXXIII</t>
        </is>
      </c>
      <c r="C9834">
        <f>ROMAN(9833)</f>
        <v/>
      </c>
      <c r="D9834">
        <f>IF(B9834=C9834, "YES", "WRONG")</f>
        <v/>
      </c>
    </row>
    <row r="9835">
      <c r="A9835" t="n">
        <v>9834</v>
      </c>
      <c r="B9835" t="inlineStr">
        <is>
          <t>Mx̄DCCCXXXIV</t>
        </is>
      </c>
      <c r="C9835">
        <f>ROMAN(9834)</f>
        <v/>
      </c>
      <c r="D9835">
        <f>IF(B9835=C9835, "YES", "WRONG")</f>
        <v/>
      </c>
    </row>
    <row r="9836">
      <c r="A9836" t="n">
        <v>9835</v>
      </c>
      <c r="B9836" t="inlineStr">
        <is>
          <t>Mx̄DCCCXXXV</t>
        </is>
      </c>
      <c r="C9836">
        <f>ROMAN(9835)</f>
        <v/>
      </c>
      <c r="D9836">
        <f>IF(B9836=C9836, "YES", "WRONG")</f>
        <v/>
      </c>
    </row>
    <row r="9837">
      <c r="A9837" t="n">
        <v>9836</v>
      </c>
      <c r="B9837" t="inlineStr">
        <is>
          <t>Mx̄DCCCXXXVI</t>
        </is>
      </c>
      <c r="C9837">
        <f>ROMAN(9836)</f>
        <v/>
      </c>
      <c r="D9837">
        <f>IF(B9837=C9837, "YES", "WRONG")</f>
        <v/>
      </c>
    </row>
    <row r="9838">
      <c r="A9838" t="n">
        <v>9837</v>
      </c>
      <c r="B9838" t="inlineStr">
        <is>
          <t>Mx̄DCCCXXXVII</t>
        </is>
      </c>
      <c r="C9838">
        <f>ROMAN(9837)</f>
        <v/>
      </c>
      <c r="D9838">
        <f>IF(B9838=C9838, "YES", "WRONG")</f>
        <v/>
      </c>
    </row>
    <row r="9839">
      <c r="A9839" t="n">
        <v>9838</v>
      </c>
      <c r="B9839" t="inlineStr">
        <is>
          <t>Mx̄DCCCXXXVIII</t>
        </is>
      </c>
      <c r="C9839">
        <f>ROMAN(9838)</f>
        <v/>
      </c>
      <c r="D9839">
        <f>IF(B9839=C9839, "YES", "WRONG")</f>
        <v/>
      </c>
    </row>
    <row r="9840">
      <c r="A9840" t="n">
        <v>9839</v>
      </c>
      <c r="B9840" t="inlineStr">
        <is>
          <t>Mx̄DCCCXXXIX</t>
        </is>
      </c>
      <c r="C9840">
        <f>ROMAN(9839)</f>
        <v/>
      </c>
      <c r="D9840">
        <f>IF(B9840=C9840, "YES", "WRONG")</f>
        <v/>
      </c>
    </row>
    <row r="9841">
      <c r="A9841" t="n">
        <v>9840</v>
      </c>
      <c r="B9841" t="inlineStr">
        <is>
          <t>Mx̄DCCCXL</t>
        </is>
      </c>
      <c r="C9841">
        <f>ROMAN(9840)</f>
        <v/>
      </c>
      <c r="D9841">
        <f>IF(B9841=C9841, "YES", "WRONG")</f>
        <v/>
      </c>
    </row>
    <row r="9842">
      <c r="A9842" t="n">
        <v>9841</v>
      </c>
      <c r="B9842" t="inlineStr">
        <is>
          <t>Mx̄DCCCXLI</t>
        </is>
      </c>
      <c r="C9842">
        <f>ROMAN(9841)</f>
        <v/>
      </c>
      <c r="D9842">
        <f>IF(B9842=C9842, "YES", "WRONG")</f>
        <v/>
      </c>
    </row>
    <row r="9843">
      <c r="A9843" t="n">
        <v>9842</v>
      </c>
      <c r="B9843" t="inlineStr">
        <is>
          <t>Mx̄DCCCXLII</t>
        </is>
      </c>
      <c r="C9843">
        <f>ROMAN(9842)</f>
        <v/>
      </c>
      <c r="D9843">
        <f>IF(B9843=C9843, "YES", "WRONG")</f>
        <v/>
      </c>
    </row>
    <row r="9844">
      <c r="A9844" t="n">
        <v>9843</v>
      </c>
      <c r="B9844" t="inlineStr">
        <is>
          <t>Mx̄DCCCXLIII</t>
        </is>
      </c>
      <c r="C9844">
        <f>ROMAN(9843)</f>
        <v/>
      </c>
      <c r="D9844">
        <f>IF(B9844=C9844, "YES", "WRONG")</f>
        <v/>
      </c>
    </row>
    <row r="9845">
      <c r="A9845" t="n">
        <v>9844</v>
      </c>
      <c r="B9845" t="inlineStr">
        <is>
          <t>Mx̄DCCCXLIV</t>
        </is>
      </c>
      <c r="C9845">
        <f>ROMAN(9844)</f>
        <v/>
      </c>
      <c r="D9845">
        <f>IF(B9845=C9845, "YES", "WRONG")</f>
        <v/>
      </c>
    </row>
    <row r="9846">
      <c r="A9846" t="n">
        <v>9845</v>
      </c>
      <c r="B9846" t="inlineStr">
        <is>
          <t>Mx̄DCCCXLV</t>
        </is>
      </c>
      <c r="C9846">
        <f>ROMAN(9845)</f>
        <v/>
      </c>
      <c r="D9846">
        <f>IF(B9846=C9846, "YES", "WRONG")</f>
        <v/>
      </c>
    </row>
    <row r="9847">
      <c r="A9847" t="n">
        <v>9846</v>
      </c>
      <c r="B9847" t="inlineStr">
        <is>
          <t>Mx̄DCCCXLVI</t>
        </is>
      </c>
      <c r="C9847">
        <f>ROMAN(9846)</f>
        <v/>
      </c>
      <c r="D9847">
        <f>IF(B9847=C9847, "YES", "WRONG")</f>
        <v/>
      </c>
    </row>
    <row r="9848">
      <c r="A9848" t="n">
        <v>9847</v>
      </c>
      <c r="B9848" t="inlineStr">
        <is>
          <t>Mx̄DCCCXLVII</t>
        </is>
      </c>
      <c r="C9848">
        <f>ROMAN(9847)</f>
        <v/>
      </c>
      <c r="D9848">
        <f>IF(B9848=C9848, "YES", "WRONG")</f>
        <v/>
      </c>
    </row>
    <row r="9849">
      <c r="A9849" t="n">
        <v>9848</v>
      </c>
      <c r="B9849" t="inlineStr">
        <is>
          <t>Mx̄DCCCXLVIII</t>
        </is>
      </c>
      <c r="C9849">
        <f>ROMAN(9848)</f>
        <v/>
      </c>
      <c r="D9849">
        <f>IF(B9849=C9849, "YES", "WRONG")</f>
        <v/>
      </c>
    </row>
    <row r="9850">
      <c r="A9850" t="n">
        <v>9849</v>
      </c>
      <c r="B9850" t="inlineStr">
        <is>
          <t>Mx̄DCCCXLIX</t>
        </is>
      </c>
      <c r="C9850">
        <f>ROMAN(9849)</f>
        <v/>
      </c>
      <c r="D9850">
        <f>IF(B9850=C9850, "YES", "WRONG")</f>
        <v/>
      </c>
    </row>
    <row r="9851">
      <c r="A9851" t="n">
        <v>9850</v>
      </c>
      <c r="B9851" t="inlineStr">
        <is>
          <t>Mx̄DCCCL</t>
        </is>
      </c>
      <c r="C9851">
        <f>ROMAN(9850)</f>
        <v/>
      </c>
      <c r="D9851">
        <f>IF(B9851=C9851, "YES", "WRONG")</f>
        <v/>
      </c>
    </row>
    <row r="9852">
      <c r="A9852" t="n">
        <v>9851</v>
      </c>
      <c r="B9852" t="inlineStr">
        <is>
          <t>Mx̄DCCCLI</t>
        </is>
      </c>
      <c r="C9852">
        <f>ROMAN(9851)</f>
        <v/>
      </c>
      <c r="D9852">
        <f>IF(B9852=C9852, "YES", "WRONG")</f>
        <v/>
      </c>
    </row>
    <row r="9853">
      <c r="A9853" t="n">
        <v>9852</v>
      </c>
      <c r="B9853" t="inlineStr">
        <is>
          <t>Mx̄DCCCLII</t>
        </is>
      </c>
      <c r="C9853">
        <f>ROMAN(9852)</f>
        <v/>
      </c>
      <c r="D9853">
        <f>IF(B9853=C9853, "YES", "WRONG")</f>
        <v/>
      </c>
    </row>
    <row r="9854">
      <c r="A9854" t="n">
        <v>9853</v>
      </c>
      <c r="B9854" t="inlineStr">
        <is>
          <t>Mx̄DCCCLIII</t>
        </is>
      </c>
      <c r="C9854">
        <f>ROMAN(9853)</f>
        <v/>
      </c>
      <c r="D9854">
        <f>IF(B9854=C9854, "YES", "WRONG")</f>
        <v/>
      </c>
    </row>
    <row r="9855">
      <c r="A9855" t="n">
        <v>9854</v>
      </c>
      <c r="B9855" t="inlineStr">
        <is>
          <t>Mx̄DCCCLIV</t>
        </is>
      </c>
      <c r="C9855">
        <f>ROMAN(9854)</f>
        <v/>
      </c>
      <c r="D9855">
        <f>IF(B9855=C9855, "YES", "WRONG")</f>
        <v/>
      </c>
    </row>
    <row r="9856">
      <c r="A9856" t="n">
        <v>9855</v>
      </c>
      <c r="B9856" t="inlineStr">
        <is>
          <t>Mx̄DCCCLV</t>
        </is>
      </c>
      <c r="C9856">
        <f>ROMAN(9855)</f>
        <v/>
      </c>
      <c r="D9856">
        <f>IF(B9856=C9856, "YES", "WRONG")</f>
        <v/>
      </c>
    </row>
    <row r="9857">
      <c r="A9857" t="n">
        <v>9856</v>
      </c>
      <c r="B9857" t="inlineStr">
        <is>
          <t>Mx̄DCCCLVI</t>
        </is>
      </c>
      <c r="C9857">
        <f>ROMAN(9856)</f>
        <v/>
      </c>
      <c r="D9857">
        <f>IF(B9857=C9857, "YES", "WRONG")</f>
        <v/>
      </c>
    </row>
    <row r="9858">
      <c r="A9858" t="n">
        <v>9857</v>
      </c>
      <c r="B9858" t="inlineStr">
        <is>
          <t>Mx̄DCCCLVII</t>
        </is>
      </c>
      <c r="C9858">
        <f>ROMAN(9857)</f>
        <v/>
      </c>
      <c r="D9858">
        <f>IF(B9858=C9858, "YES", "WRONG")</f>
        <v/>
      </c>
    </row>
    <row r="9859">
      <c r="A9859" t="n">
        <v>9858</v>
      </c>
      <c r="B9859" t="inlineStr">
        <is>
          <t>Mx̄DCCCLVIII</t>
        </is>
      </c>
      <c r="C9859">
        <f>ROMAN(9858)</f>
        <v/>
      </c>
      <c r="D9859">
        <f>IF(B9859=C9859, "YES", "WRONG")</f>
        <v/>
      </c>
    </row>
    <row r="9860">
      <c r="A9860" t="n">
        <v>9859</v>
      </c>
      <c r="B9860" t="inlineStr">
        <is>
          <t>Mx̄DCCCLIX</t>
        </is>
      </c>
      <c r="C9860">
        <f>ROMAN(9859)</f>
        <v/>
      </c>
      <c r="D9860">
        <f>IF(B9860=C9860, "YES", "WRONG")</f>
        <v/>
      </c>
    </row>
    <row r="9861">
      <c r="A9861" t="n">
        <v>9860</v>
      </c>
      <c r="B9861" t="inlineStr">
        <is>
          <t>Mx̄DCCCLX</t>
        </is>
      </c>
      <c r="C9861">
        <f>ROMAN(9860)</f>
        <v/>
      </c>
      <c r="D9861">
        <f>IF(B9861=C9861, "YES", "WRONG")</f>
        <v/>
      </c>
    </row>
    <row r="9862">
      <c r="A9862" t="n">
        <v>9861</v>
      </c>
      <c r="B9862" t="inlineStr">
        <is>
          <t>Mx̄DCCCLXI</t>
        </is>
      </c>
      <c r="C9862">
        <f>ROMAN(9861)</f>
        <v/>
      </c>
      <c r="D9862">
        <f>IF(B9862=C9862, "YES", "WRONG")</f>
        <v/>
      </c>
    </row>
    <row r="9863">
      <c r="A9863" t="n">
        <v>9862</v>
      </c>
      <c r="B9863" t="inlineStr">
        <is>
          <t>Mx̄DCCCLXII</t>
        </is>
      </c>
      <c r="C9863">
        <f>ROMAN(9862)</f>
        <v/>
      </c>
      <c r="D9863">
        <f>IF(B9863=C9863, "YES", "WRONG")</f>
        <v/>
      </c>
    </row>
    <row r="9864">
      <c r="A9864" t="n">
        <v>9863</v>
      </c>
      <c r="B9864" t="inlineStr">
        <is>
          <t>Mx̄DCCCLXIII</t>
        </is>
      </c>
      <c r="C9864">
        <f>ROMAN(9863)</f>
        <v/>
      </c>
      <c r="D9864">
        <f>IF(B9864=C9864, "YES", "WRONG")</f>
        <v/>
      </c>
    </row>
    <row r="9865">
      <c r="A9865" t="n">
        <v>9864</v>
      </c>
      <c r="B9865" t="inlineStr">
        <is>
          <t>Mx̄DCCCLXIV</t>
        </is>
      </c>
      <c r="C9865">
        <f>ROMAN(9864)</f>
        <v/>
      </c>
      <c r="D9865">
        <f>IF(B9865=C9865, "YES", "WRONG")</f>
        <v/>
      </c>
    </row>
    <row r="9866">
      <c r="A9866" t="n">
        <v>9865</v>
      </c>
      <c r="B9866" t="inlineStr">
        <is>
          <t>Mx̄DCCCLXV</t>
        </is>
      </c>
      <c r="C9866">
        <f>ROMAN(9865)</f>
        <v/>
      </c>
      <c r="D9866">
        <f>IF(B9866=C9866, "YES", "WRONG")</f>
        <v/>
      </c>
    </row>
    <row r="9867">
      <c r="A9867" t="n">
        <v>9866</v>
      </c>
      <c r="B9867" t="inlineStr">
        <is>
          <t>Mx̄DCCCLXVI</t>
        </is>
      </c>
      <c r="C9867">
        <f>ROMAN(9866)</f>
        <v/>
      </c>
      <c r="D9867">
        <f>IF(B9867=C9867, "YES", "WRONG")</f>
        <v/>
      </c>
    </row>
    <row r="9868">
      <c r="A9868" t="n">
        <v>9867</v>
      </c>
      <c r="B9868" t="inlineStr">
        <is>
          <t>Mx̄DCCCLXVII</t>
        </is>
      </c>
      <c r="C9868">
        <f>ROMAN(9867)</f>
        <v/>
      </c>
      <c r="D9868">
        <f>IF(B9868=C9868, "YES", "WRONG")</f>
        <v/>
      </c>
    </row>
    <row r="9869">
      <c r="A9869" t="n">
        <v>9868</v>
      </c>
      <c r="B9869" t="inlineStr">
        <is>
          <t>Mx̄DCCCLXVIII</t>
        </is>
      </c>
      <c r="C9869">
        <f>ROMAN(9868)</f>
        <v/>
      </c>
      <c r="D9869">
        <f>IF(B9869=C9869, "YES", "WRONG")</f>
        <v/>
      </c>
    </row>
    <row r="9870">
      <c r="A9870" t="n">
        <v>9869</v>
      </c>
      <c r="B9870" t="inlineStr">
        <is>
          <t>Mx̄DCCCLXIX</t>
        </is>
      </c>
      <c r="C9870">
        <f>ROMAN(9869)</f>
        <v/>
      </c>
      <c r="D9870">
        <f>IF(B9870=C9870, "YES", "WRONG")</f>
        <v/>
      </c>
    </row>
    <row r="9871">
      <c r="A9871" t="n">
        <v>9870</v>
      </c>
      <c r="B9871" t="inlineStr">
        <is>
          <t>Mx̄DCCCLXX</t>
        </is>
      </c>
      <c r="C9871">
        <f>ROMAN(9870)</f>
        <v/>
      </c>
      <c r="D9871">
        <f>IF(B9871=C9871, "YES", "WRONG")</f>
        <v/>
      </c>
    </row>
    <row r="9872">
      <c r="A9872" t="n">
        <v>9871</v>
      </c>
      <c r="B9872" t="inlineStr">
        <is>
          <t>Mx̄DCCCLXXI</t>
        </is>
      </c>
      <c r="C9872">
        <f>ROMAN(9871)</f>
        <v/>
      </c>
      <c r="D9872">
        <f>IF(B9872=C9872, "YES", "WRONG")</f>
        <v/>
      </c>
    </row>
    <row r="9873">
      <c r="A9873" t="n">
        <v>9872</v>
      </c>
      <c r="B9873" t="inlineStr">
        <is>
          <t>Mx̄DCCCLXXII</t>
        </is>
      </c>
      <c r="C9873">
        <f>ROMAN(9872)</f>
        <v/>
      </c>
      <c r="D9873">
        <f>IF(B9873=C9873, "YES", "WRONG")</f>
        <v/>
      </c>
    </row>
    <row r="9874">
      <c r="A9874" t="n">
        <v>9873</v>
      </c>
      <c r="B9874" t="inlineStr">
        <is>
          <t>Mx̄DCCCLXXIII</t>
        </is>
      </c>
      <c r="C9874">
        <f>ROMAN(9873)</f>
        <v/>
      </c>
      <c r="D9874">
        <f>IF(B9874=C9874, "YES", "WRONG")</f>
        <v/>
      </c>
    </row>
    <row r="9875">
      <c r="A9875" t="n">
        <v>9874</v>
      </c>
      <c r="B9875" t="inlineStr">
        <is>
          <t>Mx̄DCCCLXXIV</t>
        </is>
      </c>
      <c r="C9875">
        <f>ROMAN(9874)</f>
        <v/>
      </c>
      <c r="D9875">
        <f>IF(B9875=C9875, "YES", "WRONG")</f>
        <v/>
      </c>
    </row>
    <row r="9876">
      <c r="A9876" t="n">
        <v>9875</v>
      </c>
      <c r="B9876" t="inlineStr">
        <is>
          <t>Mx̄DCCCLXXV</t>
        </is>
      </c>
      <c r="C9876">
        <f>ROMAN(9875)</f>
        <v/>
      </c>
      <c r="D9876">
        <f>IF(B9876=C9876, "YES", "WRONG")</f>
        <v/>
      </c>
    </row>
    <row r="9877">
      <c r="A9877" t="n">
        <v>9876</v>
      </c>
      <c r="B9877" t="inlineStr">
        <is>
          <t>Mx̄DCCCLXXVI</t>
        </is>
      </c>
      <c r="C9877">
        <f>ROMAN(9876)</f>
        <v/>
      </c>
      <c r="D9877">
        <f>IF(B9877=C9877, "YES", "WRONG")</f>
        <v/>
      </c>
    </row>
    <row r="9878">
      <c r="A9878" t="n">
        <v>9877</v>
      </c>
      <c r="B9878" t="inlineStr">
        <is>
          <t>Mx̄DCCCLXXVII</t>
        </is>
      </c>
      <c r="C9878">
        <f>ROMAN(9877)</f>
        <v/>
      </c>
      <c r="D9878">
        <f>IF(B9878=C9878, "YES", "WRONG")</f>
        <v/>
      </c>
    </row>
    <row r="9879">
      <c r="A9879" t="n">
        <v>9878</v>
      </c>
      <c r="B9879" t="inlineStr">
        <is>
          <t>Mx̄DCCCLXXVIII</t>
        </is>
      </c>
      <c r="C9879">
        <f>ROMAN(9878)</f>
        <v/>
      </c>
      <c r="D9879">
        <f>IF(B9879=C9879, "YES", "WRONG")</f>
        <v/>
      </c>
    </row>
    <row r="9880">
      <c r="A9880" t="n">
        <v>9879</v>
      </c>
      <c r="B9880" t="inlineStr">
        <is>
          <t>Mx̄DCCCLXXIX</t>
        </is>
      </c>
      <c r="C9880">
        <f>ROMAN(9879)</f>
        <v/>
      </c>
      <c r="D9880">
        <f>IF(B9880=C9880, "YES", "WRONG")</f>
        <v/>
      </c>
    </row>
    <row r="9881">
      <c r="A9881" t="n">
        <v>9880</v>
      </c>
      <c r="B9881" t="inlineStr">
        <is>
          <t>Mx̄DCCCLXXX</t>
        </is>
      </c>
      <c r="C9881">
        <f>ROMAN(9880)</f>
        <v/>
      </c>
      <c r="D9881">
        <f>IF(B9881=C9881, "YES", "WRONG")</f>
        <v/>
      </c>
    </row>
    <row r="9882">
      <c r="A9882" t="n">
        <v>9881</v>
      </c>
      <c r="B9882" t="inlineStr">
        <is>
          <t>Mx̄DCCCLXXXI</t>
        </is>
      </c>
      <c r="C9882">
        <f>ROMAN(9881)</f>
        <v/>
      </c>
      <c r="D9882">
        <f>IF(B9882=C9882, "YES", "WRONG")</f>
        <v/>
      </c>
    </row>
    <row r="9883">
      <c r="A9883" t="n">
        <v>9882</v>
      </c>
      <c r="B9883" t="inlineStr">
        <is>
          <t>Mx̄DCCCLXXXII</t>
        </is>
      </c>
      <c r="C9883">
        <f>ROMAN(9882)</f>
        <v/>
      </c>
      <c r="D9883">
        <f>IF(B9883=C9883, "YES", "WRONG")</f>
        <v/>
      </c>
    </row>
    <row r="9884">
      <c r="A9884" t="n">
        <v>9883</v>
      </c>
      <c r="B9884" t="inlineStr">
        <is>
          <t>Mx̄DCCCLXXXIII</t>
        </is>
      </c>
      <c r="C9884">
        <f>ROMAN(9883)</f>
        <v/>
      </c>
      <c r="D9884">
        <f>IF(B9884=C9884, "YES", "WRONG")</f>
        <v/>
      </c>
    </row>
    <row r="9885">
      <c r="A9885" t="n">
        <v>9884</v>
      </c>
      <c r="B9885" t="inlineStr">
        <is>
          <t>Mx̄DCCCLXXXIV</t>
        </is>
      </c>
      <c r="C9885">
        <f>ROMAN(9884)</f>
        <v/>
      </c>
      <c r="D9885">
        <f>IF(B9885=C9885, "YES", "WRONG")</f>
        <v/>
      </c>
    </row>
    <row r="9886">
      <c r="A9886" t="n">
        <v>9885</v>
      </c>
      <c r="B9886" t="inlineStr">
        <is>
          <t>Mx̄DCCCLXXXV</t>
        </is>
      </c>
      <c r="C9886">
        <f>ROMAN(9885)</f>
        <v/>
      </c>
      <c r="D9886">
        <f>IF(B9886=C9886, "YES", "WRONG")</f>
        <v/>
      </c>
    </row>
    <row r="9887">
      <c r="A9887" t="n">
        <v>9886</v>
      </c>
      <c r="B9887" t="inlineStr">
        <is>
          <t>Mx̄DCCCLXXXVI</t>
        </is>
      </c>
      <c r="C9887">
        <f>ROMAN(9886)</f>
        <v/>
      </c>
      <c r="D9887">
        <f>IF(B9887=C9887, "YES", "WRONG")</f>
        <v/>
      </c>
    </row>
    <row r="9888">
      <c r="A9888" t="n">
        <v>9887</v>
      </c>
      <c r="B9888" t="inlineStr">
        <is>
          <t>Mx̄DCCCLXXXVII</t>
        </is>
      </c>
      <c r="C9888">
        <f>ROMAN(9887)</f>
        <v/>
      </c>
      <c r="D9888">
        <f>IF(B9888=C9888, "YES", "WRONG")</f>
        <v/>
      </c>
    </row>
    <row r="9889">
      <c r="A9889" t="n">
        <v>9888</v>
      </c>
      <c r="B9889" t="inlineStr">
        <is>
          <t>Mx̄DCCCLXXXVIII</t>
        </is>
      </c>
      <c r="C9889">
        <f>ROMAN(9888)</f>
        <v/>
      </c>
      <c r="D9889">
        <f>IF(B9889=C9889, "YES", "WRONG")</f>
        <v/>
      </c>
    </row>
    <row r="9890">
      <c r="A9890" t="n">
        <v>9889</v>
      </c>
      <c r="B9890" t="inlineStr">
        <is>
          <t>Mx̄DCCCLXXXIX</t>
        </is>
      </c>
      <c r="C9890">
        <f>ROMAN(9889)</f>
        <v/>
      </c>
      <c r="D9890">
        <f>IF(B9890=C9890, "YES", "WRONG")</f>
        <v/>
      </c>
    </row>
    <row r="9891">
      <c r="A9891" t="n">
        <v>9890</v>
      </c>
      <c r="B9891" t="inlineStr">
        <is>
          <t>Mx̄DCCCXC</t>
        </is>
      </c>
      <c r="C9891">
        <f>ROMAN(9890)</f>
        <v/>
      </c>
      <c r="D9891">
        <f>IF(B9891=C9891, "YES", "WRONG")</f>
        <v/>
      </c>
    </row>
    <row r="9892">
      <c r="A9892" t="n">
        <v>9891</v>
      </c>
      <c r="B9892" t="inlineStr">
        <is>
          <t>Mx̄DCCCXCI</t>
        </is>
      </c>
      <c r="C9892">
        <f>ROMAN(9891)</f>
        <v/>
      </c>
      <c r="D9892">
        <f>IF(B9892=C9892, "YES", "WRONG")</f>
        <v/>
      </c>
    </row>
    <row r="9893">
      <c r="A9893" t="n">
        <v>9892</v>
      </c>
      <c r="B9893" t="inlineStr">
        <is>
          <t>Mx̄DCCCXCII</t>
        </is>
      </c>
      <c r="C9893">
        <f>ROMAN(9892)</f>
        <v/>
      </c>
      <c r="D9893">
        <f>IF(B9893=C9893, "YES", "WRONG")</f>
        <v/>
      </c>
    </row>
    <row r="9894">
      <c r="A9894" t="n">
        <v>9893</v>
      </c>
      <c r="B9894" t="inlineStr">
        <is>
          <t>Mx̄DCCCXCIII</t>
        </is>
      </c>
      <c r="C9894">
        <f>ROMAN(9893)</f>
        <v/>
      </c>
      <c r="D9894">
        <f>IF(B9894=C9894, "YES", "WRONG")</f>
        <v/>
      </c>
    </row>
    <row r="9895">
      <c r="A9895" t="n">
        <v>9894</v>
      </c>
      <c r="B9895" t="inlineStr">
        <is>
          <t>Mx̄DCCCXCIV</t>
        </is>
      </c>
      <c r="C9895">
        <f>ROMAN(9894)</f>
        <v/>
      </c>
      <c r="D9895">
        <f>IF(B9895=C9895, "YES", "WRONG")</f>
        <v/>
      </c>
    </row>
    <row r="9896">
      <c r="A9896" t="n">
        <v>9895</v>
      </c>
      <c r="B9896" t="inlineStr">
        <is>
          <t>Mx̄DCCCXCV</t>
        </is>
      </c>
      <c r="C9896">
        <f>ROMAN(9895)</f>
        <v/>
      </c>
      <c r="D9896">
        <f>IF(B9896=C9896, "YES", "WRONG")</f>
        <v/>
      </c>
    </row>
    <row r="9897">
      <c r="A9897" t="n">
        <v>9896</v>
      </c>
      <c r="B9897" t="inlineStr">
        <is>
          <t>Mx̄DCCCXCVI</t>
        </is>
      </c>
      <c r="C9897">
        <f>ROMAN(9896)</f>
        <v/>
      </c>
      <c r="D9897">
        <f>IF(B9897=C9897, "YES", "WRONG")</f>
        <v/>
      </c>
    </row>
    <row r="9898">
      <c r="A9898" t="n">
        <v>9897</v>
      </c>
      <c r="B9898" t="inlineStr">
        <is>
          <t>Mx̄DCCCXCVII</t>
        </is>
      </c>
      <c r="C9898">
        <f>ROMAN(9897)</f>
        <v/>
      </c>
      <c r="D9898">
        <f>IF(B9898=C9898, "YES", "WRONG")</f>
        <v/>
      </c>
    </row>
    <row r="9899">
      <c r="A9899" t="n">
        <v>9898</v>
      </c>
      <c r="B9899" t="inlineStr">
        <is>
          <t>Mx̄DCCCXCVIII</t>
        </is>
      </c>
      <c r="C9899">
        <f>ROMAN(9898)</f>
        <v/>
      </c>
      <c r="D9899">
        <f>IF(B9899=C9899, "YES", "WRONG")</f>
        <v/>
      </c>
    </row>
    <row r="9900">
      <c r="A9900" t="n">
        <v>9899</v>
      </c>
      <c r="B9900" t="inlineStr">
        <is>
          <t>Mx̄DCCCXCIX</t>
        </is>
      </c>
      <c r="C9900">
        <f>ROMAN(9899)</f>
        <v/>
      </c>
      <c r="D9900">
        <f>IF(B9900=C9900, "YES", "WRONG")</f>
        <v/>
      </c>
    </row>
    <row r="9901">
      <c r="A9901" t="n">
        <v>9900</v>
      </c>
      <c r="B9901" t="inlineStr">
        <is>
          <t>Mx̄CM</t>
        </is>
      </c>
      <c r="C9901">
        <f>ROMAN(9900)</f>
        <v/>
      </c>
      <c r="D9901">
        <f>IF(B9901=C9901, "YES", "WRONG")</f>
        <v/>
      </c>
    </row>
    <row r="9902">
      <c r="A9902" t="n">
        <v>9901</v>
      </c>
      <c r="B9902" t="inlineStr">
        <is>
          <t>Mx̄CMI</t>
        </is>
      </c>
      <c r="C9902">
        <f>ROMAN(9901)</f>
        <v/>
      </c>
      <c r="D9902">
        <f>IF(B9902=C9902, "YES", "WRONG")</f>
        <v/>
      </c>
    </row>
    <row r="9903">
      <c r="A9903" t="n">
        <v>9902</v>
      </c>
      <c r="B9903" t="inlineStr">
        <is>
          <t>Mx̄CMII</t>
        </is>
      </c>
      <c r="C9903">
        <f>ROMAN(9902)</f>
        <v/>
      </c>
      <c r="D9903">
        <f>IF(B9903=C9903, "YES", "WRONG")</f>
        <v/>
      </c>
    </row>
    <row r="9904">
      <c r="A9904" t="n">
        <v>9903</v>
      </c>
      <c r="B9904" t="inlineStr">
        <is>
          <t>Mx̄CMIII</t>
        </is>
      </c>
      <c r="C9904">
        <f>ROMAN(9903)</f>
        <v/>
      </c>
      <c r="D9904">
        <f>IF(B9904=C9904, "YES", "WRONG")</f>
        <v/>
      </c>
    </row>
    <row r="9905">
      <c r="A9905" t="n">
        <v>9904</v>
      </c>
      <c r="B9905" t="inlineStr">
        <is>
          <t>Mx̄CMIV</t>
        </is>
      </c>
      <c r="C9905">
        <f>ROMAN(9904)</f>
        <v/>
      </c>
      <c r="D9905">
        <f>IF(B9905=C9905, "YES", "WRONG")</f>
        <v/>
      </c>
    </row>
    <row r="9906">
      <c r="A9906" t="n">
        <v>9905</v>
      </c>
      <c r="B9906" t="inlineStr">
        <is>
          <t>Mx̄CMV</t>
        </is>
      </c>
      <c r="C9906">
        <f>ROMAN(9905)</f>
        <v/>
      </c>
      <c r="D9906">
        <f>IF(B9906=C9906, "YES", "WRONG")</f>
        <v/>
      </c>
    </row>
    <row r="9907">
      <c r="A9907" t="n">
        <v>9906</v>
      </c>
      <c r="B9907" t="inlineStr">
        <is>
          <t>Mx̄CMVI</t>
        </is>
      </c>
      <c r="C9907">
        <f>ROMAN(9906)</f>
        <v/>
      </c>
      <c r="D9907">
        <f>IF(B9907=C9907, "YES", "WRONG")</f>
        <v/>
      </c>
    </row>
    <row r="9908">
      <c r="A9908" t="n">
        <v>9907</v>
      </c>
      <c r="B9908" t="inlineStr">
        <is>
          <t>Mx̄CMVII</t>
        </is>
      </c>
      <c r="C9908">
        <f>ROMAN(9907)</f>
        <v/>
      </c>
      <c r="D9908">
        <f>IF(B9908=C9908, "YES", "WRONG")</f>
        <v/>
      </c>
    </row>
    <row r="9909">
      <c r="A9909" t="n">
        <v>9908</v>
      </c>
      <c r="B9909" t="inlineStr">
        <is>
          <t>Mx̄CMVIII</t>
        </is>
      </c>
      <c r="C9909">
        <f>ROMAN(9908)</f>
        <v/>
      </c>
      <c r="D9909">
        <f>IF(B9909=C9909, "YES", "WRONG")</f>
        <v/>
      </c>
    </row>
    <row r="9910">
      <c r="A9910" t="n">
        <v>9909</v>
      </c>
      <c r="B9910" t="inlineStr">
        <is>
          <t>Mx̄CMIX</t>
        </is>
      </c>
      <c r="C9910">
        <f>ROMAN(9909)</f>
        <v/>
      </c>
      <c r="D9910">
        <f>IF(B9910=C9910, "YES", "WRONG")</f>
        <v/>
      </c>
    </row>
    <row r="9911">
      <c r="A9911" t="n">
        <v>9910</v>
      </c>
      <c r="B9911" t="inlineStr">
        <is>
          <t>Mx̄CMX</t>
        </is>
      </c>
      <c r="C9911">
        <f>ROMAN(9910)</f>
        <v/>
      </c>
      <c r="D9911">
        <f>IF(B9911=C9911, "YES", "WRONG")</f>
        <v/>
      </c>
    </row>
    <row r="9912">
      <c r="A9912" t="n">
        <v>9911</v>
      </c>
      <c r="B9912" t="inlineStr">
        <is>
          <t>Mx̄CMXI</t>
        </is>
      </c>
      <c r="C9912">
        <f>ROMAN(9911)</f>
        <v/>
      </c>
      <c r="D9912">
        <f>IF(B9912=C9912, "YES", "WRONG")</f>
        <v/>
      </c>
    </row>
    <row r="9913">
      <c r="A9913" t="n">
        <v>9912</v>
      </c>
      <c r="B9913" t="inlineStr">
        <is>
          <t>Mx̄CMXII</t>
        </is>
      </c>
      <c r="C9913">
        <f>ROMAN(9912)</f>
        <v/>
      </c>
      <c r="D9913">
        <f>IF(B9913=C9913, "YES", "WRONG")</f>
        <v/>
      </c>
    </row>
    <row r="9914">
      <c r="A9914" t="n">
        <v>9913</v>
      </c>
      <c r="B9914" t="inlineStr">
        <is>
          <t>Mx̄CMXIII</t>
        </is>
      </c>
      <c r="C9914">
        <f>ROMAN(9913)</f>
        <v/>
      </c>
      <c r="D9914">
        <f>IF(B9914=C9914, "YES", "WRONG")</f>
        <v/>
      </c>
    </row>
    <row r="9915">
      <c r="A9915" t="n">
        <v>9914</v>
      </c>
      <c r="B9915" t="inlineStr">
        <is>
          <t>Mx̄CMXIV</t>
        </is>
      </c>
      <c r="C9915">
        <f>ROMAN(9914)</f>
        <v/>
      </c>
      <c r="D9915">
        <f>IF(B9915=C9915, "YES", "WRONG")</f>
        <v/>
      </c>
    </row>
    <row r="9916">
      <c r="A9916" t="n">
        <v>9915</v>
      </c>
      <c r="B9916" t="inlineStr">
        <is>
          <t>Mx̄CMXV</t>
        </is>
      </c>
      <c r="C9916">
        <f>ROMAN(9915)</f>
        <v/>
      </c>
      <c r="D9916">
        <f>IF(B9916=C9916, "YES", "WRONG")</f>
        <v/>
      </c>
    </row>
    <row r="9917">
      <c r="A9917" t="n">
        <v>9916</v>
      </c>
      <c r="B9917" t="inlineStr">
        <is>
          <t>Mx̄CMXVI</t>
        </is>
      </c>
      <c r="C9917">
        <f>ROMAN(9916)</f>
        <v/>
      </c>
      <c r="D9917">
        <f>IF(B9917=C9917, "YES", "WRONG")</f>
        <v/>
      </c>
    </row>
    <row r="9918">
      <c r="A9918" t="n">
        <v>9917</v>
      </c>
      <c r="B9918" t="inlineStr">
        <is>
          <t>Mx̄CMXVII</t>
        </is>
      </c>
      <c r="C9918">
        <f>ROMAN(9917)</f>
        <v/>
      </c>
      <c r="D9918">
        <f>IF(B9918=C9918, "YES", "WRONG")</f>
        <v/>
      </c>
    </row>
    <row r="9919">
      <c r="A9919" t="n">
        <v>9918</v>
      </c>
      <c r="B9919" t="inlineStr">
        <is>
          <t>Mx̄CMXVIII</t>
        </is>
      </c>
      <c r="C9919">
        <f>ROMAN(9918)</f>
        <v/>
      </c>
      <c r="D9919">
        <f>IF(B9919=C9919, "YES", "WRONG")</f>
        <v/>
      </c>
    </row>
    <row r="9920">
      <c r="A9920" t="n">
        <v>9919</v>
      </c>
      <c r="B9920" t="inlineStr">
        <is>
          <t>Mx̄CMXIX</t>
        </is>
      </c>
      <c r="C9920">
        <f>ROMAN(9919)</f>
        <v/>
      </c>
      <c r="D9920">
        <f>IF(B9920=C9920, "YES", "WRONG")</f>
        <v/>
      </c>
    </row>
    <row r="9921">
      <c r="A9921" t="n">
        <v>9920</v>
      </c>
      <c r="B9921" t="inlineStr">
        <is>
          <t>Mx̄CMXX</t>
        </is>
      </c>
      <c r="C9921">
        <f>ROMAN(9920)</f>
        <v/>
      </c>
      <c r="D9921">
        <f>IF(B9921=C9921, "YES", "WRONG")</f>
        <v/>
      </c>
    </row>
    <row r="9922">
      <c r="A9922" t="n">
        <v>9921</v>
      </c>
      <c r="B9922" t="inlineStr">
        <is>
          <t>Mx̄CMXXI</t>
        </is>
      </c>
      <c r="C9922">
        <f>ROMAN(9921)</f>
        <v/>
      </c>
      <c r="D9922">
        <f>IF(B9922=C9922, "YES", "WRONG")</f>
        <v/>
      </c>
    </row>
    <row r="9923">
      <c r="A9923" t="n">
        <v>9922</v>
      </c>
      <c r="B9923" t="inlineStr">
        <is>
          <t>Mx̄CMXXII</t>
        </is>
      </c>
      <c r="C9923">
        <f>ROMAN(9922)</f>
        <v/>
      </c>
      <c r="D9923">
        <f>IF(B9923=C9923, "YES", "WRONG")</f>
        <v/>
      </c>
    </row>
    <row r="9924">
      <c r="A9924" t="n">
        <v>9923</v>
      </c>
      <c r="B9924" t="inlineStr">
        <is>
          <t>Mx̄CMXXIII</t>
        </is>
      </c>
      <c r="C9924">
        <f>ROMAN(9923)</f>
        <v/>
      </c>
      <c r="D9924">
        <f>IF(B9924=C9924, "YES", "WRONG")</f>
        <v/>
      </c>
    </row>
    <row r="9925">
      <c r="A9925" t="n">
        <v>9924</v>
      </c>
      <c r="B9925" t="inlineStr">
        <is>
          <t>Mx̄CMXXIV</t>
        </is>
      </c>
      <c r="C9925">
        <f>ROMAN(9924)</f>
        <v/>
      </c>
      <c r="D9925">
        <f>IF(B9925=C9925, "YES", "WRONG")</f>
        <v/>
      </c>
    </row>
    <row r="9926">
      <c r="A9926" t="n">
        <v>9925</v>
      </c>
      <c r="B9926" t="inlineStr">
        <is>
          <t>Mx̄CMXXV</t>
        </is>
      </c>
      <c r="C9926">
        <f>ROMAN(9925)</f>
        <v/>
      </c>
      <c r="D9926">
        <f>IF(B9926=C9926, "YES", "WRONG")</f>
        <v/>
      </c>
    </row>
    <row r="9927">
      <c r="A9927" t="n">
        <v>9926</v>
      </c>
      <c r="B9927" t="inlineStr">
        <is>
          <t>Mx̄CMXXVI</t>
        </is>
      </c>
      <c r="C9927">
        <f>ROMAN(9926)</f>
        <v/>
      </c>
      <c r="D9927">
        <f>IF(B9927=C9927, "YES", "WRONG")</f>
        <v/>
      </c>
    </row>
    <row r="9928">
      <c r="A9928" t="n">
        <v>9927</v>
      </c>
      <c r="B9928" t="inlineStr">
        <is>
          <t>Mx̄CMXXVII</t>
        </is>
      </c>
      <c r="C9928">
        <f>ROMAN(9927)</f>
        <v/>
      </c>
      <c r="D9928">
        <f>IF(B9928=C9928, "YES", "WRONG")</f>
        <v/>
      </c>
    </row>
    <row r="9929">
      <c r="A9929" t="n">
        <v>9928</v>
      </c>
      <c r="B9929" t="inlineStr">
        <is>
          <t>Mx̄CMXXVIII</t>
        </is>
      </c>
      <c r="C9929">
        <f>ROMAN(9928)</f>
        <v/>
      </c>
      <c r="D9929">
        <f>IF(B9929=C9929, "YES", "WRONG")</f>
        <v/>
      </c>
    </row>
    <row r="9930">
      <c r="A9930" t="n">
        <v>9929</v>
      </c>
      <c r="B9930" t="inlineStr">
        <is>
          <t>Mx̄CMXXIX</t>
        </is>
      </c>
      <c r="C9930">
        <f>ROMAN(9929)</f>
        <v/>
      </c>
      <c r="D9930">
        <f>IF(B9930=C9930, "YES", "WRONG")</f>
        <v/>
      </c>
    </row>
    <row r="9931">
      <c r="A9931" t="n">
        <v>9930</v>
      </c>
      <c r="B9931" t="inlineStr">
        <is>
          <t>Mx̄CMXXX</t>
        </is>
      </c>
      <c r="C9931">
        <f>ROMAN(9930)</f>
        <v/>
      </c>
      <c r="D9931">
        <f>IF(B9931=C9931, "YES", "WRONG")</f>
        <v/>
      </c>
    </row>
    <row r="9932">
      <c r="A9932" t="n">
        <v>9931</v>
      </c>
      <c r="B9932" t="inlineStr">
        <is>
          <t>Mx̄CMXXXI</t>
        </is>
      </c>
      <c r="C9932">
        <f>ROMAN(9931)</f>
        <v/>
      </c>
      <c r="D9932">
        <f>IF(B9932=C9932, "YES", "WRONG")</f>
        <v/>
      </c>
    </row>
    <row r="9933">
      <c r="A9933" t="n">
        <v>9932</v>
      </c>
      <c r="B9933" t="inlineStr">
        <is>
          <t>Mx̄CMXXXII</t>
        </is>
      </c>
      <c r="C9933">
        <f>ROMAN(9932)</f>
        <v/>
      </c>
      <c r="D9933">
        <f>IF(B9933=C9933, "YES", "WRONG")</f>
        <v/>
      </c>
    </row>
    <row r="9934">
      <c r="A9934" t="n">
        <v>9933</v>
      </c>
      <c r="B9934" t="inlineStr">
        <is>
          <t>Mx̄CMXXXIII</t>
        </is>
      </c>
      <c r="C9934">
        <f>ROMAN(9933)</f>
        <v/>
      </c>
      <c r="D9934">
        <f>IF(B9934=C9934, "YES", "WRONG")</f>
        <v/>
      </c>
    </row>
    <row r="9935">
      <c r="A9935" t="n">
        <v>9934</v>
      </c>
      <c r="B9935" t="inlineStr">
        <is>
          <t>Mx̄CMXXXIV</t>
        </is>
      </c>
      <c r="C9935">
        <f>ROMAN(9934)</f>
        <v/>
      </c>
      <c r="D9935">
        <f>IF(B9935=C9935, "YES", "WRONG")</f>
        <v/>
      </c>
    </row>
    <row r="9936">
      <c r="A9936" t="n">
        <v>9935</v>
      </c>
      <c r="B9936" t="inlineStr">
        <is>
          <t>Mx̄CMXXXV</t>
        </is>
      </c>
      <c r="C9936">
        <f>ROMAN(9935)</f>
        <v/>
      </c>
      <c r="D9936">
        <f>IF(B9936=C9936, "YES", "WRONG")</f>
        <v/>
      </c>
    </row>
    <row r="9937">
      <c r="A9937" t="n">
        <v>9936</v>
      </c>
      <c r="B9937" t="inlineStr">
        <is>
          <t>Mx̄CMXXXVI</t>
        </is>
      </c>
      <c r="C9937">
        <f>ROMAN(9936)</f>
        <v/>
      </c>
      <c r="D9937">
        <f>IF(B9937=C9937, "YES", "WRONG")</f>
        <v/>
      </c>
    </row>
    <row r="9938">
      <c r="A9938" t="n">
        <v>9937</v>
      </c>
      <c r="B9938" t="inlineStr">
        <is>
          <t>Mx̄CMXXXVII</t>
        </is>
      </c>
      <c r="C9938">
        <f>ROMAN(9937)</f>
        <v/>
      </c>
      <c r="D9938">
        <f>IF(B9938=C9938, "YES", "WRONG")</f>
        <v/>
      </c>
    </row>
    <row r="9939">
      <c r="A9939" t="n">
        <v>9938</v>
      </c>
      <c r="B9939" t="inlineStr">
        <is>
          <t>Mx̄CMXXXVIII</t>
        </is>
      </c>
      <c r="C9939">
        <f>ROMAN(9938)</f>
        <v/>
      </c>
      <c r="D9939">
        <f>IF(B9939=C9939, "YES", "WRONG")</f>
        <v/>
      </c>
    </row>
    <row r="9940">
      <c r="A9940" t="n">
        <v>9939</v>
      </c>
      <c r="B9940" t="inlineStr">
        <is>
          <t>Mx̄CMXXXIX</t>
        </is>
      </c>
      <c r="C9940">
        <f>ROMAN(9939)</f>
        <v/>
      </c>
      <c r="D9940">
        <f>IF(B9940=C9940, "YES", "WRONG")</f>
        <v/>
      </c>
    </row>
    <row r="9941">
      <c r="A9941" t="n">
        <v>9940</v>
      </c>
      <c r="B9941" t="inlineStr">
        <is>
          <t>Mx̄CMXL</t>
        </is>
      </c>
      <c r="C9941">
        <f>ROMAN(9940)</f>
        <v/>
      </c>
      <c r="D9941">
        <f>IF(B9941=C9941, "YES", "WRONG")</f>
        <v/>
      </c>
    </row>
    <row r="9942">
      <c r="A9942" t="n">
        <v>9941</v>
      </c>
      <c r="B9942" t="inlineStr">
        <is>
          <t>Mx̄CMXLI</t>
        </is>
      </c>
      <c r="C9942">
        <f>ROMAN(9941)</f>
        <v/>
      </c>
      <c r="D9942">
        <f>IF(B9942=C9942, "YES", "WRONG")</f>
        <v/>
      </c>
    </row>
    <row r="9943">
      <c r="A9943" t="n">
        <v>9942</v>
      </c>
      <c r="B9943" t="inlineStr">
        <is>
          <t>Mx̄CMXLII</t>
        </is>
      </c>
      <c r="C9943">
        <f>ROMAN(9942)</f>
        <v/>
      </c>
      <c r="D9943">
        <f>IF(B9943=C9943, "YES", "WRONG")</f>
        <v/>
      </c>
    </row>
    <row r="9944">
      <c r="A9944" t="n">
        <v>9943</v>
      </c>
      <c r="B9944" t="inlineStr">
        <is>
          <t>Mx̄CMXLIII</t>
        </is>
      </c>
      <c r="C9944">
        <f>ROMAN(9943)</f>
        <v/>
      </c>
      <c r="D9944">
        <f>IF(B9944=C9944, "YES", "WRONG")</f>
        <v/>
      </c>
    </row>
    <row r="9945">
      <c r="A9945" t="n">
        <v>9944</v>
      </c>
      <c r="B9945" t="inlineStr">
        <is>
          <t>Mx̄CMXLIV</t>
        </is>
      </c>
      <c r="C9945">
        <f>ROMAN(9944)</f>
        <v/>
      </c>
      <c r="D9945">
        <f>IF(B9945=C9945, "YES", "WRONG")</f>
        <v/>
      </c>
    </row>
    <row r="9946">
      <c r="A9946" t="n">
        <v>9945</v>
      </c>
      <c r="B9946" t="inlineStr">
        <is>
          <t>Mx̄CMXLV</t>
        </is>
      </c>
      <c r="C9946">
        <f>ROMAN(9945)</f>
        <v/>
      </c>
      <c r="D9946">
        <f>IF(B9946=C9946, "YES", "WRONG")</f>
        <v/>
      </c>
    </row>
    <row r="9947">
      <c r="A9947" t="n">
        <v>9946</v>
      </c>
      <c r="B9947" t="inlineStr">
        <is>
          <t>Mx̄CMXLVI</t>
        </is>
      </c>
      <c r="C9947">
        <f>ROMAN(9946)</f>
        <v/>
      </c>
      <c r="D9947">
        <f>IF(B9947=C9947, "YES", "WRONG")</f>
        <v/>
      </c>
    </row>
    <row r="9948">
      <c r="A9948" t="n">
        <v>9947</v>
      </c>
      <c r="B9948" t="inlineStr">
        <is>
          <t>Mx̄CMXLVII</t>
        </is>
      </c>
      <c r="C9948">
        <f>ROMAN(9947)</f>
        <v/>
      </c>
      <c r="D9948">
        <f>IF(B9948=C9948, "YES", "WRONG")</f>
        <v/>
      </c>
    </row>
    <row r="9949">
      <c r="A9949" t="n">
        <v>9948</v>
      </c>
      <c r="B9949" t="inlineStr">
        <is>
          <t>Mx̄CMXLVIII</t>
        </is>
      </c>
      <c r="C9949">
        <f>ROMAN(9948)</f>
        <v/>
      </c>
      <c r="D9949">
        <f>IF(B9949=C9949, "YES", "WRONG")</f>
        <v/>
      </c>
    </row>
    <row r="9950">
      <c r="A9950" t="n">
        <v>9949</v>
      </c>
      <c r="B9950" t="inlineStr">
        <is>
          <t>Mx̄CMXLIX</t>
        </is>
      </c>
      <c r="C9950">
        <f>ROMAN(9949)</f>
        <v/>
      </c>
      <c r="D9950">
        <f>IF(B9950=C9950, "YES", "WRONG")</f>
        <v/>
      </c>
    </row>
    <row r="9951">
      <c r="A9951" t="n">
        <v>9950</v>
      </c>
      <c r="B9951" t="inlineStr">
        <is>
          <t>Mx̄CML</t>
        </is>
      </c>
      <c r="C9951">
        <f>ROMAN(9950)</f>
        <v/>
      </c>
      <c r="D9951">
        <f>IF(B9951=C9951, "YES", "WRONG")</f>
        <v/>
      </c>
    </row>
    <row r="9952">
      <c r="A9952" t="n">
        <v>9951</v>
      </c>
      <c r="B9952" t="inlineStr">
        <is>
          <t>Mx̄CMLI</t>
        </is>
      </c>
      <c r="C9952">
        <f>ROMAN(9951)</f>
        <v/>
      </c>
      <c r="D9952">
        <f>IF(B9952=C9952, "YES", "WRONG")</f>
        <v/>
      </c>
    </row>
    <row r="9953">
      <c r="A9953" t="n">
        <v>9952</v>
      </c>
      <c r="B9953" t="inlineStr">
        <is>
          <t>Mx̄CMLII</t>
        </is>
      </c>
      <c r="C9953">
        <f>ROMAN(9952)</f>
        <v/>
      </c>
      <c r="D9953">
        <f>IF(B9953=C9953, "YES", "WRONG")</f>
        <v/>
      </c>
    </row>
    <row r="9954">
      <c r="A9954" t="n">
        <v>9953</v>
      </c>
      <c r="B9954" t="inlineStr">
        <is>
          <t>Mx̄CMLIII</t>
        </is>
      </c>
      <c r="C9954">
        <f>ROMAN(9953)</f>
        <v/>
      </c>
      <c r="D9954">
        <f>IF(B9954=C9954, "YES", "WRONG")</f>
        <v/>
      </c>
    </row>
    <row r="9955">
      <c r="A9955" t="n">
        <v>9954</v>
      </c>
      <c r="B9955" t="inlineStr">
        <is>
          <t>Mx̄CMLIV</t>
        </is>
      </c>
      <c r="C9955">
        <f>ROMAN(9954)</f>
        <v/>
      </c>
      <c r="D9955">
        <f>IF(B9955=C9955, "YES", "WRONG")</f>
        <v/>
      </c>
    </row>
    <row r="9956">
      <c r="A9956" t="n">
        <v>9955</v>
      </c>
      <c r="B9956" t="inlineStr">
        <is>
          <t>Mx̄CMLV</t>
        </is>
      </c>
      <c r="C9956">
        <f>ROMAN(9955)</f>
        <v/>
      </c>
      <c r="D9956">
        <f>IF(B9956=C9956, "YES", "WRONG")</f>
        <v/>
      </c>
    </row>
    <row r="9957">
      <c r="A9957" t="n">
        <v>9956</v>
      </c>
      <c r="B9957" t="inlineStr">
        <is>
          <t>Mx̄CMLVI</t>
        </is>
      </c>
      <c r="C9957">
        <f>ROMAN(9956)</f>
        <v/>
      </c>
      <c r="D9957">
        <f>IF(B9957=C9957, "YES", "WRONG")</f>
        <v/>
      </c>
    </row>
    <row r="9958">
      <c r="A9958" t="n">
        <v>9957</v>
      </c>
      <c r="B9958" t="inlineStr">
        <is>
          <t>Mx̄CMLVII</t>
        </is>
      </c>
      <c r="C9958">
        <f>ROMAN(9957)</f>
        <v/>
      </c>
      <c r="D9958">
        <f>IF(B9958=C9958, "YES", "WRONG")</f>
        <v/>
      </c>
    </row>
    <row r="9959">
      <c r="A9959" t="n">
        <v>9958</v>
      </c>
      <c r="B9959" t="inlineStr">
        <is>
          <t>Mx̄CMLVIII</t>
        </is>
      </c>
      <c r="C9959">
        <f>ROMAN(9958)</f>
        <v/>
      </c>
      <c r="D9959">
        <f>IF(B9959=C9959, "YES", "WRONG")</f>
        <v/>
      </c>
    </row>
    <row r="9960">
      <c r="A9960" t="n">
        <v>9959</v>
      </c>
      <c r="B9960" t="inlineStr">
        <is>
          <t>Mx̄CMLIX</t>
        </is>
      </c>
      <c r="C9960">
        <f>ROMAN(9959)</f>
        <v/>
      </c>
      <c r="D9960">
        <f>IF(B9960=C9960, "YES", "WRONG")</f>
        <v/>
      </c>
    </row>
    <row r="9961">
      <c r="A9961" t="n">
        <v>9960</v>
      </c>
      <c r="B9961" t="inlineStr">
        <is>
          <t>Mx̄CMLX</t>
        </is>
      </c>
      <c r="C9961">
        <f>ROMAN(9960)</f>
        <v/>
      </c>
      <c r="D9961">
        <f>IF(B9961=C9961, "YES", "WRONG")</f>
        <v/>
      </c>
    </row>
    <row r="9962">
      <c r="A9962" t="n">
        <v>9961</v>
      </c>
      <c r="B9962" t="inlineStr">
        <is>
          <t>Mx̄CMLXI</t>
        </is>
      </c>
      <c r="C9962">
        <f>ROMAN(9961)</f>
        <v/>
      </c>
      <c r="D9962">
        <f>IF(B9962=C9962, "YES", "WRONG")</f>
        <v/>
      </c>
    </row>
    <row r="9963">
      <c r="A9963" t="n">
        <v>9962</v>
      </c>
      <c r="B9963" t="inlineStr">
        <is>
          <t>Mx̄CMLXII</t>
        </is>
      </c>
      <c r="C9963">
        <f>ROMAN(9962)</f>
        <v/>
      </c>
      <c r="D9963">
        <f>IF(B9963=C9963, "YES", "WRONG")</f>
        <v/>
      </c>
    </row>
    <row r="9964">
      <c r="A9964" t="n">
        <v>9963</v>
      </c>
      <c r="B9964" t="inlineStr">
        <is>
          <t>Mx̄CMLXIII</t>
        </is>
      </c>
      <c r="C9964">
        <f>ROMAN(9963)</f>
        <v/>
      </c>
      <c r="D9964">
        <f>IF(B9964=C9964, "YES", "WRONG")</f>
        <v/>
      </c>
    </row>
    <row r="9965">
      <c r="A9965" t="n">
        <v>9964</v>
      </c>
      <c r="B9965" t="inlineStr">
        <is>
          <t>Mx̄CMLXIV</t>
        </is>
      </c>
      <c r="C9965">
        <f>ROMAN(9964)</f>
        <v/>
      </c>
      <c r="D9965">
        <f>IF(B9965=C9965, "YES", "WRONG")</f>
        <v/>
      </c>
    </row>
    <row r="9966">
      <c r="A9966" t="n">
        <v>9965</v>
      </c>
      <c r="B9966" t="inlineStr">
        <is>
          <t>Mx̄CMLXV</t>
        </is>
      </c>
      <c r="C9966">
        <f>ROMAN(9965)</f>
        <v/>
      </c>
      <c r="D9966">
        <f>IF(B9966=C9966, "YES", "WRONG")</f>
        <v/>
      </c>
    </row>
    <row r="9967">
      <c r="A9967" t="n">
        <v>9966</v>
      </c>
      <c r="B9967" t="inlineStr">
        <is>
          <t>Mx̄CMLXVI</t>
        </is>
      </c>
      <c r="C9967">
        <f>ROMAN(9966)</f>
        <v/>
      </c>
      <c r="D9967">
        <f>IF(B9967=C9967, "YES", "WRONG")</f>
        <v/>
      </c>
    </row>
    <row r="9968">
      <c r="A9968" t="n">
        <v>9967</v>
      </c>
      <c r="B9968" t="inlineStr">
        <is>
          <t>Mx̄CMLXVII</t>
        </is>
      </c>
      <c r="C9968">
        <f>ROMAN(9967)</f>
        <v/>
      </c>
      <c r="D9968">
        <f>IF(B9968=C9968, "YES", "WRONG")</f>
        <v/>
      </c>
    </row>
    <row r="9969">
      <c r="A9969" t="n">
        <v>9968</v>
      </c>
      <c r="B9969" t="inlineStr">
        <is>
          <t>Mx̄CMLXVIII</t>
        </is>
      </c>
      <c r="C9969">
        <f>ROMAN(9968)</f>
        <v/>
      </c>
      <c r="D9969">
        <f>IF(B9969=C9969, "YES", "WRONG")</f>
        <v/>
      </c>
    </row>
    <row r="9970">
      <c r="A9970" t="n">
        <v>9969</v>
      </c>
      <c r="B9970" t="inlineStr">
        <is>
          <t>Mx̄CMLXIX</t>
        </is>
      </c>
      <c r="C9970">
        <f>ROMAN(9969)</f>
        <v/>
      </c>
      <c r="D9970">
        <f>IF(B9970=C9970, "YES", "WRONG")</f>
        <v/>
      </c>
    </row>
    <row r="9971">
      <c r="A9971" t="n">
        <v>9970</v>
      </c>
      <c r="B9971" t="inlineStr">
        <is>
          <t>Mx̄CMLXX</t>
        </is>
      </c>
      <c r="C9971">
        <f>ROMAN(9970)</f>
        <v/>
      </c>
      <c r="D9971">
        <f>IF(B9971=C9971, "YES", "WRONG")</f>
        <v/>
      </c>
    </row>
    <row r="9972">
      <c r="A9972" t="n">
        <v>9971</v>
      </c>
      <c r="B9972" t="inlineStr">
        <is>
          <t>Mx̄CMLXXI</t>
        </is>
      </c>
      <c r="C9972">
        <f>ROMAN(9971)</f>
        <v/>
      </c>
      <c r="D9972">
        <f>IF(B9972=C9972, "YES", "WRONG")</f>
        <v/>
      </c>
    </row>
    <row r="9973">
      <c r="A9973" t="n">
        <v>9972</v>
      </c>
      <c r="B9973" t="inlineStr">
        <is>
          <t>Mx̄CMLXXII</t>
        </is>
      </c>
      <c r="C9973">
        <f>ROMAN(9972)</f>
        <v/>
      </c>
      <c r="D9973">
        <f>IF(B9973=C9973, "YES", "WRONG")</f>
        <v/>
      </c>
    </row>
    <row r="9974">
      <c r="A9974" t="n">
        <v>9973</v>
      </c>
      <c r="B9974" t="inlineStr">
        <is>
          <t>Mx̄CMLXXIII</t>
        </is>
      </c>
      <c r="C9974">
        <f>ROMAN(9973)</f>
        <v/>
      </c>
      <c r="D9974">
        <f>IF(B9974=C9974, "YES", "WRONG")</f>
        <v/>
      </c>
    </row>
    <row r="9975">
      <c r="A9975" t="n">
        <v>9974</v>
      </c>
      <c r="B9975" t="inlineStr">
        <is>
          <t>Mx̄CMLXXIV</t>
        </is>
      </c>
      <c r="C9975">
        <f>ROMAN(9974)</f>
        <v/>
      </c>
      <c r="D9975">
        <f>IF(B9975=C9975, "YES", "WRONG")</f>
        <v/>
      </c>
    </row>
    <row r="9976">
      <c r="A9976" t="n">
        <v>9975</v>
      </c>
      <c r="B9976" t="inlineStr">
        <is>
          <t>Mx̄CMLXXV</t>
        </is>
      </c>
      <c r="C9976">
        <f>ROMAN(9975)</f>
        <v/>
      </c>
      <c r="D9976">
        <f>IF(B9976=C9976, "YES", "WRONG")</f>
        <v/>
      </c>
    </row>
    <row r="9977">
      <c r="A9977" t="n">
        <v>9976</v>
      </c>
      <c r="B9977" t="inlineStr">
        <is>
          <t>Mx̄CMLXXVI</t>
        </is>
      </c>
      <c r="C9977">
        <f>ROMAN(9976)</f>
        <v/>
      </c>
      <c r="D9977">
        <f>IF(B9977=C9977, "YES", "WRONG")</f>
        <v/>
      </c>
    </row>
    <row r="9978">
      <c r="A9978" t="n">
        <v>9977</v>
      </c>
      <c r="B9978" t="inlineStr">
        <is>
          <t>Mx̄CMLXXVII</t>
        </is>
      </c>
      <c r="C9978">
        <f>ROMAN(9977)</f>
        <v/>
      </c>
      <c r="D9978">
        <f>IF(B9978=C9978, "YES", "WRONG")</f>
        <v/>
      </c>
    </row>
    <row r="9979">
      <c r="A9979" t="n">
        <v>9978</v>
      </c>
      <c r="B9979" t="inlineStr">
        <is>
          <t>Mx̄CMLXXVIII</t>
        </is>
      </c>
      <c r="C9979">
        <f>ROMAN(9978)</f>
        <v/>
      </c>
      <c r="D9979">
        <f>IF(B9979=C9979, "YES", "WRONG")</f>
        <v/>
      </c>
    </row>
    <row r="9980">
      <c r="A9980" t="n">
        <v>9979</v>
      </c>
      <c r="B9980" t="inlineStr">
        <is>
          <t>Mx̄CMLXXIX</t>
        </is>
      </c>
      <c r="C9980">
        <f>ROMAN(9979)</f>
        <v/>
      </c>
      <c r="D9980">
        <f>IF(B9980=C9980, "YES", "WRONG")</f>
        <v/>
      </c>
    </row>
    <row r="9981">
      <c r="A9981" t="n">
        <v>9980</v>
      </c>
      <c r="B9981" t="inlineStr">
        <is>
          <t>Mx̄CMLXXX</t>
        </is>
      </c>
      <c r="C9981">
        <f>ROMAN(9980)</f>
        <v/>
      </c>
      <c r="D9981">
        <f>IF(B9981=C9981, "YES", "WRONG")</f>
        <v/>
      </c>
    </row>
    <row r="9982">
      <c r="A9982" t="n">
        <v>9981</v>
      </c>
      <c r="B9982" t="inlineStr">
        <is>
          <t>Mx̄CMLXXXI</t>
        </is>
      </c>
      <c r="C9982">
        <f>ROMAN(9981)</f>
        <v/>
      </c>
      <c r="D9982">
        <f>IF(B9982=C9982, "YES", "WRONG")</f>
        <v/>
      </c>
    </row>
    <row r="9983">
      <c r="A9983" t="n">
        <v>9982</v>
      </c>
      <c r="B9983" t="inlineStr">
        <is>
          <t>Mx̄CMLXXXII</t>
        </is>
      </c>
      <c r="C9983">
        <f>ROMAN(9982)</f>
        <v/>
      </c>
      <c r="D9983">
        <f>IF(B9983=C9983, "YES", "WRONG")</f>
        <v/>
      </c>
    </row>
    <row r="9984">
      <c r="A9984" t="n">
        <v>9983</v>
      </c>
      <c r="B9984" t="inlineStr">
        <is>
          <t>Mx̄CMLXXXIII</t>
        </is>
      </c>
      <c r="C9984">
        <f>ROMAN(9983)</f>
        <v/>
      </c>
      <c r="D9984">
        <f>IF(B9984=C9984, "YES", "WRONG")</f>
        <v/>
      </c>
    </row>
    <row r="9985">
      <c r="A9985" t="n">
        <v>9984</v>
      </c>
      <c r="B9985" t="inlineStr">
        <is>
          <t>Mx̄CMLXXXIV</t>
        </is>
      </c>
      <c r="C9985">
        <f>ROMAN(9984)</f>
        <v/>
      </c>
      <c r="D9985">
        <f>IF(B9985=C9985, "YES", "WRONG")</f>
        <v/>
      </c>
    </row>
    <row r="9986">
      <c r="A9986" t="n">
        <v>9985</v>
      </c>
      <c r="B9986" t="inlineStr">
        <is>
          <t>Mx̄CMLXXXV</t>
        </is>
      </c>
      <c r="C9986">
        <f>ROMAN(9985)</f>
        <v/>
      </c>
      <c r="D9986">
        <f>IF(B9986=C9986, "YES", "WRONG")</f>
        <v/>
      </c>
    </row>
    <row r="9987">
      <c r="A9987" t="n">
        <v>9986</v>
      </c>
      <c r="B9987" t="inlineStr">
        <is>
          <t>Mx̄CMLXXXVI</t>
        </is>
      </c>
      <c r="C9987">
        <f>ROMAN(9986)</f>
        <v/>
      </c>
      <c r="D9987">
        <f>IF(B9987=C9987, "YES", "WRONG")</f>
        <v/>
      </c>
    </row>
    <row r="9988">
      <c r="A9988" t="n">
        <v>9987</v>
      </c>
      <c r="B9988" t="inlineStr">
        <is>
          <t>Mx̄CMLXXXVII</t>
        </is>
      </c>
      <c r="C9988">
        <f>ROMAN(9987)</f>
        <v/>
      </c>
      <c r="D9988">
        <f>IF(B9988=C9988, "YES", "WRONG")</f>
        <v/>
      </c>
    </row>
    <row r="9989">
      <c r="A9989" t="n">
        <v>9988</v>
      </c>
      <c r="B9989" t="inlineStr">
        <is>
          <t>Mx̄CMLXXXVIII</t>
        </is>
      </c>
      <c r="C9989">
        <f>ROMAN(9988)</f>
        <v/>
      </c>
      <c r="D9989">
        <f>IF(B9989=C9989, "YES", "WRONG")</f>
        <v/>
      </c>
    </row>
    <row r="9990">
      <c r="A9990" t="n">
        <v>9989</v>
      </c>
      <c r="B9990" t="inlineStr">
        <is>
          <t>Mx̄CMLXXXIX</t>
        </is>
      </c>
      <c r="C9990">
        <f>ROMAN(9989)</f>
        <v/>
      </c>
      <c r="D9990">
        <f>IF(B9990=C9990, "YES", "WRONG")</f>
        <v/>
      </c>
    </row>
    <row r="9991">
      <c r="A9991" t="n">
        <v>9990</v>
      </c>
      <c r="B9991" t="inlineStr">
        <is>
          <t>Mx̄CMXC</t>
        </is>
      </c>
      <c r="C9991">
        <f>ROMAN(9990)</f>
        <v/>
      </c>
      <c r="D9991">
        <f>IF(B9991=C9991, "YES", "WRONG")</f>
        <v/>
      </c>
    </row>
    <row r="9992">
      <c r="A9992" t="n">
        <v>9991</v>
      </c>
      <c r="B9992" t="inlineStr">
        <is>
          <t>Mx̄CMXCI</t>
        </is>
      </c>
      <c r="C9992">
        <f>ROMAN(9991)</f>
        <v/>
      </c>
      <c r="D9992">
        <f>IF(B9992=C9992, "YES", "WRONG")</f>
        <v/>
      </c>
    </row>
    <row r="9993">
      <c r="A9993" t="n">
        <v>9992</v>
      </c>
      <c r="B9993" t="inlineStr">
        <is>
          <t>Mx̄CMXCII</t>
        </is>
      </c>
      <c r="C9993">
        <f>ROMAN(9992)</f>
        <v/>
      </c>
      <c r="D9993">
        <f>IF(B9993=C9993, "YES", "WRONG")</f>
        <v/>
      </c>
    </row>
    <row r="9994">
      <c r="A9994" t="n">
        <v>9993</v>
      </c>
      <c r="B9994" t="inlineStr">
        <is>
          <t>Mx̄CMXCIII</t>
        </is>
      </c>
      <c r="C9994">
        <f>ROMAN(9993)</f>
        <v/>
      </c>
      <c r="D9994">
        <f>IF(B9994=C9994, "YES", "WRONG")</f>
        <v/>
      </c>
    </row>
    <row r="9995">
      <c r="A9995" t="n">
        <v>9994</v>
      </c>
      <c r="B9995" t="inlineStr">
        <is>
          <t>Mx̄CMXCIV</t>
        </is>
      </c>
      <c r="C9995">
        <f>ROMAN(9994)</f>
        <v/>
      </c>
      <c r="D9995">
        <f>IF(B9995=C9995, "YES", "WRONG")</f>
        <v/>
      </c>
    </row>
    <row r="9996">
      <c r="A9996" t="n">
        <v>9995</v>
      </c>
      <c r="B9996" t="inlineStr">
        <is>
          <t>Mx̄CMXCV</t>
        </is>
      </c>
      <c r="C9996">
        <f>ROMAN(9995)</f>
        <v/>
      </c>
      <c r="D9996">
        <f>IF(B9996=C9996, "YES", "WRONG")</f>
        <v/>
      </c>
    </row>
    <row r="9997">
      <c r="A9997" t="n">
        <v>9996</v>
      </c>
      <c r="B9997" t="inlineStr">
        <is>
          <t>Mx̄CMXCVI</t>
        </is>
      </c>
      <c r="C9997">
        <f>ROMAN(9996)</f>
        <v/>
      </c>
      <c r="D9997">
        <f>IF(B9997=C9997, "YES", "WRONG")</f>
        <v/>
      </c>
    </row>
    <row r="9998">
      <c r="A9998" t="n">
        <v>9997</v>
      </c>
      <c r="B9998" t="inlineStr">
        <is>
          <t>Mx̄CMXCVII</t>
        </is>
      </c>
      <c r="C9998">
        <f>ROMAN(9997)</f>
        <v/>
      </c>
      <c r="D9998">
        <f>IF(B9998=C9998, "YES", "WRONG")</f>
        <v/>
      </c>
    </row>
    <row r="9999">
      <c r="A9999" t="n">
        <v>9998</v>
      </c>
      <c r="B9999" t="inlineStr">
        <is>
          <t>Mx̄CMXCVIII</t>
        </is>
      </c>
      <c r="C9999">
        <f>ROMAN(9998)</f>
        <v/>
      </c>
      <c r="D9999">
        <f>IF(B9999=C9999, "YES", "WRONG")</f>
        <v/>
      </c>
    </row>
    <row r="10000">
      <c r="A10000" t="n">
        <v>9999</v>
      </c>
      <c r="B10000" t="inlineStr">
        <is>
          <t>Mx̄CMXCIX</t>
        </is>
      </c>
      <c r="C10000">
        <f>ROMAN(9999)</f>
        <v/>
      </c>
      <c r="D10000">
        <f>IF(B10000=C10000, "YES", "WRONG")</f>
        <v/>
      </c>
    </row>
    <row r="10001">
      <c r="A10001" t="n">
        <v>10000</v>
      </c>
      <c r="B10001" t="inlineStr">
        <is>
          <t>x̄</t>
        </is>
      </c>
      <c r="C10001">
        <f>ROMAN(10000)</f>
        <v/>
      </c>
      <c r="D10001">
        <f>IF(B10001=C10001, "YES", "WRONG")</f>
        <v/>
      </c>
    </row>
    <row r="10002">
      <c r="A10002" t="n">
        <v>10001</v>
      </c>
      <c r="B10002" t="inlineStr">
        <is>
          <t>x̄I</t>
        </is>
      </c>
      <c r="C10002">
        <f>ROMAN(10001)</f>
        <v/>
      </c>
      <c r="D10002">
        <f>IF(B10002=C10002, "YES", "WRONG")</f>
        <v/>
      </c>
    </row>
    <row r="10003">
      <c r="A10003" t="n">
        <v>10002</v>
      </c>
      <c r="B10003" t="inlineStr">
        <is>
          <t>x̄II</t>
        </is>
      </c>
      <c r="C10003">
        <f>ROMAN(10002)</f>
        <v/>
      </c>
      <c r="D10003">
        <f>IF(B10003=C10003, "YES", "WRONG")</f>
        <v/>
      </c>
    </row>
    <row r="10004">
      <c r="A10004" t="n">
        <v>10003</v>
      </c>
      <c r="B10004" t="inlineStr">
        <is>
          <t>x̄III</t>
        </is>
      </c>
      <c r="C10004">
        <f>ROMAN(10003)</f>
        <v/>
      </c>
      <c r="D10004">
        <f>IF(B10004=C10004, "YES", "WRONG")</f>
        <v/>
      </c>
    </row>
    <row r="10005">
      <c r="A10005" t="n">
        <v>10004</v>
      </c>
      <c r="B10005" t="inlineStr">
        <is>
          <t>x̄IV</t>
        </is>
      </c>
      <c r="C10005">
        <f>ROMAN(10004)</f>
        <v/>
      </c>
      <c r="D10005">
        <f>IF(B10005=C10005, "YES", "WRONG")</f>
        <v/>
      </c>
    </row>
    <row r="10006">
      <c r="A10006" t="n">
        <v>10005</v>
      </c>
      <c r="B10006" t="inlineStr">
        <is>
          <t>x̄V</t>
        </is>
      </c>
      <c r="C10006">
        <f>ROMAN(10005)</f>
        <v/>
      </c>
      <c r="D10006">
        <f>IF(B10006=C10006, "YES", "WRONG")</f>
        <v/>
      </c>
    </row>
    <row r="10007">
      <c r="A10007" t="n">
        <v>10006</v>
      </c>
      <c r="B10007" t="inlineStr">
        <is>
          <t>x̄VI</t>
        </is>
      </c>
      <c r="C10007">
        <f>ROMAN(10006)</f>
        <v/>
      </c>
      <c r="D10007">
        <f>IF(B10007=C10007, "YES", "WRONG")</f>
        <v/>
      </c>
    </row>
    <row r="10008">
      <c r="A10008" t="n">
        <v>10007</v>
      </c>
      <c r="B10008" t="inlineStr">
        <is>
          <t>x̄VII</t>
        </is>
      </c>
      <c r="C10008">
        <f>ROMAN(10007)</f>
        <v/>
      </c>
      <c r="D10008">
        <f>IF(B10008=C10008, "YES", "WRONG")</f>
        <v/>
      </c>
    </row>
    <row r="10009">
      <c r="A10009" t="n">
        <v>10008</v>
      </c>
      <c r="B10009" t="inlineStr">
        <is>
          <t>x̄VIII</t>
        </is>
      </c>
      <c r="C10009">
        <f>ROMAN(10008)</f>
        <v/>
      </c>
      <c r="D10009">
        <f>IF(B10009=C10009, "YES", "WRONG")</f>
        <v/>
      </c>
    </row>
    <row r="10010">
      <c r="A10010" t="n">
        <v>10009</v>
      </c>
      <c r="B10010" t="inlineStr">
        <is>
          <t>x̄IX</t>
        </is>
      </c>
      <c r="C10010">
        <f>ROMAN(10009)</f>
        <v/>
      </c>
      <c r="D10010">
        <f>IF(B10010=C10010, "YES", "WRONG")</f>
        <v/>
      </c>
    </row>
    <row r="10011">
      <c r="A10011" t="n">
        <v>10010</v>
      </c>
      <c r="B10011" t="inlineStr">
        <is>
          <t>x̄X</t>
        </is>
      </c>
      <c r="C10011">
        <f>ROMAN(10010)</f>
        <v/>
      </c>
      <c r="D10011">
        <f>IF(B10011=C10011, "YES", "WRONG")</f>
        <v/>
      </c>
    </row>
    <row r="10012">
      <c r="A10012" t="n">
        <v>10011</v>
      </c>
      <c r="B10012" t="inlineStr">
        <is>
          <t>x̄XI</t>
        </is>
      </c>
      <c r="C10012">
        <f>ROMAN(10011)</f>
        <v/>
      </c>
      <c r="D10012">
        <f>IF(B10012=C10012, "YES", "WRONG")</f>
        <v/>
      </c>
    </row>
    <row r="10013">
      <c r="A10013" t="n">
        <v>10012</v>
      </c>
      <c r="B10013" t="inlineStr">
        <is>
          <t>x̄XII</t>
        </is>
      </c>
      <c r="C10013">
        <f>ROMAN(10012)</f>
        <v/>
      </c>
      <c r="D10013">
        <f>IF(B10013=C10013, "YES", "WRONG")</f>
        <v/>
      </c>
    </row>
    <row r="10014">
      <c r="A10014" t="n">
        <v>10013</v>
      </c>
      <c r="B10014" t="inlineStr">
        <is>
          <t>x̄XIII</t>
        </is>
      </c>
      <c r="C10014">
        <f>ROMAN(10013)</f>
        <v/>
      </c>
      <c r="D10014">
        <f>IF(B10014=C10014, "YES", "WRONG")</f>
        <v/>
      </c>
    </row>
    <row r="10015">
      <c r="A10015" t="n">
        <v>10014</v>
      </c>
      <c r="B10015" t="inlineStr">
        <is>
          <t>x̄XIV</t>
        </is>
      </c>
      <c r="C10015">
        <f>ROMAN(10014)</f>
        <v/>
      </c>
      <c r="D10015">
        <f>IF(B10015=C10015, "YES", "WRONG")</f>
        <v/>
      </c>
    </row>
    <row r="10016">
      <c r="A10016" t="n">
        <v>10015</v>
      </c>
      <c r="B10016" t="inlineStr">
        <is>
          <t>x̄XV</t>
        </is>
      </c>
      <c r="C10016">
        <f>ROMAN(10015)</f>
        <v/>
      </c>
      <c r="D10016">
        <f>IF(B10016=C10016, "YES", "WRONG")</f>
        <v/>
      </c>
    </row>
    <row r="10017">
      <c r="A10017" t="n">
        <v>10016</v>
      </c>
      <c r="B10017" t="inlineStr">
        <is>
          <t>x̄XVI</t>
        </is>
      </c>
      <c r="C10017">
        <f>ROMAN(10016)</f>
        <v/>
      </c>
      <c r="D10017">
        <f>IF(B10017=C10017, "YES", "WRONG")</f>
        <v/>
      </c>
    </row>
    <row r="10018">
      <c r="A10018" t="n">
        <v>10017</v>
      </c>
      <c r="B10018" t="inlineStr">
        <is>
          <t>x̄XVII</t>
        </is>
      </c>
      <c r="C10018">
        <f>ROMAN(10017)</f>
        <v/>
      </c>
      <c r="D10018">
        <f>IF(B10018=C10018, "YES", "WRONG")</f>
        <v/>
      </c>
    </row>
    <row r="10019">
      <c r="A10019" t="n">
        <v>10018</v>
      </c>
      <c r="B10019" t="inlineStr">
        <is>
          <t>x̄XVIII</t>
        </is>
      </c>
      <c r="C10019">
        <f>ROMAN(10018)</f>
        <v/>
      </c>
      <c r="D10019">
        <f>IF(B10019=C10019, "YES", "WRONG")</f>
        <v/>
      </c>
    </row>
    <row r="10020">
      <c r="A10020" t="n">
        <v>10019</v>
      </c>
      <c r="B10020" t="inlineStr">
        <is>
          <t>x̄XIX</t>
        </is>
      </c>
      <c r="C10020">
        <f>ROMAN(10019)</f>
        <v/>
      </c>
      <c r="D10020">
        <f>IF(B10020=C10020, "YES", "WRONG")</f>
        <v/>
      </c>
    </row>
    <row r="10021">
      <c r="A10021" t="n">
        <v>10020</v>
      </c>
      <c r="B10021" t="inlineStr">
        <is>
          <t>x̄XX</t>
        </is>
      </c>
      <c r="C10021">
        <f>ROMAN(10020)</f>
        <v/>
      </c>
      <c r="D10021">
        <f>IF(B10021=C10021, "YES", "WRONG")</f>
        <v/>
      </c>
    </row>
    <row r="10022">
      <c r="A10022" t="n">
        <v>10021</v>
      </c>
      <c r="B10022" t="inlineStr">
        <is>
          <t>x̄XXI</t>
        </is>
      </c>
      <c r="C10022">
        <f>ROMAN(10021)</f>
        <v/>
      </c>
      <c r="D10022">
        <f>IF(B10022=C10022, "YES", "WRONG")</f>
        <v/>
      </c>
    </row>
    <row r="10023">
      <c r="A10023" t="n">
        <v>10022</v>
      </c>
      <c r="B10023" t="inlineStr">
        <is>
          <t>x̄XXII</t>
        </is>
      </c>
      <c r="C10023">
        <f>ROMAN(10022)</f>
        <v/>
      </c>
      <c r="D10023">
        <f>IF(B10023=C10023, "YES", "WRONG")</f>
        <v/>
      </c>
    </row>
    <row r="10024">
      <c r="A10024" t="n">
        <v>10023</v>
      </c>
      <c r="B10024" t="inlineStr">
        <is>
          <t>x̄XXIII</t>
        </is>
      </c>
      <c r="C10024">
        <f>ROMAN(10023)</f>
        <v/>
      </c>
      <c r="D10024">
        <f>IF(B10024=C10024, "YES", "WRONG")</f>
        <v/>
      </c>
    </row>
    <row r="10025">
      <c r="A10025" t="n">
        <v>10024</v>
      </c>
      <c r="B10025" t="inlineStr">
        <is>
          <t>x̄XXIV</t>
        </is>
      </c>
      <c r="C10025">
        <f>ROMAN(10024)</f>
        <v/>
      </c>
      <c r="D10025">
        <f>IF(B10025=C10025, "YES", "WRONG")</f>
        <v/>
      </c>
    </row>
    <row r="10026">
      <c r="A10026" t="n">
        <v>10025</v>
      </c>
      <c r="B10026" t="inlineStr">
        <is>
          <t>x̄XXV</t>
        </is>
      </c>
      <c r="C10026">
        <f>ROMAN(10025)</f>
        <v/>
      </c>
      <c r="D10026">
        <f>IF(B10026=C10026, "YES", "WRONG")</f>
        <v/>
      </c>
    </row>
    <row r="10027">
      <c r="A10027" t="n">
        <v>10026</v>
      </c>
      <c r="B10027" t="inlineStr">
        <is>
          <t>x̄XXVI</t>
        </is>
      </c>
      <c r="C10027">
        <f>ROMAN(10026)</f>
        <v/>
      </c>
      <c r="D10027">
        <f>IF(B10027=C10027, "YES", "WRONG")</f>
        <v/>
      </c>
    </row>
    <row r="10028">
      <c r="A10028" t="n">
        <v>10027</v>
      </c>
      <c r="B10028" t="inlineStr">
        <is>
          <t>x̄XXVII</t>
        </is>
      </c>
      <c r="C10028">
        <f>ROMAN(10027)</f>
        <v/>
      </c>
      <c r="D10028">
        <f>IF(B10028=C10028, "YES", "WRONG")</f>
        <v/>
      </c>
    </row>
    <row r="10029">
      <c r="A10029" t="n">
        <v>10028</v>
      </c>
      <c r="B10029" t="inlineStr">
        <is>
          <t>x̄XXVIII</t>
        </is>
      </c>
      <c r="C10029">
        <f>ROMAN(10028)</f>
        <v/>
      </c>
      <c r="D10029">
        <f>IF(B10029=C10029, "YES", "WRONG")</f>
        <v/>
      </c>
    </row>
    <row r="10030">
      <c r="A10030" t="n">
        <v>10029</v>
      </c>
      <c r="B10030" t="inlineStr">
        <is>
          <t>x̄XXIX</t>
        </is>
      </c>
      <c r="C10030">
        <f>ROMAN(10029)</f>
        <v/>
      </c>
      <c r="D10030">
        <f>IF(B10030=C10030, "YES", "WRONG")</f>
        <v/>
      </c>
    </row>
    <row r="10031">
      <c r="A10031" t="n">
        <v>10030</v>
      </c>
      <c r="B10031" t="inlineStr">
        <is>
          <t>x̄XXX</t>
        </is>
      </c>
      <c r="C10031">
        <f>ROMAN(10030)</f>
        <v/>
      </c>
      <c r="D10031">
        <f>IF(B10031=C10031, "YES", "WRONG")</f>
        <v/>
      </c>
    </row>
    <row r="10032">
      <c r="A10032" t="n">
        <v>10031</v>
      </c>
      <c r="B10032" t="inlineStr">
        <is>
          <t>x̄XXXI</t>
        </is>
      </c>
      <c r="C10032">
        <f>ROMAN(10031)</f>
        <v/>
      </c>
      <c r="D10032">
        <f>IF(B10032=C10032, "YES", "WRONG")</f>
        <v/>
      </c>
    </row>
    <row r="10033">
      <c r="A10033" t="n">
        <v>10032</v>
      </c>
      <c r="B10033" t="inlineStr">
        <is>
          <t>x̄XXXII</t>
        </is>
      </c>
      <c r="C10033">
        <f>ROMAN(10032)</f>
        <v/>
      </c>
      <c r="D10033">
        <f>IF(B10033=C10033, "YES", "WRONG")</f>
        <v/>
      </c>
    </row>
    <row r="10034">
      <c r="A10034" t="n">
        <v>10033</v>
      </c>
      <c r="B10034" t="inlineStr">
        <is>
          <t>x̄XXXIII</t>
        </is>
      </c>
      <c r="C10034">
        <f>ROMAN(10033)</f>
        <v/>
      </c>
      <c r="D10034">
        <f>IF(B10034=C10034, "YES", "WRONG")</f>
        <v/>
      </c>
    </row>
    <row r="10035">
      <c r="A10035" t="n">
        <v>10034</v>
      </c>
      <c r="B10035" t="inlineStr">
        <is>
          <t>x̄XXXIV</t>
        </is>
      </c>
      <c r="C10035">
        <f>ROMAN(10034)</f>
        <v/>
      </c>
      <c r="D10035">
        <f>IF(B10035=C10035, "YES", "WRONG")</f>
        <v/>
      </c>
    </row>
    <row r="10036">
      <c r="A10036" t="n">
        <v>10035</v>
      </c>
      <c r="B10036" t="inlineStr">
        <is>
          <t>x̄XXXV</t>
        </is>
      </c>
      <c r="C10036">
        <f>ROMAN(10035)</f>
        <v/>
      </c>
      <c r="D10036">
        <f>IF(B10036=C10036, "YES", "WRONG")</f>
        <v/>
      </c>
    </row>
    <row r="10037">
      <c r="A10037" t="n">
        <v>10036</v>
      </c>
      <c r="B10037" t="inlineStr">
        <is>
          <t>x̄XXXVI</t>
        </is>
      </c>
      <c r="C10037">
        <f>ROMAN(10036)</f>
        <v/>
      </c>
      <c r="D10037">
        <f>IF(B10037=C10037, "YES", "WRONG")</f>
        <v/>
      </c>
    </row>
    <row r="10038">
      <c r="A10038" t="n">
        <v>10037</v>
      </c>
      <c r="B10038" t="inlineStr">
        <is>
          <t>x̄XXXVII</t>
        </is>
      </c>
      <c r="C10038">
        <f>ROMAN(10037)</f>
        <v/>
      </c>
      <c r="D10038">
        <f>IF(B10038=C10038, "YES", "WRONG")</f>
        <v/>
      </c>
    </row>
    <row r="10039">
      <c r="A10039" t="n">
        <v>10038</v>
      </c>
      <c r="B10039" t="inlineStr">
        <is>
          <t>x̄XXXVIII</t>
        </is>
      </c>
      <c r="C10039">
        <f>ROMAN(10038)</f>
        <v/>
      </c>
      <c r="D10039">
        <f>IF(B10039=C10039, "YES", "WRONG")</f>
        <v/>
      </c>
    </row>
    <row r="10040">
      <c r="A10040" t="n">
        <v>10039</v>
      </c>
      <c r="B10040" t="inlineStr">
        <is>
          <t>x̄XXXIX</t>
        </is>
      </c>
      <c r="C10040">
        <f>ROMAN(10039)</f>
        <v/>
      </c>
      <c r="D10040">
        <f>IF(B10040=C10040, "YES", "WRONG")</f>
        <v/>
      </c>
    </row>
    <row r="10041">
      <c r="A10041" t="n">
        <v>10040</v>
      </c>
      <c r="B10041" t="inlineStr">
        <is>
          <t>x̄XL</t>
        </is>
      </c>
      <c r="C10041">
        <f>ROMAN(10040)</f>
        <v/>
      </c>
      <c r="D10041">
        <f>IF(B10041=C10041, "YES", "WRONG")</f>
        <v/>
      </c>
    </row>
    <row r="10042">
      <c r="A10042" t="n">
        <v>10041</v>
      </c>
      <c r="B10042" t="inlineStr">
        <is>
          <t>x̄XLI</t>
        </is>
      </c>
      <c r="C10042">
        <f>ROMAN(10041)</f>
        <v/>
      </c>
      <c r="D10042">
        <f>IF(B10042=C10042, "YES", "WRONG")</f>
        <v/>
      </c>
    </row>
    <row r="10043">
      <c r="A10043" t="n">
        <v>10042</v>
      </c>
      <c r="B10043" t="inlineStr">
        <is>
          <t>x̄XLII</t>
        </is>
      </c>
      <c r="C10043">
        <f>ROMAN(10042)</f>
        <v/>
      </c>
      <c r="D10043">
        <f>IF(B10043=C10043, "YES", "WRONG")</f>
        <v/>
      </c>
    </row>
    <row r="10044">
      <c r="A10044" t="n">
        <v>10043</v>
      </c>
      <c r="B10044" t="inlineStr">
        <is>
          <t>x̄XLIII</t>
        </is>
      </c>
      <c r="C10044">
        <f>ROMAN(10043)</f>
        <v/>
      </c>
      <c r="D10044">
        <f>IF(B10044=C10044, "YES", "WRONG")</f>
        <v/>
      </c>
    </row>
    <row r="10045">
      <c r="A10045" t="n">
        <v>10044</v>
      </c>
      <c r="B10045" t="inlineStr">
        <is>
          <t>x̄XLIV</t>
        </is>
      </c>
      <c r="C10045">
        <f>ROMAN(10044)</f>
        <v/>
      </c>
      <c r="D10045">
        <f>IF(B10045=C10045, "YES", "WRONG")</f>
        <v/>
      </c>
    </row>
    <row r="10046">
      <c r="A10046" t="n">
        <v>10045</v>
      </c>
      <c r="B10046" t="inlineStr">
        <is>
          <t>x̄XLV</t>
        </is>
      </c>
      <c r="C10046">
        <f>ROMAN(10045)</f>
        <v/>
      </c>
      <c r="D10046">
        <f>IF(B10046=C10046, "YES", "WRONG")</f>
        <v/>
      </c>
    </row>
    <row r="10047">
      <c r="A10047" t="n">
        <v>10046</v>
      </c>
      <c r="B10047" t="inlineStr">
        <is>
          <t>x̄XLVI</t>
        </is>
      </c>
      <c r="C10047">
        <f>ROMAN(10046)</f>
        <v/>
      </c>
      <c r="D10047">
        <f>IF(B10047=C10047, "YES", "WRONG")</f>
        <v/>
      </c>
    </row>
    <row r="10048">
      <c r="A10048" t="n">
        <v>10047</v>
      </c>
      <c r="B10048" t="inlineStr">
        <is>
          <t>x̄XLVII</t>
        </is>
      </c>
      <c r="C10048">
        <f>ROMAN(10047)</f>
        <v/>
      </c>
      <c r="D10048">
        <f>IF(B10048=C10048, "YES", "WRONG")</f>
        <v/>
      </c>
    </row>
    <row r="10049">
      <c r="A10049" t="n">
        <v>10048</v>
      </c>
      <c r="B10049" t="inlineStr">
        <is>
          <t>x̄XLVIII</t>
        </is>
      </c>
      <c r="C10049">
        <f>ROMAN(10048)</f>
        <v/>
      </c>
      <c r="D10049">
        <f>IF(B10049=C10049, "YES", "WRONG")</f>
        <v/>
      </c>
    </row>
    <row r="10050">
      <c r="A10050" t="n">
        <v>10049</v>
      </c>
      <c r="B10050" t="inlineStr">
        <is>
          <t>x̄XLIX</t>
        </is>
      </c>
      <c r="C10050">
        <f>ROMAN(10049)</f>
        <v/>
      </c>
      <c r="D10050">
        <f>IF(B10050=C10050, "YES", "WRONG")</f>
        <v/>
      </c>
    </row>
    <row r="10051">
      <c r="A10051" t="n">
        <v>10050</v>
      </c>
      <c r="B10051" t="inlineStr">
        <is>
          <t>x̄L</t>
        </is>
      </c>
      <c r="C10051">
        <f>ROMAN(10050)</f>
        <v/>
      </c>
      <c r="D10051">
        <f>IF(B10051=C10051, "YES", "WRONG")</f>
        <v/>
      </c>
    </row>
    <row r="10052">
      <c r="A10052" t="n">
        <v>10051</v>
      </c>
      <c r="B10052" t="inlineStr">
        <is>
          <t>x̄LI</t>
        </is>
      </c>
      <c r="C10052">
        <f>ROMAN(10051)</f>
        <v/>
      </c>
      <c r="D10052">
        <f>IF(B10052=C10052, "YES", "WRONG")</f>
        <v/>
      </c>
    </row>
    <row r="10053">
      <c r="A10053" t="n">
        <v>10052</v>
      </c>
      <c r="B10053" t="inlineStr">
        <is>
          <t>x̄LII</t>
        </is>
      </c>
      <c r="C10053">
        <f>ROMAN(10052)</f>
        <v/>
      </c>
      <c r="D10053">
        <f>IF(B10053=C10053, "YES", "WRONG")</f>
        <v/>
      </c>
    </row>
    <row r="10054">
      <c r="A10054" t="n">
        <v>10053</v>
      </c>
      <c r="B10054" t="inlineStr">
        <is>
          <t>x̄LIII</t>
        </is>
      </c>
      <c r="C10054">
        <f>ROMAN(10053)</f>
        <v/>
      </c>
      <c r="D10054">
        <f>IF(B10054=C10054, "YES", "WRONG")</f>
        <v/>
      </c>
    </row>
    <row r="10055">
      <c r="A10055" t="n">
        <v>10054</v>
      </c>
      <c r="B10055" t="inlineStr">
        <is>
          <t>x̄LIV</t>
        </is>
      </c>
      <c r="C10055">
        <f>ROMAN(10054)</f>
        <v/>
      </c>
      <c r="D10055">
        <f>IF(B10055=C10055, "YES", "WRONG")</f>
        <v/>
      </c>
    </row>
    <row r="10056">
      <c r="A10056" t="n">
        <v>10055</v>
      </c>
      <c r="B10056" t="inlineStr">
        <is>
          <t>x̄LV</t>
        </is>
      </c>
      <c r="C10056">
        <f>ROMAN(10055)</f>
        <v/>
      </c>
      <c r="D10056">
        <f>IF(B10056=C10056, "YES", "WRONG")</f>
        <v/>
      </c>
    </row>
    <row r="10057">
      <c r="A10057" t="n">
        <v>10056</v>
      </c>
      <c r="B10057" t="inlineStr">
        <is>
          <t>x̄LVI</t>
        </is>
      </c>
      <c r="C10057">
        <f>ROMAN(10056)</f>
        <v/>
      </c>
      <c r="D10057">
        <f>IF(B10057=C10057, "YES", "WRONG")</f>
        <v/>
      </c>
    </row>
    <row r="10058">
      <c r="A10058" t="n">
        <v>10057</v>
      </c>
      <c r="B10058" t="inlineStr">
        <is>
          <t>x̄LVII</t>
        </is>
      </c>
      <c r="C10058">
        <f>ROMAN(10057)</f>
        <v/>
      </c>
      <c r="D10058">
        <f>IF(B10058=C10058, "YES", "WRONG")</f>
        <v/>
      </c>
    </row>
    <row r="10059">
      <c r="A10059" t="n">
        <v>10058</v>
      </c>
      <c r="B10059" t="inlineStr">
        <is>
          <t>x̄LVIII</t>
        </is>
      </c>
      <c r="C10059">
        <f>ROMAN(10058)</f>
        <v/>
      </c>
      <c r="D10059">
        <f>IF(B10059=C10059, "YES", "WRONG")</f>
        <v/>
      </c>
    </row>
    <row r="10060">
      <c r="A10060" t="n">
        <v>10059</v>
      </c>
      <c r="B10060" t="inlineStr">
        <is>
          <t>x̄LIX</t>
        </is>
      </c>
      <c r="C10060">
        <f>ROMAN(10059)</f>
        <v/>
      </c>
      <c r="D10060">
        <f>IF(B10060=C10060, "YES", "WRONG")</f>
        <v/>
      </c>
    </row>
    <row r="10061">
      <c r="A10061" t="n">
        <v>10060</v>
      </c>
      <c r="B10061" t="inlineStr">
        <is>
          <t>x̄LX</t>
        </is>
      </c>
      <c r="C10061">
        <f>ROMAN(10060)</f>
        <v/>
      </c>
      <c r="D10061">
        <f>IF(B10061=C10061, "YES", "WRONG")</f>
        <v/>
      </c>
    </row>
    <row r="10062">
      <c r="A10062" t="n">
        <v>10061</v>
      </c>
      <c r="B10062" t="inlineStr">
        <is>
          <t>x̄LXI</t>
        </is>
      </c>
      <c r="C10062">
        <f>ROMAN(10061)</f>
        <v/>
      </c>
      <c r="D10062">
        <f>IF(B10062=C10062, "YES", "WRONG")</f>
        <v/>
      </c>
    </row>
    <row r="10063">
      <c r="A10063" t="n">
        <v>10062</v>
      </c>
      <c r="B10063" t="inlineStr">
        <is>
          <t>x̄LXII</t>
        </is>
      </c>
      <c r="C10063">
        <f>ROMAN(10062)</f>
        <v/>
      </c>
      <c r="D10063">
        <f>IF(B10063=C10063, "YES", "WRONG")</f>
        <v/>
      </c>
    </row>
    <row r="10064">
      <c r="A10064" t="n">
        <v>10063</v>
      </c>
      <c r="B10064" t="inlineStr">
        <is>
          <t>x̄LXIII</t>
        </is>
      </c>
      <c r="C10064">
        <f>ROMAN(10063)</f>
        <v/>
      </c>
      <c r="D10064">
        <f>IF(B10064=C10064, "YES", "WRONG")</f>
        <v/>
      </c>
    </row>
    <row r="10065">
      <c r="A10065" t="n">
        <v>10064</v>
      </c>
      <c r="B10065" t="inlineStr">
        <is>
          <t>x̄LXIV</t>
        </is>
      </c>
      <c r="C10065">
        <f>ROMAN(10064)</f>
        <v/>
      </c>
      <c r="D10065">
        <f>IF(B10065=C10065, "YES", "WRONG")</f>
        <v/>
      </c>
    </row>
    <row r="10066">
      <c r="A10066" t="n">
        <v>10065</v>
      </c>
      <c r="B10066" t="inlineStr">
        <is>
          <t>x̄LXV</t>
        </is>
      </c>
      <c r="C10066">
        <f>ROMAN(10065)</f>
        <v/>
      </c>
      <c r="D10066">
        <f>IF(B10066=C10066, "YES", "WRONG")</f>
        <v/>
      </c>
    </row>
    <row r="10067">
      <c r="A10067" t="n">
        <v>10066</v>
      </c>
      <c r="B10067" t="inlineStr">
        <is>
          <t>x̄LXVI</t>
        </is>
      </c>
      <c r="C10067">
        <f>ROMAN(10066)</f>
        <v/>
      </c>
      <c r="D10067">
        <f>IF(B10067=C10067, "YES", "WRONG")</f>
        <v/>
      </c>
    </row>
    <row r="10068">
      <c r="A10068" t="n">
        <v>10067</v>
      </c>
      <c r="B10068" t="inlineStr">
        <is>
          <t>x̄LXVII</t>
        </is>
      </c>
      <c r="C10068">
        <f>ROMAN(10067)</f>
        <v/>
      </c>
      <c r="D10068">
        <f>IF(B10068=C10068, "YES", "WRONG")</f>
        <v/>
      </c>
    </row>
    <row r="10069">
      <c r="A10069" t="n">
        <v>10068</v>
      </c>
      <c r="B10069" t="inlineStr">
        <is>
          <t>x̄LXVIII</t>
        </is>
      </c>
      <c r="C10069">
        <f>ROMAN(10068)</f>
        <v/>
      </c>
      <c r="D10069">
        <f>IF(B10069=C10069, "YES", "WRONG")</f>
        <v/>
      </c>
    </row>
    <row r="10070">
      <c r="A10070" t="n">
        <v>10069</v>
      </c>
      <c r="B10070" t="inlineStr">
        <is>
          <t>x̄LXIX</t>
        </is>
      </c>
      <c r="C10070">
        <f>ROMAN(10069)</f>
        <v/>
      </c>
      <c r="D10070">
        <f>IF(B10070=C10070, "YES", "WRONG")</f>
        <v/>
      </c>
    </row>
    <row r="10071">
      <c r="A10071" t="n">
        <v>10070</v>
      </c>
      <c r="B10071" t="inlineStr">
        <is>
          <t>x̄LXX</t>
        </is>
      </c>
      <c r="C10071">
        <f>ROMAN(10070)</f>
        <v/>
      </c>
      <c r="D10071">
        <f>IF(B10071=C10071, "YES", "WRONG")</f>
        <v/>
      </c>
    </row>
    <row r="10072">
      <c r="A10072" t="n">
        <v>10071</v>
      </c>
      <c r="B10072" t="inlineStr">
        <is>
          <t>x̄LXXI</t>
        </is>
      </c>
      <c r="C10072">
        <f>ROMAN(10071)</f>
        <v/>
      </c>
      <c r="D10072">
        <f>IF(B10072=C10072, "YES", "WRONG")</f>
        <v/>
      </c>
    </row>
    <row r="10073">
      <c r="A10073" t="n">
        <v>10072</v>
      </c>
      <c r="B10073" t="inlineStr">
        <is>
          <t>x̄LXXII</t>
        </is>
      </c>
      <c r="C10073">
        <f>ROMAN(10072)</f>
        <v/>
      </c>
      <c r="D10073">
        <f>IF(B10073=C10073, "YES", "WRONG")</f>
        <v/>
      </c>
    </row>
    <row r="10074">
      <c r="A10074" t="n">
        <v>10073</v>
      </c>
      <c r="B10074" t="inlineStr">
        <is>
          <t>x̄LXXIII</t>
        </is>
      </c>
      <c r="C10074">
        <f>ROMAN(10073)</f>
        <v/>
      </c>
      <c r="D10074">
        <f>IF(B10074=C10074, "YES", "WRONG")</f>
        <v/>
      </c>
    </row>
    <row r="10075">
      <c r="A10075" t="n">
        <v>10074</v>
      </c>
      <c r="B10075" t="inlineStr">
        <is>
          <t>x̄LXXIV</t>
        </is>
      </c>
      <c r="C10075">
        <f>ROMAN(10074)</f>
        <v/>
      </c>
      <c r="D10075">
        <f>IF(B10075=C10075, "YES", "WRONG")</f>
        <v/>
      </c>
    </row>
    <row r="10076">
      <c r="A10076" t="n">
        <v>10075</v>
      </c>
      <c r="B10076" t="inlineStr">
        <is>
          <t>x̄LXXV</t>
        </is>
      </c>
      <c r="C10076">
        <f>ROMAN(10075)</f>
        <v/>
      </c>
      <c r="D10076">
        <f>IF(B10076=C10076, "YES", "WRONG")</f>
        <v/>
      </c>
    </row>
    <row r="10077">
      <c r="A10077" t="n">
        <v>10076</v>
      </c>
      <c r="B10077" t="inlineStr">
        <is>
          <t>x̄LXXVI</t>
        </is>
      </c>
      <c r="C10077">
        <f>ROMAN(10076)</f>
        <v/>
      </c>
      <c r="D10077">
        <f>IF(B10077=C10077, "YES", "WRONG")</f>
        <v/>
      </c>
    </row>
    <row r="10078">
      <c r="A10078" t="n">
        <v>10077</v>
      </c>
      <c r="B10078" t="inlineStr">
        <is>
          <t>x̄LXXVII</t>
        </is>
      </c>
      <c r="C10078">
        <f>ROMAN(10077)</f>
        <v/>
      </c>
      <c r="D10078">
        <f>IF(B10078=C10078, "YES", "WRONG")</f>
        <v/>
      </c>
    </row>
    <row r="10079">
      <c r="A10079" t="n">
        <v>10078</v>
      </c>
      <c r="B10079" t="inlineStr">
        <is>
          <t>x̄LXXVIII</t>
        </is>
      </c>
      <c r="C10079">
        <f>ROMAN(10078)</f>
        <v/>
      </c>
      <c r="D10079">
        <f>IF(B10079=C10079, "YES", "WRONG")</f>
        <v/>
      </c>
    </row>
    <row r="10080">
      <c r="A10080" t="n">
        <v>10079</v>
      </c>
      <c r="B10080" t="inlineStr">
        <is>
          <t>x̄LXXIX</t>
        </is>
      </c>
      <c r="C10080">
        <f>ROMAN(10079)</f>
        <v/>
      </c>
      <c r="D10080">
        <f>IF(B10080=C10080, "YES", "WRONG")</f>
        <v/>
      </c>
    </row>
    <row r="10081">
      <c r="A10081" t="n">
        <v>10080</v>
      </c>
      <c r="B10081" t="inlineStr">
        <is>
          <t>x̄LXXX</t>
        </is>
      </c>
      <c r="C10081">
        <f>ROMAN(10080)</f>
        <v/>
      </c>
      <c r="D10081">
        <f>IF(B10081=C10081, "YES", "WRONG")</f>
        <v/>
      </c>
    </row>
    <row r="10082">
      <c r="A10082" t="n">
        <v>10081</v>
      </c>
      <c r="B10082" t="inlineStr">
        <is>
          <t>x̄LXXXI</t>
        </is>
      </c>
      <c r="C10082">
        <f>ROMAN(10081)</f>
        <v/>
      </c>
      <c r="D10082">
        <f>IF(B10082=C10082, "YES", "WRONG")</f>
        <v/>
      </c>
    </row>
    <row r="10083">
      <c r="A10083" t="n">
        <v>10082</v>
      </c>
      <c r="B10083" t="inlineStr">
        <is>
          <t>x̄LXXXII</t>
        </is>
      </c>
      <c r="C10083">
        <f>ROMAN(10082)</f>
        <v/>
      </c>
      <c r="D10083">
        <f>IF(B10083=C10083, "YES", "WRONG")</f>
        <v/>
      </c>
    </row>
    <row r="10084">
      <c r="A10084" t="n">
        <v>10083</v>
      </c>
      <c r="B10084" t="inlineStr">
        <is>
          <t>x̄LXXXIII</t>
        </is>
      </c>
      <c r="C10084">
        <f>ROMAN(10083)</f>
        <v/>
      </c>
      <c r="D10084">
        <f>IF(B10084=C10084, "YES", "WRONG")</f>
        <v/>
      </c>
    </row>
    <row r="10085">
      <c r="A10085" t="n">
        <v>10084</v>
      </c>
      <c r="B10085" t="inlineStr">
        <is>
          <t>x̄LXXXIV</t>
        </is>
      </c>
      <c r="C10085">
        <f>ROMAN(10084)</f>
        <v/>
      </c>
      <c r="D10085">
        <f>IF(B10085=C10085, "YES", "WRONG")</f>
        <v/>
      </c>
    </row>
    <row r="10086">
      <c r="A10086" t="n">
        <v>10085</v>
      </c>
      <c r="B10086" t="inlineStr">
        <is>
          <t>x̄LXXXV</t>
        </is>
      </c>
      <c r="C10086">
        <f>ROMAN(10085)</f>
        <v/>
      </c>
      <c r="D10086">
        <f>IF(B10086=C10086, "YES", "WRONG")</f>
        <v/>
      </c>
    </row>
    <row r="10087">
      <c r="A10087" t="n">
        <v>10086</v>
      </c>
      <c r="B10087" t="inlineStr">
        <is>
          <t>x̄LXXXVI</t>
        </is>
      </c>
      <c r="C10087">
        <f>ROMAN(10086)</f>
        <v/>
      </c>
      <c r="D10087">
        <f>IF(B10087=C10087, "YES", "WRONG")</f>
        <v/>
      </c>
    </row>
    <row r="10088">
      <c r="A10088" t="n">
        <v>10087</v>
      </c>
      <c r="B10088" t="inlineStr">
        <is>
          <t>x̄LXXXVII</t>
        </is>
      </c>
      <c r="C10088">
        <f>ROMAN(10087)</f>
        <v/>
      </c>
      <c r="D10088">
        <f>IF(B10088=C10088, "YES", "WRONG")</f>
        <v/>
      </c>
    </row>
    <row r="10089">
      <c r="A10089" t="n">
        <v>10088</v>
      </c>
      <c r="B10089" t="inlineStr">
        <is>
          <t>x̄LXXXVIII</t>
        </is>
      </c>
      <c r="C10089">
        <f>ROMAN(10088)</f>
        <v/>
      </c>
      <c r="D10089">
        <f>IF(B10089=C10089, "YES", "WRONG")</f>
        <v/>
      </c>
    </row>
    <row r="10090">
      <c r="A10090" t="n">
        <v>10089</v>
      </c>
      <c r="B10090" t="inlineStr">
        <is>
          <t>x̄LXXXIX</t>
        </is>
      </c>
      <c r="C10090">
        <f>ROMAN(10089)</f>
        <v/>
      </c>
      <c r="D10090">
        <f>IF(B10090=C10090, "YES", "WRONG")</f>
        <v/>
      </c>
    </row>
    <row r="10091">
      <c r="A10091" t="n">
        <v>10090</v>
      </c>
      <c r="B10091" t="inlineStr">
        <is>
          <t>x̄XC</t>
        </is>
      </c>
      <c r="C10091">
        <f>ROMAN(10090)</f>
        <v/>
      </c>
      <c r="D10091">
        <f>IF(B10091=C10091, "YES", "WRONG")</f>
        <v/>
      </c>
    </row>
    <row r="10092">
      <c r="A10092" t="n">
        <v>10091</v>
      </c>
      <c r="B10092" t="inlineStr">
        <is>
          <t>x̄XCI</t>
        </is>
      </c>
      <c r="C10092">
        <f>ROMAN(10091)</f>
        <v/>
      </c>
      <c r="D10092">
        <f>IF(B10092=C10092, "YES", "WRONG")</f>
        <v/>
      </c>
    </row>
    <row r="10093">
      <c r="A10093" t="n">
        <v>10092</v>
      </c>
      <c r="B10093" t="inlineStr">
        <is>
          <t>x̄XCII</t>
        </is>
      </c>
      <c r="C10093">
        <f>ROMAN(10092)</f>
        <v/>
      </c>
      <c r="D10093">
        <f>IF(B10093=C10093, "YES", "WRONG")</f>
        <v/>
      </c>
    </row>
    <row r="10094">
      <c r="A10094" t="n">
        <v>10093</v>
      </c>
      <c r="B10094" t="inlineStr">
        <is>
          <t>x̄XCIII</t>
        </is>
      </c>
      <c r="C10094">
        <f>ROMAN(10093)</f>
        <v/>
      </c>
      <c r="D10094">
        <f>IF(B10094=C10094, "YES", "WRONG")</f>
        <v/>
      </c>
    </row>
    <row r="10095">
      <c r="A10095" t="n">
        <v>10094</v>
      </c>
      <c r="B10095" t="inlineStr">
        <is>
          <t>x̄XCIV</t>
        </is>
      </c>
      <c r="C10095">
        <f>ROMAN(10094)</f>
        <v/>
      </c>
      <c r="D10095">
        <f>IF(B10095=C10095, "YES", "WRONG")</f>
        <v/>
      </c>
    </row>
    <row r="10096">
      <c r="A10096" t="n">
        <v>10095</v>
      </c>
      <c r="B10096" t="inlineStr">
        <is>
          <t>x̄XCV</t>
        </is>
      </c>
      <c r="C10096">
        <f>ROMAN(10095)</f>
        <v/>
      </c>
      <c r="D10096">
        <f>IF(B10096=C10096, "YES", "WRONG")</f>
        <v/>
      </c>
    </row>
    <row r="10097">
      <c r="A10097" t="n">
        <v>10096</v>
      </c>
      <c r="B10097" t="inlineStr">
        <is>
          <t>x̄XCVI</t>
        </is>
      </c>
      <c r="C10097">
        <f>ROMAN(10096)</f>
        <v/>
      </c>
      <c r="D10097">
        <f>IF(B10097=C10097, "YES", "WRONG")</f>
        <v/>
      </c>
    </row>
    <row r="10098">
      <c r="A10098" t="n">
        <v>10097</v>
      </c>
      <c r="B10098" t="inlineStr">
        <is>
          <t>x̄XCVII</t>
        </is>
      </c>
      <c r="C10098">
        <f>ROMAN(10097)</f>
        <v/>
      </c>
      <c r="D10098">
        <f>IF(B10098=C10098, "YES", "WRONG")</f>
        <v/>
      </c>
    </row>
    <row r="10099">
      <c r="A10099" t="n">
        <v>10098</v>
      </c>
      <c r="B10099" t="inlineStr">
        <is>
          <t>x̄XCVIII</t>
        </is>
      </c>
      <c r="C10099">
        <f>ROMAN(10098)</f>
        <v/>
      </c>
      <c r="D10099">
        <f>IF(B10099=C10099, "YES", "WRONG")</f>
        <v/>
      </c>
    </row>
    <row r="10100">
      <c r="A10100" t="n">
        <v>10099</v>
      </c>
      <c r="B10100" t="inlineStr">
        <is>
          <t>x̄XCIX</t>
        </is>
      </c>
      <c r="C10100">
        <f>ROMAN(10099)</f>
        <v/>
      </c>
      <c r="D10100">
        <f>IF(B10100=C10100, "YES", "WRONG")</f>
        <v/>
      </c>
    </row>
    <row r="10101">
      <c r="A10101" t="n">
        <v>10100</v>
      </c>
      <c r="B10101" t="inlineStr">
        <is>
          <t>x̄C</t>
        </is>
      </c>
      <c r="C10101">
        <f>ROMAN(10100)</f>
        <v/>
      </c>
      <c r="D10101">
        <f>IF(B10101=C10101, "YES", "WRONG")</f>
        <v/>
      </c>
    </row>
    <row r="10102">
      <c r="A10102" t="n">
        <v>10101</v>
      </c>
      <c r="B10102" t="inlineStr">
        <is>
          <t>x̄CI</t>
        </is>
      </c>
      <c r="C10102">
        <f>ROMAN(10101)</f>
        <v/>
      </c>
      <c r="D10102">
        <f>IF(B10102=C10102, "YES", "WRONG")</f>
        <v/>
      </c>
    </row>
    <row r="10103">
      <c r="A10103" t="n">
        <v>10102</v>
      </c>
      <c r="B10103" t="inlineStr">
        <is>
          <t>x̄CII</t>
        </is>
      </c>
      <c r="C10103">
        <f>ROMAN(10102)</f>
        <v/>
      </c>
      <c r="D10103">
        <f>IF(B10103=C10103, "YES", "WRONG")</f>
        <v/>
      </c>
    </row>
    <row r="10104">
      <c r="A10104" t="n">
        <v>10103</v>
      </c>
      <c r="B10104" t="inlineStr">
        <is>
          <t>x̄CIII</t>
        </is>
      </c>
      <c r="C10104">
        <f>ROMAN(10103)</f>
        <v/>
      </c>
      <c r="D10104">
        <f>IF(B10104=C10104, "YES", "WRONG")</f>
        <v/>
      </c>
    </row>
    <row r="10105">
      <c r="A10105" t="n">
        <v>10104</v>
      </c>
      <c r="B10105" t="inlineStr">
        <is>
          <t>x̄CIV</t>
        </is>
      </c>
      <c r="C10105">
        <f>ROMAN(10104)</f>
        <v/>
      </c>
      <c r="D10105">
        <f>IF(B10105=C10105, "YES", "WRONG")</f>
        <v/>
      </c>
    </row>
    <row r="10106">
      <c r="A10106" t="n">
        <v>10105</v>
      </c>
      <c r="B10106" t="inlineStr">
        <is>
          <t>x̄CV</t>
        </is>
      </c>
      <c r="C10106">
        <f>ROMAN(10105)</f>
        <v/>
      </c>
      <c r="D10106">
        <f>IF(B10106=C10106, "YES", "WRONG")</f>
        <v/>
      </c>
    </row>
    <row r="10107">
      <c r="A10107" t="n">
        <v>10106</v>
      </c>
      <c r="B10107" t="inlineStr">
        <is>
          <t>x̄CVI</t>
        </is>
      </c>
      <c r="C10107">
        <f>ROMAN(10106)</f>
        <v/>
      </c>
      <c r="D10107">
        <f>IF(B10107=C10107, "YES", "WRONG")</f>
        <v/>
      </c>
    </row>
    <row r="10108">
      <c r="A10108" t="n">
        <v>10107</v>
      </c>
      <c r="B10108" t="inlineStr">
        <is>
          <t>x̄CVII</t>
        </is>
      </c>
      <c r="C10108">
        <f>ROMAN(10107)</f>
        <v/>
      </c>
      <c r="D10108">
        <f>IF(B10108=C10108, "YES", "WRONG")</f>
        <v/>
      </c>
    </row>
    <row r="10109">
      <c r="A10109" t="n">
        <v>10108</v>
      </c>
      <c r="B10109" t="inlineStr">
        <is>
          <t>x̄CVIII</t>
        </is>
      </c>
      <c r="C10109">
        <f>ROMAN(10108)</f>
        <v/>
      </c>
      <c r="D10109">
        <f>IF(B10109=C10109, "YES", "WRONG")</f>
        <v/>
      </c>
    </row>
    <row r="10110">
      <c r="A10110" t="n">
        <v>10109</v>
      </c>
      <c r="B10110" t="inlineStr">
        <is>
          <t>x̄CIX</t>
        </is>
      </c>
      <c r="C10110">
        <f>ROMAN(10109)</f>
        <v/>
      </c>
      <c r="D10110">
        <f>IF(B10110=C10110, "YES", "WRONG")</f>
        <v/>
      </c>
    </row>
    <row r="10111">
      <c r="A10111" t="n">
        <v>10110</v>
      </c>
      <c r="B10111" t="inlineStr">
        <is>
          <t>x̄CX</t>
        </is>
      </c>
      <c r="C10111">
        <f>ROMAN(10110)</f>
        <v/>
      </c>
      <c r="D10111">
        <f>IF(B10111=C10111, "YES", "WRONG")</f>
        <v/>
      </c>
    </row>
    <row r="10112">
      <c r="A10112" t="n">
        <v>10111</v>
      </c>
      <c r="B10112" t="inlineStr">
        <is>
          <t>x̄CXI</t>
        </is>
      </c>
      <c r="C10112">
        <f>ROMAN(10111)</f>
        <v/>
      </c>
      <c r="D10112">
        <f>IF(B10112=C10112, "YES", "WRONG")</f>
        <v/>
      </c>
    </row>
    <row r="10113">
      <c r="A10113" t="n">
        <v>10112</v>
      </c>
      <c r="B10113" t="inlineStr">
        <is>
          <t>x̄CXII</t>
        </is>
      </c>
      <c r="C10113">
        <f>ROMAN(10112)</f>
        <v/>
      </c>
      <c r="D10113">
        <f>IF(B10113=C10113, "YES", "WRONG")</f>
        <v/>
      </c>
    </row>
    <row r="10114">
      <c r="A10114" t="n">
        <v>10113</v>
      </c>
      <c r="B10114" t="inlineStr">
        <is>
          <t>x̄CXIII</t>
        </is>
      </c>
      <c r="C10114">
        <f>ROMAN(10113)</f>
        <v/>
      </c>
      <c r="D10114">
        <f>IF(B10114=C10114, "YES", "WRONG")</f>
        <v/>
      </c>
    </row>
    <row r="10115">
      <c r="A10115" t="n">
        <v>10114</v>
      </c>
      <c r="B10115" t="inlineStr">
        <is>
          <t>x̄CXIV</t>
        </is>
      </c>
      <c r="C10115">
        <f>ROMAN(10114)</f>
        <v/>
      </c>
      <c r="D10115">
        <f>IF(B10115=C10115, "YES", "WRONG")</f>
        <v/>
      </c>
    </row>
    <row r="10116">
      <c r="A10116" t="n">
        <v>10115</v>
      </c>
      <c r="B10116" t="inlineStr">
        <is>
          <t>x̄CXV</t>
        </is>
      </c>
      <c r="C10116">
        <f>ROMAN(10115)</f>
        <v/>
      </c>
      <c r="D10116">
        <f>IF(B10116=C10116, "YES", "WRONG")</f>
        <v/>
      </c>
    </row>
    <row r="10117">
      <c r="A10117" t="n">
        <v>10116</v>
      </c>
      <c r="B10117" t="inlineStr">
        <is>
          <t>x̄CXVI</t>
        </is>
      </c>
      <c r="C10117">
        <f>ROMAN(10116)</f>
        <v/>
      </c>
      <c r="D10117">
        <f>IF(B10117=C10117, "YES", "WRONG")</f>
        <v/>
      </c>
    </row>
    <row r="10118">
      <c r="A10118" t="n">
        <v>10117</v>
      </c>
      <c r="B10118" t="inlineStr">
        <is>
          <t>x̄CXVII</t>
        </is>
      </c>
      <c r="C10118">
        <f>ROMAN(10117)</f>
        <v/>
      </c>
      <c r="D10118">
        <f>IF(B10118=C10118, "YES", "WRONG")</f>
        <v/>
      </c>
    </row>
    <row r="10119">
      <c r="A10119" t="n">
        <v>10118</v>
      </c>
      <c r="B10119" t="inlineStr">
        <is>
          <t>x̄CXVIII</t>
        </is>
      </c>
      <c r="C10119">
        <f>ROMAN(10118)</f>
        <v/>
      </c>
      <c r="D10119">
        <f>IF(B10119=C10119, "YES", "WRONG")</f>
        <v/>
      </c>
    </row>
    <row r="10120">
      <c r="A10120" t="n">
        <v>10119</v>
      </c>
      <c r="B10120" t="inlineStr">
        <is>
          <t>x̄CXIX</t>
        </is>
      </c>
      <c r="C10120">
        <f>ROMAN(10119)</f>
        <v/>
      </c>
      <c r="D10120">
        <f>IF(B10120=C10120, "YES", "WRONG")</f>
        <v/>
      </c>
    </row>
    <row r="10121">
      <c r="A10121" t="n">
        <v>10120</v>
      </c>
      <c r="B10121" t="inlineStr">
        <is>
          <t>x̄CXX</t>
        </is>
      </c>
      <c r="C10121">
        <f>ROMAN(10120)</f>
        <v/>
      </c>
      <c r="D10121">
        <f>IF(B10121=C10121, "YES", "WRONG")</f>
        <v/>
      </c>
    </row>
    <row r="10122">
      <c r="A10122" t="n">
        <v>10121</v>
      </c>
      <c r="B10122" t="inlineStr">
        <is>
          <t>x̄CXXI</t>
        </is>
      </c>
      <c r="C10122">
        <f>ROMAN(10121)</f>
        <v/>
      </c>
      <c r="D10122">
        <f>IF(B10122=C10122, "YES", "WRONG")</f>
        <v/>
      </c>
    </row>
    <row r="10123">
      <c r="A10123" t="n">
        <v>10122</v>
      </c>
      <c r="B10123" t="inlineStr">
        <is>
          <t>x̄CXXII</t>
        </is>
      </c>
      <c r="C10123">
        <f>ROMAN(10122)</f>
        <v/>
      </c>
      <c r="D10123">
        <f>IF(B10123=C10123, "YES", "WRONG")</f>
        <v/>
      </c>
    </row>
    <row r="10124">
      <c r="A10124" t="n">
        <v>10123</v>
      </c>
      <c r="B10124" t="inlineStr">
        <is>
          <t>x̄CXXIII</t>
        </is>
      </c>
      <c r="C10124">
        <f>ROMAN(10123)</f>
        <v/>
      </c>
      <c r="D10124">
        <f>IF(B10124=C10124, "YES", "WRONG")</f>
        <v/>
      </c>
    </row>
    <row r="10125">
      <c r="A10125" t="n">
        <v>10124</v>
      </c>
      <c r="B10125" t="inlineStr">
        <is>
          <t>x̄CXXIV</t>
        </is>
      </c>
      <c r="C10125">
        <f>ROMAN(10124)</f>
        <v/>
      </c>
      <c r="D10125">
        <f>IF(B10125=C10125, "YES", "WRONG")</f>
        <v/>
      </c>
    </row>
    <row r="10126">
      <c r="A10126" t="n">
        <v>10125</v>
      </c>
      <c r="B10126" t="inlineStr">
        <is>
          <t>x̄CXXV</t>
        </is>
      </c>
      <c r="C10126">
        <f>ROMAN(10125)</f>
        <v/>
      </c>
      <c r="D10126">
        <f>IF(B10126=C10126, "YES", "WRONG")</f>
        <v/>
      </c>
    </row>
    <row r="10127">
      <c r="A10127" t="n">
        <v>10126</v>
      </c>
      <c r="B10127" t="inlineStr">
        <is>
          <t>x̄CXXVI</t>
        </is>
      </c>
      <c r="C10127">
        <f>ROMAN(10126)</f>
        <v/>
      </c>
      <c r="D10127">
        <f>IF(B10127=C10127, "YES", "WRONG")</f>
        <v/>
      </c>
    </row>
    <row r="10128">
      <c r="A10128" t="n">
        <v>10127</v>
      </c>
      <c r="B10128" t="inlineStr">
        <is>
          <t>x̄CXXVII</t>
        </is>
      </c>
      <c r="C10128">
        <f>ROMAN(10127)</f>
        <v/>
      </c>
      <c r="D10128">
        <f>IF(B10128=C10128, "YES", "WRONG")</f>
        <v/>
      </c>
    </row>
    <row r="10129">
      <c r="A10129" t="n">
        <v>10128</v>
      </c>
      <c r="B10129" t="inlineStr">
        <is>
          <t>x̄CXXVIII</t>
        </is>
      </c>
      <c r="C10129">
        <f>ROMAN(10128)</f>
        <v/>
      </c>
      <c r="D10129">
        <f>IF(B10129=C10129, "YES", "WRONG")</f>
        <v/>
      </c>
    </row>
    <row r="10130">
      <c r="A10130" t="n">
        <v>10129</v>
      </c>
      <c r="B10130" t="inlineStr">
        <is>
          <t>x̄CXXIX</t>
        </is>
      </c>
      <c r="C10130">
        <f>ROMAN(10129)</f>
        <v/>
      </c>
      <c r="D10130">
        <f>IF(B10130=C10130, "YES", "WRONG")</f>
        <v/>
      </c>
    </row>
    <row r="10131">
      <c r="A10131" t="n">
        <v>10130</v>
      </c>
      <c r="B10131" t="inlineStr">
        <is>
          <t>x̄CXXX</t>
        </is>
      </c>
      <c r="C10131">
        <f>ROMAN(10130)</f>
        <v/>
      </c>
      <c r="D10131">
        <f>IF(B10131=C10131, "YES", "WRONG")</f>
        <v/>
      </c>
    </row>
    <row r="10132">
      <c r="A10132" t="n">
        <v>10131</v>
      </c>
      <c r="B10132" t="inlineStr">
        <is>
          <t>x̄CXXXI</t>
        </is>
      </c>
      <c r="C10132">
        <f>ROMAN(10131)</f>
        <v/>
      </c>
      <c r="D10132">
        <f>IF(B10132=C10132, "YES", "WRONG")</f>
        <v/>
      </c>
    </row>
    <row r="10133">
      <c r="A10133" t="n">
        <v>10132</v>
      </c>
      <c r="B10133" t="inlineStr">
        <is>
          <t>x̄CXXXII</t>
        </is>
      </c>
      <c r="C10133">
        <f>ROMAN(10132)</f>
        <v/>
      </c>
      <c r="D10133">
        <f>IF(B10133=C10133, "YES", "WRONG")</f>
        <v/>
      </c>
    </row>
    <row r="10134">
      <c r="A10134" t="n">
        <v>10133</v>
      </c>
      <c r="B10134" t="inlineStr">
        <is>
          <t>x̄CXXXIII</t>
        </is>
      </c>
      <c r="C10134">
        <f>ROMAN(10133)</f>
        <v/>
      </c>
      <c r="D10134">
        <f>IF(B10134=C10134, "YES", "WRONG")</f>
        <v/>
      </c>
    </row>
    <row r="10135">
      <c r="A10135" t="n">
        <v>10134</v>
      </c>
      <c r="B10135" t="inlineStr">
        <is>
          <t>x̄CXXXIV</t>
        </is>
      </c>
      <c r="C10135">
        <f>ROMAN(10134)</f>
        <v/>
      </c>
      <c r="D10135">
        <f>IF(B10135=C10135, "YES", "WRONG")</f>
        <v/>
      </c>
    </row>
    <row r="10136">
      <c r="A10136" t="n">
        <v>10135</v>
      </c>
      <c r="B10136" t="inlineStr">
        <is>
          <t>x̄CXXXV</t>
        </is>
      </c>
      <c r="C10136">
        <f>ROMAN(10135)</f>
        <v/>
      </c>
      <c r="D10136">
        <f>IF(B10136=C10136, "YES", "WRONG")</f>
        <v/>
      </c>
    </row>
    <row r="10137">
      <c r="A10137" t="n">
        <v>10136</v>
      </c>
      <c r="B10137" t="inlineStr">
        <is>
          <t>x̄CXXXVI</t>
        </is>
      </c>
      <c r="C10137">
        <f>ROMAN(10136)</f>
        <v/>
      </c>
      <c r="D10137">
        <f>IF(B10137=C10137, "YES", "WRONG")</f>
        <v/>
      </c>
    </row>
    <row r="10138">
      <c r="A10138" t="n">
        <v>10137</v>
      </c>
      <c r="B10138" t="inlineStr">
        <is>
          <t>x̄CXXXVII</t>
        </is>
      </c>
      <c r="C10138">
        <f>ROMAN(10137)</f>
        <v/>
      </c>
      <c r="D10138">
        <f>IF(B10138=C10138, "YES", "WRONG")</f>
        <v/>
      </c>
    </row>
    <row r="10139">
      <c r="A10139" t="n">
        <v>10138</v>
      </c>
      <c r="B10139" t="inlineStr">
        <is>
          <t>x̄CXXXVIII</t>
        </is>
      </c>
      <c r="C10139">
        <f>ROMAN(10138)</f>
        <v/>
      </c>
      <c r="D10139">
        <f>IF(B10139=C10139, "YES", "WRONG")</f>
        <v/>
      </c>
    </row>
    <row r="10140">
      <c r="A10140" t="n">
        <v>10139</v>
      </c>
      <c r="B10140" t="inlineStr">
        <is>
          <t>x̄CXXXIX</t>
        </is>
      </c>
      <c r="C10140">
        <f>ROMAN(10139)</f>
        <v/>
      </c>
      <c r="D10140">
        <f>IF(B10140=C10140, "YES", "WRONG")</f>
        <v/>
      </c>
    </row>
    <row r="10141">
      <c r="A10141" t="n">
        <v>10140</v>
      </c>
      <c r="B10141" t="inlineStr">
        <is>
          <t>x̄CXL</t>
        </is>
      </c>
      <c r="C10141">
        <f>ROMAN(10140)</f>
        <v/>
      </c>
      <c r="D10141">
        <f>IF(B10141=C10141, "YES", "WRONG")</f>
        <v/>
      </c>
    </row>
    <row r="10142">
      <c r="A10142" t="n">
        <v>10141</v>
      </c>
      <c r="B10142" t="inlineStr">
        <is>
          <t>x̄CXLI</t>
        </is>
      </c>
      <c r="C10142">
        <f>ROMAN(10141)</f>
        <v/>
      </c>
      <c r="D10142">
        <f>IF(B10142=C10142, "YES", "WRONG")</f>
        <v/>
      </c>
    </row>
    <row r="10143">
      <c r="A10143" t="n">
        <v>10142</v>
      </c>
      <c r="B10143" t="inlineStr">
        <is>
          <t>x̄CXLII</t>
        </is>
      </c>
      <c r="C10143">
        <f>ROMAN(10142)</f>
        <v/>
      </c>
      <c r="D10143">
        <f>IF(B10143=C10143, "YES", "WRONG")</f>
        <v/>
      </c>
    </row>
    <row r="10144">
      <c r="A10144" t="n">
        <v>10143</v>
      </c>
      <c r="B10144" t="inlineStr">
        <is>
          <t>x̄CXLIII</t>
        </is>
      </c>
      <c r="C10144">
        <f>ROMAN(10143)</f>
        <v/>
      </c>
      <c r="D10144">
        <f>IF(B10144=C10144, "YES", "WRONG")</f>
        <v/>
      </c>
    </row>
    <row r="10145">
      <c r="A10145" t="n">
        <v>10144</v>
      </c>
      <c r="B10145" t="inlineStr">
        <is>
          <t>x̄CXLIV</t>
        </is>
      </c>
      <c r="C10145">
        <f>ROMAN(10144)</f>
        <v/>
      </c>
      <c r="D10145">
        <f>IF(B10145=C10145, "YES", "WRONG")</f>
        <v/>
      </c>
    </row>
    <row r="10146">
      <c r="A10146" t="n">
        <v>10145</v>
      </c>
      <c r="B10146" t="inlineStr">
        <is>
          <t>x̄CXLV</t>
        </is>
      </c>
      <c r="C10146">
        <f>ROMAN(10145)</f>
        <v/>
      </c>
      <c r="D10146">
        <f>IF(B10146=C10146, "YES", "WRONG")</f>
        <v/>
      </c>
    </row>
    <row r="10147">
      <c r="A10147" t="n">
        <v>10146</v>
      </c>
      <c r="B10147" t="inlineStr">
        <is>
          <t>x̄CXLVI</t>
        </is>
      </c>
      <c r="C10147">
        <f>ROMAN(10146)</f>
        <v/>
      </c>
      <c r="D10147">
        <f>IF(B10147=C10147, "YES", "WRONG")</f>
        <v/>
      </c>
    </row>
    <row r="10148">
      <c r="A10148" t="n">
        <v>10147</v>
      </c>
      <c r="B10148" t="inlineStr">
        <is>
          <t>x̄CXLVII</t>
        </is>
      </c>
      <c r="C10148">
        <f>ROMAN(10147)</f>
        <v/>
      </c>
      <c r="D10148">
        <f>IF(B10148=C10148, "YES", "WRONG")</f>
        <v/>
      </c>
    </row>
    <row r="10149">
      <c r="A10149" t="n">
        <v>10148</v>
      </c>
      <c r="B10149" t="inlineStr">
        <is>
          <t>x̄CXLVIII</t>
        </is>
      </c>
      <c r="C10149">
        <f>ROMAN(10148)</f>
        <v/>
      </c>
      <c r="D10149">
        <f>IF(B10149=C10149, "YES", "WRONG")</f>
        <v/>
      </c>
    </row>
    <row r="10150">
      <c r="A10150" t="n">
        <v>10149</v>
      </c>
      <c r="B10150" t="inlineStr">
        <is>
          <t>x̄CXLIX</t>
        </is>
      </c>
      <c r="C10150">
        <f>ROMAN(10149)</f>
        <v/>
      </c>
      <c r="D10150">
        <f>IF(B10150=C10150, "YES", "WRONG")</f>
        <v/>
      </c>
    </row>
    <row r="10151">
      <c r="A10151" t="n">
        <v>10150</v>
      </c>
      <c r="B10151" t="inlineStr">
        <is>
          <t>x̄CL</t>
        </is>
      </c>
      <c r="C10151">
        <f>ROMAN(10150)</f>
        <v/>
      </c>
      <c r="D10151">
        <f>IF(B10151=C10151, "YES", "WRONG")</f>
        <v/>
      </c>
    </row>
    <row r="10152">
      <c r="A10152" t="n">
        <v>10151</v>
      </c>
      <c r="B10152" t="inlineStr">
        <is>
          <t>x̄CLI</t>
        </is>
      </c>
      <c r="C10152">
        <f>ROMAN(10151)</f>
        <v/>
      </c>
      <c r="D10152">
        <f>IF(B10152=C10152, "YES", "WRONG")</f>
        <v/>
      </c>
    </row>
    <row r="10153">
      <c r="A10153" t="n">
        <v>10152</v>
      </c>
      <c r="B10153" t="inlineStr">
        <is>
          <t>x̄CLII</t>
        </is>
      </c>
      <c r="C10153">
        <f>ROMAN(10152)</f>
        <v/>
      </c>
      <c r="D10153">
        <f>IF(B10153=C10153, "YES", "WRONG")</f>
        <v/>
      </c>
    </row>
    <row r="10154">
      <c r="A10154" t="n">
        <v>10153</v>
      </c>
      <c r="B10154" t="inlineStr">
        <is>
          <t>x̄CLIII</t>
        </is>
      </c>
      <c r="C10154">
        <f>ROMAN(10153)</f>
        <v/>
      </c>
      <c r="D10154">
        <f>IF(B10154=C10154, "YES", "WRONG")</f>
        <v/>
      </c>
    </row>
    <row r="10155">
      <c r="A10155" t="n">
        <v>10154</v>
      </c>
      <c r="B10155" t="inlineStr">
        <is>
          <t>x̄CLIV</t>
        </is>
      </c>
      <c r="C10155">
        <f>ROMAN(10154)</f>
        <v/>
      </c>
      <c r="D10155">
        <f>IF(B10155=C10155, "YES", "WRONG")</f>
        <v/>
      </c>
    </row>
    <row r="10156">
      <c r="A10156" t="n">
        <v>10155</v>
      </c>
      <c r="B10156" t="inlineStr">
        <is>
          <t>x̄CLV</t>
        </is>
      </c>
      <c r="C10156">
        <f>ROMAN(10155)</f>
        <v/>
      </c>
      <c r="D10156">
        <f>IF(B10156=C10156, "YES", "WRONG")</f>
        <v/>
      </c>
    </row>
    <row r="10157">
      <c r="A10157" t="n">
        <v>10156</v>
      </c>
      <c r="B10157" t="inlineStr">
        <is>
          <t>x̄CLVI</t>
        </is>
      </c>
      <c r="C10157">
        <f>ROMAN(10156)</f>
        <v/>
      </c>
      <c r="D10157">
        <f>IF(B10157=C10157, "YES", "WRONG")</f>
        <v/>
      </c>
    </row>
    <row r="10158">
      <c r="A10158" t="n">
        <v>10157</v>
      </c>
      <c r="B10158" t="inlineStr">
        <is>
          <t>x̄CLVII</t>
        </is>
      </c>
      <c r="C10158">
        <f>ROMAN(10157)</f>
        <v/>
      </c>
      <c r="D10158">
        <f>IF(B10158=C10158, "YES", "WRONG")</f>
        <v/>
      </c>
    </row>
    <row r="10159">
      <c r="A10159" t="n">
        <v>10158</v>
      </c>
      <c r="B10159" t="inlineStr">
        <is>
          <t>x̄CLVIII</t>
        </is>
      </c>
      <c r="C10159">
        <f>ROMAN(10158)</f>
        <v/>
      </c>
      <c r="D10159">
        <f>IF(B10159=C10159, "YES", "WRONG")</f>
        <v/>
      </c>
    </row>
    <row r="10160">
      <c r="A10160" t="n">
        <v>10159</v>
      </c>
      <c r="B10160" t="inlineStr">
        <is>
          <t>x̄CLIX</t>
        </is>
      </c>
      <c r="C10160">
        <f>ROMAN(10159)</f>
        <v/>
      </c>
      <c r="D10160">
        <f>IF(B10160=C10160, "YES", "WRONG")</f>
        <v/>
      </c>
    </row>
    <row r="10161">
      <c r="A10161" t="n">
        <v>10160</v>
      </c>
      <c r="B10161" t="inlineStr">
        <is>
          <t>x̄CLX</t>
        </is>
      </c>
      <c r="C10161">
        <f>ROMAN(10160)</f>
        <v/>
      </c>
      <c r="D10161">
        <f>IF(B10161=C10161, "YES", "WRONG")</f>
        <v/>
      </c>
    </row>
    <row r="10162">
      <c r="A10162" t="n">
        <v>10161</v>
      </c>
      <c r="B10162" t="inlineStr">
        <is>
          <t>x̄CLXI</t>
        </is>
      </c>
      <c r="C10162">
        <f>ROMAN(10161)</f>
        <v/>
      </c>
      <c r="D10162">
        <f>IF(B10162=C10162, "YES", "WRONG")</f>
        <v/>
      </c>
    </row>
    <row r="10163">
      <c r="A10163" t="n">
        <v>10162</v>
      </c>
      <c r="B10163" t="inlineStr">
        <is>
          <t>x̄CLXII</t>
        </is>
      </c>
      <c r="C10163">
        <f>ROMAN(10162)</f>
        <v/>
      </c>
      <c r="D10163">
        <f>IF(B10163=C10163, "YES", "WRONG")</f>
        <v/>
      </c>
    </row>
    <row r="10164">
      <c r="A10164" t="n">
        <v>10163</v>
      </c>
      <c r="B10164" t="inlineStr">
        <is>
          <t>x̄CLXIII</t>
        </is>
      </c>
      <c r="C10164">
        <f>ROMAN(10163)</f>
        <v/>
      </c>
      <c r="D10164">
        <f>IF(B10164=C10164, "YES", "WRONG")</f>
        <v/>
      </c>
    </row>
    <row r="10165">
      <c r="A10165" t="n">
        <v>10164</v>
      </c>
      <c r="B10165" t="inlineStr">
        <is>
          <t>x̄CLXIV</t>
        </is>
      </c>
      <c r="C10165">
        <f>ROMAN(10164)</f>
        <v/>
      </c>
      <c r="D10165">
        <f>IF(B10165=C10165, "YES", "WRONG")</f>
        <v/>
      </c>
    </row>
    <row r="10166">
      <c r="A10166" t="n">
        <v>10165</v>
      </c>
      <c r="B10166" t="inlineStr">
        <is>
          <t>x̄CLXV</t>
        </is>
      </c>
      <c r="C10166">
        <f>ROMAN(10165)</f>
        <v/>
      </c>
      <c r="D10166">
        <f>IF(B10166=C10166, "YES", "WRONG")</f>
        <v/>
      </c>
    </row>
    <row r="10167">
      <c r="A10167" t="n">
        <v>10166</v>
      </c>
      <c r="B10167" t="inlineStr">
        <is>
          <t>x̄CLXVI</t>
        </is>
      </c>
      <c r="C10167">
        <f>ROMAN(10166)</f>
        <v/>
      </c>
      <c r="D10167">
        <f>IF(B10167=C10167, "YES", "WRONG")</f>
        <v/>
      </c>
    </row>
    <row r="10168">
      <c r="A10168" t="n">
        <v>10167</v>
      </c>
      <c r="B10168" t="inlineStr">
        <is>
          <t>x̄CLXVII</t>
        </is>
      </c>
      <c r="C10168">
        <f>ROMAN(10167)</f>
        <v/>
      </c>
      <c r="D10168">
        <f>IF(B10168=C10168, "YES", "WRONG")</f>
        <v/>
      </c>
    </row>
    <row r="10169">
      <c r="A10169" t="n">
        <v>10168</v>
      </c>
      <c r="B10169" t="inlineStr">
        <is>
          <t>x̄CLXVIII</t>
        </is>
      </c>
      <c r="C10169">
        <f>ROMAN(10168)</f>
        <v/>
      </c>
      <c r="D10169">
        <f>IF(B10169=C10169, "YES", "WRONG")</f>
        <v/>
      </c>
    </row>
    <row r="10170">
      <c r="A10170" t="n">
        <v>10169</v>
      </c>
      <c r="B10170" t="inlineStr">
        <is>
          <t>x̄CLXIX</t>
        </is>
      </c>
      <c r="C10170">
        <f>ROMAN(10169)</f>
        <v/>
      </c>
      <c r="D10170">
        <f>IF(B10170=C10170, "YES", "WRONG")</f>
        <v/>
      </c>
    </row>
    <row r="10171">
      <c r="A10171" t="n">
        <v>10170</v>
      </c>
      <c r="B10171" t="inlineStr">
        <is>
          <t>x̄CLXX</t>
        </is>
      </c>
      <c r="C10171">
        <f>ROMAN(10170)</f>
        <v/>
      </c>
      <c r="D10171">
        <f>IF(B10171=C10171, "YES", "WRONG")</f>
        <v/>
      </c>
    </row>
    <row r="10172">
      <c r="A10172" t="n">
        <v>10171</v>
      </c>
      <c r="B10172" t="inlineStr">
        <is>
          <t>x̄CLXXI</t>
        </is>
      </c>
      <c r="C10172">
        <f>ROMAN(10171)</f>
        <v/>
      </c>
      <c r="D10172">
        <f>IF(B10172=C10172, "YES", "WRONG")</f>
        <v/>
      </c>
    </row>
    <row r="10173">
      <c r="A10173" t="n">
        <v>10172</v>
      </c>
      <c r="B10173" t="inlineStr">
        <is>
          <t>x̄CLXXII</t>
        </is>
      </c>
      <c r="C10173">
        <f>ROMAN(10172)</f>
        <v/>
      </c>
      <c r="D10173">
        <f>IF(B10173=C10173, "YES", "WRONG")</f>
        <v/>
      </c>
    </row>
    <row r="10174">
      <c r="A10174" t="n">
        <v>10173</v>
      </c>
      <c r="B10174" t="inlineStr">
        <is>
          <t>x̄CLXXIII</t>
        </is>
      </c>
      <c r="C10174">
        <f>ROMAN(10173)</f>
        <v/>
      </c>
      <c r="D10174">
        <f>IF(B10174=C10174, "YES", "WRONG")</f>
        <v/>
      </c>
    </row>
    <row r="10175">
      <c r="A10175" t="n">
        <v>10174</v>
      </c>
      <c r="B10175" t="inlineStr">
        <is>
          <t>x̄CLXXIV</t>
        </is>
      </c>
      <c r="C10175">
        <f>ROMAN(10174)</f>
        <v/>
      </c>
      <c r="D10175">
        <f>IF(B10175=C10175, "YES", "WRONG")</f>
        <v/>
      </c>
    </row>
    <row r="10176">
      <c r="A10176" t="n">
        <v>10175</v>
      </c>
      <c r="B10176" t="inlineStr">
        <is>
          <t>x̄CLXXV</t>
        </is>
      </c>
      <c r="C10176">
        <f>ROMAN(10175)</f>
        <v/>
      </c>
      <c r="D10176">
        <f>IF(B10176=C10176, "YES", "WRONG")</f>
        <v/>
      </c>
    </row>
    <row r="10177">
      <c r="A10177" t="n">
        <v>10176</v>
      </c>
      <c r="B10177" t="inlineStr">
        <is>
          <t>x̄CLXXVI</t>
        </is>
      </c>
      <c r="C10177">
        <f>ROMAN(10176)</f>
        <v/>
      </c>
      <c r="D10177">
        <f>IF(B10177=C10177, "YES", "WRONG")</f>
        <v/>
      </c>
    </row>
    <row r="10178">
      <c r="A10178" t="n">
        <v>10177</v>
      </c>
      <c r="B10178" t="inlineStr">
        <is>
          <t>x̄CLXXVII</t>
        </is>
      </c>
      <c r="C10178">
        <f>ROMAN(10177)</f>
        <v/>
      </c>
      <c r="D10178">
        <f>IF(B10178=C10178, "YES", "WRONG")</f>
        <v/>
      </c>
    </row>
    <row r="10179">
      <c r="A10179" t="n">
        <v>10178</v>
      </c>
      <c r="B10179" t="inlineStr">
        <is>
          <t>x̄CLXXVIII</t>
        </is>
      </c>
      <c r="C10179">
        <f>ROMAN(10178)</f>
        <v/>
      </c>
      <c r="D10179">
        <f>IF(B10179=C10179, "YES", "WRONG")</f>
        <v/>
      </c>
    </row>
    <row r="10180">
      <c r="A10180" t="n">
        <v>10179</v>
      </c>
      <c r="B10180" t="inlineStr">
        <is>
          <t>x̄CLXXIX</t>
        </is>
      </c>
      <c r="C10180">
        <f>ROMAN(10179)</f>
        <v/>
      </c>
      <c r="D10180">
        <f>IF(B10180=C10180, "YES", "WRONG")</f>
        <v/>
      </c>
    </row>
    <row r="10181">
      <c r="A10181" t="n">
        <v>10180</v>
      </c>
      <c r="B10181" t="inlineStr">
        <is>
          <t>x̄CLXXX</t>
        </is>
      </c>
      <c r="C10181">
        <f>ROMAN(10180)</f>
        <v/>
      </c>
      <c r="D10181">
        <f>IF(B10181=C10181, "YES", "WRONG")</f>
        <v/>
      </c>
    </row>
    <row r="10182">
      <c r="A10182" t="n">
        <v>10181</v>
      </c>
      <c r="B10182" t="inlineStr">
        <is>
          <t>x̄CLXXXI</t>
        </is>
      </c>
      <c r="C10182">
        <f>ROMAN(10181)</f>
        <v/>
      </c>
      <c r="D10182">
        <f>IF(B10182=C10182, "YES", "WRONG")</f>
        <v/>
      </c>
    </row>
    <row r="10183">
      <c r="A10183" t="n">
        <v>10182</v>
      </c>
      <c r="B10183" t="inlineStr">
        <is>
          <t>x̄CLXXXII</t>
        </is>
      </c>
      <c r="C10183">
        <f>ROMAN(10182)</f>
        <v/>
      </c>
      <c r="D10183">
        <f>IF(B10183=C10183, "YES", "WRONG")</f>
        <v/>
      </c>
    </row>
    <row r="10184">
      <c r="A10184" t="n">
        <v>10183</v>
      </c>
      <c r="B10184" t="inlineStr">
        <is>
          <t>x̄CLXXXIII</t>
        </is>
      </c>
      <c r="C10184">
        <f>ROMAN(10183)</f>
        <v/>
      </c>
      <c r="D10184">
        <f>IF(B10184=C10184, "YES", "WRONG")</f>
        <v/>
      </c>
    </row>
    <row r="10185">
      <c r="A10185" t="n">
        <v>10184</v>
      </c>
      <c r="B10185" t="inlineStr">
        <is>
          <t>x̄CLXXXIV</t>
        </is>
      </c>
      <c r="C10185">
        <f>ROMAN(10184)</f>
        <v/>
      </c>
      <c r="D10185">
        <f>IF(B10185=C10185, "YES", "WRONG")</f>
        <v/>
      </c>
    </row>
    <row r="10186">
      <c r="A10186" t="n">
        <v>10185</v>
      </c>
      <c r="B10186" t="inlineStr">
        <is>
          <t>x̄CLXXXV</t>
        </is>
      </c>
      <c r="C10186">
        <f>ROMAN(10185)</f>
        <v/>
      </c>
      <c r="D10186">
        <f>IF(B10186=C10186, "YES", "WRONG")</f>
        <v/>
      </c>
    </row>
    <row r="10187">
      <c r="A10187" t="n">
        <v>10186</v>
      </c>
      <c r="B10187" t="inlineStr">
        <is>
          <t>x̄CLXXXVI</t>
        </is>
      </c>
      <c r="C10187">
        <f>ROMAN(10186)</f>
        <v/>
      </c>
      <c r="D10187">
        <f>IF(B10187=C10187, "YES", "WRONG")</f>
        <v/>
      </c>
    </row>
    <row r="10188">
      <c r="A10188" t="n">
        <v>10187</v>
      </c>
      <c r="B10188" t="inlineStr">
        <is>
          <t>x̄CLXXXVII</t>
        </is>
      </c>
      <c r="C10188">
        <f>ROMAN(10187)</f>
        <v/>
      </c>
      <c r="D10188">
        <f>IF(B10188=C10188, "YES", "WRONG")</f>
        <v/>
      </c>
    </row>
    <row r="10189">
      <c r="A10189" t="n">
        <v>10188</v>
      </c>
      <c r="B10189" t="inlineStr">
        <is>
          <t>x̄CLXXXVIII</t>
        </is>
      </c>
      <c r="C10189">
        <f>ROMAN(10188)</f>
        <v/>
      </c>
      <c r="D10189">
        <f>IF(B10189=C10189, "YES", "WRONG")</f>
        <v/>
      </c>
    </row>
    <row r="10190">
      <c r="A10190" t="n">
        <v>10189</v>
      </c>
      <c r="B10190" t="inlineStr">
        <is>
          <t>x̄CLXXXIX</t>
        </is>
      </c>
      <c r="C10190">
        <f>ROMAN(10189)</f>
        <v/>
      </c>
      <c r="D10190">
        <f>IF(B10190=C10190, "YES", "WRONG")</f>
        <v/>
      </c>
    </row>
    <row r="10191">
      <c r="A10191" t="n">
        <v>10190</v>
      </c>
      <c r="B10191" t="inlineStr">
        <is>
          <t>x̄CXC</t>
        </is>
      </c>
      <c r="C10191">
        <f>ROMAN(10190)</f>
        <v/>
      </c>
      <c r="D10191">
        <f>IF(B10191=C10191, "YES", "WRONG")</f>
        <v/>
      </c>
    </row>
    <row r="10192">
      <c r="A10192" t="n">
        <v>10191</v>
      </c>
      <c r="B10192" t="inlineStr">
        <is>
          <t>x̄CXCI</t>
        </is>
      </c>
      <c r="C10192">
        <f>ROMAN(10191)</f>
        <v/>
      </c>
      <c r="D10192">
        <f>IF(B10192=C10192, "YES", "WRONG")</f>
        <v/>
      </c>
    </row>
    <row r="10193">
      <c r="A10193" t="n">
        <v>10192</v>
      </c>
      <c r="B10193" t="inlineStr">
        <is>
          <t>x̄CXCII</t>
        </is>
      </c>
      <c r="C10193">
        <f>ROMAN(10192)</f>
        <v/>
      </c>
      <c r="D10193">
        <f>IF(B10193=C10193, "YES", "WRONG")</f>
        <v/>
      </c>
    </row>
    <row r="10194">
      <c r="A10194" t="n">
        <v>10193</v>
      </c>
      <c r="B10194" t="inlineStr">
        <is>
          <t>x̄CXCIII</t>
        </is>
      </c>
      <c r="C10194">
        <f>ROMAN(10193)</f>
        <v/>
      </c>
      <c r="D10194">
        <f>IF(B10194=C10194, "YES", "WRONG")</f>
        <v/>
      </c>
    </row>
    <row r="10195">
      <c r="A10195" t="n">
        <v>10194</v>
      </c>
      <c r="B10195" t="inlineStr">
        <is>
          <t>x̄CXCIV</t>
        </is>
      </c>
      <c r="C10195">
        <f>ROMAN(10194)</f>
        <v/>
      </c>
      <c r="D10195">
        <f>IF(B10195=C10195, "YES", "WRONG")</f>
        <v/>
      </c>
    </row>
    <row r="10196">
      <c r="A10196" t="n">
        <v>10195</v>
      </c>
      <c r="B10196" t="inlineStr">
        <is>
          <t>x̄CXCV</t>
        </is>
      </c>
      <c r="C10196">
        <f>ROMAN(10195)</f>
        <v/>
      </c>
      <c r="D10196">
        <f>IF(B10196=C10196, "YES", "WRONG")</f>
        <v/>
      </c>
    </row>
    <row r="10197">
      <c r="A10197" t="n">
        <v>10196</v>
      </c>
      <c r="B10197" t="inlineStr">
        <is>
          <t>x̄CXCVI</t>
        </is>
      </c>
      <c r="C10197">
        <f>ROMAN(10196)</f>
        <v/>
      </c>
      <c r="D10197">
        <f>IF(B10197=C10197, "YES", "WRONG")</f>
        <v/>
      </c>
    </row>
    <row r="10198">
      <c r="A10198" t="n">
        <v>10197</v>
      </c>
      <c r="B10198" t="inlineStr">
        <is>
          <t>x̄CXCVII</t>
        </is>
      </c>
      <c r="C10198">
        <f>ROMAN(10197)</f>
        <v/>
      </c>
      <c r="D10198">
        <f>IF(B10198=C10198, "YES", "WRONG")</f>
        <v/>
      </c>
    </row>
    <row r="10199">
      <c r="A10199" t="n">
        <v>10198</v>
      </c>
      <c r="B10199" t="inlineStr">
        <is>
          <t>x̄CXCVIII</t>
        </is>
      </c>
      <c r="C10199">
        <f>ROMAN(10198)</f>
        <v/>
      </c>
      <c r="D10199">
        <f>IF(B10199=C10199, "YES", "WRONG")</f>
        <v/>
      </c>
    </row>
    <row r="10200">
      <c r="A10200" t="n">
        <v>10199</v>
      </c>
      <c r="B10200" t="inlineStr">
        <is>
          <t>x̄CXCIX</t>
        </is>
      </c>
      <c r="C10200">
        <f>ROMAN(10199)</f>
        <v/>
      </c>
      <c r="D10200">
        <f>IF(B10200=C10200, "YES", "WRONG")</f>
        <v/>
      </c>
    </row>
    <row r="10201">
      <c r="A10201" t="n">
        <v>10200</v>
      </c>
      <c r="B10201" t="inlineStr">
        <is>
          <t>x̄CC</t>
        </is>
      </c>
      <c r="C10201">
        <f>ROMAN(10200)</f>
        <v/>
      </c>
      <c r="D10201">
        <f>IF(B10201=C10201, "YES", "WRONG")</f>
        <v/>
      </c>
    </row>
    <row r="10202">
      <c r="A10202" t="n">
        <v>10201</v>
      </c>
      <c r="B10202" t="inlineStr">
        <is>
          <t>x̄CCI</t>
        </is>
      </c>
      <c r="C10202">
        <f>ROMAN(10201)</f>
        <v/>
      </c>
      <c r="D10202">
        <f>IF(B10202=C10202, "YES", "WRONG")</f>
        <v/>
      </c>
    </row>
    <row r="10203">
      <c r="A10203" t="n">
        <v>10202</v>
      </c>
      <c r="B10203" t="inlineStr">
        <is>
          <t>x̄CCII</t>
        </is>
      </c>
      <c r="C10203">
        <f>ROMAN(10202)</f>
        <v/>
      </c>
      <c r="D10203">
        <f>IF(B10203=C10203, "YES", "WRONG")</f>
        <v/>
      </c>
    </row>
    <row r="10204">
      <c r="A10204" t="n">
        <v>10203</v>
      </c>
      <c r="B10204" t="inlineStr">
        <is>
          <t>x̄CCIII</t>
        </is>
      </c>
      <c r="C10204">
        <f>ROMAN(10203)</f>
        <v/>
      </c>
      <c r="D10204">
        <f>IF(B10204=C10204, "YES", "WRONG")</f>
        <v/>
      </c>
    </row>
    <row r="10205">
      <c r="A10205" t="n">
        <v>10204</v>
      </c>
      <c r="B10205" t="inlineStr">
        <is>
          <t>x̄CCIV</t>
        </is>
      </c>
      <c r="C10205">
        <f>ROMAN(10204)</f>
        <v/>
      </c>
      <c r="D10205">
        <f>IF(B10205=C10205, "YES", "WRONG")</f>
        <v/>
      </c>
    </row>
    <row r="10206">
      <c r="A10206" t="n">
        <v>10205</v>
      </c>
      <c r="B10206" t="inlineStr">
        <is>
          <t>x̄CCV</t>
        </is>
      </c>
      <c r="C10206">
        <f>ROMAN(10205)</f>
        <v/>
      </c>
      <c r="D10206">
        <f>IF(B10206=C10206, "YES", "WRONG")</f>
        <v/>
      </c>
    </row>
    <row r="10207">
      <c r="A10207" t="n">
        <v>10206</v>
      </c>
      <c r="B10207" t="inlineStr">
        <is>
          <t>x̄CCVI</t>
        </is>
      </c>
      <c r="C10207">
        <f>ROMAN(10206)</f>
        <v/>
      </c>
      <c r="D10207">
        <f>IF(B10207=C10207, "YES", "WRONG")</f>
        <v/>
      </c>
    </row>
    <row r="10208">
      <c r="A10208" t="n">
        <v>10207</v>
      </c>
      <c r="B10208" t="inlineStr">
        <is>
          <t>x̄CCVII</t>
        </is>
      </c>
      <c r="C10208">
        <f>ROMAN(10207)</f>
        <v/>
      </c>
      <c r="D10208">
        <f>IF(B10208=C10208, "YES", "WRONG")</f>
        <v/>
      </c>
    </row>
    <row r="10209">
      <c r="A10209" t="n">
        <v>10208</v>
      </c>
      <c r="B10209" t="inlineStr">
        <is>
          <t>x̄CCVIII</t>
        </is>
      </c>
      <c r="C10209">
        <f>ROMAN(10208)</f>
        <v/>
      </c>
      <c r="D10209">
        <f>IF(B10209=C10209, "YES", "WRONG")</f>
        <v/>
      </c>
    </row>
    <row r="10210">
      <c r="A10210" t="n">
        <v>10209</v>
      </c>
      <c r="B10210" t="inlineStr">
        <is>
          <t>x̄CCIX</t>
        </is>
      </c>
      <c r="C10210">
        <f>ROMAN(10209)</f>
        <v/>
      </c>
      <c r="D10210">
        <f>IF(B10210=C10210, "YES", "WRONG")</f>
        <v/>
      </c>
    </row>
    <row r="10211">
      <c r="A10211" t="n">
        <v>10210</v>
      </c>
      <c r="B10211" t="inlineStr">
        <is>
          <t>x̄CCX</t>
        </is>
      </c>
      <c r="C10211">
        <f>ROMAN(10210)</f>
        <v/>
      </c>
      <c r="D10211">
        <f>IF(B10211=C10211, "YES", "WRONG")</f>
        <v/>
      </c>
    </row>
    <row r="10212">
      <c r="A10212" t="n">
        <v>10211</v>
      </c>
      <c r="B10212" t="inlineStr">
        <is>
          <t>x̄CCXI</t>
        </is>
      </c>
      <c r="C10212">
        <f>ROMAN(10211)</f>
        <v/>
      </c>
      <c r="D10212">
        <f>IF(B10212=C10212, "YES", "WRONG")</f>
        <v/>
      </c>
    </row>
    <row r="10213">
      <c r="A10213" t="n">
        <v>10212</v>
      </c>
      <c r="B10213" t="inlineStr">
        <is>
          <t>x̄CCXII</t>
        </is>
      </c>
      <c r="C10213">
        <f>ROMAN(10212)</f>
        <v/>
      </c>
      <c r="D10213">
        <f>IF(B10213=C10213, "YES", "WRONG")</f>
        <v/>
      </c>
    </row>
    <row r="10214">
      <c r="A10214" t="n">
        <v>10213</v>
      </c>
      <c r="B10214" t="inlineStr">
        <is>
          <t>x̄CCXIII</t>
        </is>
      </c>
      <c r="C10214">
        <f>ROMAN(10213)</f>
        <v/>
      </c>
      <c r="D10214">
        <f>IF(B10214=C10214, "YES", "WRONG")</f>
        <v/>
      </c>
    </row>
    <row r="10215">
      <c r="A10215" t="n">
        <v>10214</v>
      </c>
      <c r="B10215" t="inlineStr">
        <is>
          <t>x̄CCXIV</t>
        </is>
      </c>
      <c r="C10215">
        <f>ROMAN(10214)</f>
        <v/>
      </c>
      <c r="D10215">
        <f>IF(B10215=C10215, "YES", "WRONG")</f>
        <v/>
      </c>
    </row>
    <row r="10216">
      <c r="A10216" t="n">
        <v>10215</v>
      </c>
      <c r="B10216" t="inlineStr">
        <is>
          <t>x̄CCXV</t>
        </is>
      </c>
      <c r="C10216">
        <f>ROMAN(10215)</f>
        <v/>
      </c>
      <c r="D10216">
        <f>IF(B10216=C10216, "YES", "WRONG")</f>
        <v/>
      </c>
    </row>
    <row r="10217">
      <c r="A10217" t="n">
        <v>10216</v>
      </c>
      <c r="B10217" t="inlineStr">
        <is>
          <t>x̄CCXVI</t>
        </is>
      </c>
      <c r="C10217">
        <f>ROMAN(10216)</f>
        <v/>
      </c>
      <c r="D10217">
        <f>IF(B10217=C10217, "YES", "WRONG")</f>
        <v/>
      </c>
    </row>
    <row r="10218">
      <c r="A10218" t="n">
        <v>10217</v>
      </c>
      <c r="B10218" t="inlineStr">
        <is>
          <t>x̄CCXVII</t>
        </is>
      </c>
      <c r="C10218">
        <f>ROMAN(10217)</f>
        <v/>
      </c>
      <c r="D10218">
        <f>IF(B10218=C10218, "YES", "WRONG")</f>
        <v/>
      </c>
    </row>
    <row r="10219">
      <c r="A10219" t="n">
        <v>10218</v>
      </c>
      <c r="B10219" t="inlineStr">
        <is>
          <t>x̄CCXVIII</t>
        </is>
      </c>
      <c r="C10219">
        <f>ROMAN(10218)</f>
        <v/>
      </c>
      <c r="D10219">
        <f>IF(B10219=C10219, "YES", "WRONG")</f>
        <v/>
      </c>
    </row>
    <row r="10220">
      <c r="A10220" t="n">
        <v>10219</v>
      </c>
      <c r="B10220" t="inlineStr">
        <is>
          <t>x̄CCXIX</t>
        </is>
      </c>
      <c r="C10220">
        <f>ROMAN(10219)</f>
        <v/>
      </c>
      <c r="D10220">
        <f>IF(B10220=C10220, "YES", "WRONG")</f>
        <v/>
      </c>
    </row>
    <row r="10221">
      <c r="A10221" t="n">
        <v>10220</v>
      </c>
      <c r="B10221" t="inlineStr">
        <is>
          <t>x̄CCXX</t>
        </is>
      </c>
      <c r="C10221">
        <f>ROMAN(10220)</f>
        <v/>
      </c>
      <c r="D10221">
        <f>IF(B10221=C10221, "YES", "WRONG")</f>
        <v/>
      </c>
    </row>
    <row r="10222">
      <c r="A10222" t="n">
        <v>10221</v>
      </c>
      <c r="B10222" t="inlineStr">
        <is>
          <t>x̄CCXXI</t>
        </is>
      </c>
      <c r="C10222">
        <f>ROMAN(10221)</f>
        <v/>
      </c>
      <c r="D10222">
        <f>IF(B10222=C10222, "YES", "WRONG")</f>
        <v/>
      </c>
    </row>
    <row r="10223">
      <c r="A10223" t="n">
        <v>10222</v>
      </c>
      <c r="B10223" t="inlineStr">
        <is>
          <t>x̄CCXXII</t>
        </is>
      </c>
      <c r="C10223">
        <f>ROMAN(10222)</f>
        <v/>
      </c>
      <c r="D10223">
        <f>IF(B10223=C10223, "YES", "WRONG")</f>
        <v/>
      </c>
    </row>
    <row r="10224">
      <c r="A10224" t="n">
        <v>10223</v>
      </c>
      <c r="B10224" t="inlineStr">
        <is>
          <t>x̄CCXXIII</t>
        </is>
      </c>
      <c r="C10224">
        <f>ROMAN(10223)</f>
        <v/>
      </c>
      <c r="D10224">
        <f>IF(B10224=C10224, "YES", "WRONG")</f>
        <v/>
      </c>
    </row>
    <row r="10225">
      <c r="A10225" t="n">
        <v>10224</v>
      </c>
      <c r="B10225" t="inlineStr">
        <is>
          <t>x̄CCXXIV</t>
        </is>
      </c>
      <c r="C10225">
        <f>ROMAN(10224)</f>
        <v/>
      </c>
      <c r="D10225">
        <f>IF(B10225=C10225, "YES", "WRONG")</f>
        <v/>
      </c>
    </row>
    <row r="10226">
      <c r="A10226" t="n">
        <v>10225</v>
      </c>
      <c r="B10226" t="inlineStr">
        <is>
          <t>x̄CCXXV</t>
        </is>
      </c>
      <c r="C10226">
        <f>ROMAN(10225)</f>
        <v/>
      </c>
      <c r="D10226">
        <f>IF(B10226=C10226, "YES", "WRONG")</f>
        <v/>
      </c>
    </row>
    <row r="10227">
      <c r="A10227" t="n">
        <v>10226</v>
      </c>
      <c r="B10227" t="inlineStr">
        <is>
          <t>x̄CCXXVI</t>
        </is>
      </c>
      <c r="C10227">
        <f>ROMAN(10226)</f>
        <v/>
      </c>
      <c r="D10227">
        <f>IF(B10227=C10227, "YES", "WRONG")</f>
        <v/>
      </c>
    </row>
    <row r="10228">
      <c r="A10228" t="n">
        <v>10227</v>
      </c>
      <c r="B10228" t="inlineStr">
        <is>
          <t>x̄CCXXVII</t>
        </is>
      </c>
      <c r="C10228">
        <f>ROMAN(10227)</f>
        <v/>
      </c>
      <c r="D10228">
        <f>IF(B10228=C10228, "YES", "WRONG")</f>
        <v/>
      </c>
    </row>
    <row r="10229">
      <c r="A10229" t="n">
        <v>10228</v>
      </c>
      <c r="B10229" t="inlineStr">
        <is>
          <t>x̄CCXXVIII</t>
        </is>
      </c>
      <c r="C10229">
        <f>ROMAN(10228)</f>
        <v/>
      </c>
      <c r="D10229">
        <f>IF(B10229=C10229, "YES", "WRONG")</f>
        <v/>
      </c>
    </row>
    <row r="10230">
      <c r="A10230" t="n">
        <v>10229</v>
      </c>
      <c r="B10230" t="inlineStr">
        <is>
          <t>x̄CCXXIX</t>
        </is>
      </c>
      <c r="C10230">
        <f>ROMAN(10229)</f>
        <v/>
      </c>
      <c r="D10230">
        <f>IF(B10230=C10230, "YES", "WRONG")</f>
        <v/>
      </c>
    </row>
    <row r="10231">
      <c r="A10231" t="n">
        <v>10230</v>
      </c>
      <c r="B10231" t="inlineStr">
        <is>
          <t>x̄CCXXX</t>
        </is>
      </c>
      <c r="C10231">
        <f>ROMAN(10230)</f>
        <v/>
      </c>
      <c r="D10231">
        <f>IF(B10231=C10231, "YES", "WRONG")</f>
        <v/>
      </c>
    </row>
    <row r="10232">
      <c r="A10232" t="n">
        <v>10231</v>
      </c>
      <c r="B10232" t="inlineStr">
        <is>
          <t>x̄CCXXXI</t>
        </is>
      </c>
      <c r="C10232">
        <f>ROMAN(10231)</f>
        <v/>
      </c>
      <c r="D10232">
        <f>IF(B10232=C10232, "YES", "WRONG")</f>
        <v/>
      </c>
    </row>
    <row r="10233">
      <c r="A10233" t="n">
        <v>10232</v>
      </c>
      <c r="B10233" t="inlineStr">
        <is>
          <t>x̄CCXXXII</t>
        </is>
      </c>
      <c r="C10233">
        <f>ROMAN(10232)</f>
        <v/>
      </c>
      <c r="D10233">
        <f>IF(B10233=C10233, "YES", "WRONG")</f>
        <v/>
      </c>
    </row>
    <row r="10234">
      <c r="A10234" t="n">
        <v>10233</v>
      </c>
      <c r="B10234" t="inlineStr">
        <is>
          <t>x̄CCXXXIII</t>
        </is>
      </c>
      <c r="C10234">
        <f>ROMAN(10233)</f>
        <v/>
      </c>
      <c r="D10234">
        <f>IF(B10234=C10234, "YES", "WRONG")</f>
        <v/>
      </c>
    </row>
    <row r="10235">
      <c r="A10235" t="n">
        <v>10234</v>
      </c>
      <c r="B10235" t="inlineStr">
        <is>
          <t>x̄CCXXXIV</t>
        </is>
      </c>
      <c r="C10235">
        <f>ROMAN(10234)</f>
        <v/>
      </c>
      <c r="D10235">
        <f>IF(B10235=C10235, "YES", "WRONG")</f>
        <v/>
      </c>
    </row>
    <row r="10236">
      <c r="A10236" t="n">
        <v>10235</v>
      </c>
      <c r="B10236" t="inlineStr">
        <is>
          <t>x̄CCXXXV</t>
        </is>
      </c>
      <c r="C10236">
        <f>ROMAN(10235)</f>
        <v/>
      </c>
      <c r="D10236">
        <f>IF(B10236=C10236, "YES", "WRONG")</f>
        <v/>
      </c>
    </row>
    <row r="10237">
      <c r="A10237" t="n">
        <v>10236</v>
      </c>
      <c r="B10237" t="inlineStr">
        <is>
          <t>x̄CCXXXVI</t>
        </is>
      </c>
      <c r="C10237">
        <f>ROMAN(10236)</f>
        <v/>
      </c>
      <c r="D10237">
        <f>IF(B10237=C10237, "YES", "WRONG")</f>
        <v/>
      </c>
    </row>
    <row r="10238">
      <c r="A10238" t="n">
        <v>10237</v>
      </c>
      <c r="B10238" t="inlineStr">
        <is>
          <t>x̄CCXXXVII</t>
        </is>
      </c>
      <c r="C10238">
        <f>ROMAN(10237)</f>
        <v/>
      </c>
      <c r="D10238">
        <f>IF(B10238=C10238, "YES", "WRONG")</f>
        <v/>
      </c>
    </row>
    <row r="10239">
      <c r="A10239" t="n">
        <v>10238</v>
      </c>
      <c r="B10239" t="inlineStr">
        <is>
          <t>x̄CCXXXVIII</t>
        </is>
      </c>
      <c r="C10239">
        <f>ROMAN(10238)</f>
        <v/>
      </c>
      <c r="D10239">
        <f>IF(B10239=C10239, "YES", "WRONG")</f>
        <v/>
      </c>
    </row>
    <row r="10240">
      <c r="A10240" t="n">
        <v>10239</v>
      </c>
      <c r="B10240" t="inlineStr">
        <is>
          <t>x̄CCXXXIX</t>
        </is>
      </c>
      <c r="C10240">
        <f>ROMAN(10239)</f>
        <v/>
      </c>
      <c r="D10240">
        <f>IF(B10240=C10240, "YES", "WRONG")</f>
        <v/>
      </c>
    </row>
    <row r="10241">
      <c r="A10241" t="n">
        <v>10240</v>
      </c>
      <c r="B10241" t="inlineStr">
        <is>
          <t>x̄CCXL</t>
        </is>
      </c>
      <c r="C10241">
        <f>ROMAN(10240)</f>
        <v/>
      </c>
      <c r="D10241">
        <f>IF(B10241=C10241, "YES", "WRONG")</f>
        <v/>
      </c>
    </row>
    <row r="10242">
      <c r="A10242" t="n">
        <v>10241</v>
      </c>
      <c r="B10242" t="inlineStr">
        <is>
          <t>x̄CCXLI</t>
        </is>
      </c>
      <c r="C10242">
        <f>ROMAN(10241)</f>
        <v/>
      </c>
      <c r="D10242">
        <f>IF(B10242=C10242, "YES", "WRONG")</f>
        <v/>
      </c>
    </row>
    <row r="10243">
      <c r="A10243" t="n">
        <v>10242</v>
      </c>
      <c r="B10243" t="inlineStr">
        <is>
          <t>x̄CCXLII</t>
        </is>
      </c>
      <c r="C10243">
        <f>ROMAN(10242)</f>
        <v/>
      </c>
      <c r="D10243">
        <f>IF(B10243=C10243, "YES", "WRONG")</f>
        <v/>
      </c>
    </row>
    <row r="10244">
      <c r="A10244" t="n">
        <v>10243</v>
      </c>
      <c r="B10244" t="inlineStr">
        <is>
          <t>x̄CCXLIII</t>
        </is>
      </c>
      <c r="C10244">
        <f>ROMAN(10243)</f>
        <v/>
      </c>
      <c r="D10244">
        <f>IF(B10244=C10244, "YES", "WRONG")</f>
        <v/>
      </c>
    </row>
    <row r="10245">
      <c r="A10245" t="n">
        <v>10244</v>
      </c>
      <c r="B10245" t="inlineStr">
        <is>
          <t>x̄CCXLIV</t>
        </is>
      </c>
      <c r="C10245">
        <f>ROMAN(10244)</f>
        <v/>
      </c>
      <c r="D10245">
        <f>IF(B10245=C10245, "YES", "WRONG")</f>
        <v/>
      </c>
    </row>
    <row r="10246">
      <c r="A10246" t="n">
        <v>10245</v>
      </c>
      <c r="B10246" t="inlineStr">
        <is>
          <t>x̄CCXLV</t>
        </is>
      </c>
      <c r="C10246">
        <f>ROMAN(10245)</f>
        <v/>
      </c>
      <c r="D10246">
        <f>IF(B10246=C10246, "YES", "WRONG")</f>
        <v/>
      </c>
    </row>
    <row r="10247">
      <c r="A10247" t="n">
        <v>10246</v>
      </c>
      <c r="B10247" t="inlineStr">
        <is>
          <t>x̄CCXLVI</t>
        </is>
      </c>
      <c r="C10247">
        <f>ROMAN(10246)</f>
        <v/>
      </c>
      <c r="D10247">
        <f>IF(B10247=C10247, "YES", "WRONG")</f>
        <v/>
      </c>
    </row>
    <row r="10248">
      <c r="A10248" t="n">
        <v>10247</v>
      </c>
      <c r="B10248" t="inlineStr">
        <is>
          <t>x̄CCXLVII</t>
        </is>
      </c>
      <c r="C10248">
        <f>ROMAN(10247)</f>
        <v/>
      </c>
      <c r="D10248">
        <f>IF(B10248=C10248, "YES", "WRONG")</f>
        <v/>
      </c>
    </row>
    <row r="10249">
      <c r="A10249" t="n">
        <v>10248</v>
      </c>
      <c r="B10249" t="inlineStr">
        <is>
          <t>x̄CCXLVIII</t>
        </is>
      </c>
      <c r="C10249">
        <f>ROMAN(10248)</f>
        <v/>
      </c>
      <c r="D10249">
        <f>IF(B10249=C10249, "YES", "WRONG")</f>
        <v/>
      </c>
    </row>
    <row r="10250">
      <c r="A10250" t="n">
        <v>10249</v>
      </c>
      <c r="B10250" t="inlineStr">
        <is>
          <t>x̄CCXLIX</t>
        </is>
      </c>
      <c r="C10250">
        <f>ROMAN(10249)</f>
        <v/>
      </c>
      <c r="D10250">
        <f>IF(B10250=C10250, "YES", "WRONG")</f>
        <v/>
      </c>
    </row>
    <row r="10251">
      <c r="A10251" t="n">
        <v>10250</v>
      </c>
      <c r="B10251" t="inlineStr">
        <is>
          <t>x̄CCL</t>
        </is>
      </c>
      <c r="C10251">
        <f>ROMAN(10250)</f>
        <v/>
      </c>
      <c r="D10251">
        <f>IF(B10251=C10251, "YES", "WRONG")</f>
        <v/>
      </c>
    </row>
    <row r="10252">
      <c r="A10252" t="n">
        <v>10251</v>
      </c>
      <c r="B10252" t="inlineStr">
        <is>
          <t>x̄CCLI</t>
        </is>
      </c>
      <c r="C10252">
        <f>ROMAN(10251)</f>
        <v/>
      </c>
      <c r="D10252">
        <f>IF(B10252=C10252, "YES", "WRONG")</f>
        <v/>
      </c>
    </row>
    <row r="10253">
      <c r="A10253" t="n">
        <v>10252</v>
      </c>
      <c r="B10253" t="inlineStr">
        <is>
          <t>x̄CCLII</t>
        </is>
      </c>
      <c r="C10253">
        <f>ROMAN(10252)</f>
        <v/>
      </c>
      <c r="D10253">
        <f>IF(B10253=C10253, "YES", "WRONG")</f>
        <v/>
      </c>
    </row>
    <row r="10254">
      <c r="A10254" t="n">
        <v>10253</v>
      </c>
      <c r="B10254" t="inlineStr">
        <is>
          <t>x̄CCLIII</t>
        </is>
      </c>
      <c r="C10254">
        <f>ROMAN(10253)</f>
        <v/>
      </c>
      <c r="D10254">
        <f>IF(B10254=C10254, "YES", "WRONG")</f>
        <v/>
      </c>
    </row>
    <row r="10255">
      <c r="A10255" t="n">
        <v>10254</v>
      </c>
      <c r="B10255" t="inlineStr">
        <is>
          <t>x̄CCLIV</t>
        </is>
      </c>
      <c r="C10255">
        <f>ROMAN(10254)</f>
        <v/>
      </c>
      <c r="D10255">
        <f>IF(B10255=C10255, "YES", "WRONG")</f>
        <v/>
      </c>
    </row>
    <row r="10256">
      <c r="A10256" t="n">
        <v>10255</v>
      </c>
      <c r="B10256" t="inlineStr">
        <is>
          <t>x̄CCLV</t>
        </is>
      </c>
      <c r="C10256">
        <f>ROMAN(10255)</f>
        <v/>
      </c>
      <c r="D10256">
        <f>IF(B10256=C10256, "YES", "WRONG")</f>
        <v/>
      </c>
    </row>
    <row r="10257">
      <c r="A10257" t="n">
        <v>10256</v>
      </c>
      <c r="B10257" t="inlineStr">
        <is>
          <t>x̄CCLVI</t>
        </is>
      </c>
      <c r="C10257">
        <f>ROMAN(10256)</f>
        <v/>
      </c>
      <c r="D10257">
        <f>IF(B10257=C10257, "YES", "WRONG")</f>
        <v/>
      </c>
    </row>
    <row r="10258">
      <c r="A10258" t="n">
        <v>10257</v>
      </c>
      <c r="B10258" t="inlineStr">
        <is>
          <t>x̄CCLVII</t>
        </is>
      </c>
      <c r="C10258">
        <f>ROMAN(10257)</f>
        <v/>
      </c>
      <c r="D10258">
        <f>IF(B10258=C10258, "YES", "WRONG")</f>
        <v/>
      </c>
    </row>
    <row r="10259">
      <c r="A10259" t="n">
        <v>10258</v>
      </c>
      <c r="B10259" t="inlineStr">
        <is>
          <t>x̄CCLVIII</t>
        </is>
      </c>
      <c r="C10259">
        <f>ROMAN(10258)</f>
        <v/>
      </c>
      <c r="D10259">
        <f>IF(B10259=C10259, "YES", "WRONG")</f>
        <v/>
      </c>
    </row>
    <row r="10260">
      <c r="A10260" t="n">
        <v>10259</v>
      </c>
      <c r="B10260" t="inlineStr">
        <is>
          <t>x̄CCLIX</t>
        </is>
      </c>
      <c r="C10260">
        <f>ROMAN(10259)</f>
        <v/>
      </c>
      <c r="D10260">
        <f>IF(B10260=C10260, "YES", "WRONG")</f>
        <v/>
      </c>
    </row>
    <row r="10261">
      <c r="A10261" t="n">
        <v>10260</v>
      </c>
      <c r="B10261" t="inlineStr">
        <is>
          <t>x̄CCLX</t>
        </is>
      </c>
      <c r="C10261">
        <f>ROMAN(10260)</f>
        <v/>
      </c>
      <c r="D10261">
        <f>IF(B10261=C10261, "YES", "WRONG")</f>
        <v/>
      </c>
    </row>
    <row r="10262">
      <c r="A10262" t="n">
        <v>10261</v>
      </c>
      <c r="B10262" t="inlineStr">
        <is>
          <t>x̄CCLXI</t>
        </is>
      </c>
      <c r="C10262">
        <f>ROMAN(10261)</f>
        <v/>
      </c>
      <c r="D10262">
        <f>IF(B10262=C10262, "YES", "WRONG")</f>
        <v/>
      </c>
    </row>
    <row r="10263">
      <c r="A10263" t="n">
        <v>10262</v>
      </c>
      <c r="B10263" t="inlineStr">
        <is>
          <t>x̄CCLXII</t>
        </is>
      </c>
      <c r="C10263">
        <f>ROMAN(10262)</f>
        <v/>
      </c>
      <c r="D10263">
        <f>IF(B10263=C10263, "YES", "WRONG")</f>
        <v/>
      </c>
    </row>
    <row r="10264">
      <c r="A10264" t="n">
        <v>10263</v>
      </c>
      <c r="B10264" t="inlineStr">
        <is>
          <t>x̄CCLXIII</t>
        </is>
      </c>
      <c r="C10264">
        <f>ROMAN(10263)</f>
        <v/>
      </c>
      <c r="D10264">
        <f>IF(B10264=C10264, "YES", "WRONG")</f>
        <v/>
      </c>
    </row>
    <row r="10265">
      <c r="A10265" t="n">
        <v>10264</v>
      </c>
      <c r="B10265" t="inlineStr">
        <is>
          <t>x̄CCLXIV</t>
        </is>
      </c>
      <c r="C10265">
        <f>ROMAN(10264)</f>
        <v/>
      </c>
      <c r="D10265">
        <f>IF(B10265=C10265, "YES", "WRONG")</f>
        <v/>
      </c>
    </row>
    <row r="10266">
      <c r="A10266" t="n">
        <v>10265</v>
      </c>
      <c r="B10266" t="inlineStr">
        <is>
          <t>x̄CCLXV</t>
        </is>
      </c>
      <c r="C10266">
        <f>ROMAN(10265)</f>
        <v/>
      </c>
      <c r="D10266">
        <f>IF(B10266=C10266, "YES", "WRONG")</f>
        <v/>
      </c>
    </row>
    <row r="10267">
      <c r="A10267" t="n">
        <v>10266</v>
      </c>
      <c r="B10267" t="inlineStr">
        <is>
          <t>x̄CCLXVI</t>
        </is>
      </c>
      <c r="C10267">
        <f>ROMAN(10266)</f>
        <v/>
      </c>
      <c r="D10267">
        <f>IF(B10267=C10267, "YES", "WRONG")</f>
        <v/>
      </c>
    </row>
    <row r="10268">
      <c r="A10268" t="n">
        <v>10267</v>
      </c>
      <c r="B10268" t="inlineStr">
        <is>
          <t>x̄CCLXVII</t>
        </is>
      </c>
      <c r="C10268">
        <f>ROMAN(10267)</f>
        <v/>
      </c>
      <c r="D10268">
        <f>IF(B10268=C10268, "YES", "WRONG")</f>
        <v/>
      </c>
    </row>
    <row r="10269">
      <c r="A10269" t="n">
        <v>10268</v>
      </c>
      <c r="B10269" t="inlineStr">
        <is>
          <t>x̄CCLXVIII</t>
        </is>
      </c>
      <c r="C10269">
        <f>ROMAN(10268)</f>
        <v/>
      </c>
      <c r="D10269">
        <f>IF(B10269=C10269, "YES", "WRONG")</f>
        <v/>
      </c>
    </row>
    <row r="10270">
      <c r="A10270" t="n">
        <v>10269</v>
      </c>
      <c r="B10270" t="inlineStr">
        <is>
          <t>x̄CCLXIX</t>
        </is>
      </c>
      <c r="C10270">
        <f>ROMAN(10269)</f>
        <v/>
      </c>
      <c r="D10270">
        <f>IF(B10270=C10270, "YES", "WRONG")</f>
        <v/>
      </c>
    </row>
    <row r="10271">
      <c r="A10271" t="n">
        <v>10270</v>
      </c>
      <c r="B10271" t="inlineStr">
        <is>
          <t>x̄CCLXX</t>
        </is>
      </c>
      <c r="C10271">
        <f>ROMAN(10270)</f>
        <v/>
      </c>
      <c r="D10271">
        <f>IF(B10271=C10271, "YES", "WRONG")</f>
        <v/>
      </c>
    </row>
    <row r="10272">
      <c r="A10272" t="n">
        <v>10271</v>
      </c>
      <c r="B10272" t="inlineStr">
        <is>
          <t>x̄CCLXXI</t>
        </is>
      </c>
      <c r="C10272">
        <f>ROMAN(10271)</f>
        <v/>
      </c>
      <c r="D10272">
        <f>IF(B10272=C10272, "YES", "WRONG")</f>
        <v/>
      </c>
    </row>
    <row r="10273">
      <c r="A10273" t="n">
        <v>10272</v>
      </c>
      <c r="B10273" t="inlineStr">
        <is>
          <t>x̄CCLXXII</t>
        </is>
      </c>
      <c r="C10273">
        <f>ROMAN(10272)</f>
        <v/>
      </c>
      <c r="D10273">
        <f>IF(B10273=C10273, "YES", "WRONG")</f>
        <v/>
      </c>
    </row>
    <row r="10274">
      <c r="A10274" t="n">
        <v>10273</v>
      </c>
      <c r="B10274" t="inlineStr">
        <is>
          <t>x̄CCLXXIII</t>
        </is>
      </c>
      <c r="C10274">
        <f>ROMAN(10273)</f>
        <v/>
      </c>
      <c r="D10274">
        <f>IF(B10274=C10274, "YES", "WRONG")</f>
        <v/>
      </c>
    </row>
    <row r="10275">
      <c r="A10275" t="n">
        <v>10274</v>
      </c>
      <c r="B10275" t="inlineStr">
        <is>
          <t>x̄CCLXXIV</t>
        </is>
      </c>
      <c r="C10275">
        <f>ROMAN(10274)</f>
        <v/>
      </c>
      <c r="D10275">
        <f>IF(B10275=C10275, "YES", "WRONG")</f>
        <v/>
      </c>
    </row>
    <row r="10276">
      <c r="A10276" t="n">
        <v>10275</v>
      </c>
      <c r="B10276" t="inlineStr">
        <is>
          <t>x̄CCLXXV</t>
        </is>
      </c>
      <c r="C10276">
        <f>ROMAN(10275)</f>
        <v/>
      </c>
      <c r="D10276">
        <f>IF(B10276=C10276, "YES", "WRONG")</f>
        <v/>
      </c>
    </row>
    <row r="10277">
      <c r="A10277" t="n">
        <v>10276</v>
      </c>
      <c r="B10277" t="inlineStr">
        <is>
          <t>x̄CCLXXVI</t>
        </is>
      </c>
      <c r="C10277">
        <f>ROMAN(10276)</f>
        <v/>
      </c>
      <c r="D10277">
        <f>IF(B10277=C10277, "YES", "WRONG")</f>
        <v/>
      </c>
    </row>
    <row r="10278">
      <c r="A10278" t="n">
        <v>10277</v>
      </c>
      <c r="B10278" t="inlineStr">
        <is>
          <t>x̄CCLXXVII</t>
        </is>
      </c>
      <c r="C10278">
        <f>ROMAN(10277)</f>
        <v/>
      </c>
      <c r="D10278">
        <f>IF(B10278=C10278, "YES", "WRONG")</f>
        <v/>
      </c>
    </row>
    <row r="10279">
      <c r="A10279" t="n">
        <v>10278</v>
      </c>
      <c r="B10279" t="inlineStr">
        <is>
          <t>x̄CCLXXVIII</t>
        </is>
      </c>
      <c r="C10279">
        <f>ROMAN(10278)</f>
        <v/>
      </c>
      <c r="D10279">
        <f>IF(B10279=C10279, "YES", "WRONG")</f>
        <v/>
      </c>
    </row>
    <row r="10280">
      <c r="A10280" t="n">
        <v>10279</v>
      </c>
      <c r="B10280" t="inlineStr">
        <is>
          <t>x̄CCLXXIX</t>
        </is>
      </c>
      <c r="C10280">
        <f>ROMAN(10279)</f>
        <v/>
      </c>
      <c r="D10280">
        <f>IF(B10280=C10280, "YES", "WRONG")</f>
        <v/>
      </c>
    </row>
    <row r="10281">
      <c r="A10281" t="n">
        <v>10280</v>
      </c>
      <c r="B10281" t="inlineStr">
        <is>
          <t>x̄CCLXXX</t>
        </is>
      </c>
      <c r="C10281">
        <f>ROMAN(10280)</f>
        <v/>
      </c>
      <c r="D10281">
        <f>IF(B10281=C10281, "YES", "WRONG")</f>
        <v/>
      </c>
    </row>
    <row r="10282">
      <c r="A10282" t="n">
        <v>10281</v>
      </c>
      <c r="B10282" t="inlineStr">
        <is>
          <t>x̄CCLXXXI</t>
        </is>
      </c>
      <c r="C10282">
        <f>ROMAN(10281)</f>
        <v/>
      </c>
      <c r="D10282">
        <f>IF(B10282=C10282, "YES", "WRONG")</f>
        <v/>
      </c>
    </row>
    <row r="10283">
      <c r="A10283" t="n">
        <v>10282</v>
      </c>
      <c r="B10283" t="inlineStr">
        <is>
          <t>x̄CCLXXXII</t>
        </is>
      </c>
      <c r="C10283">
        <f>ROMAN(10282)</f>
        <v/>
      </c>
      <c r="D10283">
        <f>IF(B10283=C10283, "YES", "WRONG")</f>
        <v/>
      </c>
    </row>
    <row r="10284">
      <c r="A10284" t="n">
        <v>10283</v>
      </c>
      <c r="B10284" t="inlineStr">
        <is>
          <t>x̄CCLXXXIII</t>
        </is>
      </c>
      <c r="C10284">
        <f>ROMAN(10283)</f>
        <v/>
      </c>
      <c r="D10284">
        <f>IF(B10284=C10284, "YES", "WRONG")</f>
        <v/>
      </c>
    </row>
    <row r="10285">
      <c r="A10285" t="n">
        <v>10284</v>
      </c>
      <c r="B10285" t="inlineStr">
        <is>
          <t>x̄CCLXXXIV</t>
        </is>
      </c>
      <c r="C10285">
        <f>ROMAN(10284)</f>
        <v/>
      </c>
      <c r="D10285">
        <f>IF(B10285=C10285, "YES", "WRONG")</f>
        <v/>
      </c>
    </row>
    <row r="10286">
      <c r="A10286" t="n">
        <v>10285</v>
      </c>
      <c r="B10286" t="inlineStr">
        <is>
          <t>x̄CCLXXXV</t>
        </is>
      </c>
      <c r="C10286">
        <f>ROMAN(10285)</f>
        <v/>
      </c>
      <c r="D10286">
        <f>IF(B10286=C10286, "YES", "WRONG")</f>
        <v/>
      </c>
    </row>
    <row r="10287">
      <c r="A10287" t="n">
        <v>10286</v>
      </c>
      <c r="B10287" t="inlineStr">
        <is>
          <t>x̄CCLXXXVI</t>
        </is>
      </c>
      <c r="C10287">
        <f>ROMAN(10286)</f>
        <v/>
      </c>
      <c r="D10287">
        <f>IF(B10287=C10287, "YES", "WRONG")</f>
        <v/>
      </c>
    </row>
    <row r="10288">
      <c r="A10288" t="n">
        <v>10287</v>
      </c>
      <c r="B10288" t="inlineStr">
        <is>
          <t>x̄CCLXXXVII</t>
        </is>
      </c>
      <c r="C10288">
        <f>ROMAN(10287)</f>
        <v/>
      </c>
      <c r="D10288">
        <f>IF(B10288=C10288, "YES", "WRONG")</f>
        <v/>
      </c>
    </row>
    <row r="10289">
      <c r="A10289" t="n">
        <v>10288</v>
      </c>
      <c r="B10289" t="inlineStr">
        <is>
          <t>x̄CCLXXXVIII</t>
        </is>
      </c>
      <c r="C10289">
        <f>ROMAN(10288)</f>
        <v/>
      </c>
      <c r="D10289">
        <f>IF(B10289=C10289, "YES", "WRONG")</f>
        <v/>
      </c>
    </row>
    <row r="10290">
      <c r="A10290" t="n">
        <v>10289</v>
      </c>
      <c r="B10290" t="inlineStr">
        <is>
          <t>x̄CCLXXXIX</t>
        </is>
      </c>
      <c r="C10290">
        <f>ROMAN(10289)</f>
        <v/>
      </c>
      <c r="D10290">
        <f>IF(B10290=C10290, "YES", "WRONG")</f>
        <v/>
      </c>
    </row>
    <row r="10291">
      <c r="A10291" t="n">
        <v>10290</v>
      </c>
      <c r="B10291" t="inlineStr">
        <is>
          <t>x̄CCXC</t>
        </is>
      </c>
      <c r="C10291">
        <f>ROMAN(10290)</f>
        <v/>
      </c>
      <c r="D10291">
        <f>IF(B10291=C10291, "YES", "WRONG")</f>
        <v/>
      </c>
    </row>
    <row r="10292">
      <c r="A10292" t="n">
        <v>10291</v>
      </c>
      <c r="B10292" t="inlineStr">
        <is>
          <t>x̄CCXCI</t>
        </is>
      </c>
      <c r="C10292">
        <f>ROMAN(10291)</f>
        <v/>
      </c>
      <c r="D10292">
        <f>IF(B10292=C10292, "YES", "WRONG")</f>
        <v/>
      </c>
    </row>
    <row r="10293">
      <c r="A10293" t="n">
        <v>10292</v>
      </c>
      <c r="B10293" t="inlineStr">
        <is>
          <t>x̄CCXCII</t>
        </is>
      </c>
      <c r="C10293">
        <f>ROMAN(10292)</f>
        <v/>
      </c>
      <c r="D10293">
        <f>IF(B10293=C10293, "YES", "WRONG")</f>
        <v/>
      </c>
    </row>
    <row r="10294">
      <c r="A10294" t="n">
        <v>10293</v>
      </c>
      <c r="B10294" t="inlineStr">
        <is>
          <t>x̄CCXCIII</t>
        </is>
      </c>
      <c r="C10294">
        <f>ROMAN(10293)</f>
        <v/>
      </c>
      <c r="D10294">
        <f>IF(B10294=C10294, "YES", "WRONG")</f>
        <v/>
      </c>
    </row>
    <row r="10295">
      <c r="A10295" t="n">
        <v>10294</v>
      </c>
      <c r="B10295" t="inlineStr">
        <is>
          <t>x̄CCXCIV</t>
        </is>
      </c>
      <c r="C10295">
        <f>ROMAN(10294)</f>
        <v/>
      </c>
      <c r="D10295">
        <f>IF(B10295=C10295, "YES", "WRONG")</f>
        <v/>
      </c>
    </row>
    <row r="10296">
      <c r="A10296" t="n">
        <v>10295</v>
      </c>
      <c r="B10296" t="inlineStr">
        <is>
          <t>x̄CCXCV</t>
        </is>
      </c>
      <c r="C10296">
        <f>ROMAN(10295)</f>
        <v/>
      </c>
      <c r="D10296">
        <f>IF(B10296=C10296, "YES", "WRONG")</f>
        <v/>
      </c>
    </row>
    <row r="10297">
      <c r="A10297" t="n">
        <v>10296</v>
      </c>
      <c r="B10297" t="inlineStr">
        <is>
          <t>x̄CCXCVI</t>
        </is>
      </c>
      <c r="C10297">
        <f>ROMAN(10296)</f>
        <v/>
      </c>
      <c r="D10297">
        <f>IF(B10297=C10297, "YES", "WRONG")</f>
        <v/>
      </c>
    </row>
    <row r="10298">
      <c r="A10298" t="n">
        <v>10297</v>
      </c>
      <c r="B10298" t="inlineStr">
        <is>
          <t>x̄CCXCVII</t>
        </is>
      </c>
      <c r="C10298">
        <f>ROMAN(10297)</f>
        <v/>
      </c>
      <c r="D10298">
        <f>IF(B10298=C10298, "YES", "WRONG")</f>
        <v/>
      </c>
    </row>
    <row r="10299">
      <c r="A10299" t="n">
        <v>10298</v>
      </c>
      <c r="B10299" t="inlineStr">
        <is>
          <t>x̄CCXCVIII</t>
        </is>
      </c>
      <c r="C10299">
        <f>ROMAN(10298)</f>
        <v/>
      </c>
      <c r="D10299">
        <f>IF(B10299=C10299, "YES", "WRONG")</f>
        <v/>
      </c>
    </row>
    <row r="10300">
      <c r="A10300" t="n">
        <v>10299</v>
      </c>
      <c r="B10300" t="inlineStr">
        <is>
          <t>x̄CCXCIX</t>
        </is>
      </c>
      <c r="C10300">
        <f>ROMAN(10299)</f>
        <v/>
      </c>
      <c r="D10300">
        <f>IF(B10300=C10300, "YES", "WRONG")</f>
        <v/>
      </c>
    </row>
    <row r="10301">
      <c r="A10301" t="n">
        <v>10300</v>
      </c>
      <c r="B10301" t="inlineStr">
        <is>
          <t>x̄CCC</t>
        </is>
      </c>
      <c r="C10301">
        <f>ROMAN(10300)</f>
        <v/>
      </c>
      <c r="D10301">
        <f>IF(B10301=C10301, "YES", "WRONG")</f>
        <v/>
      </c>
    </row>
    <row r="10302">
      <c r="A10302" t="n">
        <v>10301</v>
      </c>
      <c r="B10302" t="inlineStr">
        <is>
          <t>x̄CCCI</t>
        </is>
      </c>
      <c r="C10302">
        <f>ROMAN(10301)</f>
        <v/>
      </c>
      <c r="D10302">
        <f>IF(B10302=C10302, "YES", "WRONG")</f>
        <v/>
      </c>
    </row>
    <row r="10303">
      <c r="A10303" t="n">
        <v>10302</v>
      </c>
      <c r="B10303" t="inlineStr">
        <is>
          <t>x̄CCCII</t>
        </is>
      </c>
      <c r="C10303">
        <f>ROMAN(10302)</f>
        <v/>
      </c>
      <c r="D10303">
        <f>IF(B10303=C10303, "YES", "WRONG")</f>
        <v/>
      </c>
    </row>
    <row r="10304">
      <c r="A10304" t="n">
        <v>10303</v>
      </c>
      <c r="B10304" t="inlineStr">
        <is>
          <t>x̄CCCIII</t>
        </is>
      </c>
      <c r="C10304">
        <f>ROMAN(10303)</f>
        <v/>
      </c>
      <c r="D10304">
        <f>IF(B10304=C10304, "YES", "WRONG")</f>
        <v/>
      </c>
    </row>
    <row r="10305">
      <c r="A10305" t="n">
        <v>10304</v>
      </c>
      <c r="B10305" t="inlineStr">
        <is>
          <t>x̄CCCIV</t>
        </is>
      </c>
      <c r="C10305">
        <f>ROMAN(10304)</f>
        <v/>
      </c>
      <c r="D10305">
        <f>IF(B10305=C10305, "YES", "WRONG")</f>
        <v/>
      </c>
    </row>
    <row r="10306">
      <c r="A10306" t="n">
        <v>10305</v>
      </c>
      <c r="B10306" t="inlineStr">
        <is>
          <t>x̄CCCV</t>
        </is>
      </c>
      <c r="C10306">
        <f>ROMAN(10305)</f>
        <v/>
      </c>
      <c r="D10306">
        <f>IF(B10306=C10306, "YES", "WRONG")</f>
        <v/>
      </c>
    </row>
    <row r="10307">
      <c r="A10307" t="n">
        <v>10306</v>
      </c>
      <c r="B10307" t="inlineStr">
        <is>
          <t>x̄CCCVI</t>
        </is>
      </c>
      <c r="C10307">
        <f>ROMAN(10306)</f>
        <v/>
      </c>
      <c r="D10307">
        <f>IF(B10307=C10307, "YES", "WRONG")</f>
        <v/>
      </c>
    </row>
    <row r="10308">
      <c r="A10308" t="n">
        <v>10307</v>
      </c>
      <c r="B10308" t="inlineStr">
        <is>
          <t>x̄CCCVII</t>
        </is>
      </c>
      <c r="C10308">
        <f>ROMAN(10307)</f>
        <v/>
      </c>
      <c r="D10308">
        <f>IF(B10308=C10308, "YES", "WRONG")</f>
        <v/>
      </c>
    </row>
    <row r="10309">
      <c r="A10309" t="n">
        <v>10308</v>
      </c>
      <c r="B10309" t="inlineStr">
        <is>
          <t>x̄CCCVIII</t>
        </is>
      </c>
      <c r="C10309">
        <f>ROMAN(10308)</f>
        <v/>
      </c>
      <c r="D10309">
        <f>IF(B10309=C10309, "YES", "WRONG")</f>
        <v/>
      </c>
    </row>
    <row r="10310">
      <c r="A10310" t="n">
        <v>10309</v>
      </c>
      <c r="B10310" t="inlineStr">
        <is>
          <t>x̄CCCIX</t>
        </is>
      </c>
      <c r="C10310">
        <f>ROMAN(10309)</f>
        <v/>
      </c>
      <c r="D10310">
        <f>IF(B10310=C10310, "YES", "WRONG")</f>
        <v/>
      </c>
    </row>
    <row r="10311">
      <c r="A10311" t="n">
        <v>10310</v>
      </c>
      <c r="B10311" t="inlineStr">
        <is>
          <t>x̄CCCX</t>
        </is>
      </c>
      <c r="C10311">
        <f>ROMAN(10310)</f>
        <v/>
      </c>
      <c r="D10311">
        <f>IF(B10311=C10311, "YES", "WRONG")</f>
        <v/>
      </c>
    </row>
    <row r="10312">
      <c r="A10312" t="n">
        <v>10311</v>
      </c>
      <c r="B10312" t="inlineStr">
        <is>
          <t>x̄CCCXI</t>
        </is>
      </c>
      <c r="C10312">
        <f>ROMAN(10311)</f>
        <v/>
      </c>
      <c r="D10312">
        <f>IF(B10312=C10312, "YES", "WRONG")</f>
        <v/>
      </c>
    </row>
    <row r="10313">
      <c r="A10313" t="n">
        <v>10312</v>
      </c>
      <c r="B10313" t="inlineStr">
        <is>
          <t>x̄CCCXII</t>
        </is>
      </c>
      <c r="C10313">
        <f>ROMAN(10312)</f>
        <v/>
      </c>
      <c r="D10313">
        <f>IF(B10313=C10313, "YES", "WRONG")</f>
        <v/>
      </c>
    </row>
    <row r="10314">
      <c r="A10314" t="n">
        <v>10313</v>
      </c>
      <c r="B10314" t="inlineStr">
        <is>
          <t>x̄CCCXIII</t>
        </is>
      </c>
      <c r="C10314">
        <f>ROMAN(10313)</f>
        <v/>
      </c>
      <c r="D10314">
        <f>IF(B10314=C10314, "YES", "WRONG")</f>
        <v/>
      </c>
    </row>
    <row r="10315">
      <c r="A10315" t="n">
        <v>10314</v>
      </c>
      <c r="B10315" t="inlineStr">
        <is>
          <t>x̄CCCXIV</t>
        </is>
      </c>
      <c r="C10315">
        <f>ROMAN(10314)</f>
        <v/>
      </c>
      <c r="D10315">
        <f>IF(B10315=C10315, "YES", "WRONG")</f>
        <v/>
      </c>
    </row>
    <row r="10316">
      <c r="A10316" t="n">
        <v>10315</v>
      </c>
      <c r="B10316" t="inlineStr">
        <is>
          <t>x̄CCCXV</t>
        </is>
      </c>
      <c r="C10316">
        <f>ROMAN(10315)</f>
        <v/>
      </c>
      <c r="D10316">
        <f>IF(B10316=C10316, "YES", "WRONG")</f>
        <v/>
      </c>
    </row>
    <row r="10317">
      <c r="A10317" t="n">
        <v>10316</v>
      </c>
      <c r="B10317" t="inlineStr">
        <is>
          <t>x̄CCCXVI</t>
        </is>
      </c>
      <c r="C10317">
        <f>ROMAN(10316)</f>
        <v/>
      </c>
      <c r="D10317">
        <f>IF(B10317=C10317, "YES", "WRONG")</f>
        <v/>
      </c>
    </row>
    <row r="10318">
      <c r="A10318" t="n">
        <v>10317</v>
      </c>
      <c r="B10318" t="inlineStr">
        <is>
          <t>x̄CCCXVII</t>
        </is>
      </c>
      <c r="C10318">
        <f>ROMAN(10317)</f>
        <v/>
      </c>
      <c r="D10318">
        <f>IF(B10318=C10318, "YES", "WRONG")</f>
        <v/>
      </c>
    </row>
    <row r="10319">
      <c r="A10319" t="n">
        <v>10318</v>
      </c>
      <c r="B10319" t="inlineStr">
        <is>
          <t>x̄CCCXVIII</t>
        </is>
      </c>
      <c r="C10319">
        <f>ROMAN(10318)</f>
        <v/>
      </c>
      <c r="D10319">
        <f>IF(B10319=C10319, "YES", "WRONG")</f>
        <v/>
      </c>
    </row>
    <row r="10320">
      <c r="A10320" t="n">
        <v>10319</v>
      </c>
      <c r="B10320" t="inlineStr">
        <is>
          <t>x̄CCCXIX</t>
        </is>
      </c>
      <c r="C10320">
        <f>ROMAN(10319)</f>
        <v/>
      </c>
      <c r="D10320">
        <f>IF(B10320=C10320, "YES", "WRONG")</f>
        <v/>
      </c>
    </row>
    <row r="10321">
      <c r="A10321" t="n">
        <v>10320</v>
      </c>
      <c r="B10321" t="inlineStr">
        <is>
          <t>x̄CCCXX</t>
        </is>
      </c>
      <c r="C10321">
        <f>ROMAN(10320)</f>
        <v/>
      </c>
      <c r="D10321">
        <f>IF(B10321=C10321, "YES", "WRONG")</f>
        <v/>
      </c>
    </row>
    <row r="10322">
      <c r="A10322" t="n">
        <v>10321</v>
      </c>
      <c r="B10322" t="inlineStr">
        <is>
          <t>x̄CCCXXI</t>
        </is>
      </c>
      <c r="C10322">
        <f>ROMAN(10321)</f>
        <v/>
      </c>
      <c r="D10322">
        <f>IF(B10322=C10322, "YES", "WRONG")</f>
        <v/>
      </c>
    </row>
    <row r="10323">
      <c r="A10323" t="n">
        <v>10322</v>
      </c>
      <c r="B10323" t="inlineStr">
        <is>
          <t>x̄CCCXXII</t>
        </is>
      </c>
      <c r="C10323">
        <f>ROMAN(10322)</f>
        <v/>
      </c>
      <c r="D10323">
        <f>IF(B10323=C10323, "YES", "WRONG")</f>
        <v/>
      </c>
    </row>
    <row r="10324">
      <c r="A10324" t="n">
        <v>10323</v>
      </c>
      <c r="B10324" t="inlineStr">
        <is>
          <t>x̄CCCXXIII</t>
        </is>
      </c>
      <c r="C10324">
        <f>ROMAN(10323)</f>
        <v/>
      </c>
      <c r="D10324">
        <f>IF(B10324=C10324, "YES", "WRONG")</f>
        <v/>
      </c>
    </row>
    <row r="10325">
      <c r="A10325" t="n">
        <v>10324</v>
      </c>
      <c r="B10325" t="inlineStr">
        <is>
          <t>x̄CCCXXIV</t>
        </is>
      </c>
      <c r="C10325">
        <f>ROMAN(10324)</f>
        <v/>
      </c>
      <c r="D10325">
        <f>IF(B10325=C10325, "YES", "WRONG")</f>
        <v/>
      </c>
    </row>
    <row r="10326">
      <c r="A10326" t="n">
        <v>10325</v>
      </c>
      <c r="B10326" t="inlineStr">
        <is>
          <t>x̄CCCXXV</t>
        </is>
      </c>
      <c r="C10326">
        <f>ROMAN(10325)</f>
        <v/>
      </c>
      <c r="D10326">
        <f>IF(B10326=C10326, "YES", "WRONG")</f>
        <v/>
      </c>
    </row>
    <row r="10327">
      <c r="A10327" t="n">
        <v>10326</v>
      </c>
      <c r="B10327" t="inlineStr">
        <is>
          <t>x̄CCCXXVI</t>
        </is>
      </c>
      <c r="C10327">
        <f>ROMAN(10326)</f>
        <v/>
      </c>
      <c r="D10327">
        <f>IF(B10327=C10327, "YES", "WRONG")</f>
        <v/>
      </c>
    </row>
    <row r="10328">
      <c r="A10328" t="n">
        <v>10327</v>
      </c>
      <c r="B10328" t="inlineStr">
        <is>
          <t>x̄CCCXXVII</t>
        </is>
      </c>
      <c r="C10328">
        <f>ROMAN(10327)</f>
        <v/>
      </c>
      <c r="D10328">
        <f>IF(B10328=C10328, "YES", "WRONG")</f>
        <v/>
      </c>
    </row>
    <row r="10329">
      <c r="A10329" t="n">
        <v>10328</v>
      </c>
      <c r="B10329" t="inlineStr">
        <is>
          <t>x̄CCCXXVIII</t>
        </is>
      </c>
      <c r="C10329">
        <f>ROMAN(10328)</f>
        <v/>
      </c>
      <c r="D10329">
        <f>IF(B10329=C10329, "YES", "WRONG")</f>
        <v/>
      </c>
    </row>
    <row r="10330">
      <c r="A10330" t="n">
        <v>10329</v>
      </c>
      <c r="B10330" t="inlineStr">
        <is>
          <t>x̄CCCXXIX</t>
        </is>
      </c>
      <c r="C10330">
        <f>ROMAN(10329)</f>
        <v/>
      </c>
      <c r="D10330">
        <f>IF(B10330=C10330, "YES", "WRONG")</f>
        <v/>
      </c>
    </row>
    <row r="10331">
      <c r="A10331" t="n">
        <v>10330</v>
      </c>
      <c r="B10331" t="inlineStr">
        <is>
          <t>x̄CCCXXX</t>
        </is>
      </c>
      <c r="C10331">
        <f>ROMAN(10330)</f>
        <v/>
      </c>
      <c r="D10331">
        <f>IF(B10331=C10331, "YES", "WRONG")</f>
        <v/>
      </c>
    </row>
    <row r="10332">
      <c r="A10332" t="n">
        <v>10331</v>
      </c>
      <c r="B10332" t="inlineStr">
        <is>
          <t>x̄CCCXXXI</t>
        </is>
      </c>
      <c r="C10332">
        <f>ROMAN(10331)</f>
        <v/>
      </c>
      <c r="D10332">
        <f>IF(B10332=C10332, "YES", "WRONG")</f>
        <v/>
      </c>
    </row>
    <row r="10333">
      <c r="A10333" t="n">
        <v>10332</v>
      </c>
      <c r="B10333" t="inlineStr">
        <is>
          <t>x̄CCCXXXII</t>
        </is>
      </c>
      <c r="C10333">
        <f>ROMAN(10332)</f>
        <v/>
      </c>
      <c r="D10333">
        <f>IF(B10333=C10333, "YES", "WRONG")</f>
        <v/>
      </c>
    </row>
    <row r="10334">
      <c r="A10334" t="n">
        <v>10333</v>
      </c>
      <c r="B10334" t="inlineStr">
        <is>
          <t>x̄CCCXXXIII</t>
        </is>
      </c>
      <c r="C10334">
        <f>ROMAN(10333)</f>
        <v/>
      </c>
      <c r="D10334">
        <f>IF(B10334=C10334, "YES", "WRONG")</f>
        <v/>
      </c>
    </row>
    <row r="10335">
      <c r="A10335" t="n">
        <v>10334</v>
      </c>
      <c r="B10335" t="inlineStr">
        <is>
          <t>x̄CCCXXXIV</t>
        </is>
      </c>
      <c r="C10335">
        <f>ROMAN(10334)</f>
        <v/>
      </c>
      <c r="D10335">
        <f>IF(B10335=C10335, "YES", "WRONG")</f>
        <v/>
      </c>
    </row>
    <row r="10336">
      <c r="A10336" t="n">
        <v>10335</v>
      </c>
      <c r="B10336" t="inlineStr">
        <is>
          <t>x̄CCCXXXV</t>
        </is>
      </c>
      <c r="C10336">
        <f>ROMAN(10335)</f>
        <v/>
      </c>
      <c r="D10336">
        <f>IF(B10336=C10336, "YES", "WRONG")</f>
        <v/>
      </c>
    </row>
    <row r="10337">
      <c r="A10337" t="n">
        <v>10336</v>
      </c>
      <c r="B10337" t="inlineStr">
        <is>
          <t>x̄CCCXXXVI</t>
        </is>
      </c>
      <c r="C10337">
        <f>ROMAN(10336)</f>
        <v/>
      </c>
      <c r="D10337">
        <f>IF(B10337=C10337, "YES", "WRONG")</f>
        <v/>
      </c>
    </row>
    <row r="10338">
      <c r="A10338" t="n">
        <v>10337</v>
      </c>
      <c r="B10338" t="inlineStr">
        <is>
          <t>x̄CCCXXXVII</t>
        </is>
      </c>
      <c r="C10338">
        <f>ROMAN(10337)</f>
        <v/>
      </c>
      <c r="D10338">
        <f>IF(B10338=C10338, "YES", "WRONG")</f>
        <v/>
      </c>
    </row>
    <row r="10339">
      <c r="A10339" t="n">
        <v>10338</v>
      </c>
      <c r="B10339" t="inlineStr">
        <is>
          <t>x̄CCCXXXVIII</t>
        </is>
      </c>
      <c r="C10339">
        <f>ROMAN(10338)</f>
        <v/>
      </c>
      <c r="D10339">
        <f>IF(B10339=C10339, "YES", "WRONG")</f>
        <v/>
      </c>
    </row>
    <row r="10340">
      <c r="A10340" t="n">
        <v>10339</v>
      </c>
      <c r="B10340" t="inlineStr">
        <is>
          <t>x̄CCCXXXIX</t>
        </is>
      </c>
      <c r="C10340">
        <f>ROMAN(10339)</f>
        <v/>
      </c>
      <c r="D10340">
        <f>IF(B10340=C10340, "YES", "WRONG")</f>
        <v/>
      </c>
    </row>
    <row r="10341">
      <c r="A10341" t="n">
        <v>10340</v>
      </c>
      <c r="B10341" t="inlineStr">
        <is>
          <t>x̄CCCXL</t>
        </is>
      </c>
      <c r="C10341">
        <f>ROMAN(10340)</f>
        <v/>
      </c>
      <c r="D10341">
        <f>IF(B10341=C10341, "YES", "WRONG")</f>
        <v/>
      </c>
    </row>
    <row r="10342">
      <c r="A10342" t="n">
        <v>10341</v>
      </c>
      <c r="B10342" t="inlineStr">
        <is>
          <t>x̄CCCXLI</t>
        </is>
      </c>
      <c r="C10342">
        <f>ROMAN(10341)</f>
        <v/>
      </c>
      <c r="D10342">
        <f>IF(B10342=C10342, "YES", "WRONG")</f>
        <v/>
      </c>
    </row>
    <row r="10343">
      <c r="A10343" t="n">
        <v>10342</v>
      </c>
      <c r="B10343" t="inlineStr">
        <is>
          <t>x̄CCCXLII</t>
        </is>
      </c>
      <c r="C10343">
        <f>ROMAN(10342)</f>
        <v/>
      </c>
      <c r="D10343">
        <f>IF(B10343=C10343, "YES", "WRONG")</f>
        <v/>
      </c>
    </row>
    <row r="10344">
      <c r="A10344" t="n">
        <v>10343</v>
      </c>
      <c r="B10344" t="inlineStr">
        <is>
          <t>x̄CCCXLIII</t>
        </is>
      </c>
      <c r="C10344">
        <f>ROMAN(10343)</f>
        <v/>
      </c>
      <c r="D10344">
        <f>IF(B10344=C10344, "YES", "WRONG")</f>
        <v/>
      </c>
    </row>
    <row r="10345">
      <c r="A10345" t="n">
        <v>10344</v>
      </c>
      <c r="B10345" t="inlineStr">
        <is>
          <t>x̄CCCXLIV</t>
        </is>
      </c>
      <c r="C10345">
        <f>ROMAN(10344)</f>
        <v/>
      </c>
      <c r="D10345">
        <f>IF(B10345=C10345, "YES", "WRONG")</f>
        <v/>
      </c>
    </row>
    <row r="10346">
      <c r="A10346" t="n">
        <v>10345</v>
      </c>
      <c r="B10346" t="inlineStr">
        <is>
          <t>x̄CCCXLV</t>
        </is>
      </c>
      <c r="C10346">
        <f>ROMAN(10345)</f>
        <v/>
      </c>
      <c r="D10346">
        <f>IF(B10346=C10346, "YES", "WRONG")</f>
        <v/>
      </c>
    </row>
    <row r="10347">
      <c r="A10347" t="n">
        <v>10346</v>
      </c>
      <c r="B10347" t="inlineStr">
        <is>
          <t>x̄CCCXLVI</t>
        </is>
      </c>
      <c r="C10347">
        <f>ROMAN(10346)</f>
        <v/>
      </c>
      <c r="D10347">
        <f>IF(B10347=C10347, "YES", "WRONG")</f>
        <v/>
      </c>
    </row>
    <row r="10348">
      <c r="A10348" t="n">
        <v>10347</v>
      </c>
      <c r="B10348" t="inlineStr">
        <is>
          <t>x̄CCCXLVII</t>
        </is>
      </c>
      <c r="C10348">
        <f>ROMAN(10347)</f>
        <v/>
      </c>
      <c r="D10348">
        <f>IF(B10348=C10348, "YES", "WRONG")</f>
        <v/>
      </c>
    </row>
    <row r="10349">
      <c r="A10349" t="n">
        <v>10348</v>
      </c>
      <c r="B10349" t="inlineStr">
        <is>
          <t>x̄CCCXLVIII</t>
        </is>
      </c>
      <c r="C10349">
        <f>ROMAN(10348)</f>
        <v/>
      </c>
      <c r="D10349">
        <f>IF(B10349=C10349, "YES", "WRONG")</f>
        <v/>
      </c>
    </row>
    <row r="10350">
      <c r="A10350" t="n">
        <v>10349</v>
      </c>
      <c r="B10350" t="inlineStr">
        <is>
          <t>x̄CCCXLIX</t>
        </is>
      </c>
      <c r="C10350">
        <f>ROMAN(10349)</f>
        <v/>
      </c>
      <c r="D10350">
        <f>IF(B10350=C10350, "YES", "WRONG")</f>
        <v/>
      </c>
    </row>
    <row r="10351">
      <c r="A10351" t="n">
        <v>10350</v>
      </c>
      <c r="B10351" t="inlineStr">
        <is>
          <t>x̄CCCL</t>
        </is>
      </c>
      <c r="C10351">
        <f>ROMAN(10350)</f>
        <v/>
      </c>
      <c r="D10351">
        <f>IF(B10351=C10351, "YES", "WRONG")</f>
        <v/>
      </c>
    </row>
    <row r="10352">
      <c r="A10352" t="n">
        <v>10351</v>
      </c>
      <c r="B10352" t="inlineStr">
        <is>
          <t>x̄CCCLI</t>
        </is>
      </c>
      <c r="C10352">
        <f>ROMAN(10351)</f>
        <v/>
      </c>
      <c r="D10352">
        <f>IF(B10352=C10352, "YES", "WRONG")</f>
        <v/>
      </c>
    </row>
    <row r="10353">
      <c r="A10353" t="n">
        <v>10352</v>
      </c>
      <c r="B10353" t="inlineStr">
        <is>
          <t>x̄CCCLII</t>
        </is>
      </c>
      <c r="C10353">
        <f>ROMAN(10352)</f>
        <v/>
      </c>
      <c r="D10353">
        <f>IF(B10353=C10353, "YES", "WRONG")</f>
        <v/>
      </c>
    </row>
    <row r="10354">
      <c r="A10354" t="n">
        <v>10353</v>
      </c>
      <c r="B10354" t="inlineStr">
        <is>
          <t>x̄CCCLIII</t>
        </is>
      </c>
      <c r="C10354">
        <f>ROMAN(10353)</f>
        <v/>
      </c>
      <c r="D10354">
        <f>IF(B10354=C10354, "YES", "WRONG")</f>
        <v/>
      </c>
    </row>
    <row r="10355">
      <c r="A10355" t="n">
        <v>10354</v>
      </c>
      <c r="B10355" t="inlineStr">
        <is>
          <t>x̄CCCLIV</t>
        </is>
      </c>
      <c r="C10355">
        <f>ROMAN(10354)</f>
        <v/>
      </c>
      <c r="D10355">
        <f>IF(B10355=C10355, "YES", "WRONG")</f>
        <v/>
      </c>
    </row>
    <row r="10356">
      <c r="A10356" t="n">
        <v>10355</v>
      </c>
      <c r="B10356" t="inlineStr">
        <is>
          <t>x̄CCCLV</t>
        </is>
      </c>
      <c r="C10356">
        <f>ROMAN(10355)</f>
        <v/>
      </c>
      <c r="D10356">
        <f>IF(B10356=C10356, "YES", "WRONG")</f>
        <v/>
      </c>
    </row>
    <row r="10357">
      <c r="A10357" t="n">
        <v>10356</v>
      </c>
      <c r="B10357" t="inlineStr">
        <is>
          <t>x̄CCCLVI</t>
        </is>
      </c>
      <c r="C10357">
        <f>ROMAN(10356)</f>
        <v/>
      </c>
      <c r="D10357">
        <f>IF(B10357=C10357, "YES", "WRONG")</f>
        <v/>
      </c>
    </row>
    <row r="10358">
      <c r="A10358" t="n">
        <v>10357</v>
      </c>
      <c r="B10358" t="inlineStr">
        <is>
          <t>x̄CCCLVII</t>
        </is>
      </c>
      <c r="C10358">
        <f>ROMAN(10357)</f>
        <v/>
      </c>
      <c r="D10358">
        <f>IF(B10358=C10358, "YES", "WRONG")</f>
        <v/>
      </c>
    </row>
    <row r="10359">
      <c r="A10359" t="n">
        <v>10358</v>
      </c>
      <c r="B10359" t="inlineStr">
        <is>
          <t>x̄CCCLVIII</t>
        </is>
      </c>
      <c r="C10359">
        <f>ROMAN(10358)</f>
        <v/>
      </c>
      <c r="D10359">
        <f>IF(B10359=C10359, "YES", "WRONG")</f>
        <v/>
      </c>
    </row>
    <row r="10360">
      <c r="A10360" t="n">
        <v>10359</v>
      </c>
      <c r="B10360" t="inlineStr">
        <is>
          <t>x̄CCCLIX</t>
        </is>
      </c>
      <c r="C10360">
        <f>ROMAN(10359)</f>
        <v/>
      </c>
      <c r="D10360">
        <f>IF(B10360=C10360, "YES", "WRONG")</f>
        <v/>
      </c>
    </row>
    <row r="10361">
      <c r="A10361" t="n">
        <v>10360</v>
      </c>
      <c r="B10361" t="inlineStr">
        <is>
          <t>x̄CCCLX</t>
        </is>
      </c>
      <c r="C10361">
        <f>ROMAN(10360)</f>
        <v/>
      </c>
      <c r="D10361">
        <f>IF(B10361=C10361, "YES", "WRONG")</f>
        <v/>
      </c>
    </row>
    <row r="10362">
      <c r="A10362" t="n">
        <v>10361</v>
      </c>
      <c r="B10362" t="inlineStr">
        <is>
          <t>x̄CCCLXI</t>
        </is>
      </c>
      <c r="C10362">
        <f>ROMAN(10361)</f>
        <v/>
      </c>
      <c r="D10362">
        <f>IF(B10362=C10362, "YES", "WRONG")</f>
        <v/>
      </c>
    </row>
    <row r="10363">
      <c r="A10363" t="n">
        <v>10362</v>
      </c>
      <c r="B10363" t="inlineStr">
        <is>
          <t>x̄CCCLXII</t>
        </is>
      </c>
      <c r="C10363">
        <f>ROMAN(10362)</f>
        <v/>
      </c>
      <c r="D10363">
        <f>IF(B10363=C10363, "YES", "WRONG")</f>
        <v/>
      </c>
    </row>
    <row r="10364">
      <c r="A10364" t="n">
        <v>10363</v>
      </c>
      <c r="B10364" t="inlineStr">
        <is>
          <t>x̄CCCLXIII</t>
        </is>
      </c>
      <c r="C10364">
        <f>ROMAN(10363)</f>
        <v/>
      </c>
      <c r="D10364">
        <f>IF(B10364=C10364, "YES", "WRONG")</f>
        <v/>
      </c>
    </row>
    <row r="10365">
      <c r="A10365" t="n">
        <v>10364</v>
      </c>
      <c r="B10365" t="inlineStr">
        <is>
          <t>x̄CCCLXIV</t>
        </is>
      </c>
      <c r="C10365">
        <f>ROMAN(10364)</f>
        <v/>
      </c>
      <c r="D10365">
        <f>IF(B10365=C10365, "YES", "WRONG")</f>
        <v/>
      </c>
    </row>
    <row r="10366">
      <c r="A10366" t="n">
        <v>10365</v>
      </c>
      <c r="B10366" t="inlineStr">
        <is>
          <t>x̄CCCLXV</t>
        </is>
      </c>
      <c r="C10366">
        <f>ROMAN(10365)</f>
        <v/>
      </c>
      <c r="D10366">
        <f>IF(B10366=C10366, "YES", "WRONG")</f>
        <v/>
      </c>
    </row>
    <row r="10367">
      <c r="A10367" t="n">
        <v>10366</v>
      </c>
      <c r="B10367" t="inlineStr">
        <is>
          <t>x̄CCCLXVI</t>
        </is>
      </c>
      <c r="C10367">
        <f>ROMAN(10366)</f>
        <v/>
      </c>
      <c r="D10367">
        <f>IF(B10367=C10367, "YES", "WRONG")</f>
        <v/>
      </c>
    </row>
    <row r="10368">
      <c r="A10368" t="n">
        <v>10367</v>
      </c>
      <c r="B10368" t="inlineStr">
        <is>
          <t>x̄CCCLXVII</t>
        </is>
      </c>
      <c r="C10368">
        <f>ROMAN(10367)</f>
        <v/>
      </c>
      <c r="D10368">
        <f>IF(B10368=C10368, "YES", "WRONG")</f>
        <v/>
      </c>
    </row>
    <row r="10369">
      <c r="A10369" t="n">
        <v>10368</v>
      </c>
      <c r="B10369" t="inlineStr">
        <is>
          <t>x̄CCCLXVIII</t>
        </is>
      </c>
      <c r="C10369">
        <f>ROMAN(10368)</f>
        <v/>
      </c>
      <c r="D10369">
        <f>IF(B10369=C10369, "YES", "WRONG")</f>
        <v/>
      </c>
    </row>
    <row r="10370">
      <c r="A10370" t="n">
        <v>10369</v>
      </c>
      <c r="B10370" t="inlineStr">
        <is>
          <t>x̄CCCLXIX</t>
        </is>
      </c>
      <c r="C10370">
        <f>ROMAN(10369)</f>
        <v/>
      </c>
      <c r="D10370">
        <f>IF(B10370=C10370, "YES", "WRONG")</f>
        <v/>
      </c>
    </row>
    <row r="10371">
      <c r="A10371" t="n">
        <v>10370</v>
      </c>
      <c r="B10371" t="inlineStr">
        <is>
          <t>x̄CCCLXX</t>
        </is>
      </c>
      <c r="C10371">
        <f>ROMAN(10370)</f>
        <v/>
      </c>
      <c r="D10371">
        <f>IF(B10371=C10371, "YES", "WRONG")</f>
        <v/>
      </c>
    </row>
    <row r="10372">
      <c r="A10372" t="n">
        <v>10371</v>
      </c>
      <c r="B10372" t="inlineStr">
        <is>
          <t>x̄CCCLXXI</t>
        </is>
      </c>
      <c r="C10372">
        <f>ROMAN(10371)</f>
        <v/>
      </c>
      <c r="D10372">
        <f>IF(B10372=C10372, "YES", "WRONG")</f>
        <v/>
      </c>
    </row>
    <row r="10373">
      <c r="A10373" t="n">
        <v>10372</v>
      </c>
      <c r="B10373" t="inlineStr">
        <is>
          <t>x̄CCCLXXII</t>
        </is>
      </c>
      <c r="C10373">
        <f>ROMAN(10372)</f>
        <v/>
      </c>
      <c r="D10373">
        <f>IF(B10373=C10373, "YES", "WRONG")</f>
        <v/>
      </c>
    </row>
    <row r="10374">
      <c r="A10374" t="n">
        <v>10373</v>
      </c>
      <c r="B10374" t="inlineStr">
        <is>
          <t>x̄CCCLXXIII</t>
        </is>
      </c>
      <c r="C10374">
        <f>ROMAN(10373)</f>
        <v/>
      </c>
      <c r="D10374">
        <f>IF(B10374=C10374, "YES", "WRONG")</f>
        <v/>
      </c>
    </row>
    <row r="10375">
      <c r="A10375" t="n">
        <v>10374</v>
      </c>
      <c r="B10375" t="inlineStr">
        <is>
          <t>x̄CCCLXXIV</t>
        </is>
      </c>
      <c r="C10375">
        <f>ROMAN(10374)</f>
        <v/>
      </c>
      <c r="D10375">
        <f>IF(B10375=C10375, "YES", "WRONG")</f>
        <v/>
      </c>
    </row>
    <row r="10376">
      <c r="A10376" t="n">
        <v>10375</v>
      </c>
      <c r="B10376" t="inlineStr">
        <is>
          <t>x̄CCCLXXV</t>
        </is>
      </c>
      <c r="C10376">
        <f>ROMAN(10375)</f>
        <v/>
      </c>
      <c r="D10376">
        <f>IF(B10376=C10376, "YES", "WRONG")</f>
        <v/>
      </c>
    </row>
    <row r="10377">
      <c r="A10377" t="n">
        <v>10376</v>
      </c>
      <c r="B10377" t="inlineStr">
        <is>
          <t>x̄CCCLXXVI</t>
        </is>
      </c>
      <c r="C10377">
        <f>ROMAN(10376)</f>
        <v/>
      </c>
      <c r="D10377">
        <f>IF(B10377=C10377, "YES", "WRONG")</f>
        <v/>
      </c>
    </row>
    <row r="10378">
      <c r="A10378" t="n">
        <v>10377</v>
      </c>
      <c r="B10378" t="inlineStr">
        <is>
          <t>x̄CCCLXXVII</t>
        </is>
      </c>
      <c r="C10378">
        <f>ROMAN(10377)</f>
        <v/>
      </c>
      <c r="D10378">
        <f>IF(B10378=C10378, "YES", "WRONG")</f>
        <v/>
      </c>
    </row>
    <row r="10379">
      <c r="A10379" t="n">
        <v>10378</v>
      </c>
      <c r="B10379" t="inlineStr">
        <is>
          <t>x̄CCCLXXVIII</t>
        </is>
      </c>
      <c r="C10379">
        <f>ROMAN(10378)</f>
        <v/>
      </c>
      <c r="D10379">
        <f>IF(B10379=C10379, "YES", "WRONG")</f>
        <v/>
      </c>
    </row>
    <row r="10380">
      <c r="A10380" t="n">
        <v>10379</v>
      </c>
      <c r="B10380" t="inlineStr">
        <is>
          <t>x̄CCCLXXIX</t>
        </is>
      </c>
      <c r="C10380">
        <f>ROMAN(10379)</f>
        <v/>
      </c>
      <c r="D10380">
        <f>IF(B10380=C10380, "YES", "WRONG")</f>
        <v/>
      </c>
    </row>
    <row r="10381">
      <c r="A10381" t="n">
        <v>10380</v>
      </c>
      <c r="B10381" t="inlineStr">
        <is>
          <t>x̄CCCLXXX</t>
        </is>
      </c>
      <c r="C10381">
        <f>ROMAN(10380)</f>
        <v/>
      </c>
      <c r="D10381">
        <f>IF(B10381=C10381, "YES", "WRONG")</f>
        <v/>
      </c>
    </row>
    <row r="10382">
      <c r="A10382" t="n">
        <v>10381</v>
      </c>
      <c r="B10382" t="inlineStr">
        <is>
          <t>x̄CCCLXXXI</t>
        </is>
      </c>
      <c r="C10382">
        <f>ROMAN(10381)</f>
        <v/>
      </c>
      <c r="D10382">
        <f>IF(B10382=C10382, "YES", "WRONG")</f>
        <v/>
      </c>
    </row>
    <row r="10383">
      <c r="A10383" t="n">
        <v>10382</v>
      </c>
      <c r="B10383" t="inlineStr">
        <is>
          <t>x̄CCCLXXXII</t>
        </is>
      </c>
      <c r="C10383">
        <f>ROMAN(10382)</f>
        <v/>
      </c>
      <c r="D10383">
        <f>IF(B10383=C10383, "YES", "WRONG")</f>
        <v/>
      </c>
    </row>
    <row r="10384">
      <c r="A10384" t="n">
        <v>10383</v>
      </c>
      <c r="B10384" t="inlineStr">
        <is>
          <t>x̄CCCLXXXIII</t>
        </is>
      </c>
      <c r="C10384">
        <f>ROMAN(10383)</f>
        <v/>
      </c>
      <c r="D10384">
        <f>IF(B10384=C10384, "YES", "WRONG")</f>
        <v/>
      </c>
    </row>
    <row r="10385">
      <c r="A10385" t="n">
        <v>10384</v>
      </c>
      <c r="B10385" t="inlineStr">
        <is>
          <t>x̄CCCLXXXIV</t>
        </is>
      </c>
      <c r="C10385">
        <f>ROMAN(10384)</f>
        <v/>
      </c>
      <c r="D10385">
        <f>IF(B10385=C10385, "YES", "WRONG")</f>
        <v/>
      </c>
    </row>
    <row r="10386">
      <c r="A10386" t="n">
        <v>10385</v>
      </c>
      <c r="B10386" t="inlineStr">
        <is>
          <t>x̄CCCLXXXV</t>
        </is>
      </c>
      <c r="C10386">
        <f>ROMAN(10385)</f>
        <v/>
      </c>
      <c r="D10386">
        <f>IF(B10386=C10386, "YES", "WRONG")</f>
        <v/>
      </c>
    </row>
    <row r="10387">
      <c r="A10387" t="n">
        <v>10386</v>
      </c>
      <c r="B10387" t="inlineStr">
        <is>
          <t>x̄CCCLXXXVI</t>
        </is>
      </c>
      <c r="C10387">
        <f>ROMAN(10386)</f>
        <v/>
      </c>
      <c r="D10387">
        <f>IF(B10387=C10387, "YES", "WRONG")</f>
        <v/>
      </c>
    </row>
    <row r="10388">
      <c r="A10388" t="n">
        <v>10387</v>
      </c>
      <c r="B10388" t="inlineStr">
        <is>
          <t>x̄CCCLXXXVII</t>
        </is>
      </c>
      <c r="C10388">
        <f>ROMAN(10387)</f>
        <v/>
      </c>
      <c r="D10388">
        <f>IF(B10388=C10388, "YES", "WRONG")</f>
        <v/>
      </c>
    </row>
    <row r="10389">
      <c r="A10389" t="n">
        <v>10388</v>
      </c>
      <c r="B10389" t="inlineStr">
        <is>
          <t>x̄CCCLXXXVIII</t>
        </is>
      </c>
      <c r="C10389">
        <f>ROMAN(10388)</f>
        <v/>
      </c>
      <c r="D10389">
        <f>IF(B10389=C10389, "YES", "WRONG")</f>
        <v/>
      </c>
    </row>
    <row r="10390">
      <c r="A10390" t="n">
        <v>10389</v>
      </c>
      <c r="B10390" t="inlineStr">
        <is>
          <t>x̄CCCLXXXIX</t>
        </is>
      </c>
      <c r="C10390">
        <f>ROMAN(10389)</f>
        <v/>
      </c>
      <c r="D10390">
        <f>IF(B10390=C10390, "YES", "WRONG")</f>
        <v/>
      </c>
    </row>
    <row r="10391">
      <c r="A10391" t="n">
        <v>10390</v>
      </c>
      <c r="B10391" t="inlineStr">
        <is>
          <t>x̄CCCXC</t>
        </is>
      </c>
      <c r="C10391">
        <f>ROMAN(10390)</f>
        <v/>
      </c>
      <c r="D10391">
        <f>IF(B10391=C10391, "YES", "WRONG")</f>
        <v/>
      </c>
    </row>
    <row r="10392">
      <c r="A10392" t="n">
        <v>10391</v>
      </c>
      <c r="B10392" t="inlineStr">
        <is>
          <t>x̄CCCXCI</t>
        </is>
      </c>
      <c r="C10392">
        <f>ROMAN(10391)</f>
        <v/>
      </c>
      <c r="D10392">
        <f>IF(B10392=C10392, "YES", "WRONG")</f>
        <v/>
      </c>
    </row>
    <row r="10393">
      <c r="A10393" t="n">
        <v>10392</v>
      </c>
      <c r="B10393" t="inlineStr">
        <is>
          <t>x̄CCCXCII</t>
        </is>
      </c>
      <c r="C10393">
        <f>ROMAN(10392)</f>
        <v/>
      </c>
      <c r="D10393">
        <f>IF(B10393=C10393, "YES", "WRONG")</f>
        <v/>
      </c>
    </row>
    <row r="10394">
      <c r="A10394" t="n">
        <v>10393</v>
      </c>
      <c r="B10394" t="inlineStr">
        <is>
          <t>x̄CCCXCIII</t>
        </is>
      </c>
      <c r="C10394">
        <f>ROMAN(10393)</f>
        <v/>
      </c>
      <c r="D10394">
        <f>IF(B10394=C10394, "YES", "WRONG")</f>
        <v/>
      </c>
    </row>
    <row r="10395">
      <c r="A10395" t="n">
        <v>10394</v>
      </c>
      <c r="B10395" t="inlineStr">
        <is>
          <t>x̄CCCXCIV</t>
        </is>
      </c>
      <c r="C10395">
        <f>ROMAN(10394)</f>
        <v/>
      </c>
      <c r="D10395">
        <f>IF(B10395=C10395, "YES", "WRONG")</f>
        <v/>
      </c>
    </row>
    <row r="10396">
      <c r="A10396" t="n">
        <v>10395</v>
      </c>
      <c r="B10396" t="inlineStr">
        <is>
          <t>x̄CCCXCV</t>
        </is>
      </c>
      <c r="C10396">
        <f>ROMAN(10395)</f>
        <v/>
      </c>
      <c r="D10396">
        <f>IF(B10396=C10396, "YES", "WRONG")</f>
        <v/>
      </c>
    </row>
    <row r="10397">
      <c r="A10397" t="n">
        <v>10396</v>
      </c>
      <c r="B10397" t="inlineStr">
        <is>
          <t>x̄CCCXCVI</t>
        </is>
      </c>
      <c r="C10397">
        <f>ROMAN(10396)</f>
        <v/>
      </c>
      <c r="D10397">
        <f>IF(B10397=C10397, "YES", "WRONG")</f>
        <v/>
      </c>
    </row>
    <row r="10398">
      <c r="A10398" t="n">
        <v>10397</v>
      </c>
      <c r="B10398" t="inlineStr">
        <is>
          <t>x̄CCCXCVII</t>
        </is>
      </c>
      <c r="C10398">
        <f>ROMAN(10397)</f>
        <v/>
      </c>
      <c r="D10398">
        <f>IF(B10398=C10398, "YES", "WRONG")</f>
        <v/>
      </c>
    </row>
    <row r="10399">
      <c r="A10399" t="n">
        <v>10398</v>
      </c>
      <c r="B10399" t="inlineStr">
        <is>
          <t>x̄CCCXCVIII</t>
        </is>
      </c>
      <c r="C10399">
        <f>ROMAN(10398)</f>
        <v/>
      </c>
      <c r="D10399">
        <f>IF(B10399=C10399, "YES", "WRONG")</f>
        <v/>
      </c>
    </row>
    <row r="10400">
      <c r="A10400" t="n">
        <v>10399</v>
      </c>
      <c r="B10400" t="inlineStr">
        <is>
          <t>x̄CCCXCIX</t>
        </is>
      </c>
      <c r="C10400">
        <f>ROMAN(10399)</f>
        <v/>
      </c>
      <c r="D10400">
        <f>IF(B10400=C10400, "YES", "WRONG")</f>
        <v/>
      </c>
    </row>
    <row r="10401">
      <c r="A10401" t="n">
        <v>10400</v>
      </c>
      <c r="B10401" t="inlineStr">
        <is>
          <t>x̄CD</t>
        </is>
      </c>
      <c r="C10401">
        <f>ROMAN(10400)</f>
        <v/>
      </c>
      <c r="D10401">
        <f>IF(B10401=C10401, "YES", "WRONG")</f>
        <v/>
      </c>
    </row>
    <row r="10402">
      <c r="A10402" t="n">
        <v>10401</v>
      </c>
      <c r="B10402" t="inlineStr">
        <is>
          <t>x̄CDI</t>
        </is>
      </c>
      <c r="C10402">
        <f>ROMAN(10401)</f>
        <v/>
      </c>
      <c r="D10402">
        <f>IF(B10402=C10402, "YES", "WRONG")</f>
        <v/>
      </c>
    </row>
    <row r="10403">
      <c r="A10403" t="n">
        <v>10402</v>
      </c>
      <c r="B10403" t="inlineStr">
        <is>
          <t>x̄CDII</t>
        </is>
      </c>
      <c r="C10403">
        <f>ROMAN(10402)</f>
        <v/>
      </c>
      <c r="D10403">
        <f>IF(B10403=C10403, "YES", "WRONG")</f>
        <v/>
      </c>
    </row>
    <row r="10404">
      <c r="A10404" t="n">
        <v>10403</v>
      </c>
      <c r="B10404" t="inlineStr">
        <is>
          <t>x̄CDIII</t>
        </is>
      </c>
      <c r="C10404">
        <f>ROMAN(10403)</f>
        <v/>
      </c>
      <c r="D10404">
        <f>IF(B10404=C10404, "YES", "WRONG")</f>
        <v/>
      </c>
    </row>
    <row r="10405">
      <c r="A10405" t="n">
        <v>10404</v>
      </c>
      <c r="B10405" t="inlineStr">
        <is>
          <t>x̄CDIV</t>
        </is>
      </c>
      <c r="C10405">
        <f>ROMAN(10404)</f>
        <v/>
      </c>
      <c r="D10405">
        <f>IF(B10405=C10405, "YES", "WRONG")</f>
        <v/>
      </c>
    </row>
    <row r="10406">
      <c r="A10406" t="n">
        <v>10405</v>
      </c>
      <c r="B10406" t="inlineStr">
        <is>
          <t>x̄CDV</t>
        </is>
      </c>
      <c r="C10406">
        <f>ROMAN(10405)</f>
        <v/>
      </c>
      <c r="D10406">
        <f>IF(B10406=C10406, "YES", "WRONG")</f>
        <v/>
      </c>
    </row>
    <row r="10407">
      <c r="A10407" t="n">
        <v>10406</v>
      </c>
      <c r="B10407" t="inlineStr">
        <is>
          <t>x̄CDVI</t>
        </is>
      </c>
      <c r="C10407">
        <f>ROMAN(10406)</f>
        <v/>
      </c>
      <c r="D10407">
        <f>IF(B10407=C10407, "YES", "WRONG")</f>
        <v/>
      </c>
    </row>
    <row r="10408">
      <c r="A10408" t="n">
        <v>10407</v>
      </c>
      <c r="B10408" t="inlineStr">
        <is>
          <t>x̄CDVII</t>
        </is>
      </c>
      <c r="C10408">
        <f>ROMAN(10407)</f>
        <v/>
      </c>
      <c r="D10408">
        <f>IF(B10408=C10408, "YES", "WRONG")</f>
        <v/>
      </c>
    </row>
    <row r="10409">
      <c r="A10409" t="n">
        <v>10408</v>
      </c>
      <c r="B10409" t="inlineStr">
        <is>
          <t>x̄CDVIII</t>
        </is>
      </c>
      <c r="C10409">
        <f>ROMAN(10408)</f>
        <v/>
      </c>
      <c r="D10409">
        <f>IF(B10409=C10409, "YES", "WRONG")</f>
        <v/>
      </c>
    </row>
    <row r="10410">
      <c r="A10410" t="n">
        <v>10409</v>
      </c>
      <c r="B10410" t="inlineStr">
        <is>
          <t>x̄CDIX</t>
        </is>
      </c>
      <c r="C10410">
        <f>ROMAN(10409)</f>
        <v/>
      </c>
      <c r="D10410">
        <f>IF(B10410=C10410, "YES", "WRONG")</f>
        <v/>
      </c>
    </row>
    <row r="10411">
      <c r="A10411" t="n">
        <v>10410</v>
      </c>
      <c r="B10411" t="inlineStr">
        <is>
          <t>x̄CDX</t>
        </is>
      </c>
      <c r="C10411">
        <f>ROMAN(10410)</f>
        <v/>
      </c>
      <c r="D10411">
        <f>IF(B10411=C10411, "YES", "WRONG")</f>
        <v/>
      </c>
    </row>
    <row r="10412">
      <c r="A10412" t="n">
        <v>10411</v>
      </c>
      <c r="B10412" t="inlineStr">
        <is>
          <t>x̄CDXI</t>
        </is>
      </c>
      <c r="C10412">
        <f>ROMAN(10411)</f>
        <v/>
      </c>
      <c r="D10412">
        <f>IF(B10412=C10412, "YES", "WRONG")</f>
        <v/>
      </c>
    </row>
    <row r="10413">
      <c r="A10413" t="n">
        <v>10412</v>
      </c>
      <c r="B10413" t="inlineStr">
        <is>
          <t>x̄CDXII</t>
        </is>
      </c>
      <c r="C10413">
        <f>ROMAN(10412)</f>
        <v/>
      </c>
      <c r="D10413">
        <f>IF(B10413=C10413, "YES", "WRONG")</f>
        <v/>
      </c>
    </row>
    <row r="10414">
      <c r="A10414" t="n">
        <v>10413</v>
      </c>
      <c r="B10414" t="inlineStr">
        <is>
          <t>x̄CDXIII</t>
        </is>
      </c>
      <c r="C10414">
        <f>ROMAN(10413)</f>
        <v/>
      </c>
      <c r="D10414">
        <f>IF(B10414=C10414, "YES", "WRONG")</f>
        <v/>
      </c>
    </row>
    <row r="10415">
      <c r="A10415" t="n">
        <v>10414</v>
      </c>
      <c r="B10415" t="inlineStr">
        <is>
          <t>x̄CDXIV</t>
        </is>
      </c>
      <c r="C10415">
        <f>ROMAN(10414)</f>
        <v/>
      </c>
      <c r="D10415">
        <f>IF(B10415=C10415, "YES", "WRONG")</f>
        <v/>
      </c>
    </row>
    <row r="10416">
      <c r="A10416" t="n">
        <v>10415</v>
      </c>
      <c r="B10416" t="inlineStr">
        <is>
          <t>x̄CDXV</t>
        </is>
      </c>
      <c r="C10416">
        <f>ROMAN(10415)</f>
        <v/>
      </c>
      <c r="D10416">
        <f>IF(B10416=C10416, "YES", "WRONG")</f>
        <v/>
      </c>
    </row>
    <row r="10417">
      <c r="A10417" t="n">
        <v>10416</v>
      </c>
      <c r="B10417" t="inlineStr">
        <is>
          <t>x̄CDXVI</t>
        </is>
      </c>
      <c r="C10417">
        <f>ROMAN(10416)</f>
        <v/>
      </c>
      <c r="D10417">
        <f>IF(B10417=C10417, "YES", "WRONG")</f>
        <v/>
      </c>
    </row>
    <row r="10418">
      <c r="A10418" t="n">
        <v>10417</v>
      </c>
      <c r="B10418" t="inlineStr">
        <is>
          <t>x̄CDXVII</t>
        </is>
      </c>
      <c r="C10418">
        <f>ROMAN(10417)</f>
        <v/>
      </c>
      <c r="D10418">
        <f>IF(B10418=C10418, "YES", "WRONG")</f>
        <v/>
      </c>
    </row>
    <row r="10419">
      <c r="A10419" t="n">
        <v>10418</v>
      </c>
      <c r="B10419" t="inlineStr">
        <is>
          <t>x̄CDXVIII</t>
        </is>
      </c>
      <c r="C10419">
        <f>ROMAN(10418)</f>
        <v/>
      </c>
      <c r="D10419">
        <f>IF(B10419=C10419, "YES", "WRONG")</f>
        <v/>
      </c>
    </row>
    <row r="10420">
      <c r="A10420" t="n">
        <v>10419</v>
      </c>
      <c r="B10420" t="inlineStr">
        <is>
          <t>x̄CDXIX</t>
        </is>
      </c>
      <c r="C10420">
        <f>ROMAN(10419)</f>
        <v/>
      </c>
      <c r="D10420">
        <f>IF(B10420=C10420, "YES", "WRONG")</f>
        <v/>
      </c>
    </row>
    <row r="10421">
      <c r="A10421" t="n">
        <v>10420</v>
      </c>
      <c r="B10421" t="inlineStr">
        <is>
          <t>x̄CDXX</t>
        </is>
      </c>
      <c r="C10421">
        <f>ROMAN(10420)</f>
        <v/>
      </c>
      <c r="D10421">
        <f>IF(B10421=C10421, "YES", "WRONG")</f>
        <v/>
      </c>
    </row>
    <row r="10422">
      <c r="A10422" t="n">
        <v>10421</v>
      </c>
      <c r="B10422" t="inlineStr">
        <is>
          <t>x̄CDXXI</t>
        </is>
      </c>
      <c r="C10422">
        <f>ROMAN(10421)</f>
        <v/>
      </c>
      <c r="D10422">
        <f>IF(B10422=C10422, "YES", "WRONG")</f>
        <v/>
      </c>
    </row>
    <row r="10423">
      <c r="A10423" t="n">
        <v>10422</v>
      </c>
      <c r="B10423" t="inlineStr">
        <is>
          <t>x̄CDXXII</t>
        </is>
      </c>
      <c r="C10423">
        <f>ROMAN(10422)</f>
        <v/>
      </c>
      <c r="D10423">
        <f>IF(B10423=C10423, "YES", "WRONG")</f>
        <v/>
      </c>
    </row>
    <row r="10424">
      <c r="A10424" t="n">
        <v>10423</v>
      </c>
      <c r="B10424" t="inlineStr">
        <is>
          <t>x̄CDXXIII</t>
        </is>
      </c>
      <c r="C10424">
        <f>ROMAN(10423)</f>
        <v/>
      </c>
      <c r="D10424">
        <f>IF(B10424=C10424, "YES", "WRONG")</f>
        <v/>
      </c>
    </row>
    <row r="10425">
      <c r="A10425" t="n">
        <v>10424</v>
      </c>
      <c r="B10425" t="inlineStr">
        <is>
          <t>x̄CDXXIV</t>
        </is>
      </c>
      <c r="C10425">
        <f>ROMAN(10424)</f>
        <v/>
      </c>
      <c r="D10425">
        <f>IF(B10425=C10425, "YES", "WRONG")</f>
        <v/>
      </c>
    </row>
    <row r="10426">
      <c r="A10426" t="n">
        <v>10425</v>
      </c>
      <c r="B10426" t="inlineStr">
        <is>
          <t>x̄CDXXV</t>
        </is>
      </c>
      <c r="C10426">
        <f>ROMAN(10425)</f>
        <v/>
      </c>
      <c r="D10426">
        <f>IF(B10426=C10426, "YES", "WRONG")</f>
        <v/>
      </c>
    </row>
    <row r="10427">
      <c r="A10427" t="n">
        <v>10426</v>
      </c>
      <c r="B10427" t="inlineStr">
        <is>
          <t>x̄CDXXVI</t>
        </is>
      </c>
      <c r="C10427">
        <f>ROMAN(10426)</f>
        <v/>
      </c>
      <c r="D10427">
        <f>IF(B10427=C10427, "YES", "WRONG")</f>
        <v/>
      </c>
    </row>
    <row r="10428">
      <c r="A10428" t="n">
        <v>10427</v>
      </c>
      <c r="B10428" t="inlineStr">
        <is>
          <t>x̄CDXXVII</t>
        </is>
      </c>
      <c r="C10428">
        <f>ROMAN(10427)</f>
        <v/>
      </c>
      <c r="D10428">
        <f>IF(B10428=C10428, "YES", "WRONG")</f>
        <v/>
      </c>
    </row>
    <row r="10429">
      <c r="A10429" t="n">
        <v>10428</v>
      </c>
      <c r="B10429" t="inlineStr">
        <is>
          <t>x̄CDXXVIII</t>
        </is>
      </c>
      <c r="C10429">
        <f>ROMAN(10428)</f>
        <v/>
      </c>
      <c r="D10429">
        <f>IF(B10429=C10429, "YES", "WRONG")</f>
        <v/>
      </c>
    </row>
    <row r="10430">
      <c r="A10430" t="n">
        <v>10429</v>
      </c>
      <c r="B10430" t="inlineStr">
        <is>
          <t>x̄CDXXIX</t>
        </is>
      </c>
      <c r="C10430">
        <f>ROMAN(10429)</f>
        <v/>
      </c>
      <c r="D10430">
        <f>IF(B10430=C10430, "YES", "WRONG")</f>
        <v/>
      </c>
    </row>
    <row r="10431">
      <c r="A10431" t="n">
        <v>10430</v>
      </c>
      <c r="B10431" t="inlineStr">
        <is>
          <t>x̄CDXXX</t>
        </is>
      </c>
      <c r="C10431">
        <f>ROMAN(10430)</f>
        <v/>
      </c>
      <c r="D10431">
        <f>IF(B10431=C10431, "YES", "WRONG")</f>
        <v/>
      </c>
    </row>
    <row r="10432">
      <c r="A10432" t="n">
        <v>10431</v>
      </c>
      <c r="B10432" t="inlineStr">
        <is>
          <t>x̄CDXXXI</t>
        </is>
      </c>
      <c r="C10432">
        <f>ROMAN(10431)</f>
        <v/>
      </c>
      <c r="D10432">
        <f>IF(B10432=C10432, "YES", "WRONG")</f>
        <v/>
      </c>
    </row>
    <row r="10433">
      <c r="A10433" t="n">
        <v>10432</v>
      </c>
      <c r="B10433" t="inlineStr">
        <is>
          <t>x̄CDXXXII</t>
        </is>
      </c>
      <c r="C10433">
        <f>ROMAN(10432)</f>
        <v/>
      </c>
      <c r="D10433">
        <f>IF(B10433=C10433, "YES", "WRONG")</f>
        <v/>
      </c>
    </row>
    <row r="10434">
      <c r="A10434" t="n">
        <v>10433</v>
      </c>
      <c r="B10434" t="inlineStr">
        <is>
          <t>x̄CDXXXIII</t>
        </is>
      </c>
      <c r="C10434">
        <f>ROMAN(10433)</f>
        <v/>
      </c>
      <c r="D10434">
        <f>IF(B10434=C10434, "YES", "WRONG")</f>
        <v/>
      </c>
    </row>
    <row r="10435">
      <c r="A10435" t="n">
        <v>10434</v>
      </c>
      <c r="B10435" t="inlineStr">
        <is>
          <t>x̄CDXXXIV</t>
        </is>
      </c>
      <c r="C10435">
        <f>ROMAN(10434)</f>
        <v/>
      </c>
      <c r="D10435">
        <f>IF(B10435=C10435, "YES", "WRONG")</f>
        <v/>
      </c>
    </row>
    <row r="10436">
      <c r="A10436" t="n">
        <v>10435</v>
      </c>
      <c r="B10436" t="inlineStr">
        <is>
          <t>x̄CDXXXV</t>
        </is>
      </c>
      <c r="C10436">
        <f>ROMAN(10435)</f>
        <v/>
      </c>
      <c r="D10436">
        <f>IF(B10436=C10436, "YES", "WRONG")</f>
        <v/>
      </c>
    </row>
    <row r="10437">
      <c r="A10437" t="n">
        <v>10436</v>
      </c>
      <c r="B10437" t="inlineStr">
        <is>
          <t>x̄CDXXXVI</t>
        </is>
      </c>
      <c r="C10437">
        <f>ROMAN(10436)</f>
        <v/>
      </c>
      <c r="D10437">
        <f>IF(B10437=C10437, "YES", "WRONG")</f>
        <v/>
      </c>
    </row>
    <row r="10438">
      <c r="A10438" t="n">
        <v>10437</v>
      </c>
      <c r="B10438" t="inlineStr">
        <is>
          <t>x̄CDXXXVII</t>
        </is>
      </c>
      <c r="C10438">
        <f>ROMAN(10437)</f>
        <v/>
      </c>
      <c r="D10438">
        <f>IF(B10438=C10438, "YES", "WRONG")</f>
        <v/>
      </c>
    </row>
    <row r="10439">
      <c r="A10439" t="n">
        <v>10438</v>
      </c>
      <c r="B10439" t="inlineStr">
        <is>
          <t>x̄CDXXXVIII</t>
        </is>
      </c>
      <c r="C10439">
        <f>ROMAN(10438)</f>
        <v/>
      </c>
      <c r="D10439">
        <f>IF(B10439=C10439, "YES", "WRONG")</f>
        <v/>
      </c>
    </row>
    <row r="10440">
      <c r="A10440" t="n">
        <v>10439</v>
      </c>
      <c r="B10440" t="inlineStr">
        <is>
          <t>x̄CDXXXIX</t>
        </is>
      </c>
      <c r="C10440">
        <f>ROMAN(10439)</f>
        <v/>
      </c>
      <c r="D10440">
        <f>IF(B10440=C10440, "YES", "WRONG")</f>
        <v/>
      </c>
    </row>
    <row r="10441">
      <c r="A10441" t="n">
        <v>10440</v>
      </c>
      <c r="B10441" t="inlineStr">
        <is>
          <t>x̄CDXL</t>
        </is>
      </c>
      <c r="C10441">
        <f>ROMAN(10440)</f>
        <v/>
      </c>
      <c r="D10441">
        <f>IF(B10441=C10441, "YES", "WRONG")</f>
        <v/>
      </c>
    </row>
    <row r="10442">
      <c r="A10442" t="n">
        <v>10441</v>
      </c>
      <c r="B10442" t="inlineStr">
        <is>
          <t>x̄CDXLI</t>
        </is>
      </c>
      <c r="C10442">
        <f>ROMAN(10441)</f>
        <v/>
      </c>
      <c r="D10442">
        <f>IF(B10442=C10442, "YES", "WRONG")</f>
        <v/>
      </c>
    </row>
    <row r="10443">
      <c r="A10443" t="n">
        <v>10442</v>
      </c>
      <c r="B10443" t="inlineStr">
        <is>
          <t>x̄CDXLII</t>
        </is>
      </c>
      <c r="C10443">
        <f>ROMAN(10442)</f>
        <v/>
      </c>
      <c r="D10443">
        <f>IF(B10443=C10443, "YES", "WRONG")</f>
        <v/>
      </c>
    </row>
    <row r="10444">
      <c r="A10444" t="n">
        <v>10443</v>
      </c>
      <c r="B10444" t="inlineStr">
        <is>
          <t>x̄CDXLIII</t>
        </is>
      </c>
      <c r="C10444">
        <f>ROMAN(10443)</f>
        <v/>
      </c>
      <c r="D10444">
        <f>IF(B10444=C10444, "YES", "WRONG")</f>
        <v/>
      </c>
    </row>
    <row r="10445">
      <c r="A10445" t="n">
        <v>10444</v>
      </c>
      <c r="B10445" t="inlineStr">
        <is>
          <t>x̄CDXLIV</t>
        </is>
      </c>
      <c r="C10445">
        <f>ROMAN(10444)</f>
        <v/>
      </c>
      <c r="D10445">
        <f>IF(B10445=C10445, "YES", "WRONG")</f>
        <v/>
      </c>
    </row>
    <row r="10446">
      <c r="A10446" t="n">
        <v>10445</v>
      </c>
      <c r="B10446" t="inlineStr">
        <is>
          <t>x̄CDXLV</t>
        </is>
      </c>
      <c r="C10446">
        <f>ROMAN(10445)</f>
        <v/>
      </c>
      <c r="D10446">
        <f>IF(B10446=C10446, "YES", "WRONG")</f>
        <v/>
      </c>
    </row>
    <row r="10447">
      <c r="A10447" t="n">
        <v>10446</v>
      </c>
      <c r="B10447" t="inlineStr">
        <is>
          <t>x̄CDXLVI</t>
        </is>
      </c>
      <c r="C10447">
        <f>ROMAN(10446)</f>
        <v/>
      </c>
      <c r="D10447">
        <f>IF(B10447=C10447, "YES", "WRONG")</f>
        <v/>
      </c>
    </row>
    <row r="10448">
      <c r="A10448" t="n">
        <v>10447</v>
      </c>
      <c r="B10448" t="inlineStr">
        <is>
          <t>x̄CDXLVII</t>
        </is>
      </c>
      <c r="C10448">
        <f>ROMAN(10447)</f>
        <v/>
      </c>
      <c r="D10448">
        <f>IF(B10448=C10448, "YES", "WRONG")</f>
        <v/>
      </c>
    </row>
    <row r="10449">
      <c r="A10449" t="n">
        <v>10448</v>
      </c>
      <c r="B10449" t="inlineStr">
        <is>
          <t>x̄CDXLVIII</t>
        </is>
      </c>
      <c r="C10449">
        <f>ROMAN(10448)</f>
        <v/>
      </c>
      <c r="D10449">
        <f>IF(B10449=C10449, "YES", "WRONG")</f>
        <v/>
      </c>
    </row>
    <row r="10450">
      <c r="A10450" t="n">
        <v>10449</v>
      </c>
      <c r="B10450" t="inlineStr">
        <is>
          <t>x̄CDXLIX</t>
        </is>
      </c>
      <c r="C10450">
        <f>ROMAN(10449)</f>
        <v/>
      </c>
      <c r="D10450">
        <f>IF(B10450=C10450, "YES", "WRONG")</f>
        <v/>
      </c>
    </row>
    <row r="10451">
      <c r="A10451" t="n">
        <v>10450</v>
      </c>
      <c r="B10451" t="inlineStr">
        <is>
          <t>x̄CDL</t>
        </is>
      </c>
      <c r="C10451">
        <f>ROMAN(10450)</f>
        <v/>
      </c>
      <c r="D10451">
        <f>IF(B10451=C10451, "YES", "WRONG")</f>
        <v/>
      </c>
    </row>
    <row r="10452">
      <c r="A10452" t="n">
        <v>10451</v>
      </c>
      <c r="B10452" t="inlineStr">
        <is>
          <t>x̄CDLI</t>
        </is>
      </c>
      <c r="C10452">
        <f>ROMAN(10451)</f>
        <v/>
      </c>
      <c r="D10452">
        <f>IF(B10452=C10452, "YES", "WRONG")</f>
        <v/>
      </c>
    </row>
    <row r="10453">
      <c r="A10453" t="n">
        <v>10452</v>
      </c>
      <c r="B10453" t="inlineStr">
        <is>
          <t>x̄CDLII</t>
        </is>
      </c>
      <c r="C10453">
        <f>ROMAN(10452)</f>
        <v/>
      </c>
      <c r="D10453">
        <f>IF(B10453=C10453, "YES", "WRONG")</f>
        <v/>
      </c>
    </row>
    <row r="10454">
      <c r="A10454" t="n">
        <v>10453</v>
      </c>
      <c r="B10454" t="inlineStr">
        <is>
          <t>x̄CDLIII</t>
        </is>
      </c>
      <c r="C10454">
        <f>ROMAN(10453)</f>
        <v/>
      </c>
      <c r="D10454">
        <f>IF(B10454=C10454, "YES", "WRONG")</f>
        <v/>
      </c>
    </row>
    <row r="10455">
      <c r="A10455" t="n">
        <v>10454</v>
      </c>
      <c r="B10455" t="inlineStr">
        <is>
          <t>x̄CDLIV</t>
        </is>
      </c>
      <c r="C10455">
        <f>ROMAN(10454)</f>
        <v/>
      </c>
      <c r="D10455">
        <f>IF(B10455=C10455, "YES", "WRONG")</f>
        <v/>
      </c>
    </row>
    <row r="10456">
      <c r="A10456" t="n">
        <v>10455</v>
      </c>
      <c r="B10456" t="inlineStr">
        <is>
          <t>x̄CDLV</t>
        </is>
      </c>
      <c r="C10456">
        <f>ROMAN(10455)</f>
        <v/>
      </c>
      <c r="D10456">
        <f>IF(B10456=C10456, "YES", "WRONG")</f>
        <v/>
      </c>
    </row>
    <row r="10457">
      <c r="A10457" t="n">
        <v>10456</v>
      </c>
      <c r="B10457" t="inlineStr">
        <is>
          <t>x̄CDLVI</t>
        </is>
      </c>
      <c r="C10457">
        <f>ROMAN(10456)</f>
        <v/>
      </c>
      <c r="D10457">
        <f>IF(B10457=C10457, "YES", "WRONG")</f>
        <v/>
      </c>
    </row>
    <row r="10458">
      <c r="A10458" t="n">
        <v>10457</v>
      </c>
      <c r="B10458" t="inlineStr">
        <is>
          <t>x̄CDLVII</t>
        </is>
      </c>
      <c r="C10458">
        <f>ROMAN(10457)</f>
        <v/>
      </c>
      <c r="D10458">
        <f>IF(B10458=C10458, "YES", "WRONG")</f>
        <v/>
      </c>
    </row>
    <row r="10459">
      <c r="A10459" t="n">
        <v>10458</v>
      </c>
      <c r="B10459" t="inlineStr">
        <is>
          <t>x̄CDLVIII</t>
        </is>
      </c>
      <c r="C10459">
        <f>ROMAN(10458)</f>
        <v/>
      </c>
      <c r="D10459">
        <f>IF(B10459=C10459, "YES", "WRONG")</f>
        <v/>
      </c>
    </row>
    <row r="10460">
      <c r="A10460" t="n">
        <v>10459</v>
      </c>
      <c r="B10460" t="inlineStr">
        <is>
          <t>x̄CDLIX</t>
        </is>
      </c>
      <c r="C10460">
        <f>ROMAN(10459)</f>
        <v/>
      </c>
      <c r="D10460">
        <f>IF(B10460=C10460, "YES", "WRONG")</f>
        <v/>
      </c>
    </row>
    <row r="10461">
      <c r="A10461" t="n">
        <v>10460</v>
      </c>
      <c r="B10461" t="inlineStr">
        <is>
          <t>x̄CDLX</t>
        </is>
      </c>
      <c r="C10461">
        <f>ROMAN(10460)</f>
        <v/>
      </c>
      <c r="D10461">
        <f>IF(B10461=C10461, "YES", "WRONG")</f>
        <v/>
      </c>
    </row>
    <row r="10462">
      <c r="A10462" t="n">
        <v>10461</v>
      </c>
      <c r="B10462" t="inlineStr">
        <is>
          <t>x̄CDLXI</t>
        </is>
      </c>
      <c r="C10462">
        <f>ROMAN(10461)</f>
        <v/>
      </c>
      <c r="D10462">
        <f>IF(B10462=C10462, "YES", "WRONG")</f>
        <v/>
      </c>
    </row>
    <row r="10463">
      <c r="A10463" t="n">
        <v>10462</v>
      </c>
      <c r="B10463" t="inlineStr">
        <is>
          <t>x̄CDLXII</t>
        </is>
      </c>
      <c r="C10463">
        <f>ROMAN(10462)</f>
        <v/>
      </c>
      <c r="D10463">
        <f>IF(B10463=C10463, "YES", "WRONG")</f>
        <v/>
      </c>
    </row>
    <row r="10464">
      <c r="A10464" t="n">
        <v>10463</v>
      </c>
      <c r="B10464" t="inlineStr">
        <is>
          <t>x̄CDLXIII</t>
        </is>
      </c>
      <c r="C10464">
        <f>ROMAN(10463)</f>
        <v/>
      </c>
      <c r="D10464">
        <f>IF(B10464=C10464, "YES", "WRONG")</f>
        <v/>
      </c>
    </row>
    <row r="10465">
      <c r="A10465" t="n">
        <v>10464</v>
      </c>
      <c r="B10465" t="inlineStr">
        <is>
          <t>x̄CDLXIV</t>
        </is>
      </c>
      <c r="C10465">
        <f>ROMAN(10464)</f>
        <v/>
      </c>
      <c r="D10465">
        <f>IF(B10465=C10465, "YES", "WRONG")</f>
        <v/>
      </c>
    </row>
    <row r="10466">
      <c r="A10466" t="n">
        <v>10465</v>
      </c>
      <c r="B10466" t="inlineStr">
        <is>
          <t>x̄CDLXV</t>
        </is>
      </c>
      <c r="C10466">
        <f>ROMAN(10465)</f>
        <v/>
      </c>
      <c r="D10466">
        <f>IF(B10466=C10466, "YES", "WRONG")</f>
        <v/>
      </c>
    </row>
    <row r="10467">
      <c r="A10467" t="n">
        <v>10466</v>
      </c>
      <c r="B10467" t="inlineStr">
        <is>
          <t>x̄CDLXVI</t>
        </is>
      </c>
      <c r="C10467">
        <f>ROMAN(10466)</f>
        <v/>
      </c>
      <c r="D10467">
        <f>IF(B10467=C10467, "YES", "WRONG")</f>
        <v/>
      </c>
    </row>
    <row r="10468">
      <c r="A10468" t="n">
        <v>10467</v>
      </c>
      <c r="B10468" t="inlineStr">
        <is>
          <t>x̄CDLXVII</t>
        </is>
      </c>
      <c r="C10468">
        <f>ROMAN(10467)</f>
        <v/>
      </c>
      <c r="D10468">
        <f>IF(B10468=C10468, "YES", "WRONG")</f>
        <v/>
      </c>
    </row>
    <row r="10469">
      <c r="A10469" t="n">
        <v>10468</v>
      </c>
      <c r="B10469" t="inlineStr">
        <is>
          <t>x̄CDLXVIII</t>
        </is>
      </c>
      <c r="C10469">
        <f>ROMAN(10468)</f>
        <v/>
      </c>
      <c r="D10469">
        <f>IF(B10469=C10469, "YES", "WRONG")</f>
        <v/>
      </c>
    </row>
    <row r="10470">
      <c r="A10470" t="n">
        <v>10469</v>
      </c>
      <c r="B10470" t="inlineStr">
        <is>
          <t>x̄CDLXIX</t>
        </is>
      </c>
      <c r="C10470">
        <f>ROMAN(10469)</f>
        <v/>
      </c>
      <c r="D10470">
        <f>IF(B10470=C10470, "YES", "WRONG")</f>
        <v/>
      </c>
    </row>
    <row r="10471">
      <c r="A10471" t="n">
        <v>10470</v>
      </c>
      <c r="B10471" t="inlineStr">
        <is>
          <t>x̄CDLXX</t>
        </is>
      </c>
      <c r="C10471">
        <f>ROMAN(10470)</f>
        <v/>
      </c>
      <c r="D10471">
        <f>IF(B10471=C10471, "YES", "WRONG")</f>
        <v/>
      </c>
    </row>
    <row r="10472">
      <c r="A10472" t="n">
        <v>10471</v>
      </c>
      <c r="B10472" t="inlineStr">
        <is>
          <t>x̄CDLXXI</t>
        </is>
      </c>
      <c r="C10472">
        <f>ROMAN(10471)</f>
        <v/>
      </c>
      <c r="D10472">
        <f>IF(B10472=C10472, "YES", "WRONG")</f>
        <v/>
      </c>
    </row>
    <row r="10473">
      <c r="A10473" t="n">
        <v>10472</v>
      </c>
      <c r="B10473" t="inlineStr">
        <is>
          <t>x̄CDLXXII</t>
        </is>
      </c>
      <c r="C10473">
        <f>ROMAN(10472)</f>
        <v/>
      </c>
      <c r="D10473">
        <f>IF(B10473=C10473, "YES", "WRONG")</f>
        <v/>
      </c>
    </row>
    <row r="10474">
      <c r="A10474" t="n">
        <v>10473</v>
      </c>
      <c r="B10474" t="inlineStr">
        <is>
          <t>x̄CDLXXIII</t>
        </is>
      </c>
      <c r="C10474">
        <f>ROMAN(10473)</f>
        <v/>
      </c>
      <c r="D10474">
        <f>IF(B10474=C10474, "YES", "WRONG")</f>
        <v/>
      </c>
    </row>
    <row r="10475">
      <c r="A10475" t="n">
        <v>10474</v>
      </c>
      <c r="B10475" t="inlineStr">
        <is>
          <t>x̄CDLXXIV</t>
        </is>
      </c>
      <c r="C10475">
        <f>ROMAN(10474)</f>
        <v/>
      </c>
      <c r="D10475">
        <f>IF(B10475=C10475, "YES", "WRONG")</f>
        <v/>
      </c>
    </row>
    <row r="10476">
      <c r="A10476" t="n">
        <v>10475</v>
      </c>
      <c r="B10476" t="inlineStr">
        <is>
          <t>x̄CDLXXV</t>
        </is>
      </c>
      <c r="C10476">
        <f>ROMAN(10475)</f>
        <v/>
      </c>
      <c r="D10476">
        <f>IF(B10476=C10476, "YES", "WRONG")</f>
        <v/>
      </c>
    </row>
    <row r="10477">
      <c r="A10477" t="n">
        <v>10476</v>
      </c>
      <c r="B10477" t="inlineStr">
        <is>
          <t>x̄CDLXXVI</t>
        </is>
      </c>
      <c r="C10477">
        <f>ROMAN(10476)</f>
        <v/>
      </c>
      <c r="D10477">
        <f>IF(B10477=C10477, "YES", "WRONG")</f>
        <v/>
      </c>
    </row>
    <row r="10478">
      <c r="A10478" t="n">
        <v>10477</v>
      </c>
      <c r="B10478" t="inlineStr">
        <is>
          <t>x̄CDLXXVII</t>
        </is>
      </c>
      <c r="C10478">
        <f>ROMAN(10477)</f>
        <v/>
      </c>
      <c r="D10478">
        <f>IF(B10478=C10478, "YES", "WRONG")</f>
        <v/>
      </c>
    </row>
    <row r="10479">
      <c r="A10479" t="n">
        <v>10478</v>
      </c>
      <c r="B10479" t="inlineStr">
        <is>
          <t>x̄CDLXXVIII</t>
        </is>
      </c>
      <c r="C10479">
        <f>ROMAN(10478)</f>
        <v/>
      </c>
      <c r="D10479">
        <f>IF(B10479=C10479, "YES", "WRONG")</f>
        <v/>
      </c>
    </row>
    <row r="10480">
      <c r="A10480" t="n">
        <v>10479</v>
      </c>
      <c r="B10480" t="inlineStr">
        <is>
          <t>x̄CDLXXIX</t>
        </is>
      </c>
      <c r="C10480">
        <f>ROMAN(10479)</f>
        <v/>
      </c>
      <c r="D10480">
        <f>IF(B10480=C10480, "YES", "WRONG")</f>
        <v/>
      </c>
    </row>
    <row r="10481">
      <c r="A10481" t="n">
        <v>10480</v>
      </c>
      <c r="B10481" t="inlineStr">
        <is>
          <t>x̄CDLXXX</t>
        </is>
      </c>
      <c r="C10481">
        <f>ROMAN(10480)</f>
        <v/>
      </c>
      <c r="D10481">
        <f>IF(B10481=C10481, "YES", "WRONG")</f>
        <v/>
      </c>
    </row>
    <row r="10482">
      <c r="A10482" t="n">
        <v>10481</v>
      </c>
      <c r="B10482" t="inlineStr">
        <is>
          <t>x̄CDLXXXI</t>
        </is>
      </c>
      <c r="C10482">
        <f>ROMAN(10481)</f>
        <v/>
      </c>
      <c r="D10482">
        <f>IF(B10482=C10482, "YES", "WRONG")</f>
        <v/>
      </c>
    </row>
    <row r="10483">
      <c r="A10483" t="n">
        <v>10482</v>
      </c>
      <c r="B10483" t="inlineStr">
        <is>
          <t>x̄CDLXXXII</t>
        </is>
      </c>
      <c r="C10483">
        <f>ROMAN(10482)</f>
        <v/>
      </c>
      <c r="D10483">
        <f>IF(B10483=C10483, "YES", "WRONG")</f>
        <v/>
      </c>
    </row>
    <row r="10484">
      <c r="A10484" t="n">
        <v>10483</v>
      </c>
      <c r="B10484" t="inlineStr">
        <is>
          <t>x̄CDLXXXIII</t>
        </is>
      </c>
      <c r="C10484">
        <f>ROMAN(10483)</f>
        <v/>
      </c>
      <c r="D10484">
        <f>IF(B10484=C10484, "YES", "WRONG")</f>
        <v/>
      </c>
    </row>
    <row r="10485">
      <c r="A10485" t="n">
        <v>10484</v>
      </c>
      <c r="B10485" t="inlineStr">
        <is>
          <t>x̄CDLXXXIV</t>
        </is>
      </c>
      <c r="C10485">
        <f>ROMAN(10484)</f>
        <v/>
      </c>
      <c r="D10485">
        <f>IF(B10485=C10485, "YES", "WRONG")</f>
        <v/>
      </c>
    </row>
    <row r="10486">
      <c r="A10486" t="n">
        <v>10485</v>
      </c>
      <c r="B10486" t="inlineStr">
        <is>
          <t>x̄CDLXXXV</t>
        </is>
      </c>
      <c r="C10486">
        <f>ROMAN(10485)</f>
        <v/>
      </c>
      <c r="D10486">
        <f>IF(B10486=C10486, "YES", "WRONG")</f>
        <v/>
      </c>
    </row>
    <row r="10487">
      <c r="A10487" t="n">
        <v>10486</v>
      </c>
      <c r="B10487" t="inlineStr">
        <is>
          <t>x̄CDLXXXVI</t>
        </is>
      </c>
      <c r="C10487">
        <f>ROMAN(10486)</f>
        <v/>
      </c>
      <c r="D10487">
        <f>IF(B10487=C10487, "YES", "WRONG")</f>
        <v/>
      </c>
    </row>
    <row r="10488">
      <c r="A10488" t="n">
        <v>10487</v>
      </c>
      <c r="B10488" t="inlineStr">
        <is>
          <t>x̄CDLXXXVII</t>
        </is>
      </c>
      <c r="C10488">
        <f>ROMAN(10487)</f>
        <v/>
      </c>
      <c r="D10488">
        <f>IF(B10488=C10488, "YES", "WRONG")</f>
        <v/>
      </c>
    </row>
    <row r="10489">
      <c r="A10489" t="n">
        <v>10488</v>
      </c>
      <c r="B10489" t="inlineStr">
        <is>
          <t>x̄CDLXXXVIII</t>
        </is>
      </c>
      <c r="C10489">
        <f>ROMAN(10488)</f>
        <v/>
      </c>
      <c r="D10489">
        <f>IF(B10489=C10489, "YES", "WRONG")</f>
        <v/>
      </c>
    </row>
    <row r="10490">
      <c r="A10490" t="n">
        <v>10489</v>
      </c>
      <c r="B10490" t="inlineStr">
        <is>
          <t>x̄CDLXXXIX</t>
        </is>
      </c>
      <c r="C10490">
        <f>ROMAN(10489)</f>
        <v/>
      </c>
      <c r="D10490">
        <f>IF(B10490=C10490, "YES", "WRONG")</f>
        <v/>
      </c>
    </row>
    <row r="10491">
      <c r="A10491" t="n">
        <v>10490</v>
      </c>
      <c r="B10491" t="inlineStr">
        <is>
          <t>x̄CDXC</t>
        </is>
      </c>
      <c r="C10491">
        <f>ROMAN(10490)</f>
        <v/>
      </c>
      <c r="D10491">
        <f>IF(B10491=C10491, "YES", "WRONG")</f>
        <v/>
      </c>
    </row>
    <row r="10492">
      <c r="A10492" t="n">
        <v>10491</v>
      </c>
      <c r="B10492" t="inlineStr">
        <is>
          <t>x̄CDXCI</t>
        </is>
      </c>
      <c r="C10492">
        <f>ROMAN(10491)</f>
        <v/>
      </c>
      <c r="D10492">
        <f>IF(B10492=C10492, "YES", "WRONG")</f>
        <v/>
      </c>
    </row>
    <row r="10493">
      <c r="A10493" t="n">
        <v>10492</v>
      </c>
      <c r="B10493" t="inlineStr">
        <is>
          <t>x̄CDXCII</t>
        </is>
      </c>
      <c r="C10493">
        <f>ROMAN(10492)</f>
        <v/>
      </c>
      <c r="D10493">
        <f>IF(B10493=C10493, "YES", "WRONG")</f>
        <v/>
      </c>
    </row>
    <row r="10494">
      <c r="A10494" t="n">
        <v>10493</v>
      </c>
      <c r="B10494" t="inlineStr">
        <is>
          <t>x̄CDXCIII</t>
        </is>
      </c>
      <c r="C10494">
        <f>ROMAN(10493)</f>
        <v/>
      </c>
      <c r="D10494">
        <f>IF(B10494=C10494, "YES", "WRONG")</f>
        <v/>
      </c>
    </row>
    <row r="10495">
      <c r="A10495" t="n">
        <v>10494</v>
      </c>
      <c r="B10495" t="inlineStr">
        <is>
          <t>x̄CDXCIV</t>
        </is>
      </c>
      <c r="C10495">
        <f>ROMAN(10494)</f>
        <v/>
      </c>
      <c r="D10495">
        <f>IF(B10495=C10495, "YES", "WRONG")</f>
        <v/>
      </c>
    </row>
    <row r="10496">
      <c r="A10496" t="n">
        <v>10495</v>
      </c>
      <c r="B10496" t="inlineStr">
        <is>
          <t>x̄CDXCV</t>
        </is>
      </c>
      <c r="C10496">
        <f>ROMAN(10495)</f>
        <v/>
      </c>
      <c r="D10496">
        <f>IF(B10496=C10496, "YES", "WRONG")</f>
        <v/>
      </c>
    </row>
    <row r="10497">
      <c r="A10497" t="n">
        <v>10496</v>
      </c>
      <c r="B10497" t="inlineStr">
        <is>
          <t>x̄CDXCVI</t>
        </is>
      </c>
      <c r="C10497">
        <f>ROMAN(10496)</f>
        <v/>
      </c>
      <c r="D10497">
        <f>IF(B10497=C10497, "YES", "WRONG")</f>
        <v/>
      </c>
    </row>
    <row r="10498">
      <c r="A10498" t="n">
        <v>10497</v>
      </c>
      <c r="B10498" t="inlineStr">
        <is>
          <t>x̄CDXCVII</t>
        </is>
      </c>
      <c r="C10498">
        <f>ROMAN(10497)</f>
        <v/>
      </c>
      <c r="D10498">
        <f>IF(B10498=C10498, "YES", "WRONG")</f>
        <v/>
      </c>
    </row>
    <row r="10499">
      <c r="A10499" t="n">
        <v>10498</v>
      </c>
      <c r="B10499" t="inlineStr">
        <is>
          <t>x̄CDXCVIII</t>
        </is>
      </c>
      <c r="C10499">
        <f>ROMAN(10498)</f>
        <v/>
      </c>
      <c r="D10499">
        <f>IF(B10499=C10499, "YES", "WRONG")</f>
        <v/>
      </c>
    </row>
    <row r="10500">
      <c r="A10500" t="n">
        <v>10499</v>
      </c>
      <c r="B10500" t="inlineStr">
        <is>
          <t>x̄CDXCIX</t>
        </is>
      </c>
      <c r="C10500">
        <f>ROMAN(10499)</f>
        <v/>
      </c>
      <c r="D10500">
        <f>IF(B10500=C10500, "YES", "WRONG")</f>
        <v/>
      </c>
    </row>
    <row r="10501">
      <c r="A10501" t="n">
        <v>10500</v>
      </c>
      <c r="B10501" t="inlineStr">
        <is>
          <t>x̄D</t>
        </is>
      </c>
      <c r="C10501">
        <f>ROMAN(10500)</f>
        <v/>
      </c>
      <c r="D10501">
        <f>IF(B10501=C10501, "YES", "WRONG")</f>
        <v/>
      </c>
    </row>
    <row r="10502">
      <c r="A10502" t="n">
        <v>10501</v>
      </c>
      <c r="B10502" t="inlineStr">
        <is>
          <t>x̄DI</t>
        </is>
      </c>
      <c r="C10502">
        <f>ROMAN(10501)</f>
        <v/>
      </c>
      <c r="D10502">
        <f>IF(B10502=C10502, "YES", "WRONG")</f>
        <v/>
      </c>
    </row>
    <row r="10503">
      <c r="A10503" t="n">
        <v>10502</v>
      </c>
      <c r="B10503" t="inlineStr">
        <is>
          <t>x̄DII</t>
        </is>
      </c>
      <c r="C10503">
        <f>ROMAN(10502)</f>
        <v/>
      </c>
      <c r="D10503">
        <f>IF(B10503=C10503, "YES", "WRONG")</f>
        <v/>
      </c>
    </row>
    <row r="10504">
      <c r="A10504" t="n">
        <v>10503</v>
      </c>
      <c r="B10504" t="inlineStr">
        <is>
          <t>x̄DIII</t>
        </is>
      </c>
      <c r="C10504">
        <f>ROMAN(10503)</f>
        <v/>
      </c>
      <c r="D10504">
        <f>IF(B10504=C10504, "YES", "WRONG")</f>
        <v/>
      </c>
    </row>
    <row r="10505">
      <c r="A10505" t="n">
        <v>10504</v>
      </c>
      <c r="B10505" t="inlineStr">
        <is>
          <t>x̄DIV</t>
        </is>
      </c>
      <c r="C10505">
        <f>ROMAN(10504)</f>
        <v/>
      </c>
      <c r="D10505">
        <f>IF(B10505=C10505, "YES", "WRONG")</f>
        <v/>
      </c>
    </row>
    <row r="10506">
      <c r="A10506" t="n">
        <v>10505</v>
      </c>
      <c r="B10506" t="inlineStr">
        <is>
          <t>x̄DV</t>
        </is>
      </c>
      <c r="C10506">
        <f>ROMAN(10505)</f>
        <v/>
      </c>
      <c r="D10506">
        <f>IF(B10506=C10506, "YES", "WRONG")</f>
        <v/>
      </c>
    </row>
    <row r="10507">
      <c r="A10507" t="n">
        <v>10506</v>
      </c>
      <c r="B10507" t="inlineStr">
        <is>
          <t>x̄DVI</t>
        </is>
      </c>
      <c r="C10507">
        <f>ROMAN(10506)</f>
        <v/>
      </c>
      <c r="D10507">
        <f>IF(B10507=C10507, "YES", "WRONG")</f>
        <v/>
      </c>
    </row>
    <row r="10508">
      <c r="A10508" t="n">
        <v>10507</v>
      </c>
      <c r="B10508" t="inlineStr">
        <is>
          <t>x̄DVII</t>
        </is>
      </c>
      <c r="C10508">
        <f>ROMAN(10507)</f>
        <v/>
      </c>
      <c r="D10508">
        <f>IF(B10508=C10508, "YES", "WRONG")</f>
        <v/>
      </c>
    </row>
    <row r="10509">
      <c r="A10509" t="n">
        <v>10508</v>
      </c>
      <c r="B10509" t="inlineStr">
        <is>
          <t>x̄DVIII</t>
        </is>
      </c>
      <c r="C10509">
        <f>ROMAN(10508)</f>
        <v/>
      </c>
      <c r="D10509">
        <f>IF(B10509=C10509, "YES", "WRONG")</f>
        <v/>
      </c>
    </row>
    <row r="10510">
      <c r="A10510" t="n">
        <v>10509</v>
      </c>
      <c r="B10510" t="inlineStr">
        <is>
          <t>x̄DIX</t>
        </is>
      </c>
      <c r="C10510">
        <f>ROMAN(10509)</f>
        <v/>
      </c>
      <c r="D10510">
        <f>IF(B10510=C10510, "YES", "WRONG")</f>
        <v/>
      </c>
    </row>
    <row r="10511">
      <c r="A10511" t="n">
        <v>10510</v>
      </c>
      <c r="B10511" t="inlineStr">
        <is>
          <t>x̄DX</t>
        </is>
      </c>
      <c r="C10511">
        <f>ROMAN(10510)</f>
        <v/>
      </c>
      <c r="D10511">
        <f>IF(B10511=C10511, "YES", "WRONG")</f>
        <v/>
      </c>
    </row>
    <row r="10512">
      <c r="A10512" t="n">
        <v>10511</v>
      </c>
      <c r="B10512" t="inlineStr">
        <is>
          <t>x̄DXI</t>
        </is>
      </c>
      <c r="C10512">
        <f>ROMAN(10511)</f>
        <v/>
      </c>
      <c r="D10512">
        <f>IF(B10512=C10512, "YES", "WRONG")</f>
        <v/>
      </c>
    </row>
    <row r="10513">
      <c r="A10513" t="n">
        <v>10512</v>
      </c>
      <c r="B10513" t="inlineStr">
        <is>
          <t>x̄DXII</t>
        </is>
      </c>
      <c r="C10513">
        <f>ROMAN(10512)</f>
        <v/>
      </c>
      <c r="D10513">
        <f>IF(B10513=C10513, "YES", "WRONG")</f>
        <v/>
      </c>
    </row>
    <row r="10514">
      <c r="A10514" t="n">
        <v>10513</v>
      </c>
      <c r="B10514" t="inlineStr">
        <is>
          <t>x̄DXIII</t>
        </is>
      </c>
      <c r="C10514">
        <f>ROMAN(10513)</f>
        <v/>
      </c>
      <c r="D10514">
        <f>IF(B10514=C10514, "YES", "WRONG")</f>
        <v/>
      </c>
    </row>
    <row r="10515">
      <c r="A10515" t="n">
        <v>10514</v>
      </c>
      <c r="B10515" t="inlineStr">
        <is>
          <t>x̄DXIV</t>
        </is>
      </c>
      <c r="C10515">
        <f>ROMAN(10514)</f>
        <v/>
      </c>
      <c r="D10515">
        <f>IF(B10515=C10515, "YES", "WRONG")</f>
        <v/>
      </c>
    </row>
    <row r="10516">
      <c r="A10516" t="n">
        <v>10515</v>
      </c>
      <c r="B10516" t="inlineStr">
        <is>
          <t>x̄DXV</t>
        </is>
      </c>
      <c r="C10516">
        <f>ROMAN(10515)</f>
        <v/>
      </c>
      <c r="D10516">
        <f>IF(B10516=C10516, "YES", "WRONG")</f>
        <v/>
      </c>
    </row>
    <row r="10517">
      <c r="A10517" t="n">
        <v>10516</v>
      </c>
      <c r="B10517" t="inlineStr">
        <is>
          <t>x̄DXVI</t>
        </is>
      </c>
      <c r="C10517">
        <f>ROMAN(10516)</f>
        <v/>
      </c>
      <c r="D10517">
        <f>IF(B10517=C10517, "YES", "WRONG")</f>
        <v/>
      </c>
    </row>
    <row r="10518">
      <c r="A10518" t="n">
        <v>10517</v>
      </c>
      <c r="B10518" t="inlineStr">
        <is>
          <t>x̄DXVII</t>
        </is>
      </c>
      <c r="C10518">
        <f>ROMAN(10517)</f>
        <v/>
      </c>
      <c r="D10518">
        <f>IF(B10518=C10518, "YES", "WRONG")</f>
        <v/>
      </c>
    </row>
    <row r="10519">
      <c r="A10519" t="n">
        <v>10518</v>
      </c>
      <c r="B10519" t="inlineStr">
        <is>
          <t>x̄DXVIII</t>
        </is>
      </c>
      <c r="C10519">
        <f>ROMAN(10518)</f>
        <v/>
      </c>
      <c r="D10519">
        <f>IF(B10519=C10519, "YES", "WRONG")</f>
        <v/>
      </c>
    </row>
    <row r="10520">
      <c r="A10520" t="n">
        <v>10519</v>
      </c>
      <c r="B10520" t="inlineStr">
        <is>
          <t>x̄DXIX</t>
        </is>
      </c>
      <c r="C10520">
        <f>ROMAN(10519)</f>
        <v/>
      </c>
      <c r="D10520">
        <f>IF(B10520=C10520, "YES", "WRONG")</f>
        <v/>
      </c>
    </row>
    <row r="10521">
      <c r="A10521" t="n">
        <v>10520</v>
      </c>
      <c r="B10521" t="inlineStr">
        <is>
          <t>x̄DXX</t>
        </is>
      </c>
      <c r="C10521">
        <f>ROMAN(10520)</f>
        <v/>
      </c>
      <c r="D10521">
        <f>IF(B10521=C10521, "YES", "WRONG")</f>
        <v/>
      </c>
    </row>
    <row r="10522">
      <c r="A10522" t="n">
        <v>10521</v>
      </c>
      <c r="B10522" t="inlineStr">
        <is>
          <t>x̄DXXI</t>
        </is>
      </c>
      <c r="C10522">
        <f>ROMAN(10521)</f>
        <v/>
      </c>
      <c r="D10522">
        <f>IF(B10522=C10522, "YES", "WRONG")</f>
        <v/>
      </c>
    </row>
    <row r="10523">
      <c r="A10523" t="n">
        <v>10522</v>
      </c>
      <c r="B10523" t="inlineStr">
        <is>
          <t>x̄DXXII</t>
        </is>
      </c>
      <c r="C10523">
        <f>ROMAN(10522)</f>
        <v/>
      </c>
      <c r="D10523">
        <f>IF(B10523=C10523, "YES", "WRONG")</f>
        <v/>
      </c>
    </row>
    <row r="10524">
      <c r="A10524" t="n">
        <v>10523</v>
      </c>
      <c r="B10524" t="inlineStr">
        <is>
          <t>x̄DXXIII</t>
        </is>
      </c>
      <c r="C10524">
        <f>ROMAN(10523)</f>
        <v/>
      </c>
      <c r="D10524">
        <f>IF(B10524=C10524, "YES", "WRONG")</f>
        <v/>
      </c>
    </row>
    <row r="10525">
      <c r="A10525" t="n">
        <v>10524</v>
      </c>
      <c r="B10525" t="inlineStr">
        <is>
          <t>x̄DXXIV</t>
        </is>
      </c>
      <c r="C10525">
        <f>ROMAN(10524)</f>
        <v/>
      </c>
      <c r="D10525">
        <f>IF(B10525=C10525, "YES", "WRONG")</f>
        <v/>
      </c>
    </row>
    <row r="10526">
      <c r="A10526" t="n">
        <v>10525</v>
      </c>
      <c r="B10526" t="inlineStr">
        <is>
          <t>x̄DXXV</t>
        </is>
      </c>
      <c r="C10526">
        <f>ROMAN(10525)</f>
        <v/>
      </c>
      <c r="D10526">
        <f>IF(B10526=C10526, "YES", "WRONG")</f>
        <v/>
      </c>
    </row>
    <row r="10527">
      <c r="A10527" t="n">
        <v>10526</v>
      </c>
      <c r="B10527" t="inlineStr">
        <is>
          <t>x̄DXXVI</t>
        </is>
      </c>
      <c r="C10527">
        <f>ROMAN(10526)</f>
        <v/>
      </c>
      <c r="D10527">
        <f>IF(B10527=C10527, "YES", "WRONG")</f>
        <v/>
      </c>
    </row>
    <row r="10528">
      <c r="A10528" t="n">
        <v>10527</v>
      </c>
      <c r="B10528" t="inlineStr">
        <is>
          <t>x̄DXXVII</t>
        </is>
      </c>
      <c r="C10528">
        <f>ROMAN(10527)</f>
        <v/>
      </c>
      <c r="D10528">
        <f>IF(B10528=C10528, "YES", "WRONG")</f>
        <v/>
      </c>
    </row>
    <row r="10529">
      <c r="A10529" t="n">
        <v>10528</v>
      </c>
      <c r="B10529" t="inlineStr">
        <is>
          <t>x̄DXXVIII</t>
        </is>
      </c>
      <c r="C10529">
        <f>ROMAN(10528)</f>
        <v/>
      </c>
      <c r="D10529">
        <f>IF(B10529=C10529, "YES", "WRONG")</f>
        <v/>
      </c>
    </row>
    <row r="10530">
      <c r="A10530" t="n">
        <v>10529</v>
      </c>
      <c r="B10530" t="inlineStr">
        <is>
          <t>x̄DXXIX</t>
        </is>
      </c>
      <c r="C10530">
        <f>ROMAN(10529)</f>
        <v/>
      </c>
      <c r="D10530">
        <f>IF(B10530=C10530, "YES", "WRONG")</f>
        <v/>
      </c>
    </row>
    <row r="10531">
      <c r="A10531" t="n">
        <v>10530</v>
      </c>
      <c r="B10531" t="inlineStr">
        <is>
          <t>x̄DXXX</t>
        </is>
      </c>
      <c r="C10531">
        <f>ROMAN(10530)</f>
        <v/>
      </c>
      <c r="D10531">
        <f>IF(B10531=C10531, "YES", "WRONG")</f>
        <v/>
      </c>
    </row>
    <row r="10532">
      <c r="A10532" t="n">
        <v>10531</v>
      </c>
      <c r="B10532" t="inlineStr">
        <is>
          <t>x̄DXXXI</t>
        </is>
      </c>
      <c r="C10532">
        <f>ROMAN(10531)</f>
        <v/>
      </c>
      <c r="D10532">
        <f>IF(B10532=C10532, "YES", "WRONG")</f>
        <v/>
      </c>
    </row>
    <row r="10533">
      <c r="A10533" t="n">
        <v>10532</v>
      </c>
      <c r="B10533" t="inlineStr">
        <is>
          <t>x̄DXXXII</t>
        </is>
      </c>
      <c r="C10533">
        <f>ROMAN(10532)</f>
        <v/>
      </c>
      <c r="D10533">
        <f>IF(B10533=C10533, "YES", "WRONG")</f>
        <v/>
      </c>
    </row>
    <row r="10534">
      <c r="A10534" t="n">
        <v>10533</v>
      </c>
      <c r="B10534" t="inlineStr">
        <is>
          <t>x̄DXXXIII</t>
        </is>
      </c>
      <c r="C10534">
        <f>ROMAN(10533)</f>
        <v/>
      </c>
      <c r="D10534">
        <f>IF(B10534=C10534, "YES", "WRONG")</f>
        <v/>
      </c>
    </row>
    <row r="10535">
      <c r="A10535" t="n">
        <v>10534</v>
      </c>
      <c r="B10535" t="inlineStr">
        <is>
          <t>x̄DXXXIV</t>
        </is>
      </c>
      <c r="C10535">
        <f>ROMAN(10534)</f>
        <v/>
      </c>
      <c r="D10535">
        <f>IF(B10535=C10535, "YES", "WRONG")</f>
        <v/>
      </c>
    </row>
    <row r="10536">
      <c r="A10536" t="n">
        <v>10535</v>
      </c>
      <c r="B10536" t="inlineStr">
        <is>
          <t>x̄DXXXV</t>
        </is>
      </c>
      <c r="C10536">
        <f>ROMAN(10535)</f>
        <v/>
      </c>
      <c r="D10536">
        <f>IF(B10536=C10536, "YES", "WRONG")</f>
        <v/>
      </c>
    </row>
    <row r="10537">
      <c r="A10537" t="n">
        <v>10536</v>
      </c>
      <c r="B10537" t="inlineStr">
        <is>
          <t>x̄DXXXVI</t>
        </is>
      </c>
      <c r="C10537">
        <f>ROMAN(10536)</f>
        <v/>
      </c>
      <c r="D10537">
        <f>IF(B10537=C10537, "YES", "WRONG")</f>
        <v/>
      </c>
    </row>
    <row r="10538">
      <c r="A10538" t="n">
        <v>10537</v>
      </c>
      <c r="B10538" t="inlineStr">
        <is>
          <t>x̄DXXXVII</t>
        </is>
      </c>
      <c r="C10538">
        <f>ROMAN(10537)</f>
        <v/>
      </c>
      <c r="D10538">
        <f>IF(B10538=C10538, "YES", "WRONG")</f>
        <v/>
      </c>
    </row>
    <row r="10539">
      <c r="A10539" t="n">
        <v>10538</v>
      </c>
      <c r="B10539" t="inlineStr">
        <is>
          <t>x̄DXXXVIII</t>
        </is>
      </c>
      <c r="C10539">
        <f>ROMAN(10538)</f>
        <v/>
      </c>
      <c r="D10539">
        <f>IF(B10539=C10539, "YES", "WRONG")</f>
        <v/>
      </c>
    </row>
    <row r="10540">
      <c r="A10540" t="n">
        <v>10539</v>
      </c>
      <c r="B10540" t="inlineStr">
        <is>
          <t>x̄DXXXIX</t>
        </is>
      </c>
      <c r="C10540">
        <f>ROMAN(10539)</f>
        <v/>
      </c>
      <c r="D10540">
        <f>IF(B10540=C10540, "YES", "WRONG")</f>
        <v/>
      </c>
    </row>
    <row r="10541">
      <c r="A10541" t="n">
        <v>10540</v>
      </c>
      <c r="B10541" t="inlineStr">
        <is>
          <t>x̄DXL</t>
        </is>
      </c>
      <c r="C10541">
        <f>ROMAN(10540)</f>
        <v/>
      </c>
      <c r="D10541">
        <f>IF(B10541=C10541, "YES", "WRONG")</f>
        <v/>
      </c>
    </row>
    <row r="10542">
      <c r="A10542" t="n">
        <v>10541</v>
      </c>
      <c r="B10542" t="inlineStr">
        <is>
          <t>x̄DXLI</t>
        </is>
      </c>
      <c r="C10542">
        <f>ROMAN(10541)</f>
        <v/>
      </c>
      <c r="D10542">
        <f>IF(B10542=C10542, "YES", "WRONG")</f>
        <v/>
      </c>
    </row>
    <row r="10543">
      <c r="A10543" t="n">
        <v>10542</v>
      </c>
      <c r="B10543" t="inlineStr">
        <is>
          <t>x̄DXLII</t>
        </is>
      </c>
      <c r="C10543">
        <f>ROMAN(10542)</f>
        <v/>
      </c>
      <c r="D10543">
        <f>IF(B10543=C10543, "YES", "WRONG")</f>
        <v/>
      </c>
    </row>
    <row r="10544">
      <c r="A10544" t="n">
        <v>10543</v>
      </c>
      <c r="B10544" t="inlineStr">
        <is>
          <t>x̄DXLIII</t>
        </is>
      </c>
      <c r="C10544">
        <f>ROMAN(10543)</f>
        <v/>
      </c>
      <c r="D10544">
        <f>IF(B10544=C10544, "YES", "WRONG")</f>
        <v/>
      </c>
    </row>
    <row r="10545">
      <c r="A10545" t="n">
        <v>10544</v>
      </c>
      <c r="B10545" t="inlineStr">
        <is>
          <t>x̄DXLIV</t>
        </is>
      </c>
      <c r="C10545">
        <f>ROMAN(10544)</f>
        <v/>
      </c>
      <c r="D10545">
        <f>IF(B10545=C10545, "YES", "WRONG")</f>
        <v/>
      </c>
    </row>
    <row r="10546">
      <c r="A10546" t="n">
        <v>10545</v>
      </c>
      <c r="B10546" t="inlineStr">
        <is>
          <t>x̄DXLV</t>
        </is>
      </c>
      <c r="C10546">
        <f>ROMAN(10545)</f>
        <v/>
      </c>
      <c r="D10546">
        <f>IF(B10546=C10546, "YES", "WRONG")</f>
        <v/>
      </c>
    </row>
    <row r="10547">
      <c r="A10547" t="n">
        <v>10546</v>
      </c>
      <c r="B10547" t="inlineStr">
        <is>
          <t>x̄DXLVI</t>
        </is>
      </c>
      <c r="C10547">
        <f>ROMAN(10546)</f>
        <v/>
      </c>
      <c r="D10547">
        <f>IF(B10547=C10547, "YES", "WRONG")</f>
        <v/>
      </c>
    </row>
    <row r="10548">
      <c r="A10548" t="n">
        <v>10547</v>
      </c>
      <c r="B10548" t="inlineStr">
        <is>
          <t>x̄DXLVII</t>
        </is>
      </c>
      <c r="C10548">
        <f>ROMAN(10547)</f>
        <v/>
      </c>
      <c r="D10548">
        <f>IF(B10548=C10548, "YES", "WRONG")</f>
        <v/>
      </c>
    </row>
    <row r="10549">
      <c r="A10549" t="n">
        <v>10548</v>
      </c>
      <c r="B10549" t="inlineStr">
        <is>
          <t>x̄DXLVIII</t>
        </is>
      </c>
      <c r="C10549">
        <f>ROMAN(10548)</f>
        <v/>
      </c>
      <c r="D10549">
        <f>IF(B10549=C10549, "YES", "WRONG")</f>
        <v/>
      </c>
    </row>
    <row r="10550">
      <c r="A10550" t="n">
        <v>10549</v>
      </c>
      <c r="B10550" t="inlineStr">
        <is>
          <t>x̄DXLIX</t>
        </is>
      </c>
      <c r="C10550">
        <f>ROMAN(10549)</f>
        <v/>
      </c>
      <c r="D10550">
        <f>IF(B10550=C10550, "YES", "WRONG")</f>
        <v/>
      </c>
    </row>
    <row r="10551">
      <c r="A10551" t="n">
        <v>10550</v>
      </c>
      <c r="B10551" t="inlineStr">
        <is>
          <t>x̄DL</t>
        </is>
      </c>
      <c r="C10551">
        <f>ROMAN(10550)</f>
        <v/>
      </c>
      <c r="D10551">
        <f>IF(B10551=C10551, "YES", "WRONG")</f>
        <v/>
      </c>
    </row>
    <row r="10552">
      <c r="A10552" t="n">
        <v>10551</v>
      </c>
      <c r="B10552" t="inlineStr">
        <is>
          <t>x̄DLI</t>
        </is>
      </c>
      <c r="C10552">
        <f>ROMAN(10551)</f>
        <v/>
      </c>
      <c r="D10552">
        <f>IF(B10552=C10552, "YES", "WRONG")</f>
        <v/>
      </c>
    </row>
    <row r="10553">
      <c r="A10553" t="n">
        <v>10552</v>
      </c>
      <c r="B10553" t="inlineStr">
        <is>
          <t>x̄DLII</t>
        </is>
      </c>
      <c r="C10553">
        <f>ROMAN(10552)</f>
        <v/>
      </c>
      <c r="D10553">
        <f>IF(B10553=C10553, "YES", "WRONG")</f>
        <v/>
      </c>
    </row>
    <row r="10554">
      <c r="A10554" t="n">
        <v>10553</v>
      </c>
      <c r="B10554" t="inlineStr">
        <is>
          <t>x̄DLIII</t>
        </is>
      </c>
      <c r="C10554">
        <f>ROMAN(10553)</f>
        <v/>
      </c>
      <c r="D10554">
        <f>IF(B10554=C10554, "YES", "WRONG")</f>
        <v/>
      </c>
    </row>
    <row r="10555">
      <c r="A10555" t="n">
        <v>10554</v>
      </c>
      <c r="B10555" t="inlineStr">
        <is>
          <t>x̄DLIV</t>
        </is>
      </c>
      <c r="C10555">
        <f>ROMAN(10554)</f>
        <v/>
      </c>
      <c r="D10555">
        <f>IF(B10555=C10555, "YES", "WRONG")</f>
        <v/>
      </c>
    </row>
    <row r="10556">
      <c r="A10556" t="n">
        <v>10555</v>
      </c>
      <c r="B10556" t="inlineStr">
        <is>
          <t>x̄DLV</t>
        </is>
      </c>
      <c r="C10556">
        <f>ROMAN(10555)</f>
        <v/>
      </c>
      <c r="D10556">
        <f>IF(B10556=C10556, "YES", "WRONG")</f>
        <v/>
      </c>
    </row>
    <row r="10557">
      <c r="A10557" t="n">
        <v>10556</v>
      </c>
      <c r="B10557" t="inlineStr">
        <is>
          <t>x̄DLVI</t>
        </is>
      </c>
      <c r="C10557">
        <f>ROMAN(10556)</f>
        <v/>
      </c>
      <c r="D10557">
        <f>IF(B10557=C10557, "YES", "WRONG")</f>
        <v/>
      </c>
    </row>
    <row r="10558">
      <c r="A10558" t="n">
        <v>10557</v>
      </c>
      <c r="B10558" t="inlineStr">
        <is>
          <t>x̄DLVII</t>
        </is>
      </c>
      <c r="C10558">
        <f>ROMAN(10557)</f>
        <v/>
      </c>
      <c r="D10558">
        <f>IF(B10558=C10558, "YES", "WRONG")</f>
        <v/>
      </c>
    </row>
    <row r="10559">
      <c r="A10559" t="n">
        <v>10558</v>
      </c>
      <c r="B10559" t="inlineStr">
        <is>
          <t>x̄DLVIII</t>
        </is>
      </c>
      <c r="C10559">
        <f>ROMAN(10558)</f>
        <v/>
      </c>
      <c r="D10559">
        <f>IF(B10559=C10559, "YES", "WRONG")</f>
        <v/>
      </c>
    </row>
    <row r="10560">
      <c r="A10560" t="n">
        <v>10559</v>
      </c>
      <c r="B10560" t="inlineStr">
        <is>
          <t>x̄DLIX</t>
        </is>
      </c>
      <c r="C10560">
        <f>ROMAN(10559)</f>
        <v/>
      </c>
      <c r="D10560">
        <f>IF(B10560=C10560, "YES", "WRONG")</f>
        <v/>
      </c>
    </row>
    <row r="10561">
      <c r="A10561" t="n">
        <v>10560</v>
      </c>
      <c r="B10561" t="inlineStr">
        <is>
          <t>x̄DLX</t>
        </is>
      </c>
      <c r="C10561">
        <f>ROMAN(10560)</f>
        <v/>
      </c>
      <c r="D10561">
        <f>IF(B10561=C10561, "YES", "WRONG")</f>
        <v/>
      </c>
    </row>
    <row r="10562">
      <c r="A10562" t="n">
        <v>10561</v>
      </c>
      <c r="B10562" t="inlineStr">
        <is>
          <t>x̄DLXI</t>
        </is>
      </c>
      <c r="C10562">
        <f>ROMAN(10561)</f>
        <v/>
      </c>
      <c r="D10562">
        <f>IF(B10562=C10562, "YES", "WRONG")</f>
        <v/>
      </c>
    </row>
    <row r="10563">
      <c r="A10563" t="n">
        <v>10562</v>
      </c>
      <c r="B10563" t="inlineStr">
        <is>
          <t>x̄DLXII</t>
        </is>
      </c>
      <c r="C10563">
        <f>ROMAN(10562)</f>
        <v/>
      </c>
      <c r="D10563">
        <f>IF(B10563=C10563, "YES", "WRONG")</f>
        <v/>
      </c>
    </row>
    <row r="10564">
      <c r="A10564" t="n">
        <v>10563</v>
      </c>
      <c r="B10564" t="inlineStr">
        <is>
          <t>x̄DLXIII</t>
        </is>
      </c>
      <c r="C10564">
        <f>ROMAN(10563)</f>
        <v/>
      </c>
      <c r="D10564">
        <f>IF(B10564=C10564, "YES", "WRONG")</f>
        <v/>
      </c>
    </row>
    <row r="10565">
      <c r="A10565" t="n">
        <v>10564</v>
      </c>
      <c r="B10565" t="inlineStr">
        <is>
          <t>x̄DLXIV</t>
        </is>
      </c>
      <c r="C10565">
        <f>ROMAN(10564)</f>
        <v/>
      </c>
      <c r="D10565">
        <f>IF(B10565=C10565, "YES", "WRONG")</f>
        <v/>
      </c>
    </row>
    <row r="10566">
      <c r="A10566" t="n">
        <v>10565</v>
      </c>
      <c r="B10566" t="inlineStr">
        <is>
          <t>x̄DLXV</t>
        </is>
      </c>
      <c r="C10566">
        <f>ROMAN(10565)</f>
        <v/>
      </c>
      <c r="D10566">
        <f>IF(B10566=C10566, "YES", "WRONG")</f>
        <v/>
      </c>
    </row>
    <row r="10567">
      <c r="A10567" t="n">
        <v>10566</v>
      </c>
      <c r="B10567" t="inlineStr">
        <is>
          <t>x̄DLXVI</t>
        </is>
      </c>
      <c r="C10567">
        <f>ROMAN(10566)</f>
        <v/>
      </c>
      <c r="D10567">
        <f>IF(B10567=C10567, "YES", "WRONG")</f>
        <v/>
      </c>
    </row>
    <row r="10568">
      <c r="A10568" t="n">
        <v>10567</v>
      </c>
      <c r="B10568" t="inlineStr">
        <is>
          <t>x̄DLXVII</t>
        </is>
      </c>
      <c r="C10568">
        <f>ROMAN(10567)</f>
        <v/>
      </c>
      <c r="D10568">
        <f>IF(B10568=C10568, "YES", "WRONG")</f>
        <v/>
      </c>
    </row>
    <row r="10569">
      <c r="A10569" t="n">
        <v>10568</v>
      </c>
      <c r="B10569" t="inlineStr">
        <is>
          <t>x̄DLXVIII</t>
        </is>
      </c>
      <c r="C10569">
        <f>ROMAN(10568)</f>
        <v/>
      </c>
      <c r="D10569">
        <f>IF(B10569=C10569, "YES", "WRONG")</f>
        <v/>
      </c>
    </row>
    <row r="10570">
      <c r="A10570" t="n">
        <v>10569</v>
      </c>
      <c r="B10570" t="inlineStr">
        <is>
          <t>x̄DLXIX</t>
        </is>
      </c>
      <c r="C10570">
        <f>ROMAN(10569)</f>
        <v/>
      </c>
      <c r="D10570">
        <f>IF(B10570=C10570, "YES", "WRONG")</f>
        <v/>
      </c>
    </row>
    <row r="10571">
      <c r="A10571" t="n">
        <v>10570</v>
      </c>
      <c r="B10571" t="inlineStr">
        <is>
          <t>x̄DLXX</t>
        </is>
      </c>
      <c r="C10571">
        <f>ROMAN(10570)</f>
        <v/>
      </c>
      <c r="D10571">
        <f>IF(B10571=C10571, "YES", "WRONG")</f>
        <v/>
      </c>
    </row>
    <row r="10572">
      <c r="A10572" t="n">
        <v>10571</v>
      </c>
      <c r="B10572" t="inlineStr">
        <is>
          <t>x̄DLXXI</t>
        </is>
      </c>
      <c r="C10572">
        <f>ROMAN(10571)</f>
        <v/>
      </c>
      <c r="D10572">
        <f>IF(B10572=C10572, "YES", "WRONG")</f>
        <v/>
      </c>
    </row>
    <row r="10573">
      <c r="A10573" t="n">
        <v>10572</v>
      </c>
      <c r="B10573" t="inlineStr">
        <is>
          <t>x̄DLXXII</t>
        </is>
      </c>
      <c r="C10573">
        <f>ROMAN(10572)</f>
        <v/>
      </c>
      <c r="D10573">
        <f>IF(B10573=C10573, "YES", "WRONG")</f>
        <v/>
      </c>
    </row>
    <row r="10574">
      <c r="A10574" t="n">
        <v>10573</v>
      </c>
      <c r="B10574" t="inlineStr">
        <is>
          <t>x̄DLXXIII</t>
        </is>
      </c>
      <c r="C10574">
        <f>ROMAN(10573)</f>
        <v/>
      </c>
      <c r="D10574">
        <f>IF(B10574=C10574, "YES", "WRONG")</f>
        <v/>
      </c>
    </row>
    <row r="10575">
      <c r="A10575" t="n">
        <v>10574</v>
      </c>
      <c r="B10575" t="inlineStr">
        <is>
          <t>x̄DLXXIV</t>
        </is>
      </c>
      <c r="C10575">
        <f>ROMAN(10574)</f>
        <v/>
      </c>
      <c r="D10575">
        <f>IF(B10575=C10575, "YES", "WRONG")</f>
        <v/>
      </c>
    </row>
    <row r="10576">
      <c r="A10576" t="n">
        <v>10575</v>
      </c>
      <c r="B10576" t="inlineStr">
        <is>
          <t>x̄DLXXV</t>
        </is>
      </c>
      <c r="C10576">
        <f>ROMAN(10575)</f>
        <v/>
      </c>
      <c r="D10576">
        <f>IF(B10576=C10576, "YES", "WRONG")</f>
        <v/>
      </c>
    </row>
    <row r="10577">
      <c r="A10577" t="n">
        <v>10576</v>
      </c>
      <c r="B10577" t="inlineStr">
        <is>
          <t>x̄DLXXVI</t>
        </is>
      </c>
      <c r="C10577">
        <f>ROMAN(10576)</f>
        <v/>
      </c>
      <c r="D10577">
        <f>IF(B10577=C10577, "YES", "WRONG")</f>
        <v/>
      </c>
    </row>
    <row r="10578">
      <c r="A10578" t="n">
        <v>10577</v>
      </c>
      <c r="B10578" t="inlineStr">
        <is>
          <t>x̄DLXXVII</t>
        </is>
      </c>
      <c r="C10578">
        <f>ROMAN(10577)</f>
        <v/>
      </c>
      <c r="D10578">
        <f>IF(B10578=C10578, "YES", "WRONG")</f>
        <v/>
      </c>
    </row>
    <row r="10579">
      <c r="A10579" t="n">
        <v>10578</v>
      </c>
      <c r="B10579" t="inlineStr">
        <is>
          <t>x̄DLXXVIII</t>
        </is>
      </c>
      <c r="C10579">
        <f>ROMAN(10578)</f>
        <v/>
      </c>
      <c r="D10579">
        <f>IF(B10579=C10579, "YES", "WRONG")</f>
        <v/>
      </c>
    </row>
    <row r="10580">
      <c r="A10580" t="n">
        <v>10579</v>
      </c>
      <c r="B10580" t="inlineStr">
        <is>
          <t>x̄DLXXIX</t>
        </is>
      </c>
      <c r="C10580">
        <f>ROMAN(10579)</f>
        <v/>
      </c>
      <c r="D10580">
        <f>IF(B10580=C10580, "YES", "WRONG")</f>
        <v/>
      </c>
    </row>
    <row r="10581">
      <c r="A10581" t="n">
        <v>10580</v>
      </c>
      <c r="B10581" t="inlineStr">
        <is>
          <t>x̄DLXXX</t>
        </is>
      </c>
      <c r="C10581">
        <f>ROMAN(10580)</f>
        <v/>
      </c>
      <c r="D10581">
        <f>IF(B10581=C10581, "YES", "WRONG")</f>
        <v/>
      </c>
    </row>
    <row r="10582">
      <c r="A10582" t="n">
        <v>10581</v>
      </c>
      <c r="B10582" t="inlineStr">
        <is>
          <t>x̄DLXXXI</t>
        </is>
      </c>
      <c r="C10582">
        <f>ROMAN(10581)</f>
        <v/>
      </c>
      <c r="D10582">
        <f>IF(B10582=C10582, "YES", "WRONG")</f>
        <v/>
      </c>
    </row>
    <row r="10583">
      <c r="A10583" t="n">
        <v>10582</v>
      </c>
      <c r="B10583" t="inlineStr">
        <is>
          <t>x̄DLXXXII</t>
        </is>
      </c>
      <c r="C10583">
        <f>ROMAN(10582)</f>
        <v/>
      </c>
      <c r="D10583">
        <f>IF(B10583=C10583, "YES", "WRONG")</f>
        <v/>
      </c>
    </row>
    <row r="10584">
      <c r="A10584" t="n">
        <v>10583</v>
      </c>
      <c r="B10584" t="inlineStr">
        <is>
          <t>x̄DLXXXIII</t>
        </is>
      </c>
      <c r="C10584">
        <f>ROMAN(10583)</f>
        <v/>
      </c>
      <c r="D10584">
        <f>IF(B10584=C10584, "YES", "WRONG")</f>
        <v/>
      </c>
    </row>
    <row r="10585">
      <c r="A10585" t="n">
        <v>10584</v>
      </c>
      <c r="B10585" t="inlineStr">
        <is>
          <t>x̄DLXXXIV</t>
        </is>
      </c>
      <c r="C10585">
        <f>ROMAN(10584)</f>
        <v/>
      </c>
      <c r="D10585">
        <f>IF(B10585=C10585, "YES", "WRONG")</f>
        <v/>
      </c>
    </row>
    <row r="10586">
      <c r="A10586" t="n">
        <v>10585</v>
      </c>
      <c r="B10586" t="inlineStr">
        <is>
          <t>x̄DLXXXV</t>
        </is>
      </c>
      <c r="C10586">
        <f>ROMAN(10585)</f>
        <v/>
      </c>
      <c r="D10586">
        <f>IF(B10586=C10586, "YES", "WRONG")</f>
        <v/>
      </c>
    </row>
    <row r="10587">
      <c r="A10587" t="n">
        <v>10586</v>
      </c>
      <c r="B10587" t="inlineStr">
        <is>
          <t>x̄DLXXXVI</t>
        </is>
      </c>
      <c r="C10587">
        <f>ROMAN(10586)</f>
        <v/>
      </c>
      <c r="D10587">
        <f>IF(B10587=C10587, "YES", "WRONG")</f>
        <v/>
      </c>
    </row>
    <row r="10588">
      <c r="A10588" t="n">
        <v>10587</v>
      </c>
      <c r="B10588" t="inlineStr">
        <is>
          <t>x̄DLXXXVII</t>
        </is>
      </c>
      <c r="C10588">
        <f>ROMAN(10587)</f>
        <v/>
      </c>
      <c r="D10588">
        <f>IF(B10588=C10588, "YES", "WRONG")</f>
        <v/>
      </c>
    </row>
    <row r="10589">
      <c r="A10589" t="n">
        <v>10588</v>
      </c>
      <c r="B10589" t="inlineStr">
        <is>
          <t>x̄DLXXXVIII</t>
        </is>
      </c>
      <c r="C10589">
        <f>ROMAN(10588)</f>
        <v/>
      </c>
      <c r="D10589">
        <f>IF(B10589=C10589, "YES", "WRONG")</f>
        <v/>
      </c>
    </row>
    <row r="10590">
      <c r="A10590" t="n">
        <v>10589</v>
      </c>
      <c r="B10590" t="inlineStr">
        <is>
          <t>x̄DLXXXIX</t>
        </is>
      </c>
      <c r="C10590">
        <f>ROMAN(10589)</f>
        <v/>
      </c>
      <c r="D10590">
        <f>IF(B10590=C10590, "YES", "WRONG")</f>
        <v/>
      </c>
    </row>
    <row r="10591">
      <c r="A10591" t="n">
        <v>10590</v>
      </c>
      <c r="B10591" t="inlineStr">
        <is>
          <t>x̄DXC</t>
        </is>
      </c>
      <c r="C10591">
        <f>ROMAN(10590)</f>
        <v/>
      </c>
      <c r="D10591">
        <f>IF(B10591=C10591, "YES", "WRONG")</f>
        <v/>
      </c>
    </row>
    <row r="10592">
      <c r="A10592" t="n">
        <v>10591</v>
      </c>
      <c r="B10592" t="inlineStr">
        <is>
          <t>x̄DXCI</t>
        </is>
      </c>
      <c r="C10592">
        <f>ROMAN(10591)</f>
        <v/>
      </c>
      <c r="D10592">
        <f>IF(B10592=C10592, "YES", "WRONG")</f>
        <v/>
      </c>
    </row>
    <row r="10593">
      <c r="A10593" t="n">
        <v>10592</v>
      </c>
      <c r="B10593" t="inlineStr">
        <is>
          <t>x̄DXCII</t>
        </is>
      </c>
      <c r="C10593">
        <f>ROMAN(10592)</f>
        <v/>
      </c>
      <c r="D10593">
        <f>IF(B10593=C10593, "YES", "WRONG")</f>
        <v/>
      </c>
    </row>
    <row r="10594">
      <c r="A10594" t="n">
        <v>10593</v>
      </c>
      <c r="B10594" t="inlineStr">
        <is>
          <t>x̄DXCIII</t>
        </is>
      </c>
      <c r="C10594">
        <f>ROMAN(10593)</f>
        <v/>
      </c>
      <c r="D10594">
        <f>IF(B10594=C10594, "YES", "WRONG")</f>
        <v/>
      </c>
    </row>
    <row r="10595">
      <c r="A10595" t="n">
        <v>10594</v>
      </c>
      <c r="B10595" t="inlineStr">
        <is>
          <t>x̄DXCIV</t>
        </is>
      </c>
      <c r="C10595">
        <f>ROMAN(10594)</f>
        <v/>
      </c>
      <c r="D10595">
        <f>IF(B10595=C10595, "YES", "WRONG")</f>
        <v/>
      </c>
    </row>
    <row r="10596">
      <c r="A10596" t="n">
        <v>10595</v>
      </c>
      <c r="B10596" t="inlineStr">
        <is>
          <t>x̄DXCV</t>
        </is>
      </c>
      <c r="C10596">
        <f>ROMAN(10595)</f>
        <v/>
      </c>
      <c r="D10596">
        <f>IF(B10596=C10596, "YES", "WRONG")</f>
        <v/>
      </c>
    </row>
    <row r="10597">
      <c r="A10597" t="n">
        <v>10596</v>
      </c>
      <c r="B10597" t="inlineStr">
        <is>
          <t>x̄DXCVI</t>
        </is>
      </c>
      <c r="C10597">
        <f>ROMAN(10596)</f>
        <v/>
      </c>
      <c r="D10597">
        <f>IF(B10597=C10597, "YES", "WRONG")</f>
        <v/>
      </c>
    </row>
    <row r="10598">
      <c r="A10598" t="n">
        <v>10597</v>
      </c>
      <c r="B10598" t="inlineStr">
        <is>
          <t>x̄DXCVII</t>
        </is>
      </c>
      <c r="C10598">
        <f>ROMAN(10597)</f>
        <v/>
      </c>
      <c r="D10598">
        <f>IF(B10598=C10598, "YES", "WRONG")</f>
        <v/>
      </c>
    </row>
    <row r="10599">
      <c r="A10599" t="n">
        <v>10598</v>
      </c>
      <c r="B10599" t="inlineStr">
        <is>
          <t>x̄DXCVIII</t>
        </is>
      </c>
      <c r="C10599">
        <f>ROMAN(10598)</f>
        <v/>
      </c>
      <c r="D10599">
        <f>IF(B10599=C10599, "YES", "WRONG")</f>
        <v/>
      </c>
    </row>
    <row r="10600">
      <c r="A10600" t="n">
        <v>10599</v>
      </c>
      <c r="B10600" t="inlineStr">
        <is>
          <t>x̄DXCIX</t>
        </is>
      </c>
      <c r="C10600">
        <f>ROMAN(10599)</f>
        <v/>
      </c>
      <c r="D10600">
        <f>IF(B10600=C10600, "YES", "WRONG")</f>
        <v/>
      </c>
    </row>
    <row r="10601">
      <c r="A10601" t="n">
        <v>10600</v>
      </c>
      <c r="B10601" t="inlineStr">
        <is>
          <t>x̄DC</t>
        </is>
      </c>
      <c r="C10601">
        <f>ROMAN(10600)</f>
        <v/>
      </c>
      <c r="D10601">
        <f>IF(B10601=C10601, "YES", "WRONG")</f>
        <v/>
      </c>
    </row>
    <row r="10602">
      <c r="A10602" t="n">
        <v>10601</v>
      </c>
      <c r="B10602" t="inlineStr">
        <is>
          <t>x̄DCI</t>
        </is>
      </c>
      <c r="C10602">
        <f>ROMAN(10601)</f>
        <v/>
      </c>
      <c r="D10602">
        <f>IF(B10602=C10602, "YES", "WRONG")</f>
        <v/>
      </c>
    </row>
    <row r="10603">
      <c r="A10603" t="n">
        <v>10602</v>
      </c>
      <c r="B10603" t="inlineStr">
        <is>
          <t>x̄DCII</t>
        </is>
      </c>
      <c r="C10603">
        <f>ROMAN(10602)</f>
        <v/>
      </c>
      <c r="D10603">
        <f>IF(B10603=C10603, "YES", "WRONG")</f>
        <v/>
      </c>
    </row>
    <row r="10604">
      <c r="A10604" t="n">
        <v>10603</v>
      </c>
      <c r="B10604" t="inlineStr">
        <is>
          <t>x̄DCIII</t>
        </is>
      </c>
      <c r="C10604">
        <f>ROMAN(10603)</f>
        <v/>
      </c>
      <c r="D10604">
        <f>IF(B10604=C10604, "YES", "WRONG")</f>
        <v/>
      </c>
    </row>
    <row r="10605">
      <c r="A10605" t="n">
        <v>10604</v>
      </c>
      <c r="B10605" t="inlineStr">
        <is>
          <t>x̄DCIV</t>
        </is>
      </c>
      <c r="C10605">
        <f>ROMAN(10604)</f>
        <v/>
      </c>
      <c r="D10605">
        <f>IF(B10605=C10605, "YES", "WRONG")</f>
        <v/>
      </c>
    </row>
    <row r="10606">
      <c r="A10606" t="n">
        <v>10605</v>
      </c>
      <c r="B10606" t="inlineStr">
        <is>
          <t>x̄DCV</t>
        </is>
      </c>
      <c r="C10606">
        <f>ROMAN(10605)</f>
        <v/>
      </c>
      <c r="D10606">
        <f>IF(B10606=C10606, "YES", "WRONG")</f>
        <v/>
      </c>
    </row>
    <row r="10607">
      <c r="A10607" t="n">
        <v>10606</v>
      </c>
      <c r="B10607" t="inlineStr">
        <is>
          <t>x̄DCVI</t>
        </is>
      </c>
      <c r="C10607">
        <f>ROMAN(10606)</f>
        <v/>
      </c>
      <c r="D10607">
        <f>IF(B10607=C10607, "YES", "WRONG")</f>
        <v/>
      </c>
    </row>
    <row r="10608">
      <c r="A10608" t="n">
        <v>10607</v>
      </c>
      <c r="B10608" t="inlineStr">
        <is>
          <t>x̄DCVII</t>
        </is>
      </c>
      <c r="C10608">
        <f>ROMAN(10607)</f>
        <v/>
      </c>
      <c r="D10608">
        <f>IF(B10608=C10608, "YES", "WRONG")</f>
        <v/>
      </c>
    </row>
    <row r="10609">
      <c r="A10609" t="n">
        <v>10608</v>
      </c>
      <c r="B10609" t="inlineStr">
        <is>
          <t>x̄DCVIII</t>
        </is>
      </c>
      <c r="C10609">
        <f>ROMAN(10608)</f>
        <v/>
      </c>
      <c r="D10609">
        <f>IF(B10609=C10609, "YES", "WRONG")</f>
        <v/>
      </c>
    </row>
    <row r="10610">
      <c r="A10610" t="n">
        <v>10609</v>
      </c>
      <c r="B10610" t="inlineStr">
        <is>
          <t>x̄DCIX</t>
        </is>
      </c>
      <c r="C10610">
        <f>ROMAN(10609)</f>
        <v/>
      </c>
      <c r="D10610">
        <f>IF(B10610=C10610, "YES", "WRONG")</f>
        <v/>
      </c>
    </row>
    <row r="10611">
      <c r="A10611" t="n">
        <v>10610</v>
      </c>
      <c r="B10611" t="inlineStr">
        <is>
          <t>x̄DCX</t>
        </is>
      </c>
      <c r="C10611">
        <f>ROMAN(10610)</f>
        <v/>
      </c>
      <c r="D10611">
        <f>IF(B10611=C10611, "YES", "WRONG")</f>
        <v/>
      </c>
    </row>
    <row r="10612">
      <c r="A10612" t="n">
        <v>10611</v>
      </c>
      <c r="B10612" t="inlineStr">
        <is>
          <t>x̄DCXI</t>
        </is>
      </c>
      <c r="C10612">
        <f>ROMAN(10611)</f>
        <v/>
      </c>
      <c r="D10612">
        <f>IF(B10612=C10612, "YES", "WRONG")</f>
        <v/>
      </c>
    </row>
    <row r="10613">
      <c r="A10613" t="n">
        <v>10612</v>
      </c>
      <c r="B10613" t="inlineStr">
        <is>
          <t>x̄DCXII</t>
        </is>
      </c>
      <c r="C10613">
        <f>ROMAN(10612)</f>
        <v/>
      </c>
      <c r="D10613">
        <f>IF(B10613=C10613, "YES", "WRONG")</f>
        <v/>
      </c>
    </row>
    <row r="10614">
      <c r="A10614" t="n">
        <v>10613</v>
      </c>
      <c r="B10614" t="inlineStr">
        <is>
          <t>x̄DCXIII</t>
        </is>
      </c>
      <c r="C10614">
        <f>ROMAN(10613)</f>
        <v/>
      </c>
      <c r="D10614">
        <f>IF(B10614=C10614, "YES", "WRONG")</f>
        <v/>
      </c>
    </row>
    <row r="10615">
      <c r="A10615" t="n">
        <v>10614</v>
      </c>
      <c r="B10615" t="inlineStr">
        <is>
          <t>x̄DCXIV</t>
        </is>
      </c>
      <c r="C10615">
        <f>ROMAN(10614)</f>
        <v/>
      </c>
      <c r="D10615">
        <f>IF(B10615=C10615, "YES", "WRONG")</f>
        <v/>
      </c>
    </row>
    <row r="10616">
      <c r="A10616" t="n">
        <v>10615</v>
      </c>
      <c r="B10616" t="inlineStr">
        <is>
          <t>x̄DCXV</t>
        </is>
      </c>
      <c r="C10616">
        <f>ROMAN(10615)</f>
        <v/>
      </c>
      <c r="D10616">
        <f>IF(B10616=C10616, "YES", "WRONG")</f>
        <v/>
      </c>
    </row>
    <row r="10617">
      <c r="A10617" t="n">
        <v>10616</v>
      </c>
      <c r="B10617" t="inlineStr">
        <is>
          <t>x̄DCXVI</t>
        </is>
      </c>
      <c r="C10617">
        <f>ROMAN(10616)</f>
        <v/>
      </c>
      <c r="D10617">
        <f>IF(B10617=C10617, "YES", "WRONG")</f>
        <v/>
      </c>
    </row>
    <row r="10618">
      <c r="A10618" t="n">
        <v>10617</v>
      </c>
      <c r="B10618" t="inlineStr">
        <is>
          <t>x̄DCXVII</t>
        </is>
      </c>
      <c r="C10618">
        <f>ROMAN(10617)</f>
        <v/>
      </c>
      <c r="D10618">
        <f>IF(B10618=C10618, "YES", "WRONG")</f>
        <v/>
      </c>
    </row>
    <row r="10619">
      <c r="A10619" t="n">
        <v>10618</v>
      </c>
      <c r="B10619" t="inlineStr">
        <is>
          <t>x̄DCXVIII</t>
        </is>
      </c>
      <c r="C10619">
        <f>ROMAN(10618)</f>
        <v/>
      </c>
      <c r="D10619">
        <f>IF(B10619=C10619, "YES", "WRONG")</f>
        <v/>
      </c>
    </row>
    <row r="10620">
      <c r="A10620" t="n">
        <v>10619</v>
      </c>
      <c r="B10620" t="inlineStr">
        <is>
          <t>x̄DCXIX</t>
        </is>
      </c>
      <c r="C10620">
        <f>ROMAN(10619)</f>
        <v/>
      </c>
      <c r="D10620">
        <f>IF(B10620=C10620, "YES", "WRONG")</f>
        <v/>
      </c>
    </row>
    <row r="10621">
      <c r="A10621" t="n">
        <v>10620</v>
      </c>
      <c r="B10621" t="inlineStr">
        <is>
          <t>x̄DCXX</t>
        </is>
      </c>
      <c r="C10621">
        <f>ROMAN(10620)</f>
        <v/>
      </c>
      <c r="D10621">
        <f>IF(B10621=C10621, "YES", "WRONG")</f>
        <v/>
      </c>
    </row>
    <row r="10622">
      <c r="A10622" t="n">
        <v>10621</v>
      </c>
      <c r="B10622" t="inlineStr">
        <is>
          <t>x̄DCXXI</t>
        </is>
      </c>
      <c r="C10622">
        <f>ROMAN(10621)</f>
        <v/>
      </c>
      <c r="D10622">
        <f>IF(B10622=C10622, "YES", "WRONG")</f>
        <v/>
      </c>
    </row>
    <row r="10623">
      <c r="A10623" t="n">
        <v>10622</v>
      </c>
      <c r="B10623" t="inlineStr">
        <is>
          <t>x̄DCXXII</t>
        </is>
      </c>
      <c r="C10623">
        <f>ROMAN(10622)</f>
        <v/>
      </c>
      <c r="D10623">
        <f>IF(B10623=C10623, "YES", "WRONG")</f>
        <v/>
      </c>
    </row>
    <row r="10624">
      <c r="A10624" t="n">
        <v>10623</v>
      </c>
      <c r="B10624" t="inlineStr">
        <is>
          <t>x̄DCXXIII</t>
        </is>
      </c>
      <c r="C10624">
        <f>ROMAN(10623)</f>
        <v/>
      </c>
      <c r="D10624">
        <f>IF(B10624=C10624, "YES", "WRONG")</f>
        <v/>
      </c>
    </row>
    <row r="10625">
      <c r="A10625" t="n">
        <v>10624</v>
      </c>
      <c r="B10625" t="inlineStr">
        <is>
          <t>x̄DCXXIV</t>
        </is>
      </c>
      <c r="C10625">
        <f>ROMAN(10624)</f>
        <v/>
      </c>
      <c r="D10625">
        <f>IF(B10625=C10625, "YES", "WRONG")</f>
        <v/>
      </c>
    </row>
    <row r="10626">
      <c r="A10626" t="n">
        <v>10625</v>
      </c>
      <c r="B10626" t="inlineStr">
        <is>
          <t>x̄DCXXV</t>
        </is>
      </c>
      <c r="C10626">
        <f>ROMAN(10625)</f>
        <v/>
      </c>
      <c r="D10626">
        <f>IF(B10626=C10626, "YES", "WRONG")</f>
        <v/>
      </c>
    </row>
    <row r="10627">
      <c r="A10627" t="n">
        <v>10626</v>
      </c>
      <c r="B10627" t="inlineStr">
        <is>
          <t>x̄DCXXVI</t>
        </is>
      </c>
      <c r="C10627">
        <f>ROMAN(10626)</f>
        <v/>
      </c>
      <c r="D10627">
        <f>IF(B10627=C10627, "YES", "WRONG")</f>
        <v/>
      </c>
    </row>
    <row r="10628">
      <c r="A10628" t="n">
        <v>10627</v>
      </c>
      <c r="B10628" t="inlineStr">
        <is>
          <t>x̄DCXXVII</t>
        </is>
      </c>
      <c r="C10628">
        <f>ROMAN(10627)</f>
        <v/>
      </c>
      <c r="D10628">
        <f>IF(B10628=C10628, "YES", "WRONG")</f>
        <v/>
      </c>
    </row>
    <row r="10629">
      <c r="A10629" t="n">
        <v>10628</v>
      </c>
      <c r="B10629" t="inlineStr">
        <is>
          <t>x̄DCXXVIII</t>
        </is>
      </c>
      <c r="C10629">
        <f>ROMAN(10628)</f>
        <v/>
      </c>
      <c r="D10629">
        <f>IF(B10629=C10629, "YES", "WRONG")</f>
        <v/>
      </c>
    </row>
    <row r="10630">
      <c r="A10630" t="n">
        <v>10629</v>
      </c>
      <c r="B10630" t="inlineStr">
        <is>
          <t>x̄DCXXIX</t>
        </is>
      </c>
      <c r="C10630">
        <f>ROMAN(10629)</f>
        <v/>
      </c>
      <c r="D10630">
        <f>IF(B10630=C10630, "YES", "WRONG")</f>
        <v/>
      </c>
    </row>
    <row r="10631">
      <c r="A10631" t="n">
        <v>10630</v>
      </c>
      <c r="B10631" t="inlineStr">
        <is>
          <t>x̄DCXXX</t>
        </is>
      </c>
      <c r="C10631">
        <f>ROMAN(10630)</f>
        <v/>
      </c>
      <c r="D10631">
        <f>IF(B10631=C10631, "YES", "WRONG")</f>
        <v/>
      </c>
    </row>
    <row r="10632">
      <c r="A10632" t="n">
        <v>10631</v>
      </c>
      <c r="B10632" t="inlineStr">
        <is>
          <t>x̄DCXXXI</t>
        </is>
      </c>
      <c r="C10632">
        <f>ROMAN(10631)</f>
        <v/>
      </c>
      <c r="D10632">
        <f>IF(B10632=C10632, "YES", "WRONG")</f>
        <v/>
      </c>
    </row>
    <row r="10633">
      <c r="A10633" t="n">
        <v>10632</v>
      </c>
      <c r="B10633" t="inlineStr">
        <is>
          <t>x̄DCXXXII</t>
        </is>
      </c>
      <c r="C10633">
        <f>ROMAN(10632)</f>
        <v/>
      </c>
      <c r="D10633">
        <f>IF(B10633=C10633, "YES", "WRONG")</f>
        <v/>
      </c>
    </row>
    <row r="10634">
      <c r="A10634" t="n">
        <v>10633</v>
      </c>
      <c r="B10634" t="inlineStr">
        <is>
          <t>x̄DCXXXIII</t>
        </is>
      </c>
      <c r="C10634">
        <f>ROMAN(10633)</f>
        <v/>
      </c>
      <c r="D10634">
        <f>IF(B10634=C10634, "YES", "WRONG")</f>
        <v/>
      </c>
    </row>
    <row r="10635">
      <c r="A10635" t="n">
        <v>10634</v>
      </c>
      <c r="B10635" t="inlineStr">
        <is>
          <t>x̄DCXXXIV</t>
        </is>
      </c>
      <c r="C10635">
        <f>ROMAN(10634)</f>
        <v/>
      </c>
      <c r="D10635">
        <f>IF(B10635=C10635, "YES", "WRONG")</f>
        <v/>
      </c>
    </row>
    <row r="10636">
      <c r="A10636" t="n">
        <v>10635</v>
      </c>
      <c r="B10636" t="inlineStr">
        <is>
          <t>x̄DCXXXV</t>
        </is>
      </c>
      <c r="C10636">
        <f>ROMAN(10635)</f>
        <v/>
      </c>
      <c r="D10636">
        <f>IF(B10636=C10636, "YES", "WRONG")</f>
        <v/>
      </c>
    </row>
    <row r="10637">
      <c r="A10637" t="n">
        <v>10636</v>
      </c>
      <c r="B10637" t="inlineStr">
        <is>
          <t>x̄DCXXXVI</t>
        </is>
      </c>
      <c r="C10637">
        <f>ROMAN(10636)</f>
        <v/>
      </c>
      <c r="D10637">
        <f>IF(B10637=C10637, "YES", "WRONG")</f>
        <v/>
      </c>
    </row>
    <row r="10638">
      <c r="A10638" t="n">
        <v>10637</v>
      </c>
      <c r="B10638" t="inlineStr">
        <is>
          <t>x̄DCXXXVII</t>
        </is>
      </c>
      <c r="C10638">
        <f>ROMAN(10637)</f>
        <v/>
      </c>
      <c r="D10638">
        <f>IF(B10638=C10638, "YES", "WRONG")</f>
        <v/>
      </c>
    </row>
    <row r="10639">
      <c r="A10639" t="n">
        <v>10638</v>
      </c>
      <c r="B10639" t="inlineStr">
        <is>
          <t>x̄DCXXXVIII</t>
        </is>
      </c>
      <c r="C10639">
        <f>ROMAN(10638)</f>
        <v/>
      </c>
      <c r="D10639">
        <f>IF(B10639=C10639, "YES", "WRONG")</f>
        <v/>
      </c>
    </row>
    <row r="10640">
      <c r="A10640" t="n">
        <v>10639</v>
      </c>
      <c r="B10640" t="inlineStr">
        <is>
          <t>x̄DCXXXIX</t>
        </is>
      </c>
      <c r="C10640">
        <f>ROMAN(10639)</f>
        <v/>
      </c>
      <c r="D10640">
        <f>IF(B10640=C10640, "YES", "WRONG")</f>
        <v/>
      </c>
    </row>
    <row r="10641">
      <c r="A10641" t="n">
        <v>10640</v>
      </c>
      <c r="B10641" t="inlineStr">
        <is>
          <t>x̄DCXL</t>
        </is>
      </c>
      <c r="C10641">
        <f>ROMAN(10640)</f>
        <v/>
      </c>
      <c r="D10641">
        <f>IF(B10641=C10641, "YES", "WRONG")</f>
        <v/>
      </c>
    </row>
    <row r="10642">
      <c r="A10642" t="n">
        <v>10641</v>
      </c>
      <c r="B10642" t="inlineStr">
        <is>
          <t>x̄DCXLI</t>
        </is>
      </c>
      <c r="C10642">
        <f>ROMAN(10641)</f>
        <v/>
      </c>
      <c r="D10642">
        <f>IF(B10642=C10642, "YES", "WRONG")</f>
        <v/>
      </c>
    </row>
    <row r="10643">
      <c r="A10643" t="n">
        <v>10642</v>
      </c>
      <c r="B10643" t="inlineStr">
        <is>
          <t>x̄DCXLII</t>
        </is>
      </c>
      <c r="C10643">
        <f>ROMAN(10642)</f>
        <v/>
      </c>
      <c r="D10643">
        <f>IF(B10643=C10643, "YES", "WRONG")</f>
        <v/>
      </c>
    </row>
    <row r="10644">
      <c r="A10644" t="n">
        <v>10643</v>
      </c>
      <c r="B10644" t="inlineStr">
        <is>
          <t>x̄DCXLIII</t>
        </is>
      </c>
      <c r="C10644">
        <f>ROMAN(10643)</f>
        <v/>
      </c>
      <c r="D10644">
        <f>IF(B10644=C10644, "YES", "WRONG")</f>
        <v/>
      </c>
    </row>
    <row r="10645">
      <c r="A10645" t="n">
        <v>10644</v>
      </c>
      <c r="B10645" t="inlineStr">
        <is>
          <t>x̄DCXLIV</t>
        </is>
      </c>
      <c r="C10645">
        <f>ROMAN(10644)</f>
        <v/>
      </c>
      <c r="D10645">
        <f>IF(B10645=C10645, "YES", "WRONG")</f>
        <v/>
      </c>
    </row>
    <row r="10646">
      <c r="A10646" t="n">
        <v>10645</v>
      </c>
      <c r="B10646" t="inlineStr">
        <is>
          <t>x̄DCXLV</t>
        </is>
      </c>
      <c r="C10646">
        <f>ROMAN(10645)</f>
        <v/>
      </c>
      <c r="D10646">
        <f>IF(B10646=C10646, "YES", "WRONG")</f>
        <v/>
      </c>
    </row>
    <row r="10647">
      <c r="A10647" t="n">
        <v>10646</v>
      </c>
      <c r="B10647" t="inlineStr">
        <is>
          <t>x̄DCXLVI</t>
        </is>
      </c>
      <c r="C10647">
        <f>ROMAN(10646)</f>
        <v/>
      </c>
      <c r="D10647">
        <f>IF(B10647=C10647, "YES", "WRONG")</f>
        <v/>
      </c>
    </row>
    <row r="10648">
      <c r="A10648" t="n">
        <v>10647</v>
      </c>
      <c r="B10648" t="inlineStr">
        <is>
          <t>x̄DCXLVII</t>
        </is>
      </c>
      <c r="C10648">
        <f>ROMAN(10647)</f>
        <v/>
      </c>
      <c r="D10648">
        <f>IF(B10648=C10648, "YES", "WRONG")</f>
        <v/>
      </c>
    </row>
    <row r="10649">
      <c r="A10649" t="n">
        <v>10648</v>
      </c>
      <c r="B10649" t="inlineStr">
        <is>
          <t>x̄DCXLVIII</t>
        </is>
      </c>
      <c r="C10649">
        <f>ROMAN(10648)</f>
        <v/>
      </c>
      <c r="D10649">
        <f>IF(B10649=C10649, "YES", "WRONG")</f>
        <v/>
      </c>
    </row>
    <row r="10650">
      <c r="A10650" t="n">
        <v>10649</v>
      </c>
      <c r="B10650" t="inlineStr">
        <is>
          <t>x̄DCXLIX</t>
        </is>
      </c>
      <c r="C10650">
        <f>ROMAN(10649)</f>
        <v/>
      </c>
      <c r="D10650">
        <f>IF(B10650=C10650, "YES", "WRONG")</f>
        <v/>
      </c>
    </row>
    <row r="10651">
      <c r="A10651" t="n">
        <v>10650</v>
      </c>
      <c r="B10651" t="inlineStr">
        <is>
          <t>x̄DCL</t>
        </is>
      </c>
      <c r="C10651">
        <f>ROMAN(10650)</f>
        <v/>
      </c>
      <c r="D10651">
        <f>IF(B10651=C10651, "YES", "WRONG")</f>
        <v/>
      </c>
    </row>
    <row r="10652">
      <c r="A10652" t="n">
        <v>10651</v>
      </c>
      <c r="B10652" t="inlineStr">
        <is>
          <t>x̄DCLI</t>
        </is>
      </c>
      <c r="C10652">
        <f>ROMAN(10651)</f>
        <v/>
      </c>
      <c r="D10652">
        <f>IF(B10652=C10652, "YES", "WRONG")</f>
        <v/>
      </c>
    </row>
    <row r="10653">
      <c r="A10653" t="n">
        <v>10652</v>
      </c>
      <c r="B10653" t="inlineStr">
        <is>
          <t>x̄DCLII</t>
        </is>
      </c>
      <c r="C10653">
        <f>ROMAN(10652)</f>
        <v/>
      </c>
      <c r="D10653">
        <f>IF(B10653=C10653, "YES", "WRONG")</f>
        <v/>
      </c>
    </row>
    <row r="10654">
      <c r="A10654" t="n">
        <v>10653</v>
      </c>
      <c r="B10654" t="inlineStr">
        <is>
          <t>x̄DCLIII</t>
        </is>
      </c>
      <c r="C10654">
        <f>ROMAN(10653)</f>
        <v/>
      </c>
      <c r="D10654">
        <f>IF(B10654=C10654, "YES", "WRONG")</f>
        <v/>
      </c>
    </row>
    <row r="10655">
      <c r="A10655" t="n">
        <v>10654</v>
      </c>
      <c r="B10655" t="inlineStr">
        <is>
          <t>x̄DCLIV</t>
        </is>
      </c>
      <c r="C10655">
        <f>ROMAN(10654)</f>
        <v/>
      </c>
      <c r="D10655">
        <f>IF(B10655=C10655, "YES", "WRONG")</f>
        <v/>
      </c>
    </row>
    <row r="10656">
      <c r="A10656" t="n">
        <v>10655</v>
      </c>
      <c r="B10656" t="inlineStr">
        <is>
          <t>x̄DCLV</t>
        </is>
      </c>
      <c r="C10656">
        <f>ROMAN(10655)</f>
        <v/>
      </c>
      <c r="D10656">
        <f>IF(B10656=C10656, "YES", "WRONG")</f>
        <v/>
      </c>
    </row>
    <row r="10657">
      <c r="A10657" t="n">
        <v>10656</v>
      </c>
      <c r="B10657" t="inlineStr">
        <is>
          <t>x̄DCLVI</t>
        </is>
      </c>
      <c r="C10657">
        <f>ROMAN(10656)</f>
        <v/>
      </c>
      <c r="D10657">
        <f>IF(B10657=C10657, "YES", "WRONG")</f>
        <v/>
      </c>
    </row>
    <row r="10658">
      <c r="A10658" t="n">
        <v>10657</v>
      </c>
      <c r="B10658" t="inlineStr">
        <is>
          <t>x̄DCLVII</t>
        </is>
      </c>
      <c r="C10658">
        <f>ROMAN(10657)</f>
        <v/>
      </c>
      <c r="D10658">
        <f>IF(B10658=C10658, "YES", "WRONG")</f>
        <v/>
      </c>
    </row>
    <row r="10659">
      <c r="A10659" t="n">
        <v>10658</v>
      </c>
      <c r="B10659" t="inlineStr">
        <is>
          <t>x̄DCLVIII</t>
        </is>
      </c>
      <c r="C10659">
        <f>ROMAN(10658)</f>
        <v/>
      </c>
      <c r="D10659">
        <f>IF(B10659=C10659, "YES", "WRONG")</f>
        <v/>
      </c>
    </row>
    <row r="10660">
      <c r="A10660" t="n">
        <v>10659</v>
      </c>
      <c r="B10660" t="inlineStr">
        <is>
          <t>x̄DCLIX</t>
        </is>
      </c>
      <c r="C10660">
        <f>ROMAN(10659)</f>
        <v/>
      </c>
      <c r="D10660">
        <f>IF(B10660=C10660, "YES", "WRONG")</f>
        <v/>
      </c>
    </row>
    <row r="10661">
      <c r="A10661" t="n">
        <v>10660</v>
      </c>
      <c r="B10661" t="inlineStr">
        <is>
          <t>x̄DCLX</t>
        </is>
      </c>
      <c r="C10661">
        <f>ROMAN(10660)</f>
        <v/>
      </c>
      <c r="D10661">
        <f>IF(B10661=C10661, "YES", "WRONG")</f>
        <v/>
      </c>
    </row>
    <row r="10662">
      <c r="A10662" t="n">
        <v>10661</v>
      </c>
      <c r="B10662" t="inlineStr">
        <is>
          <t>x̄DCLXI</t>
        </is>
      </c>
      <c r="C10662">
        <f>ROMAN(10661)</f>
        <v/>
      </c>
      <c r="D10662">
        <f>IF(B10662=C10662, "YES", "WRONG")</f>
        <v/>
      </c>
    </row>
    <row r="10663">
      <c r="A10663" t="n">
        <v>10662</v>
      </c>
      <c r="B10663" t="inlineStr">
        <is>
          <t>x̄DCLXII</t>
        </is>
      </c>
      <c r="C10663">
        <f>ROMAN(10662)</f>
        <v/>
      </c>
      <c r="D10663">
        <f>IF(B10663=C10663, "YES", "WRONG")</f>
        <v/>
      </c>
    </row>
    <row r="10664">
      <c r="A10664" t="n">
        <v>10663</v>
      </c>
      <c r="B10664" t="inlineStr">
        <is>
          <t>x̄DCLXIII</t>
        </is>
      </c>
      <c r="C10664">
        <f>ROMAN(10663)</f>
        <v/>
      </c>
      <c r="D10664">
        <f>IF(B10664=C10664, "YES", "WRONG")</f>
        <v/>
      </c>
    </row>
    <row r="10665">
      <c r="A10665" t="n">
        <v>10664</v>
      </c>
      <c r="B10665" t="inlineStr">
        <is>
          <t>x̄DCLXIV</t>
        </is>
      </c>
      <c r="C10665">
        <f>ROMAN(10664)</f>
        <v/>
      </c>
      <c r="D10665">
        <f>IF(B10665=C10665, "YES", "WRONG")</f>
        <v/>
      </c>
    </row>
    <row r="10666">
      <c r="A10666" t="n">
        <v>10665</v>
      </c>
      <c r="B10666" t="inlineStr">
        <is>
          <t>x̄DCLXV</t>
        </is>
      </c>
      <c r="C10666">
        <f>ROMAN(10665)</f>
        <v/>
      </c>
      <c r="D10666">
        <f>IF(B10666=C10666, "YES", "WRONG")</f>
        <v/>
      </c>
    </row>
    <row r="10667">
      <c r="A10667" t="n">
        <v>10666</v>
      </c>
      <c r="B10667" t="inlineStr">
        <is>
          <t>x̄DCLXVI</t>
        </is>
      </c>
      <c r="C10667">
        <f>ROMAN(10666)</f>
        <v/>
      </c>
      <c r="D10667">
        <f>IF(B10667=C10667, "YES", "WRONG")</f>
        <v/>
      </c>
    </row>
    <row r="10668">
      <c r="A10668" t="n">
        <v>10667</v>
      </c>
      <c r="B10668" t="inlineStr">
        <is>
          <t>x̄DCLXVII</t>
        </is>
      </c>
      <c r="C10668">
        <f>ROMAN(10667)</f>
        <v/>
      </c>
      <c r="D10668">
        <f>IF(B10668=C10668, "YES", "WRONG")</f>
        <v/>
      </c>
    </row>
    <row r="10669">
      <c r="A10669" t="n">
        <v>10668</v>
      </c>
      <c r="B10669" t="inlineStr">
        <is>
          <t>x̄DCLXVIII</t>
        </is>
      </c>
      <c r="C10669">
        <f>ROMAN(10668)</f>
        <v/>
      </c>
      <c r="D10669">
        <f>IF(B10669=C10669, "YES", "WRONG")</f>
        <v/>
      </c>
    </row>
    <row r="10670">
      <c r="A10670" t="n">
        <v>10669</v>
      </c>
      <c r="B10670" t="inlineStr">
        <is>
          <t>x̄DCLXIX</t>
        </is>
      </c>
      <c r="C10670">
        <f>ROMAN(10669)</f>
        <v/>
      </c>
      <c r="D10670">
        <f>IF(B10670=C10670, "YES", "WRONG")</f>
        <v/>
      </c>
    </row>
    <row r="10671">
      <c r="A10671" t="n">
        <v>10670</v>
      </c>
      <c r="B10671" t="inlineStr">
        <is>
          <t>x̄DCLXX</t>
        </is>
      </c>
      <c r="C10671">
        <f>ROMAN(10670)</f>
        <v/>
      </c>
      <c r="D10671">
        <f>IF(B10671=C10671, "YES", "WRONG")</f>
        <v/>
      </c>
    </row>
    <row r="10672">
      <c r="A10672" t="n">
        <v>10671</v>
      </c>
      <c r="B10672" t="inlineStr">
        <is>
          <t>x̄DCLXXI</t>
        </is>
      </c>
      <c r="C10672">
        <f>ROMAN(10671)</f>
        <v/>
      </c>
      <c r="D10672">
        <f>IF(B10672=C10672, "YES", "WRONG")</f>
        <v/>
      </c>
    </row>
    <row r="10673">
      <c r="A10673" t="n">
        <v>10672</v>
      </c>
      <c r="B10673" t="inlineStr">
        <is>
          <t>x̄DCLXXII</t>
        </is>
      </c>
      <c r="C10673">
        <f>ROMAN(10672)</f>
        <v/>
      </c>
      <c r="D10673">
        <f>IF(B10673=C10673, "YES", "WRONG")</f>
        <v/>
      </c>
    </row>
    <row r="10674">
      <c r="A10674" t="n">
        <v>10673</v>
      </c>
      <c r="B10674" t="inlineStr">
        <is>
          <t>x̄DCLXXIII</t>
        </is>
      </c>
      <c r="C10674">
        <f>ROMAN(10673)</f>
        <v/>
      </c>
      <c r="D10674">
        <f>IF(B10674=C10674, "YES", "WRONG")</f>
        <v/>
      </c>
    </row>
    <row r="10675">
      <c r="A10675" t="n">
        <v>10674</v>
      </c>
      <c r="B10675" t="inlineStr">
        <is>
          <t>x̄DCLXXIV</t>
        </is>
      </c>
      <c r="C10675">
        <f>ROMAN(10674)</f>
        <v/>
      </c>
      <c r="D10675">
        <f>IF(B10675=C10675, "YES", "WRONG")</f>
        <v/>
      </c>
    </row>
    <row r="10676">
      <c r="A10676" t="n">
        <v>10675</v>
      </c>
      <c r="B10676" t="inlineStr">
        <is>
          <t>x̄DCLXXV</t>
        </is>
      </c>
      <c r="C10676">
        <f>ROMAN(10675)</f>
        <v/>
      </c>
      <c r="D10676">
        <f>IF(B10676=C10676, "YES", "WRONG")</f>
        <v/>
      </c>
    </row>
    <row r="10677">
      <c r="A10677" t="n">
        <v>10676</v>
      </c>
      <c r="B10677" t="inlineStr">
        <is>
          <t>x̄DCLXXVI</t>
        </is>
      </c>
      <c r="C10677">
        <f>ROMAN(10676)</f>
        <v/>
      </c>
      <c r="D10677">
        <f>IF(B10677=C10677, "YES", "WRONG")</f>
        <v/>
      </c>
    </row>
    <row r="10678">
      <c r="A10678" t="n">
        <v>10677</v>
      </c>
      <c r="B10678" t="inlineStr">
        <is>
          <t>x̄DCLXXVII</t>
        </is>
      </c>
      <c r="C10678">
        <f>ROMAN(10677)</f>
        <v/>
      </c>
      <c r="D10678">
        <f>IF(B10678=C10678, "YES", "WRONG")</f>
        <v/>
      </c>
    </row>
    <row r="10679">
      <c r="A10679" t="n">
        <v>10678</v>
      </c>
      <c r="B10679" t="inlineStr">
        <is>
          <t>x̄DCLXXVIII</t>
        </is>
      </c>
      <c r="C10679">
        <f>ROMAN(10678)</f>
        <v/>
      </c>
      <c r="D10679">
        <f>IF(B10679=C10679, "YES", "WRONG")</f>
        <v/>
      </c>
    </row>
    <row r="10680">
      <c r="A10680" t="n">
        <v>10679</v>
      </c>
      <c r="B10680" t="inlineStr">
        <is>
          <t>x̄DCLXXIX</t>
        </is>
      </c>
      <c r="C10680">
        <f>ROMAN(10679)</f>
        <v/>
      </c>
      <c r="D10680">
        <f>IF(B10680=C10680, "YES", "WRONG")</f>
        <v/>
      </c>
    </row>
    <row r="10681">
      <c r="A10681" t="n">
        <v>10680</v>
      </c>
      <c r="B10681" t="inlineStr">
        <is>
          <t>x̄DCLXXX</t>
        </is>
      </c>
      <c r="C10681">
        <f>ROMAN(10680)</f>
        <v/>
      </c>
      <c r="D10681">
        <f>IF(B10681=C10681, "YES", "WRONG")</f>
        <v/>
      </c>
    </row>
    <row r="10682">
      <c r="A10682" t="n">
        <v>10681</v>
      </c>
      <c r="B10682" t="inlineStr">
        <is>
          <t>x̄DCLXXXI</t>
        </is>
      </c>
      <c r="C10682">
        <f>ROMAN(10681)</f>
        <v/>
      </c>
      <c r="D10682">
        <f>IF(B10682=C10682, "YES", "WRONG")</f>
        <v/>
      </c>
    </row>
    <row r="10683">
      <c r="A10683" t="n">
        <v>10682</v>
      </c>
      <c r="B10683" t="inlineStr">
        <is>
          <t>x̄DCLXXXII</t>
        </is>
      </c>
      <c r="C10683">
        <f>ROMAN(10682)</f>
        <v/>
      </c>
      <c r="D10683">
        <f>IF(B10683=C10683, "YES", "WRONG")</f>
        <v/>
      </c>
    </row>
    <row r="10684">
      <c r="A10684" t="n">
        <v>10683</v>
      </c>
      <c r="B10684" t="inlineStr">
        <is>
          <t>x̄DCLXXXIII</t>
        </is>
      </c>
      <c r="C10684">
        <f>ROMAN(10683)</f>
        <v/>
      </c>
      <c r="D10684">
        <f>IF(B10684=C10684, "YES", "WRONG")</f>
        <v/>
      </c>
    </row>
    <row r="10685">
      <c r="A10685" t="n">
        <v>10684</v>
      </c>
      <c r="B10685" t="inlineStr">
        <is>
          <t>x̄DCLXXXIV</t>
        </is>
      </c>
      <c r="C10685">
        <f>ROMAN(10684)</f>
        <v/>
      </c>
      <c r="D10685">
        <f>IF(B10685=C10685, "YES", "WRONG")</f>
        <v/>
      </c>
    </row>
    <row r="10686">
      <c r="A10686" t="n">
        <v>10685</v>
      </c>
      <c r="B10686" t="inlineStr">
        <is>
          <t>x̄DCLXXXV</t>
        </is>
      </c>
      <c r="C10686">
        <f>ROMAN(10685)</f>
        <v/>
      </c>
      <c r="D10686">
        <f>IF(B10686=C10686, "YES", "WRONG")</f>
        <v/>
      </c>
    </row>
    <row r="10687">
      <c r="A10687" t="n">
        <v>10686</v>
      </c>
      <c r="B10687" t="inlineStr">
        <is>
          <t>x̄DCLXXXVI</t>
        </is>
      </c>
      <c r="C10687">
        <f>ROMAN(10686)</f>
        <v/>
      </c>
      <c r="D10687">
        <f>IF(B10687=C10687, "YES", "WRONG")</f>
        <v/>
      </c>
    </row>
    <row r="10688">
      <c r="A10688" t="n">
        <v>10687</v>
      </c>
      <c r="B10688" t="inlineStr">
        <is>
          <t>x̄DCLXXXVII</t>
        </is>
      </c>
      <c r="C10688">
        <f>ROMAN(10687)</f>
        <v/>
      </c>
      <c r="D10688">
        <f>IF(B10688=C10688, "YES", "WRONG")</f>
        <v/>
      </c>
    </row>
    <row r="10689">
      <c r="A10689" t="n">
        <v>10688</v>
      </c>
      <c r="B10689" t="inlineStr">
        <is>
          <t>x̄DCLXXXVIII</t>
        </is>
      </c>
      <c r="C10689">
        <f>ROMAN(10688)</f>
        <v/>
      </c>
      <c r="D10689">
        <f>IF(B10689=C10689, "YES", "WRONG")</f>
        <v/>
      </c>
    </row>
    <row r="10690">
      <c r="A10690" t="n">
        <v>10689</v>
      </c>
      <c r="B10690" t="inlineStr">
        <is>
          <t>x̄DCLXXXIX</t>
        </is>
      </c>
      <c r="C10690">
        <f>ROMAN(10689)</f>
        <v/>
      </c>
      <c r="D10690">
        <f>IF(B10690=C10690, "YES", "WRONG")</f>
        <v/>
      </c>
    </row>
    <row r="10691">
      <c r="A10691" t="n">
        <v>10690</v>
      </c>
      <c r="B10691" t="inlineStr">
        <is>
          <t>x̄DCXC</t>
        </is>
      </c>
      <c r="C10691">
        <f>ROMAN(10690)</f>
        <v/>
      </c>
      <c r="D10691">
        <f>IF(B10691=C10691, "YES", "WRONG")</f>
        <v/>
      </c>
    </row>
    <row r="10692">
      <c r="A10692" t="n">
        <v>10691</v>
      </c>
      <c r="B10692" t="inlineStr">
        <is>
          <t>x̄DCXCI</t>
        </is>
      </c>
      <c r="C10692">
        <f>ROMAN(10691)</f>
        <v/>
      </c>
      <c r="D10692">
        <f>IF(B10692=C10692, "YES", "WRONG")</f>
        <v/>
      </c>
    </row>
    <row r="10693">
      <c r="A10693" t="n">
        <v>10692</v>
      </c>
      <c r="B10693" t="inlineStr">
        <is>
          <t>x̄DCXCII</t>
        </is>
      </c>
      <c r="C10693">
        <f>ROMAN(10692)</f>
        <v/>
      </c>
      <c r="D10693">
        <f>IF(B10693=C10693, "YES", "WRONG")</f>
        <v/>
      </c>
    </row>
    <row r="10694">
      <c r="A10694" t="n">
        <v>10693</v>
      </c>
      <c r="B10694" t="inlineStr">
        <is>
          <t>x̄DCXCIII</t>
        </is>
      </c>
      <c r="C10694">
        <f>ROMAN(10693)</f>
        <v/>
      </c>
      <c r="D10694">
        <f>IF(B10694=C10694, "YES", "WRONG")</f>
        <v/>
      </c>
    </row>
    <row r="10695">
      <c r="A10695" t="n">
        <v>10694</v>
      </c>
      <c r="B10695" t="inlineStr">
        <is>
          <t>x̄DCXCIV</t>
        </is>
      </c>
      <c r="C10695">
        <f>ROMAN(10694)</f>
        <v/>
      </c>
      <c r="D10695">
        <f>IF(B10695=C10695, "YES", "WRONG")</f>
        <v/>
      </c>
    </row>
    <row r="10696">
      <c r="A10696" t="n">
        <v>10695</v>
      </c>
      <c r="B10696" t="inlineStr">
        <is>
          <t>x̄DCXCV</t>
        </is>
      </c>
      <c r="C10696">
        <f>ROMAN(10695)</f>
        <v/>
      </c>
      <c r="D10696">
        <f>IF(B10696=C10696, "YES", "WRONG")</f>
        <v/>
      </c>
    </row>
    <row r="10697">
      <c r="A10697" t="n">
        <v>10696</v>
      </c>
      <c r="B10697" t="inlineStr">
        <is>
          <t>x̄DCXCVI</t>
        </is>
      </c>
      <c r="C10697">
        <f>ROMAN(10696)</f>
        <v/>
      </c>
      <c r="D10697">
        <f>IF(B10697=C10697, "YES", "WRONG")</f>
        <v/>
      </c>
    </row>
    <row r="10698">
      <c r="A10698" t="n">
        <v>10697</v>
      </c>
      <c r="B10698" t="inlineStr">
        <is>
          <t>x̄DCXCVII</t>
        </is>
      </c>
      <c r="C10698">
        <f>ROMAN(10697)</f>
        <v/>
      </c>
      <c r="D10698">
        <f>IF(B10698=C10698, "YES", "WRONG")</f>
        <v/>
      </c>
    </row>
    <row r="10699">
      <c r="A10699" t="n">
        <v>10698</v>
      </c>
      <c r="B10699" t="inlineStr">
        <is>
          <t>x̄DCXCVIII</t>
        </is>
      </c>
      <c r="C10699">
        <f>ROMAN(10698)</f>
        <v/>
      </c>
      <c r="D10699">
        <f>IF(B10699=C10699, "YES", "WRONG")</f>
        <v/>
      </c>
    </row>
    <row r="10700">
      <c r="A10700" t="n">
        <v>10699</v>
      </c>
      <c r="B10700" t="inlineStr">
        <is>
          <t>x̄DCXCIX</t>
        </is>
      </c>
      <c r="C10700">
        <f>ROMAN(10699)</f>
        <v/>
      </c>
      <c r="D10700">
        <f>IF(B10700=C10700, "YES", "WRONG")</f>
        <v/>
      </c>
    </row>
    <row r="10701">
      <c r="A10701" t="n">
        <v>10700</v>
      </c>
      <c r="B10701" t="inlineStr">
        <is>
          <t>x̄DCC</t>
        </is>
      </c>
      <c r="C10701">
        <f>ROMAN(10700)</f>
        <v/>
      </c>
      <c r="D10701">
        <f>IF(B10701=C10701, "YES", "WRONG")</f>
        <v/>
      </c>
    </row>
    <row r="10702">
      <c r="A10702" t="n">
        <v>10701</v>
      </c>
      <c r="B10702" t="inlineStr">
        <is>
          <t>x̄DCCI</t>
        </is>
      </c>
      <c r="C10702">
        <f>ROMAN(10701)</f>
        <v/>
      </c>
      <c r="D10702">
        <f>IF(B10702=C10702, "YES", "WRONG")</f>
        <v/>
      </c>
    </row>
    <row r="10703">
      <c r="A10703" t="n">
        <v>10702</v>
      </c>
      <c r="B10703" t="inlineStr">
        <is>
          <t>x̄DCCII</t>
        </is>
      </c>
      <c r="C10703">
        <f>ROMAN(10702)</f>
        <v/>
      </c>
      <c r="D10703">
        <f>IF(B10703=C10703, "YES", "WRONG")</f>
        <v/>
      </c>
    </row>
    <row r="10704">
      <c r="A10704" t="n">
        <v>10703</v>
      </c>
      <c r="B10704" t="inlineStr">
        <is>
          <t>x̄DCCIII</t>
        </is>
      </c>
      <c r="C10704">
        <f>ROMAN(10703)</f>
        <v/>
      </c>
      <c r="D10704">
        <f>IF(B10704=C10704, "YES", "WRONG")</f>
        <v/>
      </c>
    </row>
    <row r="10705">
      <c r="A10705" t="n">
        <v>10704</v>
      </c>
      <c r="B10705" t="inlineStr">
        <is>
          <t>x̄DCCIV</t>
        </is>
      </c>
      <c r="C10705">
        <f>ROMAN(10704)</f>
        <v/>
      </c>
      <c r="D10705">
        <f>IF(B10705=C10705, "YES", "WRONG")</f>
        <v/>
      </c>
    </row>
    <row r="10706">
      <c r="A10706" t="n">
        <v>10705</v>
      </c>
      <c r="B10706" t="inlineStr">
        <is>
          <t>x̄DCCV</t>
        </is>
      </c>
      <c r="C10706">
        <f>ROMAN(10705)</f>
        <v/>
      </c>
      <c r="D10706">
        <f>IF(B10706=C10706, "YES", "WRONG")</f>
        <v/>
      </c>
    </row>
    <row r="10707">
      <c r="A10707" t="n">
        <v>10706</v>
      </c>
      <c r="B10707" t="inlineStr">
        <is>
          <t>x̄DCCVI</t>
        </is>
      </c>
      <c r="C10707">
        <f>ROMAN(10706)</f>
        <v/>
      </c>
      <c r="D10707">
        <f>IF(B10707=C10707, "YES", "WRONG")</f>
        <v/>
      </c>
    </row>
    <row r="10708">
      <c r="A10708" t="n">
        <v>10707</v>
      </c>
      <c r="B10708" t="inlineStr">
        <is>
          <t>x̄DCCVII</t>
        </is>
      </c>
      <c r="C10708">
        <f>ROMAN(10707)</f>
        <v/>
      </c>
      <c r="D10708">
        <f>IF(B10708=C10708, "YES", "WRONG")</f>
        <v/>
      </c>
    </row>
    <row r="10709">
      <c r="A10709" t="n">
        <v>10708</v>
      </c>
      <c r="B10709" t="inlineStr">
        <is>
          <t>x̄DCCVIII</t>
        </is>
      </c>
      <c r="C10709">
        <f>ROMAN(10708)</f>
        <v/>
      </c>
      <c r="D10709">
        <f>IF(B10709=C10709, "YES", "WRONG")</f>
        <v/>
      </c>
    </row>
    <row r="10710">
      <c r="A10710" t="n">
        <v>10709</v>
      </c>
      <c r="B10710" t="inlineStr">
        <is>
          <t>x̄DCCIX</t>
        </is>
      </c>
      <c r="C10710">
        <f>ROMAN(10709)</f>
        <v/>
      </c>
      <c r="D10710">
        <f>IF(B10710=C10710, "YES", "WRONG")</f>
        <v/>
      </c>
    </row>
    <row r="10711">
      <c r="A10711" t="n">
        <v>10710</v>
      </c>
      <c r="B10711" t="inlineStr">
        <is>
          <t>x̄DCCX</t>
        </is>
      </c>
      <c r="C10711">
        <f>ROMAN(10710)</f>
        <v/>
      </c>
      <c r="D10711">
        <f>IF(B10711=C10711, "YES", "WRONG")</f>
        <v/>
      </c>
    </row>
    <row r="10712">
      <c r="A10712" t="n">
        <v>10711</v>
      </c>
      <c r="B10712" t="inlineStr">
        <is>
          <t>x̄DCCXI</t>
        </is>
      </c>
      <c r="C10712">
        <f>ROMAN(10711)</f>
        <v/>
      </c>
      <c r="D10712">
        <f>IF(B10712=C10712, "YES", "WRONG")</f>
        <v/>
      </c>
    </row>
    <row r="10713">
      <c r="A10713" t="n">
        <v>10712</v>
      </c>
      <c r="B10713" t="inlineStr">
        <is>
          <t>x̄DCCXII</t>
        </is>
      </c>
      <c r="C10713">
        <f>ROMAN(10712)</f>
        <v/>
      </c>
      <c r="D10713">
        <f>IF(B10713=C10713, "YES", "WRONG")</f>
        <v/>
      </c>
    </row>
    <row r="10714">
      <c r="A10714" t="n">
        <v>10713</v>
      </c>
      <c r="B10714" t="inlineStr">
        <is>
          <t>x̄DCCXIII</t>
        </is>
      </c>
      <c r="C10714">
        <f>ROMAN(10713)</f>
        <v/>
      </c>
      <c r="D10714">
        <f>IF(B10714=C10714, "YES", "WRONG")</f>
        <v/>
      </c>
    </row>
    <row r="10715">
      <c r="A10715" t="n">
        <v>10714</v>
      </c>
      <c r="B10715" t="inlineStr">
        <is>
          <t>x̄DCCXIV</t>
        </is>
      </c>
      <c r="C10715">
        <f>ROMAN(10714)</f>
        <v/>
      </c>
      <c r="D10715">
        <f>IF(B10715=C10715, "YES", "WRONG")</f>
        <v/>
      </c>
    </row>
    <row r="10716">
      <c r="A10716" t="n">
        <v>10715</v>
      </c>
      <c r="B10716" t="inlineStr">
        <is>
          <t>x̄DCCXV</t>
        </is>
      </c>
      <c r="C10716">
        <f>ROMAN(10715)</f>
        <v/>
      </c>
      <c r="D10716">
        <f>IF(B10716=C10716, "YES", "WRONG")</f>
        <v/>
      </c>
    </row>
    <row r="10717">
      <c r="A10717" t="n">
        <v>10716</v>
      </c>
      <c r="B10717" t="inlineStr">
        <is>
          <t>x̄DCCXVI</t>
        </is>
      </c>
      <c r="C10717">
        <f>ROMAN(10716)</f>
        <v/>
      </c>
      <c r="D10717">
        <f>IF(B10717=C10717, "YES", "WRONG")</f>
        <v/>
      </c>
    </row>
    <row r="10718">
      <c r="A10718" t="n">
        <v>10717</v>
      </c>
      <c r="B10718" t="inlineStr">
        <is>
          <t>x̄DCCXVII</t>
        </is>
      </c>
      <c r="C10718">
        <f>ROMAN(10717)</f>
        <v/>
      </c>
      <c r="D10718">
        <f>IF(B10718=C10718, "YES", "WRONG")</f>
        <v/>
      </c>
    </row>
    <row r="10719">
      <c r="A10719" t="n">
        <v>10718</v>
      </c>
      <c r="B10719" t="inlineStr">
        <is>
          <t>x̄DCCXVIII</t>
        </is>
      </c>
      <c r="C10719">
        <f>ROMAN(10718)</f>
        <v/>
      </c>
      <c r="D10719">
        <f>IF(B10719=C10719, "YES", "WRONG")</f>
        <v/>
      </c>
    </row>
    <row r="10720">
      <c r="A10720" t="n">
        <v>10719</v>
      </c>
      <c r="B10720" t="inlineStr">
        <is>
          <t>x̄DCCXIX</t>
        </is>
      </c>
      <c r="C10720">
        <f>ROMAN(10719)</f>
        <v/>
      </c>
      <c r="D10720">
        <f>IF(B10720=C10720, "YES", "WRONG")</f>
        <v/>
      </c>
    </row>
    <row r="10721">
      <c r="A10721" t="n">
        <v>10720</v>
      </c>
      <c r="B10721" t="inlineStr">
        <is>
          <t>x̄DCCXX</t>
        </is>
      </c>
      <c r="C10721">
        <f>ROMAN(10720)</f>
        <v/>
      </c>
      <c r="D10721">
        <f>IF(B10721=C10721, "YES", "WRONG")</f>
        <v/>
      </c>
    </row>
    <row r="10722">
      <c r="A10722" t="n">
        <v>10721</v>
      </c>
      <c r="B10722" t="inlineStr">
        <is>
          <t>x̄DCCXXI</t>
        </is>
      </c>
      <c r="C10722">
        <f>ROMAN(10721)</f>
        <v/>
      </c>
      <c r="D10722">
        <f>IF(B10722=C10722, "YES", "WRONG")</f>
        <v/>
      </c>
    </row>
    <row r="10723">
      <c r="A10723" t="n">
        <v>10722</v>
      </c>
      <c r="B10723" t="inlineStr">
        <is>
          <t>x̄DCCXXII</t>
        </is>
      </c>
      <c r="C10723">
        <f>ROMAN(10722)</f>
        <v/>
      </c>
      <c r="D10723">
        <f>IF(B10723=C10723, "YES", "WRONG")</f>
        <v/>
      </c>
    </row>
    <row r="10724">
      <c r="A10724" t="n">
        <v>10723</v>
      </c>
      <c r="B10724" t="inlineStr">
        <is>
          <t>x̄DCCXXIII</t>
        </is>
      </c>
      <c r="C10724">
        <f>ROMAN(10723)</f>
        <v/>
      </c>
      <c r="D10724">
        <f>IF(B10724=C10724, "YES", "WRONG")</f>
        <v/>
      </c>
    </row>
    <row r="10725">
      <c r="A10725" t="n">
        <v>10724</v>
      </c>
      <c r="B10725" t="inlineStr">
        <is>
          <t>x̄DCCXXIV</t>
        </is>
      </c>
      <c r="C10725">
        <f>ROMAN(10724)</f>
        <v/>
      </c>
      <c r="D10725">
        <f>IF(B10725=C10725, "YES", "WRONG")</f>
        <v/>
      </c>
    </row>
    <row r="10726">
      <c r="A10726" t="n">
        <v>10725</v>
      </c>
      <c r="B10726" t="inlineStr">
        <is>
          <t>x̄DCCXXV</t>
        </is>
      </c>
      <c r="C10726">
        <f>ROMAN(10725)</f>
        <v/>
      </c>
      <c r="D10726">
        <f>IF(B10726=C10726, "YES", "WRONG")</f>
        <v/>
      </c>
    </row>
    <row r="10727">
      <c r="A10727" t="n">
        <v>10726</v>
      </c>
      <c r="B10727" t="inlineStr">
        <is>
          <t>x̄DCCXXVI</t>
        </is>
      </c>
      <c r="C10727">
        <f>ROMAN(10726)</f>
        <v/>
      </c>
      <c r="D10727">
        <f>IF(B10727=C10727, "YES", "WRONG")</f>
        <v/>
      </c>
    </row>
    <row r="10728">
      <c r="A10728" t="n">
        <v>10727</v>
      </c>
      <c r="B10728" t="inlineStr">
        <is>
          <t>x̄DCCXXVII</t>
        </is>
      </c>
      <c r="C10728">
        <f>ROMAN(10727)</f>
        <v/>
      </c>
      <c r="D10728">
        <f>IF(B10728=C10728, "YES", "WRONG")</f>
        <v/>
      </c>
    </row>
    <row r="10729">
      <c r="A10729" t="n">
        <v>10728</v>
      </c>
      <c r="B10729" t="inlineStr">
        <is>
          <t>x̄DCCXXVIII</t>
        </is>
      </c>
      <c r="C10729">
        <f>ROMAN(10728)</f>
        <v/>
      </c>
      <c r="D10729">
        <f>IF(B10729=C10729, "YES", "WRONG")</f>
        <v/>
      </c>
    </row>
    <row r="10730">
      <c r="A10730" t="n">
        <v>10729</v>
      </c>
      <c r="B10730" t="inlineStr">
        <is>
          <t>x̄DCCXXIX</t>
        </is>
      </c>
      <c r="C10730">
        <f>ROMAN(10729)</f>
        <v/>
      </c>
      <c r="D10730">
        <f>IF(B10730=C10730, "YES", "WRONG")</f>
        <v/>
      </c>
    </row>
    <row r="10731">
      <c r="A10731" t="n">
        <v>10730</v>
      </c>
      <c r="B10731" t="inlineStr">
        <is>
          <t>x̄DCCXXX</t>
        </is>
      </c>
      <c r="C10731">
        <f>ROMAN(10730)</f>
        <v/>
      </c>
      <c r="D10731">
        <f>IF(B10731=C10731, "YES", "WRONG")</f>
        <v/>
      </c>
    </row>
    <row r="10732">
      <c r="A10732" t="n">
        <v>10731</v>
      </c>
      <c r="B10732" t="inlineStr">
        <is>
          <t>x̄DCCXXXI</t>
        </is>
      </c>
      <c r="C10732">
        <f>ROMAN(10731)</f>
        <v/>
      </c>
      <c r="D10732">
        <f>IF(B10732=C10732, "YES", "WRONG")</f>
        <v/>
      </c>
    </row>
    <row r="10733">
      <c r="A10733" t="n">
        <v>10732</v>
      </c>
      <c r="B10733" t="inlineStr">
        <is>
          <t>x̄DCCXXXII</t>
        </is>
      </c>
      <c r="C10733">
        <f>ROMAN(10732)</f>
        <v/>
      </c>
      <c r="D10733">
        <f>IF(B10733=C10733, "YES", "WRONG")</f>
        <v/>
      </c>
    </row>
    <row r="10734">
      <c r="A10734" t="n">
        <v>10733</v>
      </c>
      <c r="B10734" t="inlineStr">
        <is>
          <t>x̄DCCXXXIII</t>
        </is>
      </c>
      <c r="C10734">
        <f>ROMAN(10733)</f>
        <v/>
      </c>
      <c r="D10734">
        <f>IF(B10734=C10734, "YES", "WRONG")</f>
        <v/>
      </c>
    </row>
    <row r="10735">
      <c r="A10735" t="n">
        <v>10734</v>
      </c>
      <c r="B10735" t="inlineStr">
        <is>
          <t>x̄DCCXXXIV</t>
        </is>
      </c>
      <c r="C10735">
        <f>ROMAN(10734)</f>
        <v/>
      </c>
      <c r="D10735">
        <f>IF(B10735=C10735, "YES", "WRONG")</f>
        <v/>
      </c>
    </row>
    <row r="10736">
      <c r="A10736" t="n">
        <v>10735</v>
      </c>
      <c r="B10736" t="inlineStr">
        <is>
          <t>x̄DCCXXXV</t>
        </is>
      </c>
      <c r="C10736">
        <f>ROMAN(10735)</f>
        <v/>
      </c>
      <c r="D10736">
        <f>IF(B10736=C10736, "YES", "WRONG")</f>
        <v/>
      </c>
    </row>
    <row r="10737">
      <c r="A10737" t="n">
        <v>10736</v>
      </c>
      <c r="B10737" t="inlineStr">
        <is>
          <t>x̄DCCXXXVI</t>
        </is>
      </c>
      <c r="C10737">
        <f>ROMAN(10736)</f>
        <v/>
      </c>
      <c r="D10737">
        <f>IF(B10737=C10737, "YES", "WRONG")</f>
        <v/>
      </c>
    </row>
    <row r="10738">
      <c r="A10738" t="n">
        <v>10737</v>
      </c>
      <c r="B10738" t="inlineStr">
        <is>
          <t>x̄DCCXXXVII</t>
        </is>
      </c>
      <c r="C10738">
        <f>ROMAN(10737)</f>
        <v/>
      </c>
      <c r="D10738">
        <f>IF(B10738=C10738, "YES", "WRONG")</f>
        <v/>
      </c>
    </row>
    <row r="10739">
      <c r="A10739" t="n">
        <v>10738</v>
      </c>
      <c r="B10739" t="inlineStr">
        <is>
          <t>x̄DCCXXXVIII</t>
        </is>
      </c>
      <c r="C10739">
        <f>ROMAN(10738)</f>
        <v/>
      </c>
      <c r="D10739">
        <f>IF(B10739=C10739, "YES", "WRONG")</f>
        <v/>
      </c>
    </row>
    <row r="10740">
      <c r="A10740" t="n">
        <v>10739</v>
      </c>
      <c r="B10740" t="inlineStr">
        <is>
          <t>x̄DCCXXXIX</t>
        </is>
      </c>
      <c r="C10740">
        <f>ROMAN(10739)</f>
        <v/>
      </c>
      <c r="D10740">
        <f>IF(B10740=C10740, "YES", "WRONG")</f>
        <v/>
      </c>
    </row>
    <row r="10741">
      <c r="A10741" t="n">
        <v>10740</v>
      </c>
      <c r="B10741" t="inlineStr">
        <is>
          <t>x̄DCCXL</t>
        </is>
      </c>
      <c r="C10741">
        <f>ROMAN(10740)</f>
        <v/>
      </c>
      <c r="D10741">
        <f>IF(B10741=C10741, "YES", "WRONG")</f>
        <v/>
      </c>
    </row>
    <row r="10742">
      <c r="A10742" t="n">
        <v>10741</v>
      </c>
      <c r="B10742" t="inlineStr">
        <is>
          <t>x̄DCCXLI</t>
        </is>
      </c>
      <c r="C10742">
        <f>ROMAN(10741)</f>
        <v/>
      </c>
      <c r="D10742">
        <f>IF(B10742=C10742, "YES", "WRONG")</f>
        <v/>
      </c>
    </row>
    <row r="10743">
      <c r="A10743" t="n">
        <v>10742</v>
      </c>
      <c r="B10743" t="inlineStr">
        <is>
          <t>x̄DCCXLII</t>
        </is>
      </c>
      <c r="C10743">
        <f>ROMAN(10742)</f>
        <v/>
      </c>
      <c r="D10743">
        <f>IF(B10743=C10743, "YES", "WRONG")</f>
        <v/>
      </c>
    </row>
    <row r="10744">
      <c r="A10744" t="n">
        <v>10743</v>
      </c>
      <c r="B10744" t="inlineStr">
        <is>
          <t>x̄DCCXLIII</t>
        </is>
      </c>
      <c r="C10744">
        <f>ROMAN(10743)</f>
        <v/>
      </c>
      <c r="D10744">
        <f>IF(B10744=C10744, "YES", "WRONG")</f>
        <v/>
      </c>
    </row>
    <row r="10745">
      <c r="A10745" t="n">
        <v>10744</v>
      </c>
      <c r="B10745" t="inlineStr">
        <is>
          <t>x̄DCCXLIV</t>
        </is>
      </c>
      <c r="C10745">
        <f>ROMAN(10744)</f>
        <v/>
      </c>
      <c r="D10745">
        <f>IF(B10745=C10745, "YES", "WRONG")</f>
        <v/>
      </c>
    </row>
    <row r="10746">
      <c r="A10746" t="n">
        <v>10745</v>
      </c>
      <c r="B10746" t="inlineStr">
        <is>
          <t>x̄DCCXLV</t>
        </is>
      </c>
      <c r="C10746">
        <f>ROMAN(10745)</f>
        <v/>
      </c>
      <c r="D10746">
        <f>IF(B10746=C10746, "YES", "WRONG")</f>
        <v/>
      </c>
    </row>
    <row r="10747">
      <c r="A10747" t="n">
        <v>10746</v>
      </c>
      <c r="B10747" t="inlineStr">
        <is>
          <t>x̄DCCXLVI</t>
        </is>
      </c>
      <c r="C10747">
        <f>ROMAN(10746)</f>
        <v/>
      </c>
      <c r="D10747">
        <f>IF(B10747=C10747, "YES", "WRONG")</f>
        <v/>
      </c>
    </row>
    <row r="10748">
      <c r="A10748" t="n">
        <v>10747</v>
      </c>
      <c r="B10748" t="inlineStr">
        <is>
          <t>x̄DCCXLVII</t>
        </is>
      </c>
      <c r="C10748">
        <f>ROMAN(10747)</f>
        <v/>
      </c>
      <c r="D10748">
        <f>IF(B10748=C10748, "YES", "WRONG")</f>
        <v/>
      </c>
    </row>
    <row r="10749">
      <c r="A10749" t="n">
        <v>10748</v>
      </c>
      <c r="B10749" t="inlineStr">
        <is>
          <t>x̄DCCXLVIII</t>
        </is>
      </c>
      <c r="C10749">
        <f>ROMAN(10748)</f>
        <v/>
      </c>
      <c r="D10749">
        <f>IF(B10749=C10749, "YES", "WRONG")</f>
        <v/>
      </c>
    </row>
    <row r="10750">
      <c r="A10750" t="n">
        <v>10749</v>
      </c>
      <c r="B10750" t="inlineStr">
        <is>
          <t>x̄DCCXLIX</t>
        </is>
      </c>
      <c r="C10750">
        <f>ROMAN(10749)</f>
        <v/>
      </c>
      <c r="D10750">
        <f>IF(B10750=C10750, "YES", "WRONG")</f>
        <v/>
      </c>
    </row>
    <row r="10751">
      <c r="A10751" t="n">
        <v>10750</v>
      </c>
      <c r="B10751" t="inlineStr">
        <is>
          <t>x̄DCCL</t>
        </is>
      </c>
      <c r="C10751">
        <f>ROMAN(10750)</f>
        <v/>
      </c>
      <c r="D10751">
        <f>IF(B10751=C10751, "YES", "WRONG")</f>
        <v/>
      </c>
    </row>
    <row r="10752">
      <c r="A10752" t="n">
        <v>10751</v>
      </c>
      <c r="B10752" t="inlineStr">
        <is>
          <t>x̄DCCLI</t>
        </is>
      </c>
      <c r="C10752">
        <f>ROMAN(10751)</f>
        <v/>
      </c>
      <c r="D10752">
        <f>IF(B10752=C10752, "YES", "WRONG")</f>
        <v/>
      </c>
    </row>
    <row r="10753">
      <c r="A10753" t="n">
        <v>10752</v>
      </c>
      <c r="B10753" t="inlineStr">
        <is>
          <t>x̄DCCLII</t>
        </is>
      </c>
      <c r="C10753">
        <f>ROMAN(10752)</f>
        <v/>
      </c>
      <c r="D10753">
        <f>IF(B10753=C10753, "YES", "WRONG")</f>
        <v/>
      </c>
    </row>
    <row r="10754">
      <c r="A10754" t="n">
        <v>10753</v>
      </c>
      <c r="B10754" t="inlineStr">
        <is>
          <t>x̄DCCLIII</t>
        </is>
      </c>
      <c r="C10754">
        <f>ROMAN(10753)</f>
        <v/>
      </c>
      <c r="D10754">
        <f>IF(B10754=C10754, "YES", "WRONG")</f>
        <v/>
      </c>
    </row>
    <row r="10755">
      <c r="A10755" t="n">
        <v>10754</v>
      </c>
      <c r="B10755" t="inlineStr">
        <is>
          <t>x̄DCCLIV</t>
        </is>
      </c>
      <c r="C10755">
        <f>ROMAN(10754)</f>
        <v/>
      </c>
      <c r="D10755">
        <f>IF(B10755=C10755, "YES", "WRONG")</f>
        <v/>
      </c>
    </row>
    <row r="10756">
      <c r="A10756" t="n">
        <v>10755</v>
      </c>
      <c r="B10756" t="inlineStr">
        <is>
          <t>x̄DCCLV</t>
        </is>
      </c>
      <c r="C10756">
        <f>ROMAN(10755)</f>
        <v/>
      </c>
      <c r="D10756">
        <f>IF(B10756=C10756, "YES", "WRONG")</f>
        <v/>
      </c>
    </row>
    <row r="10757">
      <c r="A10757" t="n">
        <v>10756</v>
      </c>
      <c r="B10757" t="inlineStr">
        <is>
          <t>x̄DCCLVI</t>
        </is>
      </c>
      <c r="C10757">
        <f>ROMAN(10756)</f>
        <v/>
      </c>
      <c r="D10757">
        <f>IF(B10757=C10757, "YES", "WRONG")</f>
        <v/>
      </c>
    </row>
    <row r="10758">
      <c r="A10758" t="n">
        <v>10757</v>
      </c>
      <c r="B10758" t="inlineStr">
        <is>
          <t>x̄DCCLVII</t>
        </is>
      </c>
      <c r="C10758">
        <f>ROMAN(10757)</f>
        <v/>
      </c>
      <c r="D10758">
        <f>IF(B10758=C10758, "YES", "WRONG")</f>
        <v/>
      </c>
    </row>
    <row r="10759">
      <c r="A10759" t="n">
        <v>10758</v>
      </c>
      <c r="B10759" t="inlineStr">
        <is>
          <t>x̄DCCLVIII</t>
        </is>
      </c>
      <c r="C10759">
        <f>ROMAN(10758)</f>
        <v/>
      </c>
      <c r="D10759">
        <f>IF(B10759=C10759, "YES", "WRONG")</f>
        <v/>
      </c>
    </row>
    <row r="10760">
      <c r="A10760" t="n">
        <v>10759</v>
      </c>
      <c r="B10760" t="inlineStr">
        <is>
          <t>x̄DCCLIX</t>
        </is>
      </c>
      <c r="C10760">
        <f>ROMAN(10759)</f>
        <v/>
      </c>
      <c r="D10760">
        <f>IF(B10760=C10760, "YES", "WRONG")</f>
        <v/>
      </c>
    </row>
    <row r="10761">
      <c r="A10761" t="n">
        <v>10760</v>
      </c>
      <c r="B10761" t="inlineStr">
        <is>
          <t>x̄DCCLX</t>
        </is>
      </c>
      <c r="C10761">
        <f>ROMAN(10760)</f>
        <v/>
      </c>
      <c r="D10761">
        <f>IF(B10761=C10761, "YES", "WRONG")</f>
        <v/>
      </c>
    </row>
    <row r="10762">
      <c r="A10762" t="n">
        <v>10761</v>
      </c>
      <c r="B10762" t="inlineStr">
        <is>
          <t>x̄DCCLXI</t>
        </is>
      </c>
      <c r="C10762">
        <f>ROMAN(10761)</f>
        <v/>
      </c>
      <c r="D10762">
        <f>IF(B10762=C10762, "YES", "WRONG")</f>
        <v/>
      </c>
    </row>
    <row r="10763">
      <c r="A10763" t="n">
        <v>10762</v>
      </c>
      <c r="B10763" t="inlineStr">
        <is>
          <t>x̄DCCLXII</t>
        </is>
      </c>
      <c r="C10763">
        <f>ROMAN(10762)</f>
        <v/>
      </c>
      <c r="D10763">
        <f>IF(B10763=C10763, "YES", "WRONG")</f>
        <v/>
      </c>
    </row>
    <row r="10764">
      <c r="A10764" t="n">
        <v>10763</v>
      </c>
      <c r="B10764" t="inlineStr">
        <is>
          <t>x̄DCCLXIII</t>
        </is>
      </c>
      <c r="C10764">
        <f>ROMAN(10763)</f>
        <v/>
      </c>
      <c r="D10764">
        <f>IF(B10764=C10764, "YES", "WRONG")</f>
        <v/>
      </c>
    </row>
    <row r="10765">
      <c r="A10765" t="n">
        <v>10764</v>
      </c>
      <c r="B10765" t="inlineStr">
        <is>
          <t>x̄DCCLXIV</t>
        </is>
      </c>
      <c r="C10765">
        <f>ROMAN(10764)</f>
        <v/>
      </c>
      <c r="D10765">
        <f>IF(B10765=C10765, "YES", "WRONG")</f>
        <v/>
      </c>
    </row>
    <row r="10766">
      <c r="A10766" t="n">
        <v>10765</v>
      </c>
      <c r="B10766" t="inlineStr">
        <is>
          <t>x̄DCCLXV</t>
        </is>
      </c>
      <c r="C10766">
        <f>ROMAN(10765)</f>
        <v/>
      </c>
      <c r="D10766">
        <f>IF(B10766=C10766, "YES", "WRONG")</f>
        <v/>
      </c>
    </row>
    <row r="10767">
      <c r="A10767" t="n">
        <v>10766</v>
      </c>
      <c r="B10767" t="inlineStr">
        <is>
          <t>x̄DCCLXVI</t>
        </is>
      </c>
      <c r="C10767">
        <f>ROMAN(10766)</f>
        <v/>
      </c>
      <c r="D10767">
        <f>IF(B10767=C10767, "YES", "WRONG")</f>
        <v/>
      </c>
    </row>
    <row r="10768">
      <c r="A10768" t="n">
        <v>10767</v>
      </c>
      <c r="B10768" t="inlineStr">
        <is>
          <t>x̄DCCLXVII</t>
        </is>
      </c>
      <c r="C10768">
        <f>ROMAN(10767)</f>
        <v/>
      </c>
      <c r="D10768">
        <f>IF(B10768=C10768, "YES", "WRONG")</f>
        <v/>
      </c>
    </row>
    <row r="10769">
      <c r="A10769" t="n">
        <v>10768</v>
      </c>
      <c r="B10769" t="inlineStr">
        <is>
          <t>x̄DCCLXVIII</t>
        </is>
      </c>
      <c r="C10769">
        <f>ROMAN(10768)</f>
        <v/>
      </c>
      <c r="D10769">
        <f>IF(B10769=C10769, "YES", "WRONG")</f>
        <v/>
      </c>
    </row>
    <row r="10770">
      <c r="A10770" t="n">
        <v>10769</v>
      </c>
      <c r="B10770" t="inlineStr">
        <is>
          <t>x̄DCCLXIX</t>
        </is>
      </c>
      <c r="C10770">
        <f>ROMAN(10769)</f>
        <v/>
      </c>
      <c r="D10770">
        <f>IF(B10770=C10770, "YES", "WRONG")</f>
        <v/>
      </c>
    </row>
    <row r="10771">
      <c r="A10771" t="n">
        <v>10770</v>
      </c>
      <c r="B10771" t="inlineStr">
        <is>
          <t>x̄DCCLXX</t>
        </is>
      </c>
      <c r="C10771">
        <f>ROMAN(10770)</f>
        <v/>
      </c>
      <c r="D10771">
        <f>IF(B10771=C10771, "YES", "WRONG")</f>
        <v/>
      </c>
    </row>
    <row r="10772">
      <c r="A10772" t="n">
        <v>10771</v>
      </c>
      <c r="B10772" t="inlineStr">
        <is>
          <t>x̄DCCLXXI</t>
        </is>
      </c>
      <c r="C10772">
        <f>ROMAN(10771)</f>
        <v/>
      </c>
      <c r="D10772">
        <f>IF(B10772=C10772, "YES", "WRONG")</f>
        <v/>
      </c>
    </row>
    <row r="10773">
      <c r="A10773" t="n">
        <v>10772</v>
      </c>
      <c r="B10773" t="inlineStr">
        <is>
          <t>x̄DCCLXXII</t>
        </is>
      </c>
      <c r="C10773">
        <f>ROMAN(10772)</f>
        <v/>
      </c>
      <c r="D10773">
        <f>IF(B10773=C10773, "YES", "WRONG")</f>
        <v/>
      </c>
    </row>
    <row r="10774">
      <c r="A10774" t="n">
        <v>10773</v>
      </c>
      <c r="B10774" t="inlineStr">
        <is>
          <t>x̄DCCLXXIII</t>
        </is>
      </c>
      <c r="C10774">
        <f>ROMAN(10773)</f>
        <v/>
      </c>
      <c r="D10774">
        <f>IF(B10774=C10774, "YES", "WRONG")</f>
        <v/>
      </c>
    </row>
    <row r="10775">
      <c r="A10775" t="n">
        <v>10774</v>
      </c>
      <c r="B10775" t="inlineStr">
        <is>
          <t>x̄DCCLXXIV</t>
        </is>
      </c>
      <c r="C10775">
        <f>ROMAN(10774)</f>
        <v/>
      </c>
      <c r="D10775">
        <f>IF(B10775=C10775, "YES", "WRONG")</f>
        <v/>
      </c>
    </row>
    <row r="10776">
      <c r="A10776" t="n">
        <v>10775</v>
      </c>
      <c r="B10776" t="inlineStr">
        <is>
          <t>x̄DCCLXXV</t>
        </is>
      </c>
      <c r="C10776">
        <f>ROMAN(10775)</f>
        <v/>
      </c>
      <c r="D10776">
        <f>IF(B10776=C10776, "YES", "WRONG")</f>
        <v/>
      </c>
    </row>
    <row r="10777">
      <c r="A10777" t="n">
        <v>10776</v>
      </c>
      <c r="B10777" t="inlineStr">
        <is>
          <t>x̄DCCLXXVI</t>
        </is>
      </c>
      <c r="C10777">
        <f>ROMAN(10776)</f>
        <v/>
      </c>
      <c r="D10777">
        <f>IF(B10777=C10777, "YES", "WRONG")</f>
        <v/>
      </c>
    </row>
    <row r="10778">
      <c r="A10778" t="n">
        <v>10777</v>
      </c>
      <c r="B10778" t="inlineStr">
        <is>
          <t>x̄DCCLXXVII</t>
        </is>
      </c>
      <c r="C10778">
        <f>ROMAN(10777)</f>
        <v/>
      </c>
      <c r="D10778">
        <f>IF(B10778=C10778, "YES", "WRONG")</f>
        <v/>
      </c>
    </row>
    <row r="10779">
      <c r="A10779" t="n">
        <v>10778</v>
      </c>
      <c r="B10779" t="inlineStr">
        <is>
          <t>x̄DCCLXXVIII</t>
        </is>
      </c>
      <c r="C10779">
        <f>ROMAN(10778)</f>
        <v/>
      </c>
      <c r="D10779">
        <f>IF(B10779=C10779, "YES", "WRONG")</f>
        <v/>
      </c>
    </row>
    <row r="10780">
      <c r="A10780" t="n">
        <v>10779</v>
      </c>
      <c r="B10780" t="inlineStr">
        <is>
          <t>x̄DCCLXXIX</t>
        </is>
      </c>
      <c r="C10780">
        <f>ROMAN(10779)</f>
        <v/>
      </c>
      <c r="D10780">
        <f>IF(B10780=C10780, "YES", "WRONG")</f>
        <v/>
      </c>
    </row>
    <row r="10781">
      <c r="A10781" t="n">
        <v>10780</v>
      </c>
      <c r="B10781" t="inlineStr">
        <is>
          <t>x̄DCCLXXX</t>
        </is>
      </c>
      <c r="C10781">
        <f>ROMAN(10780)</f>
        <v/>
      </c>
      <c r="D10781">
        <f>IF(B10781=C10781, "YES", "WRONG")</f>
        <v/>
      </c>
    </row>
    <row r="10782">
      <c r="A10782" t="n">
        <v>10781</v>
      </c>
      <c r="B10782" t="inlineStr">
        <is>
          <t>x̄DCCLXXXI</t>
        </is>
      </c>
      <c r="C10782">
        <f>ROMAN(10781)</f>
        <v/>
      </c>
      <c r="D10782">
        <f>IF(B10782=C10782, "YES", "WRONG")</f>
        <v/>
      </c>
    </row>
    <row r="10783">
      <c r="A10783" t="n">
        <v>10782</v>
      </c>
      <c r="B10783" t="inlineStr">
        <is>
          <t>x̄DCCLXXXII</t>
        </is>
      </c>
      <c r="C10783">
        <f>ROMAN(10782)</f>
        <v/>
      </c>
      <c r="D10783">
        <f>IF(B10783=C10783, "YES", "WRONG")</f>
        <v/>
      </c>
    </row>
    <row r="10784">
      <c r="A10784" t="n">
        <v>10783</v>
      </c>
      <c r="B10784" t="inlineStr">
        <is>
          <t>x̄DCCLXXXIII</t>
        </is>
      </c>
      <c r="C10784">
        <f>ROMAN(10783)</f>
        <v/>
      </c>
      <c r="D10784">
        <f>IF(B10784=C10784, "YES", "WRONG")</f>
        <v/>
      </c>
    </row>
    <row r="10785">
      <c r="A10785" t="n">
        <v>10784</v>
      </c>
      <c r="B10785" t="inlineStr">
        <is>
          <t>x̄DCCLXXXIV</t>
        </is>
      </c>
      <c r="C10785">
        <f>ROMAN(10784)</f>
        <v/>
      </c>
      <c r="D10785">
        <f>IF(B10785=C10785, "YES", "WRONG")</f>
        <v/>
      </c>
    </row>
    <row r="10786">
      <c r="A10786" t="n">
        <v>10785</v>
      </c>
      <c r="B10786" t="inlineStr">
        <is>
          <t>x̄DCCLXXXV</t>
        </is>
      </c>
      <c r="C10786">
        <f>ROMAN(10785)</f>
        <v/>
      </c>
      <c r="D10786">
        <f>IF(B10786=C10786, "YES", "WRONG")</f>
        <v/>
      </c>
    </row>
    <row r="10787">
      <c r="A10787" t="n">
        <v>10786</v>
      </c>
      <c r="B10787" t="inlineStr">
        <is>
          <t>x̄DCCLXXXVI</t>
        </is>
      </c>
      <c r="C10787">
        <f>ROMAN(10786)</f>
        <v/>
      </c>
      <c r="D10787">
        <f>IF(B10787=C10787, "YES", "WRONG")</f>
        <v/>
      </c>
    </row>
    <row r="10788">
      <c r="A10788" t="n">
        <v>10787</v>
      </c>
      <c r="B10788" t="inlineStr">
        <is>
          <t>x̄DCCLXXXVII</t>
        </is>
      </c>
      <c r="C10788">
        <f>ROMAN(10787)</f>
        <v/>
      </c>
      <c r="D10788">
        <f>IF(B10788=C10788, "YES", "WRONG")</f>
        <v/>
      </c>
    </row>
    <row r="10789">
      <c r="A10789" t="n">
        <v>10788</v>
      </c>
      <c r="B10789" t="inlineStr">
        <is>
          <t>x̄DCCLXXXVIII</t>
        </is>
      </c>
      <c r="C10789">
        <f>ROMAN(10788)</f>
        <v/>
      </c>
      <c r="D10789">
        <f>IF(B10789=C10789, "YES", "WRONG")</f>
        <v/>
      </c>
    </row>
    <row r="10790">
      <c r="A10790" t="n">
        <v>10789</v>
      </c>
      <c r="B10790" t="inlineStr">
        <is>
          <t>x̄DCCLXXXIX</t>
        </is>
      </c>
      <c r="C10790">
        <f>ROMAN(10789)</f>
        <v/>
      </c>
      <c r="D10790">
        <f>IF(B10790=C10790, "YES", "WRONG")</f>
        <v/>
      </c>
    </row>
    <row r="10791">
      <c r="A10791" t="n">
        <v>10790</v>
      </c>
      <c r="B10791" t="inlineStr">
        <is>
          <t>x̄DCCXC</t>
        </is>
      </c>
      <c r="C10791">
        <f>ROMAN(10790)</f>
        <v/>
      </c>
      <c r="D10791">
        <f>IF(B10791=C10791, "YES", "WRONG")</f>
        <v/>
      </c>
    </row>
    <row r="10792">
      <c r="A10792" t="n">
        <v>10791</v>
      </c>
      <c r="B10792" t="inlineStr">
        <is>
          <t>x̄DCCXCI</t>
        </is>
      </c>
      <c r="C10792">
        <f>ROMAN(10791)</f>
        <v/>
      </c>
      <c r="D10792">
        <f>IF(B10792=C10792, "YES", "WRONG")</f>
        <v/>
      </c>
    </row>
    <row r="10793">
      <c r="A10793" t="n">
        <v>10792</v>
      </c>
      <c r="B10793" t="inlineStr">
        <is>
          <t>x̄DCCXCII</t>
        </is>
      </c>
      <c r="C10793">
        <f>ROMAN(10792)</f>
        <v/>
      </c>
      <c r="D10793">
        <f>IF(B10793=C10793, "YES", "WRONG")</f>
        <v/>
      </c>
    </row>
    <row r="10794">
      <c r="A10794" t="n">
        <v>10793</v>
      </c>
      <c r="B10794" t="inlineStr">
        <is>
          <t>x̄DCCXCIII</t>
        </is>
      </c>
      <c r="C10794">
        <f>ROMAN(10793)</f>
        <v/>
      </c>
      <c r="D10794">
        <f>IF(B10794=C10794, "YES", "WRONG")</f>
        <v/>
      </c>
    </row>
    <row r="10795">
      <c r="A10795" t="n">
        <v>10794</v>
      </c>
      <c r="B10795" t="inlineStr">
        <is>
          <t>x̄DCCXCIV</t>
        </is>
      </c>
      <c r="C10795">
        <f>ROMAN(10794)</f>
        <v/>
      </c>
      <c r="D10795">
        <f>IF(B10795=C10795, "YES", "WRONG")</f>
        <v/>
      </c>
    </row>
    <row r="10796">
      <c r="A10796" t="n">
        <v>10795</v>
      </c>
      <c r="B10796" t="inlineStr">
        <is>
          <t>x̄DCCXCV</t>
        </is>
      </c>
      <c r="C10796">
        <f>ROMAN(10795)</f>
        <v/>
      </c>
      <c r="D10796">
        <f>IF(B10796=C10796, "YES", "WRONG")</f>
        <v/>
      </c>
    </row>
    <row r="10797">
      <c r="A10797" t="n">
        <v>10796</v>
      </c>
      <c r="B10797" t="inlineStr">
        <is>
          <t>x̄DCCXCVI</t>
        </is>
      </c>
      <c r="C10797">
        <f>ROMAN(10796)</f>
        <v/>
      </c>
      <c r="D10797">
        <f>IF(B10797=C10797, "YES", "WRONG")</f>
        <v/>
      </c>
    </row>
    <row r="10798">
      <c r="A10798" t="n">
        <v>10797</v>
      </c>
      <c r="B10798" t="inlineStr">
        <is>
          <t>x̄DCCXCVII</t>
        </is>
      </c>
      <c r="C10798">
        <f>ROMAN(10797)</f>
        <v/>
      </c>
      <c r="D10798">
        <f>IF(B10798=C10798, "YES", "WRONG")</f>
        <v/>
      </c>
    </row>
    <row r="10799">
      <c r="A10799" t="n">
        <v>10798</v>
      </c>
      <c r="B10799" t="inlineStr">
        <is>
          <t>x̄DCCXCVIII</t>
        </is>
      </c>
      <c r="C10799">
        <f>ROMAN(10798)</f>
        <v/>
      </c>
      <c r="D10799">
        <f>IF(B10799=C10799, "YES", "WRONG")</f>
        <v/>
      </c>
    </row>
    <row r="10800">
      <c r="A10800" t="n">
        <v>10799</v>
      </c>
      <c r="B10800" t="inlineStr">
        <is>
          <t>x̄DCCXCIX</t>
        </is>
      </c>
      <c r="C10800">
        <f>ROMAN(10799)</f>
        <v/>
      </c>
      <c r="D10800">
        <f>IF(B10800=C10800, "YES", "WRONG")</f>
        <v/>
      </c>
    </row>
    <row r="10801">
      <c r="A10801" t="n">
        <v>10800</v>
      </c>
      <c r="B10801" t="inlineStr">
        <is>
          <t>x̄DCCC</t>
        </is>
      </c>
      <c r="C10801">
        <f>ROMAN(10800)</f>
        <v/>
      </c>
      <c r="D10801">
        <f>IF(B10801=C10801, "YES", "WRONG")</f>
        <v/>
      </c>
    </row>
    <row r="10802">
      <c r="A10802" t="n">
        <v>10801</v>
      </c>
      <c r="B10802" t="inlineStr">
        <is>
          <t>x̄DCCCI</t>
        </is>
      </c>
      <c r="C10802">
        <f>ROMAN(10801)</f>
        <v/>
      </c>
      <c r="D10802">
        <f>IF(B10802=C10802, "YES", "WRONG")</f>
        <v/>
      </c>
    </row>
    <row r="10803">
      <c r="A10803" t="n">
        <v>10802</v>
      </c>
      <c r="B10803" t="inlineStr">
        <is>
          <t>x̄DCCCII</t>
        </is>
      </c>
      <c r="C10803">
        <f>ROMAN(10802)</f>
        <v/>
      </c>
      <c r="D10803">
        <f>IF(B10803=C10803, "YES", "WRONG")</f>
        <v/>
      </c>
    </row>
    <row r="10804">
      <c r="A10804" t="n">
        <v>10803</v>
      </c>
      <c r="B10804" t="inlineStr">
        <is>
          <t>x̄DCCCIII</t>
        </is>
      </c>
      <c r="C10804">
        <f>ROMAN(10803)</f>
        <v/>
      </c>
      <c r="D10804">
        <f>IF(B10804=C10804, "YES", "WRONG")</f>
        <v/>
      </c>
    </row>
    <row r="10805">
      <c r="A10805" t="n">
        <v>10804</v>
      </c>
      <c r="B10805" t="inlineStr">
        <is>
          <t>x̄DCCCIV</t>
        </is>
      </c>
      <c r="C10805">
        <f>ROMAN(10804)</f>
        <v/>
      </c>
      <c r="D10805">
        <f>IF(B10805=C10805, "YES", "WRONG")</f>
        <v/>
      </c>
    </row>
    <row r="10806">
      <c r="A10806" t="n">
        <v>10805</v>
      </c>
      <c r="B10806" t="inlineStr">
        <is>
          <t>x̄DCCCV</t>
        </is>
      </c>
      <c r="C10806">
        <f>ROMAN(10805)</f>
        <v/>
      </c>
      <c r="D10806">
        <f>IF(B10806=C10806, "YES", "WRONG")</f>
        <v/>
      </c>
    </row>
    <row r="10807">
      <c r="A10807" t="n">
        <v>10806</v>
      </c>
      <c r="B10807" t="inlineStr">
        <is>
          <t>x̄DCCCVI</t>
        </is>
      </c>
      <c r="C10807">
        <f>ROMAN(10806)</f>
        <v/>
      </c>
      <c r="D10807">
        <f>IF(B10807=C10807, "YES", "WRONG")</f>
        <v/>
      </c>
    </row>
    <row r="10808">
      <c r="A10808" t="n">
        <v>10807</v>
      </c>
      <c r="B10808" t="inlineStr">
        <is>
          <t>x̄DCCCVII</t>
        </is>
      </c>
      <c r="C10808">
        <f>ROMAN(10807)</f>
        <v/>
      </c>
      <c r="D10808">
        <f>IF(B10808=C10808, "YES", "WRONG")</f>
        <v/>
      </c>
    </row>
    <row r="10809">
      <c r="A10809" t="n">
        <v>10808</v>
      </c>
      <c r="B10809" t="inlineStr">
        <is>
          <t>x̄DCCCVIII</t>
        </is>
      </c>
      <c r="C10809">
        <f>ROMAN(10808)</f>
        <v/>
      </c>
      <c r="D10809">
        <f>IF(B10809=C10809, "YES", "WRONG")</f>
        <v/>
      </c>
    </row>
    <row r="10810">
      <c r="A10810" t="n">
        <v>10809</v>
      </c>
      <c r="B10810" t="inlineStr">
        <is>
          <t>x̄DCCCIX</t>
        </is>
      </c>
      <c r="C10810">
        <f>ROMAN(10809)</f>
        <v/>
      </c>
      <c r="D10810">
        <f>IF(B10810=C10810, "YES", "WRONG")</f>
        <v/>
      </c>
    </row>
    <row r="10811">
      <c r="A10811" t="n">
        <v>10810</v>
      </c>
      <c r="B10811" t="inlineStr">
        <is>
          <t>x̄DCCCX</t>
        </is>
      </c>
      <c r="C10811">
        <f>ROMAN(10810)</f>
        <v/>
      </c>
      <c r="D10811">
        <f>IF(B10811=C10811, "YES", "WRONG")</f>
        <v/>
      </c>
    </row>
    <row r="10812">
      <c r="A10812" t="n">
        <v>10811</v>
      </c>
      <c r="B10812" t="inlineStr">
        <is>
          <t>x̄DCCCXI</t>
        </is>
      </c>
      <c r="C10812">
        <f>ROMAN(10811)</f>
        <v/>
      </c>
      <c r="D10812">
        <f>IF(B10812=C10812, "YES", "WRONG")</f>
        <v/>
      </c>
    </row>
    <row r="10813">
      <c r="A10813" t="n">
        <v>10812</v>
      </c>
      <c r="B10813" t="inlineStr">
        <is>
          <t>x̄DCCCXII</t>
        </is>
      </c>
      <c r="C10813">
        <f>ROMAN(10812)</f>
        <v/>
      </c>
      <c r="D10813">
        <f>IF(B10813=C10813, "YES", "WRONG")</f>
        <v/>
      </c>
    </row>
    <row r="10814">
      <c r="A10814" t="n">
        <v>10813</v>
      </c>
      <c r="B10814" t="inlineStr">
        <is>
          <t>x̄DCCCXIII</t>
        </is>
      </c>
      <c r="C10814">
        <f>ROMAN(10813)</f>
        <v/>
      </c>
      <c r="D10814">
        <f>IF(B10814=C10814, "YES", "WRONG")</f>
        <v/>
      </c>
    </row>
    <row r="10815">
      <c r="A10815" t="n">
        <v>10814</v>
      </c>
      <c r="B10815" t="inlineStr">
        <is>
          <t>x̄DCCCXIV</t>
        </is>
      </c>
      <c r="C10815">
        <f>ROMAN(10814)</f>
        <v/>
      </c>
      <c r="D10815">
        <f>IF(B10815=C10815, "YES", "WRONG")</f>
        <v/>
      </c>
    </row>
    <row r="10816">
      <c r="A10816" t="n">
        <v>10815</v>
      </c>
      <c r="B10816" t="inlineStr">
        <is>
          <t>x̄DCCCXV</t>
        </is>
      </c>
      <c r="C10816">
        <f>ROMAN(10815)</f>
        <v/>
      </c>
      <c r="D10816">
        <f>IF(B10816=C10816, "YES", "WRONG")</f>
        <v/>
      </c>
    </row>
    <row r="10817">
      <c r="A10817" t="n">
        <v>10816</v>
      </c>
      <c r="B10817" t="inlineStr">
        <is>
          <t>x̄DCCCXVI</t>
        </is>
      </c>
      <c r="C10817">
        <f>ROMAN(10816)</f>
        <v/>
      </c>
      <c r="D10817">
        <f>IF(B10817=C10817, "YES", "WRONG")</f>
        <v/>
      </c>
    </row>
    <row r="10818">
      <c r="A10818" t="n">
        <v>10817</v>
      </c>
      <c r="B10818" t="inlineStr">
        <is>
          <t>x̄DCCCXVII</t>
        </is>
      </c>
      <c r="C10818">
        <f>ROMAN(10817)</f>
        <v/>
      </c>
      <c r="D10818">
        <f>IF(B10818=C10818, "YES", "WRONG")</f>
        <v/>
      </c>
    </row>
    <row r="10819">
      <c r="A10819" t="n">
        <v>10818</v>
      </c>
      <c r="B10819" t="inlineStr">
        <is>
          <t>x̄DCCCXVIII</t>
        </is>
      </c>
      <c r="C10819">
        <f>ROMAN(10818)</f>
        <v/>
      </c>
      <c r="D10819">
        <f>IF(B10819=C10819, "YES", "WRONG")</f>
        <v/>
      </c>
    </row>
    <row r="10820">
      <c r="A10820" t="n">
        <v>10819</v>
      </c>
      <c r="B10820" t="inlineStr">
        <is>
          <t>x̄DCCCXIX</t>
        </is>
      </c>
      <c r="C10820">
        <f>ROMAN(10819)</f>
        <v/>
      </c>
      <c r="D10820">
        <f>IF(B10820=C10820, "YES", "WRONG")</f>
        <v/>
      </c>
    </row>
    <row r="10821">
      <c r="A10821" t="n">
        <v>10820</v>
      </c>
      <c r="B10821" t="inlineStr">
        <is>
          <t>x̄DCCCXX</t>
        </is>
      </c>
      <c r="C10821">
        <f>ROMAN(10820)</f>
        <v/>
      </c>
      <c r="D10821">
        <f>IF(B10821=C10821, "YES", "WRONG")</f>
        <v/>
      </c>
    </row>
    <row r="10822">
      <c r="A10822" t="n">
        <v>10821</v>
      </c>
      <c r="B10822" t="inlineStr">
        <is>
          <t>x̄DCCCXXI</t>
        </is>
      </c>
      <c r="C10822">
        <f>ROMAN(10821)</f>
        <v/>
      </c>
      <c r="D10822">
        <f>IF(B10822=C10822, "YES", "WRONG")</f>
        <v/>
      </c>
    </row>
    <row r="10823">
      <c r="A10823" t="n">
        <v>10822</v>
      </c>
      <c r="B10823" t="inlineStr">
        <is>
          <t>x̄DCCCXXII</t>
        </is>
      </c>
      <c r="C10823">
        <f>ROMAN(10822)</f>
        <v/>
      </c>
      <c r="D10823">
        <f>IF(B10823=C10823, "YES", "WRONG")</f>
        <v/>
      </c>
    </row>
    <row r="10824">
      <c r="A10824" t="n">
        <v>10823</v>
      </c>
      <c r="B10824" t="inlineStr">
        <is>
          <t>x̄DCCCXXIII</t>
        </is>
      </c>
      <c r="C10824">
        <f>ROMAN(10823)</f>
        <v/>
      </c>
      <c r="D10824">
        <f>IF(B10824=C10824, "YES", "WRONG")</f>
        <v/>
      </c>
    </row>
    <row r="10825">
      <c r="A10825" t="n">
        <v>10824</v>
      </c>
      <c r="B10825" t="inlineStr">
        <is>
          <t>x̄DCCCXXIV</t>
        </is>
      </c>
      <c r="C10825">
        <f>ROMAN(10824)</f>
        <v/>
      </c>
      <c r="D10825">
        <f>IF(B10825=C10825, "YES", "WRONG")</f>
        <v/>
      </c>
    </row>
    <row r="10826">
      <c r="A10826" t="n">
        <v>10825</v>
      </c>
      <c r="B10826" t="inlineStr">
        <is>
          <t>x̄DCCCXXV</t>
        </is>
      </c>
      <c r="C10826">
        <f>ROMAN(10825)</f>
        <v/>
      </c>
      <c r="D10826">
        <f>IF(B10826=C10826, "YES", "WRONG")</f>
        <v/>
      </c>
    </row>
    <row r="10827">
      <c r="A10827" t="n">
        <v>10826</v>
      </c>
      <c r="B10827" t="inlineStr">
        <is>
          <t>x̄DCCCXXVI</t>
        </is>
      </c>
      <c r="C10827">
        <f>ROMAN(10826)</f>
        <v/>
      </c>
      <c r="D10827">
        <f>IF(B10827=C10827, "YES", "WRONG")</f>
        <v/>
      </c>
    </row>
    <row r="10828">
      <c r="A10828" t="n">
        <v>10827</v>
      </c>
      <c r="B10828" t="inlineStr">
        <is>
          <t>x̄DCCCXXVII</t>
        </is>
      </c>
      <c r="C10828">
        <f>ROMAN(10827)</f>
        <v/>
      </c>
      <c r="D10828">
        <f>IF(B10828=C10828, "YES", "WRONG")</f>
        <v/>
      </c>
    </row>
    <row r="10829">
      <c r="A10829" t="n">
        <v>10828</v>
      </c>
      <c r="B10829" t="inlineStr">
        <is>
          <t>x̄DCCCXXVIII</t>
        </is>
      </c>
      <c r="C10829">
        <f>ROMAN(10828)</f>
        <v/>
      </c>
      <c r="D10829">
        <f>IF(B10829=C10829, "YES", "WRONG")</f>
        <v/>
      </c>
    </row>
    <row r="10830">
      <c r="A10830" t="n">
        <v>10829</v>
      </c>
      <c r="B10830" t="inlineStr">
        <is>
          <t>x̄DCCCXXIX</t>
        </is>
      </c>
      <c r="C10830">
        <f>ROMAN(10829)</f>
        <v/>
      </c>
      <c r="D10830">
        <f>IF(B10830=C10830, "YES", "WRONG")</f>
        <v/>
      </c>
    </row>
    <row r="10831">
      <c r="A10831" t="n">
        <v>10830</v>
      </c>
      <c r="B10831" t="inlineStr">
        <is>
          <t>x̄DCCCXXX</t>
        </is>
      </c>
      <c r="C10831">
        <f>ROMAN(10830)</f>
        <v/>
      </c>
      <c r="D10831">
        <f>IF(B10831=C10831, "YES", "WRONG")</f>
        <v/>
      </c>
    </row>
    <row r="10832">
      <c r="A10832" t="n">
        <v>10831</v>
      </c>
      <c r="B10832" t="inlineStr">
        <is>
          <t>x̄DCCCXXXI</t>
        </is>
      </c>
      <c r="C10832">
        <f>ROMAN(10831)</f>
        <v/>
      </c>
      <c r="D10832">
        <f>IF(B10832=C10832, "YES", "WRONG")</f>
        <v/>
      </c>
    </row>
    <row r="10833">
      <c r="A10833" t="n">
        <v>10832</v>
      </c>
      <c r="B10833" t="inlineStr">
        <is>
          <t>x̄DCCCXXXII</t>
        </is>
      </c>
      <c r="C10833">
        <f>ROMAN(10832)</f>
        <v/>
      </c>
      <c r="D10833">
        <f>IF(B10833=C10833, "YES", "WRONG")</f>
        <v/>
      </c>
    </row>
    <row r="10834">
      <c r="A10834" t="n">
        <v>10833</v>
      </c>
      <c r="B10834" t="inlineStr">
        <is>
          <t>x̄DCCCXXXIII</t>
        </is>
      </c>
      <c r="C10834">
        <f>ROMAN(10833)</f>
        <v/>
      </c>
      <c r="D10834">
        <f>IF(B10834=C10834, "YES", "WRONG")</f>
        <v/>
      </c>
    </row>
    <row r="10835">
      <c r="A10835" t="n">
        <v>10834</v>
      </c>
      <c r="B10835" t="inlineStr">
        <is>
          <t>x̄DCCCXXXIV</t>
        </is>
      </c>
      <c r="C10835">
        <f>ROMAN(10834)</f>
        <v/>
      </c>
      <c r="D10835">
        <f>IF(B10835=C10835, "YES", "WRONG")</f>
        <v/>
      </c>
    </row>
    <row r="10836">
      <c r="A10836" t="n">
        <v>10835</v>
      </c>
      <c r="B10836" t="inlineStr">
        <is>
          <t>x̄DCCCXXXV</t>
        </is>
      </c>
      <c r="C10836">
        <f>ROMAN(10835)</f>
        <v/>
      </c>
      <c r="D10836">
        <f>IF(B10836=C10836, "YES", "WRONG")</f>
        <v/>
      </c>
    </row>
    <row r="10837">
      <c r="A10837" t="n">
        <v>10836</v>
      </c>
      <c r="B10837" t="inlineStr">
        <is>
          <t>x̄DCCCXXXVI</t>
        </is>
      </c>
      <c r="C10837">
        <f>ROMAN(10836)</f>
        <v/>
      </c>
      <c r="D10837">
        <f>IF(B10837=C10837, "YES", "WRONG")</f>
        <v/>
      </c>
    </row>
    <row r="10838">
      <c r="A10838" t="n">
        <v>10837</v>
      </c>
      <c r="B10838" t="inlineStr">
        <is>
          <t>x̄DCCCXXXVII</t>
        </is>
      </c>
      <c r="C10838">
        <f>ROMAN(10837)</f>
        <v/>
      </c>
      <c r="D10838">
        <f>IF(B10838=C10838, "YES", "WRONG")</f>
        <v/>
      </c>
    </row>
    <row r="10839">
      <c r="A10839" t="n">
        <v>10838</v>
      </c>
      <c r="B10839" t="inlineStr">
        <is>
          <t>x̄DCCCXXXVIII</t>
        </is>
      </c>
      <c r="C10839">
        <f>ROMAN(10838)</f>
        <v/>
      </c>
      <c r="D10839">
        <f>IF(B10839=C10839, "YES", "WRONG")</f>
        <v/>
      </c>
    </row>
    <row r="10840">
      <c r="A10840" t="n">
        <v>10839</v>
      </c>
      <c r="B10840" t="inlineStr">
        <is>
          <t>x̄DCCCXXXIX</t>
        </is>
      </c>
      <c r="C10840">
        <f>ROMAN(10839)</f>
        <v/>
      </c>
      <c r="D10840">
        <f>IF(B10840=C10840, "YES", "WRONG")</f>
        <v/>
      </c>
    </row>
    <row r="10841">
      <c r="A10841" t="n">
        <v>10840</v>
      </c>
      <c r="B10841" t="inlineStr">
        <is>
          <t>x̄DCCCXL</t>
        </is>
      </c>
      <c r="C10841">
        <f>ROMAN(10840)</f>
        <v/>
      </c>
      <c r="D10841">
        <f>IF(B10841=C10841, "YES", "WRONG")</f>
        <v/>
      </c>
    </row>
    <row r="10842">
      <c r="A10842" t="n">
        <v>10841</v>
      </c>
      <c r="B10842" t="inlineStr">
        <is>
          <t>x̄DCCCXLI</t>
        </is>
      </c>
      <c r="C10842">
        <f>ROMAN(10841)</f>
        <v/>
      </c>
      <c r="D10842">
        <f>IF(B10842=C10842, "YES", "WRONG")</f>
        <v/>
      </c>
    </row>
    <row r="10843">
      <c r="A10843" t="n">
        <v>10842</v>
      </c>
      <c r="B10843" t="inlineStr">
        <is>
          <t>x̄DCCCXLII</t>
        </is>
      </c>
      <c r="C10843">
        <f>ROMAN(10842)</f>
        <v/>
      </c>
      <c r="D10843">
        <f>IF(B10843=C10843, "YES", "WRONG")</f>
        <v/>
      </c>
    </row>
    <row r="10844">
      <c r="A10844" t="n">
        <v>10843</v>
      </c>
      <c r="B10844" t="inlineStr">
        <is>
          <t>x̄DCCCXLIII</t>
        </is>
      </c>
      <c r="C10844">
        <f>ROMAN(10843)</f>
        <v/>
      </c>
      <c r="D10844">
        <f>IF(B10844=C10844, "YES", "WRONG")</f>
        <v/>
      </c>
    </row>
    <row r="10845">
      <c r="A10845" t="n">
        <v>10844</v>
      </c>
      <c r="B10845" t="inlineStr">
        <is>
          <t>x̄DCCCXLIV</t>
        </is>
      </c>
      <c r="C10845">
        <f>ROMAN(10844)</f>
        <v/>
      </c>
      <c r="D10845">
        <f>IF(B10845=C10845, "YES", "WRONG")</f>
        <v/>
      </c>
    </row>
    <row r="10846">
      <c r="A10846" t="n">
        <v>10845</v>
      </c>
      <c r="B10846" t="inlineStr">
        <is>
          <t>x̄DCCCXLV</t>
        </is>
      </c>
      <c r="C10846">
        <f>ROMAN(10845)</f>
        <v/>
      </c>
      <c r="D10846">
        <f>IF(B10846=C10846, "YES", "WRONG")</f>
        <v/>
      </c>
    </row>
    <row r="10847">
      <c r="A10847" t="n">
        <v>10846</v>
      </c>
      <c r="B10847" t="inlineStr">
        <is>
          <t>x̄DCCCXLVI</t>
        </is>
      </c>
      <c r="C10847">
        <f>ROMAN(10846)</f>
        <v/>
      </c>
      <c r="D10847">
        <f>IF(B10847=C10847, "YES", "WRONG")</f>
        <v/>
      </c>
    </row>
    <row r="10848">
      <c r="A10848" t="n">
        <v>10847</v>
      </c>
      <c r="B10848" t="inlineStr">
        <is>
          <t>x̄DCCCXLVII</t>
        </is>
      </c>
      <c r="C10848">
        <f>ROMAN(10847)</f>
        <v/>
      </c>
      <c r="D10848">
        <f>IF(B10848=C10848, "YES", "WRONG")</f>
        <v/>
      </c>
    </row>
    <row r="10849">
      <c r="A10849" t="n">
        <v>10848</v>
      </c>
      <c r="B10849" t="inlineStr">
        <is>
          <t>x̄DCCCXLVIII</t>
        </is>
      </c>
      <c r="C10849">
        <f>ROMAN(10848)</f>
        <v/>
      </c>
      <c r="D10849">
        <f>IF(B10849=C10849, "YES", "WRONG")</f>
        <v/>
      </c>
    </row>
    <row r="10850">
      <c r="A10850" t="n">
        <v>10849</v>
      </c>
      <c r="B10850" t="inlineStr">
        <is>
          <t>x̄DCCCXLIX</t>
        </is>
      </c>
      <c r="C10850">
        <f>ROMAN(10849)</f>
        <v/>
      </c>
      <c r="D10850">
        <f>IF(B10850=C10850, "YES", "WRONG")</f>
        <v/>
      </c>
    </row>
    <row r="10851">
      <c r="A10851" t="n">
        <v>10850</v>
      </c>
      <c r="B10851" t="inlineStr">
        <is>
          <t>x̄DCCCL</t>
        </is>
      </c>
      <c r="C10851">
        <f>ROMAN(10850)</f>
        <v/>
      </c>
      <c r="D10851">
        <f>IF(B10851=C10851, "YES", "WRONG")</f>
        <v/>
      </c>
    </row>
    <row r="10852">
      <c r="A10852" t="n">
        <v>10851</v>
      </c>
      <c r="B10852" t="inlineStr">
        <is>
          <t>x̄DCCCLI</t>
        </is>
      </c>
      <c r="C10852">
        <f>ROMAN(10851)</f>
        <v/>
      </c>
      <c r="D10852">
        <f>IF(B10852=C10852, "YES", "WRONG")</f>
        <v/>
      </c>
    </row>
    <row r="10853">
      <c r="A10853" t="n">
        <v>10852</v>
      </c>
      <c r="B10853" t="inlineStr">
        <is>
          <t>x̄DCCCLII</t>
        </is>
      </c>
      <c r="C10853">
        <f>ROMAN(10852)</f>
        <v/>
      </c>
      <c r="D10853">
        <f>IF(B10853=C10853, "YES", "WRONG")</f>
        <v/>
      </c>
    </row>
    <row r="10854">
      <c r="A10854" t="n">
        <v>10853</v>
      </c>
      <c r="B10854" t="inlineStr">
        <is>
          <t>x̄DCCCLIII</t>
        </is>
      </c>
      <c r="C10854">
        <f>ROMAN(10853)</f>
        <v/>
      </c>
      <c r="D10854">
        <f>IF(B10854=C10854, "YES", "WRONG")</f>
        <v/>
      </c>
    </row>
    <row r="10855">
      <c r="A10855" t="n">
        <v>10854</v>
      </c>
      <c r="B10855" t="inlineStr">
        <is>
          <t>x̄DCCCLIV</t>
        </is>
      </c>
      <c r="C10855">
        <f>ROMAN(10854)</f>
        <v/>
      </c>
      <c r="D10855">
        <f>IF(B10855=C10855, "YES", "WRONG")</f>
        <v/>
      </c>
    </row>
    <row r="10856">
      <c r="A10856" t="n">
        <v>10855</v>
      </c>
      <c r="B10856" t="inlineStr">
        <is>
          <t>x̄DCCCLV</t>
        </is>
      </c>
      <c r="C10856">
        <f>ROMAN(10855)</f>
        <v/>
      </c>
      <c r="D10856">
        <f>IF(B10856=C10856, "YES", "WRONG")</f>
        <v/>
      </c>
    </row>
    <row r="10857">
      <c r="A10857" t="n">
        <v>10856</v>
      </c>
      <c r="B10857" t="inlineStr">
        <is>
          <t>x̄DCCCLVI</t>
        </is>
      </c>
      <c r="C10857">
        <f>ROMAN(10856)</f>
        <v/>
      </c>
      <c r="D10857">
        <f>IF(B10857=C10857, "YES", "WRONG")</f>
        <v/>
      </c>
    </row>
    <row r="10858">
      <c r="A10858" t="n">
        <v>10857</v>
      </c>
      <c r="B10858" t="inlineStr">
        <is>
          <t>x̄DCCCLVII</t>
        </is>
      </c>
      <c r="C10858">
        <f>ROMAN(10857)</f>
        <v/>
      </c>
      <c r="D10858">
        <f>IF(B10858=C10858, "YES", "WRONG")</f>
        <v/>
      </c>
    </row>
    <row r="10859">
      <c r="A10859" t="n">
        <v>10858</v>
      </c>
      <c r="B10859" t="inlineStr">
        <is>
          <t>x̄DCCCLVIII</t>
        </is>
      </c>
      <c r="C10859">
        <f>ROMAN(10858)</f>
        <v/>
      </c>
      <c r="D10859">
        <f>IF(B10859=C10859, "YES", "WRONG")</f>
        <v/>
      </c>
    </row>
    <row r="10860">
      <c r="A10860" t="n">
        <v>10859</v>
      </c>
      <c r="B10860" t="inlineStr">
        <is>
          <t>x̄DCCCLIX</t>
        </is>
      </c>
      <c r="C10860">
        <f>ROMAN(10859)</f>
        <v/>
      </c>
      <c r="D10860">
        <f>IF(B10860=C10860, "YES", "WRONG")</f>
        <v/>
      </c>
    </row>
    <row r="10861">
      <c r="A10861" t="n">
        <v>10860</v>
      </c>
      <c r="B10861" t="inlineStr">
        <is>
          <t>x̄DCCCLX</t>
        </is>
      </c>
      <c r="C10861">
        <f>ROMAN(10860)</f>
        <v/>
      </c>
      <c r="D10861">
        <f>IF(B10861=C10861, "YES", "WRONG")</f>
        <v/>
      </c>
    </row>
    <row r="10862">
      <c r="A10862" t="n">
        <v>10861</v>
      </c>
      <c r="B10862" t="inlineStr">
        <is>
          <t>x̄DCCCLXI</t>
        </is>
      </c>
      <c r="C10862">
        <f>ROMAN(10861)</f>
        <v/>
      </c>
      <c r="D10862">
        <f>IF(B10862=C10862, "YES", "WRONG")</f>
        <v/>
      </c>
    </row>
    <row r="10863">
      <c r="A10863" t="n">
        <v>10862</v>
      </c>
      <c r="B10863" t="inlineStr">
        <is>
          <t>x̄DCCCLXII</t>
        </is>
      </c>
      <c r="C10863">
        <f>ROMAN(10862)</f>
        <v/>
      </c>
      <c r="D10863">
        <f>IF(B10863=C10863, "YES", "WRONG")</f>
        <v/>
      </c>
    </row>
    <row r="10864">
      <c r="A10864" t="n">
        <v>10863</v>
      </c>
      <c r="B10864" t="inlineStr">
        <is>
          <t>x̄DCCCLXIII</t>
        </is>
      </c>
      <c r="C10864">
        <f>ROMAN(10863)</f>
        <v/>
      </c>
      <c r="D10864">
        <f>IF(B10864=C10864, "YES", "WRONG")</f>
        <v/>
      </c>
    </row>
    <row r="10865">
      <c r="A10865" t="n">
        <v>10864</v>
      </c>
      <c r="B10865" t="inlineStr">
        <is>
          <t>x̄DCCCLXIV</t>
        </is>
      </c>
      <c r="C10865">
        <f>ROMAN(10864)</f>
        <v/>
      </c>
      <c r="D10865">
        <f>IF(B10865=C10865, "YES", "WRONG")</f>
        <v/>
      </c>
    </row>
    <row r="10866">
      <c r="A10866" t="n">
        <v>10865</v>
      </c>
      <c r="B10866" t="inlineStr">
        <is>
          <t>x̄DCCCLXV</t>
        </is>
      </c>
      <c r="C10866">
        <f>ROMAN(10865)</f>
        <v/>
      </c>
      <c r="D10866">
        <f>IF(B10866=C10866, "YES", "WRONG")</f>
        <v/>
      </c>
    </row>
    <row r="10867">
      <c r="A10867" t="n">
        <v>10866</v>
      </c>
      <c r="B10867" t="inlineStr">
        <is>
          <t>x̄DCCCLXVI</t>
        </is>
      </c>
      <c r="C10867">
        <f>ROMAN(10866)</f>
        <v/>
      </c>
      <c r="D10867">
        <f>IF(B10867=C10867, "YES", "WRONG")</f>
        <v/>
      </c>
    </row>
    <row r="10868">
      <c r="A10868" t="n">
        <v>10867</v>
      </c>
      <c r="B10868" t="inlineStr">
        <is>
          <t>x̄DCCCLXVII</t>
        </is>
      </c>
      <c r="C10868">
        <f>ROMAN(10867)</f>
        <v/>
      </c>
      <c r="D10868">
        <f>IF(B10868=C10868, "YES", "WRONG")</f>
        <v/>
      </c>
    </row>
    <row r="10869">
      <c r="A10869" t="n">
        <v>10868</v>
      </c>
      <c r="B10869" t="inlineStr">
        <is>
          <t>x̄DCCCLXVIII</t>
        </is>
      </c>
      <c r="C10869">
        <f>ROMAN(10868)</f>
        <v/>
      </c>
      <c r="D10869">
        <f>IF(B10869=C10869, "YES", "WRONG")</f>
        <v/>
      </c>
    </row>
    <row r="10870">
      <c r="A10870" t="n">
        <v>10869</v>
      </c>
      <c r="B10870" t="inlineStr">
        <is>
          <t>x̄DCCCLXIX</t>
        </is>
      </c>
      <c r="C10870">
        <f>ROMAN(10869)</f>
        <v/>
      </c>
      <c r="D10870">
        <f>IF(B10870=C10870, "YES", "WRONG")</f>
        <v/>
      </c>
    </row>
    <row r="10871">
      <c r="A10871" t="n">
        <v>10870</v>
      </c>
      <c r="B10871" t="inlineStr">
        <is>
          <t>x̄DCCCLXX</t>
        </is>
      </c>
      <c r="C10871">
        <f>ROMAN(10870)</f>
        <v/>
      </c>
      <c r="D10871">
        <f>IF(B10871=C10871, "YES", "WRONG")</f>
        <v/>
      </c>
    </row>
    <row r="10872">
      <c r="A10872" t="n">
        <v>10871</v>
      </c>
      <c r="B10872" t="inlineStr">
        <is>
          <t>x̄DCCCLXXI</t>
        </is>
      </c>
      <c r="C10872">
        <f>ROMAN(10871)</f>
        <v/>
      </c>
      <c r="D10872">
        <f>IF(B10872=C10872, "YES", "WRONG")</f>
        <v/>
      </c>
    </row>
    <row r="10873">
      <c r="A10873" t="n">
        <v>10872</v>
      </c>
      <c r="B10873" t="inlineStr">
        <is>
          <t>x̄DCCCLXXII</t>
        </is>
      </c>
      <c r="C10873">
        <f>ROMAN(10872)</f>
        <v/>
      </c>
      <c r="D10873">
        <f>IF(B10873=C10873, "YES", "WRONG")</f>
        <v/>
      </c>
    </row>
    <row r="10874">
      <c r="A10874" t="n">
        <v>10873</v>
      </c>
      <c r="B10874" t="inlineStr">
        <is>
          <t>x̄DCCCLXXIII</t>
        </is>
      </c>
      <c r="C10874">
        <f>ROMAN(10873)</f>
        <v/>
      </c>
      <c r="D10874">
        <f>IF(B10874=C10874, "YES", "WRONG")</f>
        <v/>
      </c>
    </row>
    <row r="10875">
      <c r="A10875" t="n">
        <v>10874</v>
      </c>
      <c r="B10875" t="inlineStr">
        <is>
          <t>x̄DCCCLXXIV</t>
        </is>
      </c>
      <c r="C10875">
        <f>ROMAN(10874)</f>
        <v/>
      </c>
      <c r="D10875">
        <f>IF(B10875=C10875, "YES", "WRONG")</f>
        <v/>
      </c>
    </row>
    <row r="10876">
      <c r="A10876" t="n">
        <v>10875</v>
      </c>
      <c r="B10876" t="inlineStr">
        <is>
          <t>x̄DCCCLXXV</t>
        </is>
      </c>
      <c r="C10876">
        <f>ROMAN(10875)</f>
        <v/>
      </c>
      <c r="D10876">
        <f>IF(B10876=C10876, "YES", "WRONG")</f>
        <v/>
      </c>
    </row>
    <row r="10877">
      <c r="A10877" t="n">
        <v>10876</v>
      </c>
      <c r="B10877" t="inlineStr">
        <is>
          <t>x̄DCCCLXXVI</t>
        </is>
      </c>
      <c r="C10877">
        <f>ROMAN(10876)</f>
        <v/>
      </c>
      <c r="D10877">
        <f>IF(B10877=C10877, "YES", "WRONG")</f>
        <v/>
      </c>
    </row>
    <row r="10878">
      <c r="A10878" t="n">
        <v>10877</v>
      </c>
      <c r="B10878" t="inlineStr">
        <is>
          <t>x̄DCCCLXXVII</t>
        </is>
      </c>
      <c r="C10878">
        <f>ROMAN(10877)</f>
        <v/>
      </c>
      <c r="D10878">
        <f>IF(B10878=C10878, "YES", "WRONG")</f>
        <v/>
      </c>
    </row>
    <row r="10879">
      <c r="A10879" t="n">
        <v>10878</v>
      </c>
      <c r="B10879" t="inlineStr">
        <is>
          <t>x̄DCCCLXXVIII</t>
        </is>
      </c>
      <c r="C10879">
        <f>ROMAN(10878)</f>
        <v/>
      </c>
      <c r="D10879">
        <f>IF(B10879=C10879, "YES", "WRONG")</f>
        <v/>
      </c>
    </row>
    <row r="10880">
      <c r="A10880" t="n">
        <v>10879</v>
      </c>
      <c r="B10880" t="inlineStr">
        <is>
          <t>x̄DCCCLXXIX</t>
        </is>
      </c>
      <c r="C10880">
        <f>ROMAN(10879)</f>
        <v/>
      </c>
      <c r="D10880">
        <f>IF(B10880=C10880, "YES", "WRONG")</f>
        <v/>
      </c>
    </row>
    <row r="10881">
      <c r="A10881" t="n">
        <v>10880</v>
      </c>
      <c r="B10881" t="inlineStr">
        <is>
          <t>x̄DCCCLXXX</t>
        </is>
      </c>
      <c r="C10881">
        <f>ROMAN(10880)</f>
        <v/>
      </c>
      <c r="D10881">
        <f>IF(B10881=C10881, "YES", "WRONG")</f>
        <v/>
      </c>
    </row>
    <row r="10882">
      <c r="A10882" t="n">
        <v>10881</v>
      </c>
      <c r="B10882" t="inlineStr">
        <is>
          <t>x̄DCCCLXXXI</t>
        </is>
      </c>
      <c r="C10882">
        <f>ROMAN(10881)</f>
        <v/>
      </c>
      <c r="D10882">
        <f>IF(B10882=C10882, "YES", "WRONG")</f>
        <v/>
      </c>
    </row>
    <row r="10883">
      <c r="A10883" t="n">
        <v>10882</v>
      </c>
      <c r="B10883" t="inlineStr">
        <is>
          <t>x̄DCCCLXXXII</t>
        </is>
      </c>
      <c r="C10883">
        <f>ROMAN(10882)</f>
        <v/>
      </c>
      <c r="D10883">
        <f>IF(B10883=C10883, "YES", "WRONG")</f>
        <v/>
      </c>
    </row>
    <row r="10884">
      <c r="A10884" t="n">
        <v>10883</v>
      </c>
      <c r="B10884" t="inlineStr">
        <is>
          <t>x̄DCCCLXXXIII</t>
        </is>
      </c>
      <c r="C10884">
        <f>ROMAN(10883)</f>
        <v/>
      </c>
      <c r="D10884">
        <f>IF(B10884=C10884, "YES", "WRONG")</f>
        <v/>
      </c>
    </row>
    <row r="10885">
      <c r="A10885" t="n">
        <v>10884</v>
      </c>
      <c r="B10885" t="inlineStr">
        <is>
          <t>x̄DCCCLXXXIV</t>
        </is>
      </c>
      <c r="C10885">
        <f>ROMAN(10884)</f>
        <v/>
      </c>
      <c r="D10885">
        <f>IF(B10885=C10885, "YES", "WRONG")</f>
        <v/>
      </c>
    </row>
    <row r="10886">
      <c r="A10886" t="n">
        <v>10885</v>
      </c>
      <c r="B10886" t="inlineStr">
        <is>
          <t>x̄DCCCLXXXV</t>
        </is>
      </c>
      <c r="C10886">
        <f>ROMAN(10885)</f>
        <v/>
      </c>
      <c r="D10886">
        <f>IF(B10886=C10886, "YES", "WRONG")</f>
        <v/>
      </c>
    </row>
    <row r="10887">
      <c r="A10887" t="n">
        <v>10886</v>
      </c>
      <c r="B10887" t="inlineStr">
        <is>
          <t>x̄DCCCLXXXVI</t>
        </is>
      </c>
      <c r="C10887">
        <f>ROMAN(10886)</f>
        <v/>
      </c>
      <c r="D10887">
        <f>IF(B10887=C10887, "YES", "WRONG")</f>
        <v/>
      </c>
    </row>
    <row r="10888">
      <c r="A10888" t="n">
        <v>10887</v>
      </c>
      <c r="B10888" t="inlineStr">
        <is>
          <t>x̄DCCCLXXXVII</t>
        </is>
      </c>
      <c r="C10888">
        <f>ROMAN(10887)</f>
        <v/>
      </c>
      <c r="D10888">
        <f>IF(B10888=C10888, "YES", "WRONG")</f>
        <v/>
      </c>
    </row>
    <row r="10889">
      <c r="A10889" t="n">
        <v>10888</v>
      </c>
      <c r="B10889" t="inlineStr">
        <is>
          <t>x̄DCCCLXXXVIII</t>
        </is>
      </c>
      <c r="C10889">
        <f>ROMAN(10888)</f>
        <v/>
      </c>
      <c r="D10889">
        <f>IF(B10889=C10889, "YES", "WRONG")</f>
        <v/>
      </c>
    </row>
    <row r="10890">
      <c r="A10890" t="n">
        <v>10889</v>
      </c>
      <c r="B10890" t="inlineStr">
        <is>
          <t>x̄DCCCLXXXIX</t>
        </is>
      </c>
      <c r="C10890">
        <f>ROMAN(10889)</f>
        <v/>
      </c>
      <c r="D10890">
        <f>IF(B10890=C10890, "YES", "WRONG")</f>
        <v/>
      </c>
    </row>
    <row r="10891">
      <c r="A10891" t="n">
        <v>10890</v>
      </c>
      <c r="B10891" t="inlineStr">
        <is>
          <t>x̄DCCCXC</t>
        </is>
      </c>
      <c r="C10891">
        <f>ROMAN(10890)</f>
        <v/>
      </c>
      <c r="D10891">
        <f>IF(B10891=C10891, "YES", "WRONG")</f>
        <v/>
      </c>
    </row>
    <row r="10892">
      <c r="A10892" t="n">
        <v>10891</v>
      </c>
      <c r="B10892" t="inlineStr">
        <is>
          <t>x̄DCCCXCI</t>
        </is>
      </c>
      <c r="C10892">
        <f>ROMAN(10891)</f>
        <v/>
      </c>
      <c r="D10892">
        <f>IF(B10892=C10892, "YES", "WRONG")</f>
        <v/>
      </c>
    </row>
    <row r="10893">
      <c r="A10893" t="n">
        <v>10892</v>
      </c>
      <c r="B10893" t="inlineStr">
        <is>
          <t>x̄DCCCXCII</t>
        </is>
      </c>
      <c r="C10893">
        <f>ROMAN(10892)</f>
        <v/>
      </c>
      <c r="D10893">
        <f>IF(B10893=C10893, "YES", "WRONG")</f>
        <v/>
      </c>
    </row>
    <row r="10894">
      <c r="A10894" t="n">
        <v>10893</v>
      </c>
      <c r="B10894" t="inlineStr">
        <is>
          <t>x̄DCCCXCIII</t>
        </is>
      </c>
      <c r="C10894">
        <f>ROMAN(10893)</f>
        <v/>
      </c>
      <c r="D10894">
        <f>IF(B10894=C10894, "YES", "WRONG")</f>
        <v/>
      </c>
    </row>
    <row r="10895">
      <c r="A10895" t="n">
        <v>10894</v>
      </c>
      <c r="B10895" t="inlineStr">
        <is>
          <t>x̄DCCCXCIV</t>
        </is>
      </c>
      <c r="C10895">
        <f>ROMAN(10894)</f>
        <v/>
      </c>
      <c r="D10895">
        <f>IF(B10895=C10895, "YES", "WRONG")</f>
        <v/>
      </c>
    </row>
    <row r="10896">
      <c r="A10896" t="n">
        <v>10895</v>
      </c>
      <c r="B10896" t="inlineStr">
        <is>
          <t>x̄DCCCXCV</t>
        </is>
      </c>
      <c r="C10896">
        <f>ROMAN(10895)</f>
        <v/>
      </c>
      <c r="D10896">
        <f>IF(B10896=C10896, "YES", "WRONG")</f>
        <v/>
      </c>
    </row>
    <row r="10897">
      <c r="A10897" t="n">
        <v>10896</v>
      </c>
      <c r="B10897" t="inlineStr">
        <is>
          <t>x̄DCCCXCVI</t>
        </is>
      </c>
      <c r="C10897">
        <f>ROMAN(10896)</f>
        <v/>
      </c>
      <c r="D10897">
        <f>IF(B10897=C10897, "YES", "WRONG")</f>
        <v/>
      </c>
    </row>
    <row r="10898">
      <c r="A10898" t="n">
        <v>10897</v>
      </c>
      <c r="B10898" t="inlineStr">
        <is>
          <t>x̄DCCCXCVII</t>
        </is>
      </c>
      <c r="C10898">
        <f>ROMAN(10897)</f>
        <v/>
      </c>
      <c r="D10898">
        <f>IF(B10898=C10898, "YES", "WRONG")</f>
        <v/>
      </c>
    </row>
    <row r="10899">
      <c r="A10899" t="n">
        <v>10898</v>
      </c>
      <c r="B10899" t="inlineStr">
        <is>
          <t>x̄DCCCXCVIII</t>
        </is>
      </c>
      <c r="C10899">
        <f>ROMAN(10898)</f>
        <v/>
      </c>
      <c r="D10899">
        <f>IF(B10899=C10899, "YES", "WRONG")</f>
        <v/>
      </c>
    </row>
    <row r="10900">
      <c r="A10900" t="n">
        <v>10899</v>
      </c>
      <c r="B10900" t="inlineStr">
        <is>
          <t>x̄DCCCXCIX</t>
        </is>
      </c>
      <c r="C10900">
        <f>ROMAN(10899)</f>
        <v/>
      </c>
      <c r="D10900">
        <f>IF(B10900=C10900, "YES", "WRONG")</f>
        <v/>
      </c>
    </row>
    <row r="10901">
      <c r="A10901" t="n">
        <v>10900</v>
      </c>
      <c r="B10901" t="inlineStr">
        <is>
          <t>x̄CM</t>
        </is>
      </c>
      <c r="C10901">
        <f>ROMAN(10900)</f>
        <v/>
      </c>
      <c r="D10901">
        <f>IF(B10901=C10901, "YES", "WRONG")</f>
        <v/>
      </c>
    </row>
    <row r="10902">
      <c r="A10902" t="n">
        <v>10901</v>
      </c>
      <c r="B10902" t="inlineStr">
        <is>
          <t>x̄CMI</t>
        </is>
      </c>
      <c r="C10902">
        <f>ROMAN(10901)</f>
        <v/>
      </c>
      <c r="D10902">
        <f>IF(B10902=C10902, "YES", "WRONG")</f>
        <v/>
      </c>
    </row>
    <row r="10903">
      <c r="A10903" t="n">
        <v>10902</v>
      </c>
      <c r="B10903" t="inlineStr">
        <is>
          <t>x̄CMII</t>
        </is>
      </c>
      <c r="C10903">
        <f>ROMAN(10902)</f>
        <v/>
      </c>
      <c r="D10903">
        <f>IF(B10903=C10903, "YES", "WRONG")</f>
        <v/>
      </c>
    </row>
    <row r="10904">
      <c r="A10904" t="n">
        <v>10903</v>
      </c>
      <c r="B10904" t="inlineStr">
        <is>
          <t>x̄CMIII</t>
        </is>
      </c>
      <c r="C10904">
        <f>ROMAN(10903)</f>
        <v/>
      </c>
      <c r="D10904">
        <f>IF(B10904=C10904, "YES", "WRONG")</f>
        <v/>
      </c>
    </row>
    <row r="10905">
      <c r="A10905" t="n">
        <v>10904</v>
      </c>
      <c r="B10905" t="inlineStr">
        <is>
          <t>x̄CMIV</t>
        </is>
      </c>
      <c r="C10905">
        <f>ROMAN(10904)</f>
        <v/>
      </c>
      <c r="D10905">
        <f>IF(B10905=C10905, "YES", "WRONG")</f>
        <v/>
      </c>
    </row>
    <row r="10906">
      <c r="A10906" t="n">
        <v>10905</v>
      </c>
      <c r="B10906" t="inlineStr">
        <is>
          <t>x̄CMV</t>
        </is>
      </c>
      <c r="C10906">
        <f>ROMAN(10905)</f>
        <v/>
      </c>
      <c r="D10906">
        <f>IF(B10906=C10906, "YES", "WRONG")</f>
        <v/>
      </c>
    </row>
    <row r="10907">
      <c r="A10907" t="n">
        <v>10906</v>
      </c>
      <c r="B10907" t="inlineStr">
        <is>
          <t>x̄CMVI</t>
        </is>
      </c>
      <c r="C10907">
        <f>ROMAN(10906)</f>
        <v/>
      </c>
      <c r="D10907">
        <f>IF(B10907=C10907, "YES", "WRONG")</f>
        <v/>
      </c>
    </row>
    <row r="10908">
      <c r="A10908" t="n">
        <v>10907</v>
      </c>
      <c r="B10908" t="inlineStr">
        <is>
          <t>x̄CMVII</t>
        </is>
      </c>
      <c r="C10908">
        <f>ROMAN(10907)</f>
        <v/>
      </c>
      <c r="D10908">
        <f>IF(B10908=C10908, "YES", "WRONG")</f>
        <v/>
      </c>
    </row>
    <row r="10909">
      <c r="A10909" t="n">
        <v>10908</v>
      </c>
      <c r="B10909" t="inlineStr">
        <is>
          <t>x̄CMVIII</t>
        </is>
      </c>
      <c r="C10909">
        <f>ROMAN(10908)</f>
        <v/>
      </c>
      <c r="D10909">
        <f>IF(B10909=C10909, "YES", "WRONG")</f>
        <v/>
      </c>
    </row>
    <row r="10910">
      <c r="A10910" t="n">
        <v>10909</v>
      </c>
      <c r="B10910" t="inlineStr">
        <is>
          <t>x̄CMIX</t>
        </is>
      </c>
      <c r="C10910">
        <f>ROMAN(10909)</f>
        <v/>
      </c>
      <c r="D10910">
        <f>IF(B10910=C10910, "YES", "WRONG")</f>
        <v/>
      </c>
    </row>
    <row r="10911">
      <c r="A10911" t="n">
        <v>10910</v>
      </c>
      <c r="B10911" t="inlineStr">
        <is>
          <t>x̄CMX</t>
        </is>
      </c>
      <c r="C10911">
        <f>ROMAN(10910)</f>
        <v/>
      </c>
      <c r="D10911">
        <f>IF(B10911=C10911, "YES", "WRONG")</f>
        <v/>
      </c>
    </row>
    <row r="10912">
      <c r="A10912" t="n">
        <v>10911</v>
      </c>
      <c r="B10912" t="inlineStr">
        <is>
          <t>x̄CMXI</t>
        </is>
      </c>
      <c r="C10912">
        <f>ROMAN(10911)</f>
        <v/>
      </c>
      <c r="D10912">
        <f>IF(B10912=C10912, "YES", "WRONG")</f>
        <v/>
      </c>
    </row>
    <row r="10913">
      <c r="A10913" t="n">
        <v>10912</v>
      </c>
      <c r="B10913" t="inlineStr">
        <is>
          <t>x̄CMXII</t>
        </is>
      </c>
      <c r="C10913">
        <f>ROMAN(10912)</f>
        <v/>
      </c>
      <c r="D10913">
        <f>IF(B10913=C10913, "YES", "WRONG")</f>
        <v/>
      </c>
    </row>
    <row r="10914">
      <c r="A10914" t="n">
        <v>10913</v>
      </c>
      <c r="B10914" t="inlineStr">
        <is>
          <t>x̄CMXIII</t>
        </is>
      </c>
      <c r="C10914">
        <f>ROMAN(10913)</f>
        <v/>
      </c>
      <c r="D10914">
        <f>IF(B10914=C10914, "YES", "WRONG")</f>
        <v/>
      </c>
    </row>
    <row r="10915">
      <c r="A10915" t="n">
        <v>10914</v>
      </c>
      <c r="B10915" t="inlineStr">
        <is>
          <t>x̄CMXIV</t>
        </is>
      </c>
      <c r="C10915">
        <f>ROMAN(10914)</f>
        <v/>
      </c>
      <c r="D10915">
        <f>IF(B10915=C10915, "YES", "WRONG")</f>
        <v/>
      </c>
    </row>
    <row r="10916">
      <c r="A10916" t="n">
        <v>10915</v>
      </c>
      <c r="B10916" t="inlineStr">
        <is>
          <t>x̄CMXV</t>
        </is>
      </c>
      <c r="C10916">
        <f>ROMAN(10915)</f>
        <v/>
      </c>
      <c r="D10916">
        <f>IF(B10916=C10916, "YES", "WRONG")</f>
        <v/>
      </c>
    </row>
    <row r="10917">
      <c r="A10917" t="n">
        <v>10916</v>
      </c>
      <c r="B10917" t="inlineStr">
        <is>
          <t>x̄CMXVI</t>
        </is>
      </c>
      <c r="C10917">
        <f>ROMAN(10916)</f>
        <v/>
      </c>
      <c r="D10917">
        <f>IF(B10917=C10917, "YES", "WRONG")</f>
        <v/>
      </c>
    </row>
    <row r="10918">
      <c r="A10918" t="n">
        <v>10917</v>
      </c>
      <c r="B10918" t="inlineStr">
        <is>
          <t>x̄CMXVII</t>
        </is>
      </c>
      <c r="C10918">
        <f>ROMAN(10917)</f>
        <v/>
      </c>
      <c r="D10918">
        <f>IF(B10918=C10918, "YES", "WRONG")</f>
        <v/>
      </c>
    </row>
    <row r="10919">
      <c r="A10919" t="n">
        <v>10918</v>
      </c>
      <c r="B10919" t="inlineStr">
        <is>
          <t>x̄CMXVIII</t>
        </is>
      </c>
      <c r="C10919">
        <f>ROMAN(10918)</f>
        <v/>
      </c>
      <c r="D10919">
        <f>IF(B10919=C10919, "YES", "WRONG")</f>
        <v/>
      </c>
    </row>
    <row r="10920">
      <c r="A10920" t="n">
        <v>10919</v>
      </c>
      <c r="B10920" t="inlineStr">
        <is>
          <t>x̄CMXIX</t>
        </is>
      </c>
      <c r="C10920">
        <f>ROMAN(10919)</f>
        <v/>
      </c>
      <c r="D10920">
        <f>IF(B10920=C10920, "YES", "WRONG")</f>
        <v/>
      </c>
    </row>
    <row r="10921">
      <c r="A10921" t="n">
        <v>10920</v>
      </c>
      <c r="B10921" t="inlineStr">
        <is>
          <t>x̄CMXX</t>
        </is>
      </c>
      <c r="C10921">
        <f>ROMAN(10920)</f>
        <v/>
      </c>
      <c r="D10921">
        <f>IF(B10921=C10921, "YES", "WRONG")</f>
        <v/>
      </c>
    </row>
    <row r="10922">
      <c r="A10922" t="n">
        <v>10921</v>
      </c>
      <c r="B10922" t="inlineStr">
        <is>
          <t>x̄CMXXI</t>
        </is>
      </c>
      <c r="C10922">
        <f>ROMAN(10921)</f>
        <v/>
      </c>
      <c r="D10922">
        <f>IF(B10922=C10922, "YES", "WRONG")</f>
        <v/>
      </c>
    </row>
    <row r="10923">
      <c r="A10923" t="n">
        <v>10922</v>
      </c>
      <c r="B10923" t="inlineStr">
        <is>
          <t>x̄CMXXII</t>
        </is>
      </c>
      <c r="C10923">
        <f>ROMAN(10922)</f>
        <v/>
      </c>
      <c r="D10923">
        <f>IF(B10923=C10923, "YES", "WRONG")</f>
        <v/>
      </c>
    </row>
    <row r="10924">
      <c r="A10924" t="n">
        <v>10923</v>
      </c>
      <c r="B10924" t="inlineStr">
        <is>
          <t>x̄CMXXIII</t>
        </is>
      </c>
      <c r="C10924">
        <f>ROMAN(10923)</f>
        <v/>
      </c>
      <c r="D10924">
        <f>IF(B10924=C10924, "YES", "WRONG")</f>
        <v/>
      </c>
    </row>
    <row r="10925">
      <c r="A10925" t="n">
        <v>10924</v>
      </c>
      <c r="B10925" t="inlineStr">
        <is>
          <t>x̄CMXXIV</t>
        </is>
      </c>
      <c r="C10925">
        <f>ROMAN(10924)</f>
        <v/>
      </c>
      <c r="D10925">
        <f>IF(B10925=C10925, "YES", "WRONG")</f>
        <v/>
      </c>
    </row>
    <row r="10926">
      <c r="A10926" t="n">
        <v>10925</v>
      </c>
      <c r="B10926" t="inlineStr">
        <is>
          <t>x̄CMXXV</t>
        </is>
      </c>
      <c r="C10926">
        <f>ROMAN(10925)</f>
        <v/>
      </c>
      <c r="D10926">
        <f>IF(B10926=C10926, "YES", "WRONG")</f>
        <v/>
      </c>
    </row>
    <row r="10927">
      <c r="A10927" t="n">
        <v>10926</v>
      </c>
      <c r="B10927" t="inlineStr">
        <is>
          <t>x̄CMXXVI</t>
        </is>
      </c>
      <c r="C10927">
        <f>ROMAN(10926)</f>
        <v/>
      </c>
      <c r="D10927">
        <f>IF(B10927=C10927, "YES", "WRONG")</f>
        <v/>
      </c>
    </row>
    <row r="10928">
      <c r="A10928" t="n">
        <v>10927</v>
      </c>
      <c r="B10928" t="inlineStr">
        <is>
          <t>x̄CMXXVII</t>
        </is>
      </c>
      <c r="C10928">
        <f>ROMAN(10927)</f>
        <v/>
      </c>
      <c r="D10928">
        <f>IF(B10928=C10928, "YES", "WRONG")</f>
        <v/>
      </c>
    </row>
    <row r="10929">
      <c r="A10929" t="n">
        <v>10928</v>
      </c>
      <c r="B10929" t="inlineStr">
        <is>
          <t>x̄CMXXVIII</t>
        </is>
      </c>
      <c r="C10929">
        <f>ROMAN(10928)</f>
        <v/>
      </c>
      <c r="D10929">
        <f>IF(B10929=C10929, "YES", "WRONG")</f>
        <v/>
      </c>
    </row>
    <row r="10930">
      <c r="A10930" t="n">
        <v>10929</v>
      </c>
      <c r="B10930" t="inlineStr">
        <is>
          <t>x̄CMXXIX</t>
        </is>
      </c>
      <c r="C10930">
        <f>ROMAN(10929)</f>
        <v/>
      </c>
      <c r="D10930">
        <f>IF(B10930=C10930, "YES", "WRONG")</f>
        <v/>
      </c>
    </row>
    <row r="10931">
      <c r="A10931" t="n">
        <v>10930</v>
      </c>
      <c r="B10931" t="inlineStr">
        <is>
          <t>x̄CMXXX</t>
        </is>
      </c>
      <c r="C10931">
        <f>ROMAN(10930)</f>
        <v/>
      </c>
      <c r="D10931">
        <f>IF(B10931=C10931, "YES", "WRONG")</f>
        <v/>
      </c>
    </row>
    <row r="10932">
      <c r="A10932" t="n">
        <v>10931</v>
      </c>
      <c r="B10932" t="inlineStr">
        <is>
          <t>x̄CMXXXI</t>
        </is>
      </c>
      <c r="C10932">
        <f>ROMAN(10931)</f>
        <v/>
      </c>
      <c r="D10932">
        <f>IF(B10932=C10932, "YES", "WRONG")</f>
        <v/>
      </c>
    </row>
    <row r="10933">
      <c r="A10933" t="n">
        <v>10932</v>
      </c>
      <c r="B10933" t="inlineStr">
        <is>
          <t>x̄CMXXXII</t>
        </is>
      </c>
      <c r="C10933">
        <f>ROMAN(10932)</f>
        <v/>
      </c>
      <c r="D10933">
        <f>IF(B10933=C10933, "YES", "WRONG")</f>
        <v/>
      </c>
    </row>
    <row r="10934">
      <c r="A10934" t="n">
        <v>10933</v>
      </c>
      <c r="B10934" t="inlineStr">
        <is>
          <t>x̄CMXXXIII</t>
        </is>
      </c>
      <c r="C10934">
        <f>ROMAN(10933)</f>
        <v/>
      </c>
      <c r="D10934">
        <f>IF(B10934=C10934, "YES", "WRONG")</f>
        <v/>
      </c>
    </row>
    <row r="10935">
      <c r="A10935" t="n">
        <v>10934</v>
      </c>
      <c r="B10935" t="inlineStr">
        <is>
          <t>x̄CMXXXIV</t>
        </is>
      </c>
      <c r="C10935">
        <f>ROMAN(10934)</f>
        <v/>
      </c>
      <c r="D10935">
        <f>IF(B10935=C10935, "YES", "WRONG")</f>
        <v/>
      </c>
    </row>
    <row r="10936">
      <c r="A10936" t="n">
        <v>10935</v>
      </c>
      <c r="B10936" t="inlineStr">
        <is>
          <t>x̄CMXXXV</t>
        </is>
      </c>
      <c r="C10936">
        <f>ROMAN(10935)</f>
        <v/>
      </c>
      <c r="D10936">
        <f>IF(B10936=C10936, "YES", "WRONG")</f>
        <v/>
      </c>
    </row>
    <row r="10937">
      <c r="A10937" t="n">
        <v>10936</v>
      </c>
      <c r="B10937" t="inlineStr">
        <is>
          <t>x̄CMXXXVI</t>
        </is>
      </c>
      <c r="C10937">
        <f>ROMAN(10936)</f>
        <v/>
      </c>
      <c r="D10937">
        <f>IF(B10937=C10937, "YES", "WRONG")</f>
        <v/>
      </c>
    </row>
    <row r="10938">
      <c r="A10938" t="n">
        <v>10937</v>
      </c>
      <c r="B10938" t="inlineStr">
        <is>
          <t>x̄CMXXXVII</t>
        </is>
      </c>
      <c r="C10938">
        <f>ROMAN(10937)</f>
        <v/>
      </c>
      <c r="D10938">
        <f>IF(B10938=C10938, "YES", "WRONG")</f>
        <v/>
      </c>
    </row>
    <row r="10939">
      <c r="A10939" t="n">
        <v>10938</v>
      </c>
      <c r="B10939" t="inlineStr">
        <is>
          <t>x̄CMXXXVIII</t>
        </is>
      </c>
      <c r="C10939">
        <f>ROMAN(10938)</f>
        <v/>
      </c>
      <c r="D10939">
        <f>IF(B10939=C10939, "YES", "WRONG")</f>
        <v/>
      </c>
    </row>
    <row r="10940">
      <c r="A10940" t="n">
        <v>10939</v>
      </c>
      <c r="B10940" t="inlineStr">
        <is>
          <t>x̄CMXXXIX</t>
        </is>
      </c>
      <c r="C10940">
        <f>ROMAN(10939)</f>
        <v/>
      </c>
      <c r="D10940">
        <f>IF(B10940=C10940, "YES", "WRONG")</f>
        <v/>
      </c>
    </row>
    <row r="10941">
      <c r="A10941" t="n">
        <v>10940</v>
      </c>
      <c r="B10941" t="inlineStr">
        <is>
          <t>x̄CMXL</t>
        </is>
      </c>
      <c r="C10941">
        <f>ROMAN(10940)</f>
        <v/>
      </c>
      <c r="D10941">
        <f>IF(B10941=C10941, "YES", "WRONG")</f>
        <v/>
      </c>
    </row>
    <row r="10942">
      <c r="A10942" t="n">
        <v>10941</v>
      </c>
      <c r="B10942" t="inlineStr">
        <is>
          <t>x̄CMXLI</t>
        </is>
      </c>
      <c r="C10942">
        <f>ROMAN(10941)</f>
        <v/>
      </c>
      <c r="D10942">
        <f>IF(B10942=C10942, "YES", "WRONG")</f>
        <v/>
      </c>
    </row>
    <row r="10943">
      <c r="A10943" t="n">
        <v>10942</v>
      </c>
      <c r="B10943" t="inlineStr">
        <is>
          <t>x̄CMXLII</t>
        </is>
      </c>
      <c r="C10943">
        <f>ROMAN(10942)</f>
        <v/>
      </c>
      <c r="D10943">
        <f>IF(B10943=C10943, "YES", "WRONG")</f>
        <v/>
      </c>
    </row>
    <row r="10944">
      <c r="A10944" t="n">
        <v>10943</v>
      </c>
      <c r="B10944" t="inlineStr">
        <is>
          <t>x̄CMXLIII</t>
        </is>
      </c>
      <c r="C10944">
        <f>ROMAN(10943)</f>
        <v/>
      </c>
      <c r="D10944">
        <f>IF(B10944=C10944, "YES", "WRONG")</f>
        <v/>
      </c>
    </row>
    <row r="10945">
      <c r="A10945" t="n">
        <v>10944</v>
      </c>
      <c r="B10945" t="inlineStr">
        <is>
          <t>x̄CMXLIV</t>
        </is>
      </c>
      <c r="C10945">
        <f>ROMAN(10944)</f>
        <v/>
      </c>
      <c r="D10945">
        <f>IF(B10945=C10945, "YES", "WRONG")</f>
        <v/>
      </c>
    </row>
    <row r="10946">
      <c r="A10946" t="n">
        <v>10945</v>
      </c>
      <c r="B10946" t="inlineStr">
        <is>
          <t>x̄CMXLV</t>
        </is>
      </c>
      <c r="C10946">
        <f>ROMAN(10945)</f>
        <v/>
      </c>
      <c r="D10946">
        <f>IF(B10946=C10946, "YES", "WRONG")</f>
        <v/>
      </c>
    </row>
    <row r="10947">
      <c r="A10947" t="n">
        <v>10946</v>
      </c>
      <c r="B10947" t="inlineStr">
        <is>
          <t>x̄CMXLVI</t>
        </is>
      </c>
      <c r="C10947">
        <f>ROMAN(10946)</f>
        <v/>
      </c>
      <c r="D10947">
        <f>IF(B10947=C10947, "YES", "WRONG")</f>
        <v/>
      </c>
    </row>
    <row r="10948">
      <c r="A10948" t="n">
        <v>10947</v>
      </c>
      <c r="B10948" t="inlineStr">
        <is>
          <t>x̄CMXLVII</t>
        </is>
      </c>
      <c r="C10948">
        <f>ROMAN(10947)</f>
        <v/>
      </c>
      <c r="D10948">
        <f>IF(B10948=C10948, "YES", "WRONG")</f>
        <v/>
      </c>
    </row>
    <row r="10949">
      <c r="A10949" t="n">
        <v>10948</v>
      </c>
      <c r="B10949" t="inlineStr">
        <is>
          <t>x̄CMXLVIII</t>
        </is>
      </c>
      <c r="C10949">
        <f>ROMAN(10948)</f>
        <v/>
      </c>
      <c r="D10949">
        <f>IF(B10949=C10949, "YES", "WRONG")</f>
        <v/>
      </c>
    </row>
    <row r="10950">
      <c r="A10950" t="n">
        <v>10949</v>
      </c>
      <c r="B10950" t="inlineStr">
        <is>
          <t>x̄CMXLIX</t>
        </is>
      </c>
      <c r="C10950">
        <f>ROMAN(10949)</f>
        <v/>
      </c>
      <c r="D10950">
        <f>IF(B10950=C10950, "YES", "WRONG")</f>
        <v/>
      </c>
    </row>
    <row r="10951">
      <c r="A10951" t="n">
        <v>10950</v>
      </c>
      <c r="B10951" t="inlineStr">
        <is>
          <t>x̄CML</t>
        </is>
      </c>
      <c r="C10951">
        <f>ROMAN(10950)</f>
        <v/>
      </c>
      <c r="D10951">
        <f>IF(B10951=C10951, "YES", "WRONG")</f>
        <v/>
      </c>
    </row>
    <row r="10952">
      <c r="A10952" t="n">
        <v>10951</v>
      </c>
      <c r="B10952" t="inlineStr">
        <is>
          <t>x̄CMLI</t>
        </is>
      </c>
      <c r="C10952">
        <f>ROMAN(10951)</f>
        <v/>
      </c>
      <c r="D10952">
        <f>IF(B10952=C10952, "YES", "WRONG")</f>
        <v/>
      </c>
    </row>
    <row r="10953">
      <c r="A10953" t="n">
        <v>10952</v>
      </c>
      <c r="B10953" t="inlineStr">
        <is>
          <t>x̄CMLII</t>
        </is>
      </c>
      <c r="C10953">
        <f>ROMAN(10952)</f>
        <v/>
      </c>
      <c r="D10953">
        <f>IF(B10953=C10953, "YES", "WRONG")</f>
        <v/>
      </c>
    </row>
    <row r="10954">
      <c r="A10954" t="n">
        <v>10953</v>
      </c>
      <c r="B10954" t="inlineStr">
        <is>
          <t>x̄CMLIII</t>
        </is>
      </c>
      <c r="C10954">
        <f>ROMAN(10953)</f>
        <v/>
      </c>
      <c r="D10954">
        <f>IF(B10954=C10954, "YES", "WRONG")</f>
        <v/>
      </c>
    </row>
    <row r="10955">
      <c r="A10955" t="n">
        <v>10954</v>
      </c>
      <c r="B10955" t="inlineStr">
        <is>
          <t>x̄CMLIV</t>
        </is>
      </c>
      <c r="C10955">
        <f>ROMAN(10954)</f>
        <v/>
      </c>
      <c r="D10955">
        <f>IF(B10955=C10955, "YES", "WRONG")</f>
        <v/>
      </c>
    </row>
    <row r="10956">
      <c r="A10956" t="n">
        <v>10955</v>
      </c>
      <c r="B10956" t="inlineStr">
        <is>
          <t>x̄CMLV</t>
        </is>
      </c>
      <c r="C10956">
        <f>ROMAN(10955)</f>
        <v/>
      </c>
      <c r="D10956">
        <f>IF(B10956=C10956, "YES", "WRONG")</f>
        <v/>
      </c>
    </row>
    <row r="10957">
      <c r="A10957" t="n">
        <v>10956</v>
      </c>
      <c r="B10957" t="inlineStr">
        <is>
          <t>x̄CMLVI</t>
        </is>
      </c>
      <c r="C10957">
        <f>ROMAN(10956)</f>
        <v/>
      </c>
      <c r="D10957">
        <f>IF(B10957=C10957, "YES", "WRONG")</f>
        <v/>
      </c>
    </row>
    <row r="10958">
      <c r="A10958" t="n">
        <v>10957</v>
      </c>
      <c r="B10958" t="inlineStr">
        <is>
          <t>x̄CMLVII</t>
        </is>
      </c>
      <c r="C10958">
        <f>ROMAN(10957)</f>
        <v/>
      </c>
      <c r="D10958">
        <f>IF(B10958=C10958, "YES", "WRONG")</f>
        <v/>
      </c>
    </row>
    <row r="10959">
      <c r="A10959" t="n">
        <v>10958</v>
      </c>
      <c r="B10959" t="inlineStr">
        <is>
          <t>x̄CMLVIII</t>
        </is>
      </c>
      <c r="C10959">
        <f>ROMAN(10958)</f>
        <v/>
      </c>
      <c r="D10959">
        <f>IF(B10959=C10959, "YES", "WRONG")</f>
        <v/>
      </c>
    </row>
    <row r="10960">
      <c r="A10960" t="n">
        <v>10959</v>
      </c>
      <c r="B10960" t="inlineStr">
        <is>
          <t>x̄CMLIX</t>
        </is>
      </c>
      <c r="C10960">
        <f>ROMAN(10959)</f>
        <v/>
      </c>
      <c r="D10960">
        <f>IF(B10960=C10960, "YES", "WRONG")</f>
        <v/>
      </c>
    </row>
    <row r="10961">
      <c r="A10961" t="n">
        <v>10960</v>
      </c>
      <c r="B10961" t="inlineStr">
        <is>
          <t>x̄CMLX</t>
        </is>
      </c>
      <c r="C10961">
        <f>ROMAN(10960)</f>
        <v/>
      </c>
      <c r="D10961">
        <f>IF(B10961=C10961, "YES", "WRONG")</f>
        <v/>
      </c>
    </row>
    <row r="10962">
      <c r="A10962" t="n">
        <v>10961</v>
      </c>
      <c r="B10962" t="inlineStr">
        <is>
          <t>x̄CMLXI</t>
        </is>
      </c>
      <c r="C10962">
        <f>ROMAN(10961)</f>
        <v/>
      </c>
      <c r="D10962">
        <f>IF(B10962=C10962, "YES", "WRONG")</f>
        <v/>
      </c>
    </row>
    <row r="10963">
      <c r="A10963" t="n">
        <v>10962</v>
      </c>
      <c r="B10963" t="inlineStr">
        <is>
          <t>x̄CMLXII</t>
        </is>
      </c>
      <c r="C10963">
        <f>ROMAN(10962)</f>
        <v/>
      </c>
      <c r="D10963">
        <f>IF(B10963=C10963, "YES", "WRONG")</f>
        <v/>
      </c>
    </row>
    <row r="10964">
      <c r="A10964" t="n">
        <v>10963</v>
      </c>
      <c r="B10964" t="inlineStr">
        <is>
          <t>x̄CMLXIII</t>
        </is>
      </c>
      <c r="C10964">
        <f>ROMAN(10963)</f>
        <v/>
      </c>
      <c r="D10964">
        <f>IF(B10964=C10964, "YES", "WRONG")</f>
        <v/>
      </c>
    </row>
    <row r="10965">
      <c r="A10965" t="n">
        <v>10964</v>
      </c>
      <c r="B10965" t="inlineStr">
        <is>
          <t>x̄CMLXIV</t>
        </is>
      </c>
      <c r="C10965">
        <f>ROMAN(10964)</f>
        <v/>
      </c>
      <c r="D10965">
        <f>IF(B10965=C10965, "YES", "WRONG")</f>
        <v/>
      </c>
    </row>
    <row r="10966">
      <c r="A10966" t="n">
        <v>10965</v>
      </c>
      <c r="B10966" t="inlineStr">
        <is>
          <t>x̄CMLXV</t>
        </is>
      </c>
      <c r="C10966">
        <f>ROMAN(10965)</f>
        <v/>
      </c>
      <c r="D10966">
        <f>IF(B10966=C10966, "YES", "WRONG")</f>
        <v/>
      </c>
    </row>
    <row r="10967">
      <c r="A10967" t="n">
        <v>10966</v>
      </c>
      <c r="B10967" t="inlineStr">
        <is>
          <t>x̄CMLXVI</t>
        </is>
      </c>
      <c r="C10967">
        <f>ROMAN(10966)</f>
        <v/>
      </c>
      <c r="D10967">
        <f>IF(B10967=C10967, "YES", "WRONG")</f>
        <v/>
      </c>
    </row>
    <row r="10968">
      <c r="A10968" t="n">
        <v>10967</v>
      </c>
      <c r="B10968" t="inlineStr">
        <is>
          <t>x̄CMLXVII</t>
        </is>
      </c>
      <c r="C10968">
        <f>ROMAN(10967)</f>
        <v/>
      </c>
      <c r="D10968">
        <f>IF(B10968=C10968, "YES", "WRONG")</f>
        <v/>
      </c>
    </row>
    <row r="10969">
      <c r="A10969" t="n">
        <v>10968</v>
      </c>
      <c r="B10969" t="inlineStr">
        <is>
          <t>x̄CMLXVIII</t>
        </is>
      </c>
      <c r="C10969">
        <f>ROMAN(10968)</f>
        <v/>
      </c>
      <c r="D10969">
        <f>IF(B10969=C10969, "YES", "WRONG")</f>
        <v/>
      </c>
    </row>
    <row r="10970">
      <c r="A10970" t="n">
        <v>10969</v>
      </c>
      <c r="B10970" t="inlineStr">
        <is>
          <t>x̄CMLXIX</t>
        </is>
      </c>
      <c r="C10970">
        <f>ROMAN(10969)</f>
        <v/>
      </c>
      <c r="D10970">
        <f>IF(B10970=C10970, "YES", "WRONG")</f>
        <v/>
      </c>
    </row>
    <row r="10971">
      <c r="A10971" t="n">
        <v>10970</v>
      </c>
      <c r="B10971" t="inlineStr">
        <is>
          <t>x̄CMLXX</t>
        </is>
      </c>
      <c r="C10971">
        <f>ROMAN(10970)</f>
        <v/>
      </c>
      <c r="D10971">
        <f>IF(B10971=C10971, "YES", "WRONG")</f>
        <v/>
      </c>
    </row>
    <row r="10972">
      <c r="A10972" t="n">
        <v>10971</v>
      </c>
      <c r="B10972" t="inlineStr">
        <is>
          <t>x̄CMLXXI</t>
        </is>
      </c>
      <c r="C10972">
        <f>ROMAN(10971)</f>
        <v/>
      </c>
      <c r="D10972">
        <f>IF(B10972=C10972, "YES", "WRONG")</f>
        <v/>
      </c>
    </row>
    <row r="10973">
      <c r="A10973" t="n">
        <v>10972</v>
      </c>
      <c r="B10973" t="inlineStr">
        <is>
          <t>x̄CMLXXII</t>
        </is>
      </c>
      <c r="C10973">
        <f>ROMAN(10972)</f>
        <v/>
      </c>
      <c r="D10973">
        <f>IF(B10973=C10973, "YES", "WRONG")</f>
        <v/>
      </c>
    </row>
    <row r="10974">
      <c r="A10974" t="n">
        <v>10973</v>
      </c>
      <c r="B10974" t="inlineStr">
        <is>
          <t>x̄CMLXXIII</t>
        </is>
      </c>
      <c r="C10974">
        <f>ROMAN(10973)</f>
        <v/>
      </c>
      <c r="D10974">
        <f>IF(B10974=C10974, "YES", "WRONG")</f>
        <v/>
      </c>
    </row>
    <row r="10975">
      <c r="A10975" t="n">
        <v>10974</v>
      </c>
      <c r="B10975" t="inlineStr">
        <is>
          <t>x̄CMLXXIV</t>
        </is>
      </c>
      <c r="C10975">
        <f>ROMAN(10974)</f>
        <v/>
      </c>
      <c r="D10975">
        <f>IF(B10975=C10975, "YES", "WRONG")</f>
        <v/>
      </c>
    </row>
    <row r="10976">
      <c r="A10976" t="n">
        <v>10975</v>
      </c>
      <c r="B10976" t="inlineStr">
        <is>
          <t>x̄CMLXXV</t>
        </is>
      </c>
      <c r="C10976">
        <f>ROMAN(10975)</f>
        <v/>
      </c>
      <c r="D10976">
        <f>IF(B10976=C10976, "YES", "WRONG")</f>
        <v/>
      </c>
    </row>
    <row r="10977">
      <c r="A10977" t="n">
        <v>10976</v>
      </c>
      <c r="B10977" t="inlineStr">
        <is>
          <t>x̄CMLXXVI</t>
        </is>
      </c>
      <c r="C10977">
        <f>ROMAN(10976)</f>
        <v/>
      </c>
      <c r="D10977">
        <f>IF(B10977=C10977, "YES", "WRONG")</f>
        <v/>
      </c>
    </row>
    <row r="10978">
      <c r="A10978" t="n">
        <v>10977</v>
      </c>
      <c r="B10978" t="inlineStr">
        <is>
          <t>x̄CMLXXVII</t>
        </is>
      </c>
      <c r="C10978">
        <f>ROMAN(10977)</f>
        <v/>
      </c>
      <c r="D10978">
        <f>IF(B10978=C10978, "YES", "WRONG")</f>
        <v/>
      </c>
    </row>
    <row r="10979">
      <c r="A10979" t="n">
        <v>10978</v>
      </c>
      <c r="B10979" t="inlineStr">
        <is>
          <t>x̄CMLXXVIII</t>
        </is>
      </c>
      <c r="C10979">
        <f>ROMAN(10978)</f>
        <v/>
      </c>
      <c r="D10979">
        <f>IF(B10979=C10979, "YES", "WRONG")</f>
        <v/>
      </c>
    </row>
    <row r="10980">
      <c r="A10980" t="n">
        <v>10979</v>
      </c>
      <c r="B10980" t="inlineStr">
        <is>
          <t>x̄CMLXXIX</t>
        </is>
      </c>
      <c r="C10980">
        <f>ROMAN(10979)</f>
        <v/>
      </c>
      <c r="D10980">
        <f>IF(B10980=C10980, "YES", "WRONG")</f>
        <v/>
      </c>
    </row>
    <row r="10981">
      <c r="A10981" t="n">
        <v>10980</v>
      </c>
      <c r="B10981" t="inlineStr">
        <is>
          <t>x̄CMLXXX</t>
        </is>
      </c>
      <c r="C10981">
        <f>ROMAN(10980)</f>
        <v/>
      </c>
      <c r="D10981">
        <f>IF(B10981=C10981, "YES", "WRONG")</f>
        <v/>
      </c>
    </row>
    <row r="10982">
      <c r="A10982" t="n">
        <v>10981</v>
      </c>
      <c r="B10982" t="inlineStr">
        <is>
          <t>x̄CMLXXXI</t>
        </is>
      </c>
      <c r="C10982">
        <f>ROMAN(10981)</f>
        <v/>
      </c>
      <c r="D10982">
        <f>IF(B10982=C10982, "YES", "WRONG")</f>
        <v/>
      </c>
    </row>
    <row r="10983">
      <c r="A10983" t="n">
        <v>10982</v>
      </c>
      <c r="B10983" t="inlineStr">
        <is>
          <t>x̄CMLXXXII</t>
        </is>
      </c>
      <c r="C10983">
        <f>ROMAN(10982)</f>
        <v/>
      </c>
      <c r="D10983">
        <f>IF(B10983=C10983, "YES", "WRONG")</f>
        <v/>
      </c>
    </row>
    <row r="10984">
      <c r="A10984" t="n">
        <v>10983</v>
      </c>
      <c r="B10984" t="inlineStr">
        <is>
          <t>x̄CMLXXXIII</t>
        </is>
      </c>
      <c r="C10984">
        <f>ROMAN(10983)</f>
        <v/>
      </c>
      <c r="D10984">
        <f>IF(B10984=C10984, "YES", "WRONG")</f>
        <v/>
      </c>
    </row>
    <row r="10985">
      <c r="A10985" t="n">
        <v>10984</v>
      </c>
      <c r="B10985" t="inlineStr">
        <is>
          <t>x̄CMLXXXIV</t>
        </is>
      </c>
      <c r="C10985">
        <f>ROMAN(10984)</f>
        <v/>
      </c>
      <c r="D10985">
        <f>IF(B10985=C10985, "YES", "WRONG")</f>
        <v/>
      </c>
    </row>
    <row r="10986">
      <c r="A10986" t="n">
        <v>10985</v>
      </c>
      <c r="B10986" t="inlineStr">
        <is>
          <t>x̄CMLXXXV</t>
        </is>
      </c>
      <c r="C10986">
        <f>ROMAN(10985)</f>
        <v/>
      </c>
      <c r="D10986">
        <f>IF(B10986=C10986, "YES", "WRONG")</f>
        <v/>
      </c>
    </row>
    <row r="10987">
      <c r="A10987" t="n">
        <v>10986</v>
      </c>
      <c r="B10987" t="inlineStr">
        <is>
          <t>x̄CMLXXXVI</t>
        </is>
      </c>
      <c r="C10987">
        <f>ROMAN(10986)</f>
        <v/>
      </c>
      <c r="D10987">
        <f>IF(B10987=C10987, "YES", "WRONG")</f>
        <v/>
      </c>
    </row>
    <row r="10988">
      <c r="A10988" t="n">
        <v>10987</v>
      </c>
      <c r="B10988" t="inlineStr">
        <is>
          <t>x̄CMLXXXVII</t>
        </is>
      </c>
      <c r="C10988">
        <f>ROMAN(10987)</f>
        <v/>
      </c>
      <c r="D10988">
        <f>IF(B10988=C10988, "YES", "WRONG")</f>
        <v/>
      </c>
    </row>
    <row r="10989">
      <c r="A10989" t="n">
        <v>10988</v>
      </c>
      <c r="B10989" t="inlineStr">
        <is>
          <t>x̄CMLXXXVIII</t>
        </is>
      </c>
      <c r="C10989">
        <f>ROMAN(10988)</f>
        <v/>
      </c>
      <c r="D10989">
        <f>IF(B10989=C10989, "YES", "WRONG")</f>
        <v/>
      </c>
    </row>
    <row r="10990">
      <c r="A10990" t="n">
        <v>10989</v>
      </c>
      <c r="B10990" t="inlineStr">
        <is>
          <t>x̄CMLXXXIX</t>
        </is>
      </c>
      <c r="C10990">
        <f>ROMAN(10989)</f>
        <v/>
      </c>
      <c r="D10990">
        <f>IF(B10990=C10990, "YES", "WRONG")</f>
        <v/>
      </c>
    </row>
    <row r="10991">
      <c r="A10991" t="n">
        <v>10990</v>
      </c>
      <c r="B10991" t="inlineStr">
        <is>
          <t>x̄CMXC</t>
        </is>
      </c>
      <c r="C10991">
        <f>ROMAN(10990)</f>
        <v/>
      </c>
      <c r="D10991">
        <f>IF(B10991=C10991, "YES", "WRONG")</f>
        <v/>
      </c>
    </row>
    <row r="10992">
      <c r="A10992" t="n">
        <v>10991</v>
      </c>
      <c r="B10992" t="inlineStr">
        <is>
          <t>x̄CMXCI</t>
        </is>
      </c>
      <c r="C10992">
        <f>ROMAN(10991)</f>
        <v/>
      </c>
      <c r="D10992">
        <f>IF(B10992=C10992, "YES", "WRONG")</f>
        <v/>
      </c>
    </row>
    <row r="10993">
      <c r="A10993" t="n">
        <v>10992</v>
      </c>
      <c r="B10993" t="inlineStr">
        <is>
          <t>x̄CMXCII</t>
        </is>
      </c>
      <c r="C10993">
        <f>ROMAN(10992)</f>
        <v/>
      </c>
      <c r="D10993">
        <f>IF(B10993=C10993, "YES", "WRONG")</f>
        <v/>
      </c>
    </row>
    <row r="10994">
      <c r="A10994" t="n">
        <v>10993</v>
      </c>
      <c r="B10994" t="inlineStr">
        <is>
          <t>x̄CMXCIII</t>
        </is>
      </c>
      <c r="C10994">
        <f>ROMAN(10993)</f>
        <v/>
      </c>
      <c r="D10994">
        <f>IF(B10994=C10994, "YES", "WRONG")</f>
        <v/>
      </c>
    </row>
    <row r="10995">
      <c r="A10995" t="n">
        <v>10994</v>
      </c>
      <c r="B10995" t="inlineStr">
        <is>
          <t>x̄CMXCIV</t>
        </is>
      </c>
      <c r="C10995">
        <f>ROMAN(10994)</f>
        <v/>
      </c>
      <c r="D10995">
        <f>IF(B10995=C10995, "YES", "WRONG")</f>
        <v/>
      </c>
    </row>
    <row r="10996">
      <c r="A10996" t="n">
        <v>10995</v>
      </c>
      <c r="B10996" t="inlineStr">
        <is>
          <t>x̄CMXCV</t>
        </is>
      </c>
      <c r="C10996">
        <f>ROMAN(10995)</f>
        <v/>
      </c>
      <c r="D10996">
        <f>IF(B10996=C10996, "YES", "WRONG")</f>
        <v/>
      </c>
    </row>
    <row r="10997">
      <c r="A10997" t="n">
        <v>10996</v>
      </c>
      <c r="B10997" t="inlineStr">
        <is>
          <t>x̄CMXCVI</t>
        </is>
      </c>
      <c r="C10997">
        <f>ROMAN(10996)</f>
        <v/>
      </c>
      <c r="D10997">
        <f>IF(B10997=C10997, "YES", "WRONG")</f>
        <v/>
      </c>
    </row>
    <row r="10998">
      <c r="A10998" t="n">
        <v>10997</v>
      </c>
      <c r="B10998" t="inlineStr">
        <is>
          <t>x̄CMXCVII</t>
        </is>
      </c>
      <c r="C10998">
        <f>ROMAN(10997)</f>
        <v/>
      </c>
      <c r="D10998">
        <f>IF(B10998=C10998, "YES", "WRONG")</f>
        <v/>
      </c>
    </row>
    <row r="10999">
      <c r="A10999" t="n">
        <v>10998</v>
      </c>
      <c r="B10999" t="inlineStr">
        <is>
          <t>x̄CMXCVIII</t>
        </is>
      </c>
      <c r="C10999">
        <f>ROMAN(10998)</f>
        <v/>
      </c>
      <c r="D10999">
        <f>IF(B10999=C10999, "YES", "WRONG")</f>
        <v/>
      </c>
    </row>
    <row r="11000">
      <c r="A11000" t="n">
        <v>10999</v>
      </c>
      <c r="B11000" t="inlineStr">
        <is>
          <t>x̄CMXCIX</t>
        </is>
      </c>
      <c r="C11000">
        <f>ROMAN(10999)</f>
        <v/>
      </c>
      <c r="D11000">
        <f>IF(B11000=C11000, "YES", "WRONG")</f>
        <v/>
      </c>
    </row>
    <row r="11001">
      <c r="A11001" t="n">
        <v>11000</v>
      </c>
      <c r="B11001" t="inlineStr">
        <is>
          <t>x̄M</t>
        </is>
      </c>
      <c r="C11001">
        <f>ROMAN(11000)</f>
        <v/>
      </c>
      <c r="D11001">
        <f>IF(B11001=C11001, "YES", "WRONG")</f>
        <v/>
      </c>
    </row>
    <row r="11002">
      <c r="A11002" t="n">
        <v>11001</v>
      </c>
      <c r="B11002" t="inlineStr">
        <is>
          <t>x̄MI</t>
        </is>
      </c>
      <c r="C11002">
        <f>ROMAN(11001)</f>
        <v/>
      </c>
      <c r="D11002">
        <f>IF(B11002=C11002, "YES", "WRONG")</f>
        <v/>
      </c>
    </row>
    <row r="11003">
      <c r="A11003" t="n">
        <v>11002</v>
      </c>
      <c r="B11003" t="inlineStr">
        <is>
          <t>x̄MII</t>
        </is>
      </c>
      <c r="C11003">
        <f>ROMAN(11002)</f>
        <v/>
      </c>
      <c r="D11003">
        <f>IF(B11003=C11003, "YES", "WRONG")</f>
        <v/>
      </c>
    </row>
    <row r="11004">
      <c r="A11004" t="n">
        <v>11003</v>
      </c>
      <c r="B11004" t="inlineStr">
        <is>
          <t>x̄MIII</t>
        </is>
      </c>
      <c r="C11004">
        <f>ROMAN(11003)</f>
        <v/>
      </c>
      <c r="D11004">
        <f>IF(B11004=C11004, "YES", "WRONG")</f>
        <v/>
      </c>
    </row>
    <row r="11005">
      <c r="A11005" t="n">
        <v>11004</v>
      </c>
      <c r="B11005" t="inlineStr">
        <is>
          <t>x̄MIV</t>
        </is>
      </c>
      <c r="C11005">
        <f>ROMAN(11004)</f>
        <v/>
      </c>
      <c r="D11005">
        <f>IF(B11005=C11005, "YES", "WRONG")</f>
        <v/>
      </c>
    </row>
    <row r="11006">
      <c r="A11006" t="n">
        <v>11005</v>
      </c>
      <c r="B11006" t="inlineStr">
        <is>
          <t>x̄MV</t>
        </is>
      </c>
      <c r="C11006">
        <f>ROMAN(11005)</f>
        <v/>
      </c>
      <c r="D11006">
        <f>IF(B11006=C11006, "YES", "WRONG")</f>
        <v/>
      </c>
    </row>
    <row r="11007">
      <c r="A11007" t="n">
        <v>11006</v>
      </c>
      <c r="B11007" t="inlineStr">
        <is>
          <t>x̄MVI</t>
        </is>
      </c>
      <c r="C11007">
        <f>ROMAN(11006)</f>
        <v/>
      </c>
      <c r="D11007">
        <f>IF(B11007=C11007, "YES", "WRONG")</f>
        <v/>
      </c>
    </row>
    <row r="11008">
      <c r="A11008" t="n">
        <v>11007</v>
      </c>
      <c r="B11008" t="inlineStr">
        <is>
          <t>x̄MVII</t>
        </is>
      </c>
      <c r="C11008">
        <f>ROMAN(11007)</f>
        <v/>
      </c>
      <c r="D11008">
        <f>IF(B11008=C11008, "YES", "WRONG")</f>
        <v/>
      </c>
    </row>
    <row r="11009">
      <c r="A11009" t="n">
        <v>11008</v>
      </c>
      <c r="B11009" t="inlineStr">
        <is>
          <t>x̄MVIII</t>
        </is>
      </c>
      <c r="C11009">
        <f>ROMAN(11008)</f>
        <v/>
      </c>
      <c r="D11009">
        <f>IF(B11009=C11009, "YES", "WRONG")</f>
        <v/>
      </c>
    </row>
    <row r="11010">
      <c r="A11010" t="n">
        <v>11009</v>
      </c>
      <c r="B11010" t="inlineStr">
        <is>
          <t>x̄MIX</t>
        </is>
      </c>
      <c r="C11010">
        <f>ROMAN(11009)</f>
        <v/>
      </c>
      <c r="D11010">
        <f>IF(B11010=C11010, "YES", "WRONG")</f>
        <v/>
      </c>
    </row>
    <row r="11011">
      <c r="A11011" t="n">
        <v>11010</v>
      </c>
      <c r="B11011" t="inlineStr">
        <is>
          <t>x̄MX</t>
        </is>
      </c>
      <c r="C11011">
        <f>ROMAN(11010)</f>
        <v/>
      </c>
      <c r="D11011">
        <f>IF(B11011=C11011, "YES", "WRONG")</f>
        <v/>
      </c>
    </row>
    <row r="11012">
      <c r="A11012" t="n">
        <v>11011</v>
      </c>
      <c r="B11012" t="inlineStr">
        <is>
          <t>x̄MXI</t>
        </is>
      </c>
      <c r="C11012">
        <f>ROMAN(11011)</f>
        <v/>
      </c>
      <c r="D11012">
        <f>IF(B11012=C11012, "YES", "WRONG")</f>
        <v/>
      </c>
    </row>
    <row r="11013">
      <c r="A11013" t="n">
        <v>11012</v>
      </c>
      <c r="B11013" t="inlineStr">
        <is>
          <t>x̄MXII</t>
        </is>
      </c>
      <c r="C11013">
        <f>ROMAN(11012)</f>
        <v/>
      </c>
      <c r="D11013">
        <f>IF(B11013=C11013, "YES", "WRONG")</f>
        <v/>
      </c>
    </row>
    <row r="11014">
      <c r="A11014" t="n">
        <v>11013</v>
      </c>
      <c r="B11014" t="inlineStr">
        <is>
          <t>x̄MXIII</t>
        </is>
      </c>
      <c r="C11014">
        <f>ROMAN(11013)</f>
        <v/>
      </c>
      <c r="D11014">
        <f>IF(B11014=C11014, "YES", "WRONG")</f>
        <v/>
      </c>
    </row>
    <row r="11015">
      <c r="A11015" t="n">
        <v>11014</v>
      </c>
      <c r="B11015" t="inlineStr">
        <is>
          <t>x̄MXIV</t>
        </is>
      </c>
      <c r="C11015">
        <f>ROMAN(11014)</f>
        <v/>
      </c>
      <c r="D11015">
        <f>IF(B11015=C11015, "YES", "WRONG")</f>
        <v/>
      </c>
    </row>
    <row r="11016">
      <c r="A11016" t="n">
        <v>11015</v>
      </c>
      <c r="B11016" t="inlineStr">
        <is>
          <t>x̄MXV</t>
        </is>
      </c>
      <c r="C11016">
        <f>ROMAN(11015)</f>
        <v/>
      </c>
      <c r="D11016">
        <f>IF(B11016=C11016, "YES", "WRONG")</f>
        <v/>
      </c>
    </row>
    <row r="11017">
      <c r="A11017" t="n">
        <v>11016</v>
      </c>
      <c r="B11017" t="inlineStr">
        <is>
          <t>x̄MXVI</t>
        </is>
      </c>
      <c r="C11017">
        <f>ROMAN(11016)</f>
        <v/>
      </c>
      <c r="D11017">
        <f>IF(B11017=C11017, "YES", "WRONG")</f>
        <v/>
      </c>
    </row>
    <row r="11018">
      <c r="A11018" t="n">
        <v>11017</v>
      </c>
      <c r="B11018" t="inlineStr">
        <is>
          <t>x̄MXVII</t>
        </is>
      </c>
      <c r="C11018">
        <f>ROMAN(11017)</f>
        <v/>
      </c>
      <c r="D11018">
        <f>IF(B11018=C11018, "YES", "WRONG")</f>
        <v/>
      </c>
    </row>
    <row r="11019">
      <c r="A11019" t="n">
        <v>11018</v>
      </c>
      <c r="B11019" t="inlineStr">
        <is>
          <t>x̄MXVIII</t>
        </is>
      </c>
      <c r="C11019">
        <f>ROMAN(11018)</f>
        <v/>
      </c>
      <c r="D11019">
        <f>IF(B11019=C11019, "YES", "WRONG")</f>
        <v/>
      </c>
    </row>
    <row r="11020">
      <c r="A11020" t="n">
        <v>11019</v>
      </c>
      <c r="B11020" t="inlineStr">
        <is>
          <t>x̄MXIX</t>
        </is>
      </c>
      <c r="C11020">
        <f>ROMAN(11019)</f>
        <v/>
      </c>
      <c r="D11020">
        <f>IF(B11020=C11020, "YES", "WRONG")</f>
        <v/>
      </c>
    </row>
    <row r="11021">
      <c r="A11021" t="n">
        <v>11020</v>
      </c>
      <c r="B11021" t="inlineStr">
        <is>
          <t>x̄MXX</t>
        </is>
      </c>
      <c r="C11021">
        <f>ROMAN(11020)</f>
        <v/>
      </c>
      <c r="D11021">
        <f>IF(B11021=C11021, "YES", "WRONG")</f>
        <v/>
      </c>
    </row>
    <row r="11022">
      <c r="A11022" t="n">
        <v>11021</v>
      </c>
      <c r="B11022" t="inlineStr">
        <is>
          <t>x̄MXXI</t>
        </is>
      </c>
      <c r="C11022">
        <f>ROMAN(11021)</f>
        <v/>
      </c>
      <c r="D11022">
        <f>IF(B11022=C11022, "YES", "WRONG")</f>
        <v/>
      </c>
    </row>
    <row r="11023">
      <c r="A11023" t="n">
        <v>11022</v>
      </c>
      <c r="B11023" t="inlineStr">
        <is>
          <t>x̄MXXII</t>
        </is>
      </c>
      <c r="C11023">
        <f>ROMAN(11022)</f>
        <v/>
      </c>
      <c r="D11023">
        <f>IF(B11023=C11023, "YES", "WRONG")</f>
        <v/>
      </c>
    </row>
    <row r="11024">
      <c r="A11024" t="n">
        <v>11023</v>
      </c>
      <c r="B11024" t="inlineStr">
        <is>
          <t>x̄MXXIII</t>
        </is>
      </c>
      <c r="C11024">
        <f>ROMAN(11023)</f>
        <v/>
      </c>
      <c r="D11024">
        <f>IF(B11024=C11024, "YES", "WRONG")</f>
        <v/>
      </c>
    </row>
    <row r="11025">
      <c r="A11025" t="n">
        <v>11024</v>
      </c>
      <c r="B11025" t="inlineStr">
        <is>
          <t>x̄MXXIV</t>
        </is>
      </c>
      <c r="C11025">
        <f>ROMAN(11024)</f>
        <v/>
      </c>
      <c r="D11025">
        <f>IF(B11025=C11025, "YES", "WRONG")</f>
        <v/>
      </c>
    </row>
    <row r="11026">
      <c r="A11026" t="n">
        <v>11025</v>
      </c>
      <c r="B11026" t="inlineStr">
        <is>
          <t>x̄MXXV</t>
        </is>
      </c>
      <c r="C11026">
        <f>ROMAN(11025)</f>
        <v/>
      </c>
      <c r="D11026">
        <f>IF(B11026=C11026, "YES", "WRONG")</f>
        <v/>
      </c>
    </row>
    <row r="11027">
      <c r="A11027" t="n">
        <v>11026</v>
      </c>
      <c r="B11027" t="inlineStr">
        <is>
          <t>x̄MXXVI</t>
        </is>
      </c>
      <c r="C11027">
        <f>ROMAN(11026)</f>
        <v/>
      </c>
      <c r="D11027">
        <f>IF(B11027=C11027, "YES", "WRONG")</f>
        <v/>
      </c>
    </row>
    <row r="11028">
      <c r="A11028" t="n">
        <v>11027</v>
      </c>
      <c r="B11028" t="inlineStr">
        <is>
          <t>x̄MXXVII</t>
        </is>
      </c>
      <c r="C11028">
        <f>ROMAN(11027)</f>
        <v/>
      </c>
      <c r="D11028">
        <f>IF(B11028=C11028, "YES", "WRONG")</f>
        <v/>
      </c>
    </row>
    <row r="11029">
      <c r="A11029" t="n">
        <v>11028</v>
      </c>
      <c r="B11029" t="inlineStr">
        <is>
          <t>x̄MXXVIII</t>
        </is>
      </c>
      <c r="C11029">
        <f>ROMAN(11028)</f>
        <v/>
      </c>
      <c r="D11029">
        <f>IF(B11029=C11029, "YES", "WRONG")</f>
        <v/>
      </c>
    </row>
    <row r="11030">
      <c r="A11030" t="n">
        <v>11029</v>
      </c>
      <c r="B11030" t="inlineStr">
        <is>
          <t>x̄MXXIX</t>
        </is>
      </c>
      <c r="C11030">
        <f>ROMAN(11029)</f>
        <v/>
      </c>
      <c r="D11030">
        <f>IF(B11030=C11030, "YES", "WRONG")</f>
        <v/>
      </c>
    </row>
    <row r="11031">
      <c r="A11031" t="n">
        <v>11030</v>
      </c>
      <c r="B11031" t="inlineStr">
        <is>
          <t>x̄MXXX</t>
        </is>
      </c>
      <c r="C11031">
        <f>ROMAN(11030)</f>
        <v/>
      </c>
      <c r="D11031">
        <f>IF(B11031=C11031, "YES", "WRONG")</f>
        <v/>
      </c>
    </row>
    <row r="11032">
      <c r="A11032" t="n">
        <v>11031</v>
      </c>
      <c r="B11032" t="inlineStr">
        <is>
          <t>x̄MXXXI</t>
        </is>
      </c>
      <c r="C11032">
        <f>ROMAN(11031)</f>
        <v/>
      </c>
      <c r="D11032">
        <f>IF(B11032=C11032, "YES", "WRONG")</f>
        <v/>
      </c>
    </row>
    <row r="11033">
      <c r="A11033" t="n">
        <v>11032</v>
      </c>
      <c r="B11033" t="inlineStr">
        <is>
          <t>x̄MXXXII</t>
        </is>
      </c>
      <c r="C11033">
        <f>ROMAN(11032)</f>
        <v/>
      </c>
      <c r="D11033">
        <f>IF(B11033=C11033, "YES", "WRONG")</f>
        <v/>
      </c>
    </row>
    <row r="11034">
      <c r="A11034" t="n">
        <v>11033</v>
      </c>
      <c r="B11034" t="inlineStr">
        <is>
          <t>x̄MXXXIII</t>
        </is>
      </c>
      <c r="C11034">
        <f>ROMAN(11033)</f>
        <v/>
      </c>
      <c r="D11034">
        <f>IF(B11034=C11034, "YES", "WRONG")</f>
        <v/>
      </c>
    </row>
    <row r="11035">
      <c r="A11035" t="n">
        <v>11034</v>
      </c>
      <c r="B11035" t="inlineStr">
        <is>
          <t>x̄MXXXIV</t>
        </is>
      </c>
      <c r="C11035">
        <f>ROMAN(11034)</f>
        <v/>
      </c>
      <c r="D11035">
        <f>IF(B11035=C11035, "YES", "WRONG")</f>
        <v/>
      </c>
    </row>
    <row r="11036">
      <c r="A11036" t="n">
        <v>11035</v>
      </c>
      <c r="B11036" t="inlineStr">
        <is>
          <t>x̄MXXXV</t>
        </is>
      </c>
      <c r="C11036">
        <f>ROMAN(11035)</f>
        <v/>
      </c>
      <c r="D11036">
        <f>IF(B11036=C11036, "YES", "WRONG")</f>
        <v/>
      </c>
    </row>
    <row r="11037">
      <c r="A11037" t="n">
        <v>11036</v>
      </c>
      <c r="B11037" t="inlineStr">
        <is>
          <t>x̄MXXXVI</t>
        </is>
      </c>
      <c r="C11037">
        <f>ROMAN(11036)</f>
        <v/>
      </c>
      <c r="D11037">
        <f>IF(B11037=C11037, "YES", "WRONG")</f>
        <v/>
      </c>
    </row>
    <row r="11038">
      <c r="A11038" t="n">
        <v>11037</v>
      </c>
      <c r="B11038" t="inlineStr">
        <is>
          <t>x̄MXXXVII</t>
        </is>
      </c>
      <c r="C11038">
        <f>ROMAN(11037)</f>
        <v/>
      </c>
      <c r="D11038">
        <f>IF(B11038=C11038, "YES", "WRONG")</f>
        <v/>
      </c>
    </row>
    <row r="11039">
      <c r="A11039" t="n">
        <v>11038</v>
      </c>
      <c r="B11039" t="inlineStr">
        <is>
          <t>x̄MXXXVIII</t>
        </is>
      </c>
      <c r="C11039">
        <f>ROMAN(11038)</f>
        <v/>
      </c>
      <c r="D11039">
        <f>IF(B11039=C11039, "YES", "WRONG")</f>
        <v/>
      </c>
    </row>
    <row r="11040">
      <c r="A11040" t="n">
        <v>11039</v>
      </c>
      <c r="B11040" t="inlineStr">
        <is>
          <t>x̄MXXXIX</t>
        </is>
      </c>
      <c r="C11040">
        <f>ROMAN(11039)</f>
        <v/>
      </c>
      <c r="D11040">
        <f>IF(B11040=C11040, "YES", "WRONG")</f>
        <v/>
      </c>
    </row>
    <row r="11041">
      <c r="A11041" t="n">
        <v>11040</v>
      </c>
      <c r="B11041" t="inlineStr">
        <is>
          <t>x̄MXL</t>
        </is>
      </c>
      <c r="C11041">
        <f>ROMAN(11040)</f>
        <v/>
      </c>
      <c r="D11041">
        <f>IF(B11041=C11041, "YES", "WRONG")</f>
        <v/>
      </c>
    </row>
    <row r="11042">
      <c r="A11042" t="n">
        <v>11041</v>
      </c>
      <c r="B11042" t="inlineStr">
        <is>
          <t>x̄MXLI</t>
        </is>
      </c>
      <c r="C11042">
        <f>ROMAN(11041)</f>
        <v/>
      </c>
      <c r="D11042">
        <f>IF(B11042=C11042, "YES", "WRONG")</f>
        <v/>
      </c>
    </row>
    <row r="11043">
      <c r="A11043" t="n">
        <v>11042</v>
      </c>
      <c r="B11043" t="inlineStr">
        <is>
          <t>x̄MXLII</t>
        </is>
      </c>
      <c r="C11043">
        <f>ROMAN(11042)</f>
        <v/>
      </c>
      <c r="D11043">
        <f>IF(B11043=C11043, "YES", "WRONG")</f>
        <v/>
      </c>
    </row>
    <row r="11044">
      <c r="A11044" t="n">
        <v>11043</v>
      </c>
      <c r="B11044" t="inlineStr">
        <is>
          <t>x̄MXLIII</t>
        </is>
      </c>
      <c r="C11044">
        <f>ROMAN(11043)</f>
        <v/>
      </c>
      <c r="D11044">
        <f>IF(B11044=C11044, "YES", "WRONG")</f>
        <v/>
      </c>
    </row>
    <row r="11045">
      <c r="A11045" t="n">
        <v>11044</v>
      </c>
      <c r="B11045" t="inlineStr">
        <is>
          <t>x̄MXLIV</t>
        </is>
      </c>
      <c r="C11045">
        <f>ROMAN(11044)</f>
        <v/>
      </c>
      <c r="D11045">
        <f>IF(B11045=C11045, "YES", "WRONG")</f>
        <v/>
      </c>
    </row>
    <row r="11046">
      <c r="A11046" t="n">
        <v>11045</v>
      </c>
      <c r="B11046" t="inlineStr">
        <is>
          <t>x̄MXLV</t>
        </is>
      </c>
      <c r="C11046">
        <f>ROMAN(11045)</f>
        <v/>
      </c>
      <c r="D11046">
        <f>IF(B11046=C11046, "YES", "WRONG")</f>
        <v/>
      </c>
    </row>
    <row r="11047">
      <c r="A11047" t="n">
        <v>11046</v>
      </c>
      <c r="B11047" t="inlineStr">
        <is>
          <t>x̄MXLVI</t>
        </is>
      </c>
      <c r="C11047">
        <f>ROMAN(11046)</f>
        <v/>
      </c>
      <c r="D11047">
        <f>IF(B11047=C11047, "YES", "WRONG")</f>
        <v/>
      </c>
    </row>
    <row r="11048">
      <c r="A11048" t="n">
        <v>11047</v>
      </c>
      <c r="B11048" t="inlineStr">
        <is>
          <t>x̄MXLVII</t>
        </is>
      </c>
      <c r="C11048">
        <f>ROMAN(11047)</f>
        <v/>
      </c>
      <c r="D11048">
        <f>IF(B11048=C11048, "YES", "WRONG")</f>
        <v/>
      </c>
    </row>
    <row r="11049">
      <c r="A11049" t="n">
        <v>11048</v>
      </c>
      <c r="B11049" t="inlineStr">
        <is>
          <t>x̄MXLVIII</t>
        </is>
      </c>
      <c r="C11049">
        <f>ROMAN(11048)</f>
        <v/>
      </c>
      <c r="D11049">
        <f>IF(B11049=C11049, "YES", "WRONG")</f>
        <v/>
      </c>
    </row>
    <row r="11050">
      <c r="A11050" t="n">
        <v>11049</v>
      </c>
      <c r="B11050" t="inlineStr">
        <is>
          <t>x̄MXLIX</t>
        </is>
      </c>
      <c r="C11050">
        <f>ROMAN(11049)</f>
        <v/>
      </c>
      <c r="D11050">
        <f>IF(B11050=C11050, "YES", "WRONG")</f>
        <v/>
      </c>
    </row>
    <row r="11051">
      <c r="A11051" t="n">
        <v>11050</v>
      </c>
      <c r="B11051" t="inlineStr">
        <is>
          <t>x̄ML</t>
        </is>
      </c>
      <c r="C11051">
        <f>ROMAN(11050)</f>
        <v/>
      </c>
      <c r="D11051">
        <f>IF(B11051=C11051, "YES", "WRONG")</f>
        <v/>
      </c>
    </row>
    <row r="11052">
      <c r="A11052" t="n">
        <v>11051</v>
      </c>
      <c r="B11052" t="inlineStr">
        <is>
          <t>x̄MLI</t>
        </is>
      </c>
      <c r="C11052">
        <f>ROMAN(11051)</f>
        <v/>
      </c>
      <c r="D11052">
        <f>IF(B11052=C11052, "YES", "WRONG")</f>
        <v/>
      </c>
    </row>
    <row r="11053">
      <c r="A11053" t="n">
        <v>11052</v>
      </c>
      <c r="B11053" t="inlineStr">
        <is>
          <t>x̄MLII</t>
        </is>
      </c>
      <c r="C11053">
        <f>ROMAN(11052)</f>
        <v/>
      </c>
      <c r="D11053">
        <f>IF(B11053=C11053, "YES", "WRONG")</f>
        <v/>
      </c>
    </row>
    <row r="11054">
      <c r="A11054" t="n">
        <v>11053</v>
      </c>
      <c r="B11054" t="inlineStr">
        <is>
          <t>x̄MLIII</t>
        </is>
      </c>
      <c r="C11054">
        <f>ROMAN(11053)</f>
        <v/>
      </c>
      <c r="D11054">
        <f>IF(B11054=C11054, "YES", "WRONG")</f>
        <v/>
      </c>
    </row>
    <row r="11055">
      <c r="A11055" t="n">
        <v>11054</v>
      </c>
      <c r="B11055" t="inlineStr">
        <is>
          <t>x̄MLIV</t>
        </is>
      </c>
      <c r="C11055">
        <f>ROMAN(11054)</f>
        <v/>
      </c>
      <c r="D11055">
        <f>IF(B11055=C11055, "YES", "WRONG")</f>
        <v/>
      </c>
    </row>
    <row r="11056">
      <c r="A11056" t="n">
        <v>11055</v>
      </c>
      <c r="B11056" t="inlineStr">
        <is>
          <t>x̄MLV</t>
        </is>
      </c>
      <c r="C11056">
        <f>ROMAN(11055)</f>
        <v/>
      </c>
      <c r="D11056">
        <f>IF(B11056=C11056, "YES", "WRONG")</f>
        <v/>
      </c>
    </row>
    <row r="11057">
      <c r="A11057" t="n">
        <v>11056</v>
      </c>
      <c r="B11057" t="inlineStr">
        <is>
          <t>x̄MLVI</t>
        </is>
      </c>
      <c r="C11057">
        <f>ROMAN(11056)</f>
        <v/>
      </c>
      <c r="D11057">
        <f>IF(B11057=C11057, "YES", "WRONG")</f>
        <v/>
      </c>
    </row>
    <row r="11058">
      <c r="A11058" t="n">
        <v>11057</v>
      </c>
      <c r="B11058" t="inlineStr">
        <is>
          <t>x̄MLVII</t>
        </is>
      </c>
      <c r="C11058">
        <f>ROMAN(11057)</f>
        <v/>
      </c>
      <c r="D11058">
        <f>IF(B11058=C11058, "YES", "WRONG")</f>
        <v/>
      </c>
    </row>
    <row r="11059">
      <c r="A11059" t="n">
        <v>11058</v>
      </c>
      <c r="B11059" t="inlineStr">
        <is>
          <t>x̄MLVIII</t>
        </is>
      </c>
      <c r="C11059">
        <f>ROMAN(11058)</f>
        <v/>
      </c>
      <c r="D11059">
        <f>IF(B11059=C11059, "YES", "WRONG")</f>
        <v/>
      </c>
    </row>
    <row r="11060">
      <c r="A11060" t="n">
        <v>11059</v>
      </c>
      <c r="B11060" t="inlineStr">
        <is>
          <t>x̄MLIX</t>
        </is>
      </c>
      <c r="C11060">
        <f>ROMAN(11059)</f>
        <v/>
      </c>
      <c r="D11060">
        <f>IF(B11060=C11060, "YES", "WRONG")</f>
        <v/>
      </c>
    </row>
    <row r="11061">
      <c r="A11061" t="n">
        <v>11060</v>
      </c>
      <c r="B11061" t="inlineStr">
        <is>
          <t>x̄MLX</t>
        </is>
      </c>
      <c r="C11061">
        <f>ROMAN(11060)</f>
        <v/>
      </c>
      <c r="D11061">
        <f>IF(B11061=C11061, "YES", "WRONG")</f>
        <v/>
      </c>
    </row>
    <row r="11062">
      <c r="A11062" t="n">
        <v>11061</v>
      </c>
      <c r="B11062" t="inlineStr">
        <is>
          <t>x̄MLXI</t>
        </is>
      </c>
      <c r="C11062">
        <f>ROMAN(11061)</f>
        <v/>
      </c>
      <c r="D11062">
        <f>IF(B11062=C11062, "YES", "WRONG")</f>
        <v/>
      </c>
    </row>
    <row r="11063">
      <c r="A11063" t="n">
        <v>11062</v>
      </c>
      <c r="B11063" t="inlineStr">
        <is>
          <t>x̄MLXII</t>
        </is>
      </c>
      <c r="C11063">
        <f>ROMAN(11062)</f>
        <v/>
      </c>
      <c r="D11063">
        <f>IF(B11063=C11063, "YES", "WRONG")</f>
        <v/>
      </c>
    </row>
    <row r="11064">
      <c r="A11064" t="n">
        <v>11063</v>
      </c>
      <c r="B11064" t="inlineStr">
        <is>
          <t>x̄MLXIII</t>
        </is>
      </c>
      <c r="C11064">
        <f>ROMAN(11063)</f>
        <v/>
      </c>
      <c r="D11064">
        <f>IF(B11064=C11064, "YES", "WRONG")</f>
        <v/>
      </c>
    </row>
    <row r="11065">
      <c r="A11065" t="n">
        <v>11064</v>
      </c>
      <c r="B11065" t="inlineStr">
        <is>
          <t>x̄MLXIV</t>
        </is>
      </c>
      <c r="C11065">
        <f>ROMAN(11064)</f>
        <v/>
      </c>
      <c r="D11065">
        <f>IF(B11065=C11065, "YES", "WRONG")</f>
        <v/>
      </c>
    </row>
    <row r="11066">
      <c r="A11066" t="n">
        <v>11065</v>
      </c>
      <c r="B11066" t="inlineStr">
        <is>
          <t>x̄MLXV</t>
        </is>
      </c>
      <c r="C11066">
        <f>ROMAN(11065)</f>
        <v/>
      </c>
      <c r="D11066">
        <f>IF(B11066=C11066, "YES", "WRONG")</f>
        <v/>
      </c>
    </row>
    <row r="11067">
      <c r="A11067" t="n">
        <v>11066</v>
      </c>
      <c r="B11067" t="inlineStr">
        <is>
          <t>x̄MLXVI</t>
        </is>
      </c>
      <c r="C11067">
        <f>ROMAN(11066)</f>
        <v/>
      </c>
      <c r="D11067">
        <f>IF(B11067=C11067, "YES", "WRONG")</f>
        <v/>
      </c>
    </row>
    <row r="11068">
      <c r="A11068" t="n">
        <v>11067</v>
      </c>
      <c r="B11068" t="inlineStr">
        <is>
          <t>x̄MLXVII</t>
        </is>
      </c>
      <c r="C11068">
        <f>ROMAN(11067)</f>
        <v/>
      </c>
      <c r="D11068">
        <f>IF(B11068=C11068, "YES", "WRONG")</f>
        <v/>
      </c>
    </row>
    <row r="11069">
      <c r="A11069" t="n">
        <v>11068</v>
      </c>
      <c r="B11069" t="inlineStr">
        <is>
          <t>x̄MLXVIII</t>
        </is>
      </c>
      <c r="C11069">
        <f>ROMAN(11068)</f>
        <v/>
      </c>
      <c r="D11069">
        <f>IF(B11069=C11069, "YES", "WRONG")</f>
        <v/>
      </c>
    </row>
    <row r="11070">
      <c r="A11070" t="n">
        <v>11069</v>
      </c>
      <c r="B11070" t="inlineStr">
        <is>
          <t>x̄MLXIX</t>
        </is>
      </c>
      <c r="C11070">
        <f>ROMAN(11069)</f>
        <v/>
      </c>
      <c r="D11070">
        <f>IF(B11070=C11070, "YES", "WRONG")</f>
        <v/>
      </c>
    </row>
    <row r="11071">
      <c r="A11071" t="n">
        <v>11070</v>
      </c>
      <c r="B11071" t="inlineStr">
        <is>
          <t>x̄MLXX</t>
        </is>
      </c>
      <c r="C11071">
        <f>ROMAN(11070)</f>
        <v/>
      </c>
      <c r="D11071">
        <f>IF(B11071=C11071, "YES", "WRONG")</f>
        <v/>
      </c>
    </row>
    <row r="11072">
      <c r="A11072" t="n">
        <v>11071</v>
      </c>
      <c r="B11072" t="inlineStr">
        <is>
          <t>x̄MLXXI</t>
        </is>
      </c>
      <c r="C11072">
        <f>ROMAN(11071)</f>
        <v/>
      </c>
      <c r="D11072">
        <f>IF(B11072=C11072, "YES", "WRONG")</f>
        <v/>
      </c>
    </row>
    <row r="11073">
      <c r="A11073" t="n">
        <v>11072</v>
      </c>
      <c r="B11073" t="inlineStr">
        <is>
          <t>x̄MLXXII</t>
        </is>
      </c>
      <c r="C11073">
        <f>ROMAN(11072)</f>
        <v/>
      </c>
      <c r="D11073">
        <f>IF(B11073=C11073, "YES", "WRONG")</f>
        <v/>
      </c>
    </row>
    <row r="11074">
      <c r="A11074" t="n">
        <v>11073</v>
      </c>
      <c r="B11074" t="inlineStr">
        <is>
          <t>x̄MLXXIII</t>
        </is>
      </c>
      <c r="C11074">
        <f>ROMAN(11073)</f>
        <v/>
      </c>
      <c r="D11074">
        <f>IF(B11074=C11074, "YES", "WRONG")</f>
        <v/>
      </c>
    </row>
    <row r="11075">
      <c r="A11075" t="n">
        <v>11074</v>
      </c>
      <c r="B11075" t="inlineStr">
        <is>
          <t>x̄MLXXIV</t>
        </is>
      </c>
      <c r="C11075">
        <f>ROMAN(11074)</f>
        <v/>
      </c>
      <c r="D11075">
        <f>IF(B11075=C11075, "YES", "WRONG")</f>
        <v/>
      </c>
    </row>
    <row r="11076">
      <c r="A11076" t="n">
        <v>11075</v>
      </c>
      <c r="B11076" t="inlineStr">
        <is>
          <t>x̄MLXXV</t>
        </is>
      </c>
      <c r="C11076">
        <f>ROMAN(11075)</f>
        <v/>
      </c>
      <c r="D11076">
        <f>IF(B11076=C11076, "YES", "WRONG")</f>
        <v/>
      </c>
    </row>
    <row r="11077">
      <c r="A11077" t="n">
        <v>11076</v>
      </c>
      <c r="B11077" t="inlineStr">
        <is>
          <t>x̄MLXXVI</t>
        </is>
      </c>
      <c r="C11077">
        <f>ROMAN(11076)</f>
        <v/>
      </c>
      <c r="D11077">
        <f>IF(B11077=C11077, "YES", "WRONG")</f>
        <v/>
      </c>
    </row>
    <row r="11078">
      <c r="A11078" t="n">
        <v>11077</v>
      </c>
      <c r="B11078" t="inlineStr">
        <is>
          <t>x̄MLXXVII</t>
        </is>
      </c>
      <c r="C11078">
        <f>ROMAN(11077)</f>
        <v/>
      </c>
      <c r="D11078">
        <f>IF(B11078=C11078, "YES", "WRONG")</f>
        <v/>
      </c>
    </row>
    <row r="11079">
      <c r="A11079" t="n">
        <v>11078</v>
      </c>
      <c r="B11079" t="inlineStr">
        <is>
          <t>x̄MLXXVIII</t>
        </is>
      </c>
      <c r="C11079">
        <f>ROMAN(11078)</f>
        <v/>
      </c>
      <c r="D11079">
        <f>IF(B11079=C11079, "YES", "WRONG")</f>
        <v/>
      </c>
    </row>
    <row r="11080">
      <c r="A11080" t="n">
        <v>11079</v>
      </c>
      <c r="B11080" t="inlineStr">
        <is>
          <t>x̄MLXXIX</t>
        </is>
      </c>
      <c r="C11080">
        <f>ROMAN(11079)</f>
        <v/>
      </c>
      <c r="D11080">
        <f>IF(B11080=C11080, "YES", "WRONG")</f>
        <v/>
      </c>
    </row>
    <row r="11081">
      <c r="A11081" t="n">
        <v>11080</v>
      </c>
      <c r="B11081" t="inlineStr">
        <is>
          <t>x̄MLXXX</t>
        </is>
      </c>
      <c r="C11081">
        <f>ROMAN(11080)</f>
        <v/>
      </c>
      <c r="D11081">
        <f>IF(B11081=C11081, "YES", "WRONG")</f>
        <v/>
      </c>
    </row>
    <row r="11082">
      <c r="A11082" t="n">
        <v>11081</v>
      </c>
      <c r="B11082" t="inlineStr">
        <is>
          <t>x̄MLXXXI</t>
        </is>
      </c>
      <c r="C11082">
        <f>ROMAN(11081)</f>
        <v/>
      </c>
      <c r="D11082">
        <f>IF(B11082=C11082, "YES", "WRONG")</f>
        <v/>
      </c>
    </row>
    <row r="11083">
      <c r="A11083" t="n">
        <v>11082</v>
      </c>
      <c r="B11083" t="inlineStr">
        <is>
          <t>x̄MLXXXII</t>
        </is>
      </c>
      <c r="C11083">
        <f>ROMAN(11082)</f>
        <v/>
      </c>
      <c r="D11083">
        <f>IF(B11083=C11083, "YES", "WRONG")</f>
        <v/>
      </c>
    </row>
    <row r="11084">
      <c r="A11084" t="n">
        <v>11083</v>
      </c>
      <c r="B11084" t="inlineStr">
        <is>
          <t>x̄MLXXXIII</t>
        </is>
      </c>
      <c r="C11084">
        <f>ROMAN(11083)</f>
        <v/>
      </c>
      <c r="D11084">
        <f>IF(B11084=C11084, "YES", "WRONG")</f>
        <v/>
      </c>
    </row>
    <row r="11085">
      <c r="A11085" t="n">
        <v>11084</v>
      </c>
      <c r="B11085" t="inlineStr">
        <is>
          <t>x̄MLXXXIV</t>
        </is>
      </c>
      <c r="C11085">
        <f>ROMAN(11084)</f>
        <v/>
      </c>
      <c r="D11085">
        <f>IF(B11085=C11085, "YES", "WRONG")</f>
        <v/>
      </c>
    </row>
    <row r="11086">
      <c r="A11086" t="n">
        <v>11085</v>
      </c>
      <c r="B11086" t="inlineStr">
        <is>
          <t>x̄MLXXXV</t>
        </is>
      </c>
      <c r="C11086">
        <f>ROMAN(11085)</f>
        <v/>
      </c>
      <c r="D11086">
        <f>IF(B11086=C11086, "YES", "WRONG")</f>
        <v/>
      </c>
    </row>
    <row r="11087">
      <c r="A11087" t="n">
        <v>11086</v>
      </c>
      <c r="B11087" t="inlineStr">
        <is>
          <t>x̄MLXXXVI</t>
        </is>
      </c>
      <c r="C11087">
        <f>ROMAN(11086)</f>
        <v/>
      </c>
      <c r="D11087">
        <f>IF(B11087=C11087, "YES", "WRONG")</f>
        <v/>
      </c>
    </row>
    <row r="11088">
      <c r="A11088" t="n">
        <v>11087</v>
      </c>
      <c r="B11088" t="inlineStr">
        <is>
          <t>x̄MLXXXVII</t>
        </is>
      </c>
      <c r="C11088">
        <f>ROMAN(11087)</f>
        <v/>
      </c>
      <c r="D11088">
        <f>IF(B11088=C11088, "YES", "WRONG")</f>
        <v/>
      </c>
    </row>
    <row r="11089">
      <c r="A11089" t="n">
        <v>11088</v>
      </c>
      <c r="B11089" t="inlineStr">
        <is>
          <t>x̄MLXXXVIII</t>
        </is>
      </c>
      <c r="C11089">
        <f>ROMAN(11088)</f>
        <v/>
      </c>
      <c r="D11089">
        <f>IF(B11089=C11089, "YES", "WRONG")</f>
        <v/>
      </c>
    </row>
    <row r="11090">
      <c r="A11090" t="n">
        <v>11089</v>
      </c>
      <c r="B11090" t="inlineStr">
        <is>
          <t>x̄MLXXXIX</t>
        </is>
      </c>
      <c r="C11090">
        <f>ROMAN(11089)</f>
        <v/>
      </c>
      <c r="D11090">
        <f>IF(B11090=C11090, "YES", "WRONG")</f>
        <v/>
      </c>
    </row>
    <row r="11091">
      <c r="A11091" t="n">
        <v>11090</v>
      </c>
      <c r="B11091" t="inlineStr">
        <is>
          <t>x̄MXC</t>
        </is>
      </c>
      <c r="C11091">
        <f>ROMAN(11090)</f>
        <v/>
      </c>
      <c r="D11091">
        <f>IF(B11091=C11091, "YES", "WRONG")</f>
        <v/>
      </c>
    </row>
    <row r="11092">
      <c r="A11092" t="n">
        <v>11091</v>
      </c>
      <c r="B11092" t="inlineStr">
        <is>
          <t>x̄MXCI</t>
        </is>
      </c>
      <c r="C11092">
        <f>ROMAN(11091)</f>
        <v/>
      </c>
      <c r="D11092">
        <f>IF(B11092=C11092, "YES", "WRONG")</f>
        <v/>
      </c>
    </row>
    <row r="11093">
      <c r="A11093" t="n">
        <v>11092</v>
      </c>
      <c r="B11093" t="inlineStr">
        <is>
          <t>x̄MXCII</t>
        </is>
      </c>
      <c r="C11093">
        <f>ROMAN(11092)</f>
        <v/>
      </c>
      <c r="D11093">
        <f>IF(B11093=C11093, "YES", "WRONG")</f>
        <v/>
      </c>
    </row>
    <row r="11094">
      <c r="A11094" t="n">
        <v>11093</v>
      </c>
      <c r="B11094" t="inlineStr">
        <is>
          <t>x̄MXCIII</t>
        </is>
      </c>
      <c r="C11094">
        <f>ROMAN(11093)</f>
        <v/>
      </c>
      <c r="D11094">
        <f>IF(B11094=C11094, "YES", "WRONG")</f>
        <v/>
      </c>
    </row>
    <row r="11095">
      <c r="A11095" t="n">
        <v>11094</v>
      </c>
      <c r="B11095" t="inlineStr">
        <is>
          <t>x̄MXCIV</t>
        </is>
      </c>
      <c r="C11095">
        <f>ROMAN(11094)</f>
        <v/>
      </c>
      <c r="D11095">
        <f>IF(B11095=C11095, "YES", "WRONG")</f>
        <v/>
      </c>
    </row>
    <row r="11096">
      <c r="A11096" t="n">
        <v>11095</v>
      </c>
      <c r="B11096" t="inlineStr">
        <is>
          <t>x̄MXCV</t>
        </is>
      </c>
      <c r="C11096">
        <f>ROMAN(11095)</f>
        <v/>
      </c>
      <c r="D11096">
        <f>IF(B11096=C11096, "YES", "WRONG")</f>
        <v/>
      </c>
    </row>
    <row r="11097">
      <c r="A11097" t="n">
        <v>11096</v>
      </c>
      <c r="B11097" t="inlineStr">
        <is>
          <t>x̄MXCVI</t>
        </is>
      </c>
      <c r="C11097">
        <f>ROMAN(11096)</f>
        <v/>
      </c>
      <c r="D11097">
        <f>IF(B11097=C11097, "YES", "WRONG")</f>
        <v/>
      </c>
    </row>
    <row r="11098">
      <c r="A11098" t="n">
        <v>11097</v>
      </c>
      <c r="B11098" t="inlineStr">
        <is>
          <t>x̄MXCVII</t>
        </is>
      </c>
      <c r="C11098">
        <f>ROMAN(11097)</f>
        <v/>
      </c>
      <c r="D11098">
        <f>IF(B11098=C11098, "YES", "WRONG")</f>
        <v/>
      </c>
    </row>
    <row r="11099">
      <c r="A11099" t="n">
        <v>11098</v>
      </c>
      <c r="B11099" t="inlineStr">
        <is>
          <t>x̄MXCVIII</t>
        </is>
      </c>
      <c r="C11099">
        <f>ROMAN(11098)</f>
        <v/>
      </c>
      <c r="D11099">
        <f>IF(B11099=C11099, "YES", "WRONG")</f>
        <v/>
      </c>
    </row>
    <row r="11100">
      <c r="A11100" t="n">
        <v>11099</v>
      </c>
      <c r="B11100" t="inlineStr">
        <is>
          <t>x̄MXCIX</t>
        </is>
      </c>
      <c r="C11100">
        <f>ROMAN(11099)</f>
        <v/>
      </c>
      <c r="D11100">
        <f>IF(B11100=C11100, "YES", "WRONG")</f>
        <v/>
      </c>
    </row>
    <row r="11101">
      <c r="A11101" t="n">
        <v>11100</v>
      </c>
      <c r="B11101" t="inlineStr">
        <is>
          <t>x̄MC</t>
        </is>
      </c>
      <c r="C11101">
        <f>ROMAN(11100)</f>
        <v/>
      </c>
      <c r="D11101">
        <f>IF(B11101=C11101, "YES", "WRONG")</f>
        <v/>
      </c>
    </row>
    <row r="11102">
      <c r="A11102" t="n">
        <v>11101</v>
      </c>
      <c r="B11102" t="inlineStr">
        <is>
          <t>x̄MCI</t>
        </is>
      </c>
      <c r="C11102">
        <f>ROMAN(11101)</f>
        <v/>
      </c>
      <c r="D11102">
        <f>IF(B11102=C11102, "YES", "WRONG")</f>
        <v/>
      </c>
    </row>
    <row r="11103">
      <c r="A11103" t="n">
        <v>11102</v>
      </c>
      <c r="B11103" t="inlineStr">
        <is>
          <t>x̄MCII</t>
        </is>
      </c>
      <c r="C11103">
        <f>ROMAN(11102)</f>
        <v/>
      </c>
      <c r="D11103">
        <f>IF(B11103=C11103, "YES", "WRONG")</f>
        <v/>
      </c>
    </row>
    <row r="11104">
      <c r="A11104" t="n">
        <v>11103</v>
      </c>
      <c r="B11104" t="inlineStr">
        <is>
          <t>x̄MCIII</t>
        </is>
      </c>
      <c r="C11104">
        <f>ROMAN(11103)</f>
        <v/>
      </c>
      <c r="D11104">
        <f>IF(B11104=C11104, "YES", "WRONG")</f>
        <v/>
      </c>
    </row>
    <row r="11105">
      <c r="A11105" t="n">
        <v>11104</v>
      </c>
      <c r="B11105" t="inlineStr">
        <is>
          <t>x̄MCIV</t>
        </is>
      </c>
      <c r="C11105">
        <f>ROMAN(11104)</f>
        <v/>
      </c>
      <c r="D11105">
        <f>IF(B11105=C11105, "YES", "WRONG")</f>
        <v/>
      </c>
    </row>
    <row r="11106">
      <c r="A11106" t="n">
        <v>11105</v>
      </c>
      <c r="B11106" t="inlineStr">
        <is>
          <t>x̄MCV</t>
        </is>
      </c>
      <c r="C11106">
        <f>ROMAN(11105)</f>
        <v/>
      </c>
      <c r="D11106">
        <f>IF(B11106=C11106, "YES", "WRONG")</f>
        <v/>
      </c>
    </row>
    <row r="11107">
      <c r="A11107" t="n">
        <v>11106</v>
      </c>
      <c r="B11107" t="inlineStr">
        <is>
          <t>x̄MCVI</t>
        </is>
      </c>
      <c r="C11107">
        <f>ROMAN(11106)</f>
        <v/>
      </c>
      <c r="D11107">
        <f>IF(B11107=C11107, "YES", "WRONG")</f>
        <v/>
      </c>
    </row>
    <row r="11108">
      <c r="A11108" t="n">
        <v>11107</v>
      </c>
      <c r="B11108" t="inlineStr">
        <is>
          <t>x̄MCVII</t>
        </is>
      </c>
      <c r="C11108">
        <f>ROMAN(11107)</f>
        <v/>
      </c>
      <c r="D11108">
        <f>IF(B11108=C11108, "YES", "WRONG")</f>
        <v/>
      </c>
    </row>
    <row r="11109">
      <c r="A11109" t="n">
        <v>11108</v>
      </c>
      <c r="B11109" t="inlineStr">
        <is>
          <t>x̄MCVIII</t>
        </is>
      </c>
      <c r="C11109">
        <f>ROMAN(11108)</f>
        <v/>
      </c>
      <c r="D11109">
        <f>IF(B11109=C11109, "YES", "WRONG")</f>
        <v/>
      </c>
    </row>
    <row r="11110">
      <c r="A11110" t="n">
        <v>11109</v>
      </c>
      <c r="B11110" t="inlineStr">
        <is>
          <t>x̄MCIX</t>
        </is>
      </c>
      <c r="C11110">
        <f>ROMAN(11109)</f>
        <v/>
      </c>
      <c r="D11110">
        <f>IF(B11110=C11110, "YES", "WRONG")</f>
        <v/>
      </c>
    </row>
    <row r="11111">
      <c r="A11111" t="n">
        <v>11110</v>
      </c>
      <c r="B11111" t="inlineStr">
        <is>
          <t>x̄MCX</t>
        </is>
      </c>
      <c r="C11111">
        <f>ROMAN(11110)</f>
        <v/>
      </c>
      <c r="D11111">
        <f>IF(B11111=C11111, "YES", "WRONG")</f>
        <v/>
      </c>
    </row>
    <row r="11112">
      <c r="A11112" t="n">
        <v>11111</v>
      </c>
      <c r="B11112" t="inlineStr">
        <is>
          <t>x̄MCXI</t>
        </is>
      </c>
      <c r="C11112">
        <f>ROMAN(11111)</f>
        <v/>
      </c>
      <c r="D11112">
        <f>IF(B11112=C11112, "YES", "WRONG")</f>
        <v/>
      </c>
    </row>
    <row r="11113">
      <c r="A11113" t="n">
        <v>11112</v>
      </c>
      <c r="B11113" t="inlineStr">
        <is>
          <t>x̄MCXII</t>
        </is>
      </c>
      <c r="C11113">
        <f>ROMAN(11112)</f>
        <v/>
      </c>
      <c r="D11113">
        <f>IF(B11113=C11113, "YES", "WRONG")</f>
        <v/>
      </c>
    </row>
    <row r="11114">
      <c r="A11114" t="n">
        <v>11113</v>
      </c>
      <c r="B11114" t="inlineStr">
        <is>
          <t>x̄MCXIII</t>
        </is>
      </c>
      <c r="C11114">
        <f>ROMAN(11113)</f>
        <v/>
      </c>
      <c r="D11114">
        <f>IF(B11114=C11114, "YES", "WRONG")</f>
        <v/>
      </c>
    </row>
    <row r="11115">
      <c r="A11115" t="n">
        <v>11114</v>
      </c>
      <c r="B11115" t="inlineStr">
        <is>
          <t>x̄MCXIV</t>
        </is>
      </c>
      <c r="C11115">
        <f>ROMAN(11114)</f>
        <v/>
      </c>
      <c r="D11115">
        <f>IF(B11115=C11115, "YES", "WRONG")</f>
        <v/>
      </c>
    </row>
    <row r="11116">
      <c r="A11116" t="n">
        <v>11115</v>
      </c>
      <c r="B11116" t="inlineStr">
        <is>
          <t>x̄MCXV</t>
        </is>
      </c>
      <c r="C11116">
        <f>ROMAN(11115)</f>
        <v/>
      </c>
      <c r="D11116">
        <f>IF(B11116=C11116, "YES", "WRONG")</f>
        <v/>
      </c>
    </row>
    <row r="11117">
      <c r="A11117" t="n">
        <v>11116</v>
      </c>
      <c r="B11117" t="inlineStr">
        <is>
          <t>x̄MCXVI</t>
        </is>
      </c>
      <c r="C11117">
        <f>ROMAN(11116)</f>
        <v/>
      </c>
      <c r="D11117">
        <f>IF(B11117=C11117, "YES", "WRONG")</f>
        <v/>
      </c>
    </row>
    <row r="11118">
      <c r="A11118" t="n">
        <v>11117</v>
      </c>
      <c r="B11118" t="inlineStr">
        <is>
          <t>x̄MCXVII</t>
        </is>
      </c>
      <c r="C11118">
        <f>ROMAN(11117)</f>
        <v/>
      </c>
      <c r="D11118">
        <f>IF(B11118=C11118, "YES", "WRONG")</f>
        <v/>
      </c>
    </row>
    <row r="11119">
      <c r="A11119" t="n">
        <v>11118</v>
      </c>
      <c r="B11119" t="inlineStr">
        <is>
          <t>x̄MCXVIII</t>
        </is>
      </c>
      <c r="C11119">
        <f>ROMAN(11118)</f>
        <v/>
      </c>
      <c r="D11119">
        <f>IF(B11119=C11119, "YES", "WRONG")</f>
        <v/>
      </c>
    </row>
    <row r="11120">
      <c r="A11120" t="n">
        <v>11119</v>
      </c>
      <c r="B11120" t="inlineStr">
        <is>
          <t>x̄MCXIX</t>
        </is>
      </c>
      <c r="C11120">
        <f>ROMAN(11119)</f>
        <v/>
      </c>
      <c r="D11120">
        <f>IF(B11120=C11120, "YES", "WRONG")</f>
        <v/>
      </c>
    </row>
    <row r="11121">
      <c r="A11121" t="n">
        <v>11120</v>
      </c>
      <c r="B11121" t="inlineStr">
        <is>
          <t>x̄MCXX</t>
        </is>
      </c>
      <c r="C11121">
        <f>ROMAN(11120)</f>
        <v/>
      </c>
      <c r="D11121">
        <f>IF(B11121=C11121, "YES", "WRONG")</f>
        <v/>
      </c>
    </row>
    <row r="11122">
      <c r="A11122" t="n">
        <v>11121</v>
      </c>
      <c r="B11122" t="inlineStr">
        <is>
          <t>x̄MCXXI</t>
        </is>
      </c>
      <c r="C11122">
        <f>ROMAN(11121)</f>
        <v/>
      </c>
      <c r="D11122">
        <f>IF(B11122=C11122, "YES", "WRONG")</f>
        <v/>
      </c>
    </row>
    <row r="11123">
      <c r="A11123" t="n">
        <v>11122</v>
      </c>
      <c r="B11123" t="inlineStr">
        <is>
          <t>x̄MCXXII</t>
        </is>
      </c>
      <c r="C11123">
        <f>ROMAN(11122)</f>
        <v/>
      </c>
      <c r="D11123">
        <f>IF(B11123=C11123, "YES", "WRONG")</f>
        <v/>
      </c>
    </row>
    <row r="11124">
      <c r="A11124" t="n">
        <v>11123</v>
      </c>
      <c r="B11124" t="inlineStr">
        <is>
          <t>x̄MCXXIII</t>
        </is>
      </c>
      <c r="C11124">
        <f>ROMAN(11123)</f>
        <v/>
      </c>
      <c r="D11124">
        <f>IF(B11124=C11124, "YES", "WRONG")</f>
        <v/>
      </c>
    </row>
    <row r="11125">
      <c r="A11125" t="n">
        <v>11124</v>
      </c>
      <c r="B11125" t="inlineStr">
        <is>
          <t>x̄MCXXIV</t>
        </is>
      </c>
      <c r="C11125">
        <f>ROMAN(11124)</f>
        <v/>
      </c>
      <c r="D11125">
        <f>IF(B11125=C11125, "YES", "WRONG")</f>
        <v/>
      </c>
    </row>
    <row r="11126">
      <c r="A11126" t="n">
        <v>11125</v>
      </c>
      <c r="B11126" t="inlineStr">
        <is>
          <t>x̄MCXXV</t>
        </is>
      </c>
      <c r="C11126">
        <f>ROMAN(11125)</f>
        <v/>
      </c>
      <c r="D11126">
        <f>IF(B11126=C11126, "YES", "WRONG")</f>
        <v/>
      </c>
    </row>
    <row r="11127">
      <c r="A11127" t="n">
        <v>11126</v>
      </c>
      <c r="B11127" t="inlineStr">
        <is>
          <t>x̄MCXXVI</t>
        </is>
      </c>
      <c r="C11127">
        <f>ROMAN(11126)</f>
        <v/>
      </c>
      <c r="D11127">
        <f>IF(B11127=C11127, "YES", "WRONG")</f>
        <v/>
      </c>
    </row>
    <row r="11128">
      <c r="A11128" t="n">
        <v>11127</v>
      </c>
      <c r="B11128" t="inlineStr">
        <is>
          <t>x̄MCXXVII</t>
        </is>
      </c>
      <c r="C11128">
        <f>ROMAN(11127)</f>
        <v/>
      </c>
      <c r="D11128">
        <f>IF(B11128=C11128, "YES", "WRONG")</f>
        <v/>
      </c>
    </row>
    <row r="11129">
      <c r="A11129" t="n">
        <v>11128</v>
      </c>
      <c r="B11129" t="inlineStr">
        <is>
          <t>x̄MCXXVIII</t>
        </is>
      </c>
      <c r="C11129">
        <f>ROMAN(11128)</f>
        <v/>
      </c>
      <c r="D11129">
        <f>IF(B11129=C11129, "YES", "WRONG")</f>
        <v/>
      </c>
    </row>
    <row r="11130">
      <c r="A11130" t="n">
        <v>11129</v>
      </c>
      <c r="B11130" t="inlineStr">
        <is>
          <t>x̄MCXXIX</t>
        </is>
      </c>
      <c r="C11130">
        <f>ROMAN(11129)</f>
        <v/>
      </c>
      <c r="D11130">
        <f>IF(B11130=C11130, "YES", "WRONG")</f>
        <v/>
      </c>
    </row>
    <row r="11131">
      <c r="A11131" t="n">
        <v>11130</v>
      </c>
      <c r="B11131" t="inlineStr">
        <is>
          <t>x̄MCXXX</t>
        </is>
      </c>
      <c r="C11131">
        <f>ROMAN(11130)</f>
        <v/>
      </c>
      <c r="D11131">
        <f>IF(B11131=C11131, "YES", "WRONG")</f>
        <v/>
      </c>
    </row>
    <row r="11132">
      <c r="A11132" t="n">
        <v>11131</v>
      </c>
      <c r="B11132" t="inlineStr">
        <is>
          <t>x̄MCXXXI</t>
        </is>
      </c>
      <c r="C11132">
        <f>ROMAN(11131)</f>
        <v/>
      </c>
      <c r="D11132">
        <f>IF(B11132=C11132, "YES", "WRONG")</f>
        <v/>
      </c>
    </row>
    <row r="11133">
      <c r="A11133" t="n">
        <v>11132</v>
      </c>
      <c r="B11133" t="inlineStr">
        <is>
          <t>x̄MCXXXII</t>
        </is>
      </c>
      <c r="C11133">
        <f>ROMAN(11132)</f>
        <v/>
      </c>
      <c r="D11133">
        <f>IF(B11133=C11133, "YES", "WRONG")</f>
        <v/>
      </c>
    </row>
    <row r="11134">
      <c r="A11134" t="n">
        <v>11133</v>
      </c>
      <c r="B11134" t="inlineStr">
        <is>
          <t>x̄MCXXXIII</t>
        </is>
      </c>
      <c r="C11134">
        <f>ROMAN(11133)</f>
        <v/>
      </c>
      <c r="D11134">
        <f>IF(B11134=C11134, "YES", "WRONG")</f>
        <v/>
      </c>
    </row>
    <row r="11135">
      <c r="A11135" t="n">
        <v>11134</v>
      </c>
      <c r="B11135" t="inlineStr">
        <is>
          <t>x̄MCXXXIV</t>
        </is>
      </c>
      <c r="C11135">
        <f>ROMAN(11134)</f>
        <v/>
      </c>
      <c r="D11135">
        <f>IF(B11135=C11135, "YES", "WRONG")</f>
        <v/>
      </c>
    </row>
    <row r="11136">
      <c r="A11136" t="n">
        <v>11135</v>
      </c>
      <c r="B11136" t="inlineStr">
        <is>
          <t>x̄MCXXXV</t>
        </is>
      </c>
      <c r="C11136">
        <f>ROMAN(11135)</f>
        <v/>
      </c>
      <c r="D11136">
        <f>IF(B11136=C11136, "YES", "WRONG")</f>
        <v/>
      </c>
    </row>
    <row r="11137">
      <c r="A11137" t="n">
        <v>11136</v>
      </c>
      <c r="B11137" t="inlineStr">
        <is>
          <t>x̄MCXXXVI</t>
        </is>
      </c>
      <c r="C11137">
        <f>ROMAN(11136)</f>
        <v/>
      </c>
      <c r="D11137">
        <f>IF(B11137=C11137, "YES", "WRONG")</f>
        <v/>
      </c>
    </row>
    <row r="11138">
      <c r="A11138" t="n">
        <v>11137</v>
      </c>
      <c r="B11138" t="inlineStr">
        <is>
          <t>x̄MCXXXVII</t>
        </is>
      </c>
      <c r="C11138">
        <f>ROMAN(11137)</f>
        <v/>
      </c>
      <c r="D11138">
        <f>IF(B11138=C11138, "YES", "WRONG")</f>
        <v/>
      </c>
    </row>
    <row r="11139">
      <c r="A11139" t="n">
        <v>11138</v>
      </c>
      <c r="B11139" t="inlineStr">
        <is>
          <t>x̄MCXXXVIII</t>
        </is>
      </c>
      <c r="C11139">
        <f>ROMAN(11138)</f>
        <v/>
      </c>
      <c r="D11139">
        <f>IF(B11139=C11139, "YES", "WRONG")</f>
        <v/>
      </c>
    </row>
    <row r="11140">
      <c r="A11140" t="n">
        <v>11139</v>
      </c>
      <c r="B11140" t="inlineStr">
        <is>
          <t>x̄MCXXXIX</t>
        </is>
      </c>
      <c r="C11140">
        <f>ROMAN(11139)</f>
        <v/>
      </c>
      <c r="D11140">
        <f>IF(B11140=C11140, "YES", "WRONG")</f>
        <v/>
      </c>
    </row>
    <row r="11141">
      <c r="A11141" t="n">
        <v>11140</v>
      </c>
      <c r="B11141" t="inlineStr">
        <is>
          <t>x̄MCXL</t>
        </is>
      </c>
      <c r="C11141">
        <f>ROMAN(11140)</f>
        <v/>
      </c>
      <c r="D11141">
        <f>IF(B11141=C11141, "YES", "WRONG")</f>
        <v/>
      </c>
    </row>
    <row r="11142">
      <c r="A11142" t="n">
        <v>11141</v>
      </c>
      <c r="B11142" t="inlineStr">
        <is>
          <t>x̄MCXLI</t>
        </is>
      </c>
      <c r="C11142">
        <f>ROMAN(11141)</f>
        <v/>
      </c>
      <c r="D11142">
        <f>IF(B11142=C11142, "YES", "WRONG")</f>
        <v/>
      </c>
    </row>
    <row r="11143">
      <c r="A11143" t="n">
        <v>11142</v>
      </c>
      <c r="B11143" t="inlineStr">
        <is>
          <t>x̄MCXLII</t>
        </is>
      </c>
      <c r="C11143">
        <f>ROMAN(11142)</f>
        <v/>
      </c>
      <c r="D11143">
        <f>IF(B11143=C11143, "YES", "WRONG")</f>
        <v/>
      </c>
    </row>
    <row r="11144">
      <c r="A11144" t="n">
        <v>11143</v>
      </c>
      <c r="B11144" t="inlineStr">
        <is>
          <t>x̄MCXLIII</t>
        </is>
      </c>
      <c r="C11144">
        <f>ROMAN(11143)</f>
        <v/>
      </c>
      <c r="D11144">
        <f>IF(B11144=C11144, "YES", "WRONG")</f>
        <v/>
      </c>
    </row>
    <row r="11145">
      <c r="A11145" t="n">
        <v>11144</v>
      </c>
      <c r="B11145" t="inlineStr">
        <is>
          <t>x̄MCXLIV</t>
        </is>
      </c>
      <c r="C11145">
        <f>ROMAN(11144)</f>
        <v/>
      </c>
      <c r="D11145">
        <f>IF(B11145=C11145, "YES", "WRONG")</f>
        <v/>
      </c>
    </row>
    <row r="11146">
      <c r="A11146" t="n">
        <v>11145</v>
      </c>
      <c r="B11146" t="inlineStr">
        <is>
          <t>x̄MCXLV</t>
        </is>
      </c>
      <c r="C11146">
        <f>ROMAN(11145)</f>
        <v/>
      </c>
      <c r="D11146">
        <f>IF(B11146=C11146, "YES", "WRONG")</f>
        <v/>
      </c>
    </row>
    <row r="11147">
      <c r="A11147" t="n">
        <v>11146</v>
      </c>
      <c r="B11147" t="inlineStr">
        <is>
          <t>x̄MCXLVI</t>
        </is>
      </c>
      <c r="C11147">
        <f>ROMAN(11146)</f>
        <v/>
      </c>
      <c r="D11147">
        <f>IF(B11147=C11147, "YES", "WRONG")</f>
        <v/>
      </c>
    </row>
    <row r="11148">
      <c r="A11148" t="n">
        <v>11147</v>
      </c>
      <c r="B11148" t="inlineStr">
        <is>
          <t>x̄MCXLVII</t>
        </is>
      </c>
      <c r="C11148">
        <f>ROMAN(11147)</f>
        <v/>
      </c>
      <c r="D11148">
        <f>IF(B11148=C11148, "YES", "WRONG")</f>
        <v/>
      </c>
    </row>
    <row r="11149">
      <c r="A11149" t="n">
        <v>11148</v>
      </c>
      <c r="B11149" t="inlineStr">
        <is>
          <t>x̄MCXLVIII</t>
        </is>
      </c>
      <c r="C11149">
        <f>ROMAN(11148)</f>
        <v/>
      </c>
      <c r="D11149">
        <f>IF(B11149=C11149, "YES", "WRONG")</f>
        <v/>
      </c>
    </row>
    <row r="11150">
      <c r="A11150" t="n">
        <v>11149</v>
      </c>
      <c r="B11150" t="inlineStr">
        <is>
          <t>x̄MCXLIX</t>
        </is>
      </c>
      <c r="C11150">
        <f>ROMAN(11149)</f>
        <v/>
      </c>
      <c r="D11150">
        <f>IF(B11150=C11150, "YES", "WRONG")</f>
        <v/>
      </c>
    </row>
    <row r="11151">
      <c r="A11151" t="n">
        <v>11150</v>
      </c>
      <c r="B11151" t="inlineStr">
        <is>
          <t>x̄MCL</t>
        </is>
      </c>
      <c r="C11151">
        <f>ROMAN(11150)</f>
        <v/>
      </c>
      <c r="D11151">
        <f>IF(B11151=C11151, "YES", "WRONG")</f>
        <v/>
      </c>
    </row>
    <row r="11152">
      <c r="A11152" t="n">
        <v>11151</v>
      </c>
      <c r="B11152" t="inlineStr">
        <is>
          <t>x̄MCLI</t>
        </is>
      </c>
      <c r="C11152">
        <f>ROMAN(11151)</f>
        <v/>
      </c>
      <c r="D11152">
        <f>IF(B11152=C11152, "YES", "WRONG")</f>
        <v/>
      </c>
    </row>
    <row r="11153">
      <c r="A11153" t="n">
        <v>11152</v>
      </c>
      <c r="B11153" t="inlineStr">
        <is>
          <t>x̄MCLII</t>
        </is>
      </c>
      <c r="C11153">
        <f>ROMAN(11152)</f>
        <v/>
      </c>
      <c r="D11153">
        <f>IF(B11153=C11153, "YES", "WRONG")</f>
        <v/>
      </c>
    </row>
    <row r="11154">
      <c r="A11154" t="n">
        <v>11153</v>
      </c>
      <c r="B11154" t="inlineStr">
        <is>
          <t>x̄MCLIII</t>
        </is>
      </c>
      <c r="C11154">
        <f>ROMAN(11153)</f>
        <v/>
      </c>
      <c r="D11154">
        <f>IF(B11154=C11154, "YES", "WRONG")</f>
        <v/>
      </c>
    </row>
    <row r="11155">
      <c r="A11155" t="n">
        <v>11154</v>
      </c>
      <c r="B11155" t="inlineStr">
        <is>
          <t>x̄MCLIV</t>
        </is>
      </c>
      <c r="C11155">
        <f>ROMAN(11154)</f>
        <v/>
      </c>
      <c r="D11155">
        <f>IF(B11155=C11155, "YES", "WRONG")</f>
        <v/>
      </c>
    </row>
    <row r="11156">
      <c r="A11156" t="n">
        <v>11155</v>
      </c>
      <c r="B11156" t="inlineStr">
        <is>
          <t>x̄MCLV</t>
        </is>
      </c>
      <c r="C11156">
        <f>ROMAN(11155)</f>
        <v/>
      </c>
      <c r="D11156">
        <f>IF(B11156=C11156, "YES", "WRONG")</f>
        <v/>
      </c>
    </row>
    <row r="11157">
      <c r="A11157" t="n">
        <v>11156</v>
      </c>
      <c r="B11157" t="inlineStr">
        <is>
          <t>x̄MCLVI</t>
        </is>
      </c>
      <c r="C11157">
        <f>ROMAN(11156)</f>
        <v/>
      </c>
      <c r="D11157">
        <f>IF(B11157=C11157, "YES", "WRONG")</f>
        <v/>
      </c>
    </row>
    <row r="11158">
      <c r="A11158" t="n">
        <v>11157</v>
      </c>
      <c r="B11158" t="inlineStr">
        <is>
          <t>x̄MCLVII</t>
        </is>
      </c>
      <c r="C11158">
        <f>ROMAN(11157)</f>
        <v/>
      </c>
      <c r="D11158">
        <f>IF(B11158=C11158, "YES", "WRONG")</f>
        <v/>
      </c>
    </row>
    <row r="11159">
      <c r="A11159" t="n">
        <v>11158</v>
      </c>
      <c r="B11159" t="inlineStr">
        <is>
          <t>x̄MCLVIII</t>
        </is>
      </c>
      <c r="C11159">
        <f>ROMAN(11158)</f>
        <v/>
      </c>
      <c r="D11159">
        <f>IF(B11159=C11159, "YES", "WRONG")</f>
        <v/>
      </c>
    </row>
    <row r="11160">
      <c r="A11160" t="n">
        <v>11159</v>
      </c>
      <c r="B11160" t="inlineStr">
        <is>
          <t>x̄MCLIX</t>
        </is>
      </c>
      <c r="C11160">
        <f>ROMAN(11159)</f>
        <v/>
      </c>
      <c r="D11160">
        <f>IF(B11160=C11160, "YES", "WRONG")</f>
        <v/>
      </c>
    </row>
    <row r="11161">
      <c r="A11161" t="n">
        <v>11160</v>
      </c>
      <c r="B11161" t="inlineStr">
        <is>
          <t>x̄MCLX</t>
        </is>
      </c>
      <c r="C11161">
        <f>ROMAN(11160)</f>
        <v/>
      </c>
      <c r="D11161">
        <f>IF(B11161=C11161, "YES", "WRONG")</f>
        <v/>
      </c>
    </row>
    <row r="11162">
      <c r="A11162" t="n">
        <v>11161</v>
      </c>
      <c r="B11162" t="inlineStr">
        <is>
          <t>x̄MCLXI</t>
        </is>
      </c>
      <c r="C11162">
        <f>ROMAN(11161)</f>
        <v/>
      </c>
      <c r="D11162">
        <f>IF(B11162=C11162, "YES", "WRONG")</f>
        <v/>
      </c>
    </row>
    <row r="11163">
      <c r="A11163" t="n">
        <v>11162</v>
      </c>
      <c r="B11163" t="inlineStr">
        <is>
          <t>x̄MCLXII</t>
        </is>
      </c>
      <c r="C11163">
        <f>ROMAN(11162)</f>
        <v/>
      </c>
      <c r="D11163">
        <f>IF(B11163=C11163, "YES", "WRONG")</f>
        <v/>
      </c>
    </row>
    <row r="11164">
      <c r="A11164" t="n">
        <v>11163</v>
      </c>
      <c r="B11164" t="inlineStr">
        <is>
          <t>x̄MCLXIII</t>
        </is>
      </c>
      <c r="C11164">
        <f>ROMAN(11163)</f>
        <v/>
      </c>
      <c r="D11164">
        <f>IF(B11164=C11164, "YES", "WRONG")</f>
        <v/>
      </c>
    </row>
    <row r="11165">
      <c r="A11165" t="n">
        <v>11164</v>
      </c>
      <c r="B11165" t="inlineStr">
        <is>
          <t>x̄MCLXIV</t>
        </is>
      </c>
      <c r="C11165">
        <f>ROMAN(11164)</f>
        <v/>
      </c>
      <c r="D11165">
        <f>IF(B11165=C11165, "YES", "WRONG")</f>
        <v/>
      </c>
    </row>
    <row r="11166">
      <c r="A11166" t="n">
        <v>11165</v>
      </c>
      <c r="B11166" t="inlineStr">
        <is>
          <t>x̄MCLXV</t>
        </is>
      </c>
      <c r="C11166">
        <f>ROMAN(11165)</f>
        <v/>
      </c>
      <c r="D11166">
        <f>IF(B11166=C11166, "YES", "WRONG")</f>
        <v/>
      </c>
    </row>
    <row r="11167">
      <c r="A11167" t="n">
        <v>11166</v>
      </c>
      <c r="B11167" t="inlineStr">
        <is>
          <t>x̄MCLXVI</t>
        </is>
      </c>
      <c r="C11167">
        <f>ROMAN(11166)</f>
        <v/>
      </c>
      <c r="D11167">
        <f>IF(B11167=C11167, "YES", "WRONG")</f>
        <v/>
      </c>
    </row>
    <row r="11168">
      <c r="A11168" t="n">
        <v>11167</v>
      </c>
      <c r="B11168" t="inlineStr">
        <is>
          <t>x̄MCLXVII</t>
        </is>
      </c>
      <c r="C11168">
        <f>ROMAN(11167)</f>
        <v/>
      </c>
      <c r="D11168">
        <f>IF(B11168=C11168, "YES", "WRONG")</f>
        <v/>
      </c>
    </row>
    <row r="11169">
      <c r="A11169" t="n">
        <v>11168</v>
      </c>
      <c r="B11169" t="inlineStr">
        <is>
          <t>x̄MCLXVIII</t>
        </is>
      </c>
      <c r="C11169">
        <f>ROMAN(11168)</f>
        <v/>
      </c>
      <c r="D11169">
        <f>IF(B11169=C11169, "YES", "WRONG")</f>
        <v/>
      </c>
    </row>
    <row r="11170">
      <c r="A11170" t="n">
        <v>11169</v>
      </c>
      <c r="B11170" t="inlineStr">
        <is>
          <t>x̄MCLXIX</t>
        </is>
      </c>
      <c r="C11170">
        <f>ROMAN(11169)</f>
        <v/>
      </c>
      <c r="D11170">
        <f>IF(B11170=C11170, "YES", "WRONG")</f>
        <v/>
      </c>
    </row>
    <row r="11171">
      <c r="A11171" t="n">
        <v>11170</v>
      </c>
      <c r="B11171" t="inlineStr">
        <is>
          <t>x̄MCLXX</t>
        </is>
      </c>
      <c r="C11171">
        <f>ROMAN(11170)</f>
        <v/>
      </c>
      <c r="D11171">
        <f>IF(B11171=C11171, "YES", "WRONG")</f>
        <v/>
      </c>
    </row>
    <row r="11172">
      <c r="A11172" t="n">
        <v>11171</v>
      </c>
      <c r="B11172" t="inlineStr">
        <is>
          <t>x̄MCLXXI</t>
        </is>
      </c>
      <c r="C11172">
        <f>ROMAN(11171)</f>
        <v/>
      </c>
      <c r="D11172">
        <f>IF(B11172=C11172, "YES", "WRONG")</f>
        <v/>
      </c>
    </row>
    <row r="11173">
      <c r="A11173" t="n">
        <v>11172</v>
      </c>
      <c r="B11173" t="inlineStr">
        <is>
          <t>x̄MCLXXII</t>
        </is>
      </c>
      <c r="C11173">
        <f>ROMAN(11172)</f>
        <v/>
      </c>
      <c r="D11173">
        <f>IF(B11173=C11173, "YES", "WRONG")</f>
        <v/>
      </c>
    </row>
    <row r="11174">
      <c r="A11174" t="n">
        <v>11173</v>
      </c>
      <c r="B11174" t="inlineStr">
        <is>
          <t>x̄MCLXXIII</t>
        </is>
      </c>
      <c r="C11174">
        <f>ROMAN(11173)</f>
        <v/>
      </c>
      <c r="D11174">
        <f>IF(B11174=C11174, "YES", "WRONG")</f>
        <v/>
      </c>
    </row>
    <row r="11175">
      <c r="A11175" t="n">
        <v>11174</v>
      </c>
      <c r="B11175" t="inlineStr">
        <is>
          <t>x̄MCLXXIV</t>
        </is>
      </c>
      <c r="C11175">
        <f>ROMAN(11174)</f>
        <v/>
      </c>
      <c r="D11175">
        <f>IF(B11175=C11175, "YES", "WRONG")</f>
        <v/>
      </c>
    </row>
    <row r="11176">
      <c r="A11176" t="n">
        <v>11175</v>
      </c>
      <c r="B11176" t="inlineStr">
        <is>
          <t>x̄MCLXXV</t>
        </is>
      </c>
      <c r="C11176">
        <f>ROMAN(11175)</f>
        <v/>
      </c>
      <c r="D11176">
        <f>IF(B11176=C11176, "YES", "WRONG")</f>
        <v/>
      </c>
    </row>
    <row r="11177">
      <c r="A11177" t="n">
        <v>11176</v>
      </c>
      <c r="B11177" t="inlineStr">
        <is>
          <t>x̄MCLXXVI</t>
        </is>
      </c>
      <c r="C11177">
        <f>ROMAN(11176)</f>
        <v/>
      </c>
      <c r="D11177">
        <f>IF(B11177=C11177, "YES", "WRONG")</f>
        <v/>
      </c>
    </row>
    <row r="11178">
      <c r="A11178" t="n">
        <v>11177</v>
      </c>
      <c r="B11178" t="inlineStr">
        <is>
          <t>x̄MCLXXVII</t>
        </is>
      </c>
      <c r="C11178">
        <f>ROMAN(11177)</f>
        <v/>
      </c>
      <c r="D11178">
        <f>IF(B11178=C11178, "YES", "WRONG")</f>
        <v/>
      </c>
    </row>
    <row r="11179">
      <c r="A11179" t="n">
        <v>11178</v>
      </c>
      <c r="B11179" t="inlineStr">
        <is>
          <t>x̄MCLXXVIII</t>
        </is>
      </c>
      <c r="C11179">
        <f>ROMAN(11178)</f>
        <v/>
      </c>
      <c r="D11179">
        <f>IF(B11179=C11179, "YES", "WRONG")</f>
        <v/>
      </c>
    </row>
    <row r="11180">
      <c r="A11180" t="n">
        <v>11179</v>
      </c>
      <c r="B11180" t="inlineStr">
        <is>
          <t>x̄MCLXXIX</t>
        </is>
      </c>
      <c r="C11180">
        <f>ROMAN(11179)</f>
        <v/>
      </c>
      <c r="D11180">
        <f>IF(B11180=C11180, "YES", "WRONG")</f>
        <v/>
      </c>
    </row>
    <row r="11181">
      <c r="A11181" t="n">
        <v>11180</v>
      </c>
      <c r="B11181" t="inlineStr">
        <is>
          <t>x̄MCLXXX</t>
        </is>
      </c>
      <c r="C11181">
        <f>ROMAN(11180)</f>
        <v/>
      </c>
      <c r="D11181">
        <f>IF(B11181=C11181, "YES", "WRONG")</f>
        <v/>
      </c>
    </row>
    <row r="11182">
      <c r="A11182" t="n">
        <v>11181</v>
      </c>
      <c r="B11182" t="inlineStr">
        <is>
          <t>x̄MCLXXXI</t>
        </is>
      </c>
      <c r="C11182">
        <f>ROMAN(11181)</f>
        <v/>
      </c>
      <c r="D11182">
        <f>IF(B11182=C11182, "YES", "WRONG")</f>
        <v/>
      </c>
    </row>
    <row r="11183">
      <c r="A11183" t="n">
        <v>11182</v>
      </c>
      <c r="B11183" t="inlineStr">
        <is>
          <t>x̄MCLXXXII</t>
        </is>
      </c>
      <c r="C11183">
        <f>ROMAN(11182)</f>
        <v/>
      </c>
      <c r="D11183">
        <f>IF(B11183=C11183, "YES", "WRONG")</f>
        <v/>
      </c>
    </row>
    <row r="11184">
      <c r="A11184" t="n">
        <v>11183</v>
      </c>
      <c r="B11184" t="inlineStr">
        <is>
          <t>x̄MCLXXXIII</t>
        </is>
      </c>
      <c r="C11184">
        <f>ROMAN(11183)</f>
        <v/>
      </c>
      <c r="D11184">
        <f>IF(B11184=C11184, "YES", "WRONG")</f>
        <v/>
      </c>
    </row>
    <row r="11185">
      <c r="A11185" t="n">
        <v>11184</v>
      </c>
      <c r="B11185" t="inlineStr">
        <is>
          <t>x̄MCLXXXIV</t>
        </is>
      </c>
      <c r="C11185">
        <f>ROMAN(11184)</f>
        <v/>
      </c>
      <c r="D11185">
        <f>IF(B11185=C11185, "YES", "WRONG")</f>
        <v/>
      </c>
    </row>
    <row r="11186">
      <c r="A11186" t="n">
        <v>11185</v>
      </c>
      <c r="B11186" t="inlineStr">
        <is>
          <t>x̄MCLXXXV</t>
        </is>
      </c>
      <c r="C11186">
        <f>ROMAN(11185)</f>
        <v/>
      </c>
      <c r="D11186">
        <f>IF(B11186=C11186, "YES", "WRONG")</f>
        <v/>
      </c>
    </row>
    <row r="11187">
      <c r="A11187" t="n">
        <v>11186</v>
      </c>
      <c r="B11187" t="inlineStr">
        <is>
          <t>x̄MCLXXXVI</t>
        </is>
      </c>
      <c r="C11187">
        <f>ROMAN(11186)</f>
        <v/>
      </c>
      <c r="D11187">
        <f>IF(B11187=C11187, "YES", "WRONG")</f>
        <v/>
      </c>
    </row>
    <row r="11188">
      <c r="A11188" t="n">
        <v>11187</v>
      </c>
      <c r="B11188" t="inlineStr">
        <is>
          <t>x̄MCLXXXVII</t>
        </is>
      </c>
      <c r="C11188">
        <f>ROMAN(11187)</f>
        <v/>
      </c>
      <c r="D11188">
        <f>IF(B11188=C11188, "YES", "WRONG")</f>
        <v/>
      </c>
    </row>
    <row r="11189">
      <c r="A11189" t="n">
        <v>11188</v>
      </c>
      <c r="B11189" t="inlineStr">
        <is>
          <t>x̄MCLXXXVIII</t>
        </is>
      </c>
      <c r="C11189">
        <f>ROMAN(11188)</f>
        <v/>
      </c>
      <c r="D11189">
        <f>IF(B11189=C11189, "YES", "WRONG")</f>
        <v/>
      </c>
    </row>
    <row r="11190">
      <c r="A11190" t="n">
        <v>11189</v>
      </c>
      <c r="B11190" t="inlineStr">
        <is>
          <t>x̄MCLXXXIX</t>
        </is>
      </c>
      <c r="C11190">
        <f>ROMAN(11189)</f>
        <v/>
      </c>
      <c r="D11190">
        <f>IF(B11190=C11190, "YES", "WRONG")</f>
        <v/>
      </c>
    </row>
    <row r="11191">
      <c r="A11191" t="n">
        <v>11190</v>
      </c>
      <c r="B11191" t="inlineStr">
        <is>
          <t>x̄MCXC</t>
        </is>
      </c>
      <c r="C11191">
        <f>ROMAN(11190)</f>
        <v/>
      </c>
      <c r="D11191">
        <f>IF(B11191=C11191, "YES", "WRONG")</f>
        <v/>
      </c>
    </row>
    <row r="11192">
      <c r="A11192" t="n">
        <v>11191</v>
      </c>
      <c r="B11192" t="inlineStr">
        <is>
          <t>x̄MCXCI</t>
        </is>
      </c>
      <c r="C11192">
        <f>ROMAN(11191)</f>
        <v/>
      </c>
      <c r="D11192">
        <f>IF(B11192=C11192, "YES", "WRONG")</f>
        <v/>
      </c>
    </row>
    <row r="11193">
      <c r="A11193" t="n">
        <v>11192</v>
      </c>
      <c r="B11193" t="inlineStr">
        <is>
          <t>x̄MCXCII</t>
        </is>
      </c>
      <c r="C11193">
        <f>ROMAN(11192)</f>
        <v/>
      </c>
      <c r="D11193">
        <f>IF(B11193=C11193, "YES", "WRONG")</f>
        <v/>
      </c>
    </row>
    <row r="11194">
      <c r="A11194" t="n">
        <v>11193</v>
      </c>
      <c r="B11194" t="inlineStr">
        <is>
          <t>x̄MCXCIII</t>
        </is>
      </c>
      <c r="C11194">
        <f>ROMAN(11193)</f>
        <v/>
      </c>
      <c r="D11194">
        <f>IF(B11194=C11194, "YES", "WRONG")</f>
        <v/>
      </c>
    </row>
    <row r="11195">
      <c r="A11195" t="n">
        <v>11194</v>
      </c>
      <c r="B11195" t="inlineStr">
        <is>
          <t>x̄MCXCIV</t>
        </is>
      </c>
      <c r="C11195">
        <f>ROMAN(11194)</f>
        <v/>
      </c>
      <c r="D11195">
        <f>IF(B11195=C11195, "YES", "WRONG")</f>
        <v/>
      </c>
    </row>
    <row r="11196">
      <c r="A11196" t="n">
        <v>11195</v>
      </c>
      <c r="B11196" t="inlineStr">
        <is>
          <t>x̄MCXCV</t>
        </is>
      </c>
      <c r="C11196">
        <f>ROMAN(11195)</f>
        <v/>
      </c>
      <c r="D11196">
        <f>IF(B11196=C11196, "YES", "WRONG")</f>
        <v/>
      </c>
    </row>
    <row r="11197">
      <c r="A11197" t="n">
        <v>11196</v>
      </c>
      <c r="B11197" t="inlineStr">
        <is>
          <t>x̄MCXCVI</t>
        </is>
      </c>
      <c r="C11197">
        <f>ROMAN(11196)</f>
        <v/>
      </c>
      <c r="D11197">
        <f>IF(B11197=C11197, "YES", "WRONG")</f>
        <v/>
      </c>
    </row>
    <row r="11198">
      <c r="A11198" t="n">
        <v>11197</v>
      </c>
      <c r="B11198" t="inlineStr">
        <is>
          <t>x̄MCXCVII</t>
        </is>
      </c>
      <c r="C11198">
        <f>ROMAN(11197)</f>
        <v/>
      </c>
      <c r="D11198">
        <f>IF(B11198=C11198, "YES", "WRONG")</f>
        <v/>
      </c>
    </row>
    <row r="11199">
      <c r="A11199" t="n">
        <v>11198</v>
      </c>
      <c r="B11199" t="inlineStr">
        <is>
          <t>x̄MCXCVIII</t>
        </is>
      </c>
      <c r="C11199">
        <f>ROMAN(11198)</f>
        <v/>
      </c>
      <c r="D11199">
        <f>IF(B11199=C11199, "YES", "WRONG")</f>
        <v/>
      </c>
    </row>
    <row r="11200">
      <c r="A11200" t="n">
        <v>11199</v>
      </c>
      <c r="B11200" t="inlineStr">
        <is>
          <t>x̄MCXCIX</t>
        </is>
      </c>
      <c r="C11200">
        <f>ROMAN(11199)</f>
        <v/>
      </c>
      <c r="D11200">
        <f>IF(B11200=C11200, "YES", "WRONG")</f>
        <v/>
      </c>
    </row>
    <row r="11201">
      <c r="A11201" t="n">
        <v>11200</v>
      </c>
      <c r="B11201" t="inlineStr">
        <is>
          <t>x̄MCC</t>
        </is>
      </c>
      <c r="C11201">
        <f>ROMAN(11200)</f>
        <v/>
      </c>
      <c r="D11201">
        <f>IF(B11201=C11201, "YES", "WRONG")</f>
        <v/>
      </c>
    </row>
    <row r="11202">
      <c r="A11202" t="n">
        <v>11201</v>
      </c>
      <c r="B11202" t="inlineStr">
        <is>
          <t>x̄MCCI</t>
        </is>
      </c>
      <c r="C11202">
        <f>ROMAN(11201)</f>
        <v/>
      </c>
      <c r="D11202">
        <f>IF(B11202=C11202, "YES", "WRONG")</f>
        <v/>
      </c>
    </row>
    <row r="11203">
      <c r="A11203" t="n">
        <v>11202</v>
      </c>
      <c r="B11203" t="inlineStr">
        <is>
          <t>x̄MCCII</t>
        </is>
      </c>
      <c r="C11203">
        <f>ROMAN(11202)</f>
        <v/>
      </c>
      <c r="D11203">
        <f>IF(B11203=C11203, "YES", "WRONG")</f>
        <v/>
      </c>
    </row>
    <row r="11204">
      <c r="A11204" t="n">
        <v>11203</v>
      </c>
      <c r="B11204" t="inlineStr">
        <is>
          <t>x̄MCCIII</t>
        </is>
      </c>
      <c r="C11204">
        <f>ROMAN(11203)</f>
        <v/>
      </c>
      <c r="D11204">
        <f>IF(B11204=C11204, "YES", "WRONG")</f>
        <v/>
      </c>
    </row>
    <row r="11205">
      <c r="A11205" t="n">
        <v>11204</v>
      </c>
      <c r="B11205" t="inlineStr">
        <is>
          <t>x̄MCCIV</t>
        </is>
      </c>
      <c r="C11205">
        <f>ROMAN(11204)</f>
        <v/>
      </c>
      <c r="D11205">
        <f>IF(B11205=C11205, "YES", "WRONG")</f>
        <v/>
      </c>
    </row>
    <row r="11206">
      <c r="A11206" t="n">
        <v>11205</v>
      </c>
      <c r="B11206" t="inlineStr">
        <is>
          <t>x̄MCCV</t>
        </is>
      </c>
      <c r="C11206">
        <f>ROMAN(11205)</f>
        <v/>
      </c>
      <c r="D11206">
        <f>IF(B11206=C11206, "YES", "WRONG")</f>
        <v/>
      </c>
    </row>
    <row r="11207">
      <c r="A11207" t="n">
        <v>11206</v>
      </c>
      <c r="B11207" t="inlineStr">
        <is>
          <t>x̄MCCVI</t>
        </is>
      </c>
      <c r="C11207">
        <f>ROMAN(11206)</f>
        <v/>
      </c>
      <c r="D11207">
        <f>IF(B11207=C11207, "YES", "WRONG")</f>
        <v/>
      </c>
    </row>
    <row r="11208">
      <c r="A11208" t="n">
        <v>11207</v>
      </c>
      <c r="B11208" t="inlineStr">
        <is>
          <t>x̄MCCVII</t>
        </is>
      </c>
      <c r="C11208">
        <f>ROMAN(11207)</f>
        <v/>
      </c>
      <c r="D11208">
        <f>IF(B11208=C11208, "YES", "WRONG")</f>
        <v/>
      </c>
    </row>
    <row r="11209">
      <c r="A11209" t="n">
        <v>11208</v>
      </c>
      <c r="B11209" t="inlineStr">
        <is>
          <t>x̄MCCVIII</t>
        </is>
      </c>
      <c r="C11209">
        <f>ROMAN(11208)</f>
        <v/>
      </c>
      <c r="D11209">
        <f>IF(B11209=C11209, "YES", "WRONG")</f>
        <v/>
      </c>
    </row>
    <row r="11210">
      <c r="A11210" t="n">
        <v>11209</v>
      </c>
      <c r="B11210" t="inlineStr">
        <is>
          <t>x̄MCCIX</t>
        </is>
      </c>
      <c r="C11210">
        <f>ROMAN(11209)</f>
        <v/>
      </c>
      <c r="D11210">
        <f>IF(B11210=C11210, "YES", "WRONG")</f>
        <v/>
      </c>
    </row>
    <row r="11211">
      <c r="A11211" t="n">
        <v>11210</v>
      </c>
      <c r="B11211" t="inlineStr">
        <is>
          <t>x̄MCCX</t>
        </is>
      </c>
      <c r="C11211">
        <f>ROMAN(11210)</f>
        <v/>
      </c>
      <c r="D11211">
        <f>IF(B11211=C11211, "YES", "WRONG")</f>
        <v/>
      </c>
    </row>
    <row r="11212">
      <c r="A11212" t="n">
        <v>11211</v>
      </c>
      <c r="B11212" t="inlineStr">
        <is>
          <t>x̄MCCXI</t>
        </is>
      </c>
      <c r="C11212">
        <f>ROMAN(11211)</f>
        <v/>
      </c>
      <c r="D11212">
        <f>IF(B11212=C11212, "YES", "WRONG")</f>
        <v/>
      </c>
    </row>
    <row r="11213">
      <c r="A11213" t="n">
        <v>11212</v>
      </c>
      <c r="B11213" t="inlineStr">
        <is>
          <t>x̄MCCXII</t>
        </is>
      </c>
      <c r="C11213">
        <f>ROMAN(11212)</f>
        <v/>
      </c>
      <c r="D11213">
        <f>IF(B11213=C11213, "YES", "WRONG")</f>
        <v/>
      </c>
    </row>
    <row r="11214">
      <c r="A11214" t="n">
        <v>11213</v>
      </c>
      <c r="B11214" t="inlineStr">
        <is>
          <t>x̄MCCXIII</t>
        </is>
      </c>
      <c r="C11214">
        <f>ROMAN(11213)</f>
        <v/>
      </c>
      <c r="D11214">
        <f>IF(B11214=C11214, "YES", "WRONG")</f>
        <v/>
      </c>
    </row>
    <row r="11215">
      <c r="A11215" t="n">
        <v>11214</v>
      </c>
      <c r="B11215" t="inlineStr">
        <is>
          <t>x̄MCCXIV</t>
        </is>
      </c>
      <c r="C11215">
        <f>ROMAN(11214)</f>
        <v/>
      </c>
      <c r="D11215">
        <f>IF(B11215=C11215, "YES", "WRONG")</f>
        <v/>
      </c>
    </row>
    <row r="11216">
      <c r="A11216" t="n">
        <v>11215</v>
      </c>
      <c r="B11216" t="inlineStr">
        <is>
          <t>x̄MCCXV</t>
        </is>
      </c>
      <c r="C11216">
        <f>ROMAN(11215)</f>
        <v/>
      </c>
      <c r="D11216">
        <f>IF(B11216=C11216, "YES", "WRONG")</f>
        <v/>
      </c>
    </row>
    <row r="11217">
      <c r="A11217" t="n">
        <v>11216</v>
      </c>
      <c r="B11217" t="inlineStr">
        <is>
          <t>x̄MCCXVI</t>
        </is>
      </c>
      <c r="C11217">
        <f>ROMAN(11216)</f>
        <v/>
      </c>
      <c r="D11217">
        <f>IF(B11217=C11217, "YES", "WRONG")</f>
        <v/>
      </c>
    </row>
    <row r="11218">
      <c r="A11218" t="n">
        <v>11217</v>
      </c>
      <c r="B11218" t="inlineStr">
        <is>
          <t>x̄MCCXVII</t>
        </is>
      </c>
      <c r="C11218">
        <f>ROMAN(11217)</f>
        <v/>
      </c>
      <c r="D11218">
        <f>IF(B11218=C11218, "YES", "WRONG")</f>
        <v/>
      </c>
    </row>
    <row r="11219">
      <c r="A11219" t="n">
        <v>11218</v>
      </c>
      <c r="B11219" t="inlineStr">
        <is>
          <t>x̄MCCXVIII</t>
        </is>
      </c>
      <c r="C11219">
        <f>ROMAN(11218)</f>
        <v/>
      </c>
      <c r="D11219">
        <f>IF(B11219=C11219, "YES", "WRONG")</f>
        <v/>
      </c>
    </row>
    <row r="11220">
      <c r="A11220" t="n">
        <v>11219</v>
      </c>
      <c r="B11220" t="inlineStr">
        <is>
          <t>x̄MCCXIX</t>
        </is>
      </c>
      <c r="C11220">
        <f>ROMAN(11219)</f>
        <v/>
      </c>
      <c r="D11220">
        <f>IF(B11220=C11220, "YES", "WRONG")</f>
        <v/>
      </c>
    </row>
    <row r="11221">
      <c r="A11221" t="n">
        <v>11220</v>
      </c>
      <c r="B11221" t="inlineStr">
        <is>
          <t>x̄MCCXX</t>
        </is>
      </c>
      <c r="C11221">
        <f>ROMAN(11220)</f>
        <v/>
      </c>
      <c r="D11221">
        <f>IF(B11221=C11221, "YES", "WRONG")</f>
        <v/>
      </c>
    </row>
    <row r="11222">
      <c r="A11222" t="n">
        <v>11221</v>
      </c>
      <c r="B11222" t="inlineStr">
        <is>
          <t>x̄MCCXXI</t>
        </is>
      </c>
      <c r="C11222">
        <f>ROMAN(11221)</f>
        <v/>
      </c>
      <c r="D11222">
        <f>IF(B11222=C11222, "YES", "WRONG")</f>
        <v/>
      </c>
    </row>
    <row r="11223">
      <c r="A11223" t="n">
        <v>11222</v>
      </c>
      <c r="B11223" t="inlineStr">
        <is>
          <t>x̄MCCXXII</t>
        </is>
      </c>
      <c r="C11223">
        <f>ROMAN(11222)</f>
        <v/>
      </c>
      <c r="D11223">
        <f>IF(B11223=C11223, "YES", "WRONG")</f>
        <v/>
      </c>
    </row>
    <row r="11224">
      <c r="A11224" t="n">
        <v>11223</v>
      </c>
      <c r="B11224" t="inlineStr">
        <is>
          <t>x̄MCCXXIII</t>
        </is>
      </c>
      <c r="C11224">
        <f>ROMAN(11223)</f>
        <v/>
      </c>
      <c r="D11224">
        <f>IF(B11224=C11224, "YES", "WRONG")</f>
        <v/>
      </c>
    </row>
    <row r="11225">
      <c r="A11225" t="n">
        <v>11224</v>
      </c>
      <c r="B11225" t="inlineStr">
        <is>
          <t>x̄MCCXXIV</t>
        </is>
      </c>
      <c r="C11225">
        <f>ROMAN(11224)</f>
        <v/>
      </c>
      <c r="D11225">
        <f>IF(B11225=C11225, "YES", "WRONG")</f>
        <v/>
      </c>
    </row>
    <row r="11226">
      <c r="A11226" t="n">
        <v>11225</v>
      </c>
      <c r="B11226" t="inlineStr">
        <is>
          <t>x̄MCCXXV</t>
        </is>
      </c>
      <c r="C11226">
        <f>ROMAN(11225)</f>
        <v/>
      </c>
      <c r="D11226">
        <f>IF(B11226=C11226, "YES", "WRONG")</f>
        <v/>
      </c>
    </row>
    <row r="11227">
      <c r="A11227" t="n">
        <v>11226</v>
      </c>
      <c r="B11227" t="inlineStr">
        <is>
          <t>x̄MCCXXVI</t>
        </is>
      </c>
      <c r="C11227">
        <f>ROMAN(11226)</f>
        <v/>
      </c>
      <c r="D11227">
        <f>IF(B11227=C11227, "YES", "WRONG")</f>
        <v/>
      </c>
    </row>
    <row r="11228">
      <c r="A11228" t="n">
        <v>11227</v>
      </c>
      <c r="B11228" t="inlineStr">
        <is>
          <t>x̄MCCXXVII</t>
        </is>
      </c>
      <c r="C11228">
        <f>ROMAN(11227)</f>
        <v/>
      </c>
      <c r="D11228">
        <f>IF(B11228=C11228, "YES", "WRONG")</f>
        <v/>
      </c>
    </row>
    <row r="11229">
      <c r="A11229" t="n">
        <v>11228</v>
      </c>
      <c r="B11229" t="inlineStr">
        <is>
          <t>x̄MCCXXVIII</t>
        </is>
      </c>
      <c r="C11229">
        <f>ROMAN(11228)</f>
        <v/>
      </c>
      <c r="D11229">
        <f>IF(B11229=C11229, "YES", "WRONG")</f>
        <v/>
      </c>
    </row>
    <row r="11230">
      <c r="A11230" t="n">
        <v>11229</v>
      </c>
      <c r="B11230" t="inlineStr">
        <is>
          <t>x̄MCCXXIX</t>
        </is>
      </c>
      <c r="C11230">
        <f>ROMAN(11229)</f>
        <v/>
      </c>
      <c r="D11230">
        <f>IF(B11230=C11230, "YES", "WRONG")</f>
        <v/>
      </c>
    </row>
    <row r="11231">
      <c r="A11231" t="n">
        <v>11230</v>
      </c>
      <c r="B11231" t="inlineStr">
        <is>
          <t>x̄MCCXXX</t>
        </is>
      </c>
      <c r="C11231">
        <f>ROMAN(11230)</f>
        <v/>
      </c>
      <c r="D11231">
        <f>IF(B11231=C11231, "YES", "WRONG")</f>
        <v/>
      </c>
    </row>
    <row r="11232">
      <c r="A11232" t="n">
        <v>11231</v>
      </c>
      <c r="B11232" t="inlineStr">
        <is>
          <t>x̄MCCXXXI</t>
        </is>
      </c>
      <c r="C11232">
        <f>ROMAN(11231)</f>
        <v/>
      </c>
      <c r="D11232">
        <f>IF(B11232=C11232, "YES", "WRONG")</f>
        <v/>
      </c>
    </row>
    <row r="11233">
      <c r="A11233" t="n">
        <v>11232</v>
      </c>
      <c r="B11233" t="inlineStr">
        <is>
          <t>x̄MCCXXXII</t>
        </is>
      </c>
      <c r="C11233">
        <f>ROMAN(11232)</f>
        <v/>
      </c>
      <c r="D11233">
        <f>IF(B11233=C11233, "YES", "WRONG")</f>
        <v/>
      </c>
    </row>
    <row r="11234">
      <c r="A11234" t="n">
        <v>11233</v>
      </c>
      <c r="B11234" t="inlineStr">
        <is>
          <t>x̄MCCXXXIII</t>
        </is>
      </c>
      <c r="C11234">
        <f>ROMAN(11233)</f>
        <v/>
      </c>
      <c r="D11234">
        <f>IF(B11234=C11234, "YES", "WRONG")</f>
        <v/>
      </c>
    </row>
    <row r="11235">
      <c r="A11235" t="n">
        <v>11234</v>
      </c>
      <c r="B11235" t="inlineStr">
        <is>
          <t>x̄MCCXXXIV</t>
        </is>
      </c>
      <c r="C11235">
        <f>ROMAN(11234)</f>
        <v/>
      </c>
      <c r="D11235">
        <f>IF(B11235=C11235, "YES", "WRONG")</f>
        <v/>
      </c>
    </row>
    <row r="11236">
      <c r="A11236" t="n">
        <v>11235</v>
      </c>
      <c r="B11236" t="inlineStr">
        <is>
          <t>x̄MCCXXXV</t>
        </is>
      </c>
      <c r="C11236">
        <f>ROMAN(11235)</f>
        <v/>
      </c>
      <c r="D11236">
        <f>IF(B11236=C11236, "YES", "WRONG")</f>
        <v/>
      </c>
    </row>
    <row r="11237">
      <c r="A11237" t="n">
        <v>11236</v>
      </c>
      <c r="B11237" t="inlineStr">
        <is>
          <t>x̄MCCXXXVI</t>
        </is>
      </c>
      <c r="C11237">
        <f>ROMAN(11236)</f>
        <v/>
      </c>
      <c r="D11237">
        <f>IF(B11237=C11237, "YES", "WRONG")</f>
        <v/>
      </c>
    </row>
    <row r="11238">
      <c r="A11238" t="n">
        <v>11237</v>
      </c>
      <c r="B11238" t="inlineStr">
        <is>
          <t>x̄MCCXXXVII</t>
        </is>
      </c>
      <c r="C11238">
        <f>ROMAN(11237)</f>
        <v/>
      </c>
      <c r="D11238">
        <f>IF(B11238=C11238, "YES", "WRONG")</f>
        <v/>
      </c>
    </row>
    <row r="11239">
      <c r="A11239" t="n">
        <v>11238</v>
      </c>
      <c r="B11239" t="inlineStr">
        <is>
          <t>x̄MCCXXXVIII</t>
        </is>
      </c>
      <c r="C11239">
        <f>ROMAN(11238)</f>
        <v/>
      </c>
      <c r="D11239">
        <f>IF(B11239=C11239, "YES", "WRONG")</f>
        <v/>
      </c>
    </row>
    <row r="11240">
      <c r="A11240" t="n">
        <v>11239</v>
      </c>
      <c r="B11240" t="inlineStr">
        <is>
          <t>x̄MCCXXXIX</t>
        </is>
      </c>
      <c r="C11240">
        <f>ROMAN(11239)</f>
        <v/>
      </c>
      <c r="D11240">
        <f>IF(B11240=C11240, "YES", "WRONG")</f>
        <v/>
      </c>
    </row>
    <row r="11241">
      <c r="A11241" t="n">
        <v>11240</v>
      </c>
      <c r="B11241" t="inlineStr">
        <is>
          <t>x̄MCCXL</t>
        </is>
      </c>
      <c r="C11241">
        <f>ROMAN(11240)</f>
        <v/>
      </c>
      <c r="D11241">
        <f>IF(B11241=C11241, "YES", "WRONG")</f>
        <v/>
      </c>
    </row>
    <row r="11242">
      <c r="A11242" t="n">
        <v>11241</v>
      </c>
      <c r="B11242" t="inlineStr">
        <is>
          <t>x̄MCCXLI</t>
        </is>
      </c>
      <c r="C11242">
        <f>ROMAN(11241)</f>
        <v/>
      </c>
      <c r="D11242">
        <f>IF(B11242=C11242, "YES", "WRONG")</f>
        <v/>
      </c>
    </row>
    <row r="11243">
      <c r="A11243" t="n">
        <v>11242</v>
      </c>
      <c r="B11243" t="inlineStr">
        <is>
          <t>x̄MCCXLII</t>
        </is>
      </c>
      <c r="C11243">
        <f>ROMAN(11242)</f>
        <v/>
      </c>
      <c r="D11243">
        <f>IF(B11243=C11243, "YES", "WRONG")</f>
        <v/>
      </c>
    </row>
    <row r="11244">
      <c r="A11244" t="n">
        <v>11243</v>
      </c>
      <c r="B11244" t="inlineStr">
        <is>
          <t>x̄MCCXLIII</t>
        </is>
      </c>
      <c r="C11244">
        <f>ROMAN(11243)</f>
        <v/>
      </c>
      <c r="D11244">
        <f>IF(B11244=C11244, "YES", "WRONG")</f>
        <v/>
      </c>
    </row>
    <row r="11245">
      <c r="A11245" t="n">
        <v>11244</v>
      </c>
      <c r="B11245" t="inlineStr">
        <is>
          <t>x̄MCCXLIV</t>
        </is>
      </c>
      <c r="C11245">
        <f>ROMAN(11244)</f>
        <v/>
      </c>
      <c r="D11245">
        <f>IF(B11245=C11245, "YES", "WRONG")</f>
        <v/>
      </c>
    </row>
    <row r="11246">
      <c r="A11246" t="n">
        <v>11245</v>
      </c>
      <c r="B11246" t="inlineStr">
        <is>
          <t>x̄MCCXLV</t>
        </is>
      </c>
      <c r="C11246">
        <f>ROMAN(11245)</f>
        <v/>
      </c>
      <c r="D11246">
        <f>IF(B11246=C11246, "YES", "WRONG")</f>
        <v/>
      </c>
    </row>
    <row r="11247">
      <c r="A11247" t="n">
        <v>11246</v>
      </c>
      <c r="B11247" t="inlineStr">
        <is>
          <t>x̄MCCXLVI</t>
        </is>
      </c>
      <c r="C11247">
        <f>ROMAN(11246)</f>
        <v/>
      </c>
      <c r="D11247">
        <f>IF(B11247=C11247, "YES", "WRONG")</f>
        <v/>
      </c>
    </row>
    <row r="11248">
      <c r="A11248" t="n">
        <v>11247</v>
      </c>
      <c r="B11248" t="inlineStr">
        <is>
          <t>x̄MCCXLVII</t>
        </is>
      </c>
      <c r="C11248">
        <f>ROMAN(11247)</f>
        <v/>
      </c>
      <c r="D11248">
        <f>IF(B11248=C11248, "YES", "WRONG")</f>
        <v/>
      </c>
    </row>
    <row r="11249">
      <c r="A11249" t="n">
        <v>11248</v>
      </c>
      <c r="B11249" t="inlineStr">
        <is>
          <t>x̄MCCXLVIII</t>
        </is>
      </c>
      <c r="C11249">
        <f>ROMAN(11248)</f>
        <v/>
      </c>
      <c r="D11249">
        <f>IF(B11249=C11249, "YES", "WRONG")</f>
        <v/>
      </c>
    </row>
    <row r="11250">
      <c r="A11250" t="n">
        <v>11249</v>
      </c>
      <c r="B11250" t="inlineStr">
        <is>
          <t>x̄MCCXLIX</t>
        </is>
      </c>
      <c r="C11250">
        <f>ROMAN(11249)</f>
        <v/>
      </c>
      <c r="D11250">
        <f>IF(B11250=C11250, "YES", "WRONG")</f>
        <v/>
      </c>
    </row>
    <row r="11251">
      <c r="A11251" t="n">
        <v>11250</v>
      </c>
      <c r="B11251" t="inlineStr">
        <is>
          <t>x̄MCCL</t>
        </is>
      </c>
      <c r="C11251">
        <f>ROMAN(11250)</f>
        <v/>
      </c>
      <c r="D11251">
        <f>IF(B11251=C11251, "YES", "WRONG")</f>
        <v/>
      </c>
    </row>
    <row r="11252">
      <c r="A11252" t="n">
        <v>11251</v>
      </c>
      <c r="B11252" t="inlineStr">
        <is>
          <t>x̄MCCLI</t>
        </is>
      </c>
      <c r="C11252">
        <f>ROMAN(11251)</f>
        <v/>
      </c>
      <c r="D11252">
        <f>IF(B11252=C11252, "YES", "WRONG")</f>
        <v/>
      </c>
    </row>
    <row r="11253">
      <c r="A11253" t="n">
        <v>11252</v>
      </c>
      <c r="B11253" t="inlineStr">
        <is>
          <t>x̄MCCLII</t>
        </is>
      </c>
      <c r="C11253">
        <f>ROMAN(11252)</f>
        <v/>
      </c>
      <c r="D11253">
        <f>IF(B11253=C11253, "YES", "WRONG")</f>
        <v/>
      </c>
    </row>
    <row r="11254">
      <c r="A11254" t="n">
        <v>11253</v>
      </c>
      <c r="B11254" t="inlineStr">
        <is>
          <t>x̄MCCLIII</t>
        </is>
      </c>
      <c r="C11254">
        <f>ROMAN(11253)</f>
        <v/>
      </c>
      <c r="D11254">
        <f>IF(B11254=C11254, "YES", "WRONG")</f>
        <v/>
      </c>
    </row>
    <row r="11255">
      <c r="A11255" t="n">
        <v>11254</v>
      </c>
      <c r="B11255" t="inlineStr">
        <is>
          <t>x̄MCCLIV</t>
        </is>
      </c>
      <c r="C11255">
        <f>ROMAN(11254)</f>
        <v/>
      </c>
      <c r="D11255">
        <f>IF(B11255=C11255, "YES", "WRONG")</f>
        <v/>
      </c>
    </row>
    <row r="11256">
      <c r="A11256" t="n">
        <v>11255</v>
      </c>
      <c r="B11256" t="inlineStr">
        <is>
          <t>x̄MCCLV</t>
        </is>
      </c>
      <c r="C11256">
        <f>ROMAN(11255)</f>
        <v/>
      </c>
      <c r="D11256">
        <f>IF(B11256=C11256, "YES", "WRONG")</f>
        <v/>
      </c>
    </row>
    <row r="11257">
      <c r="A11257" t="n">
        <v>11256</v>
      </c>
      <c r="B11257" t="inlineStr">
        <is>
          <t>x̄MCCLVI</t>
        </is>
      </c>
      <c r="C11257">
        <f>ROMAN(11256)</f>
        <v/>
      </c>
      <c r="D11257">
        <f>IF(B11257=C11257, "YES", "WRONG")</f>
        <v/>
      </c>
    </row>
    <row r="11258">
      <c r="A11258" t="n">
        <v>11257</v>
      </c>
      <c r="B11258" t="inlineStr">
        <is>
          <t>x̄MCCLVII</t>
        </is>
      </c>
      <c r="C11258">
        <f>ROMAN(11257)</f>
        <v/>
      </c>
      <c r="D11258">
        <f>IF(B11258=C11258, "YES", "WRONG")</f>
        <v/>
      </c>
    </row>
    <row r="11259">
      <c r="A11259" t="n">
        <v>11258</v>
      </c>
      <c r="B11259" t="inlineStr">
        <is>
          <t>x̄MCCLVIII</t>
        </is>
      </c>
      <c r="C11259">
        <f>ROMAN(11258)</f>
        <v/>
      </c>
      <c r="D11259">
        <f>IF(B11259=C11259, "YES", "WRONG")</f>
        <v/>
      </c>
    </row>
    <row r="11260">
      <c r="A11260" t="n">
        <v>11259</v>
      </c>
      <c r="B11260" t="inlineStr">
        <is>
          <t>x̄MCCLIX</t>
        </is>
      </c>
      <c r="C11260">
        <f>ROMAN(11259)</f>
        <v/>
      </c>
      <c r="D11260">
        <f>IF(B11260=C11260, "YES", "WRONG")</f>
        <v/>
      </c>
    </row>
    <row r="11261">
      <c r="A11261" t="n">
        <v>11260</v>
      </c>
      <c r="B11261" t="inlineStr">
        <is>
          <t>x̄MCCLX</t>
        </is>
      </c>
      <c r="C11261">
        <f>ROMAN(11260)</f>
        <v/>
      </c>
      <c r="D11261">
        <f>IF(B11261=C11261, "YES", "WRONG")</f>
        <v/>
      </c>
    </row>
    <row r="11262">
      <c r="A11262" t="n">
        <v>11261</v>
      </c>
      <c r="B11262" t="inlineStr">
        <is>
          <t>x̄MCCLXI</t>
        </is>
      </c>
      <c r="C11262">
        <f>ROMAN(11261)</f>
        <v/>
      </c>
      <c r="D11262">
        <f>IF(B11262=C11262, "YES", "WRONG")</f>
        <v/>
      </c>
    </row>
    <row r="11263">
      <c r="A11263" t="n">
        <v>11262</v>
      </c>
      <c r="B11263" t="inlineStr">
        <is>
          <t>x̄MCCLXII</t>
        </is>
      </c>
      <c r="C11263">
        <f>ROMAN(11262)</f>
        <v/>
      </c>
      <c r="D11263">
        <f>IF(B11263=C11263, "YES", "WRONG")</f>
        <v/>
      </c>
    </row>
    <row r="11264">
      <c r="A11264" t="n">
        <v>11263</v>
      </c>
      <c r="B11264" t="inlineStr">
        <is>
          <t>x̄MCCLXIII</t>
        </is>
      </c>
      <c r="C11264">
        <f>ROMAN(11263)</f>
        <v/>
      </c>
      <c r="D11264">
        <f>IF(B11264=C11264, "YES", "WRONG")</f>
        <v/>
      </c>
    </row>
    <row r="11265">
      <c r="A11265" t="n">
        <v>11264</v>
      </c>
      <c r="B11265" t="inlineStr">
        <is>
          <t>x̄MCCLXIV</t>
        </is>
      </c>
      <c r="C11265">
        <f>ROMAN(11264)</f>
        <v/>
      </c>
      <c r="D11265">
        <f>IF(B11265=C11265, "YES", "WRONG")</f>
        <v/>
      </c>
    </row>
    <row r="11266">
      <c r="A11266" t="n">
        <v>11265</v>
      </c>
      <c r="B11266" t="inlineStr">
        <is>
          <t>x̄MCCLXV</t>
        </is>
      </c>
      <c r="C11266">
        <f>ROMAN(11265)</f>
        <v/>
      </c>
      <c r="D11266">
        <f>IF(B11266=C11266, "YES", "WRONG")</f>
        <v/>
      </c>
    </row>
    <row r="11267">
      <c r="A11267" t="n">
        <v>11266</v>
      </c>
      <c r="B11267" t="inlineStr">
        <is>
          <t>x̄MCCLXVI</t>
        </is>
      </c>
      <c r="C11267">
        <f>ROMAN(11266)</f>
        <v/>
      </c>
      <c r="D11267">
        <f>IF(B11267=C11267, "YES", "WRONG")</f>
        <v/>
      </c>
    </row>
    <row r="11268">
      <c r="A11268" t="n">
        <v>11267</v>
      </c>
      <c r="B11268" t="inlineStr">
        <is>
          <t>x̄MCCLXVII</t>
        </is>
      </c>
      <c r="C11268">
        <f>ROMAN(11267)</f>
        <v/>
      </c>
      <c r="D11268">
        <f>IF(B11268=C11268, "YES", "WRONG")</f>
        <v/>
      </c>
    </row>
    <row r="11269">
      <c r="A11269" t="n">
        <v>11268</v>
      </c>
      <c r="B11269" t="inlineStr">
        <is>
          <t>x̄MCCLXVIII</t>
        </is>
      </c>
      <c r="C11269">
        <f>ROMAN(11268)</f>
        <v/>
      </c>
      <c r="D11269">
        <f>IF(B11269=C11269, "YES", "WRONG")</f>
        <v/>
      </c>
    </row>
    <row r="11270">
      <c r="A11270" t="n">
        <v>11269</v>
      </c>
      <c r="B11270" t="inlineStr">
        <is>
          <t>x̄MCCLXIX</t>
        </is>
      </c>
      <c r="C11270">
        <f>ROMAN(11269)</f>
        <v/>
      </c>
      <c r="D11270">
        <f>IF(B11270=C11270, "YES", "WRONG")</f>
        <v/>
      </c>
    </row>
    <row r="11271">
      <c r="A11271" t="n">
        <v>11270</v>
      </c>
      <c r="B11271" t="inlineStr">
        <is>
          <t>x̄MCCLXX</t>
        </is>
      </c>
      <c r="C11271">
        <f>ROMAN(11270)</f>
        <v/>
      </c>
      <c r="D11271">
        <f>IF(B11271=C11271, "YES", "WRONG")</f>
        <v/>
      </c>
    </row>
    <row r="11272">
      <c r="A11272" t="n">
        <v>11271</v>
      </c>
      <c r="B11272" t="inlineStr">
        <is>
          <t>x̄MCCLXXI</t>
        </is>
      </c>
      <c r="C11272">
        <f>ROMAN(11271)</f>
        <v/>
      </c>
      <c r="D11272">
        <f>IF(B11272=C11272, "YES", "WRONG")</f>
        <v/>
      </c>
    </row>
    <row r="11273">
      <c r="A11273" t="n">
        <v>11272</v>
      </c>
      <c r="B11273" t="inlineStr">
        <is>
          <t>x̄MCCLXXII</t>
        </is>
      </c>
      <c r="C11273">
        <f>ROMAN(11272)</f>
        <v/>
      </c>
      <c r="D11273">
        <f>IF(B11273=C11273, "YES", "WRONG")</f>
        <v/>
      </c>
    </row>
    <row r="11274">
      <c r="A11274" t="n">
        <v>11273</v>
      </c>
      <c r="B11274" t="inlineStr">
        <is>
          <t>x̄MCCLXXIII</t>
        </is>
      </c>
      <c r="C11274">
        <f>ROMAN(11273)</f>
        <v/>
      </c>
      <c r="D11274">
        <f>IF(B11274=C11274, "YES", "WRONG")</f>
        <v/>
      </c>
    </row>
    <row r="11275">
      <c r="A11275" t="n">
        <v>11274</v>
      </c>
      <c r="B11275" t="inlineStr">
        <is>
          <t>x̄MCCLXXIV</t>
        </is>
      </c>
      <c r="C11275">
        <f>ROMAN(11274)</f>
        <v/>
      </c>
      <c r="D11275">
        <f>IF(B11275=C11275, "YES", "WRONG")</f>
        <v/>
      </c>
    </row>
    <row r="11276">
      <c r="A11276" t="n">
        <v>11275</v>
      </c>
      <c r="B11276" t="inlineStr">
        <is>
          <t>x̄MCCLXXV</t>
        </is>
      </c>
      <c r="C11276">
        <f>ROMAN(11275)</f>
        <v/>
      </c>
      <c r="D11276">
        <f>IF(B11276=C11276, "YES", "WRONG")</f>
        <v/>
      </c>
    </row>
    <row r="11277">
      <c r="A11277" t="n">
        <v>11276</v>
      </c>
      <c r="B11277" t="inlineStr">
        <is>
          <t>x̄MCCLXXVI</t>
        </is>
      </c>
      <c r="C11277">
        <f>ROMAN(11276)</f>
        <v/>
      </c>
      <c r="D11277">
        <f>IF(B11277=C11277, "YES", "WRONG")</f>
        <v/>
      </c>
    </row>
    <row r="11278">
      <c r="A11278" t="n">
        <v>11277</v>
      </c>
      <c r="B11278" t="inlineStr">
        <is>
          <t>x̄MCCLXXVII</t>
        </is>
      </c>
      <c r="C11278">
        <f>ROMAN(11277)</f>
        <v/>
      </c>
      <c r="D11278">
        <f>IF(B11278=C11278, "YES", "WRONG")</f>
        <v/>
      </c>
    </row>
    <row r="11279">
      <c r="A11279" t="n">
        <v>11278</v>
      </c>
      <c r="B11279" t="inlineStr">
        <is>
          <t>x̄MCCLXXVIII</t>
        </is>
      </c>
      <c r="C11279">
        <f>ROMAN(11278)</f>
        <v/>
      </c>
      <c r="D11279">
        <f>IF(B11279=C11279, "YES", "WRONG")</f>
        <v/>
      </c>
    </row>
    <row r="11280">
      <c r="A11280" t="n">
        <v>11279</v>
      </c>
      <c r="B11280" t="inlineStr">
        <is>
          <t>x̄MCCLXXIX</t>
        </is>
      </c>
      <c r="C11280">
        <f>ROMAN(11279)</f>
        <v/>
      </c>
      <c r="D11280">
        <f>IF(B11280=C11280, "YES", "WRONG")</f>
        <v/>
      </c>
    </row>
    <row r="11281">
      <c r="A11281" t="n">
        <v>11280</v>
      </c>
      <c r="B11281" t="inlineStr">
        <is>
          <t>x̄MCCLXXX</t>
        </is>
      </c>
      <c r="C11281">
        <f>ROMAN(11280)</f>
        <v/>
      </c>
      <c r="D11281">
        <f>IF(B11281=C11281, "YES", "WRONG")</f>
        <v/>
      </c>
    </row>
    <row r="11282">
      <c r="A11282" t="n">
        <v>11281</v>
      </c>
      <c r="B11282" t="inlineStr">
        <is>
          <t>x̄MCCLXXXI</t>
        </is>
      </c>
      <c r="C11282">
        <f>ROMAN(11281)</f>
        <v/>
      </c>
      <c r="D11282">
        <f>IF(B11282=C11282, "YES", "WRONG")</f>
        <v/>
      </c>
    </row>
    <row r="11283">
      <c r="A11283" t="n">
        <v>11282</v>
      </c>
      <c r="B11283" t="inlineStr">
        <is>
          <t>x̄MCCLXXXII</t>
        </is>
      </c>
      <c r="C11283">
        <f>ROMAN(11282)</f>
        <v/>
      </c>
      <c r="D11283">
        <f>IF(B11283=C11283, "YES", "WRONG")</f>
        <v/>
      </c>
    </row>
    <row r="11284">
      <c r="A11284" t="n">
        <v>11283</v>
      </c>
      <c r="B11284" t="inlineStr">
        <is>
          <t>x̄MCCLXXXIII</t>
        </is>
      </c>
      <c r="C11284">
        <f>ROMAN(11283)</f>
        <v/>
      </c>
      <c r="D11284">
        <f>IF(B11284=C11284, "YES", "WRONG")</f>
        <v/>
      </c>
    </row>
    <row r="11285">
      <c r="A11285" t="n">
        <v>11284</v>
      </c>
      <c r="B11285" t="inlineStr">
        <is>
          <t>x̄MCCLXXXIV</t>
        </is>
      </c>
      <c r="C11285">
        <f>ROMAN(11284)</f>
        <v/>
      </c>
      <c r="D11285">
        <f>IF(B11285=C11285, "YES", "WRONG")</f>
        <v/>
      </c>
    </row>
    <row r="11286">
      <c r="A11286" t="n">
        <v>11285</v>
      </c>
      <c r="B11286" t="inlineStr">
        <is>
          <t>x̄MCCLXXXV</t>
        </is>
      </c>
      <c r="C11286">
        <f>ROMAN(11285)</f>
        <v/>
      </c>
      <c r="D11286">
        <f>IF(B11286=C11286, "YES", "WRONG")</f>
        <v/>
      </c>
    </row>
    <row r="11287">
      <c r="A11287" t="n">
        <v>11286</v>
      </c>
      <c r="B11287" t="inlineStr">
        <is>
          <t>x̄MCCLXXXVI</t>
        </is>
      </c>
      <c r="C11287">
        <f>ROMAN(11286)</f>
        <v/>
      </c>
      <c r="D11287">
        <f>IF(B11287=C11287, "YES", "WRONG")</f>
        <v/>
      </c>
    </row>
    <row r="11288">
      <c r="A11288" t="n">
        <v>11287</v>
      </c>
      <c r="B11288" t="inlineStr">
        <is>
          <t>x̄MCCLXXXVII</t>
        </is>
      </c>
      <c r="C11288">
        <f>ROMAN(11287)</f>
        <v/>
      </c>
      <c r="D11288">
        <f>IF(B11288=C11288, "YES", "WRONG")</f>
        <v/>
      </c>
    </row>
    <row r="11289">
      <c r="A11289" t="n">
        <v>11288</v>
      </c>
      <c r="B11289" t="inlineStr">
        <is>
          <t>x̄MCCLXXXVIII</t>
        </is>
      </c>
      <c r="C11289">
        <f>ROMAN(11288)</f>
        <v/>
      </c>
      <c r="D11289">
        <f>IF(B11289=C11289, "YES", "WRONG")</f>
        <v/>
      </c>
    </row>
    <row r="11290">
      <c r="A11290" t="n">
        <v>11289</v>
      </c>
      <c r="B11290" t="inlineStr">
        <is>
          <t>x̄MCCLXXXIX</t>
        </is>
      </c>
      <c r="C11290">
        <f>ROMAN(11289)</f>
        <v/>
      </c>
      <c r="D11290">
        <f>IF(B11290=C11290, "YES", "WRONG")</f>
        <v/>
      </c>
    </row>
    <row r="11291">
      <c r="A11291" t="n">
        <v>11290</v>
      </c>
      <c r="B11291" t="inlineStr">
        <is>
          <t>x̄MCCXC</t>
        </is>
      </c>
      <c r="C11291">
        <f>ROMAN(11290)</f>
        <v/>
      </c>
      <c r="D11291">
        <f>IF(B11291=C11291, "YES", "WRONG")</f>
        <v/>
      </c>
    </row>
    <row r="11292">
      <c r="A11292" t="n">
        <v>11291</v>
      </c>
      <c r="B11292" t="inlineStr">
        <is>
          <t>x̄MCCXCI</t>
        </is>
      </c>
      <c r="C11292">
        <f>ROMAN(11291)</f>
        <v/>
      </c>
      <c r="D11292">
        <f>IF(B11292=C11292, "YES", "WRONG")</f>
        <v/>
      </c>
    </row>
    <row r="11293">
      <c r="A11293" t="n">
        <v>11292</v>
      </c>
      <c r="B11293" t="inlineStr">
        <is>
          <t>x̄MCCXCII</t>
        </is>
      </c>
      <c r="C11293">
        <f>ROMAN(11292)</f>
        <v/>
      </c>
      <c r="D11293">
        <f>IF(B11293=C11293, "YES", "WRONG")</f>
        <v/>
      </c>
    </row>
    <row r="11294">
      <c r="A11294" t="n">
        <v>11293</v>
      </c>
      <c r="B11294" t="inlineStr">
        <is>
          <t>x̄MCCXCIII</t>
        </is>
      </c>
      <c r="C11294">
        <f>ROMAN(11293)</f>
        <v/>
      </c>
      <c r="D11294">
        <f>IF(B11294=C11294, "YES", "WRONG")</f>
        <v/>
      </c>
    </row>
    <row r="11295">
      <c r="A11295" t="n">
        <v>11294</v>
      </c>
      <c r="B11295" t="inlineStr">
        <is>
          <t>x̄MCCXCIV</t>
        </is>
      </c>
      <c r="C11295">
        <f>ROMAN(11294)</f>
        <v/>
      </c>
      <c r="D11295">
        <f>IF(B11295=C11295, "YES", "WRONG")</f>
        <v/>
      </c>
    </row>
    <row r="11296">
      <c r="A11296" t="n">
        <v>11295</v>
      </c>
      <c r="B11296" t="inlineStr">
        <is>
          <t>x̄MCCXCV</t>
        </is>
      </c>
      <c r="C11296">
        <f>ROMAN(11295)</f>
        <v/>
      </c>
      <c r="D11296">
        <f>IF(B11296=C11296, "YES", "WRONG")</f>
        <v/>
      </c>
    </row>
    <row r="11297">
      <c r="A11297" t="n">
        <v>11296</v>
      </c>
      <c r="B11297" t="inlineStr">
        <is>
          <t>x̄MCCXCVI</t>
        </is>
      </c>
      <c r="C11297">
        <f>ROMAN(11296)</f>
        <v/>
      </c>
      <c r="D11297">
        <f>IF(B11297=C11297, "YES", "WRONG")</f>
        <v/>
      </c>
    </row>
    <row r="11298">
      <c r="A11298" t="n">
        <v>11297</v>
      </c>
      <c r="B11298" t="inlineStr">
        <is>
          <t>x̄MCCXCVII</t>
        </is>
      </c>
      <c r="C11298">
        <f>ROMAN(11297)</f>
        <v/>
      </c>
      <c r="D11298">
        <f>IF(B11298=C11298, "YES", "WRONG")</f>
        <v/>
      </c>
    </row>
    <row r="11299">
      <c r="A11299" t="n">
        <v>11298</v>
      </c>
      <c r="B11299" t="inlineStr">
        <is>
          <t>x̄MCCXCVIII</t>
        </is>
      </c>
      <c r="C11299">
        <f>ROMAN(11298)</f>
        <v/>
      </c>
      <c r="D11299">
        <f>IF(B11299=C11299, "YES", "WRONG")</f>
        <v/>
      </c>
    </row>
    <row r="11300">
      <c r="A11300" t="n">
        <v>11299</v>
      </c>
      <c r="B11300" t="inlineStr">
        <is>
          <t>x̄MCCXCIX</t>
        </is>
      </c>
      <c r="C11300">
        <f>ROMAN(11299)</f>
        <v/>
      </c>
      <c r="D11300">
        <f>IF(B11300=C11300, "YES", "WRONG")</f>
        <v/>
      </c>
    </row>
    <row r="11301">
      <c r="A11301" t="n">
        <v>11300</v>
      </c>
      <c r="B11301" t="inlineStr">
        <is>
          <t>x̄MCCC</t>
        </is>
      </c>
      <c r="C11301">
        <f>ROMAN(11300)</f>
        <v/>
      </c>
      <c r="D11301">
        <f>IF(B11301=C11301, "YES", "WRONG")</f>
        <v/>
      </c>
    </row>
    <row r="11302">
      <c r="A11302" t="n">
        <v>11301</v>
      </c>
      <c r="B11302" t="inlineStr">
        <is>
          <t>x̄MCCCI</t>
        </is>
      </c>
      <c r="C11302">
        <f>ROMAN(11301)</f>
        <v/>
      </c>
      <c r="D11302">
        <f>IF(B11302=C11302, "YES", "WRONG")</f>
        <v/>
      </c>
    </row>
    <row r="11303">
      <c r="A11303" t="n">
        <v>11302</v>
      </c>
      <c r="B11303" t="inlineStr">
        <is>
          <t>x̄MCCCII</t>
        </is>
      </c>
      <c r="C11303">
        <f>ROMAN(11302)</f>
        <v/>
      </c>
      <c r="D11303">
        <f>IF(B11303=C11303, "YES", "WRONG")</f>
        <v/>
      </c>
    </row>
    <row r="11304">
      <c r="A11304" t="n">
        <v>11303</v>
      </c>
      <c r="B11304" t="inlineStr">
        <is>
          <t>x̄MCCCIII</t>
        </is>
      </c>
      <c r="C11304">
        <f>ROMAN(11303)</f>
        <v/>
      </c>
      <c r="D11304">
        <f>IF(B11304=C11304, "YES", "WRONG")</f>
        <v/>
      </c>
    </row>
    <row r="11305">
      <c r="A11305" t="n">
        <v>11304</v>
      </c>
      <c r="B11305" t="inlineStr">
        <is>
          <t>x̄MCCCIV</t>
        </is>
      </c>
      <c r="C11305">
        <f>ROMAN(11304)</f>
        <v/>
      </c>
      <c r="D11305">
        <f>IF(B11305=C11305, "YES", "WRONG")</f>
        <v/>
      </c>
    </row>
    <row r="11306">
      <c r="A11306" t="n">
        <v>11305</v>
      </c>
      <c r="B11306" t="inlineStr">
        <is>
          <t>x̄MCCCV</t>
        </is>
      </c>
      <c r="C11306">
        <f>ROMAN(11305)</f>
        <v/>
      </c>
      <c r="D11306">
        <f>IF(B11306=C11306, "YES", "WRONG")</f>
        <v/>
      </c>
    </row>
    <row r="11307">
      <c r="A11307" t="n">
        <v>11306</v>
      </c>
      <c r="B11307" t="inlineStr">
        <is>
          <t>x̄MCCCVI</t>
        </is>
      </c>
      <c r="C11307">
        <f>ROMAN(11306)</f>
        <v/>
      </c>
      <c r="D11307">
        <f>IF(B11307=C11307, "YES", "WRONG")</f>
        <v/>
      </c>
    </row>
    <row r="11308">
      <c r="A11308" t="n">
        <v>11307</v>
      </c>
      <c r="B11308" t="inlineStr">
        <is>
          <t>x̄MCCCVII</t>
        </is>
      </c>
      <c r="C11308">
        <f>ROMAN(11307)</f>
        <v/>
      </c>
      <c r="D11308">
        <f>IF(B11308=C11308, "YES", "WRONG")</f>
        <v/>
      </c>
    </row>
    <row r="11309">
      <c r="A11309" t="n">
        <v>11308</v>
      </c>
      <c r="B11309" t="inlineStr">
        <is>
          <t>x̄MCCCVIII</t>
        </is>
      </c>
      <c r="C11309">
        <f>ROMAN(11308)</f>
        <v/>
      </c>
      <c r="D11309">
        <f>IF(B11309=C11309, "YES", "WRONG")</f>
        <v/>
      </c>
    </row>
    <row r="11310">
      <c r="A11310" t="n">
        <v>11309</v>
      </c>
      <c r="B11310" t="inlineStr">
        <is>
          <t>x̄MCCCIX</t>
        </is>
      </c>
      <c r="C11310">
        <f>ROMAN(11309)</f>
        <v/>
      </c>
      <c r="D11310">
        <f>IF(B11310=C11310, "YES", "WRONG")</f>
        <v/>
      </c>
    </row>
    <row r="11311">
      <c r="A11311" t="n">
        <v>11310</v>
      </c>
      <c r="B11311" t="inlineStr">
        <is>
          <t>x̄MCCCX</t>
        </is>
      </c>
      <c r="C11311">
        <f>ROMAN(11310)</f>
        <v/>
      </c>
      <c r="D11311">
        <f>IF(B11311=C11311, "YES", "WRONG")</f>
        <v/>
      </c>
    </row>
    <row r="11312">
      <c r="A11312" t="n">
        <v>11311</v>
      </c>
      <c r="B11312" t="inlineStr">
        <is>
          <t>x̄MCCCXI</t>
        </is>
      </c>
      <c r="C11312">
        <f>ROMAN(11311)</f>
        <v/>
      </c>
      <c r="D11312">
        <f>IF(B11312=C11312, "YES", "WRONG")</f>
        <v/>
      </c>
    </row>
    <row r="11313">
      <c r="A11313" t="n">
        <v>11312</v>
      </c>
      <c r="B11313" t="inlineStr">
        <is>
          <t>x̄MCCCXII</t>
        </is>
      </c>
      <c r="C11313">
        <f>ROMAN(11312)</f>
        <v/>
      </c>
      <c r="D11313">
        <f>IF(B11313=C11313, "YES", "WRONG")</f>
        <v/>
      </c>
    </row>
    <row r="11314">
      <c r="A11314" t="n">
        <v>11313</v>
      </c>
      <c r="B11314" t="inlineStr">
        <is>
          <t>x̄MCCCXIII</t>
        </is>
      </c>
      <c r="C11314">
        <f>ROMAN(11313)</f>
        <v/>
      </c>
      <c r="D11314">
        <f>IF(B11314=C11314, "YES", "WRONG")</f>
        <v/>
      </c>
    </row>
    <row r="11315">
      <c r="A11315" t="n">
        <v>11314</v>
      </c>
      <c r="B11315" t="inlineStr">
        <is>
          <t>x̄MCCCXIV</t>
        </is>
      </c>
      <c r="C11315">
        <f>ROMAN(11314)</f>
        <v/>
      </c>
      <c r="D11315">
        <f>IF(B11315=C11315, "YES", "WRONG")</f>
        <v/>
      </c>
    </row>
    <row r="11316">
      <c r="A11316" t="n">
        <v>11315</v>
      </c>
      <c r="B11316" t="inlineStr">
        <is>
          <t>x̄MCCCXV</t>
        </is>
      </c>
      <c r="C11316">
        <f>ROMAN(11315)</f>
        <v/>
      </c>
      <c r="D11316">
        <f>IF(B11316=C11316, "YES", "WRONG")</f>
        <v/>
      </c>
    </row>
    <row r="11317">
      <c r="A11317" t="n">
        <v>11316</v>
      </c>
      <c r="B11317" t="inlineStr">
        <is>
          <t>x̄MCCCXVI</t>
        </is>
      </c>
      <c r="C11317">
        <f>ROMAN(11316)</f>
        <v/>
      </c>
      <c r="D11317">
        <f>IF(B11317=C11317, "YES", "WRONG")</f>
        <v/>
      </c>
    </row>
    <row r="11318">
      <c r="A11318" t="n">
        <v>11317</v>
      </c>
      <c r="B11318" t="inlineStr">
        <is>
          <t>x̄MCCCXVII</t>
        </is>
      </c>
      <c r="C11318">
        <f>ROMAN(11317)</f>
        <v/>
      </c>
      <c r="D11318">
        <f>IF(B11318=C11318, "YES", "WRONG")</f>
        <v/>
      </c>
    </row>
    <row r="11319">
      <c r="A11319" t="n">
        <v>11318</v>
      </c>
      <c r="B11319" t="inlineStr">
        <is>
          <t>x̄MCCCXVIII</t>
        </is>
      </c>
      <c r="C11319">
        <f>ROMAN(11318)</f>
        <v/>
      </c>
      <c r="D11319">
        <f>IF(B11319=C11319, "YES", "WRONG")</f>
        <v/>
      </c>
    </row>
    <row r="11320">
      <c r="A11320" t="n">
        <v>11319</v>
      </c>
      <c r="B11320" t="inlineStr">
        <is>
          <t>x̄MCCCXIX</t>
        </is>
      </c>
      <c r="C11320">
        <f>ROMAN(11319)</f>
        <v/>
      </c>
      <c r="D11320">
        <f>IF(B11320=C11320, "YES", "WRONG")</f>
        <v/>
      </c>
    </row>
    <row r="11321">
      <c r="A11321" t="n">
        <v>11320</v>
      </c>
      <c r="B11321" t="inlineStr">
        <is>
          <t>x̄MCCCXX</t>
        </is>
      </c>
      <c r="C11321">
        <f>ROMAN(11320)</f>
        <v/>
      </c>
      <c r="D11321">
        <f>IF(B11321=C11321, "YES", "WRONG")</f>
        <v/>
      </c>
    </row>
    <row r="11322">
      <c r="A11322" t="n">
        <v>11321</v>
      </c>
      <c r="B11322" t="inlineStr">
        <is>
          <t>x̄MCCCXXI</t>
        </is>
      </c>
      <c r="C11322">
        <f>ROMAN(11321)</f>
        <v/>
      </c>
      <c r="D11322">
        <f>IF(B11322=C11322, "YES", "WRONG")</f>
        <v/>
      </c>
    </row>
    <row r="11323">
      <c r="A11323" t="n">
        <v>11322</v>
      </c>
      <c r="B11323" t="inlineStr">
        <is>
          <t>x̄MCCCXXII</t>
        </is>
      </c>
      <c r="C11323">
        <f>ROMAN(11322)</f>
        <v/>
      </c>
      <c r="D11323">
        <f>IF(B11323=C11323, "YES", "WRONG")</f>
        <v/>
      </c>
    </row>
    <row r="11324">
      <c r="A11324" t="n">
        <v>11323</v>
      </c>
      <c r="B11324" t="inlineStr">
        <is>
          <t>x̄MCCCXXIII</t>
        </is>
      </c>
      <c r="C11324">
        <f>ROMAN(11323)</f>
        <v/>
      </c>
      <c r="D11324">
        <f>IF(B11324=C11324, "YES", "WRONG")</f>
        <v/>
      </c>
    </row>
    <row r="11325">
      <c r="A11325" t="n">
        <v>11324</v>
      </c>
      <c r="B11325" t="inlineStr">
        <is>
          <t>x̄MCCCXXIV</t>
        </is>
      </c>
      <c r="C11325">
        <f>ROMAN(11324)</f>
        <v/>
      </c>
      <c r="D11325">
        <f>IF(B11325=C11325, "YES", "WRONG")</f>
        <v/>
      </c>
    </row>
    <row r="11326">
      <c r="A11326" t="n">
        <v>11325</v>
      </c>
      <c r="B11326" t="inlineStr">
        <is>
          <t>x̄MCCCXXV</t>
        </is>
      </c>
      <c r="C11326">
        <f>ROMAN(11325)</f>
        <v/>
      </c>
      <c r="D11326">
        <f>IF(B11326=C11326, "YES", "WRONG")</f>
        <v/>
      </c>
    </row>
    <row r="11327">
      <c r="A11327" t="n">
        <v>11326</v>
      </c>
      <c r="B11327" t="inlineStr">
        <is>
          <t>x̄MCCCXXVI</t>
        </is>
      </c>
      <c r="C11327">
        <f>ROMAN(11326)</f>
        <v/>
      </c>
      <c r="D11327">
        <f>IF(B11327=C11327, "YES", "WRONG")</f>
        <v/>
      </c>
    </row>
    <row r="11328">
      <c r="A11328" t="n">
        <v>11327</v>
      </c>
      <c r="B11328" t="inlineStr">
        <is>
          <t>x̄MCCCXXVII</t>
        </is>
      </c>
      <c r="C11328">
        <f>ROMAN(11327)</f>
        <v/>
      </c>
      <c r="D11328">
        <f>IF(B11328=C11328, "YES", "WRONG")</f>
        <v/>
      </c>
    </row>
    <row r="11329">
      <c r="A11329" t="n">
        <v>11328</v>
      </c>
      <c r="B11329" t="inlineStr">
        <is>
          <t>x̄MCCCXXVIII</t>
        </is>
      </c>
      <c r="C11329">
        <f>ROMAN(11328)</f>
        <v/>
      </c>
      <c r="D11329">
        <f>IF(B11329=C11329, "YES", "WRONG")</f>
        <v/>
      </c>
    </row>
    <row r="11330">
      <c r="A11330" t="n">
        <v>11329</v>
      </c>
      <c r="B11330" t="inlineStr">
        <is>
          <t>x̄MCCCXXIX</t>
        </is>
      </c>
      <c r="C11330">
        <f>ROMAN(11329)</f>
        <v/>
      </c>
      <c r="D11330">
        <f>IF(B11330=C11330, "YES", "WRONG")</f>
        <v/>
      </c>
    </row>
    <row r="11331">
      <c r="A11331" t="n">
        <v>11330</v>
      </c>
      <c r="B11331" t="inlineStr">
        <is>
          <t>x̄MCCCXXX</t>
        </is>
      </c>
      <c r="C11331">
        <f>ROMAN(11330)</f>
        <v/>
      </c>
      <c r="D11331">
        <f>IF(B11331=C11331, "YES", "WRONG")</f>
        <v/>
      </c>
    </row>
    <row r="11332">
      <c r="A11332" t="n">
        <v>11331</v>
      </c>
      <c r="B11332" t="inlineStr">
        <is>
          <t>x̄MCCCXXXI</t>
        </is>
      </c>
      <c r="C11332">
        <f>ROMAN(11331)</f>
        <v/>
      </c>
      <c r="D11332">
        <f>IF(B11332=C11332, "YES", "WRONG")</f>
        <v/>
      </c>
    </row>
    <row r="11333">
      <c r="A11333" t="n">
        <v>11332</v>
      </c>
      <c r="B11333" t="inlineStr">
        <is>
          <t>x̄MCCCXXXII</t>
        </is>
      </c>
      <c r="C11333">
        <f>ROMAN(11332)</f>
        <v/>
      </c>
      <c r="D11333">
        <f>IF(B11333=C11333, "YES", "WRONG")</f>
        <v/>
      </c>
    </row>
    <row r="11334">
      <c r="A11334" t="n">
        <v>11333</v>
      </c>
      <c r="B11334" t="inlineStr">
        <is>
          <t>x̄MCCCXXXIII</t>
        </is>
      </c>
      <c r="C11334">
        <f>ROMAN(11333)</f>
        <v/>
      </c>
      <c r="D11334">
        <f>IF(B11334=C11334, "YES", "WRONG")</f>
        <v/>
      </c>
    </row>
    <row r="11335">
      <c r="A11335" t="n">
        <v>11334</v>
      </c>
      <c r="B11335" t="inlineStr">
        <is>
          <t>x̄MCCCXXXIV</t>
        </is>
      </c>
      <c r="C11335">
        <f>ROMAN(11334)</f>
        <v/>
      </c>
      <c r="D11335">
        <f>IF(B11335=C11335, "YES", "WRONG")</f>
        <v/>
      </c>
    </row>
    <row r="11336">
      <c r="A11336" t="n">
        <v>11335</v>
      </c>
      <c r="B11336" t="inlineStr">
        <is>
          <t>x̄MCCCXXXV</t>
        </is>
      </c>
      <c r="C11336">
        <f>ROMAN(11335)</f>
        <v/>
      </c>
      <c r="D11336">
        <f>IF(B11336=C11336, "YES", "WRONG")</f>
        <v/>
      </c>
    </row>
    <row r="11337">
      <c r="A11337" t="n">
        <v>11336</v>
      </c>
      <c r="B11337" t="inlineStr">
        <is>
          <t>x̄MCCCXXXVI</t>
        </is>
      </c>
      <c r="C11337">
        <f>ROMAN(11336)</f>
        <v/>
      </c>
      <c r="D11337">
        <f>IF(B11337=C11337, "YES", "WRONG")</f>
        <v/>
      </c>
    </row>
    <row r="11338">
      <c r="A11338" t="n">
        <v>11337</v>
      </c>
      <c r="B11338" t="inlineStr">
        <is>
          <t>x̄MCCCXXXVII</t>
        </is>
      </c>
      <c r="C11338">
        <f>ROMAN(11337)</f>
        <v/>
      </c>
      <c r="D11338">
        <f>IF(B11338=C11338, "YES", "WRONG")</f>
        <v/>
      </c>
    </row>
    <row r="11339">
      <c r="A11339" t="n">
        <v>11338</v>
      </c>
      <c r="B11339" t="inlineStr">
        <is>
          <t>x̄MCCCXXXVIII</t>
        </is>
      </c>
      <c r="C11339">
        <f>ROMAN(11338)</f>
        <v/>
      </c>
      <c r="D11339">
        <f>IF(B11339=C11339, "YES", "WRONG")</f>
        <v/>
      </c>
    </row>
    <row r="11340">
      <c r="A11340" t="n">
        <v>11339</v>
      </c>
      <c r="B11340" t="inlineStr">
        <is>
          <t>x̄MCCCXXXIX</t>
        </is>
      </c>
      <c r="C11340">
        <f>ROMAN(11339)</f>
        <v/>
      </c>
      <c r="D11340">
        <f>IF(B11340=C11340, "YES", "WRONG")</f>
        <v/>
      </c>
    </row>
    <row r="11341">
      <c r="A11341" t="n">
        <v>11340</v>
      </c>
      <c r="B11341" t="inlineStr">
        <is>
          <t>x̄MCCCXL</t>
        </is>
      </c>
      <c r="C11341">
        <f>ROMAN(11340)</f>
        <v/>
      </c>
      <c r="D11341">
        <f>IF(B11341=C11341, "YES", "WRONG")</f>
        <v/>
      </c>
    </row>
    <row r="11342">
      <c r="A11342" t="n">
        <v>11341</v>
      </c>
      <c r="B11342" t="inlineStr">
        <is>
          <t>x̄MCCCXLI</t>
        </is>
      </c>
      <c r="C11342">
        <f>ROMAN(11341)</f>
        <v/>
      </c>
      <c r="D11342">
        <f>IF(B11342=C11342, "YES", "WRONG")</f>
        <v/>
      </c>
    </row>
    <row r="11343">
      <c r="A11343" t="n">
        <v>11342</v>
      </c>
      <c r="B11343" t="inlineStr">
        <is>
          <t>x̄MCCCXLII</t>
        </is>
      </c>
      <c r="C11343">
        <f>ROMAN(11342)</f>
        <v/>
      </c>
      <c r="D11343">
        <f>IF(B11343=C11343, "YES", "WRONG")</f>
        <v/>
      </c>
    </row>
    <row r="11344">
      <c r="A11344" t="n">
        <v>11343</v>
      </c>
      <c r="B11344" t="inlineStr">
        <is>
          <t>x̄MCCCXLIII</t>
        </is>
      </c>
      <c r="C11344">
        <f>ROMAN(11343)</f>
        <v/>
      </c>
      <c r="D11344">
        <f>IF(B11344=C11344, "YES", "WRONG")</f>
        <v/>
      </c>
    </row>
    <row r="11345">
      <c r="A11345" t="n">
        <v>11344</v>
      </c>
      <c r="B11345" t="inlineStr">
        <is>
          <t>x̄MCCCXLIV</t>
        </is>
      </c>
      <c r="C11345">
        <f>ROMAN(11344)</f>
        <v/>
      </c>
      <c r="D11345">
        <f>IF(B11345=C11345, "YES", "WRONG")</f>
        <v/>
      </c>
    </row>
    <row r="11346">
      <c r="A11346" t="n">
        <v>11345</v>
      </c>
      <c r="B11346" t="inlineStr">
        <is>
          <t>x̄MCCCXLV</t>
        </is>
      </c>
      <c r="C11346">
        <f>ROMAN(11345)</f>
        <v/>
      </c>
      <c r="D11346">
        <f>IF(B11346=C11346, "YES", "WRONG")</f>
        <v/>
      </c>
    </row>
    <row r="11347">
      <c r="A11347" t="n">
        <v>11346</v>
      </c>
      <c r="B11347" t="inlineStr">
        <is>
          <t>x̄MCCCXLVI</t>
        </is>
      </c>
      <c r="C11347">
        <f>ROMAN(11346)</f>
        <v/>
      </c>
      <c r="D11347">
        <f>IF(B11347=C11347, "YES", "WRONG")</f>
        <v/>
      </c>
    </row>
    <row r="11348">
      <c r="A11348" t="n">
        <v>11347</v>
      </c>
      <c r="B11348" t="inlineStr">
        <is>
          <t>x̄MCCCXLVII</t>
        </is>
      </c>
      <c r="C11348">
        <f>ROMAN(11347)</f>
        <v/>
      </c>
      <c r="D11348">
        <f>IF(B11348=C11348, "YES", "WRONG")</f>
        <v/>
      </c>
    </row>
    <row r="11349">
      <c r="A11349" t="n">
        <v>11348</v>
      </c>
      <c r="B11349" t="inlineStr">
        <is>
          <t>x̄MCCCXLVIII</t>
        </is>
      </c>
      <c r="C11349">
        <f>ROMAN(11348)</f>
        <v/>
      </c>
      <c r="D11349">
        <f>IF(B11349=C11349, "YES", "WRONG")</f>
        <v/>
      </c>
    </row>
    <row r="11350">
      <c r="A11350" t="n">
        <v>11349</v>
      </c>
      <c r="B11350" t="inlineStr">
        <is>
          <t>x̄MCCCXLIX</t>
        </is>
      </c>
      <c r="C11350">
        <f>ROMAN(11349)</f>
        <v/>
      </c>
      <c r="D11350">
        <f>IF(B11350=C11350, "YES", "WRONG")</f>
        <v/>
      </c>
    </row>
    <row r="11351">
      <c r="A11351" t="n">
        <v>11350</v>
      </c>
      <c r="B11351" t="inlineStr">
        <is>
          <t>x̄MCCCL</t>
        </is>
      </c>
      <c r="C11351">
        <f>ROMAN(11350)</f>
        <v/>
      </c>
      <c r="D11351">
        <f>IF(B11351=C11351, "YES", "WRONG")</f>
        <v/>
      </c>
    </row>
    <row r="11352">
      <c r="A11352" t="n">
        <v>11351</v>
      </c>
      <c r="B11352" t="inlineStr">
        <is>
          <t>x̄MCCCLI</t>
        </is>
      </c>
      <c r="C11352">
        <f>ROMAN(11351)</f>
        <v/>
      </c>
      <c r="D11352">
        <f>IF(B11352=C11352, "YES", "WRONG")</f>
        <v/>
      </c>
    </row>
    <row r="11353">
      <c r="A11353" t="n">
        <v>11352</v>
      </c>
      <c r="B11353" t="inlineStr">
        <is>
          <t>x̄MCCCLII</t>
        </is>
      </c>
      <c r="C11353">
        <f>ROMAN(11352)</f>
        <v/>
      </c>
      <c r="D11353">
        <f>IF(B11353=C11353, "YES", "WRONG")</f>
        <v/>
      </c>
    </row>
    <row r="11354">
      <c r="A11354" t="n">
        <v>11353</v>
      </c>
      <c r="B11354" t="inlineStr">
        <is>
          <t>x̄MCCCLIII</t>
        </is>
      </c>
      <c r="C11354">
        <f>ROMAN(11353)</f>
        <v/>
      </c>
      <c r="D11354">
        <f>IF(B11354=C11354, "YES", "WRONG")</f>
        <v/>
      </c>
    </row>
    <row r="11355">
      <c r="A11355" t="n">
        <v>11354</v>
      </c>
      <c r="B11355" t="inlineStr">
        <is>
          <t>x̄MCCCLIV</t>
        </is>
      </c>
      <c r="C11355">
        <f>ROMAN(11354)</f>
        <v/>
      </c>
      <c r="D11355">
        <f>IF(B11355=C11355, "YES", "WRONG")</f>
        <v/>
      </c>
    </row>
    <row r="11356">
      <c r="A11356" t="n">
        <v>11355</v>
      </c>
      <c r="B11356" t="inlineStr">
        <is>
          <t>x̄MCCCLV</t>
        </is>
      </c>
      <c r="C11356">
        <f>ROMAN(11355)</f>
        <v/>
      </c>
      <c r="D11356">
        <f>IF(B11356=C11356, "YES", "WRONG")</f>
        <v/>
      </c>
    </row>
    <row r="11357">
      <c r="A11357" t="n">
        <v>11356</v>
      </c>
      <c r="B11357" t="inlineStr">
        <is>
          <t>x̄MCCCLVI</t>
        </is>
      </c>
      <c r="C11357">
        <f>ROMAN(11356)</f>
        <v/>
      </c>
      <c r="D11357">
        <f>IF(B11357=C11357, "YES", "WRONG")</f>
        <v/>
      </c>
    </row>
    <row r="11358">
      <c r="A11358" t="n">
        <v>11357</v>
      </c>
      <c r="B11358" t="inlineStr">
        <is>
          <t>x̄MCCCLVII</t>
        </is>
      </c>
      <c r="C11358">
        <f>ROMAN(11357)</f>
        <v/>
      </c>
      <c r="D11358">
        <f>IF(B11358=C11358, "YES", "WRONG")</f>
        <v/>
      </c>
    </row>
    <row r="11359">
      <c r="A11359" t="n">
        <v>11358</v>
      </c>
      <c r="B11359" t="inlineStr">
        <is>
          <t>x̄MCCCLVIII</t>
        </is>
      </c>
      <c r="C11359">
        <f>ROMAN(11358)</f>
        <v/>
      </c>
      <c r="D11359">
        <f>IF(B11359=C11359, "YES", "WRONG")</f>
        <v/>
      </c>
    </row>
    <row r="11360">
      <c r="A11360" t="n">
        <v>11359</v>
      </c>
      <c r="B11360" t="inlineStr">
        <is>
          <t>x̄MCCCLIX</t>
        </is>
      </c>
      <c r="C11360">
        <f>ROMAN(11359)</f>
        <v/>
      </c>
      <c r="D11360">
        <f>IF(B11360=C11360, "YES", "WRONG")</f>
        <v/>
      </c>
    </row>
    <row r="11361">
      <c r="A11361" t="n">
        <v>11360</v>
      </c>
      <c r="B11361" t="inlineStr">
        <is>
          <t>x̄MCCCLX</t>
        </is>
      </c>
      <c r="C11361">
        <f>ROMAN(11360)</f>
        <v/>
      </c>
      <c r="D11361">
        <f>IF(B11361=C11361, "YES", "WRONG")</f>
        <v/>
      </c>
    </row>
    <row r="11362">
      <c r="A11362" t="n">
        <v>11361</v>
      </c>
      <c r="B11362" t="inlineStr">
        <is>
          <t>x̄MCCCLXI</t>
        </is>
      </c>
      <c r="C11362">
        <f>ROMAN(11361)</f>
        <v/>
      </c>
      <c r="D11362">
        <f>IF(B11362=C11362, "YES", "WRONG")</f>
        <v/>
      </c>
    </row>
    <row r="11363">
      <c r="A11363" t="n">
        <v>11362</v>
      </c>
      <c r="B11363" t="inlineStr">
        <is>
          <t>x̄MCCCLXII</t>
        </is>
      </c>
      <c r="C11363">
        <f>ROMAN(11362)</f>
        <v/>
      </c>
      <c r="D11363">
        <f>IF(B11363=C11363, "YES", "WRONG")</f>
        <v/>
      </c>
    </row>
    <row r="11364">
      <c r="A11364" t="n">
        <v>11363</v>
      </c>
      <c r="B11364" t="inlineStr">
        <is>
          <t>x̄MCCCLXIII</t>
        </is>
      </c>
      <c r="C11364">
        <f>ROMAN(11363)</f>
        <v/>
      </c>
      <c r="D11364">
        <f>IF(B11364=C11364, "YES", "WRONG")</f>
        <v/>
      </c>
    </row>
    <row r="11365">
      <c r="A11365" t="n">
        <v>11364</v>
      </c>
      <c r="B11365" t="inlineStr">
        <is>
          <t>x̄MCCCLXIV</t>
        </is>
      </c>
      <c r="C11365">
        <f>ROMAN(11364)</f>
        <v/>
      </c>
      <c r="D11365">
        <f>IF(B11365=C11365, "YES", "WRONG")</f>
        <v/>
      </c>
    </row>
    <row r="11366">
      <c r="A11366" t="n">
        <v>11365</v>
      </c>
      <c r="B11366" t="inlineStr">
        <is>
          <t>x̄MCCCLXV</t>
        </is>
      </c>
      <c r="C11366">
        <f>ROMAN(11365)</f>
        <v/>
      </c>
      <c r="D11366">
        <f>IF(B11366=C11366, "YES", "WRONG")</f>
        <v/>
      </c>
    </row>
    <row r="11367">
      <c r="A11367" t="n">
        <v>11366</v>
      </c>
      <c r="B11367" t="inlineStr">
        <is>
          <t>x̄MCCCLXVI</t>
        </is>
      </c>
      <c r="C11367">
        <f>ROMAN(11366)</f>
        <v/>
      </c>
      <c r="D11367">
        <f>IF(B11367=C11367, "YES", "WRONG")</f>
        <v/>
      </c>
    </row>
    <row r="11368">
      <c r="A11368" t="n">
        <v>11367</v>
      </c>
      <c r="B11368" t="inlineStr">
        <is>
          <t>x̄MCCCLXVII</t>
        </is>
      </c>
      <c r="C11368">
        <f>ROMAN(11367)</f>
        <v/>
      </c>
      <c r="D11368">
        <f>IF(B11368=C11368, "YES", "WRONG")</f>
        <v/>
      </c>
    </row>
    <row r="11369">
      <c r="A11369" t="n">
        <v>11368</v>
      </c>
      <c r="B11369" t="inlineStr">
        <is>
          <t>x̄MCCCLXVIII</t>
        </is>
      </c>
      <c r="C11369">
        <f>ROMAN(11368)</f>
        <v/>
      </c>
      <c r="D11369">
        <f>IF(B11369=C11369, "YES", "WRONG")</f>
        <v/>
      </c>
    </row>
    <row r="11370">
      <c r="A11370" t="n">
        <v>11369</v>
      </c>
      <c r="B11370" t="inlineStr">
        <is>
          <t>x̄MCCCLXIX</t>
        </is>
      </c>
      <c r="C11370">
        <f>ROMAN(11369)</f>
        <v/>
      </c>
      <c r="D11370">
        <f>IF(B11370=C11370, "YES", "WRONG")</f>
        <v/>
      </c>
    </row>
    <row r="11371">
      <c r="A11371" t="n">
        <v>11370</v>
      </c>
      <c r="B11371" t="inlineStr">
        <is>
          <t>x̄MCCCLXX</t>
        </is>
      </c>
      <c r="C11371">
        <f>ROMAN(11370)</f>
        <v/>
      </c>
      <c r="D11371">
        <f>IF(B11371=C11371, "YES", "WRONG")</f>
        <v/>
      </c>
    </row>
    <row r="11372">
      <c r="A11372" t="n">
        <v>11371</v>
      </c>
      <c r="B11372" t="inlineStr">
        <is>
          <t>x̄MCCCLXXI</t>
        </is>
      </c>
      <c r="C11372">
        <f>ROMAN(11371)</f>
        <v/>
      </c>
      <c r="D11372">
        <f>IF(B11372=C11372, "YES", "WRONG")</f>
        <v/>
      </c>
    </row>
    <row r="11373">
      <c r="A11373" t="n">
        <v>11372</v>
      </c>
      <c r="B11373" t="inlineStr">
        <is>
          <t>x̄MCCCLXXII</t>
        </is>
      </c>
      <c r="C11373">
        <f>ROMAN(11372)</f>
        <v/>
      </c>
      <c r="D11373">
        <f>IF(B11373=C11373, "YES", "WRONG")</f>
        <v/>
      </c>
    </row>
    <row r="11374">
      <c r="A11374" t="n">
        <v>11373</v>
      </c>
      <c r="B11374" t="inlineStr">
        <is>
          <t>x̄MCCCLXXIII</t>
        </is>
      </c>
      <c r="C11374">
        <f>ROMAN(11373)</f>
        <v/>
      </c>
      <c r="D11374">
        <f>IF(B11374=C11374, "YES", "WRONG")</f>
        <v/>
      </c>
    </row>
    <row r="11375">
      <c r="A11375" t="n">
        <v>11374</v>
      </c>
      <c r="B11375" t="inlineStr">
        <is>
          <t>x̄MCCCLXXIV</t>
        </is>
      </c>
      <c r="C11375">
        <f>ROMAN(11374)</f>
        <v/>
      </c>
      <c r="D11375">
        <f>IF(B11375=C11375, "YES", "WRONG")</f>
        <v/>
      </c>
    </row>
    <row r="11376">
      <c r="A11376" t="n">
        <v>11375</v>
      </c>
      <c r="B11376" t="inlineStr">
        <is>
          <t>x̄MCCCLXXV</t>
        </is>
      </c>
      <c r="C11376">
        <f>ROMAN(11375)</f>
        <v/>
      </c>
      <c r="D11376">
        <f>IF(B11376=C11376, "YES", "WRONG")</f>
        <v/>
      </c>
    </row>
    <row r="11377">
      <c r="A11377" t="n">
        <v>11376</v>
      </c>
      <c r="B11377" t="inlineStr">
        <is>
          <t>x̄MCCCLXXVI</t>
        </is>
      </c>
      <c r="C11377">
        <f>ROMAN(11376)</f>
        <v/>
      </c>
      <c r="D11377">
        <f>IF(B11377=C11377, "YES", "WRONG")</f>
        <v/>
      </c>
    </row>
    <row r="11378">
      <c r="A11378" t="n">
        <v>11377</v>
      </c>
      <c r="B11378" t="inlineStr">
        <is>
          <t>x̄MCCCLXXVII</t>
        </is>
      </c>
      <c r="C11378">
        <f>ROMAN(11377)</f>
        <v/>
      </c>
      <c r="D11378">
        <f>IF(B11378=C11378, "YES", "WRONG")</f>
        <v/>
      </c>
    </row>
    <row r="11379">
      <c r="A11379" t="n">
        <v>11378</v>
      </c>
      <c r="B11379" t="inlineStr">
        <is>
          <t>x̄MCCCLXXVIII</t>
        </is>
      </c>
      <c r="C11379">
        <f>ROMAN(11378)</f>
        <v/>
      </c>
      <c r="D11379">
        <f>IF(B11379=C11379, "YES", "WRONG")</f>
        <v/>
      </c>
    </row>
    <row r="11380">
      <c r="A11380" t="n">
        <v>11379</v>
      </c>
      <c r="B11380" t="inlineStr">
        <is>
          <t>x̄MCCCLXXIX</t>
        </is>
      </c>
      <c r="C11380">
        <f>ROMAN(11379)</f>
        <v/>
      </c>
      <c r="D11380">
        <f>IF(B11380=C11380, "YES", "WRONG")</f>
        <v/>
      </c>
    </row>
    <row r="11381">
      <c r="A11381" t="n">
        <v>11380</v>
      </c>
      <c r="B11381" t="inlineStr">
        <is>
          <t>x̄MCCCLXXX</t>
        </is>
      </c>
      <c r="C11381">
        <f>ROMAN(11380)</f>
        <v/>
      </c>
      <c r="D11381">
        <f>IF(B11381=C11381, "YES", "WRONG")</f>
        <v/>
      </c>
    </row>
    <row r="11382">
      <c r="A11382" t="n">
        <v>11381</v>
      </c>
      <c r="B11382" t="inlineStr">
        <is>
          <t>x̄MCCCLXXXI</t>
        </is>
      </c>
      <c r="C11382">
        <f>ROMAN(11381)</f>
        <v/>
      </c>
      <c r="D11382">
        <f>IF(B11382=C11382, "YES", "WRONG")</f>
        <v/>
      </c>
    </row>
    <row r="11383">
      <c r="A11383" t="n">
        <v>11382</v>
      </c>
      <c r="B11383" t="inlineStr">
        <is>
          <t>x̄MCCCLXXXII</t>
        </is>
      </c>
      <c r="C11383">
        <f>ROMAN(11382)</f>
        <v/>
      </c>
      <c r="D11383">
        <f>IF(B11383=C11383, "YES", "WRONG")</f>
        <v/>
      </c>
    </row>
    <row r="11384">
      <c r="A11384" t="n">
        <v>11383</v>
      </c>
      <c r="B11384" t="inlineStr">
        <is>
          <t>x̄MCCCLXXXIII</t>
        </is>
      </c>
      <c r="C11384">
        <f>ROMAN(11383)</f>
        <v/>
      </c>
      <c r="D11384">
        <f>IF(B11384=C11384, "YES", "WRONG")</f>
        <v/>
      </c>
    </row>
    <row r="11385">
      <c r="A11385" t="n">
        <v>11384</v>
      </c>
      <c r="B11385" t="inlineStr">
        <is>
          <t>x̄MCCCLXXXIV</t>
        </is>
      </c>
      <c r="C11385">
        <f>ROMAN(11384)</f>
        <v/>
      </c>
      <c r="D11385">
        <f>IF(B11385=C11385, "YES", "WRONG")</f>
        <v/>
      </c>
    </row>
    <row r="11386">
      <c r="A11386" t="n">
        <v>11385</v>
      </c>
      <c r="B11386" t="inlineStr">
        <is>
          <t>x̄MCCCLXXXV</t>
        </is>
      </c>
      <c r="C11386">
        <f>ROMAN(11385)</f>
        <v/>
      </c>
      <c r="D11386">
        <f>IF(B11386=C11386, "YES", "WRONG")</f>
        <v/>
      </c>
    </row>
    <row r="11387">
      <c r="A11387" t="n">
        <v>11386</v>
      </c>
      <c r="B11387" t="inlineStr">
        <is>
          <t>x̄MCCCLXXXVI</t>
        </is>
      </c>
      <c r="C11387">
        <f>ROMAN(11386)</f>
        <v/>
      </c>
      <c r="D11387">
        <f>IF(B11387=C11387, "YES", "WRONG")</f>
        <v/>
      </c>
    </row>
    <row r="11388">
      <c r="A11388" t="n">
        <v>11387</v>
      </c>
      <c r="B11388" t="inlineStr">
        <is>
          <t>x̄MCCCLXXXVII</t>
        </is>
      </c>
      <c r="C11388">
        <f>ROMAN(11387)</f>
        <v/>
      </c>
      <c r="D11388">
        <f>IF(B11388=C11388, "YES", "WRONG")</f>
        <v/>
      </c>
    </row>
    <row r="11389">
      <c r="A11389" t="n">
        <v>11388</v>
      </c>
      <c r="B11389" t="inlineStr">
        <is>
          <t>x̄MCCCLXXXVIII</t>
        </is>
      </c>
      <c r="C11389">
        <f>ROMAN(11388)</f>
        <v/>
      </c>
      <c r="D11389">
        <f>IF(B11389=C11389, "YES", "WRONG")</f>
        <v/>
      </c>
    </row>
    <row r="11390">
      <c r="A11390" t="n">
        <v>11389</v>
      </c>
      <c r="B11390" t="inlineStr">
        <is>
          <t>x̄MCCCLXXXIX</t>
        </is>
      </c>
      <c r="C11390">
        <f>ROMAN(11389)</f>
        <v/>
      </c>
      <c r="D11390">
        <f>IF(B11390=C11390, "YES", "WRONG")</f>
        <v/>
      </c>
    </row>
    <row r="11391">
      <c r="A11391" t="n">
        <v>11390</v>
      </c>
      <c r="B11391" t="inlineStr">
        <is>
          <t>x̄MCCCXC</t>
        </is>
      </c>
      <c r="C11391">
        <f>ROMAN(11390)</f>
        <v/>
      </c>
      <c r="D11391">
        <f>IF(B11391=C11391, "YES", "WRONG")</f>
        <v/>
      </c>
    </row>
    <row r="11392">
      <c r="A11392" t="n">
        <v>11391</v>
      </c>
      <c r="B11392" t="inlineStr">
        <is>
          <t>x̄MCCCXCI</t>
        </is>
      </c>
      <c r="C11392">
        <f>ROMAN(11391)</f>
        <v/>
      </c>
      <c r="D11392">
        <f>IF(B11392=C11392, "YES", "WRONG")</f>
        <v/>
      </c>
    </row>
    <row r="11393">
      <c r="A11393" t="n">
        <v>11392</v>
      </c>
      <c r="B11393" t="inlineStr">
        <is>
          <t>x̄MCCCXCII</t>
        </is>
      </c>
      <c r="C11393">
        <f>ROMAN(11392)</f>
        <v/>
      </c>
      <c r="D11393">
        <f>IF(B11393=C11393, "YES", "WRONG")</f>
        <v/>
      </c>
    </row>
    <row r="11394">
      <c r="A11394" t="n">
        <v>11393</v>
      </c>
      <c r="B11394" t="inlineStr">
        <is>
          <t>x̄MCCCXCIII</t>
        </is>
      </c>
      <c r="C11394">
        <f>ROMAN(11393)</f>
        <v/>
      </c>
      <c r="D11394">
        <f>IF(B11394=C11394, "YES", "WRONG")</f>
        <v/>
      </c>
    </row>
    <row r="11395">
      <c r="A11395" t="n">
        <v>11394</v>
      </c>
      <c r="B11395" t="inlineStr">
        <is>
          <t>x̄MCCCXCIV</t>
        </is>
      </c>
      <c r="C11395">
        <f>ROMAN(11394)</f>
        <v/>
      </c>
      <c r="D11395">
        <f>IF(B11395=C11395, "YES", "WRONG")</f>
        <v/>
      </c>
    </row>
    <row r="11396">
      <c r="A11396" t="n">
        <v>11395</v>
      </c>
      <c r="B11396" t="inlineStr">
        <is>
          <t>x̄MCCCXCV</t>
        </is>
      </c>
      <c r="C11396">
        <f>ROMAN(11395)</f>
        <v/>
      </c>
      <c r="D11396">
        <f>IF(B11396=C11396, "YES", "WRONG")</f>
        <v/>
      </c>
    </row>
    <row r="11397">
      <c r="A11397" t="n">
        <v>11396</v>
      </c>
      <c r="B11397" t="inlineStr">
        <is>
          <t>x̄MCCCXCVI</t>
        </is>
      </c>
      <c r="C11397">
        <f>ROMAN(11396)</f>
        <v/>
      </c>
      <c r="D11397">
        <f>IF(B11397=C11397, "YES", "WRONG")</f>
        <v/>
      </c>
    </row>
    <row r="11398">
      <c r="A11398" t="n">
        <v>11397</v>
      </c>
      <c r="B11398" t="inlineStr">
        <is>
          <t>x̄MCCCXCVII</t>
        </is>
      </c>
      <c r="C11398">
        <f>ROMAN(11397)</f>
        <v/>
      </c>
      <c r="D11398">
        <f>IF(B11398=C11398, "YES", "WRONG")</f>
        <v/>
      </c>
    </row>
    <row r="11399">
      <c r="A11399" t="n">
        <v>11398</v>
      </c>
      <c r="B11399" t="inlineStr">
        <is>
          <t>x̄MCCCXCVIII</t>
        </is>
      </c>
      <c r="C11399">
        <f>ROMAN(11398)</f>
        <v/>
      </c>
      <c r="D11399">
        <f>IF(B11399=C11399, "YES", "WRONG")</f>
        <v/>
      </c>
    </row>
    <row r="11400">
      <c r="A11400" t="n">
        <v>11399</v>
      </c>
      <c r="B11400" t="inlineStr">
        <is>
          <t>x̄MCCCXCIX</t>
        </is>
      </c>
      <c r="C11400">
        <f>ROMAN(11399)</f>
        <v/>
      </c>
      <c r="D11400">
        <f>IF(B11400=C11400, "YES", "WRONG")</f>
        <v/>
      </c>
    </row>
    <row r="11401">
      <c r="A11401" t="n">
        <v>11400</v>
      </c>
      <c r="B11401" t="inlineStr">
        <is>
          <t>x̄MCD</t>
        </is>
      </c>
      <c r="C11401">
        <f>ROMAN(11400)</f>
        <v/>
      </c>
      <c r="D11401">
        <f>IF(B11401=C11401, "YES", "WRONG")</f>
        <v/>
      </c>
    </row>
    <row r="11402">
      <c r="A11402" t="n">
        <v>11401</v>
      </c>
      <c r="B11402" t="inlineStr">
        <is>
          <t>x̄MCDI</t>
        </is>
      </c>
      <c r="C11402">
        <f>ROMAN(11401)</f>
        <v/>
      </c>
      <c r="D11402">
        <f>IF(B11402=C11402, "YES", "WRONG")</f>
        <v/>
      </c>
    </row>
    <row r="11403">
      <c r="A11403" t="n">
        <v>11402</v>
      </c>
      <c r="B11403" t="inlineStr">
        <is>
          <t>x̄MCDII</t>
        </is>
      </c>
      <c r="C11403">
        <f>ROMAN(11402)</f>
        <v/>
      </c>
      <c r="D11403">
        <f>IF(B11403=C11403, "YES", "WRONG")</f>
        <v/>
      </c>
    </row>
    <row r="11404">
      <c r="A11404" t="n">
        <v>11403</v>
      </c>
      <c r="B11404" t="inlineStr">
        <is>
          <t>x̄MCDIII</t>
        </is>
      </c>
      <c r="C11404">
        <f>ROMAN(11403)</f>
        <v/>
      </c>
      <c r="D11404">
        <f>IF(B11404=C11404, "YES", "WRONG")</f>
        <v/>
      </c>
    </row>
    <row r="11405">
      <c r="A11405" t="n">
        <v>11404</v>
      </c>
      <c r="B11405" t="inlineStr">
        <is>
          <t>x̄MCDIV</t>
        </is>
      </c>
      <c r="C11405">
        <f>ROMAN(11404)</f>
        <v/>
      </c>
      <c r="D11405">
        <f>IF(B11405=C11405, "YES", "WRONG")</f>
        <v/>
      </c>
    </row>
    <row r="11406">
      <c r="A11406" t="n">
        <v>11405</v>
      </c>
      <c r="B11406" t="inlineStr">
        <is>
          <t>x̄MCDV</t>
        </is>
      </c>
      <c r="C11406">
        <f>ROMAN(11405)</f>
        <v/>
      </c>
      <c r="D11406">
        <f>IF(B11406=C11406, "YES", "WRONG")</f>
        <v/>
      </c>
    </row>
    <row r="11407">
      <c r="A11407" t="n">
        <v>11406</v>
      </c>
      <c r="B11407" t="inlineStr">
        <is>
          <t>x̄MCDVI</t>
        </is>
      </c>
      <c r="C11407">
        <f>ROMAN(11406)</f>
        <v/>
      </c>
      <c r="D11407">
        <f>IF(B11407=C11407, "YES", "WRONG")</f>
        <v/>
      </c>
    </row>
    <row r="11408">
      <c r="A11408" t="n">
        <v>11407</v>
      </c>
      <c r="B11408" t="inlineStr">
        <is>
          <t>x̄MCDVII</t>
        </is>
      </c>
      <c r="C11408">
        <f>ROMAN(11407)</f>
        <v/>
      </c>
      <c r="D11408">
        <f>IF(B11408=C11408, "YES", "WRONG")</f>
        <v/>
      </c>
    </row>
    <row r="11409">
      <c r="A11409" t="n">
        <v>11408</v>
      </c>
      <c r="B11409" t="inlineStr">
        <is>
          <t>x̄MCDVIII</t>
        </is>
      </c>
      <c r="C11409">
        <f>ROMAN(11408)</f>
        <v/>
      </c>
      <c r="D11409">
        <f>IF(B11409=C11409, "YES", "WRONG")</f>
        <v/>
      </c>
    </row>
    <row r="11410">
      <c r="A11410" t="n">
        <v>11409</v>
      </c>
      <c r="B11410" t="inlineStr">
        <is>
          <t>x̄MCDIX</t>
        </is>
      </c>
      <c r="C11410">
        <f>ROMAN(11409)</f>
        <v/>
      </c>
      <c r="D11410">
        <f>IF(B11410=C11410, "YES", "WRONG")</f>
        <v/>
      </c>
    </row>
    <row r="11411">
      <c r="A11411" t="n">
        <v>11410</v>
      </c>
      <c r="B11411" t="inlineStr">
        <is>
          <t>x̄MCDX</t>
        </is>
      </c>
      <c r="C11411">
        <f>ROMAN(11410)</f>
        <v/>
      </c>
      <c r="D11411">
        <f>IF(B11411=C11411, "YES", "WRONG")</f>
        <v/>
      </c>
    </row>
    <row r="11412">
      <c r="A11412" t="n">
        <v>11411</v>
      </c>
      <c r="B11412" t="inlineStr">
        <is>
          <t>x̄MCDXI</t>
        </is>
      </c>
      <c r="C11412">
        <f>ROMAN(11411)</f>
        <v/>
      </c>
      <c r="D11412">
        <f>IF(B11412=C11412, "YES", "WRONG")</f>
        <v/>
      </c>
    </row>
    <row r="11413">
      <c r="A11413" t="n">
        <v>11412</v>
      </c>
      <c r="B11413" t="inlineStr">
        <is>
          <t>x̄MCDXII</t>
        </is>
      </c>
      <c r="C11413">
        <f>ROMAN(11412)</f>
        <v/>
      </c>
      <c r="D11413">
        <f>IF(B11413=C11413, "YES", "WRONG")</f>
        <v/>
      </c>
    </row>
    <row r="11414">
      <c r="A11414" t="n">
        <v>11413</v>
      </c>
      <c r="B11414" t="inlineStr">
        <is>
          <t>x̄MCDXIII</t>
        </is>
      </c>
      <c r="C11414">
        <f>ROMAN(11413)</f>
        <v/>
      </c>
      <c r="D11414">
        <f>IF(B11414=C11414, "YES", "WRONG")</f>
        <v/>
      </c>
    </row>
    <row r="11415">
      <c r="A11415" t="n">
        <v>11414</v>
      </c>
      <c r="B11415" t="inlineStr">
        <is>
          <t>x̄MCDXIV</t>
        </is>
      </c>
      <c r="C11415">
        <f>ROMAN(11414)</f>
        <v/>
      </c>
      <c r="D11415">
        <f>IF(B11415=C11415, "YES", "WRONG")</f>
        <v/>
      </c>
    </row>
    <row r="11416">
      <c r="A11416" t="n">
        <v>11415</v>
      </c>
      <c r="B11416" t="inlineStr">
        <is>
          <t>x̄MCDXV</t>
        </is>
      </c>
      <c r="C11416">
        <f>ROMAN(11415)</f>
        <v/>
      </c>
      <c r="D11416">
        <f>IF(B11416=C11416, "YES", "WRONG")</f>
        <v/>
      </c>
    </row>
    <row r="11417">
      <c r="A11417" t="n">
        <v>11416</v>
      </c>
      <c r="B11417" t="inlineStr">
        <is>
          <t>x̄MCDXVI</t>
        </is>
      </c>
      <c r="C11417">
        <f>ROMAN(11416)</f>
        <v/>
      </c>
      <c r="D11417">
        <f>IF(B11417=C11417, "YES", "WRONG")</f>
        <v/>
      </c>
    </row>
    <row r="11418">
      <c r="A11418" t="n">
        <v>11417</v>
      </c>
      <c r="B11418" t="inlineStr">
        <is>
          <t>x̄MCDXVII</t>
        </is>
      </c>
      <c r="C11418">
        <f>ROMAN(11417)</f>
        <v/>
      </c>
      <c r="D11418">
        <f>IF(B11418=C11418, "YES", "WRONG")</f>
        <v/>
      </c>
    </row>
    <row r="11419">
      <c r="A11419" t="n">
        <v>11418</v>
      </c>
      <c r="B11419" t="inlineStr">
        <is>
          <t>x̄MCDXVIII</t>
        </is>
      </c>
      <c r="C11419">
        <f>ROMAN(11418)</f>
        <v/>
      </c>
      <c r="D11419">
        <f>IF(B11419=C11419, "YES", "WRONG")</f>
        <v/>
      </c>
    </row>
    <row r="11420">
      <c r="A11420" t="n">
        <v>11419</v>
      </c>
      <c r="B11420" t="inlineStr">
        <is>
          <t>x̄MCDXIX</t>
        </is>
      </c>
      <c r="C11420">
        <f>ROMAN(11419)</f>
        <v/>
      </c>
      <c r="D11420">
        <f>IF(B11420=C11420, "YES", "WRONG")</f>
        <v/>
      </c>
    </row>
    <row r="11421">
      <c r="A11421" t="n">
        <v>11420</v>
      </c>
      <c r="B11421" t="inlineStr">
        <is>
          <t>x̄MCDXX</t>
        </is>
      </c>
      <c r="C11421">
        <f>ROMAN(11420)</f>
        <v/>
      </c>
      <c r="D11421">
        <f>IF(B11421=C11421, "YES", "WRONG")</f>
        <v/>
      </c>
    </row>
    <row r="11422">
      <c r="A11422" t="n">
        <v>11421</v>
      </c>
      <c r="B11422" t="inlineStr">
        <is>
          <t>x̄MCDXXI</t>
        </is>
      </c>
      <c r="C11422">
        <f>ROMAN(11421)</f>
        <v/>
      </c>
      <c r="D11422">
        <f>IF(B11422=C11422, "YES", "WRONG")</f>
        <v/>
      </c>
    </row>
    <row r="11423">
      <c r="A11423" t="n">
        <v>11422</v>
      </c>
      <c r="B11423" t="inlineStr">
        <is>
          <t>x̄MCDXXII</t>
        </is>
      </c>
      <c r="C11423">
        <f>ROMAN(11422)</f>
        <v/>
      </c>
      <c r="D11423">
        <f>IF(B11423=C11423, "YES", "WRONG")</f>
        <v/>
      </c>
    </row>
    <row r="11424">
      <c r="A11424" t="n">
        <v>11423</v>
      </c>
      <c r="B11424" t="inlineStr">
        <is>
          <t>x̄MCDXXIII</t>
        </is>
      </c>
      <c r="C11424">
        <f>ROMAN(11423)</f>
        <v/>
      </c>
      <c r="D11424">
        <f>IF(B11424=C11424, "YES", "WRONG")</f>
        <v/>
      </c>
    </row>
    <row r="11425">
      <c r="A11425" t="n">
        <v>11424</v>
      </c>
      <c r="B11425" t="inlineStr">
        <is>
          <t>x̄MCDXXIV</t>
        </is>
      </c>
      <c r="C11425">
        <f>ROMAN(11424)</f>
        <v/>
      </c>
      <c r="D11425">
        <f>IF(B11425=C11425, "YES", "WRONG")</f>
        <v/>
      </c>
    </row>
    <row r="11426">
      <c r="A11426" t="n">
        <v>11425</v>
      </c>
      <c r="B11426" t="inlineStr">
        <is>
          <t>x̄MCDXXV</t>
        </is>
      </c>
      <c r="C11426">
        <f>ROMAN(11425)</f>
        <v/>
      </c>
      <c r="D11426">
        <f>IF(B11426=C11426, "YES", "WRONG")</f>
        <v/>
      </c>
    </row>
    <row r="11427">
      <c r="A11427" t="n">
        <v>11426</v>
      </c>
      <c r="B11427" t="inlineStr">
        <is>
          <t>x̄MCDXXVI</t>
        </is>
      </c>
      <c r="C11427">
        <f>ROMAN(11426)</f>
        <v/>
      </c>
      <c r="D11427">
        <f>IF(B11427=C11427, "YES", "WRONG")</f>
        <v/>
      </c>
    </row>
    <row r="11428">
      <c r="A11428" t="n">
        <v>11427</v>
      </c>
      <c r="B11428" t="inlineStr">
        <is>
          <t>x̄MCDXXVII</t>
        </is>
      </c>
      <c r="C11428">
        <f>ROMAN(11427)</f>
        <v/>
      </c>
      <c r="D11428">
        <f>IF(B11428=C11428, "YES", "WRONG")</f>
        <v/>
      </c>
    </row>
    <row r="11429">
      <c r="A11429" t="n">
        <v>11428</v>
      </c>
      <c r="B11429" t="inlineStr">
        <is>
          <t>x̄MCDXXVIII</t>
        </is>
      </c>
      <c r="C11429">
        <f>ROMAN(11428)</f>
        <v/>
      </c>
      <c r="D11429">
        <f>IF(B11429=C11429, "YES", "WRONG")</f>
        <v/>
      </c>
    </row>
    <row r="11430">
      <c r="A11430" t="n">
        <v>11429</v>
      </c>
      <c r="B11430" t="inlineStr">
        <is>
          <t>x̄MCDXXIX</t>
        </is>
      </c>
      <c r="C11430">
        <f>ROMAN(11429)</f>
        <v/>
      </c>
      <c r="D11430">
        <f>IF(B11430=C11430, "YES", "WRONG")</f>
        <v/>
      </c>
    </row>
    <row r="11431">
      <c r="A11431" t="n">
        <v>11430</v>
      </c>
      <c r="B11431" t="inlineStr">
        <is>
          <t>x̄MCDXXX</t>
        </is>
      </c>
      <c r="C11431">
        <f>ROMAN(11430)</f>
        <v/>
      </c>
      <c r="D11431">
        <f>IF(B11431=C11431, "YES", "WRONG")</f>
        <v/>
      </c>
    </row>
    <row r="11432">
      <c r="A11432" t="n">
        <v>11431</v>
      </c>
      <c r="B11432" t="inlineStr">
        <is>
          <t>x̄MCDXXXI</t>
        </is>
      </c>
      <c r="C11432">
        <f>ROMAN(11431)</f>
        <v/>
      </c>
      <c r="D11432">
        <f>IF(B11432=C11432, "YES", "WRONG")</f>
        <v/>
      </c>
    </row>
    <row r="11433">
      <c r="A11433" t="n">
        <v>11432</v>
      </c>
      <c r="B11433" t="inlineStr">
        <is>
          <t>x̄MCDXXXII</t>
        </is>
      </c>
      <c r="C11433">
        <f>ROMAN(11432)</f>
        <v/>
      </c>
      <c r="D11433">
        <f>IF(B11433=C11433, "YES", "WRONG")</f>
        <v/>
      </c>
    </row>
    <row r="11434">
      <c r="A11434" t="n">
        <v>11433</v>
      </c>
      <c r="B11434" t="inlineStr">
        <is>
          <t>x̄MCDXXXIII</t>
        </is>
      </c>
      <c r="C11434">
        <f>ROMAN(11433)</f>
        <v/>
      </c>
      <c r="D11434">
        <f>IF(B11434=C11434, "YES", "WRONG")</f>
        <v/>
      </c>
    </row>
    <row r="11435">
      <c r="A11435" t="n">
        <v>11434</v>
      </c>
      <c r="B11435" t="inlineStr">
        <is>
          <t>x̄MCDXXXIV</t>
        </is>
      </c>
      <c r="C11435">
        <f>ROMAN(11434)</f>
        <v/>
      </c>
      <c r="D11435">
        <f>IF(B11435=C11435, "YES", "WRONG")</f>
        <v/>
      </c>
    </row>
    <row r="11436">
      <c r="A11436" t="n">
        <v>11435</v>
      </c>
      <c r="B11436" t="inlineStr">
        <is>
          <t>x̄MCDXXXV</t>
        </is>
      </c>
      <c r="C11436">
        <f>ROMAN(11435)</f>
        <v/>
      </c>
      <c r="D11436">
        <f>IF(B11436=C11436, "YES", "WRONG")</f>
        <v/>
      </c>
    </row>
    <row r="11437">
      <c r="A11437" t="n">
        <v>11436</v>
      </c>
      <c r="B11437" t="inlineStr">
        <is>
          <t>x̄MCDXXXVI</t>
        </is>
      </c>
      <c r="C11437">
        <f>ROMAN(11436)</f>
        <v/>
      </c>
      <c r="D11437">
        <f>IF(B11437=C11437, "YES", "WRONG")</f>
        <v/>
      </c>
    </row>
    <row r="11438">
      <c r="A11438" t="n">
        <v>11437</v>
      </c>
      <c r="B11438" t="inlineStr">
        <is>
          <t>x̄MCDXXXVII</t>
        </is>
      </c>
      <c r="C11438">
        <f>ROMAN(11437)</f>
        <v/>
      </c>
      <c r="D11438">
        <f>IF(B11438=C11438, "YES", "WRONG")</f>
        <v/>
      </c>
    </row>
    <row r="11439">
      <c r="A11439" t="n">
        <v>11438</v>
      </c>
      <c r="B11439" t="inlineStr">
        <is>
          <t>x̄MCDXXXVIII</t>
        </is>
      </c>
      <c r="C11439">
        <f>ROMAN(11438)</f>
        <v/>
      </c>
      <c r="D11439">
        <f>IF(B11439=C11439, "YES", "WRONG")</f>
        <v/>
      </c>
    </row>
    <row r="11440">
      <c r="A11440" t="n">
        <v>11439</v>
      </c>
      <c r="B11440" t="inlineStr">
        <is>
          <t>x̄MCDXXXIX</t>
        </is>
      </c>
      <c r="C11440">
        <f>ROMAN(11439)</f>
        <v/>
      </c>
      <c r="D11440">
        <f>IF(B11440=C11440, "YES", "WRONG")</f>
        <v/>
      </c>
    </row>
    <row r="11441">
      <c r="A11441" t="n">
        <v>11440</v>
      </c>
      <c r="B11441" t="inlineStr">
        <is>
          <t>x̄MCDXL</t>
        </is>
      </c>
      <c r="C11441">
        <f>ROMAN(11440)</f>
        <v/>
      </c>
      <c r="D11441">
        <f>IF(B11441=C11441, "YES", "WRONG")</f>
        <v/>
      </c>
    </row>
    <row r="11442">
      <c r="A11442" t="n">
        <v>11441</v>
      </c>
      <c r="B11442" t="inlineStr">
        <is>
          <t>x̄MCDXLI</t>
        </is>
      </c>
      <c r="C11442">
        <f>ROMAN(11441)</f>
        <v/>
      </c>
      <c r="D11442">
        <f>IF(B11442=C11442, "YES", "WRONG")</f>
        <v/>
      </c>
    </row>
    <row r="11443">
      <c r="A11443" t="n">
        <v>11442</v>
      </c>
      <c r="B11443" t="inlineStr">
        <is>
          <t>x̄MCDXLII</t>
        </is>
      </c>
      <c r="C11443">
        <f>ROMAN(11442)</f>
        <v/>
      </c>
      <c r="D11443">
        <f>IF(B11443=C11443, "YES", "WRONG")</f>
        <v/>
      </c>
    </row>
    <row r="11444">
      <c r="A11444" t="n">
        <v>11443</v>
      </c>
      <c r="B11444" t="inlineStr">
        <is>
          <t>x̄MCDXLIII</t>
        </is>
      </c>
      <c r="C11444">
        <f>ROMAN(11443)</f>
        <v/>
      </c>
      <c r="D11444">
        <f>IF(B11444=C11444, "YES", "WRONG")</f>
        <v/>
      </c>
    </row>
    <row r="11445">
      <c r="A11445" t="n">
        <v>11444</v>
      </c>
      <c r="B11445" t="inlineStr">
        <is>
          <t>x̄MCDXLIV</t>
        </is>
      </c>
      <c r="C11445">
        <f>ROMAN(11444)</f>
        <v/>
      </c>
      <c r="D11445">
        <f>IF(B11445=C11445, "YES", "WRONG")</f>
        <v/>
      </c>
    </row>
    <row r="11446">
      <c r="A11446" t="n">
        <v>11445</v>
      </c>
      <c r="B11446" t="inlineStr">
        <is>
          <t>x̄MCDXLV</t>
        </is>
      </c>
      <c r="C11446">
        <f>ROMAN(11445)</f>
        <v/>
      </c>
      <c r="D11446">
        <f>IF(B11446=C11446, "YES", "WRONG")</f>
        <v/>
      </c>
    </row>
    <row r="11447">
      <c r="A11447" t="n">
        <v>11446</v>
      </c>
      <c r="B11447" t="inlineStr">
        <is>
          <t>x̄MCDXLVI</t>
        </is>
      </c>
      <c r="C11447">
        <f>ROMAN(11446)</f>
        <v/>
      </c>
      <c r="D11447">
        <f>IF(B11447=C11447, "YES", "WRONG")</f>
        <v/>
      </c>
    </row>
    <row r="11448">
      <c r="A11448" t="n">
        <v>11447</v>
      </c>
      <c r="B11448" t="inlineStr">
        <is>
          <t>x̄MCDXLVII</t>
        </is>
      </c>
      <c r="C11448">
        <f>ROMAN(11447)</f>
        <v/>
      </c>
      <c r="D11448">
        <f>IF(B11448=C11448, "YES", "WRONG")</f>
        <v/>
      </c>
    </row>
    <row r="11449">
      <c r="A11449" t="n">
        <v>11448</v>
      </c>
      <c r="B11449" t="inlineStr">
        <is>
          <t>x̄MCDXLVIII</t>
        </is>
      </c>
      <c r="C11449">
        <f>ROMAN(11448)</f>
        <v/>
      </c>
      <c r="D11449">
        <f>IF(B11449=C11449, "YES", "WRONG")</f>
        <v/>
      </c>
    </row>
    <row r="11450">
      <c r="A11450" t="n">
        <v>11449</v>
      </c>
      <c r="B11450" t="inlineStr">
        <is>
          <t>x̄MCDXLIX</t>
        </is>
      </c>
      <c r="C11450">
        <f>ROMAN(11449)</f>
        <v/>
      </c>
      <c r="D11450">
        <f>IF(B11450=C11450, "YES", "WRONG")</f>
        <v/>
      </c>
    </row>
    <row r="11451">
      <c r="A11451" t="n">
        <v>11450</v>
      </c>
      <c r="B11451" t="inlineStr">
        <is>
          <t>x̄MCDL</t>
        </is>
      </c>
      <c r="C11451">
        <f>ROMAN(11450)</f>
        <v/>
      </c>
      <c r="D11451">
        <f>IF(B11451=C11451, "YES", "WRONG")</f>
        <v/>
      </c>
    </row>
    <row r="11452">
      <c r="A11452" t="n">
        <v>11451</v>
      </c>
      <c r="B11452" t="inlineStr">
        <is>
          <t>x̄MCDLI</t>
        </is>
      </c>
      <c r="C11452">
        <f>ROMAN(11451)</f>
        <v/>
      </c>
      <c r="D11452">
        <f>IF(B11452=C11452, "YES", "WRONG")</f>
        <v/>
      </c>
    </row>
    <row r="11453">
      <c r="A11453" t="n">
        <v>11452</v>
      </c>
      <c r="B11453" t="inlineStr">
        <is>
          <t>x̄MCDLII</t>
        </is>
      </c>
      <c r="C11453">
        <f>ROMAN(11452)</f>
        <v/>
      </c>
      <c r="D11453">
        <f>IF(B11453=C11453, "YES", "WRONG")</f>
        <v/>
      </c>
    </row>
    <row r="11454">
      <c r="A11454" t="n">
        <v>11453</v>
      </c>
      <c r="B11454" t="inlineStr">
        <is>
          <t>x̄MCDLIII</t>
        </is>
      </c>
      <c r="C11454">
        <f>ROMAN(11453)</f>
        <v/>
      </c>
      <c r="D11454">
        <f>IF(B11454=C11454, "YES", "WRONG")</f>
        <v/>
      </c>
    </row>
    <row r="11455">
      <c r="A11455" t="n">
        <v>11454</v>
      </c>
      <c r="B11455" t="inlineStr">
        <is>
          <t>x̄MCDLIV</t>
        </is>
      </c>
      <c r="C11455">
        <f>ROMAN(11454)</f>
        <v/>
      </c>
      <c r="D11455">
        <f>IF(B11455=C11455, "YES", "WRONG")</f>
        <v/>
      </c>
    </row>
    <row r="11456">
      <c r="A11456" t="n">
        <v>11455</v>
      </c>
      <c r="B11456" t="inlineStr">
        <is>
          <t>x̄MCDLV</t>
        </is>
      </c>
      <c r="C11456">
        <f>ROMAN(11455)</f>
        <v/>
      </c>
      <c r="D11456">
        <f>IF(B11456=C11456, "YES", "WRONG")</f>
        <v/>
      </c>
    </row>
    <row r="11457">
      <c r="A11457" t="n">
        <v>11456</v>
      </c>
      <c r="B11457" t="inlineStr">
        <is>
          <t>x̄MCDLVI</t>
        </is>
      </c>
      <c r="C11457">
        <f>ROMAN(11456)</f>
        <v/>
      </c>
      <c r="D11457">
        <f>IF(B11457=C11457, "YES", "WRONG")</f>
        <v/>
      </c>
    </row>
    <row r="11458">
      <c r="A11458" t="n">
        <v>11457</v>
      </c>
      <c r="B11458" t="inlineStr">
        <is>
          <t>x̄MCDLVII</t>
        </is>
      </c>
      <c r="C11458">
        <f>ROMAN(11457)</f>
        <v/>
      </c>
      <c r="D11458">
        <f>IF(B11458=C11458, "YES", "WRONG")</f>
        <v/>
      </c>
    </row>
    <row r="11459">
      <c r="A11459" t="n">
        <v>11458</v>
      </c>
      <c r="B11459" t="inlineStr">
        <is>
          <t>x̄MCDLVIII</t>
        </is>
      </c>
      <c r="C11459">
        <f>ROMAN(11458)</f>
        <v/>
      </c>
      <c r="D11459">
        <f>IF(B11459=C11459, "YES", "WRONG")</f>
        <v/>
      </c>
    </row>
    <row r="11460">
      <c r="A11460" t="n">
        <v>11459</v>
      </c>
      <c r="B11460" t="inlineStr">
        <is>
          <t>x̄MCDLIX</t>
        </is>
      </c>
      <c r="C11460">
        <f>ROMAN(11459)</f>
        <v/>
      </c>
      <c r="D11460">
        <f>IF(B11460=C11460, "YES", "WRONG")</f>
        <v/>
      </c>
    </row>
    <row r="11461">
      <c r="A11461" t="n">
        <v>11460</v>
      </c>
      <c r="B11461" t="inlineStr">
        <is>
          <t>x̄MCDLX</t>
        </is>
      </c>
      <c r="C11461">
        <f>ROMAN(11460)</f>
        <v/>
      </c>
      <c r="D11461">
        <f>IF(B11461=C11461, "YES", "WRONG")</f>
        <v/>
      </c>
    </row>
    <row r="11462">
      <c r="A11462" t="n">
        <v>11461</v>
      </c>
      <c r="B11462" t="inlineStr">
        <is>
          <t>x̄MCDLXI</t>
        </is>
      </c>
      <c r="C11462">
        <f>ROMAN(11461)</f>
        <v/>
      </c>
      <c r="D11462">
        <f>IF(B11462=C11462, "YES", "WRONG")</f>
        <v/>
      </c>
    </row>
    <row r="11463">
      <c r="A11463" t="n">
        <v>11462</v>
      </c>
      <c r="B11463" t="inlineStr">
        <is>
          <t>x̄MCDLXII</t>
        </is>
      </c>
      <c r="C11463">
        <f>ROMAN(11462)</f>
        <v/>
      </c>
      <c r="D11463">
        <f>IF(B11463=C11463, "YES", "WRONG")</f>
        <v/>
      </c>
    </row>
    <row r="11464">
      <c r="A11464" t="n">
        <v>11463</v>
      </c>
      <c r="B11464" t="inlineStr">
        <is>
          <t>x̄MCDLXIII</t>
        </is>
      </c>
      <c r="C11464">
        <f>ROMAN(11463)</f>
        <v/>
      </c>
      <c r="D11464">
        <f>IF(B11464=C11464, "YES", "WRONG")</f>
        <v/>
      </c>
    </row>
    <row r="11465">
      <c r="A11465" t="n">
        <v>11464</v>
      </c>
      <c r="B11465" t="inlineStr">
        <is>
          <t>x̄MCDLXIV</t>
        </is>
      </c>
      <c r="C11465">
        <f>ROMAN(11464)</f>
        <v/>
      </c>
      <c r="D11465">
        <f>IF(B11465=C11465, "YES", "WRONG")</f>
        <v/>
      </c>
    </row>
    <row r="11466">
      <c r="A11466" t="n">
        <v>11465</v>
      </c>
      <c r="B11466" t="inlineStr">
        <is>
          <t>x̄MCDLXV</t>
        </is>
      </c>
      <c r="C11466">
        <f>ROMAN(11465)</f>
        <v/>
      </c>
      <c r="D11466">
        <f>IF(B11466=C11466, "YES", "WRONG")</f>
        <v/>
      </c>
    </row>
    <row r="11467">
      <c r="A11467" t="n">
        <v>11466</v>
      </c>
      <c r="B11467" t="inlineStr">
        <is>
          <t>x̄MCDLXVI</t>
        </is>
      </c>
      <c r="C11467">
        <f>ROMAN(11466)</f>
        <v/>
      </c>
      <c r="D11467">
        <f>IF(B11467=C11467, "YES", "WRONG")</f>
        <v/>
      </c>
    </row>
    <row r="11468">
      <c r="A11468" t="n">
        <v>11467</v>
      </c>
      <c r="B11468" t="inlineStr">
        <is>
          <t>x̄MCDLXVII</t>
        </is>
      </c>
      <c r="C11468">
        <f>ROMAN(11467)</f>
        <v/>
      </c>
      <c r="D11468">
        <f>IF(B11468=C11468, "YES", "WRONG")</f>
        <v/>
      </c>
    </row>
    <row r="11469">
      <c r="A11469" t="n">
        <v>11468</v>
      </c>
      <c r="B11469" t="inlineStr">
        <is>
          <t>x̄MCDLXVIII</t>
        </is>
      </c>
      <c r="C11469">
        <f>ROMAN(11468)</f>
        <v/>
      </c>
      <c r="D11469">
        <f>IF(B11469=C11469, "YES", "WRONG")</f>
        <v/>
      </c>
    </row>
    <row r="11470">
      <c r="A11470" t="n">
        <v>11469</v>
      </c>
      <c r="B11470" t="inlineStr">
        <is>
          <t>x̄MCDLXIX</t>
        </is>
      </c>
      <c r="C11470">
        <f>ROMAN(11469)</f>
        <v/>
      </c>
      <c r="D11470">
        <f>IF(B11470=C11470, "YES", "WRONG")</f>
        <v/>
      </c>
    </row>
    <row r="11471">
      <c r="A11471" t="n">
        <v>11470</v>
      </c>
      <c r="B11471" t="inlineStr">
        <is>
          <t>x̄MCDLXX</t>
        </is>
      </c>
      <c r="C11471">
        <f>ROMAN(11470)</f>
        <v/>
      </c>
      <c r="D11471">
        <f>IF(B11471=C11471, "YES", "WRONG")</f>
        <v/>
      </c>
    </row>
    <row r="11472">
      <c r="A11472" t="n">
        <v>11471</v>
      </c>
      <c r="B11472" t="inlineStr">
        <is>
          <t>x̄MCDLXXI</t>
        </is>
      </c>
      <c r="C11472">
        <f>ROMAN(11471)</f>
        <v/>
      </c>
      <c r="D11472">
        <f>IF(B11472=C11472, "YES", "WRONG")</f>
        <v/>
      </c>
    </row>
    <row r="11473">
      <c r="A11473" t="n">
        <v>11472</v>
      </c>
      <c r="B11473" t="inlineStr">
        <is>
          <t>x̄MCDLXXII</t>
        </is>
      </c>
      <c r="C11473">
        <f>ROMAN(11472)</f>
        <v/>
      </c>
      <c r="D11473">
        <f>IF(B11473=C11473, "YES", "WRONG")</f>
        <v/>
      </c>
    </row>
    <row r="11474">
      <c r="A11474" t="n">
        <v>11473</v>
      </c>
      <c r="B11474" t="inlineStr">
        <is>
          <t>x̄MCDLXXIII</t>
        </is>
      </c>
      <c r="C11474">
        <f>ROMAN(11473)</f>
        <v/>
      </c>
      <c r="D11474">
        <f>IF(B11474=C11474, "YES", "WRONG")</f>
        <v/>
      </c>
    </row>
    <row r="11475">
      <c r="A11475" t="n">
        <v>11474</v>
      </c>
      <c r="B11475" t="inlineStr">
        <is>
          <t>x̄MCDLXXIV</t>
        </is>
      </c>
      <c r="C11475">
        <f>ROMAN(11474)</f>
        <v/>
      </c>
      <c r="D11475">
        <f>IF(B11475=C11475, "YES", "WRONG")</f>
        <v/>
      </c>
    </row>
    <row r="11476">
      <c r="A11476" t="n">
        <v>11475</v>
      </c>
      <c r="B11476" t="inlineStr">
        <is>
          <t>x̄MCDLXXV</t>
        </is>
      </c>
      <c r="C11476">
        <f>ROMAN(11475)</f>
        <v/>
      </c>
      <c r="D11476">
        <f>IF(B11476=C11476, "YES", "WRONG")</f>
        <v/>
      </c>
    </row>
    <row r="11477">
      <c r="A11477" t="n">
        <v>11476</v>
      </c>
      <c r="B11477" t="inlineStr">
        <is>
          <t>x̄MCDLXXVI</t>
        </is>
      </c>
      <c r="C11477">
        <f>ROMAN(11476)</f>
        <v/>
      </c>
      <c r="D11477">
        <f>IF(B11477=C11477, "YES", "WRONG")</f>
        <v/>
      </c>
    </row>
    <row r="11478">
      <c r="A11478" t="n">
        <v>11477</v>
      </c>
      <c r="B11478" t="inlineStr">
        <is>
          <t>x̄MCDLXXVII</t>
        </is>
      </c>
      <c r="C11478">
        <f>ROMAN(11477)</f>
        <v/>
      </c>
      <c r="D11478">
        <f>IF(B11478=C11478, "YES", "WRONG")</f>
        <v/>
      </c>
    </row>
    <row r="11479">
      <c r="A11479" t="n">
        <v>11478</v>
      </c>
      <c r="B11479" t="inlineStr">
        <is>
          <t>x̄MCDLXXVIII</t>
        </is>
      </c>
      <c r="C11479">
        <f>ROMAN(11478)</f>
        <v/>
      </c>
      <c r="D11479">
        <f>IF(B11479=C11479, "YES", "WRONG")</f>
        <v/>
      </c>
    </row>
    <row r="11480">
      <c r="A11480" t="n">
        <v>11479</v>
      </c>
      <c r="B11480" t="inlineStr">
        <is>
          <t>x̄MCDLXXIX</t>
        </is>
      </c>
      <c r="C11480">
        <f>ROMAN(11479)</f>
        <v/>
      </c>
      <c r="D11480">
        <f>IF(B11480=C11480, "YES", "WRONG")</f>
        <v/>
      </c>
    </row>
    <row r="11481">
      <c r="A11481" t="n">
        <v>11480</v>
      </c>
      <c r="B11481" t="inlineStr">
        <is>
          <t>x̄MCDLXXX</t>
        </is>
      </c>
      <c r="C11481">
        <f>ROMAN(11480)</f>
        <v/>
      </c>
      <c r="D11481">
        <f>IF(B11481=C11481, "YES", "WRONG")</f>
        <v/>
      </c>
    </row>
    <row r="11482">
      <c r="A11482" t="n">
        <v>11481</v>
      </c>
      <c r="B11482" t="inlineStr">
        <is>
          <t>x̄MCDLXXXI</t>
        </is>
      </c>
      <c r="C11482">
        <f>ROMAN(11481)</f>
        <v/>
      </c>
      <c r="D11482">
        <f>IF(B11482=C11482, "YES", "WRONG")</f>
        <v/>
      </c>
    </row>
    <row r="11483">
      <c r="A11483" t="n">
        <v>11482</v>
      </c>
      <c r="B11483" t="inlineStr">
        <is>
          <t>x̄MCDLXXXII</t>
        </is>
      </c>
      <c r="C11483">
        <f>ROMAN(11482)</f>
        <v/>
      </c>
      <c r="D11483">
        <f>IF(B11483=C11483, "YES", "WRONG")</f>
        <v/>
      </c>
    </row>
    <row r="11484">
      <c r="A11484" t="n">
        <v>11483</v>
      </c>
      <c r="B11484" t="inlineStr">
        <is>
          <t>x̄MCDLXXXIII</t>
        </is>
      </c>
      <c r="C11484">
        <f>ROMAN(11483)</f>
        <v/>
      </c>
      <c r="D11484">
        <f>IF(B11484=C11484, "YES", "WRONG")</f>
        <v/>
      </c>
    </row>
    <row r="11485">
      <c r="A11485" t="n">
        <v>11484</v>
      </c>
      <c r="B11485" t="inlineStr">
        <is>
          <t>x̄MCDLXXXIV</t>
        </is>
      </c>
      <c r="C11485">
        <f>ROMAN(11484)</f>
        <v/>
      </c>
      <c r="D11485">
        <f>IF(B11485=C11485, "YES", "WRONG")</f>
        <v/>
      </c>
    </row>
    <row r="11486">
      <c r="A11486" t="n">
        <v>11485</v>
      </c>
      <c r="B11486" t="inlineStr">
        <is>
          <t>x̄MCDLXXXV</t>
        </is>
      </c>
      <c r="C11486">
        <f>ROMAN(11485)</f>
        <v/>
      </c>
      <c r="D11486">
        <f>IF(B11486=C11486, "YES", "WRONG")</f>
        <v/>
      </c>
    </row>
    <row r="11487">
      <c r="A11487" t="n">
        <v>11486</v>
      </c>
      <c r="B11487" t="inlineStr">
        <is>
          <t>x̄MCDLXXXVI</t>
        </is>
      </c>
      <c r="C11487">
        <f>ROMAN(11486)</f>
        <v/>
      </c>
      <c r="D11487">
        <f>IF(B11487=C11487, "YES", "WRONG")</f>
        <v/>
      </c>
    </row>
    <row r="11488">
      <c r="A11488" t="n">
        <v>11487</v>
      </c>
      <c r="B11488" t="inlineStr">
        <is>
          <t>x̄MCDLXXXVII</t>
        </is>
      </c>
      <c r="C11488">
        <f>ROMAN(11487)</f>
        <v/>
      </c>
      <c r="D11488">
        <f>IF(B11488=C11488, "YES", "WRONG")</f>
        <v/>
      </c>
    </row>
    <row r="11489">
      <c r="A11489" t="n">
        <v>11488</v>
      </c>
      <c r="B11489" t="inlineStr">
        <is>
          <t>x̄MCDLXXXVIII</t>
        </is>
      </c>
      <c r="C11489">
        <f>ROMAN(11488)</f>
        <v/>
      </c>
      <c r="D11489">
        <f>IF(B11489=C11489, "YES", "WRONG")</f>
        <v/>
      </c>
    </row>
    <row r="11490">
      <c r="A11490" t="n">
        <v>11489</v>
      </c>
      <c r="B11490" t="inlineStr">
        <is>
          <t>x̄MCDLXXXIX</t>
        </is>
      </c>
      <c r="C11490">
        <f>ROMAN(11489)</f>
        <v/>
      </c>
      <c r="D11490">
        <f>IF(B11490=C11490, "YES", "WRONG")</f>
        <v/>
      </c>
    </row>
    <row r="11491">
      <c r="A11491" t="n">
        <v>11490</v>
      </c>
      <c r="B11491" t="inlineStr">
        <is>
          <t>x̄MCDXC</t>
        </is>
      </c>
      <c r="C11491">
        <f>ROMAN(11490)</f>
        <v/>
      </c>
      <c r="D11491">
        <f>IF(B11491=C11491, "YES", "WRONG")</f>
        <v/>
      </c>
    </row>
    <row r="11492">
      <c r="A11492" t="n">
        <v>11491</v>
      </c>
      <c r="B11492" t="inlineStr">
        <is>
          <t>x̄MCDXCI</t>
        </is>
      </c>
      <c r="C11492">
        <f>ROMAN(11491)</f>
        <v/>
      </c>
      <c r="D11492">
        <f>IF(B11492=C11492, "YES", "WRONG")</f>
        <v/>
      </c>
    </row>
    <row r="11493">
      <c r="A11493" t="n">
        <v>11492</v>
      </c>
      <c r="B11493" t="inlineStr">
        <is>
          <t>x̄MCDXCII</t>
        </is>
      </c>
      <c r="C11493">
        <f>ROMAN(11492)</f>
        <v/>
      </c>
      <c r="D11493">
        <f>IF(B11493=C11493, "YES", "WRONG")</f>
        <v/>
      </c>
    </row>
    <row r="11494">
      <c r="A11494" t="n">
        <v>11493</v>
      </c>
      <c r="B11494" t="inlineStr">
        <is>
          <t>x̄MCDXCIII</t>
        </is>
      </c>
      <c r="C11494">
        <f>ROMAN(11493)</f>
        <v/>
      </c>
      <c r="D11494">
        <f>IF(B11494=C11494, "YES", "WRONG")</f>
        <v/>
      </c>
    </row>
    <row r="11495">
      <c r="A11495" t="n">
        <v>11494</v>
      </c>
      <c r="B11495" t="inlineStr">
        <is>
          <t>x̄MCDXCIV</t>
        </is>
      </c>
      <c r="C11495">
        <f>ROMAN(11494)</f>
        <v/>
      </c>
      <c r="D11495">
        <f>IF(B11495=C11495, "YES", "WRONG")</f>
        <v/>
      </c>
    </row>
    <row r="11496">
      <c r="A11496" t="n">
        <v>11495</v>
      </c>
      <c r="B11496" t="inlineStr">
        <is>
          <t>x̄MCDXCV</t>
        </is>
      </c>
      <c r="C11496">
        <f>ROMAN(11495)</f>
        <v/>
      </c>
      <c r="D11496">
        <f>IF(B11496=C11496, "YES", "WRONG")</f>
        <v/>
      </c>
    </row>
    <row r="11497">
      <c r="A11497" t="n">
        <v>11496</v>
      </c>
      <c r="B11497" t="inlineStr">
        <is>
          <t>x̄MCDXCVI</t>
        </is>
      </c>
      <c r="C11497">
        <f>ROMAN(11496)</f>
        <v/>
      </c>
      <c r="D11497">
        <f>IF(B11497=C11497, "YES", "WRONG")</f>
        <v/>
      </c>
    </row>
    <row r="11498">
      <c r="A11498" t="n">
        <v>11497</v>
      </c>
      <c r="B11498" t="inlineStr">
        <is>
          <t>x̄MCDXCVII</t>
        </is>
      </c>
      <c r="C11498">
        <f>ROMAN(11497)</f>
        <v/>
      </c>
      <c r="D11498">
        <f>IF(B11498=C11498, "YES", "WRONG")</f>
        <v/>
      </c>
    </row>
    <row r="11499">
      <c r="A11499" t="n">
        <v>11498</v>
      </c>
      <c r="B11499" t="inlineStr">
        <is>
          <t>x̄MCDXCVIII</t>
        </is>
      </c>
      <c r="C11499">
        <f>ROMAN(11498)</f>
        <v/>
      </c>
      <c r="D11499">
        <f>IF(B11499=C11499, "YES", "WRONG")</f>
        <v/>
      </c>
    </row>
    <row r="11500">
      <c r="A11500" t="n">
        <v>11499</v>
      </c>
      <c r="B11500" t="inlineStr">
        <is>
          <t>x̄MCDXCIX</t>
        </is>
      </c>
      <c r="C11500">
        <f>ROMAN(11499)</f>
        <v/>
      </c>
      <c r="D11500">
        <f>IF(B11500=C11500, "YES", "WRONG")</f>
        <v/>
      </c>
    </row>
    <row r="11501">
      <c r="A11501" t="n">
        <v>11500</v>
      </c>
      <c r="B11501" t="inlineStr">
        <is>
          <t>x̄MD</t>
        </is>
      </c>
      <c r="C11501">
        <f>ROMAN(11500)</f>
        <v/>
      </c>
      <c r="D11501">
        <f>IF(B11501=C11501, "YES", "WRONG")</f>
        <v/>
      </c>
    </row>
    <row r="11502">
      <c r="A11502" t="n">
        <v>11501</v>
      </c>
      <c r="B11502" t="inlineStr">
        <is>
          <t>x̄MDI</t>
        </is>
      </c>
      <c r="C11502">
        <f>ROMAN(11501)</f>
        <v/>
      </c>
      <c r="D11502">
        <f>IF(B11502=C11502, "YES", "WRONG")</f>
        <v/>
      </c>
    </row>
    <row r="11503">
      <c r="A11503" t="n">
        <v>11502</v>
      </c>
      <c r="B11503" t="inlineStr">
        <is>
          <t>x̄MDII</t>
        </is>
      </c>
      <c r="C11503">
        <f>ROMAN(11502)</f>
        <v/>
      </c>
      <c r="D11503">
        <f>IF(B11503=C11503, "YES", "WRONG")</f>
        <v/>
      </c>
    </row>
    <row r="11504">
      <c r="A11504" t="n">
        <v>11503</v>
      </c>
      <c r="B11504" t="inlineStr">
        <is>
          <t>x̄MDIII</t>
        </is>
      </c>
      <c r="C11504">
        <f>ROMAN(11503)</f>
        <v/>
      </c>
      <c r="D11504">
        <f>IF(B11504=C11504, "YES", "WRONG")</f>
        <v/>
      </c>
    </row>
    <row r="11505">
      <c r="A11505" t="n">
        <v>11504</v>
      </c>
      <c r="B11505" t="inlineStr">
        <is>
          <t>x̄MDIV</t>
        </is>
      </c>
      <c r="C11505">
        <f>ROMAN(11504)</f>
        <v/>
      </c>
      <c r="D11505">
        <f>IF(B11505=C11505, "YES", "WRONG")</f>
        <v/>
      </c>
    </row>
    <row r="11506">
      <c r="A11506" t="n">
        <v>11505</v>
      </c>
      <c r="B11506" t="inlineStr">
        <is>
          <t>x̄MDV</t>
        </is>
      </c>
      <c r="C11506">
        <f>ROMAN(11505)</f>
        <v/>
      </c>
      <c r="D11506">
        <f>IF(B11506=C11506, "YES", "WRONG")</f>
        <v/>
      </c>
    </row>
    <row r="11507">
      <c r="A11507" t="n">
        <v>11506</v>
      </c>
      <c r="B11507" t="inlineStr">
        <is>
          <t>x̄MDVI</t>
        </is>
      </c>
      <c r="C11507">
        <f>ROMAN(11506)</f>
        <v/>
      </c>
      <c r="D11507">
        <f>IF(B11507=C11507, "YES", "WRONG")</f>
        <v/>
      </c>
    </row>
    <row r="11508">
      <c r="A11508" t="n">
        <v>11507</v>
      </c>
      <c r="B11508" t="inlineStr">
        <is>
          <t>x̄MDVII</t>
        </is>
      </c>
      <c r="C11508">
        <f>ROMAN(11507)</f>
        <v/>
      </c>
      <c r="D11508">
        <f>IF(B11508=C11508, "YES", "WRONG")</f>
        <v/>
      </c>
    </row>
    <row r="11509">
      <c r="A11509" t="n">
        <v>11508</v>
      </c>
      <c r="B11509" t="inlineStr">
        <is>
          <t>x̄MDVIII</t>
        </is>
      </c>
      <c r="C11509">
        <f>ROMAN(11508)</f>
        <v/>
      </c>
      <c r="D11509">
        <f>IF(B11509=C11509, "YES", "WRONG")</f>
        <v/>
      </c>
    </row>
    <row r="11510">
      <c r="A11510" t="n">
        <v>11509</v>
      </c>
      <c r="B11510" t="inlineStr">
        <is>
          <t>x̄MDIX</t>
        </is>
      </c>
      <c r="C11510">
        <f>ROMAN(11509)</f>
        <v/>
      </c>
      <c r="D11510">
        <f>IF(B11510=C11510, "YES", "WRONG")</f>
        <v/>
      </c>
    </row>
    <row r="11511">
      <c r="A11511" t="n">
        <v>11510</v>
      </c>
      <c r="B11511" t="inlineStr">
        <is>
          <t>x̄MDX</t>
        </is>
      </c>
      <c r="C11511">
        <f>ROMAN(11510)</f>
        <v/>
      </c>
      <c r="D11511">
        <f>IF(B11511=C11511, "YES", "WRONG")</f>
        <v/>
      </c>
    </row>
    <row r="11512">
      <c r="A11512" t="n">
        <v>11511</v>
      </c>
      <c r="B11512" t="inlineStr">
        <is>
          <t>x̄MDXI</t>
        </is>
      </c>
      <c r="C11512">
        <f>ROMAN(11511)</f>
        <v/>
      </c>
      <c r="D11512">
        <f>IF(B11512=C11512, "YES", "WRONG")</f>
        <v/>
      </c>
    </row>
    <row r="11513">
      <c r="A11513" t="n">
        <v>11512</v>
      </c>
      <c r="B11513" t="inlineStr">
        <is>
          <t>x̄MDXII</t>
        </is>
      </c>
      <c r="C11513">
        <f>ROMAN(11512)</f>
        <v/>
      </c>
      <c r="D11513">
        <f>IF(B11513=C11513, "YES", "WRONG")</f>
        <v/>
      </c>
    </row>
    <row r="11514">
      <c r="A11514" t="n">
        <v>11513</v>
      </c>
      <c r="B11514" t="inlineStr">
        <is>
          <t>x̄MDXIII</t>
        </is>
      </c>
      <c r="C11514">
        <f>ROMAN(11513)</f>
        <v/>
      </c>
      <c r="D11514">
        <f>IF(B11514=C11514, "YES", "WRONG")</f>
        <v/>
      </c>
    </row>
    <row r="11515">
      <c r="A11515" t="n">
        <v>11514</v>
      </c>
      <c r="B11515" t="inlineStr">
        <is>
          <t>x̄MDXIV</t>
        </is>
      </c>
      <c r="C11515">
        <f>ROMAN(11514)</f>
        <v/>
      </c>
      <c r="D11515">
        <f>IF(B11515=C11515, "YES", "WRONG")</f>
        <v/>
      </c>
    </row>
    <row r="11516">
      <c r="A11516" t="n">
        <v>11515</v>
      </c>
      <c r="B11516" t="inlineStr">
        <is>
          <t>x̄MDXV</t>
        </is>
      </c>
      <c r="C11516">
        <f>ROMAN(11515)</f>
        <v/>
      </c>
      <c r="D11516">
        <f>IF(B11516=C11516, "YES", "WRONG")</f>
        <v/>
      </c>
    </row>
    <row r="11517">
      <c r="A11517" t="n">
        <v>11516</v>
      </c>
      <c r="B11517" t="inlineStr">
        <is>
          <t>x̄MDXVI</t>
        </is>
      </c>
      <c r="C11517">
        <f>ROMAN(11516)</f>
        <v/>
      </c>
      <c r="D11517">
        <f>IF(B11517=C11517, "YES", "WRONG")</f>
        <v/>
      </c>
    </row>
    <row r="11518">
      <c r="A11518" t="n">
        <v>11517</v>
      </c>
      <c r="B11518" t="inlineStr">
        <is>
          <t>x̄MDXVII</t>
        </is>
      </c>
      <c r="C11518">
        <f>ROMAN(11517)</f>
        <v/>
      </c>
      <c r="D11518">
        <f>IF(B11518=C11518, "YES", "WRONG")</f>
        <v/>
      </c>
    </row>
    <row r="11519">
      <c r="A11519" t="n">
        <v>11518</v>
      </c>
      <c r="B11519" t="inlineStr">
        <is>
          <t>x̄MDXVIII</t>
        </is>
      </c>
      <c r="C11519">
        <f>ROMAN(11518)</f>
        <v/>
      </c>
      <c r="D11519">
        <f>IF(B11519=C11519, "YES", "WRONG")</f>
        <v/>
      </c>
    </row>
    <row r="11520">
      <c r="A11520" t="n">
        <v>11519</v>
      </c>
      <c r="B11520" t="inlineStr">
        <is>
          <t>x̄MDXIX</t>
        </is>
      </c>
      <c r="C11520">
        <f>ROMAN(11519)</f>
        <v/>
      </c>
      <c r="D11520">
        <f>IF(B11520=C11520, "YES", "WRONG")</f>
        <v/>
      </c>
    </row>
    <row r="11521">
      <c r="A11521" t="n">
        <v>11520</v>
      </c>
      <c r="B11521" t="inlineStr">
        <is>
          <t>x̄MDXX</t>
        </is>
      </c>
      <c r="C11521">
        <f>ROMAN(11520)</f>
        <v/>
      </c>
      <c r="D11521">
        <f>IF(B11521=C11521, "YES", "WRONG")</f>
        <v/>
      </c>
    </row>
    <row r="11522">
      <c r="A11522" t="n">
        <v>11521</v>
      </c>
      <c r="B11522" t="inlineStr">
        <is>
          <t>x̄MDXXI</t>
        </is>
      </c>
      <c r="C11522">
        <f>ROMAN(11521)</f>
        <v/>
      </c>
      <c r="D11522">
        <f>IF(B11522=C11522, "YES", "WRONG")</f>
        <v/>
      </c>
    </row>
    <row r="11523">
      <c r="A11523" t="n">
        <v>11522</v>
      </c>
      <c r="B11523" t="inlineStr">
        <is>
          <t>x̄MDXXII</t>
        </is>
      </c>
      <c r="C11523">
        <f>ROMAN(11522)</f>
        <v/>
      </c>
      <c r="D11523">
        <f>IF(B11523=C11523, "YES", "WRONG")</f>
        <v/>
      </c>
    </row>
    <row r="11524">
      <c r="A11524" t="n">
        <v>11523</v>
      </c>
      <c r="B11524" t="inlineStr">
        <is>
          <t>x̄MDXXIII</t>
        </is>
      </c>
      <c r="C11524">
        <f>ROMAN(11523)</f>
        <v/>
      </c>
      <c r="D11524">
        <f>IF(B11524=C11524, "YES", "WRONG")</f>
        <v/>
      </c>
    </row>
    <row r="11525">
      <c r="A11525" t="n">
        <v>11524</v>
      </c>
      <c r="B11525" t="inlineStr">
        <is>
          <t>x̄MDXXIV</t>
        </is>
      </c>
      <c r="C11525">
        <f>ROMAN(11524)</f>
        <v/>
      </c>
      <c r="D11525">
        <f>IF(B11525=C11525, "YES", "WRONG")</f>
        <v/>
      </c>
    </row>
    <row r="11526">
      <c r="A11526" t="n">
        <v>11525</v>
      </c>
      <c r="B11526" t="inlineStr">
        <is>
          <t>x̄MDXXV</t>
        </is>
      </c>
      <c r="C11526">
        <f>ROMAN(11525)</f>
        <v/>
      </c>
      <c r="D11526">
        <f>IF(B11526=C11526, "YES", "WRONG")</f>
        <v/>
      </c>
    </row>
    <row r="11527">
      <c r="A11527" t="n">
        <v>11526</v>
      </c>
      <c r="B11527" t="inlineStr">
        <is>
          <t>x̄MDXXVI</t>
        </is>
      </c>
      <c r="C11527">
        <f>ROMAN(11526)</f>
        <v/>
      </c>
      <c r="D11527">
        <f>IF(B11527=C11527, "YES", "WRONG")</f>
        <v/>
      </c>
    </row>
    <row r="11528">
      <c r="A11528" t="n">
        <v>11527</v>
      </c>
      <c r="B11528" t="inlineStr">
        <is>
          <t>x̄MDXXVII</t>
        </is>
      </c>
      <c r="C11528">
        <f>ROMAN(11527)</f>
        <v/>
      </c>
      <c r="D11528">
        <f>IF(B11528=C11528, "YES", "WRONG")</f>
        <v/>
      </c>
    </row>
    <row r="11529">
      <c r="A11529" t="n">
        <v>11528</v>
      </c>
      <c r="B11529" t="inlineStr">
        <is>
          <t>x̄MDXXVIII</t>
        </is>
      </c>
      <c r="C11529">
        <f>ROMAN(11528)</f>
        <v/>
      </c>
      <c r="D11529">
        <f>IF(B11529=C11529, "YES", "WRONG")</f>
        <v/>
      </c>
    </row>
    <row r="11530">
      <c r="A11530" t="n">
        <v>11529</v>
      </c>
      <c r="B11530" t="inlineStr">
        <is>
          <t>x̄MDXXIX</t>
        </is>
      </c>
      <c r="C11530">
        <f>ROMAN(11529)</f>
        <v/>
      </c>
      <c r="D11530">
        <f>IF(B11530=C11530, "YES", "WRONG")</f>
        <v/>
      </c>
    </row>
    <row r="11531">
      <c r="A11531" t="n">
        <v>11530</v>
      </c>
      <c r="B11531" t="inlineStr">
        <is>
          <t>x̄MDXXX</t>
        </is>
      </c>
      <c r="C11531">
        <f>ROMAN(11530)</f>
        <v/>
      </c>
      <c r="D11531">
        <f>IF(B11531=C11531, "YES", "WRONG")</f>
        <v/>
      </c>
    </row>
    <row r="11532">
      <c r="A11532" t="n">
        <v>11531</v>
      </c>
      <c r="B11532" t="inlineStr">
        <is>
          <t>x̄MDXXXI</t>
        </is>
      </c>
      <c r="C11532">
        <f>ROMAN(11531)</f>
        <v/>
      </c>
      <c r="D11532">
        <f>IF(B11532=C11532, "YES", "WRONG")</f>
        <v/>
      </c>
    </row>
    <row r="11533">
      <c r="A11533" t="n">
        <v>11532</v>
      </c>
      <c r="B11533" t="inlineStr">
        <is>
          <t>x̄MDXXXII</t>
        </is>
      </c>
      <c r="C11533">
        <f>ROMAN(11532)</f>
        <v/>
      </c>
      <c r="D11533">
        <f>IF(B11533=C11533, "YES", "WRONG")</f>
        <v/>
      </c>
    </row>
    <row r="11534">
      <c r="A11534" t="n">
        <v>11533</v>
      </c>
      <c r="B11534" t="inlineStr">
        <is>
          <t>x̄MDXXXIII</t>
        </is>
      </c>
      <c r="C11534">
        <f>ROMAN(11533)</f>
        <v/>
      </c>
      <c r="D11534">
        <f>IF(B11534=C11534, "YES", "WRONG")</f>
        <v/>
      </c>
    </row>
    <row r="11535">
      <c r="A11535" t="n">
        <v>11534</v>
      </c>
      <c r="B11535" t="inlineStr">
        <is>
          <t>x̄MDXXXIV</t>
        </is>
      </c>
      <c r="C11535">
        <f>ROMAN(11534)</f>
        <v/>
      </c>
      <c r="D11535">
        <f>IF(B11535=C11535, "YES", "WRONG")</f>
        <v/>
      </c>
    </row>
    <row r="11536">
      <c r="A11536" t="n">
        <v>11535</v>
      </c>
      <c r="B11536" t="inlineStr">
        <is>
          <t>x̄MDXXXV</t>
        </is>
      </c>
      <c r="C11536">
        <f>ROMAN(11535)</f>
        <v/>
      </c>
      <c r="D11536">
        <f>IF(B11536=C11536, "YES", "WRONG")</f>
        <v/>
      </c>
    </row>
    <row r="11537">
      <c r="A11537" t="n">
        <v>11536</v>
      </c>
      <c r="B11537" t="inlineStr">
        <is>
          <t>x̄MDXXXVI</t>
        </is>
      </c>
      <c r="C11537">
        <f>ROMAN(11536)</f>
        <v/>
      </c>
      <c r="D11537">
        <f>IF(B11537=C11537, "YES", "WRONG")</f>
        <v/>
      </c>
    </row>
    <row r="11538">
      <c r="A11538" t="n">
        <v>11537</v>
      </c>
      <c r="B11538" t="inlineStr">
        <is>
          <t>x̄MDXXXVII</t>
        </is>
      </c>
      <c r="C11538">
        <f>ROMAN(11537)</f>
        <v/>
      </c>
      <c r="D11538">
        <f>IF(B11538=C11538, "YES", "WRONG")</f>
        <v/>
      </c>
    </row>
    <row r="11539">
      <c r="A11539" t="n">
        <v>11538</v>
      </c>
      <c r="B11539" t="inlineStr">
        <is>
          <t>x̄MDXXXVIII</t>
        </is>
      </c>
      <c r="C11539">
        <f>ROMAN(11538)</f>
        <v/>
      </c>
      <c r="D11539">
        <f>IF(B11539=C11539, "YES", "WRONG")</f>
        <v/>
      </c>
    </row>
    <row r="11540">
      <c r="A11540" t="n">
        <v>11539</v>
      </c>
      <c r="B11540" t="inlineStr">
        <is>
          <t>x̄MDXXXIX</t>
        </is>
      </c>
      <c r="C11540">
        <f>ROMAN(11539)</f>
        <v/>
      </c>
      <c r="D11540">
        <f>IF(B11540=C11540, "YES", "WRONG")</f>
        <v/>
      </c>
    </row>
    <row r="11541">
      <c r="A11541" t="n">
        <v>11540</v>
      </c>
      <c r="B11541" t="inlineStr">
        <is>
          <t>x̄MDXL</t>
        </is>
      </c>
      <c r="C11541">
        <f>ROMAN(11540)</f>
        <v/>
      </c>
      <c r="D11541">
        <f>IF(B11541=C11541, "YES", "WRONG")</f>
        <v/>
      </c>
    </row>
    <row r="11542">
      <c r="A11542" t="n">
        <v>11541</v>
      </c>
      <c r="B11542" t="inlineStr">
        <is>
          <t>x̄MDXLI</t>
        </is>
      </c>
      <c r="C11542">
        <f>ROMAN(11541)</f>
        <v/>
      </c>
      <c r="D11542">
        <f>IF(B11542=C11542, "YES", "WRONG")</f>
        <v/>
      </c>
    </row>
    <row r="11543">
      <c r="A11543" t="n">
        <v>11542</v>
      </c>
      <c r="B11543" t="inlineStr">
        <is>
          <t>x̄MDXLII</t>
        </is>
      </c>
      <c r="C11543">
        <f>ROMAN(11542)</f>
        <v/>
      </c>
      <c r="D11543">
        <f>IF(B11543=C11543, "YES", "WRONG")</f>
        <v/>
      </c>
    </row>
    <row r="11544">
      <c r="A11544" t="n">
        <v>11543</v>
      </c>
      <c r="B11544" t="inlineStr">
        <is>
          <t>x̄MDXLIII</t>
        </is>
      </c>
      <c r="C11544">
        <f>ROMAN(11543)</f>
        <v/>
      </c>
      <c r="D11544">
        <f>IF(B11544=C11544, "YES", "WRONG")</f>
        <v/>
      </c>
    </row>
    <row r="11545">
      <c r="A11545" t="n">
        <v>11544</v>
      </c>
      <c r="B11545" t="inlineStr">
        <is>
          <t>x̄MDXLIV</t>
        </is>
      </c>
      <c r="C11545">
        <f>ROMAN(11544)</f>
        <v/>
      </c>
      <c r="D11545">
        <f>IF(B11545=C11545, "YES", "WRONG")</f>
        <v/>
      </c>
    </row>
    <row r="11546">
      <c r="A11546" t="n">
        <v>11545</v>
      </c>
      <c r="B11546" t="inlineStr">
        <is>
          <t>x̄MDXLV</t>
        </is>
      </c>
      <c r="C11546">
        <f>ROMAN(11545)</f>
        <v/>
      </c>
      <c r="D11546">
        <f>IF(B11546=C11546, "YES", "WRONG")</f>
        <v/>
      </c>
    </row>
    <row r="11547">
      <c r="A11547" t="n">
        <v>11546</v>
      </c>
      <c r="B11547" t="inlineStr">
        <is>
          <t>x̄MDXLVI</t>
        </is>
      </c>
      <c r="C11547">
        <f>ROMAN(11546)</f>
        <v/>
      </c>
      <c r="D11547">
        <f>IF(B11547=C11547, "YES", "WRONG")</f>
        <v/>
      </c>
    </row>
    <row r="11548">
      <c r="A11548" t="n">
        <v>11547</v>
      </c>
      <c r="B11548" t="inlineStr">
        <is>
          <t>x̄MDXLVII</t>
        </is>
      </c>
      <c r="C11548">
        <f>ROMAN(11547)</f>
        <v/>
      </c>
      <c r="D11548">
        <f>IF(B11548=C11548, "YES", "WRONG")</f>
        <v/>
      </c>
    </row>
    <row r="11549">
      <c r="A11549" t="n">
        <v>11548</v>
      </c>
      <c r="B11549" t="inlineStr">
        <is>
          <t>x̄MDXLVIII</t>
        </is>
      </c>
      <c r="C11549">
        <f>ROMAN(11548)</f>
        <v/>
      </c>
      <c r="D11549">
        <f>IF(B11549=C11549, "YES", "WRONG")</f>
        <v/>
      </c>
    </row>
    <row r="11550">
      <c r="A11550" t="n">
        <v>11549</v>
      </c>
      <c r="B11550" t="inlineStr">
        <is>
          <t>x̄MDXLIX</t>
        </is>
      </c>
      <c r="C11550">
        <f>ROMAN(11549)</f>
        <v/>
      </c>
      <c r="D11550">
        <f>IF(B11550=C11550, "YES", "WRONG")</f>
        <v/>
      </c>
    </row>
    <row r="11551">
      <c r="A11551" t="n">
        <v>11550</v>
      </c>
      <c r="B11551" t="inlineStr">
        <is>
          <t>x̄MDL</t>
        </is>
      </c>
      <c r="C11551">
        <f>ROMAN(11550)</f>
        <v/>
      </c>
      <c r="D11551">
        <f>IF(B11551=C11551, "YES", "WRONG")</f>
        <v/>
      </c>
    </row>
    <row r="11552">
      <c r="A11552" t="n">
        <v>11551</v>
      </c>
      <c r="B11552" t="inlineStr">
        <is>
          <t>x̄MDLI</t>
        </is>
      </c>
      <c r="C11552">
        <f>ROMAN(11551)</f>
        <v/>
      </c>
      <c r="D11552">
        <f>IF(B11552=C11552, "YES", "WRONG")</f>
        <v/>
      </c>
    </row>
    <row r="11553">
      <c r="A11553" t="n">
        <v>11552</v>
      </c>
      <c r="B11553" t="inlineStr">
        <is>
          <t>x̄MDLII</t>
        </is>
      </c>
      <c r="C11553">
        <f>ROMAN(11552)</f>
        <v/>
      </c>
      <c r="D11553">
        <f>IF(B11553=C11553, "YES", "WRONG")</f>
        <v/>
      </c>
    </row>
    <row r="11554">
      <c r="A11554" t="n">
        <v>11553</v>
      </c>
      <c r="B11554" t="inlineStr">
        <is>
          <t>x̄MDLIII</t>
        </is>
      </c>
      <c r="C11554">
        <f>ROMAN(11553)</f>
        <v/>
      </c>
      <c r="D11554">
        <f>IF(B11554=C11554, "YES", "WRONG")</f>
        <v/>
      </c>
    </row>
    <row r="11555">
      <c r="A11555" t="n">
        <v>11554</v>
      </c>
      <c r="B11555" t="inlineStr">
        <is>
          <t>x̄MDLIV</t>
        </is>
      </c>
      <c r="C11555">
        <f>ROMAN(11554)</f>
        <v/>
      </c>
      <c r="D11555">
        <f>IF(B11555=C11555, "YES", "WRONG")</f>
        <v/>
      </c>
    </row>
    <row r="11556">
      <c r="A11556" t="n">
        <v>11555</v>
      </c>
      <c r="B11556" t="inlineStr">
        <is>
          <t>x̄MDLV</t>
        </is>
      </c>
      <c r="C11556">
        <f>ROMAN(11555)</f>
        <v/>
      </c>
      <c r="D11556">
        <f>IF(B11556=C11556, "YES", "WRONG")</f>
        <v/>
      </c>
    </row>
    <row r="11557">
      <c r="A11557" t="n">
        <v>11556</v>
      </c>
      <c r="B11557" t="inlineStr">
        <is>
          <t>x̄MDLVI</t>
        </is>
      </c>
      <c r="C11557">
        <f>ROMAN(11556)</f>
        <v/>
      </c>
      <c r="D11557">
        <f>IF(B11557=C11557, "YES", "WRONG")</f>
        <v/>
      </c>
    </row>
    <row r="11558">
      <c r="A11558" t="n">
        <v>11557</v>
      </c>
      <c r="B11558" t="inlineStr">
        <is>
          <t>x̄MDLVII</t>
        </is>
      </c>
      <c r="C11558">
        <f>ROMAN(11557)</f>
        <v/>
      </c>
      <c r="D11558">
        <f>IF(B11558=C11558, "YES", "WRONG")</f>
        <v/>
      </c>
    </row>
    <row r="11559">
      <c r="A11559" t="n">
        <v>11558</v>
      </c>
      <c r="B11559" t="inlineStr">
        <is>
          <t>x̄MDLVIII</t>
        </is>
      </c>
      <c r="C11559">
        <f>ROMAN(11558)</f>
        <v/>
      </c>
      <c r="D11559">
        <f>IF(B11559=C11559, "YES", "WRONG")</f>
        <v/>
      </c>
    </row>
    <row r="11560">
      <c r="A11560" t="n">
        <v>11559</v>
      </c>
      <c r="B11560" t="inlineStr">
        <is>
          <t>x̄MDLIX</t>
        </is>
      </c>
      <c r="C11560">
        <f>ROMAN(11559)</f>
        <v/>
      </c>
      <c r="D11560">
        <f>IF(B11560=C11560, "YES", "WRONG")</f>
        <v/>
      </c>
    </row>
    <row r="11561">
      <c r="A11561" t="n">
        <v>11560</v>
      </c>
      <c r="B11561" t="inlineStr">
        <is>
          <t>x̄MDLX</t>
        </is>
      </c>
      <c r="C11561">
        <f>ROMAN(11560)</f>
        <v/>
      </c>
      <c r="D11561">
        <f>IF(B11561=C11561, "YES", "WRONG")</f>
        <v/>
      </c>
    </row>
    <row r="11562">
      <c r="A11562" t="n">
        <v>11561</v>
      </c>
      <c r="B11562" t="inlineStr">
        <is>
          <t>x̄MDLXI</t>
        </is>
      </c>
      <c r="C11562">
        <f>ROMAN(11561)</f>
        <v/>
      </c>
      <c r="D11562">
        <f>IF(B11562=C11562, "YES", "WRONG")</f>
        <v/>
      </c>
    </row>
    <row r="11563">
      <c r="A11563" t="n">
        <v>11562</v>
      </c>
      <c r="B11563" t="inlineStr">
        <is>
          <t>x̄MDLXII</t>
        </is>
      </c>
      <c r="C11563">
        <f>ROMAN(11562)</f>
        <v/>
      </c>
      <c r="D11563">
        <f>IF(B11563=C11563, "YES", "WRONG")</f>
        <v/>
      </c>
    </row>
    <row r="11564">
      <c r="A11564" t="n">
        <v>11563</v>
      </c>
      <c r="B11564" t="inlineStr">
        <is>
          <t>x̄MDLXIII</t>
        </is>
      </c>
      <c r="C11564">
        <f>ROMAN(11563)</f>
        <v/>
      </c>
      <c r="D11564">
        <f>IF(B11564=C11564, "YES", "WRONG")</f>
        <v/>
      </c>
    </row>
    <row r="11565">
      <c r="A11565" t="n">
        <v>11564</v>
      </c>
      <c r="B11565" t="inlineStr">
        <is>
          <t>x̄MDLXIV</t>
        </is>
      </c>
      <c r="C11565">
        <f>ROMAN(11564)</f>
        <v/>
      </c>
      <c r="D11565">
        <f>IF(B11565=C11565, "YES", "WRONG")</f>
        <v/>
      </c>
    </row>
    <row r="11566">
      <c r="A11566" t="n">
        <v>11565</v>
      </c>
      <c r="B11566" t="inlineStr">
        <is>
          <t>x̄MDLXV</t>
        </is>
      </c>
      <c r="C11566">
        <f>ROMAN(11565)</f>
        <v/>
      </c>
      <c r="D11566">
        <f>IF(B11566=C11566, "YES", "WRONG")</f>
        <v/>
      </c>
    </row>
    <row r="11567">
      <c r="A11567" t="n">
        <v>11566</v>
      </c>
      <c r="B11567" t="inlineStr">
        <is>
          <t>x̄MDLXVI</t>
        </is>
      </c>
      <c r="C11567">
        <f>ROMAN(11566)</f>
        <v/>
      </c>
      <c r="D11567">
        <f>IF(B11567=C11567, "YES", "WRONG")</f>
        <v/>
      </c>
    </row>
    <row r="11568">
      <c r="A11568" t="n">
        <v>11567</v>
      </c>
      <c r="B11568" t="inlineStr">
        <is>
          <t>x̄MDLXVII</t>
        </is>
      </c>
      <c r="C11568">
        <f>ROMAN(11567)</f>
        <v/>
      </c>
      <c r="D11568">
        <f>IF(B11568=C11568, "YES", "WRONG")</f>
        <v/>
      </c>
    </row>
    <row r="11569">
      <c r="A11569" t="n">
        <v>11568</v>
      </c>
      <c r="B11569" t="inlineStr">
        <is>
          <t>x̄MDLXVIII</t>
        </is>
      </c>
      <c r="C11569">
        <f>ROMAN(11568)</f>
        <v/>
      </c>
      <c r="D11569">
        <f>IF(B11569=C11569, "YES", "WRONG")</f>
        <v/>
      </c>
    </row>
    <row r="11570">
      <c r="A11570" t="n">
        <v>11569</v>
      </c>
      <c r="B11570" t="inlineStr">
        <is>
          <t>x̄MDLXIX</t>
        </is>
      </c>
      <c r="C11570">
        <f>ROMAN(11569)</f>
        <v/>
      </c>
      <c r="D11570">
        <f>IF(B11570=C11570, "YES", "WRONG")</f>
        <v/>
      </c>
    </row>
    <row r="11571">
      <c r="A11571" t="n">
        <v>11570</v>
      </c>
      <c r="B11571" t="inlineStr">
        <is>
          <t>x̄MDLXX</t>
        </is>
      </c>
      <c r="C11571">
        <f>ROMAN(11570)</f>
        <v/>
      </c>
      <c r="D11571">
        <f>IF(B11571=C11571, "YES", "WRONG")</f>
        <v/>
      </c>
    </row>
    <row r="11572">
      <c r="A11572" t="n">
        <v>11571</v>
      </c>
      <c r="B11572" t="inlineStr">
        <is>
          <t>x̄MDLXXI</t>
        </is>
      </c>
      <c r="C11572">
        <f>ROMAN(11571)</f>
        <v/>
      </c>
      <c r="D11572">
        <f>IF(B11572=C11572, "YES", "WRONG")</f>
        <v/>
      </c>
    </row>
    <row r="11573">
      <c r="A11573" t="n">
        <v>11572</v>
      </c>
      <c r="B11573" t="inlineStr">
        <is>
          <t>x̄MDLXXII</t>
        </is>
      </c>
      <c r="C11573">
        <f>ROMAN(11572)</f>
        <v/>
      </c>
      <c r="D11573">
        <f>IF(B11573=C11573, "YES", "WRONG")</f>
        <v/>
      </c>
    </row>
    <row r="11574">
      <c r="A11574" t="n">
        <v>11573</v>
      </c>
      <c r="B11574" t="inlineStr">
        <is>
          <t>x̄MDLXXIII</t>
        </is>
      </c>
      <c r="C11574">
        <f>ROMAN(11573)</f>
        <v/>
      </c>
      <c r="D11574">
        <f>IF(B11574=C11574, "YES", "WRONG")</f>
        <v/>
      </c>
    </row>
    <row r="11575">
      <c r="A11575" t="n">
        <v>11574</v>
      </c>
      <c r="B11575" t="inlineStr">
        <is>
          <t>x̄MDLXXIV</t>
        </is>
      </c>
      <c r="C11575">
        <f>ROMAN(11574)</f>
        <v/>
      </c>
      <c r="D11575">
        <f>IF(B11575=C11575, "YES", "WRONG")</f>
        <v/>
      </c>
    </row>
    <row r="11576">
      <c r="A11576" t="n">
        <v>11575</v>
      </c>
      <c r="B11576" t="inlineStr">
        <is>
          <t>x̄MDLXXV</t>
        </is>
      </c>
      <c r="C11576">
        <f>ROMAN(11575)</f>
        <v/>
      </c>
      <c r="D11576">
        <f>IF(B11576=C11576, "YES", "WRONG")</f>
        <v/>
      </c>
    </row>
    <row r="11577">
      <c r="A11577" t="n">
        <v>11576</v>
      </c>
      <c r="B11577" t="inlineStr">
        <is>
          <t>x̄MDLXXVI</t>
        </is>
      </c>
      <c r="C11577">
        <f>ROMAN(11576)</f>
        <v/>
      </c>
      <c r="D11577">
        <f>IF(B11577=C11577, "YES", "WRONG")</f>
        <v/>
      </c>
    </row>
    <row r="11578">
      <c r="A11578" t="n">
        <v>11577</v>
      </c>
      <c r="B11578" t="inlineStr">
        <is>
          <t>x̄MDLXXVII</t>
        </is>
      </c>
      <c r="C11578">
        <f>ROMAN(11577)</f>
        <v/>
      </c>
      <c r="D11578">
        <f>IF(B11578=C11578, "YES", "WRONG")</f>
        <v/>
      </c>
    </row>
    <row r="11579">
      <c r="A11579" t="n">
        <v>11578</v>
      </c>
      <c r="B11579" t="inlineStr">
        <is>
          <t>x̄MDLXXVIII</t>
        </is>
      </c>
      <c r="C11579">
        <f>ROMAN(11578)</f>
        <v/>
      </c>
      <c r="D11579">
        <f>IF(B11579=C11579, "YES", "WRONG")</f>
        <v/>
      </c>
    </row>
    <row r="11580">
      <c r="A11580" t="n">
        <v>11579</v>
      </c>
      <c r="B11580" t="inlineStr">
        <is>
          <t>x̄MDLXXIX</t>
        </is>
      </c>
      <c r="C11580">
        <f>ROMAN(11579)</f>
        <v/>
      </c>
      <c r="D11580">
        <f>IF(B11580=C11580, "YES", "WRONG")</f>
        <v/>
      </c>
    </row>
    <row r="11581">
      <c r="A11581" t="n">
        <v>11580</v>
      </c>
      <c r="B11581" t="inlineStr">
        <is>
          <t>x̄MDLXXX</t>
        </is>
      </c>
      <c r="C11581">
        <f>ROMAN(11580)</f>
        <v/>
      </c>
      <c r="D11581">
        <f>IF(B11581=C11581, "YES", "WRONG")</f>
        <v/>
      </c>
    </row>
    <row r="11582">
      <c r="A11582" t="n">
        <v>11581</v>
      </c>
      <c r="B11582" t="inlineStr">
        <is>
          <t>x̄MDLXXXI</t>
        </is>
      </c>
      <c r="C11582">
        <f>ROMAN(11581)</f>
        <v/>
      </c>
      <c r="D11582">
        <f>IF(B11582=C11582, "YES", "WRONG")</f>
        <v/>
      </c>
    </row>
    <row r="11583">
      <c r="A11583" t="n">
        <v>11582</v>
      </c>
      <c r="B11583" t="inlineStr">
        <is>
          <t>x̄MDLXXXII</t>
        </is>
      </c>
      <c r="C11583">
        <f>ROMAN(11582)</f>
        <v/>
      </c>
      <c r="D11583">
        <f>IF(B11583=C11583, "YES", "WRONG")</f>
        <v/>
      </c>
    </row>
    <row r="11584">
      <c r="A11584" t="n">
        <v>11583</v>
      </c>
      <c r="B11584" t="inlineStr">
        <is>
          <t>x̄MDLXXXIII</t>
        </is>
      </c>
      <c r="C11584">
        <f>ROMAN(11583)</f>
        <v/>
      </c>
      <c r="D11584">
        <f>IF(B11584=C11584, "YES", "WRONG")</f>
        <v/>
      </c>
    </row>
    <row r="11585">
      <c r="A11585" t="n">
        <v>11584</v>
      </c>
      <c r="B11585" t="inlineStr">
        <is>
          <t>x̄MDLXXXIV</t>
        </is>
      </c>
      <c r="C11585">
        <f>ROMAN(11584)</f>
        <v/>
      </c>
      <c r="D11585">
        <f>IF(B11585=C11585, "YES", "WRONG")</f>
        <v/>
      </c>
    </row>
    <row r="11586">
      <c r="A11586" t="n">
        <v>11585</v>
      </c>
      <c r="B11586" t="inlineStr">
        <is>
          <t>x̄MDLXXXV</t>
        </is>
      </c>
      <c r="C11586">
        <f>ROMAN(11585)</f>
        <v/>
      </c>
      <c r="D11586">
        <f>IF(B11586=C11586, "YES", "WRONG")</f>
        <v/>
      </c>
    </row>
    <row r="11587">
      <c r="A11587" t="n">
        <v>11586</v>
      </c>
      <c r="B11587" t="inlineStr">
        <is>
          <t>x̄MDLXXXVI</t>
        </is>
      </c>
      <c r="C11587">
        <f>ROMAN(11586)</f>
        <v/>
      </c>
      <c r="D11587">
        <f>IF(B11587=C11587, "YES", "WRONG")</f>
        <v/>
      </c>
    </row>
    <row r="11588">
      <c r="A11588" t="n">
        <v>11587</v>
      </c>
      <c r="B11588" t="inlineStr">
        <is>
          <t>x̄MDLXXXVII</t>
        </is>
      </c>
      <c r="C11588">
        <f>ROMAN(11587)</f>
        <v/>
      </c>
      <c r="D11588">
        <f>IF(B11588=C11588, "YES", "WRONG")</f>
        <v/>
      </c>
    </row>
    <row r="11589">
      <c r="A11589" t="n">
        <v>11588</v>
      </c>
      <c r="B11589" t="inlineStr">
        <is>
          <t>x̄MDLXXXVIII</t>
        </is>
      </c>
      <c r="C11589">
        <f>ROMAN(11588)</f>
        <v/>
      </c>
      <c r="D11589">
        <f>IF(B11589=C11589, "YES", "WRONG")</f>
        <v/>
      </c>
    </row>
    <row r="11590">
      <c r="A11590" t="n">
        <v>11589</v>
      </c>
      <c r="B11590" t="inlineStr">
        <is>
          <t>x̄MDLXXXIX</t>
        </is>
      </c>
      <c r="C11590">
        <f>ROMAN(11589)</f>
        <v/>
      </c>
      <c r="D11590">
        <f>IF(B11590=C11590, "YES", "WRONG")</f>
        <v/>
      </c>
    </row>
    <row r="11591">
      <c r="A11591" t="n">
        <v>11590</v>
      </c>
      <c r="B11591" t="inlineStr">
        <is>
          <t>x̄MDXC</t>
        </is>
      </c>
      <c r="C11591">
        <f>ROMAN(11590)</f>
        <v/>
      </c>
      <c r="D11591">
        <f>IF(B11591=C11591, "YES", "WRONG")</f>
        <v/>
      </c>
    </row>
    <row r="11592">
      <c r="A11592" t="n">
        <v>11591</v>
      </c>
      <c r="B11592" t="inlineStr">
        <is>
          <t>x̄MDXCI</t>
        </is>
      </c>
      <c r="C11592">
        <f>ROMAN(11591)</f>
        <v/>
      </c>
      <c r="D11592">
        <f>IF(B11592=C11592, "YES", "WRONG")</f>
        <v/>
      </c>
    </row>
    <row r="11593">
      <c r="A11593" t="n">
        <v>11592</v>
      </c>
      <c r="B11593" t="inlineStr">
        <is>
          <t>x̄MDXCII</t>
        </is>
      </c>
      <c r="C11593">
        <f>ROMAN(11592)</f>
        <v/>
      </c>
      <c r="D11593">
        <f>IF(B11593=C11593, "YES", "WRONG")</f>
        <v/>
      </c>
    </row>
    <row r="11594">
      <c r="A11594" t="n">
        <v>11593</v>
      </c>
      <c r="B11594" t="inlineStr">
        <is>
          <t>x̄MDXCIII</t>
        </is>
      </c>
      <c r="C11594">
        <f>ROMAN(11593)</f>
        <v/>
      </c>
      <c r="D11594">
        <f>IF(B11594=C11594, "YES", "WRONG")</f>
        <v/>
      </c>
    </row>
    <row r="11595">
      <c r="A11595" t="n">
        <v>11594</v>
      </c>
      <c r="B11595" t="inlineStr">
        <is>
          <t>x̄MDXCIV</t>
        </is>
      </c>
      <c r="C11595">
        <f>ROMAN(11594)</f>
        <v/>
      </c>
      <c r="D11595">
        <f>IF(B11595=C11595, "YES", "WRONG")</f>
        <v/>
      </c>
    </row>
    <row r="11596">
      <c r="A11596" t="n">
        <v>11595</v>
      </c>
      <c r="B11596" t="inlineStr">
        <is>
          <t>x̄MDXCV</t>
        </is>
      </c>
      <c r="C11596">
        <f>ROMAN(11595)</f>
        <v/>
      </c>
      <c r="D11596">
        <f>IF(B11596=C11596, "YES", "WRONG")</f>
        <v/>
      </c>
    </row>
    <row r="11597">
      <c r="A11597" t="n">
        <v>11596</v>
      </c>
      <c r="B11597" t="inlineStr">
        <is>
          <t>x̄MDXCVI</t>
        </is>
      </c>
      <c r="C11597">
        <f>ROMAN(11596)</f>
        <v/>
      </c>
      <c r="D11597">
        <f>IF(B11597=C11597, "YES", "WRONG")</f>
        <v/>
      </c>
    </row>
    <row r="11598">
      <c r="A11598" t="n">
        <v>11597</v>
      </c>
      <c r="B11598" t="inlineStr">
        <is>
          <t>x̄MDXCVII</t>
        </is>
      </c>
      <c r="C11598">
        <f>ROMAN(11597)</f>
        <v/>
      </c>
      <c r="D11598">
        <f>IF(B11598=C11598, "YES", "WRONG")</f>
        <v/>
      </c>
    </row>
    <row r="11599">
      <c r="A11599" t="n">
        <v>11598</v>
      </c>
      <c r="B11599" t="inlineStr">
        <is>
          <t>x̄MDXCVIII</t>
        </is>
      </c>
      <c r="C11599">
        <f>ROMAN(11598)</f>
        <v/>
      </c>
      <c r="D11599">
        <f>IF(B11599=C11599, "YES", "WRONG")</f>
        <v/>
      </c>
    </row>
    <row r="11600">
      <c r="A11600" t="n">
        <v>11599</v>
      </c>
      <c r="B11600" t="inlineStr">
        <is>
          <t>x̄MDXCIX</t>
        </is>
      </c>
      <c r="C11600">
        <f>ROMAN(11599)</f>
        <v/>
      </c>
      <c r="D11600">
        <f>IF(B11600=C11600, "YES", "WRONG")</f>
        <v/>
      </c>
    </row>
    <row r="11601">
      <c r="A11601" t="n">
        <v>11600</v>
      </c>
      <c r="B11601" t="inlineStr">
        <is>
          <t>x̄MDC</t>
        </is>
      </c>
      <c r="C11601">
        <f>ROMAN(11600)</f>
        <v/>
      </c>
      <c r="D11601">
        <f>IF(B11601=C11601, "YES", "WRONG")</f>
        <v/>
      </c>
    </row>
    <row r="11602">
      <c r="A11602" t="n">
        <v>11601</v>
      </c>
      <c r="B11602" t="inlineStr">
        <is>
          <t>x̄MDCI</t>
        </is>
      </c>
      <c r="C11602">
        <f>ROMAN(11601)</f>
        <v/>
      </c>
      <c r="D11602">
        <f>IF(B11602=C11602, "YES", "WRONG")</f>
        <v/>
      </c>
    </row>
    <row r="11603">
      <c r="A11603" t="n">
        <v>11602</v>
      </c>
      <c r="B11603" t="inlineStr">
        <is>
          <t>x̄MDCII</t>
        </is>
      </c>
      <c r="C11603">
        <f>ROMAN(11602)</f>
        <v/>
      </c>
      <c r="D11603">
        <f>IF(B11603=C11603, "YES", "WRONG")</f>
        <v/>
      </c>
    </row>
    <row r="11604">
      <c r="A11604" t="n">
        <v>11603</v>
      </c>
      <c r="B11604" t="inlineStr">
        <is>
          <t>x̄MDCIII</t>
        </is>
      </c>
      <c r="C11604">
        <f>ROMAN(11603)</f>
        <v/>
      </c>
      <c r="D11604">
        <f>IF(B11604=C11604, "YES", "WRONG")</f>
        <v/>
      </c>
    </row>
    <row r="11605">
      <c r="A11605" t="n">
        <v>11604</v>
      </c>
      <c r="B11605" t="inlineStr">
        <is>
          <t>x̄MDCIV</t>
        </is>
      </c>
      <c r="C11605">
        <f>ROMAN(11604)</f>
        <v/>
      </c>
      <c r="D11605">
        <f>IF(B11605=C11605, "YES", "WRONG")</f>
        <v/>
      </c>
    </row>
    <row r="11606">
      <c r="A11606" t="n">
        <v>11605</v>
      </c>
      <c r="B11606" t="inlineStr">
        <is>
          <t>x̄MDCV</t>
        </is>
      </c>
      <c r="C11606">
        <f>ROMAN(11605)</f>
        <v/>
      </c>
      <c r="D11606">
        <f>IF(B11606=C11606, "YES", "WRONG")</f>
        <v/>
      </c>
    </row>
    <row r="11607">
      <c r="A11607" t="n">
        <v>11606</v>
      </c>
      <c r="B11607" t="inlineStr">
        <is>
          <t>x̄MDCVI</t>
        </is>
      </c>
      <c r="C11607">
        <f>ROMAN(11606)</f>
        <v/>
      </c>
      <c r="D11607">
        <f>IF(B11607=C11607, "YES", "WRONG")</f>
        <v/>
      </c>
    </row>
    <row r="11608">
      <c r="A11608" t="n">
        <v>11607</v>
      </c>
      <c r="B11608" t="inlineStr">
        <is>
          <t>x̄MDCVII</t>
        </is>
      </c>
      <c r="C11608">
        <f>ROMAN(11607)</f>
        <v/>
      </c>
      <c r="D11608">
        <f>IF(B11608=C11608, "YES", "WRONG")</f>
        <v/>
      </c>
    </row>
    <row r="11609">
      <c r="A11609" t="n">
        <v>11608</v>
      </c>
      <c r="B11609" t="inlineStr">
        <is>
          <t>x̄MDCVIII</t>
        </is>
      </c>
      <c r="C11609">
        <f>ROMAN(11608)</f>
        <v/>
      </c>
      <c r="D11609">
        <f>IF(B11609=C11609, "YES", "WRONG")</f>
        <v/>
      </c>
    </row>
    <row r="11610">
      <c r="A11610" t="n">
        <v>11609</v>
      </c>
      <c r="B11610" t="inlineStr">
        <is>
          <t>x̄MDCIX</t>
        </is>
      </c>
      <c r="C11610">
        <f>ROMAN(11609)</f>
        <v/>
      </c>
      <c r="D11610">
        <f>IF(B11610=C11610, "YES", "WRONG")</f>
        <v/>
      </c>
    </row>
    <row r="11611">
      <c r="A11611" t="n">
        <v>11610</v>
      </c>
      <c r="B11611" t="inlineStr">
        <is>
          <t>x̄MDCX</t>
        </is>
      </c>
      <c r="C11611">
        <f>ROMAN(11610)</f>
        <v/>
      </c>
      <c r="D11611">
        <f>IF(B11611=C11611, "YES", "WRONG")</f>
        <v/>
      </c>
    </row>
    <row r="11612">
      <c r="A11612" t="n">
        <v>11611</v>
      </c>
      <c r="B11612" t="inlineStr">
        <is>
          <t>x̄MDCXI</t>
        </is>
      </c>
      <c r="C11612">
        <f>ROMAN(11611)</f>
        <v/>
      </c>
      <c r="D11612">
        <f>IF(B11612=C11612, "YES", "WRONG")</f>
        <v/>
      </c>
    </row>
    <row r="11613">
      <c r="A11613" t="n">
        <v>11612</v>
      </c>
      <c r="B11613" t="inlineStr">
        <is>
          <t>x̄MDCXII</t>
        </is>
      </c>
      <c r="C11613">
        <f>ROMAN(11612)</f>
        <v/>
      </c>
      <c r="D11613">
        <f>IF(B11613=C11613, "YES", "WRONG")</f>
        <v/>
      </c>
    </row>
    <row r="11614">
      <c r="A11614" t="n">
        <v>11613</v>
      </c>
      <c r="B11614" t="inlineStr">
        <is>
          <t>x̄MDCXIII</t>
        </is>
      </c>
      <c r="C11614">
        <f>ROMAN(11613)</f>
        <v/>
      </c>
      <c r="D11614">
        <f>IF(B11614=C11614, "YES", "WRONG")</f>
        <v/>
      </c>
    </row>
    <row r="11615">
      <c r="A11615" t="n">
        <v>11614</v>
      </c>
      <c r="B11615" t="inlineStr">
        <is>
          <t>x̄MDCXIV</t>
        </is>
      </c>
      <c r="C11615">
        <f>ROMAN(11614)</f>
        <v/>
      </c>
      <c r="D11615">
        <f>IF(B11615=C11615, "YES", "WRONG")</f>
        <v/>
      </c>
    </row>
    <row r="11616">
      <c r="A11616" t="n">
        <v>11615</v>
      </c>
      <c r="B11616" t="inlineStr">
        <is>
          <t>x̄MDCXV</t>
        </is>
      </c>
      <c r="C11616">
        <f>ROMAN(11615)</f>
        <v/>
      </c>
      <c r="D11616">
        <f>IF(B11616=C11616, "YES", "WRONG")</f>
        <v/>
      </c>
    </row>
    <row r="11617">
      <c r="A11617" t="n">
        <v>11616</v>
      </c>
      <c r="B11617" t="inlineStr">
        <is>
          <t>x̄MDCXVI</t>
        </is>
      </c>
      <c r="C11617">
        <f>ROMAN(11616)</f>
        <v/>
      </c>
      <c r="D11617">
        <f>IF(B11617=C11617, "YES", "WRONG")</f>
        <v/>
      </c>
    </row>
    <row r="11618">
      <c r="A11618" t="n">
        <v>11617</v>
      </c>
      <c r="B11618" t="inlineStr">
        <is>
          <t>x̄MDCXVII</t>
        </is>
      </c>
      <c r="C11618">
        <f>ROMAN(11617)</f>
        <v/>
      </c>
      <c r="D11618">
        <f>IF(B11618=C11618, "YES", "WRONG")</f>
        <v/>
      </c>
    </row>
    <row r="11619">
      <c r="A11619" t="n">
        <v>11618</v>
      </c>
      <c r="B11619" t="inlineStr">
        <is>
          <t>x̄MDCXVIII</t>
        </is>
      </c>
      <c r="C11619">
        <f>ROMAN(11618)</f>
        <v/>
      </c>
      <c r="D11619">
        <f>IF(B11619=C11619, "YES", "WRONG")</f>
        <v/>
      </c>
    </row>
    <row r="11620">
      <c r="A11620" t="n">
        <v>11619</v>
      </c>
      <c r="B11620" t="inlineStr">
        <is>
          <t>x̄MDCXIX</t>
        </is>
      </c>
      <c r="C11620">
        <f>ROMAN(11619)</f>
        <v/>
      </c>
      <c r="D11620">
        <f>IF(B11620=C11620, "YES", "WRONG")</f>
        <v/>
      </c>
    </row>
    <row r="11621">
      <c r="A11621" t="n">
        <v>11620</v>
      </c>
      <c r="B11621" t="inlineStr">
        <is>
          <t>x̄MDCXX</t>
        </is>
      </c>
      <c r="C11621">
        <f>ROMAN(11620)</f>
        <v/>
      </c>
      <c r="D11621">
        <f>IF(B11621=C11621, "YES", "WRONG")</f>
        <v/>
      </c>
    </row>
    <row r="11622">
      <c r="A11622" t="n">
        <v>11621</v>
      </c>
      <c r="B11622" t="inlineStr">
        <is>
          <t>x̄MDCXXI</t>
        </is>
      </c>
      <c r="C11622">
        <f>ROMAN(11621)</f>
        <v/>
      </c>
      <c r="D11622">
        <f>IF(B11622=C11622, "YES", "WRONG")</f>
        <v/>
      </c>
    </row>
    <row r="11623">
      <c r="A11623" t="n">
        <v>11622</v>
      </c>
      <c r="B11623" t="inlineStr">
        <is>
          <t>x̄MDCXXII</t>
        </is>
      </c>
      <c r="C11623">
        <f>ROMAN(11622)</f>
        <v/>
      </c>
      <c r="D11623">
        <f>IF(B11623=C11623, "YES", "WRONG")</f>
        <v/>
      </c>
    </row>
    <row r="11624">
      <c r="A11624" t="n">
        <v>11623</v>
      </c>
      <c r="B11624" t="inlineStr">
        <is>
          <t>x̄MDCXXIII</t>
        </is>
      </c>
      <c r="C11624">
        <f>ROMAN(11623)</f>
        <v/>
      </c>
      <c r="D11624">
        <f>IF(B11624=C11624, "YES", "WRONG")</f>
        <v/>
      </c>
    </row>
    <row r="11625">
      <c r="A11625" t="n">
        <v>11624</v>
      </c>
      <c r="B11625" t="inlineStr">
        <is>
          <t>x̄MDCXXIV</t>
        </is>
      </c>
      <c r="C11625">
        <f>ROMAN(11624)</f>
        <v/>
      </c>
      <c r="D11625">
        <f>IF(B11625=C11625, "YES", "WRONG")</f>
        <v/>
      </c>
    </row>
    <row r="11626">
      <c r="A11626" t="n">
        <v>11625</v>
      </c>
      <c r="B11626" t="inlineStr">
        <is>
          <t>x̄MDCXXV</t>
        </is>
      </c>
      <c r="C11626">
        <f>ROMAN(11625)</f>
        <v/>
      </c>
      <c r="D11626">
        <f>IF(B11626=C11626, "YES", "WRONG")</f>
        <v/>
      </c>
    </row>
    <row r="11627">
      <c r="A11627" t="n">
        <v>11626</v>
      </c>
      <c r="B11627" t="inlineStr">
        <is>
          <t>x̄MDCXXVI</t>
        </is>
      </c>
      <c r="C11627">
        <f>ROMAN(11626)</f>
        <v/>
      </c>
      <c r="D11627">
        <f>IF(B11627=C11627, "YES", "WRONG")</f>
        <v/>
      </c>
    </row>
    <row r="11628">
      <c r="A11628" t="n">
        <v>11627</v>
      </c>
      <c r="B11628" t="inlineStr">
        <is>
          <t>x̄MDCXXVII</t>
        </is>
      </c>
      <c r="C11628">
        <f>ROMAN(11627)</f>
        <v/>
      </c>
      <c r="D11628">
        <f>IF(B11628=C11628, "YES", "WRONG")</f>
        <v/>
      </c>
    </row>
    <row r="11629">
      <c r="A11629" t="n">
        <v>11628</v>
      </c>
      <c r="B11629" t="inlineStr">
        <is>
          <t>x̄MDCXXVIII</t>
        </is>
      </c>
      <c r="C11629">
        <f>ROMAN(11628)</f>
        <v/>
      </c>
      <c r="D11629">
        <f>IF(B11629=C11629, "YES", "WRONG")</f>
        <v/>
      </c>
    </row>
    <row r="11630">
      <c r="A11630" t="n">
        <v>11629</v>
      </c>
      <c r="B11630" t="inlineStr">
        <is>
          <t>x̄MDCXXIX</t>
        </is>
      </c>
      <c r="C11630">
        <f>ROMAN(11629)</f>
        <v/>
      </c>
      <c r="D11630">
        <f>IF(B11630=C11630, "YES", "WRONG")</f>
        <v/>
      </c>
    </row>
    <row r="11631">
      <c r="A11631" t="n">
        <v>11630</v>
      </c>
      <c r="B11631" t="inlineStr">
        <is>
          <t>x̄MDCXXX</t>
        </is>
      </c>
      <c r="C11631">
        <f>ROMAN(11630)</f>
        <v/>
      </c>
      <c r="D11631">
        <f>IF(B11631=C11631, "YES", "WRONG")</f>
        <v/>
      </c>
    </row>
    <row r="11632">
      <c r="A11632" t="n">
        <v>11631</v>
      </c>
      <c r="B11632" t="inlineStr">
        <is>
          <t>x̄MDCXXXI</t>
        </is>
      </c>
      <c r="C11632">
        <f>ROMAN(11631)</f>
        <v/>
      </c>
      <c r="D11632">
        <f>IF(B11632=C11632, "YES", "WRONG")</f>
        <v/>
      </c>
    </row>
    <row r="11633">
      <c r="A11633" t="n">
        <v>11632</v>
      </c>
      <c r="B11633" t="inlineStr">
        <is>
          <t>x̄MDCXXXII</t>
        </is>
      </c>
      <c r="C11633">
        <f>ROMAN(11632)</f>
        <v/>
      </c>
      <c r="D11633">
        <f>IF(B11633=C11633, "YES", "WRONG")</f>
        <v/>
      </c>
    </row>
    <row r="11634">
      <c r="A11634" t="n">
        <v>11633</v>
      </c>
      <c r="B11634" t="inlineStr">
        <is>
          <t>x̄MDCXXXIII</t>
        </is>
      </c>
      <c r="C11634">
        <f>ROMAN(11633)</f>
        <v/>
      </c>
      <c r="D11634">
        <f>IF(B11634=C11634, "YES", "WRONG")</f>
        <v/>
      </c>
    </row>
    <row r="11635">
      <c r="A11635" t="n">
        <v>11634</v>
      </c>
      <c r="B11635" t="inlineStr">
        <is>
          <t>x̄MDCXXXIV</t>
        </is>
      </c>
      <c r="C11635">
        <f>ROMAN(11634)</f>
        <v/>
      </c>
      <c r="D11635">
        <f>IF(B11635=C11635, "YES", "WRONG")</f>
        <v/>
      </c>
    </row>
    <row r="11636">
      <c r="A11636" t="n">
        <v>11635</v>
      </c>
      <c r="B11636" t="inlineStr">
        <is>
          <t>x̄MDCXXXV</t>
        </is>
      </c>
      <c r="C11636">
        <f>ROMAN(11635)</f>
        <v/>
      </c>
      <c r="D11636">
        <f>IF(B11636=C11636, "YES", "WRONG")</f>
        <v/>
      </c>
    </row>
    <row r="11637">
      <c r="A11637" t="n">
        <v>11636</v>
      </c>
      <c r="B11637" t="inlineStr">
        <is>
          <t>x̄MDCXXXVI</t>
        </is>
      </c>
      <c r="C11637">
        <f>ROMAN(11636)</f>
        <v/>
      </c>
      <c r="D11637">
        <f>IF(B11637=C11637, "YES", "WRONG")</f>
        <v/>
      </c>
    </row>
    <row r="11638">
      <c r="A11638" t="n">
        <v>11637</v>
      </c>
      <c r="B11638" t="inlineStr">
        <is>
          <t>x̄MDCXXXVII</t>
        </is>
      </c>
      <c r="C11638">
        <f>ROMAN(11637)</f>
        <v/>
      </c>
      <c r="D11638">
        <f>IF(B11638=C11638, "YES", "WRONG")</f>
        <v/>
      </c>
    </row>
    <row r="11639">
      <c r="A11639" t="n">
        <v>11638</v>
      </c>
      <c r="B11639" t="inlineStr">
        <is>
          <t>x̄MDCXXXVIII</t>
        </is>
      </c>
      <c r="C11639">
        <f>ROMAN(11638)</f>
        <v/>
      </c>
      <c r="D11639">
        <f>IF(B11639=C11639, "YES", "WRONG")</f>
        <v/>
      </c>
    </row>
    <row r="11640">
      <c r="A11640" t="n">
        <v>11639</v>
      </c>
      <c r="B11640" t="inlineStr">
        <is>
          <t>x̄MDCXXXIX</t>
        </is>
      </c>
      <c r="C11640">
        <f>ROMAN(11639)</f>
        <v/>
      </c>
      <c r="D11640">
        <f>IF(B11640=C11640, "YES", "WRONG")</f>
        <v/>
      </c>
    </row>
    <row r="11641">
      <c r="A11641" t="n">
        <v>11640</v>
      </c>
      <c r="B11641" t="inlineStr">
        <is>
          <t>x̄MDCXL</t>
        </is>
      </c>
      <c r="C11641">
        <f>ROMAN(11640)</f>
        <v/>
      </c>
      <c r="D11641">
        <f>IF(B11641=C11641, "YES", "WRONG")</f>
        <v/>
      </c>
    </row>
    <row r="11642">
      <c r="A11642" t="n">
        <v>11641</v>
      </c>
      <c r="B11642" t="inlineStr">
        <is>
          <t>x̄MDCXLI</t>
        </is>
      </c>
      <c r="C11642">
        <f>ROMAN(11641)</f>
        <v/>
      </c>
      <c r="D11642">
        <f>IF(B11642=C11642, "YES", "WRONG")</f>
        <v/>
      </c>
    </row>
    <row r="11643">
      <c r="A11643" t="n">
        <v>11642</v>
      </c>
      <c r="B11643" t="inlineStr">
        <is>
          <t>x̄MDCXLII</t>
        </is>
      </c>
      <c r="C11643">
        <f>ROMAN(11642)</f>
        <v/>
      </c>
      <c r="D11643">
        <f>IF(B11643=C11643, "YES", "WRONG")</f>
        <v/>
      </c>
    </row>
    <row r="11644">
      <c r="A11644" t="n">
        <v>11643</v>
      </c>
      <c r="B11644" t="inlineStr">
        <is>
          <t>x̄MDCXLIII</t>
        </is>
      </c>
      <c r="C11644">
        <f>ROMAN(11643)</f>
        <v/>
      </c>
      <c r="D11644">
        <f>IF(B11644=C11644, "YES", "WRONG")</f>
        <v/>
      </c>
    </row>
    <row r="11645">
      <c r="A11645" t="n">
        <v>11644</v>
      </c>
      <c r="B11645" t="inlineStr">
        <is>
          <t>x̄MDCXLIV</t>
        </is>
      </c>
      <c r="C11645">
        <f>ROMAN(11644)</f>
        <v/>
      </c>
      <c r="D11645">
        <f>IF(B11645=C11645, "YES", "WRONG")</f>
        <v/>
      </c>
    </row>
    <row r="11646">
      <c r="A11646" t="n">
        <v>11645</v>
      </c>
      <c r="B11646" t="inlineStr">
        <is>
          <t>x̄MDCXLV</t>
        </is>
      </c>
      <c r="C11646">
        <f>ROMAN(11645)</f>
        <v/>
      </c>
      <c r="D11646">
        <f>IF(B11646=C11646, "YES", "WRONG")</f>
        <v/>
      </c>
    </row>
    <row r="11647">
      <c r="A11647" t="n">
        <v>11646</v>
      </c>
      <c r="B11647" t="inlineStr">
        <is>
          <t>x̄MDCXLVI</t>
        </is>
      </c>
      <c r="C11647">
        <f>ROMAN(11646)</f>
        <v/>
      </c>
      <c r="D11647">
        <f>IF(B11647=C11647, "YES", "WRONG")</f>
        <v/>
      </c>
    </row>
    <row r="11648">
      <c r="A11648" t="n">
        <v>11647</v>
      </c>
      <c r="B11648" t="inlineStr">
        <is>
          <t>x̄MDCXLVII</t>
        </is>
      </c>
      <c r="C11648">
        <f>ROMAN(11647)</f>
        <v/>
      </c>
      <c r="D11648">
        <f>IF(B11648=C11648, "YES", "WRONG")</f>
        <v/>
      </c>
    </row>
    <row r="11649">
      <c r="A11649" t="n">
        <v>11648</v>
      </c>
      <c r="B11649" t="inlineStr">
        <is>
          <t>x̄MDCXLVIII</t>
        </is>
      </c>
      <c r="C11649">
        <f>ROMAN(11648)</f>
        <v/>
      </c>
      <c r="D11649">
        <f>IF(B11649=C11649, "YES", "WRONG")</f>
        <v/>
      </c>
    </row>
    <row r="11650">
      <c r="A11650" t="n">
        <v>11649</v>
      </c>
      <c r="B11650" t="inlineStr">
        <is>
          <t>x̄MDCXLIX</t>
        </is>
      </c>
      <c r="C11650">
        <f>ROMAN(11649)</f>
        <v/>
      </c>
      <c r="D11650">
        <f>IF(B11650=C11650, "YES", "WRONG")</f>
        <v/>
      </c>
    </row>
    <row r="11651">
      <c r="A11651" t="n">
        <v>11650</v>
      </c>
      <c r="B11651" t="inlineStr">
        <is>
          <t>x̄MDCL</t>
        </is>
      </c>
      <c r="C11651">
        <f>ROMAN(11650)</f>
        <v/>
      </c>
      <c r="D11651">
        <f>IF(B11651=C11651, "YES", "WRONG")</f>
        <v/>
      </c>
    </row>
    <row r="11652">
      <c r="A11652" t="n">
        <v>11651</v>
      </c>
      <c r="B11652" t="inlineStr">
        <is>
          <t>x̄MDCLI</t>
        </is>
      </c>
      <c r="C11652">
        <f>ROMAN(11651)</f>
        <v/>
      </c>
      <c r="D11652">
        <f>IF(B11652=C11652, "YES", "WRONG")</f>
        <v/>
      </c>
    </row>
    <row r="11653">
      <c r="A11653" t="n">
        <v>11652</v>
      </c>
      <c r="B11653" t="inlineStr">
        <is>
          <t>x̄MDCLII</t>
        </is>
      </c>
      <c r="C11653">
        <f>ROMAN(11652)</f>
        <v/>
      </c>
      <c r="D11653">
        <f>IF(B11653=C11653, "YES", "WRONG")</f>
        <v/>
      </c>
    </row>
    <row r="11654">
      <c r="A11654" t="n">
        <v>11653</v>
      </c>
      <c r="B11654" t="inlineStr">
        <is>
          <t>x̄MDCLIII</t>
        </is>
      </c>
      <c r="C11654">
        <f>ROMAN(11653)</f>
        <v/>
      </c>
      <c r="D11654">
        <f>IF(B11654=C11654, "YES", "WRONG")</f>
        <v/>
      </c>
    </row>
    <row r="11655">
      <c r="A11655" t="n">
        <v>11654</v>
      </c>
      <c r="B11655" t="inlineStr">
        <is>
          <t>x̄MDCLIV</t>
        </is>
      </c>
      <c r="C11655">
        <f>ROMAN(11654)</f>
        <v/>
      </c>
      <c r="D11655">
        <f>IF(B11655=C11655, "YES", "WRONG")</f>
        <v/>
      </c>
    </row>
    <row r="11656">
      <c r="A11656" t="n">
        <v>11655</v>
      </c>
      <c r="B11656" t="inlineStr">
        <is>
          <t>x̄MDCLV</t>
        </is>
      </c>
      <c r="C11656">
        <f>ROMAN(11655)</f>
        <v/>
      </c>
      <c r="D11656">
        <f>IF(B11656=C11656, "YES", "WRONG")</f>
        <v/>
      </c>
    </row>
    <row r="11657">
      <c r="A11657" t="n">
        <v>11656</v>
      </c>
      <c r="B11657" t="inlineStr">
        <is>
          <t>x̄MDCLVI</t>
        </is>
      </c>
      <c r="C11657">
        <f>ROMAN(11656)</f>
        <v/>
      </c>
      <c r="D11657">
        <f>IF(B11657=C11657, "YES", "WRONG")</f>
        <v/>
      </c>
    </row>
    <row r="11658">
      <c r="A11658" t="n">
        <v>11657</v>
      </c>
      <c r="B11658" t="inlineStr">
        <is>
          <t>x̄MDCLVII</t>
        </is>
      </c>
      <c r="C11658">
        <f>ROMAN(11657)</f>
        <v/>
      </c>
      <c r="D11658">
        <f>IF(B11658=C11658, "YES", "WRONG")</f>
        <v/>
      </c>
    </row>
    <row r="11659">
      <c r="A11659" t="n">
        <v>11658</v>
      </c>
      <c r="B11659" t="inlineStr">
        <is>
          <t>x̄MDCLVIII</t>
        </is>
      </c>
      <c r="C11659">
        <f>ROMAN(11658)</f>
        <v/>
      </c>
      <c r="D11659">
        <f>IF(B11659=C11659, "YES", "WRONG")</f>
        <v/>
      </c>
    </row>
    <row r="11660">
      <c r="A11660" t="n">
        <v>11659</v>
      </c>
      <c r="B11660" t="inlineStr">
        <is>
          <t>x̄MDCLIX</t>
        </is>
      </c>
      <c r="C11660">
        <f>ROMAN(11659)</f>
        <v/>
      </c>
      <c r="D11660">
        <f>IF(B11660=C11660, "YES", "WRONG")</f>
        <v/>
      </c>
    </row>
    <row r="11661">
      <c r="A11661" t="n">
        <v>11660</v>
      </c>
      <c r="B11661" t="inlineStr">
        <is>
          <t>x̄MDCLX</t>
        </is>
      </c>
      <c r="C11661">
        <f>ROMAN(11660)</f>
        <v/>
      </c>
      <c r="D11661">
        <f>IF(B11661=C11661, "YES", "WRONG")</f>
        <v/>
      </c>
    </row>
    <row r="11662">
      <c r="A11662" t="n">
        <v>11661</v>
      </c>
      <c r="B11662" t="inlineStr">
        <is>
          <t>x̄MDCLXI</t>
        </is>
      </c>
      <c r="C11662">
        <f>ROMAN(11661)</f>
        <v/>
      </c>
      <c r="D11662">
        <f>IF(B11662=C11662, "YES", "WRONG")</f>
        <v/>
      </c>
    </row>
    <row r="11663">
      <c r="A11663" t="n">
        <v>11662</v>
      </c>
      <c r="B11663" t="inlineStr">
        <is>
          <t>x̄MDCLXII</t>
        </is>
      </c>
      <c r="C11663">
        <f>ROMAN(11662)</f>
        <v/>
      </c>
      <c r="D11663">
        <f>IF(B11663=C11663, "YES", "WRONG")</f>
        <v/>
      </c>
    </row>
    <row r="11664">
      <c r="A11664" t="n">
        <v>11663</v>
      </c>
      <c r="B11664" t="inlineStr">
        <is>
          <t>x̄MDCLXIII</t>
        </is>
      </c>
      <c r="C11664">
        <f>ROMAN(11663)</f>
        <v/>
      </c>
      <c r="D11664">
        <f>IF(B11664=C11664, "YES", "WRONG")</f>
        <v/>
      </c>
    </row>
    <row r="11665">
      <c r="A11665" t="n">
        <v>11664</v>
      </c>
      <c r="B11665" t="inlineStr">
        <is>
          <t>x̄MDCLXIV</t>
        </is>
      </c>
      <c r="C11665">
        <f>ROMAN(11664)</f>
        <v/>
      </c>
      <c r="D11665">
        <f>IF(B11665=C11665, "YES", "WRONG")</f>
        <v/>
      </c>
    </row>
    <row r="11666">
      <c r="A11666" t="n">
        <v>11665</v>
      </c>
      <c r="B11666" t="inlineStr">
        <is>
          <t>x̄MDCLXV</t>
        </is>
      </c>
      <c r="C11666">
        <f>ROMAN(11665)</f>
        <v/>
      </c>
      <c r="D11666">
        <f>IF(B11666=C11666, "YES", "WRONG")</f>
        <v/>
      </c>
    </row>
    <row r="11667">
      <c r="A11667" t="n">
        <v>11666</v>
      </c>
      <c r="B11667" t="inlineStr">
        <is>
          <t>x̄MDCLXVI</t>
        </is>
      </c>
      <c r="C11667">
        <f>ROMAN(11666)</f>
        <v/>
      </c>
      <c r="D11667">
        <f>IF(B11667=C11667, "YES", "WRONG")</f>
        <v/>
      </c>
    </row>
    <row r="11668">
      <c r="A11668" t="n">
        <v>11667</v>
      </c>
      <c r="B11668" t="inlineStr">
        <is>
          <t>x̄MDCLXVII</t>
        </is>
      </c>
      <c r="C11668">
        <f>ROMAN(11667)</f>
        <v/>
      </c>
      <c r="D11668">
        <f>IF(B11668=C11668, "YES", "WRONG")</f>
        <v/>
      </c>
    </row>
    <row r="11669">
      <c r="A11669" t="n">
        <v>11668</v>
      </c>
      <c r="B11669" t="inlineStr">
        <is>
          <t>x̄MDCLXVIII</t>
        </is>
      </c>
      <c r="C11669">
        <f>ROMAN(11668)</f>
        <v/>
      </c>
      <c r="D11669">
        <f>IF(B11669=C11669, "YES", "WRONG")</f>
        <v/>
      </c>
    </row>
    <row r="11670">
      <c r="A11670" t="n">
        <v>11669</v>
      </c>
      <c r="B11670" t="inlineStr">
        <is>
          <t>x̄MDCLXIX</t>
        </is>
      </c>
      <c r="C11670">
        <f>ROMAN(11669)</f>
        <v/>
      </c>
      <c r="D11670">
        <f>IF(B11670=C11670, "YES", "WRONG")</f>
        <v/>
      </c>
    </row>
    <row r="11671">
      <c r="A11671" t="n">
        <v>11670</v>
      </c>
      <c r="B11671" t="inlineStr">
        <is>
          <t>x̄MDCLXX</t>
        </is>
      </c>
      <c r="C11671">
        <f>ROMAN(11670)</f>
        <v/>
      </c>
      <c r="D11671">
        <f>IF(B11671=C11671, "YES", "WRONG")</f>
        <v/>
      </c>
    </row>
    <row r="11672">
      <c r="A11672" t="n">
        <v>11671</v>
      </c>
      <c r="B11672" t="inlineStr">
        <is>
          <t>x̄MDCLXXI</t>
        </is>
      </c>
      <c r="C11672">
        <f>ROMAN(11671)</f>
        <v/>
      </c>
      <c r="D11672">
        <f>IF(B11672=C11672, "YES", "WRONG")</f>
        <v/>
      </c>
    </row>
    <row r="11673">
      <c r="A11673" t="n">
        <v>11672</v>
      </c>
      <c r="B11673" t="inlineStr">
        <is>
          <t>x̄MDCLXXII</t>
        </is>
      </c>
      <c r="C11673">
        <f>ROMAN(11672)</f>
        <v/>
      </c>
      <c r="D11673">
        <f>IF(B11673=C11673, "YES", "WRONG")</f>
        <v/>
      </c>
    </row>
    <row r="11674">
      <c r="A11674" t="n">
        <v>11673</v>
      </c>
      <c r="B11674" t="inlineStr">
        <is>
          <t>x̄MDCLXXIII</t>
        </is>
      </c>
      <c r="C11674">
        <f>ROMAN(11673)</f>
        <v/>
      </c>
      <c r="D11674">
        <f>IF(B11674=C11674, "YES", "WRONG")</f>
        <v/>
      </c>
    </row>
    <row r="11675">
      <c r="A11675" t="n">
        <v>11674</v>
      </c>
      <c r="B11675" t="inlineStr">
        <is>
          <t>x̄MDCLXXIV</t>
        </is>
      </c>
      <c r="C11675">
        <f>ROMAN(11674)</f>
        <v/>
      </c>
      <c r="D11675">
        <f>IF(B11675=C11675, "YES", "WRONG")</f>
        <v/>
      </c>
    </row>
    <row r="11676">
      <c r="A11676" t="n">
        <v>11675</v>
      </c>
      <c r="B11676" t="inlineStr">
        <is>
          <t>x̄MDCLXXV</t>
        </is>
      </c>
      <c r="C11676">
        <f>ROMAN(11675)</f>
        <v/>
      </c>
      <c r="D11676">
        <f>IF(B11676=C11676, "YES", "WRONG")</f>
        <v/>
      </c>
    </row>
    <row r="11677">
      <c r="A11677" t="n">
        <v>11676</v>
      </c>
      <c r="B11677" t="inlineStr">
        <is>
          <t>x̄MDCLXXVI</t>
        </is>
      </c>
      <c r="C11677">
        <f>ROMAN(11676)</f>
        <v/>
      </c>
      <c r="D11677">
        <f>IF(B11677=C11677, "YES", "WRONG")</f>
        <v/>
      </c>
    </row>
    <row r="11678">
      <c r="A11678" t="n">
        <v>11677</v>
      </c>
      <c r="B11678" t="inlineStr">
        <is>
          <t>x̄MDCLXXVII</t>
        </is>
      </c>
      <c r="C11678">
        <f>ROMAN(11677)</f>
        <v/>
      </c>
      <c r="D11678">
        <f>IF(B11678=C11678, "YES", "WRONG")</f>
        <v/>
      </c>
    </row>
    <row r="11679">
      <c r="A11679" t="n">
        <v>11678</v>
      </c>
      <c r="B11679" t="inlineStr">
        <is>
          <t>x̄MDCLXXVIII</t>
        </is>
      </c>
      <c r="C11679">
        <f>ROMAN(11678)</f>
        <v/>
      </c>
      <c r="D11679">
        <f>IF(B11679=C11679, "YES", "WRONG")</f>
        <v/>
      </c>
    </row>
    <row r="11680">
      <c r="A11680" t="n">
        <v>11679</v>
      </c>
      <c r="B11680" t="inlineStr">
        <is>
          <t>x̄MDCLXXIX</t>
        </is>
      </c>
      <c r="C11680">
        <f>ROMAN(11679)</f>
        <v/>
      </c>
      <c r="D11680">
        <f>IF(B11680=C11680, "YES", "WRONG")</f>
        <v/>
      </c>
    </row>
    <row r="11681">
      <c r="A11681" t="n">
        <v>11680</v>
      </c>
      <c r="B11681" t="inlineStr">
        <is>
          <t>x̄MDCLXXX</t>
        </is>
      </c>
      <c r="C11681">
        <f>ROMAN(11680)</f>
        <v/>
      </c>
      <c r="D11681">
        <f>IF(B11681=C11681, "YES", "WRONG")</f>
        <v/>
      </c>
    </row>
    <row r="11682">
      <c r="A11682" t="n">
        <v>11681</v>
      </c>
      <c r="B11682" t="inlineStr">
        <is>
          <t>x̄MDCLXXXI</t>
        </is>
      </c>
      <c r="C11682">
        <f>ROMAN(11681)</f>
        <v/>
      </c>
      <c r="D11682">
        <f>IF(B11682=C11682, "YES", "WRONG")</f>
        <v/>
      </c>
    </row>
    <row r="11683">
      <c r="A11683" t="n">
        <v>11682</v>
      </c>
      <c r="B11683" t="inlineStr">
        <is>
          <t>x̄MDCLXXXII</t>
        </is>
      </c>
      <c r="C11683">
        <f>ROMAN(11682)</f>
        <v/>
      </c>
      <c r="D11683">
        <f>IF(B11683=C11683, "YES", "WRONG")</f>
        <v/>
      </c>
    </row>
    <row r="11684">
      <c r="A11684" t="n">
        <v>11683</v>
      </c>
      <c r="B11684" t="inlineStr">
        <is>
          <t>x̄MDCLXXXIII</t>
        </is>
      </c>
      <c r="C11684">
        <f>ROMAN(11683)</f>
        <v/>
      </c>
      <c r="D11684">
        <f>IF(B11684=C11684, "YES", "WRONG")</f>
        <v/>
      </c>
    </row>
    <row r="11685">
      <c r="A11685" t="n">
        <v>11684</v>
      </c>
      <c r="B11685" t="inlineStr">
        <is>
          <t>x̄MDCLXXXIV</t>
        </is>
      </c>
      <c r="C11685">
        <f>ROMAN(11684)</f>
        <v/>
      </c>
      <c r="D11685">
        <f>IF(B11685=C11685, "YES", "WRONG")</f>
        <v/>
      </c>
    </row>
    <row r="11686">
      <c r="A11686" t="n">
        <v>11685</v>
      </c>
      <c r="B11686" t="inlineStr">
        <is>
          <t>x̄MDCLXXXV</t>
        </is>
      </c>
      <c r="C11686">
        <f>ROMAN(11685)</f>
        <v/>
      </c>
      <c r="D11686">
        <f>IF(B11686=C11686, "YES", "WRONG")</f>
        <v/>
      </c>
    </row>
    <row r="11687">
      <c r="A11687" t="n">
        <v>11686</v>
      </c>
      <c r="B11687" t="inlineStr">
        <is>
          <t>x̄MDCLXXXVI</t>
        </is>
      </c>
      <c r="C11687">
        <f>ROMAN(11686)</f>
        <v/>
      </c>
      <c r="D11687">
        <f>IF(B11687=C11687, "YES", "WRONG")</f>
        <v/>
      </c>
    </row>
    <row r="11688">
      <c r="A11688" t="n">
        <v>11687</v>
      </c>
      <c r="B11688" t="inlineStr">
        <is>
          <t>x̄MDCLXXXVII</t>
        </is>
      </c>
      <c r="C11688">
        <f>ROMAN(11687)</f>
        <v/>
      </c>
      <c r="D11688">
        <f>IF(B11688=C11688, "YES", "WRONG")</f>
        <v/>
      </c>
    </row>
    <row r="11689">
      <c r="A11689" t="n">
        <v>11688</v>
      </c>
      <c r="B11689" t="inlineStr">
        <is>
          <t>x̄MDCLXXXVIII</t>
        </is>
      </c>
      <c r="C11689">
        <f>ROMAN(11688)</f>
        <v/>
      </c>
      <c r="D11689">
        <f>IF(B11689=C11689, "YES", "WRONG")</f>
        <v/>
      </c>
    </row>
    <row r="11690">
      <c r="A11690" t="n">
        <v>11689</v>
      </c>
      <c r="B11690" t="inlineStr">
        <is>
          <t>x̄MDCLXXXIX</t>
        </is>
      </c>
      <c r="C11690">
        <f>ROMAN(11689)</f>
        <v/>
      </c>
      <c r="D11690">
        <f>IF(B11690=C11690, "YES", "WRONG")</f>
        <v/>
      </c>
    </row>
    <row r="11691">
      <c r="A11691" t="n">
        <v>11690</v>
      </c>
      <c r="B11691" t="inlineStr">
        <is>
          <t>x̄MDCXC</t>
        </is>
      </c>
      <c r="C11691">
        <f>ROMAN(11690)</f>
        <v/>
      </c>
      <c r="D11691">
        <f>IF(B11691=C11691, "YES", "WRONG")</f>
        <v/>
      </c>
    </row>
    <row r="11692">
      <c r="A11692" t="n">
        <v>11691</v>
      </c>
      <c r="B11692" t="inlineStr">
        <is>
          <t>x̄MDCXCI</t>
        </is>
      </c>
      <c r="C11692">
        <f>ROMAN(11691)</f>
        <v/>
      </c>
      <c r="D11692">
        <f>IF(B11692=C11692, "YES", "WRONG")</f>
        <v/>
      </c>
    </row>
    <row r="11693">
      <c r="A11693" t="n">
        <v>11692</v>
      </c>
      <c r="B11693" t="inlineStr">
        <is>
          <t>x̄MDCXCII</t>
        </is>
      </c>
      <c r="C11693">
        <f>ROMAN(11692)</f>
        <v/>
      </c>
      <c r="D11693">
        <f>IF(B11693=C11693, "YES", "WRONG")</f>
        <v/>
      </c>
    </row>
    <row r="11694">
      <c r="A11694" t="n">
        <v>11693</v>
      </c>
      <c r="B11694" t="inlineStr">
        <is>
          <t>x̄MDCXCIII</t>
        </is>
      </c>
      <c r="C11694">
        <f>ROMAN(11693)</f>
        <v/>
      </c>
      <c r="D11694">
        <f>IF(B11694=C11694, "YES", "WRONG")</f>
        <v/>
      </c>
    </row>
    <row r="11695">
      <c r="A11695" t="n">
        <v>11694</v>
      </c>
      <c r="B11695" t="inlineStr">
        <is>
          <t>x̄MDCXCIV</t>
        </is>
      </c>
      <c r="C11695">
        <f>ROMAN(11694)</f>
        <v/>
      </c>
      <c r="D11695">
        <f>IF(B11695=C11695, "YES", "WRONG")</f>
        <v/>
      </c>
    </row>
    <row r="11696">
      <c r="A11696" t="n">
        <v>11695</v>
      </c>
      <c r="B11696" t="inlineStr">
        <is>
          <t>x̄MDCXCV</t>
        </is>
      </c>
      <c r="C11696">
        <f>ROMAN(11695)</f>
        <v/>
      </c>
      <c r="D11696">
        <f>IF(B11696=C11696, "YES", "WRONG")</f>
        <v/>
      </c>
    </row>
    <row r="11697">
      <c r="A11697" t="n">
        <v>11696</v>
      </c>
      <c r="B11697" t="inlineStr">
        <is>
          <t>x̄MDCXCVI</t>
        </is>
      </c>
      <c r="C11697">
        <f>ROMAN(11696)</f>
        <v/>
      </c>
      <c r="D11697">
        <f>IF(B11697=C11697, "YES", "WRONG")</f>
        <v/>
      </c>
    </row>
    <row r="11698">
      <c r="A11698" t="n">
        <v>11697</v>
      </c>
      <c r="B11698" t="inlineStr">
        <is>
          <t>x̄MDCXCVII</t>
        </is>
      </c>
      <c r="C11698">
        <f>ROMAN(11697)</f>
        <v/>
      </c>
      <c r="D11698">
        <f>IF(B11698=C11698, "YES", "WRONG")</f>
        <v/>
      </c>
    </row>
    <row r="11699">
      <c r="A11699" t="n">
        <v>11698</v>
      </c>
      <c r="B11699" t="inlineStr">
        <is>
          <t>x̄MDCXCVIII</t>
        </is>
      </c>
      <c r="C11699">
        <f>ROMAN(11698)</f>
        <v/>
      </c>
      <c r="D11699">
        <f>IF(B11699=C11699, "YES", "WRONG")</f>
        <v/>
      </c>
    </row>
    <row r="11700">
      <c r="A11700" t="n">
        <v>11699</v>
      </c>
      <c r="B11700" t="inlineStr">
        <is>
          <t>x̄MDCXCIX</t>
        </is>
      </c>
      <c r="C11700">
        <f>ROMAN(11699)</f>
        <v/>
      </c>
      <c r="D11700">
        <f>IF(B11700=C11700, "YES", "WRONG")</f>
        <v/>
      </c>
    </row>
    <row r="11701">
      <c r="A11701" t="n">
        <v>11700</v>
      </c>
      <c r="B11701" t="inlineStr">
        <is>
          <t>x̄MDCC</t>
        </is>
      </c>
      <c r="C11701">
        <f>ROMAN(11700)</f>
        <v/>
      </c>
      <c r="D11701">
        <f>IF(B11701=C11701, "YES", "WRONG")</f>
        <v/>
      </c>
    </row>
    <row r="11702">
      <c r="A11702" t="n">
        <v>11701</v>
      </c>
      <c r="B11702" t="inlineStr">
        <is>
          <t>x̄MDCCI</t>
        </is>
      </c>
      <c r="C11702">
        <f>ROMAN(11701)</f>
        <v/>
      </c>
      <c r="D11702">
        <f>IF(B11702=C11702, "YES", "WRONG")</f>
        <v/>
      </c>
    </row>
    <row r="11703">
      <c r="A11703" t="n">
        <v>11702</v>
      </c>
      <c r="B11703" t="inlineStr">
        <is>
          <t>x̄MDCCII</t>
        </is>
      </c>
      <c r="C11703">
        <f>ROMAN(11702)</f>
        <v/>
      </c>
      <c r="D11703">
        <f>IF(B11703=C11703, "YES", "WRONG")</f>
        <v/>
      </c>
    </row>
    <row r="11704">
      <c r="A11704" t="n">
        <v>11703</v>
      </c>
      <c r="B11704" t="inlineStr">
        <is>
          <t>x̄MDCCIII</t>
        </is>
      </c>
      <c r="C11704">
        <f>ROMAN(11703)</f>
        <v/>
      </c>
      <c r="D11704">
        <f>IF(B11704=C11704, "YES", "WRONG")</f>
        <v/>
      </c>
    </row>
    <row r="11705">
      <c r="A11705" t="n">
        <v>11704</v>
      </c>
      <c r="B11705" t="inlineStr">
        <is>
          <t>x̄MDCCIV</t>
        </is>
      </c>
      <c r="C11705">
        <f>ROMAN(11704)</f>
        <v/>
      </c>
      <c r="D11705">
        <f>IF(B11705=C11705, "YES", "WRONG")</f>
        <v/>
      </c>
    </row>
    <row r="11706">
      <c r="A11706" t="n">
        <v>11705</v>
      </c>
      <c r="B11706" t="inlineStr">
        <is>
          <t>x̄MDCCV</t>
        </is>
      </c>
      <c r="C11706">
        <f>ROMAN(11705)</f>
        <v/>
      </c>
      <c r="D11706">
        <f>IF(B11706=C11706, "YES", "WRONG")</f>
        <v/>
      </c>
    </row>
    <row r="11707">
      <c r="A11707" t="n">
        <v>11706</v>
      </c>
      <c r="B11707" t="inlineStr">
        <is>
          <t>x̄MDCCVI</t>
        </is>
      </c>
      <c r="C11707">
        <f>ROMAN(11706)</f>
        <v/>
      </c>
      <c r="D11707">
        <f>IF(B11707=C11707, "YES", "WRONG")</f>
        <v/>
      </c>
    </row>
    <row r="11708">
      <c r="A11708" t="n">
        <v>11707</v>
      </c>
      <c r="B11708" t="inlineStr">
        <is>
          <t>x̄MDCCVII</t>
        </is>
      </c>
      <c r="C11708">
        <f>ROMAN(11707)</f>
        <v/>
      </c>
      <c r="D11708">
        <f>IF(B11708=C11708, "YES", "WRONG")</f>
        <v/>
      </c>
    </row>
    <row r="11709">
      <c r="A11709" t="n">
        <v>11708</v>
      </c>
      <c r="B11709" t="inlineStr">
        <is>
          <t>x̄MDCCVIII</t>
        </is>
      </c>
      <c r="C11709">
        <f>ROMAN(11708)</f>
        <v/>
      </c>
      <c r="D11709">
        <f>IF(B11709=C11709, "YES", "WRONG")</f>
        <v/>
      </c>
    </row>
    <row r="11710">
      <c r="A11710" t="n">
        <v>11709</v>
      </c>
      <c r="B11710" t="inlineStr">
        <is>
          <t>x̄MDCCIX</t>
        </is>
      </c>
      <c r="C11710">
        <f>ROMAN(11709)</f>
        <v/>
      </c>
      <c r="D11710">
        <f>IF(B11710=C11710, "YES", "WRONG")</f>
        <v/>
      </c>
    </row>
    <row r="11711">
      <c r="A11711" t="n">
        <v>11710</v>
      </c>
      <c r="B11711" t="inlineStr">
        <is>
          <t>x̄MDCCX</t>
        </is>
      </c>
      <c r="C11711">
        <f>ROMAN(11710)</f>
        <v/>
      </c>
      <c r="D11711">
        <f>IF(B11711=C11711, "YES", "WRONG")</f>
        <v/>
      </c>
    </row>
    <row r="11712">
      <c r="A11712" t="n">
        <v>11711</v>
      </c>
      <c r="B11712" t="inlineStr">
        <is>
          <t>x̄MDCCXI</t>
        </is>
      </c>
      <c r="C11712">
        <f>ROMAN(11711)</f>
        <v/>
      </c>
      <c r="D11712">
        <f>IF(B11712=C11712, "YES", "WRONG")</f>
        <v/>
      </c>
    </row>
    <row r="11713">
      <c r="A11713" t="n">
        <v>11712</v>
      </c>
      <c r="B11713" t="inlineStr">
        <is>
          <t>x̄MDCCXII</t>
        </is>
      </c>
      <c r="C11713">
        <f>ROMAN(11712)</f>
        <v/>
      </c>
      <c r="D11713">
        <f>IF(B11713=C11713, "YES", "WRONG")</f>
        <v/>
      </c>
    </row>
    <row r="11714">
      <c r="A11714" t="n">
        <v>11713</v>
      </c>
      <c r="B11714" t="inlineStr">
        <is>
          <t>x̄MDCCXIII</t>
        </is>
      </c>
      <c r="C11714">
        <f>ROMAN(11713)</f>
        <v/>
      </c>
      <c r="D11714">
        <f>IF(B11714=C11714, "YES", "WRONG")</f>
        <v/>
      </c>
    </row>
    <row r="11715">
      <c r="A11715" t="n">
        <v>11714</v>
      </c>
      <c r="B11715" t="inlineStr">
        <is>
          <t>x̄MDCCXIV</t>
        </is>
      </c>
      <c r="C11715">
        <f>ROMAN(11714)</f>
        <v/>
      </c>
      <c r="D11715">
        <f>IF(B11715=C11715, "YES", "WRONG")</f>
        <v/>
      </c>
    </row>
    <row r="11716">
      <c r="A11716" t="n">
        <v>11715</v>
      </c>
      <c r="B11716" t="inlineStr">
        <is>
          <t>x̄MDCCXV</t>
        </is>
      </c>
      <c r="C11716">
        <f>ROMAN(11715)</f>
        <v/>
      </c>
      <c r="D11716">
        <f>IF(B11716=C11716, "YES", "WRONG")</f>
        <v/>
      </c>
    </row>
    <row r="11717">
      <c r="A11717" t="n">
        <v>11716</v>
      </c>
      <c r="B11717" t="inlineStr">
        <is>
          <t>x̄MDCCXVI</t>
        </is>
      </c>
      <c r="C11717">
        <f>ROMAN(11716)</f>
        <v/>
      </c>
      <c r="D11717">
        <f>IF(B11717=C11717, "YES", "WRONG")</f>
        <v/>
      </c>
    </row>
    <row r="11718">
      <c r="A11718" t="n">
        <v>11717</v>
      </c>
      <c r="B11718" t="inlineStr">
        <is>
          <t>x̄MDCCXVII</t>
        </is>
      </c>
      <c r="C11718">
        <f>ROMAN(11717)</f>
        <v/>
      </c>
      <c r="D11718">
        <f>IF(B11718=C11718, "YES", "WRONG")</f>
        <v/>
      </c>
    </row>
    <row r="11719">
      <c r="A11719" t="n">
        <v>11718</v>
      </c>
      <c r="B11719" t="inlineStr">
        <is>
          <t>x̄MDCCXVIII</t>
        </is>
      </c>
      <c r="C11719">
        <f>ROMAN(11718)</f>
        <v/>
      </c>
      <c r="D11719">
        <f>IF(B11719=C11719, "YES", "WRONG")</f>
        <v/>
      </c>
    </row>
    <row r="11720">
      <c r="A11720" t="n">
        <v>11719</v>
      </c>
      <c r="B11720" t="inlineStr">
        <is>
          <t>x̄MDCCXIX</t>
        </is>
      </c>
      <c r="C11720">
        <f>ROMAN(11719)</f>
        <v/>
      </c>
      <c r="D11720">
        <f>IF(B11720=C11720, "YES", "WRONG")</f>
        <v/>
      </c>
    </row>
    <row r="11721">
      <c r="A11721" t="n">
        <v>11720</v>
      </c>
      <c r="B11721" t="inlineStr">
        <is>
          <t>x̄MDCCXX</t>
        </is>
      </c>
      <c r="C11721">
        <f>ROMAN(11720)</f>
        <v/>
      </c>
      <c r="D11721">
        <f>IF(B11721=C11721, "YES", "WRONG")</f>
        <v/>
      </c>
    </row>
    <row r="11722">
      <c r="A11722" t="n">
        <v>11721</v>
      </c>
      <c r="B11722" t="inlineStr">
        <is>
          <t>x̄MDCCXXI</t>
        </is>
      </c>
      <c r="C11722">
        <f>ROMAN(11721)</f>
        <v/>
      </c>
      <c r="D11722">
        <f>IF(B11722=C11722, "YES", "WRONG")</f>
        <v/>
      </c>
    </row>
    <row r="11723">
      <c r="A11723" t="n">
        <v>11722</v>
      </c>
      <c r="B11723" t="inlineStr">
        <is>
          <t>x̄MDCCXXII</t>
        </is>
      </c>
      <c r="C11723">
        <f>ROMAN(11722)</f>
        <v/>
      </c>
      <c r="D11723">
        <f>IF(B11723=C11723, "YES", "WRONG")</f>
        <v/>
      </c>
    </row>
    <row r="11724">
      <c r="A11724" t="n">
        <v>11723</v>
      </c>
      <c r="B11724" t="inlineStr">
        <is>
          <t>x̄MDCCXXIII</t>
        </is>
      </c>
      <c r="C11724">
        <f>ROMAN(11723)</f>
        <v/>
      </c>
      <c r="D11724">
        <f>IF(B11724=C11724, "YES", "WRONG")</f>
        <v/>
      </c>
    </row>
    <row r="11725">
      <c r="A11725" t="n">
        <v>11724</v>
      </c>
      <c r="B11725" t="inlineStr">
        <is>
          <t>x̄MDCCXXIV</t>
        </is>
      </c>
      <c r="C11725">
        <f>ROMAN(11724)</f>
        <v/>
      </c>
      <c r="D11725">
        <f>IF(B11725=C11725, "YES", "WRONG")</f>
        <v/>
      </c>
    </row>
    <row r="11726">
      <c r="A11726" t="n">
        <v>11725</v>
      </c>
      <c r="B11726" t="inlineStr">
        <is>
          <t>x̄MDCCXXV</t>
        </is>
      </c>
      <c r="C11726">
        <f>ROMAN(11725)</f>
        <v/>
      </c>
      <c r="D11726">
        <f>IF(B11726=C11726, "YES", "WRONG")</f>
        <v/>
      </c>
    </row>
    <row r="11727">
      <c r="A11727" t="n">
        <v>11726</v>
      </c>
      <c r="B11727" t="inlineStr">
        <is>
          <t>x̄MDCCXXVI</t>
        </is>
      </c>
      <c r="C11727">
        <f>ROMAN(11726)</f>
        <v/>
      </c>
      <c r="D11727">
        <f>IF(B11727=C11727, "YES", "WRONG")</f>
        <v/>
      </c>
    </row>
    <row r="11728">
      <c r="A11728" t="n">
        <v>11727</v>
      </c>
      <c r="B11728" t="inlineStr">
        <is>
          <t>x̄MDCCXXVII</t>
        </is>
      </c>
      <c r="C11728">
        <f>ROMAN(11727)</f>
        <v/>
      </c>
      <c r="D11728">
        <f>IF(B11728=C11728, "YES", "WRONG")</f>
        <v/>
      </c>
    </row>
    <row r="11729">
      <c r="A11729" t="n">
        <v>11728</v>
      </c>
      <c r="B11729" t="inlineStr">
        <is>
          <t>x̄MDCCXXVIII</t>
        </is>
      </c>
      <c r="C11729">
        <f>ROMAN(11728)</f>
        <v/>
      </c>
      <c r="D11729">
        <f>IF(B11729=C11729, "YES", "WRONG")</f>
        <v/>
      </c>
    </row>
    <row r="11730">
      <c r="A11730" t="n">
        <v>11729</v>
      </c>
      <c r="B11730" t="inlineStr">
        <is>
          <t>x̄MDCCXXIX</t>
        </is>
      </c>
      <c r="C11730">
        <f>ROMAN(11729)</f>
        <v/>
      </c>
      <c r="D11730">
        <f>IF(B11730=C11730, "YES", "WRONG")</f>
        <v/>
      </c>
    </row>
    <row r="11731">
      <c r="A11731" t="n">
        <v>11730</v>
      </c>
      <c r="B11731" t="inlineStr">
        <is>
          <t>x̄MDCCXXX</t>
        </is>
      </c>
      <c r="C11731">
        <f>ROMAN(11730)</f>
        <v/>
      </c>
      <c r="D11731">
        <f>IF(B11731=C11731, "YES", "WRONG")</f>
        <v/>
      </c>
    </row>
    <row r="11732">
      <c r="A11732" t="n">
        <v>11731</v>
      </c>
      <c r="B11732" t="inlineStr">
        <is>
          <t>x̄MDCCXXXI</t>
        </is>
      </c>
      <c r="C11732">
        <f>ROMAN(11731)</f>
        <v/>
      </c>
      <c r="D11732">
        <f>IF(B11732=C11732, "YES", "WRONG")</f>
        <v/>
      </c>
    </row>
    <row r="11733">
      <c r="A11733" t="n">
        <v>11732</v>
      </c>
      <c r="B11733" t="inlineStr">
        <is>
          <t>x̄MDCCXXXII</t>
        </is>
      </c>
      <c r="C11733">
        <f>ROMAN(11732)</f>
        <v/>
      </c>
      <c r="D11733">
        <f>IF(B11733=C11733, "YES", "WRONG")</f>
        <v/>
      </c>
    </row>
    <row r="11734">
      <c r="A11734" t="n">
        <v>11733</v>
      </c>
      <c r="B11734" t="inlineStr">
        <is>
          <t>x̄MDCCXXXIII</t>
        </is>
      </c>
      <c r="C11734">
        <f>ROMAN(11733)</f>
        <v/>
      </c>
      <c r="D11734">
        <f>IF(B11734=C11734, "YES", "WRONG")</f>
        <v/>
      </c>
    </row>
    <row r="11735">
      <c r="A11735" t="n">
        <v>11734</v>
      </c>
      <c r="B11735" t="inlineStr">
        <is>
          <t>x̄MDCCXXXIV</t>
        </is>
      </c>
      <c r="C11735">
        <f>ROMAN(11734)</f>
        <v/>
      </c>
      <c r="D11735">
        <f>IF(B11735=C11735, "YES", "WRONG")</f>
        <v/>
      </c>
    </row>
    <row r="11736">
      <c r="A11736" t="n">
        <v>11735</v>
      </c>
      <c r="B11736" t="inlineStr">
        <is>
          <t>x̄MDCCXXXV</t>
        </is>
      </c>
      <c r="C11736">
        <f>ROMAN(11735)</f>
        <v/>
      </c>
      <c r="D11736">
        <f>IF(B11736=C11736, "YES", "WRONG")</f>
        <v/>
      </c>
    </row>
    <row r="11737">
      <c r="A11737" t="n">
        <v>11736</v>
      </c>
      <c r="B11737" t="inlineStr">
        <is>
          <t>x̄MDCCXXXVI</t>
        </is>
      </c>
      <c r="C11737">
        <f>ROMAN(11736)</f>
        <v/>
      </c>
      <c r="D11737">
        <f>IF(B11737=C11737, "YES", "WRONG")</f>
        <v/>
      </c>
    </row>
    <row r="11738">
      <c r="A11738" t="n">
        <v>11737</v>
      </c>
      <c r="B11738" t="inlineStr">
        <is>
          <t>x̄MDCCXXXVII</t>
        </is>
      </c>
      <c r="C11738">
        <f>ROMAN(11737)</f>
        <v/>
      </c>
      <c r="D11738">
        <f>IF(B11738=C11738, "YES", "WRONG")</f>
        <v/>
      </c>
    </row>
    <row r="11739">
      <c r="A11739" t="n">
        <v>11738</v>
      </c>
      <c r="B11739" t="inlineStr">
        <is>
          <t>x̄MDCCXXXVIII</t>
        </is>
      </c>
      <c r="C11739">
        <f>ROMAN(11738)</f>
        <v/>
      </c>
      <c r="D11739">
        <f>IF(B11739=C11739, "YES", "WRONG")</f>
        <v/>
      </c>
    </row>
    <row r="11740">
      <c r="A11740" t="n">
        <v>11739</v>
      </c>
      <c r="B11740" t="inlineStr">
        <is>
          <t>x̄MDCCXXXIX</t>
        </is>
      </c>
      <c r="C11740">
        <f>ROMAN(11739)</f>
        <v/>
      </c>
      <c r="D11740">
        <f>IF(B11740=C11740, "YES", "WRONG")</f>
        <v/>
      </c>
    </row>
    <row r="11741">
      <c r="A11741" t="n">
        <v>11740</v>
      </c>
      <c r="B11741" t="inlineStr">
        <is>
          <t>x̄MDCCXL</t>
        </is>
      </c>
      <c r="C11741">
        <f>ROMAN(11740)</f>
        <v/>
      </c>
      <c r="D11741">
        <f>IF(B11741=C11741, "YES", "WRONG")</f>
        <v/>
      </c>
    </row>
    <row r="11742">
      <c r="A11742" t="n">
        <v>11741</v>
      </c>
      <c r="B11742" t="inlineStr">
        <is>
          <t>x̄MDCCXLI</t>
        </is>
      </c>
      <c r="C11742">
        <f>ROMAN(11741)</f>
        <v/>
      </c>
      <c r="D11742">
        <f>IF(B11742=C11742, "YES", "WRONG")</f>
        <v/>
      </c>
    </row>
    <row r="11743">
      <c r="A11743" t="n">
        <v>11742</v>
      </c>
      <c r="B11743" t="inlineStr">
        <is>
          <t>x̄MDCCXLII</t>
        </is>
      </c>
      <c r="C11743">
        <f>ROMAN(11742)</f>
        <v/>
      </c>
      <c r="D11743">
        <f>IF(B11743=C11743, "YES", "WRONG")</f>
        <v/>
      </c>
    </row>
    <row r="11744">
      <c r="A11744" t="n">
        <v>11743</v>
      </c>
      <c r="B11744" t="inlineStr">
        <is>
          <t>x̄MDCCXLIII</t>
        </is>
      </c>
      <c r="C11744">
        <f>ROMAN(11743)</f>
        <v/>
      </c>
      <c r="D11744">
        <f>IF(B11744=C11744, "YES", "WRONG")</f>
        <v/>
      </c>
    </row>
    <row r="11745">
      <c r="A11745" t="n">
        <v>11744</v>
      </c>
      <c r="B11745" t="inlineStr">
        <is>
          <t>x̄MDCCXLIV</t>
        </is>
      </c>
      <c r="C11745">
        <f>ROMAN(11744)</f>
        <v/>
      </c>
      <c r="D11745">
        <f>IF(B11745=C11745, "YES", "WRONG")</f>
        <v/>
      </c>
    </row>
    <row r="11746">
      <c r="A11746" t="n">
        <v>11745</v>
      </c>
      <c r="B11746" t="inlineStr">
        <is>
          <t>x̄MDCCXLV</t>
        </is>
      </c>
      <c r="C11746">
        <f>ROMAN(11745)</f>
        <v/>
      </c>
      <c r="D11746">
        <f>IF(B11746=C11746, "YES", "WRONG")</f>
        <v/>
      </c>
    </row>
    <row r="11747">
      <c r="A11747" t="n">
        <v>11746</v>
      </c>
      <c r="B11747" t="inlineStr">
        <is>
          <t>x̄MDCCXLVI</t>
        </is>
      </c>
      <c r="C11747">
        <f>ROMAN(11746)</f>
        <v/>
      </c>
      <c r="D11747">
        <f>IF(B11747=C11747, "YES", "WRONG")</f>
        <v/>
      </c>
    </row>
    <row r="11748">
      <c r="A11748" t="n">
        <v>11747</v>
      </c>
      <c r="B11748" t="inlineStr">
        <is>
          <t>x̄MDCCXLVII</t>
        </is>
      </c>
      <c r="C11748">
        <f>ROMAN(11747)</f>
        <v/>
      </c>
      <c r="D11748">
        <f>IF(B11748=C11748, "YES", "WRONG")</f>
        <v/>
      </c>
    </row>
    <row r="11749">
      <c r="A11749" t="n">
        <v>11748</v>
      </c>
      <c r="B11749" t="inlineStr">
        <is>
          <t>x̄MDCCXLVIII</t>
        </is>
      </c>
      <c r="C11749">
        <f>ROMAN(11748)</f>
        <v/>
      </c>
      <c r="D11749">
        <f>IF(B11749=C11749, "YES", "WRONG")</f>
        <v/>
      </c>
    </row>
    <row r="11750">
      <c r="A11750" t="n">
        <v>11749</v>
      </c>
      <c r="B11750" t="inlineStr">
        <is>
          <t>x̄MDCCXLIX</t>
        </is>
      </c>
      <c r="C11750">
        <f>ROMAN(11749)</f>
        <v/>
      </c>
      <c r="D11750">
        <f>IF(B11750=C11750, "YES", "WRONG")</f>
        <v/>
      </c>
    </row>
    <row r="11751">
      <c r="A11751" t="n">
        <v>11750</v>
      </c>
      <c r="B11751" t="inlineStr">
        <is>
          <t>x̄MDCCL</t>
        </is>
      </c>
      <c r="C11751">
        <f>ROMAN(11750)</f>
        <v/>
      </c>
      <c r="D11751">
        <f>IF(B11751=C11751, "YES", "WRONG")</f>
        <v/>
      </c>
    </row>
    <row r="11752">
      <c r="A11752" t="n">
        <v>11751</v>
      </c>
      <c r="B11752" t="inlineStr">
        <is>
          <t>x̄MDCCLI</t>
        </is>
      </c>
      <c r="C11752">
        <f>ROMAN(11751)</f>
        <v/>
      </c>
      <c r="D11752">
        <f>IF(B11752=C11752, "YES", "WRONG")</f>
        <v/>
      </c>
    </row>
    <row r="11753">
      <c r="A11753" t="n">
        <v>11752</v>
      </c>
      <c r="B11753" t="inlineStr">
        <is>
          <t>x̄MDCCLII</t>
        </is>
      </c>
      <c r="C11753">
        <f>ROMAN(11752)</f>
        <v/>
      </c>
      <c r="D11753">
        <f>IF(B11753=C11753, "YES", "WRONG")</f>
        <v/>
      </c>
    </row>
    <row r="11754">
      <c r="A11754" t="n">
        <v>11753</v>
      </c>
      <c r="B11754" t="inlineStr">
        <is>
          <t>x̄MDCCLIII</t>
        </is>
      </c>
      <c r="C11754">
        <f>ROMAN(11753)</f>
        <v/>
      </c>
      <c r="D11754">
        <f>IF(B11754=C11754, "YES", "WRONG")</f>
        <v/>
      </c>
    </row>
    <row r="11755">
      <c r="A11755" t="n">
        <v>11754</v>
      </c>
      <c r="B11755" t="inlineStr">
        <is>
          <t>x̄MDCCLIV</t>
        </is>
      </c>
      <c r="C11755">
        <f>ROMAN(11754)</f>
        <v/>
      </c>
      <c r="D11755">
        <f>IF(B11755=C11755, "YES", "WRONG")</f>
        <v/>
      </c>
    </row>
    <row r="11756">
      <c r="A11756" t="n">
        <v>11755</v>
      </c>
      <c r="B11756" t="inlineStr">
        <is>
          <t>x̄MDCCLV</t>
        </is>
      </c>
      <c r="C11756">
        <f>ROMAN(11755)</f>
        <v/>
      </c>
      <c r="D11756">
        <f>IF(B11756=C11756, "YES", "WRONG")</f>
        <v/>
      </c>
    </row>
    <row r="11757">
      <c r="A11757" t="n">
        <v>11756</v>
      </c>
      <c r="B11757" t="inlineStr">
        <is>
          <t>x̄MDCCLVI</t>
        </is>
      </c>
      <c r="C11757">
        <f>ROMAN(11756)</f>
        <v/>
      </c>
      <c r="D11757">
        <f>IF(B11757=C11757, "YES", "WRONG")</f>
        <v/>
      </c>
    </row>
    <row r="11758">
      <c r="A11758" t="n">
        <v>11757</v>
      </c>
      <c r="B11758" t="inlineStr">
        <is>
          <t>x̄MDCCLVII</t>
        </is>
      </c>
      <c r="C11758">
        <f>ROMAN(11757)</f>
        <v/>
      </c>
      <c r="D11758">
        <f>IF(B11758=C11758, "YES", "WRONG")</f>
        <v/>
      </c>
    </row>
    <row r="11759">
      <c r="A11759" t="n">
        <v>11758</v>
      </c>
      <c r="B11759" t="inlineStr">
        <is>
          <t>x̄MDCCLVIII</t>
        </is>
      </c>
      <c r="C11759">
        <f>ROMAN(11758)</f>
        <v/>
      </c>
      <c r="D11759">
        <f>IF(B11759=C11759, "YES", "WRONG")</f>
        <v/>
      </c>
    </row>
    <row r="11760">
      <c r="A11760" t="n">
        <v>11759</v>
      </c>
      <c r="B11760" t="inlineStr">
        <is>
          <t>x̄MDCCLIX</t>
        </is>
      </c>
      <c r="C11760">
        <f>ROMAN(11759)</f>
        <v/>
      </c>
      <c r="D11760">
        <f>IF(B11760=C11760, "YES", "WRONG")</f>
        <v/>
      </c>
    </row>
    <row r="11761">
      <c r="A11761" t="n">
        <v>11760</v>
      </c>
      <c r="B11761" t="inlineStr">
        <is>
          <t>x̄MDCCLX</t>
        </is>
      </c>
      <c r="C11761">
        <f>ROMAN(11760)</f>
        <v/>
      </c>
      <c r="D11761">
        <f>IF(B11761=C11761, "YES", "WRONG")</f>
        <v/>
      </c>
    </row>
    <row r="11762">
      <c r="A11762" t="n">
        <v>11761</v>
      </c>
      <c r="B11762" t="inlineStr">
        <is>
          <t>x̄MDCCLXI</t>
        </is>
      </c>
      <c r="C11762">
        <f>ROMAN(11761)</f>
        <v/>
      </c>
      <c r="D11762">
        <f>IF(B11762=C11762, "YES", "WRONG")</f>
        <v/>
      </c>
    </row>
    <row r="11763">
      <c r="A11763" t="n">
        <v>11762</v>
      </c>
      <c r="B11763" t="inlineStr">
        <is>
          <t>x̄MDCCLXII</t>
        </is>
      </c>
      <c r="C11763">
        <f>ROMAN(11762)</f>
        <v/>
      </c>
      <c r="D11763">
        <f>IF(B11763=C11763, "YES", "WRONG")</f>
        <v/>
      </c>
    </row>
    <row r="11764">
      <c r="A11764" t="n">
        <v>11763</v>
      </c>
      <c r="B11764" t="inlineStr">
        <is>
          <t>x̄MDCCLXIII</t>
        </is>
      </c>
      <c r="C11764">
        <f>ROMAN(11763)</f>
        <v/>
      </c>
      <c r="D11764">
        <f>IF(B11764=C11764, "YES", "WRONG")</f>
        <v/>
      </c>
    </row>
    <row r="11765">
      <c r="A11765" t="n">
        <v>11764</v>
      </c>
      <c r="B11765" t="inlineStr">
        <is>
          <t>x̄MDCCLXIV</t>
        </is>
      </c>
      <c r="C11765">
        <f>ROMAN(11764)</f>
        <v/>
      </c>
      <c r="D11765">
        <f>IF(B11765=C11765, "YES", "WRONG")</f>
        <v/>
      </c>
    </row>
    <row r="11766">
      <c r="A11766" t="n">
        <v>11765</v>
      </c>
      <c r="B11766" t="inlineStr">
        <is>
          <t>x̄MDCCLXV</t>
        </is>
      </c>
      <c r="C11766">
        <f>ROMAN(11765)</f>
        <v/>
      </c>
      <c r="D11766">
        <f>IF(B11766=C11766, "YES", "WRONG")</f>
        <v/>
      </c>
    </row>
    <row r="11767">
      <c r="A11767" t="n">
        <v>11766</v>
      </c>
      <c r="B11767" t="inlineStr">
        <is>
          <t>x̄MDCCLXVI</t>
        </is>
      </c>
      <c r="C11767">
        <f>ROMAN(11766)</f>
        <v/>
      </c>
      <c r="D11767">
        <f>IF(B11767=C11767, "YES", "WRONG")</f>
        <v/>
      </c>
    </row>
    <row r="11768">
      <c r="A11768" t="n">
        <v>11767</v>
      </c>
      <c r="B11768" t="inlineStr">
        <is>
          <t>x̄MDCCLXVII</t>
        </is>
      </c>
      <c r="C11768">
        <f>ROMAN(11767)</f>
        <v/>
      </c>
      <c r="D11768">
        <f>IF(B11768=C11768, "YES", "WRONG")</f>
        <v/>
      </c>
    </row>
    <row r="11769">
      <c r="A11769" t="n">
        <v>11768</v>
      </c>
      <c r="B11769" t="inlineStr">
        <is>
          <t>x̄MDCCLXVIII</t>
        </is>
      </c>
      <c r="C11769">
        <f>ROMAN(11768)</f>
        <v/>
      </c>
      <c r="D11769">
        <f>IF(B11769=C11769, "YES", "WRONG")</f>
        <v/>
      </c>
    </row>
    <row r="11770">
      <c r="A11770" t="n">
        <v>11769</v>
      </c>
      <c r="B11770" t="inlineStr">
        <is>
          <t>x̄MDCCLXIX</t>
        </is>
      </c>
      <c r="C11770">
        <f>ROMAN(11769)</f>
        <v/>
      </c>
      <c r="D11770">
        <f>IF(B11770=C11770, "YES", "WRONG")</f>
        <v/>
      </c>
    </row>
    <row r="11771">
      <c r="A11771" t="n">
        <v>11770</v>
      </c>
      <c r="B11771" t="inlineStr">
        <is>
          <t>x̄MDCCLXX</t>
        </is>
      </c>
      <c r="C11771">
        <f>ROMAN(11770)</f>
        <v/>
      </c>
      <c r="D11771">
        <f>IF(B11771=C11771, "YES", "WRONG")</f>
        <v/>
      </c>
    </row>
    <row r="11772">
      <c r="A11772" t="n">
        <v>11771</v>
      </c>
      <c r="B11772" t="inlineStr">
        <is>
          <t>x̄MDCCLXXI</t>
        </is>
      </c>
      <c r="C11772">
        <f>ROMAN(11771)</f>
        <v/>
      </c>
      <c r="D11772">
        <f>IF(B11772=C11772, "YES", "WRONG")</f>
        <v/>
      </c>
    </row>
    <row r="11773">
      <c r="A11773" t="n">
        <v>11772</v>
      </c>
      <c r="B11773" t="inlineStr">
        <is>
          <t>x̄MDCCLXXII</t>
        </is>
      </c>
      <c r="C11773">
        <f>ROMAN(11772)</f>
        <v/>
      </c>
      <c r="D11773">
        <f>IF(B11773=C11773, "YES", "WRONG")</f>
        <v/>
      </c>
    </row>
    <row r="11774">
      <c r="A11774" t="n">
        <v>11773</v>
      </c>
      <c r="B11774" t="inlineStr">
        <is>
          <t>x̄MDCCLXXIII</t>
        </is>
      </c>
      <c r="C11774">
        <f>ROMAN(11773)</f>
        <v/>
      </c>
      <c r="D11774">
        <f>IF(B11774=C11774, "YES", "WRONG")</f>
        <v/>
      </c>
    </row>
    <row r="11775">
      <c r="A11775" t="n">
        <v>11774</v>
      </c>
      <c r="B11775" t="inlineStr">
        <is>
          <t>x̄MDCCLXXIV</t>
        </is>
      </c>
      <c r="C11775">
        <f>ROMAN(11774)</f>
        <v/>
      </c>
      <c r="D11775">
        <f>IF(B11775=C11775, "YES", "WRONG")</f>
        <v/>
      </c>
    </row>
    <row r="11776">
      <c r="A11776" t="n">
        <v>11775</v>
      </c>
      <c r="B11776" t="inlineStr">
        <is>
          <t>x̄MDCCLXXV</t>
        </is>
      </c>
      <c r="C11776">
        <f>ROMAN(11775)</f>
        <v/>
      </c>
      <c r="D11776">
        <f>IF(B11776=C11776, "YES", "WRONG")</f>
        <v/>
      </c>
    </row>
    <row r="11777">
      <c r="A11777" t="n">
        <v>11776</v>
      </c>
      <c r="B11777" t="inlineStr">
        <is>
          <t>x̄MDCCLXXVI</t>
        </is>
      </c>
      <c r="C11777">
        <f>ROMAN(11776)</f>
        <v/>
      </c>
      <c r="D11777">
        <f>IF(B11777=C11777, "YES", "WRONG")</f>
        <v/>
      </c>
    </row>
    <row r="11778">
      <c r="A11778" t="n">
        <v>11777</v>
      </c>
      <c r="B11778" t="inlineStr">
        <is>
          <t>x̄MDCCLXXVII</t>
        </is>
      </c>
      <c r="C11778">
        <f>ROMAN(11777)</f>
        <v/>
      </c>
      <c r="D11778">
        <f>IF(B11778=C11778, "YES", "WRONG")</f>
        <v/>
      </c>
    </row>
    <row r="11779">
      <c r="A11779" t="n">
        <v>11778</v>
      </c>
      <c r="B11779" t="inlineStr">
        <is>
          <t>x̄MDCCLXXVIII</t>
        </is>
      </c>
      <c r="C11779">
        <f>ROMAN(11778)</f>
        <v/>
      </c>
      <c r="D11779">
        <f>IF(B11779=C11779, "YES", "WRONG")</f>
        <v/>
      </c>
    </row>
    <row r="11780">
      <c r="A11780" t="n">
        <v>11779</v>
      </c>
      <c r="B11780" t="inlineStr">
        <is>
          <t>x̄MDCCLXXIX</t>
        </is>
      </c>
      <c r="C11780">
        <f>ROMAN(11779)</f>
        <v/>
      </c>
      <c r="D11780">
        <f>IF(B11780=C11780, "YES", "WRONG")</f>
        <v/>
      </c>
    </row>
    <row r="11781">
      <c r="A11781" t="n">
        <v>11780</v>
      </c>
      <c r="B11781" t="inlineStr">
        <is>
          <t>x̄MDCCLXXX</t>
        </is>
      </c>
      <c r="C11781">
        <f>ROMAN(11780)</f>
        <v/>
      </c>
      <c r="D11781">
        <f>IF(B11781=C11781, "YES", "WRONG")</f>
        <v/>
      </c>
    </row>
    <row r="11782">
      <c r="A11782" t="n">
        <v>11781</v>
      </c>
      <c r="B11782" t="inlineStr">
        <is>
          <t>x̄MDCCLXXXI</t>
        </is>
      </c>
      <c r="C11782">
        <f>ROMAN(11781)</f>
        <v/>
      </c>
      <c r="D11782">
        <f>IF(B11782=C11782, "YES", "WRONG")</f>
        <v/>
      </c>
    </row>
    <row r="11783">
      <c r="A11783" t="n">
        <v>11782</v>
      </c>
      <c r="B11783" t="inlineStr">
        <is>
          <t>x̄MDCCLXXXII</t>
        </is>
      </c>
      <c r="C11783">
        <f>ROMAN(11782)</f>
        <v/>
      </c>
      <c r="D11783">
        <f>IF(B11783=C11783, "YES", "WRONG")</f>
        <v/>
      </c>
    </row>
    <row r="11784">
      <c r="A11784" t="n">
        <v>11783</v>
      </c>
      <c r="B11784" t="inlineStr">
        <is>
          <t>x̄MDCCLXXXIII</t>
        </is>
      </c>
      <c r="C11784">
        <f>ROMAN(11783)</f>
        <v/>
      </c>
      <c r="D11784">
        <f>IF(B11784=C11784, "YES", "WRONG")</f>
        <v/>
      </c>
    </row>
    <row r="11785">
      <c r="A11785" t="n">
        <v>11784</v>
      </c>
      <c r="B11785" t="inlineStr">
        <is>
          <t>x̄MDCCLXXXIV</t>
        </is>
      </c>
      <c r="C11785">
        <f>ROMAN(11784)</f>
        <v/>
      </c>
      <c r="D11785">
        <f>IF(B11785=C11785, "YES", "WRONG")</f>
        <v/>
      </c>
    </row>
    <row r="11786">
      <c r="A11786" t="n">
        <v>11785</v>
      </c>
      <c r="B11786" t="inlineStr">
        <is>
          <t>x̄MDCCLXXXV</t>
        </is>
      </c>
      <c r="C11786">
        <f>ROMAN(11785)</f>
        <v/>
      </c>
      <c r="D11786">
        <f>IF(B11786=C11786, "YES", "WRONG")</f>
        <v/>
      </c>
    </row>
    <row r="11787">
      <c r="A11787" t="n">
        <v>11786</v>
      </c>
      <c r="B11787" t="inlineStr">
        <is>
          <t>x̄MDCCLXXXVI</t>
        </is>
      </c>
      <c r="C11787">
        <f>ROMAN(11786)</f>
        <v/>
      </c>
      <c r="D11787">
        <f>IF(B11787=C11787, "YES", "WRONG")</f>
        <v/>
      </c>
    </row>
    <row r="11788">
      <c r="A11788" t="n">
        <v>11787</v>
      </c>
      <c r="B11788" t="inlineStr">
        <is>
          <t>x̄MDCCLXXXVII</t>
        </is>
      </c>
      <c r="C11788">
        <f>ROMAN(11787)</f>
        <v/>
      </c>
      <c r="D11788">
        <f>IF(B11788=C11788, "YES", "WRONG")</f>
        <v/>
      </c>
    </row>
    <row r="11789">
      <c r="A11789" t="n">
        <v>11788</v>
      </c>
      <c r="B11789" t="inlineStr">
        <is>
          <t>x̄MDCCLXXXVIII</t>
        </is>
      </c>
      <c r="C11789">
        <f>ROMAN(11788)</f>
        <v/>
      </c>
      <c r="D11789">
        <f>IF(B11789=C11789, "YES", "WRONG")</f>
        <v/>
      </c>
    </row>
    <row r="11790">
      <c r="A11790" t="n">
        <v>11789</v>
      </c>
      <c r="B11790" t="inlineStr">
        <is>
          <t>x̄MDCCLXXXIX</t>
        </is>
      </c>
      <c r="C11790">
        <f>ROMAN(11789)</f>
        <v/>
      </c>
      <c r="D11790">
        <f>IF(B11790=C11790, "YES", "WRONG")</f>
        <v/>
      </c>
    </row>
    <row r="11791">
      <c r="A11791" t="n">
        <v>11790</v>
      </c>
      <c r="B11791" t="inlineStr">
        <is>
          <t>x̄MDCCXC</t>
        </is>
      </c>
      <c r="C11791">
        <f>ROMAN(11790)</f>
        <v/>
      </c>
      <c r="D11791">
        <f>IF(B11791=C11791, "YES", "WRONG")</f>
        <v/>
      </c>
    </row>
    <row r="11792">
      <c r="A11792" t="n">
        <v>11791</v>
      </c>
      <c r="B11792" t="inlineStr">
        <is>
          <t>x̄MDCCXCI</t>
        </is>
      </c>
      <c r="C11792">
        <f>ROMAN(11791)</f>
        <v/>
      </c>
      <c r="D11792">
        <f>IF(B11792=C11792, "YES", "WRONG")</f>
        <v/>
      </c>
    </row>
    <row r="11793">
      <c r="A11793" t="n">
        <v>11792</v>
      </c>
      <c r="B11793" t="inlineStr">
        <is>
          <t>x̄MDCCXCII</t>
        </is>
      </c>
      <c r="C11793">
        <f>ROMAN(11792)</f>
        <v/>
      </c>
      <c r="D11793">
        <f>IF(B11793=C11793, "YES", "WRONG")</f>
        <v/>
      </c>
    </row>
    <row r="11794">
      <c r="A11794" t="n">
        <v>11793</v>
      </c>
      <c r="B11794" t="inlineStr">
        <is>
          <t>x̄MDCCXCIII</t>
        </is>
      </c>
      <c r="C11794">
        <f>ROMAN(11793)</f>
        <v/>
      </c>
      <c r="D11794">
        <f>IF(B11794=C11794, "YES", "WRONG")</f>
        <v/>
      </c>
    </row>
    <row r="11795">
      <c r="A11795" t="n">
        <v>11794</v>
      </c>
      <c r="B11795" t="inlineStr">
        <is>
          <t>x̄MDCCXCIV</t>
        </is>
      </c>
      <c r="C11795">
        <f>ROMAN(11794)</f>
        <v/>
      </c>
      <c r="D11795">
        <f>IF(B11795=C11795, "YES", "WRONG")</f>
        <v/>
      </c>
    </row>
    <row r="11796">
      <c r="A11796" t="n">
        <v>11795</v>
      </c>
      <c r="B11796" t="inlineStr">
        <is>
          <t>x̄MDCCXCV</t>
        </is>
      </c>
      <c r="C11796">
        <f>ROMAN(11795)</f>
        <v/>
      </c>
      <c r="D11796">
        <f>IF(B11796=C11796, "YES", "WRONG")</f>
        <v/>
      </c>
    </row>
    <row r="11797">
      <c r="A11797" t="n">
        <v>11796</v>
      </c>
      <c r="B11797" t="inlineStr">
        <is>
          <t>x̄MDCCXCVI</t>
        </is>
      </c>
      <c r="C11797">
        <f>ROMAN(11796)</f>
        <v/>
      </c>
      <c r="D11797">
        <f>IF(B11797=C11797, "YES", "WRONG")</f>
        <v/>
      </c>
    </row>
    <row r="11798">
      <c r="A11798" t="n">
        <v>11797</v>
      </c>
      <c r="B11798" t="inlineStr">
        <is>
          <t>x̄MDCCXCVII</t>
        </is>
      </c>
      <c r="C11798">
        <f>ROMAN(11797)</f>
        <v/>
      </c>
      <c r="D11798">
        <f>IF(B11798=C11798, "YES", "WRONG")</f>
        <v/>
      </c>
    </row>
    <row r="11799">
      <c r="A11799" t="n">
        <v>11798</v>
      </c>
      <c r="B11799" t="inlineStr">
        <is>
          <t>x̄MDCCXCVIII</t>
        </is>
      </c>
      <c r="C11799">
        <f>ROMAN(11798)</f>
        <v/>
      </c>
      <c r="D11799">
        <f>IF(B11799=C11799, "YES", "WRONG")</f>
        <v/>
      </c>
    </row>
    <row r="11800">
      <c r="A11800" t="n">
        <v>11799</v>
      </c>
      <c r="B11800" t="inlineStr">
        <is>
          <t>x̄MDCCXCIX</t>
        </is>
      </c>
      <c r="C11800">
        <f>ROMAN(11799)</f>
        <v/>
      </c>
      <c r="D11800">
        <f>IF(B11800=C11800, "YES", "WRONG")</f>
        <v/>
      </c>
    </row>
    <row r="11801">
      <c r="A11801" t="n">
        <v>11800</v>
      </c>
      <c r="B11801" t="inlineStr">
        <is>
          <t>x̄MDCCC</t>
        </is>
      </c>
      <c r="C11801">
        <f>ROMAN(11800)</f>
        <v/>
      </c>
      <c r="D11801">
        <f>IF(B11801=C11801, "YES", "WRONG")</f>
        <v/>
      </c>
    </row>
    <row r="11802">
      <c r="A11802" t="n">
        <v>11801</v>
      </c>
      <c r="B11802" t="inlineStr">
        <is>
          <t>x̄MDCCCI</t>
        </is>
      </c>
      <c r="C11802">
        <f>ROMAN(11801)</f>
        <v/>
      </c>
      <c r="D11802">
        <f>IF(B11802=C11802, "YES", "WRONG")</f>
        <v/>
      </c>
    </row>
    <row r="11803">
      <c r="A11803" t="n">
        <v>11802</v>
      </c>
      <c r="B11803" t="inlineStr">
        <is>
          <t>x̄MDCCCII</t>
        </is>
      </c>
      <c r="C11803">
        <f>ROMAN(11802)</f>
        <v/>
      </c>
      <c r="D11803">
        <f>IF(B11803=C11803, "YES", "WRONG")</f>
        <v/>
      </c>
    </row>
    <row r="11804">
      <c r="A11804" t="n">
        <v>11803</v>
      </c>
      <c r="B11804" t="inlineStr">
        <is>
          <t>x̄MDCCCIII</t>
        </is>
      </c>
      <c r="C11804">
        <f>ROMAN(11803)</f>
        <v/>
      </c>
      <c r="D11804">
        <f>IF(B11804=C11804, "YES", "WRONG")</f>
        <v/>
      </c>
    </row>
    <row r="11805">
      <c r="A11805" t="n">
        <v>11804</v>
      </c>
      <c r="B11805" t="inlineStr">
        <is>
          <t>x̄MDCCCIV</t>
        </is>
      </c>
      <c r="C11805">
        <f>ROMAN(11804)</f>
        <v/>
      </c>
      <c r="D11805">
        <f>IF(B11805=C11805, "YES", "WRONG")</f>
        <v/>
      </c>
    </row>
    <row r="11806">
      <c r="A11806" t="n">
        <v>11805</v>
      </c>
      <c r="B11806" t="inlineStr">
        <is>
          <t>x̄MDCCCV</t>
        </is>
      </c>
      <c r="C11806">
        <f>ROMAN(11805)</f>
        <v/>
      </c>
      <c r="D11806">
        <f>IF(B11806=C11806, "YES", "WRONG")</f>
        <v/>
      </c>
    </row>
    <row r="11807">
      <c r="A11807" t="n">
        <v>11806</v>
      </c>
      <c r="B11807" t="inlineStr">
        <is>
          <t>x̄MDCCCVI</t>
        </is>
      </c>
      <c r="C11807">
        <f>ROMAN(11806)</f>
        <v/>
      </c>
      <c r="D11807">
        <f>IF(B11807=C11807, "YES", "WRONG")</f>
        <v/>
      </c>
    </row>
    <row r="11808">
      <c r="A11808" t="n">
        <v>11807</v>
      </c>
      <c r="B11808" t="inlineStr">
        <is>
          <t>x̄MDCCCVII</t>
        </is>
      </c>
      <c r="C11808">
        <f>ROMAN(11807)</f>
        <v/>
      </c>
      <c r="D11808">
        <f>IF(B11808=C11808, "YES", "WRONG")</f>
        <v/>
      </c>
    </row>
    <row r="11809">
      <c r="A11809" t="n">
        <v>11808</v>
      </c>
      <c r="B11809" t="inlineStr">
        <is>
          <t>x̄MDCCCVIII</t>
        </is>
      </c>
      <c r="C11809">
        <f>ROMAN(11808)</f>
        <v/>
      </c>
      <c r="D11809">
        <f>IF(B11809=C11809, "YES", "WRONG")</f>
        <v/>
      </c>
    </row>
    <row r="11810">
      <c r="A11810" t="n">
        <v>11809</v>
      </c>
      <c r="B11810" t="inlineStr">
        <is>
          <t>x̄MDCCCIX</t>
        </is>
      </c>
      <c r="C11810">
        <f>ROMAN(11809)</f>
        <v/>
      </c>
      <c r="D11810">
        <f>IF(B11810=C11810, "YES", "WRONG")</f>
        <v/>
      </c>
    </row>
    <row r="11811">
      <c r="A11811" t="n">
        <v>11810</v>
      </c>
      <c r="B11811" t="inlineStr">
        <is>
          <t>x̄MDCCCX</t>
        </is>
      </c>
      <c r="C11811">
        <f>ROMAN(11810)</f>
        <v/>
      </c>
      <c r="D11811">
        <f>IF(B11811=C11811, "YES", "WRONG")</f>
        <v/>
      </c>
    </row>
    <row r="11812">
      <c r="A11812" t="n">
        <v>11811</v>
      </c>
      <c r="B11812" t="inlineStr">
        <is>
          <t>x̄MDCCCXI</t>
        </is>
      </c>
      <c r="C11812">
        <f>ROMAN(11811)</f>
        <v/>
      </c>
      <c r="D11812">
        <f>IF(B11812=C11812, "YES", "WRONG")</f>
        <v/>
      </c>
    </row>
    <row r="11813">
      <c r="A11813" t="n">
        <v>11812</v>
      </c>
      <c r="B11813" t="inlineStr">
        <is>
          <t>x̄MDCCCXII</t>
        </is>
      </c>
      <c r="C11813">
        <f>ROMAN(11812)</f>
        <v/>
      </c>
      <c r="D11813">
        <f>IF(B11813=C11813, "YES", "WRONG")</f>
        <v/>
      </c>
    </row>
    <row r="11814">
      <c r="A11814" t="n">
        <v>11813</v>
      </c>
      <c r="B11814" t="inlineStr">
        <is>
          <t>x̄MDCCCXIII</t>
        </is>
      </c>
      <c r="C11814">
        <f>ROMAN(11813)</f>
        <v/>
      </c>
      <c r="D11814">
        <f>IF(B11814=C11814, "YES", "WRONG")</f>
        <v/>
      </c>
    </row>
    <row r="11815">
      <c r="A11815" t="n">
        <v>11814</v>
      </c>
      <c r="B11815" t="inlineStr">
        <is>
          <t>x̄MDCCCXIV</t>
        </is>
      </c>
      <c r="C11815">
        <f>ROMAN(11814)</f>
        <v/>
      </c>
      <c r="D11815">
        <f>IF(B11815=C11815, "YES", "WRONG")</f>
        <v/>
      </c>
    </row>
    <row r="11816">
      <c r="A11816" t="n">
        <v>11815</v>
      </c>
      <c r="B11816" t="inlineStr">
        <is>
          <t>x̄MDCCCXV</t>
        </is>
      </c>
      <c r="C11816">
        <f>ROMAN(11815)</f>
        <v/>
      </c>
      <c r="D11816">
        <f>IF(B11816=C11816, "YES", "WRONG")</f>
        <v/>
      </c>
    </row>
    <row r="11817">
      <c r="A11817" t="n">
        <v>11816</v>
      </c>
      <c r="B11817" t="inlineStr">
        <is>
          <t>x̄MDCCCXVI</t>
        </is>
      </c>
      <c r="C11817">
        <f>ROMAN(11816)</f>
        <v/>
      </c>
      <c r="D11817">
        <f>IF(B11817=C11817, "YES", "WRONG")</f>
        <v/>
      </c>
    </row>
    <row r="11818">
      <c r="A11818" t="n">
        <v>11817</v>
      </c>
      <c r="B11818" t="inlineStr">
        <is>
          <t>x̄MDCCCXVII</t>
        </is>
      </c>
      <c r="C11818">
        <f>ROMAN(11817)</f>
        <v/>
      </c>
      <c r="D11818">
        <f>IF(B11818=C11818, "YES", "WRONG")</f>
        <v/>
      </c>
    </row>
    <row r="11819">
      <c r="A11819" t="n">
        <v>11818</v>
      </c>
      <c r="B11819" t="inlineStr">
        <is>
          <t>x̄MDCCCXVIII</t>
        </is>
      </c>
      <c r="C11819">
        <f>ROMAN(11818)</f>
        <v/>
      </c>
      <c r="D11819">
        <f>IF(B11819=C11819, "YES", "WRONG")</f>
        <v/>
      </c>
    </row>
    <row r="11820">
      <c r="A11820" t="n">
        <v>11819</v>
      </c>
      <c r="B11820" t="inlineStr">
        <is>
          <t>x̄MDCCCXIX</t>
        </is>
      </c>
      <c r="C11820">
        <f>ROMAN(11819)</f>
        <v/>
      </c>
      <c r="D11820">
        <f>IF(B11820=C11820, "YES", "WRONG")</f>
        <v/>
      </c>
    </row>
    <row r="11821">
      <c r="A11821" t="n">
        <v>11820</v>
      </c>
      <c r="B11821" t="inlineStr">
        <is>
          <t>x̄MDCCCXX</t>
        </is>
      </c>
      <c r="C11821">
        <f>ROMAN(11820)</f>
        <v/>
      </c>
      <c r="D11821">
        <f>IF(B11821=C11821, "YES", "WRONG")</f>
        <v/>
      </c>
    </row>
    <row r="11822">
      <c r="A11822" t="n">
        <v>11821</v>
      </c>
      <c r="B11822" t="inlineStr">
        <is>
          <t>x̄MDCCCXXI</t>
        </is>
      </c>
      <c r="C11822">
        <f>ROMAN(11821)</f>
        <v/>
      </c>
      <c r="D11822">
        <f>IF(B11822=C11822, "YES", "WRONG")</f>
        <v/>
      </c>
    </row>
    <row r="11823">
      <c r="A11823" t="n">
        <v>11822</v>
      </c>
      <c r="B11823" t="inlineStr">
        <is>
          <t>x̄MDCCCXXII</t>
        </is>
      </c>
      <c r="C11823">
        <f>ROMAN(11822)</f>
        <v/>
      </c>
      <c r="D11823">
        <f>IF(B11823=C11823, "YES", "WRONG")</f>
        <v/>
      </c>
    </row>
    <row r="11824">
      <c r="A11824" t="n">
        <v>11823</v>
      </c>
      <c r="B11824" t="inlineStr">
        <is>
          <t>x̄MDCCCXXIII</t>
        </is>
      </c>
      <c r="C11824">
        <f>ROMAN(11823)</f>
        <v/>
      </c>
      <c r="D11824">
        <f>IF(B11824=C11824, "YES", "WRONG")</f>
        <v/>
      </c>
    </row>
    <row r="11825">
      <c r="A11825" t="n">
        <v>11824</v>
      </c>
      <c r="B11825" t="inlineStr">
        <is>
          <t>x̄MDCCCXXIV</t>
        </is>
      </c>
      <c r="C11825">
        <f>ROMAN(11824)</f>
        <v/>
      </c>
      <c r="D11825">
        <f>IF(B11825=C11825, "YES", "WRONG")</f>
        <v/>
      </c>
    </row>
    <row r="11826">
      <c r="A11826" t="n">
        <v>11825</v>
      </c>
      <c r="B11826" t="inlineStr">
        <is>
          <t>x̄MDCCCXXV</t>
        </is>
      </c>
      <c r="C11826">
        <f>ROMAN(11825)</f>
        <v/>
      </c>
      <c r="D11826">
        <f>IF(B11826=C11826, "YES", "WRONG")</f>
        <v/>
      </c>
    </row>
    <row r="11827">
      <c r="A11827" t="n">
        <v>11826</v>
      </c>
      <c r="B11827" t="inlineStr">
        <is>
          <t>x̄MDCCCXXVI</t>
        </is>
      </c>
      <c r="C11827">
        <f>ROMAN(11826)</f>
        <v/>
      </c>
      <c r="D11827">
        <f>IF(B11827=C11827, "YES", "WRONG")</f>
        <v/>
      </c>
    </row>
    <row r="11828">
      <c r="A11828" t="n">
        <v>11827</v>
      </c>
      <c r="B11828" t="inlineStr">
        <is>
          <t>x̄MDCCCXXVII</t>
        </is>
      </c>
      <c r="C11828">
        <f>ROMAN(11827)</f>
        <v/>
      </c>
      <c r="D11828">
        <f>IF(B11828=C11828, "YES", "WRONG")</f>
        <v/>
      </c>
    </row>
    <row r="11829">
      <c r="A11829" t="n">
        <v>11828</v>
      </c>
      <c r="B11829" t="inlineStr">
        <is>
          <t>x̄MDCCCXXVIII</t>
        </is>
      </c>
      <c r="C11829">
        <f>ROMAN(11828)</f>
        <v/>
      </c>
      <c r="D11829">
        <f>IF(B11829=C11829, "YES", "WRONG")</f>
        <v/>
      </c>
    </row>
    <row r="11830">
      <c r="A11830" t="n">
        <v>11829</v>
      </c>
      <c r="B11830" t="inlineStr">
        <is>
          <t>x̄MDCCCXXIX</t>
        </is>
      </c>
      <c r="C11830">
        <f>ROMAN(11829)</f>
        <v/>
      </c>
      <c r="D11830">
        <f>IF(B11830=C11830, "YES", "WRONG")</f>
        <v/>
      </c>
    </row>
    <row r="11831">
      <c r="A11831" t="n">
        <v>11830</v>
      </c>
      <c r="B11831" t="inlineStr">
        <is>
          <t>x̄MDCCCXXX</t>
        </is>
      </c>
      <c r="C11831">
        <f>ROMAN(11830)</f>
        <v/>
      </c>
      <c r="D11831">
        <f>IF(B11831=C11831, "YES", "WRONG")</f>
        <v/>
      </c>
    </row>
    <row r="11832">
      <c r="A11832" t="n">
        <v>11831</v>
      </c>
      <c r="B11832" t="inlineStr">
        <is>
          <t>x̄MDCCCXXXI</t>
        </is>
      </c>
      <c r="C11832">
        <f>ROMAN(11831)</f>
        <v/>
      </c>
      <c r="D11832">
        <f>IF(B11832=C11832, "YES", "WRONG")</f>
        <v/>
      </c>
    </row>
    <row r="11833">
      <c r="A11833" t="n">
        <v>11832</v>
      </c>
      <c r="B11833" t="inlineStr">
        <is>
          <t>x̄MDCCCXXXII</t>
        </is>
      </c>
      <c r="C11833">
        <f>ROMAN(11832)</f>
        <v/>
      </c>
      <c r="D11833">
        <f>IF(B11833=C11833, "YES", "WRONG")</f>
        <v/>
      </c>
    </row>
    <row r="11834">
      <c r="A11834" t="n">
        <v>11833</v>
      </c>
      <c r="B11834" t="inlineStr">
        <is>
          <t>x̄MDCCCXXXIII</t>
        </is>
      </c>
      <c r="C11834">
        <f>ROMAN(11833)</f>
        <v/>
      </c>
      <c r="D11834">
        <f>IF(B11834=C11834, "YES", "WRONG")</f>
        <v/>
      </c>
    </row>
    <row r="11835">
      <c r="A11835" t="n">
        <v>11834</v>
      </c>
      <c r="B11835" t="inlineStr">
        <is>
          <t>x̄MDCCCXXXIV</t>
        </is>
      </c>
      <c r="C11835">
        <f>ROMAN(11834)</f>
        <v/>
      </c>
      <c r="D11835">
        <f>IF(B11835=C11835, "YES", "WRONG")</f>
        <v/>
      </c>
    </row>
    <row r="11836">
      <c r="A11836" t="n">
        <v>11835</v>
      </c>
      <c r="B11836" t="inlineStr">
        <is>
          <t>x̄MDCCCXXXV</t>
        </is>
      </c>
      <c r="C11836">
        <f>ROMAN(11835)</f>
        <v/>
      </c>
      <c r="D11836">
        <f>IF(B11836=C11836, "YES", "WRONG")</f>
        <v/>
      </c>
    </row>
    <row r="11837">
      <c r="A11837" t="n">
        <v>11836</v>
      </c>
      <c r="B11837" t="inlineStr">
        <is>
          <t>x̄MDCCCXXXVI</t>
        </is>
      </c>
      <c r="C11837">
        <f>ROMAN(11836)</f>
        <v/>
      </c>
      <c r="D11837">
        <f>IF(B11837=C11837, "YES", "WRONG")</f>
        <v/>
      </c>
    </row>
    <row r="11838">
      <c r="A11838" t="n">
        <v>11837</v>
      </c>
      <c r="B11838" t="inlineStr">
        <is>
          <t>x̄MDCCCXXXVII</t>
        </is>
      </c>
      <c r="C11838">
        <f>ROMAN(11837)</f>
        <v/>
      </c>
      <c r="D11838">
        <f>IF(B11838=C11838, "YES", "WRONG")</f>
        <v/>
      </c>
    </row>
    <row r="11839">
      <c r="A11839" t="n">
        <v>11838</v>
      </c>
      <c r="B11839" t="inlineStr">
        <is>
          <t>x̄MDCCCXXXVIII</t>
        </is>
      </c>
      <c r="C11839">
        <f>ROMAN(11838)</f>
        <v/>
      </c>
      <c r="D11839">
        <f>IF(B11839=C11839, "YES", "WRONG")</f>
        <v/>
      </c>
    </row>
    <row r="11840">
      <c r="A11840" t="n">
        <v>11839</v>
      </c>
      <c r="B11840" t="inlineStr">
        <is>
          <t>x̄MDCCCXXXIX</t>
        </is>
      </c>
      <c r="C11840">
        <f>ROMAN(11839)</f>
        <v/>
      </c>
      <c r="D11840">
        <f>IF(B11840=C11840, "YES", "WRONG")</f>
        <v/>
      </c>
    </row>
    <row r="11841">
      <c r="A11841" t="n">
        <v>11840</v>
      </c>
      <c r="B11841" t="inlineStr">
        <is>
          <t>x̄MDCCCXL</t>
        </is>
      </c>
      <c r="C11841">
        <f>ROMAN(11840)</f>
        <v/>
      </c>
      <c r="D11841">
        <f>IF(B11841=C11841, "YES", "WRONG")</f>
        <v/>
      </c>
    </row>
    <row r="11842">
      <c r="A11842" t="n">
        <v>11841</v>
      </c>
      <c r="B11842" t="inlineStr">
        <is>
          <t>x̄MDCCCXLI</t>
        </is>
      </c>
      <c r="C11842">
        <f>ROMAN(11841)</f>
        <v/>
      </c>
      <c r="D11842">
        <f>IF(B11842=C11842, "YES", "WRONG")</f>
        <v/>
      </c>
    </row>
    <row r="11843">
      <c r="A11843" t="n">
        <v>11842</v>
      </c>
      <c r="B11843" t="inlineStr">
        <is>
          <t>x̄MDCCCXLII</t>
        </is>
      </c>
      <c r="C11843">
        <f>ROMAN(11842)</f>
        <v/>
      </c>
      <c r="D11843">
        <f>IF(B11843=C11843, "YES", "WRONG")</f>
        <v/>
      </c>
    </row>
    <row r="11844">
      <c r="A11844" t="n">
        <v>11843</v>
      </c>
      <c r="B11844" t="inlineStr">
        <is>
          <t>x̄MDCCCXLIII</t>
        </is>
      </c>
      <c r="C11844">
        <f>ROMAN(11843)</f>
        <v/>
      </c>
      <c r="D11844">
        <f>IF(B11844=C11844, "YES", "WRONG")</f>
        <v/>
      </c>
    </row>
    <row r="11845">
      <c r="A11845" t="n">
        <v>11844</v>
      </c>
      <c r="B11845" t="inlineStr">
        <is>
          <t>x̄MDCCCXLIV</t>
        </is>
      </c>
      <c r="C11845">
        <f>ROMAN(11844)</f>
        <v/>
      </c>
      <c r="D11845">
        <f>IF(B11845=C11845, "YES", "WRONG")</f>
        <v/>
      </c>
    </row>
    <row r="11846">
      <c r="A11846" t="n">
        <v>11845</v>
      </c>
      <c r="B11846" t="inlineStr">
        <is>
          <t>x̄MDCCCXLV</t>
        </is>
      </c>
      <c r="C11846">
        <f>ROMAN(11845)</f>
        <v/>
      </c>
      <c r="D11846">
        <f>IF(B11846=C11846, "YES", "WRONG")</f>
        <v/>
      </c>
    </row>
    <row r="11847">
      <c r="A11847" t="n">
        <v>11846</v>
      </c>
      <c r="B11847" t="inlineStr">
        <is>
          <t>x̄MDCCCXLVI</t>
        </is>
      </c>
      <c r="C11847">
        <f>ROMAN(11846)</f>
        <v/>
      </c>
      <c r="D11847">
        <f>IF(B11847=C11847, "YES", "WRONG")</f>
        <v/>
      </c>
    </row>
    <row r="11848">
      <c r="A11848" t="n">
        <v>11847</v>
      </c>
      <c r="B11848" t="inlineStr">
        <is>
          <t>x̄MDCCCXLVII</t>
        </is>
      </c>
      <c r="C11848">
        <f>ROMAN(11847)</f>
        <v/>
      </c>
      <c r="D11848">
        <f>IF(B11848=C11848, "YES", "WRONG")</f>
        <v/>
      </c>
    </row>
    <row r="11849">
      <c r="A11849" t="n">
        <v>11848</v>
      </c>
      <c r="B11849" t="inlineStr">
        <is>
          <t>x̄MDCCCXLVIII</t>
        </is>
      </c>
      <c r="C11849">
        <f>ROMAN(11848)</f>
        <v/>
      </c>
      <c r="D11849">
        <f>IF(B11849=C11849, "YES", "WRONG")</f>
        <v/>
      </c>
    </row>
    <row r="11850">
      <c r="A11850" t="n">
        <v>11849</v>
      </c>
      <c r="B11850" t="inlineStr">
        <is>
          <t>x̄MDCCCXLIX</t>
        </is>
      </c>
      <c r="C11850">
        <f>ROMAN(11849)</f>
        <v/>
      </c>
      <c r="D11850">
        <f>IF(B11850=C11850, "YES", "WRONG")</f>
        <v/>
      </c>
    </row>
    <row r="11851">
      <c r="A11851" t="n">
        <v>11850</v>
      </c>
      <c r="B11851" t="inlineStr">
        <is>
          <t>x̄MDCCCL</t>
        </is>
      </c>
      <c r="C11851">
        <f>ROMAN(11850)</f>
        <v/>
      </c>
      <c r="D11851">
        <f>IF(B11851=C11851, "YES", "WRONG")</f>
        <v/>
      </c>
    </row>
    <row r="11852">
      <c r="A11852" t="n">
        <v>11851</v>
      </c>
      <c r="B11852" t="inlineStr">
        <is>
          <t>x̄MDCCCLI</t>
        </is>
      </c>
      <c r="C11852">
        <f>ROMAN(11851)</f>
        <v/>
      </c>
      <c r="D11852">
        <f>IF(B11852=C11852, "YES", "WRONG")</f>
        <v/>
      </c>
    </row>
    <row r="11853">
      <c r="A11853" t="n">
        <v>11852</v>
      </c>
      <c r="B11853" t="inlineStr">
        <is>
          <t>x̄MDCCCLII</t>
        </is>
      </c>
      <c r="C11853">
        <f>ROMAN(11852)</f>
        <v/>
      </c>
      <c r="D11853">
        <f>IF(B11853=C11853, "YES", "WRONG")</f>
        <v/>
      </c>
    </row>
    <row r="11854">
      <c r="A11854" t="n">
        <v>11853</v>
      </c>
      <c r="B11854" t="inlineStr">
        <is>
          <t>x̄MDCCCLIII</t>
        </is>
      </c>
      <c r="C11854">
        <f>ROMAN(11853)</f>
        <v/>
      </c>
      <c r="D11854">
        <f>IF(B11854=C11854, "YES", "WRONG")</f>
        <v/>
      </c>
    </row>
    <row r="11855">
      <c r="A11855" t="n">
        <v>11854</v>
      </c>
      <c r="B11855" t="inlineStr">
        <is>
          <t>x̄MDCCCLIV</t>
        </is>
      </c>
      <c r="C11855">
        <f>ROMAN(11854)</f>
        <v/>
      </c>
      <c r="D11855">
        <f>IF(B11855=C11855, "YES", "WRONG")</f>
        <v/>
      </c>
    </row>
    <row r="11856">
      <c r="A11856" t="n">
        <v>11855</v>
      </c>
      <c r="B11856" t="inlineStr">
        <is>
          <t>x̄MDCCCLV</t>
        </is>
      </c>
      <c r="C11856">
        <f>ROMAN(11855)</f>
        <v/>
      </c>
      <c r="D11856">
        <f>IF(B11856=C11856, "YES", "WRONG")</f>
        <v/>
      </c>
    </row>
    <row r="11857">
      <c r="A11857" t="n">
        <v>11856</v>
      </c>
      <c r="B11857" t="inlineStr">
        <is>
          <t>x̄MDCCCLVI</t>
        </is>
      </c>
      <c r="C11857">
        <f>ROMAN(11856)</f>
        <v/>
      </c>
      <c r="D11857">
        <f>IF(B11857=C11857, "YES", "WRONG")</f>
        <v/>
      </c>
    </row>
    <row r="11858">
      <c r="A11858" t="n">
        <v>11857</v>
      </c>
      <c r="B11858" t="inlineStr">
        <is>
          <t>x̄MDCCCLVII</t>
        </is>
      </c>
      <c r="C11858">
        <f>ROMAN(11857)</f>
        <v/>
      </c>
      <c r="D11858">
        <f>IF(B11858=C11858, "YES", "WRONG")</f>
        <v/>
      </c>
    </row>
    <row r="11859">
      <c r="A11859" t="n">
        <v>11858</v>
      </c>
      <c r="B11859" t="inlineStr">
        <is>
          <t>x̄MDCCCLVIII</t>
        </is>
      </c>
      <c r="C11859">
        <f>ROMAN(11858)</f>
        <v/>
      </c>
      <c r="D11859">
        <f>IF(B11859=C11859, "YES", "WRONG")</f>
        <v/>
      </c>
    </row>
    <row r="11860">
      <c r="A11860" t="n">
        <v>11859</v>
      </c>
      <c r="B11860" t="inlineStr">
        <is>
          <t>x̄MDCCCLIX</t>
        </is>
      </c>
      <c r="C11860">
        <f>ROMAN(11859)</f>
        <v/>
      </c>
      <c r="D11860">
        <f>IF(B11860=C11860, "YES", "WRONG")</f>
        <v/>
      </c>
    </row>
    <row r="11861">
      <c r="A11861" t="n">
        <v>11860</v>
      </c>
      <c r="B11861" t="inlineStr">
        <is>
          <t>x̄MDCCCLX</t>
        </is>
      </c>
      <c r="C11861">
        <f>ROMAN(11860)</f>
        <v/>
      </c>
      <c r="D11861">
        <f>IF(B11861=C11861, "YES", "WRONG")</f>
        <v/>
      </c>
    </row>
    <row r="11862">
      <c r="A11862" t="n">
        <v>11861</v>
      </c>
      <c r="B11862" t="inlineStr">
        <is>
          <t>x̄MDCCCLXI</t>
        </is>
      </c>
      <c r="C11862">
        <f>ROMAN(11861)</f>
        <v/>
      </c>
      <c r="D11862">
        <f>IF(B11862=C11862, "YES", "WRONG")</f>
        <v/>
      </c>
    </row>
    <row r="11863">
      <c r="A11863" t="n">
        <v>11862</v>
      </c>
      <c r="B11863" t="inlineStr">
        <is>
          <t>x̄MDCCCLXII</t>
        </is>
      </c>
      <c r="C11863">
        <f>ROMAN(11862)</f>
        <v/>
      </c>
      <c r="D11863">
        <f>IF(B11863=C11863, "YES", "WRONG")</f>
        <v/>
      </c>
    </row>
    <row r="11864">
      <c r="A11864" t="n">
        <v>11863</v>
      </c>
      <c r="B11864" t="inlineStr">
        <is>
          <t>x̄MDCCCLXIII</t>
        </is>
      </c>
      <c r="C11864">
        <f>ROMAN(11863)</f>
        <v/>
      </c>
      <c r="D11864">
        <f>IF(B11864=C11864, "YES", "WRONG")</f>
        <v/>
      </c>
    </row>
    <row r="11865">
      <c r="A11865" t="n">
        <v>11864</v>
      </c>
      <c r="B11865" t="inlineStr">
        <is>
          <t>x̄MDCCCLXIV</t>
        </is>
      </c>
      <c r="C11865">
        <f>ROMAN(11864)</f>
        <v/>
      </c>
      <c r="D11865">
        <f>IF(B11865=C11865, "YES", "WRONG")</f>
        <v/>
      </c>
    </row>
    <row r="11866">
      <c r="A11866" t="n">
        <v>11865</v>
      </c>
      <c r="B11866" t="inlineStr">
        <is>
          <t>x̄MDCCCLXV</t>
        </is>
      </c>
      <c r="C11866">
        <f>ROMAN(11865)</f>
        <v/>
      </c>
      <c r="D11866">
        <f>IF(B11866=C11866, "YES", "WRONG")</f>
        <v/>
      </c>
    </row>
    <row r="11867">
      <c r="A11867" t="n">
        <v>11866</v>
      </c>
      <c r="B11867" t="inlineStr">
        <is>
          <t>x̄MDCCCLXVI</t>
        </is>
      </c>
      <c r="C11867">
        <f>ROMAN(11866)</f>
        <v/>
      </c>
      <c r="D11867">
        <f>IF(B11867=C11867, "YES", "WRONG")</f>
        <v/>
      </c>
    </row>
    <row r="11868">
      <c r="A11868" t="n">
        <v>11867</v>
      </c>
      <c r="B11868" t="inlineStr">
        <is>
          <t>x̄MDCCCLXVII</t>
        </is>
      </c>
      <c r="C11868">
        <f>ROMAN(11867)</f>
        <v/>
      </c>
      <c r="D11868">
        <f>IF(B11868=C11868, "YES", "WRONG")</f>
        <v/>
      </c>
    </row>
    <row r="11869">
      <c r="A11869" t="n">
        <v>11868</v>
      </c>
      <c r="B11869" t="inlineStr">
        <is>
          <t>x̄MDCCCLXVIII</t>
        </is>
      </c>
      <c r="C11869">
        <f>ROMAN(11868)</f>
        <v/>
      </c>
      <c r="D11869">
        <f>IF(B11869=C11869, "YES", "WRONG")</f>
        <v/>
      </c>
    </row>
    <row r="11870">
      <c r="A11870" t="n">
        <v>11869</v>
      </c>
      <c r="B11870" t="inlineStr">
        <is>
          <t>x̄MDCCCLXIX</t>
        </is>
      </c>
      <c r="C11870">
        <f>ROMAN(11869)</f>
        <v/>
      </c>
      <c r="D11870">
        <f>IF(B11870=C11870, "YES", "WRONG")</f>
        <v/>
      </c>
    </row>
    <row r="11871">
      <c r="A11871" t="n">
        <v>11870</v>
      </c>
      <c r="B11871" t="inlineStr">
        <is>
          <t>x̄MDCCCLXX</t>
        </is>
      </c>
      <c r="C11871">
        <f>ROMAN(11870)</f>
        <v/>
      </c>
      <c r="D11871">
        <f>IF(B11871=C11871, "YES", "WRONG")</f>
        <v/>
      </c>
    </row>
    <row r="11872">
      <c r="A11872" t="n">
        <v>11871</v>
      </c>
      <c r="B11872" t="inlineStr">
        <is>
          <t>x̄MDCCCLXXI</t>
        </is>
      </c>
      <c r="C11872">
        <f>ROMAN(11871)</f>
        <v/>
      </c>
      <c r="D11872">
        <f>IF(B11872=C11872, "YES", "WRONG")</f>
        <v/>
      </c>
    </row>
    <row r="11873">
      <c r="A11873" t="n">
        <v>11872</v>
      </c>
      <c r="B11873" t="inlineStr">
        <is>
          <t>x̄MDCCCLXXII</t>
        </is>
      </c>
      <c r="C11873">
        <f>ROMAN(11872)</f>
        <v/>
      </c>
      <c r="D11873">
        <f>IF(B11873=C11873, "YES", "WRONG")</f>
        <v/>
      </c>
    </row>
    <row r="11874">
      <c r="A11874" t="n">
        <v>11873</v>
      </c>
      <c r="B11874" t="inlineStr">
        <is>
          <t>x̄MDCCCLXXIII</t>
        </is>
      </c>
      <c r="C11874">
        <f>ROMAN(11873)</f>
        <v/>
      </c>
      <c r="D11874">
        <f>IF(B11874=C11874, "YES", "WRONG")</f>
        <v/>
      </c>
    </row>
    <row r="11875">
      <c r="A11875" t="n">
        <v>11874</v>
      </c>
      <c r="B11875" t="inlineStr">
        <is>
          <t>x̄MDCCCLXXIV</t>
        </is>
      </c>
      <c r="C11875">
        <f>ROMAN(11874)</f>
        <v/>
      </c>
      <c r="D11875">
        <f>IF(B11875=C11875, "YES", "WRONG")</f>
        <v/>
      </c>
    </row>
    <row r="11876">
      <c r="A11876" t="n">
        <v>11875</v>
      </c>
      <c r="B11876" t="inlineStr">
        <is>
          <t>x̄MDCCCLXXV</t>
        </is>
      </c>
      <c r="C11876">
        <f>ROMAN(11875)</f>
        <v/>
      </c>
      <c r="D11876">
        <f>IF(B11876=C11876, "YES", "WRONG")</f>
        <v/>
      </c>
    </row>
    <row r="11877">
      <c r="A11877" t="n">
        <v>11876</v>
      </c>
      <c r="B11877" t="inlineStr">
        <is>
          <t>x̄MDCCCLXXVI</t>
        </is>
      </c>
      <c r="C11877">
        <f>ROMAN(11876)</f>
        <v/>
      </c>
      <c r="D11877">
        <f>IF(B11877=C11877, "YES", "WRONG")</f>
        <v/>
      </c>
    </row>
    <row r="11878">
      <c r="A11878" t="n">
        <v>11877</v>
      </c>
      <c r="B11878" t="inlineStr">
        <is>
          <t>x̄MDCCCLXXVII</t>
        </is>
      </c>
      <c r="C11878">
        <f>ROMAN(11877)</f>
        <v/>
      </c>
      <c r="D11878">
        <f>IF(B11878=C11878, "YES", "WRONG")</f>
        <v/>
      </c>
    </row>
    <row r="11879">
      <c r="A11879" t="n">
        <v>11878</v>
      </c>
      <c r="B11879" t="inlineStr">
        <is>
          <t>x̄MDCCCLXXVIII</t>
        </is>
      </c>
      <c r="C11879">
        <f>ROMAN(11878)</f>
        <v/>
      </c>
      <c r="D11879">
        <f>IF(B11879=C11879, "YES", "WRONG")</f>
        <v/>
      </c>
    </row>
    <row r="11880">
      <c r="A11880" t="n">
        <v>11879</v>
      </c>
      <c r="B11880" t="inlineStr">
        <is>
          <t>x̄MDCCCLXXIX</t>
        </is>
      </c>
      <c r="C11880">
        <f>ROMAN(11879)</f>
        <v/>
      </c>
      <c r="D11880">
        <f>IF(B11880=C11880, "YES", "WRONG")</f>
        <v/>
      </c>
    </row>
    <row r="11881">
      <c r="A11881" t="n">
        <v>11880</v>
      </c>
      <c r="B11881" t="inlineStr">
        <is>
          <t>x̄MDCCCLXXX</t>
        </is>
      </c>
      <c r="C11881">
        <f>ROMAN(11880)</f>
        <v/>
      </c>
      <c r="D11881">
        <f>IF(B11881=C11881, "YES", "WRONG")</f>
        <v/>
      </c>
    </row>
    <row r="11882">
      <c r="A11882" t="n">
        <v>11881</v>
      </c>
      <c r="B11882" t="inlineStr">
        <is>
          <t>x̄MDCCCLXXXI</t>
        </is>
      </c>
      <c r="C11882">
        <f>ROMAN(11881)</f>
        <v/>
      </c>
      <c r="D11882">
        <f>IF(B11882=C11882, "YES", "WRONG")</f>
        <v/>
      </c>
    </row>
    <row r="11883">
      <c r="A11883" t="n">
        <v>11882</v>
      </c>
      <c r="B11883" t="inlineStr">
        <is>
          <t>x̄MDCCCLXXXII</t>
        </is>
      </c>
      <c r="C11883">
        <f>ROMAN(11882)</f>
        <v/>
      </c>
      <c r="D11883">
        <f>IF(B11883=C11883, "YES", "WRONG")</f>
        <v/>
      </c>
    </row>
    <row r="11884">
      <c r="A11884" t="n">
        <v>11883</v>
      </c>
      <c r="B11884" t="inlineStr">
        <is>
          <t>x̄MDCCCLXXXIII</t>
        </is>
      </c>
      <c r="C11884">
        <f>ROMAN(11883)</f>
        <v/>
      </c>
      <c r="D11884">
        <f>IF(B11884=C11884, "YES", "WRONG")</f>
        <v/>
      </c>
    </row>
    <row r="11885">
      <c r="A11885" t="n">
        <v>11884</v>
      </c>
      <c r="B11885" t="inlineStr">
        <is>
          <t>x̄MDCCCLXXXIV</t>
        </is>
      </c>
      <c r="C11885">
        <f>ROMAN(11884)</f>
        <v/>
      </c>
      <c r="D11885">
        <f>IF(B11885=C11885, "YES", "WRONG")</f>
        <v/>
      </c>
    </row>
    <row r="11886">
      <c r="A11886" t="n">
        <v>11885</v>
      </c>
      <c r="B11886" t="inlineStr">
        <is>
          <t>x̄MDCCCLXXXV</t>
        </is>
      </c>
      <c r="C11886">
        <f>ROMAN(11885)</f>
        <v/>
      </c>
      <c r="D11886">
        <f>IF(B11886=C11886, "YES", "WRONG")</f>
        <v/>
      </c>
    </row>
    <row r="11887">
      <c r="A11887" t="n">
        <v>11886</v>
      </c>
      <c r="B11887" t="inlineStr">
        <is>
          <t>x̄MDCCCLXXXVI</t>
        </is>
      </c>
      <c r="C11887">
        <f>ROMAN(11886)</f>
        <v/>
      </c>
      <c r="D11887">
        <f>IF(B11887=C11887, "YES", "WRONG")</f>
        <v/>
      </c>
    </row>
    <row r="11888">
      <c r="A11888" t="n">
        <v>11887</v>
      </c>
      <c r="B11888" t="inlineStr">
        <is>
          <t>x̄MDCCCLXXXVII</t>
        </is>
      </c>
      <c r="C11888">
        <f>ROMAN(11887)</f>
        <v/>
      </c>
      <c r="D11888">
        <f>IF(B11888=C11888, "YES", "WRONG")</f>
        <v/>
      </c>
    </row>
    <row r="11889">
      <c r="A11889" t="n">
        <v>11888</v>
      </c>
      <c r="B11889" t="inlineStr">
        <is>
          <t>x̄MDCCCLXXXVIII</t>
        </is>
      </c>
      <c r="C11889">
        <f>ROMAN(11888)</f>
        <v/>
      </c>
      <c r="D11889">
        <f>IF(B11889=C11889, "YES", "WRONG")</f>
        <v/>
      </c>
    </row>
    <row r="11890">
      <c r="A11890" t="n">
        <v>11889</v>
      </c>
      <c r="B11890" t="inlineStr">
        <is>
          <t>x̄MDCCCLXXXIX</t>
        </is>
      </c>
      <c r="C11890">
        <f>ROMAN(11889)</f>
        <v/>
      </c>
      <c r="D11890">
        <f>IF(B11890=C11890, "YES", "WRONG")</f>
        <v/>
      </c>
    </row>
    <row r="11891">
      <c r="A11891" t="n">
        <v>11890</v>
      </c>
      <c r="B11891" t="inlineStr">
        <is>
          <t>x̄MDCCCXC</t>
        </is>
      </c>
      <c r="C11891">
        <f>ROMAN(11890)</f>
        <v/>
      </c>
      <c r="D11891">
        <f>IF(B11891=C11891, "YES", "WRONG")</f>
        <v/>
      </c>
    </row>
    <row r="11892">
      <c r="A11892" t="n">
        <v>11891</v>
      </c>
      <c r="B11892" t="inlineStr">
        <is>
          <t>x̄MDCCCXCI</t>
        </is>
      </c>
      <c r="C11892">
        <f>ROMAN(11891)</f>
        <v/>
      </c>
      <c r="D11892">
        <f>IF(B11892=C11892, "YES", "WRONG")</f>
        <v/>
      </c>
    </row>
    <row r="11893">
      <c r="A11893" t="n">
        <v>11892</v>
      </c>
      <c r="B11893" t="inlineStr">
        <is>
          <t>x̄MDCCCXCII</t>
        </is>
      </c>
      <c r="C11893">
        <f>ROMAN(11892)</f>
        <v/>
      </c>
      <c r="D11893">
        <f>IF(B11893=C11893, "YES", "WRONG")</f>
        <v/>
      </c>
    </row>
    <row r="11894">
      <c r="A11894" t="n">
        <v>11893</v>
      </c>
      <c r="B11894" t="inlineStr">
        <is>
          <t>x̄MDCCCXCIII</t>
        </is>
      </c>
      <c r="C11894">
        <f>ROMAN(11893)</f>
        <v/>
      </c>
      <c r="D11894">
        <f>IF(B11894=C11894, "YES", "WRONG")</f>
        <v/>
      </c>
    </row>
    <row r="11895">
      <c r="A11895" t="n">
        <v>11894</v>
      </c>
      <c r="B11895" t="inlineStr">
        <is>
          <t>x̄MDCCCXCIV</t>
        </is>
      </c>
      <c r="C11895">
        <f>ROMAN(11894)</f>
        <v/>
      </c>
      <c r="D11895">
        <f>IF(B11895=C11895, "YES", "WRONG")</f>
        <v/>
      </c>
    </row>
    <row r="11896">
      <c r="A11896" t="n">
        <v>11895</v>
      </c>
      <c r="B11896" t="inlineStr">
        <is>
          <t>x̄MDCCCXCV</t>
        </is>
      </c>
      <c r="C11896">
        <f>ROMAN(11895)</f>
        <v/>
      </c>
      <c r="D11896">
        <f>IF(B11896=C11896, "YES", "WRONG")</f>
        <v/>
      </c>
    </row>
    <row r="11897">
      <c r="A11897" t="n">
        <v>11896</v>
      </c>
      <c r="B11897" t="inlineStr">
        <is>
          <t>x̄MDCCCXCVI</t>
        </is>
      </c>
      <c r="C11897">
        <f>ROMAN(11896)</f>
        <v/>
      </c>
      <c r="D11897">
        <f>IF(B11897=C11897, "YES", "WRONG")</f>
        <v/>
      </c>
    </row>
    <row r="11898">
      <c r="A11898" t="n">
        <v>11897</v>
      </c>
      <c r="B11898" t="inlineStr">
        <is>
          <t>x̄MDCCCXCVII</t>
        </is>
      </c>
      <c r="C11898">
        <f>ROMAN(11897)</f>
        <v/>
      </c>
      <c r="D11898">
        <f>IF(B11898=C11898, "YES", "WRONG")</f>
        <v/>
      </c>
    </row>
    <row r="11899">
      <c r="A11899" t="n">
        <v>11898</v>
      </c>
      <c r="B11899" t="inlineStr">
        <is>
          <t>x̄MDCCCXCVIII</t>
        </is>
      </c>
      <c r="C11899">
        <f>ROMAN(11898)</f>
        <v/>
      </c>
      <c r="D11899">
        <f>IF(B11899=C11899, "YES", "WRONG")</f>
        <v/>
      </c>
    </row>
    <row r="11900">
      <c r="A11900" t="n">
        <v>11899</v>
      </c>
      <c r="B11900" t="inlineStr">
        <is>
          <t>x̄MDCCCXCIX</t>
        </is>
      </c>
      <c r="C11900">
        <f>ROMAN(11899)</f>
        <v/>
      </c>
      <c r="D11900">
        <f>IF(B11900=C11900, "YES", "WRONG")</f>
        <v/>
      </c>
    </row>
    <row r="11901">
      <c r="A11901" t="n">
        <v>11900</v>
      </c>
      <c r="B11901" t="inlineStr">
        <is>
          <t>x̄MCM</t>
        </is>
      </c>
      <c r="C11901">
        <f>ROMAN(11900)</f>
        <v/>
      </c>
      <c r="D11901">
        <f>IF(B11901=C11901, "YES", "WRONG")</f>
        <v/>
      </c>
    </row>
    <row r="11902">
      <c r="A11902" t="n">
        <v>11901</v>
      </c>
      <c r="B11902" t="inlineStr">
        <is>
          <t>x̄MCMI</t>
        </is>
      </c>
      <c r="C11902">
        <f>ROMAN(11901)</f>
        <v/>
      </c>
      <c r="D11902">
        <f>IF(B11902=C11902, "YES", "WRONG")</f>
        <v/>
      </c>
    </row>
    <row r="11903">
      <c r="A11903" t="n">
        <v>11902</v>
      </c>
      <c r="B11903" t="inlineStr">
        <is>
          <t>x̄MCMII</t>
        </is>
      </c>
      <c r="C11903">
        <f>ROMAN(11902)</f>
        <v/>
      </c>
      <c r="D11903">
        <f>IF(B11903=C11903, "YES", "WRONG")</f>
        <v/>
      </c>
    </row>
    <row r="11904">
      <c r="A11904" t="n">
        <v>11903</v>
      </c>
      <c r="B11904" t="inlineStr">
        <is>
          <t>x̄MCMIII</t>
        </is>
      </c>
      <c r="C11904">
        <f>ROMAN(11903)</f>
        <v/>
      </c>
      <c r="D11904">
        <f>IF(B11904=C11904, "YES", "WRONG")</f>
        <v/>
      </c>
    </row>
    <row r="11905">
      <c r="A11905" t="n">
        <v>11904</v>
      </c>
      <c r="B11905" t="inlineStr">
        <is>
          <t>x̄MCMIV</t>
        </is>
      </c>
      <c r="C11905">
        <f>ROMAN(11904)</f>
        <v/>
      </c>
      <c r="D11905">
        <f>IF(B11905=C11905, "YES", "WRONG")</f>
        <v/>
      </c>
    </row>
    <row r="11906">
      <c r="A11906" t="n">
        <v>11905</v>
      </c>
      <c r="B11906" t="inlineStr">
        <is>
          <t>x̄MCMV</t>
        </is>
      </c>
      <c r="C11906">
        <f>ROMAN(11905)</f>
        <v/>
      </c>
      <c r="D11906">
        <f>IF(B11906=C11906, "YES", "WRONG")</f>
        <v/>
      </c>
    </row>
    <row r="11907">
      <c r="A11907" t="n">
        <v>11906</v>
      </c>
      <c r="B11907" t="inlineStr">
        <is>
          <t>x̄MCMVI</t>
        </is>
      </c>
      <c r="C11907">
        <f>ROMAN(11906)</f>
        <v/>
      </c>
      <c r="D11907">
        <f>IF(B11907=C11907, "YES", "WRONG")</f>
        <v/>
      </c>
    </row>
    <row r="11908">
      <c r="A11908" t="n">
        <v>11907</v>
      </c>
      <c r="B11908" t="inlineStr">
        <is>
          <t>x̄MCMVII</t>
        </is>
      </c>
      <c r="C11908">
        <f>ROMAN(11907)</f>
        <v/>
      </c>
      <c r="D11908">
        <f>IF(B11908=C11908, "YES", "WRONG")</f>
        <v/>
      </c>
    </row>
    <row r="11909">
      <c r="A11909" t="n">
        <v>11908</v>
      </c>
      <c r="B11909" t="inlineStr">
        <is>
          <t>x̄MCMVIII</t>
        </is>
      </c>
      <c r="C11909">
        <f>ROMAN(11908)</f>
        <v/>
      </c>
      <c r="D11909">
        <f>IF(B11909=C11909, "YES", "WRONG")</f>
        <v/>
      </c>
    </row>
    <row r="11910">
      <c r="A11910" t="n">
        <v>11909</v>
      </c>
      <c r="B11910" t="inlineStr">
        <is>
          <t>x̄MCMIX</t>
        </is>
      </c>
      <c r="C11910">
        <f>ROMAN(11909)</f>
        <v/>
      </c>
      <c r="D11910">
        <f>IF(B11910=C11910, "YES", "WRONG")</f>
        <v/>
      </c>
    </row>
    <row r="11911">
      <c r="A11911" t="n">
        <v>11910</v>
      </c>
      <c r="B11911" t="inlineStr">
        <is>
          <t>x̄MCMX</t>
        </is>
      </c>
      <c r="C11911">
        <f>ROMAN(11910)</f>
        <v/>
      </c>
      <c r="D11911">
        <f>IF(B11911=C11911, "YES", "WRONG")</f>
        <v/>
      </c>
    </row>
    <row r="11912">
      <c r="A11912" t="n">
        <v>11911</v>
      </c>
      <c r="B11912" t="inlineStr">
        <is>
          <t>x̄MCMXI</t>
        </is>
      </c>
      <c r="C11912">
        <f>ROMAN(11911)</f>
        <v/>
      </c>
      <c r="D11912">
        <f>IF(B11912=C11912, "YES", "WRONG")</f>
        <v/>
      </c>
    </row>
    <row r="11913">
      <c r="A11913" t="n">
        <v>11912</v>
      </c>
      <c r="B11913" t="inlineStr">
        <is>
          <t>x̄MCMXII</t>
        </is>
      </c>
      <c r="C11913">
        <f>ROMAN(11912)</f>
        <v/>
      </c>
      <c r="D11913">
        <f>IF(B11913=C11913, "YES", "WRONG")</f>
        <v/>
      </c>
    </row>
    <row r="11914">
      <c r="A11914" t="n">
        <v>11913</v>
      </c>
      <c r="B11914" t="inlineStr">
        <is>
          <t>x̄MCMXIII</t>
        </is>
      </c>
      <c r="C11914">
        <f>ROMAN(11913)</f>
        <v/>
      </c>
      <c r="D11914">
        <f>IF(B11914=C11914, "YES", "WRONG")</f>
        <v/>
      </c>
    </row>
    <row r="11915">
      <c r="A11915" t="n">
        <v>11914</v>
      </c>
      <c r="B11915" t="inlineStr">
        <is>
          <t>x̄MCMXIV</t>
        </is>
      </c>
      <c r="C11915">
        <f>ROMAN(11914)</f>
        <v/>
      </c>
      <c r="D11915">
        <f>IF(B11915=C11915, "YES", "WRONG")</f>
        <v/>
      </c>
    </row>
    <row r="11916">
      <c r="A11916" t="n">
        <v>11915</v>
      </c>
      <c r="B11916" t="inlineStr">
        <is>
          <t>x̄MCMXV</t>
        </is>
      </c>
      <c r="C11916">
        <f>ROMAN(11915)</f>
        <v/>
      </c>
      <c r="D11916">
        <f>IF(B11916=C11916, "YES", "WRONG")</f>
        <v/>
      </c>
    </row>
    <row r="11917">
      <c r="A11917" t="n">
        <v>11916</v>
      </c>
      <c r="B11917" t="inlineStr">
        <is>
          <t>x̄MCMXVI</t>
        </is>
      </c>
      <c r="C11917">
        <f>ROMAN(11916)</f>
        <v/>
      </c>
      <c r="D11917">
        <f>IF(B11917=C11917, "YES", "WRONG")</f>
        <v/>
      </c>
    </row>
    <row r="11918">
      <c r="A11918" t="n">
        <v>11917</v>
      </c>
      <c r="B11918" t="inlineStr">
        <is>
          <t>x̄MCMXVII</t>
        </is>
      </c>
      <c r="C11918">
        <f>ROMAN(11917)</f>
        <v/>
      </c>
      <c r="D11918">
        <f>IF(B11918=C11918, "YES", "WRONG")</f>
        <v/>
      </c>
    </row>
    <row r="11919">
      <c r="A11919" t="n">
        <v>11918</v>
      </c>
      <c r="B11919" t="inlineStr">
        <is>
          <t>x̄MCMXVIII</t>
        </is>
      </c>
      <c r="C11919">
        <f>ROMAN(11918)</f>
        <v/>
      </c>
      <c r="D11919">
        <f>IF(B11919=C11919, "YES", "WRONG")</f>
        <v/>
      </c>
    </row>
    <row r="11920">
      <c r="A11920" t="n">
        <v>11919</v>
      </c>
      <c r="B11920" t="inlineStr">
        <is>
          <t>x̄MCMXIX</t>
        </is>
      </c>
      <c r="C11920">
        <f>ROMAN(11919)</f>
        <v/>
      </c>
      <c r="D11920">
        <f>IF(B11920=C11920, "YES", "WRONG")</f>
        <v/>
      </c>
    </row>
    <row r="11921">
      <c r="A11921" t="n">
        <v>11920</v>
      </c>
      <c r="B11921" t="inlineStr">
        <is>
          <t>x̄MCMXX</t>
        </is>
      </c>
      <c r="C11921">
        <f>ROMAN(11920)</f>
        <v/>
      </c>
      <c r="D11921">
        <f>IF(B11921=C11921, "YES", "WRONG")</f>
        <v/>
      </c>
    </row>
    <row r="11922">
      <c r="A11922" t="n">
        <v>11921</v>
      </c>
      <c r="B11922" t="inlineStr">
        <is>
          <t>x̄MCMXXI</t>
        </is>
      </c>
      <c r="C11922">
        <f>ROMAN(11921)</f>
        <v/>
      </c>
      <c r="D11922">
        <f>IF(B11922=C11922, "YES", "WRONG")</f>
        <v/>
      </c>
    </row>
    <row r="11923">
      <c r="A11923" t="n">
        <v>11922</v>
      </c>
      <c r="B11923" t="inlineStr">
        <is>
          <t>x̄MCMXXII</t>
        </is>
      </c>
      <c r="C11923">
        <f>ROMAN(11922)</f>
        <v/>
      </c>
      <c r="D11923">
        <f>IF(B11923=C11923, "YES", "WRONG")</f>
        <v/>
      </c>
    </row>
    <row r="11924">
      <c r="A11924" t="n">
        <v>11923</v>
      </c>
      <c r="B11924" t="inlineStr">
        <is>
          <t>x̄MCMXXIII</t>
        </is>
      </c>
      <c r="C11924">
        <f>ROMAN(11923)</f>
        <v/>
      </c>
      <c r="D11924">
        <f>IF(B11924=C11924, "YES", "WRONG")</f>
        <v/>
      </c>
    </row>
    <row r="11925">
      <c r="A11925" t="n">
        <v>11924</v>
      </c>
      <c r="B11925" t="inlineStr">
        <is>
          <t>x̄MCMXXIV</t>
        </is>
      </c>
      <c r="C11925">
        <f>ROMAN(11924)</f>
        <v/>
      </c>
      <c r="D11925">
        <f>IF(B11925=C11925, "YES", "WRONG")</f>
        <v/>
      </c>
    </row>
    <row r="11926">
      <c r="A11926" t="n">
        <v>11925</v>
      </c>
      <c r="B11926" t="inlineStr">
        <is>
          <t>x̄MCMXXV</t>
        </is>
      </c>
      <c r="C11926">
        <f>ROMAN(11925)</f>
        <v/>
      </c>
      <c r="D11926">
        <f>IF(B11926=C11926, "YES", "WRONG")</f>
        <v/>
      </c>
    </row>
    <row r="11927">
      <c r="A11927" t="n">
        <v>11926</v>
      </c>
      <c r="B11927" t="inlineStr">
        <is>
          <t>x̄MCMXXVI</t>
        </is>
      </c>
      <c r="C11927">
        <f>ROMAN(11926)</f>
        <v/>
      </c>
      <c r="D11927">
        <f>IF(B11927=C11927, "YES", "WRONG")</f>
        <v/>
      </c>
    </row>
    <row r="11928">
      <c r="A11928" t="n">
        <v>11927</v>
      </c>
      <c r="B11928" t="inlineStr">
        <is>
          <t>x̄MCMXXVII</t>
        </is>
      </c>
      <c r="C11928">
        <f>ROMAN(11927)</f>
        <v/>
      </c>
      <c r="D11928">
        <f>IF(B11928=C11928, "YES", "WRONG")</f>
        <v/>
      </c>
    </row>
    <row r="11929">
      <c r="A11929" t="n">
        <v>11928</v>
      </c>
      <c r="B11929" t="inlineStr">
        <is>
          <t>x̄MCMXXVIII</t>
        </is>
      </c>
      <c r="C11929">
        <f>ROMAN(11928)</f>
        <v/>
      </c>
      <c r="D11929">
        <f>IF(B11929=C11929, "YES", "WRONG")</f>
        <v/>
      </c>
    </row>
    <row r="11930">
      <c r="A11930" t="n">
        <v>11929</v>
      </c>
      <c r="B11930" t="inlineStr">
        <is>
          <t>x̄MCMXXIX</t>
        </is>
      </c>
      <c r="C11930">
        <f>ROMAN(11929)</f>
        <v/>
      </c>
      <c r="D11930">
        <f>IF(B11930=C11930, "YES", "WRONG")</f>
        <v/>
      </c>
    </row>
    <row r="11931">
      <c r="A11931" t="n">
        <v>11930</v>
      </c>
      <c r="B11931" t="inlineStr">
        <is>
          <t>x̄MCMXXX</t>
        </is>
      </c>
      <c r="C11931">
        <f>ROMAN(11930)</f>
        <v/>
      </c>
      <c r="D11931">
        <f>IF(B11931=C11931, "YES", "WRONG")</f>
        <v/>
      </c>
    </row>
    <row r="11932">
      <c r="A11932" t="n">
        <v>11931</v>
      </c>
      <c r="B11932" t="inlineStr">
        <is>
          <t>x̄MCMXXXI</t>
        </is>
      </c>
      <c r="C11932">
        <f>ROMAN(11931)</f>
        <v/>
      </c>
      <c r="D11932">
        <f>IF(B11932=C11932, "YES", "WRONG")</f>
        <v/>
      </c>
    </row>
    <row r="11933">
      <c r="A11933" t="n">
        <v>11932</v>
      </c>
      <c r="B11933" t="inlineStr">
        <is>
          <t>x̄MCMXXXII</t>
        </is>
      </c>
      <c r="C11933">
        <f>ROMAN(11932)</f>
        <v/>
      </c>
      <c r="D11933">
        <f>IF(B11933=C11933, "YES", "WRONG")</f>
        <v/>
      </c>
    </row>
    <row r="11934">
      <c r="A11934" t="n">
        <v>11933</v>
      </c>
      <c r="B11934" t="inlineStr">
        <is>
          <t>x̄MCMXXXIII</t>
        </is>
      </c>
      <c r="C11934">
        <f>ROMAN(11933)</f>
        <v/>
      </c>
      <c r="D11934">
        <f>IF(B11934=C11934, "YES", "WRONG")</f>
        <v/>
      </c>
    </row>
    <row r="11935">
      <c r="A11935" t="n">
        <v>11934</v>
      </c>
      <c r="B11935" t="inlineStr">
        <is>
          <t>x̄MCMXXXIV</t>
        </is>
      </c>
      <c r="C11935">
        <f>ROMAN(11934)</f>
        <v/>
      </c>
      <c r="D11935">
        <f>IF(B11935=C11935, "YES", "WRONG")</f>
        <v/>
      </c>
    </row>
    <row r="11936">
      <c r="A11936" t="n">
        <v>11935</v>
      </c>
      <c r="B11936" t="inlineStr">
        <is>
          <t>x̄MCMXXXV</t>
        </is>
      </c>
      <c r="C11936">
        <f>ROMAN(11935)</f>
        <v/>
      </c>
      <c r="D11936">
        <f>IF(B11936=C11936, "YES", "WRONG")</f>
        <v/>
      </c>
    </row>
    <row r="11937">
      <c r="A11937" t="n">
        <v>11936</v>
      </c>
      <c r="B11937" t="inlineStr">
        <is>
          <t>x̄MCMXXXVI</t>
        </is>
      </c>
      <c r="C11937">
        <f>ROMAN(11936)</f>
        <v/>
      </c>
      <c r="D11937">
        <f>IF(B11937=C11937, "YES", "WRONG")</f>
        <v/>
      </c>
    </row>
    <row r="11938">
      <c r="A11938" t="n">
        <v>11937</v>
      </c>
      <c r="B11938" t="inlineStr">
        <is>
          <t>x̄MCMXXXVII</t>
        </is>
      </c>
      <c r="C11938">
        <f>ROMAN(11937)</f>
        <v/>
      </c>
      <c r="D11938">
        <f>IF(B11938=C11938, "YES", "WRONG")</f>
        <v/>
      </c>
    </row>
    <row r="11939">
      <c r="A11939" t="n">
        <v>11938</v>
      </c>
      <c r="B11939" t="inlineStr">
        <is>
          <t>x̄MCMXXXVIII</t>
        </is>
      </c>
      <c r="C11939">
        <f>ROMAN(11938)</f>
        <v/>
      </c>
      <c r="D11939">
        <f>IF(B11939=C11939, "YES", "WRONG")</f>
        <v/>
      </c>
    </row>
    <row r="11940">
      <c r="A11940" t="n">
        <v>11939</v>
      </c>
      <c r="B11940" t="inlineStr">
        <is>
          <t>x̄MCMXXXIX</t>
        </is>
      </c>
      <c r="C11940">
        <f>ROMAN(11939)</f>
        <v/>
      </c>
      <c r="D11940">
        <f>IF(B11940=C11940, "YES", "WRONG")</f>
        <v/>
      </c>
    </row>
    <row r="11941">
      <c r="A11941" t="n">
        <v>11940</v>
      </c>
      <c r="B11941" t="inlineStr">
        <is>
          <t>x̄MCMXL</t>
        </is>
      </c>
      <c r="C11941">
        <f>ROMAN(11940)</f>
        <v/>
      </c>
      <c r="D11941">
        <f>IF(B11941=C11941, "YES", "WRONG")</f>
        <v/>
      </c>
    </row>
    <row r="11942">
      <c r="A11942" t="n">
        <v>11941</v>
      </c>
      <c r="B11942" t="inlineStr">
        <is>
          <t>x̄MCMXLI</t>
        </is>
      </c>
      <c r="C11942">
        <f>ROMAN(11941)</f>
        <v/>
      </c>
      <c r="D11942">
        <f>IF(B11942=C11942, "YES", "WRONG")</f>
        <v/>
      </c>
    </row>
    <row r="11943">
      <c r="A11943" t="n">
        <v>11942</v>
      </c>
      <c r="B11943" t="inlineStr">
        <is>
          <t>x̄MCMXLII</t>
        </is>
      </c>
      <c r="C11943">
        <f>ROMAN(11942)</f>
        <v/>
      </c>
      <c r="D11943">
        <f>IF(B11943=C11943, "YES", "WRONG")</f>
        <v/>
      </c>
    </row>
    <row r="11944">
      <c r="A11944" t="n">
        <v>11943</v>
      </c>
      <c r="B11944" t="inlineStr">
        <is>
          <t>x̄MCMXLIII</t>
        </is>
      </c>
      <c r="C11944">
        <f>ROMAN(11943)</f>
        <v/>
      </c>
      <c r="D11944">
        <f>IF(B11944=C11944, "YES", "WRONG")</f>
        <v/>
      </c>
    </row>
    <row r="11945">
      <c r="A11945" t="n">
        <v>11944</v>
      </c>
      <c r="B11945" t="inlineStr">
        <is>
          <t>x̄MCMXLIV</t>
        </is>
      </c>
      <c r="C11945">
        <f>ROMAN(11944)</f>
        <v/>
      </c>
      <c r="D11945">
        <f>IF(B11945=C11945, "YES", "WRONG")</f>
        <v/>
      </c>
    </row>
    <row r="11946">
      <c r="A11946" t="n">
        <v>11945</v>
      </c>
      <c r="B11946" t="inlineStr">
        <is>
          <t>x̄MCMXLV</t>
        </is>
      </c>
      <c r="C11946">
        <f>ROMAN(11945)</f>
        <v/>
      </c>
      <c r="D11946">
        <f>IF(B11946=C11946, "YES", "WRONG")</f>
        <v/>
      </c>
    </row>
    <row r="11947">
      <c r="A11947" t="n">
        <v>11946</v>
      </c>
      <c r="B11947" t="inlineStr">
        <is>
          <t>x̄MCMXLVI</t>
        </is>
      </c>
      <c r="C11947">
        <f>ROMAN(11946)</f>
        <v/>
      </c>
      <c r="D11947">
        <f>IF(B11947=C11947, "YES", "WRONG")</f>
        <v/>
      </c>
    </row>
    <row r="11948">
      <c r="A11948" t="n">
        <v>11947</v>
      </c>
      <c r="B11948" t="inlineStr">
        <is>
          <t>x̄MCMXLVII</t>
        </is>
      </c>
      <c r="C11948">
        <f>ROMAN(11947)</f>
        <v/>
      </c>
      <c r="D11948">
        <f>IF(B11948=C11948, "YES", "WRONG")</f>
        <v/>
      </c>
    </row>
    <row r="11949">
      <c r="A11949" t="n">
        <v>11948</v>
      </c>
      <c r="B11949" t="inlineStr">
        <is>
          <t>x̄MCMXLVIII</t>
        </is>
      </c>
      <c r="C11949">
        <f>ROMAN(11948)</f>
        <v/>
      </c>
      <c r="D11949">
        <f>IF(B11949=C11949, "YES", "WRONG")</f>
        <v/>
      </c>
    </row>
    <row r="11950">
      <c r="A11950" t="n">
        <v>11949</v>
      </c>
      <c r="B11950" t="inlineStr">
        <is>
          <t>x̄MCMXLIX</t>
        </is>
      </c>
      <c r="C11950">
        <f>ROMAN(11949)</f>
        <v/>
      </c>
      <c r="D11950">
        <f>IF(B11950=C11950, "YES", "WRONG")</f>
        <v/>
      </c>
    </row>
    <row r="11951">
      <c r="A11951" t="n">
        <v>11950</v>
      </c>
      <c r="B11951" t="inlineStr">
        <is>
          <t>x̄MCML</t>
        </is>
      </c>
      <c r="C11951">
        <f>ROMAN(11950)</f>
        <v/>
      </c>
      <c r="D11951">
        <f>IF(B11951=C11951, "YES", "WRONG")</f>
        <v/>
      </c>
    </row>
    <row r="11952">
      <c r="A11952" t="n">
        <v>11951</v>
      </c>
      <c r="B11952" t="inlineStr">
        <is>
          <t>x̄MCMLI</t>
        </is>
      </c>
      <c r="C11952">
        <f>ROMAN(11951)</f>
        <v/>
      </c>
      <c r="D11952">
        <f>IF(B11952=C11952, "YES", "WRONG")</f>
        <v/>
      </c>
    </row>
    <row r="11953">
      <c r="A11953" t="n">
        <v>11952</v>
      </c>
      <c r="B11953" t="inlineStr">
        <is>
          <t>x̄MCMLII</t>
        </is>
      </c>
      <c r="C11953">
        <f>ROMAN(11952)</f>
        <v/>
      </c>
      <c r="D11953">
        <f>IF(B11953=C11953, "YES", "WRONG")</f>
        <v/>
      </c>
    </row>
    <row r="11954">
      <c r="A11954" t="n">
        <v>11953</v>
      </c>
      <c r="B11954" t="inlineStr">
        <is>
          <t>x̄MCMLIII</t>
        </is>
      </c>
      <c r="C11954">
        <f>ROMAN(11953)</f>
        <v/>
      </c>
      <c r="D11954">
        <f>IF(B11954=C11954, "YES", "WRONG")</f>
        <v/>
      </c>
    </row>
    <row r="11955">
      <c r="A11955" t="n">
        <v>11954</v>
      </c>
      <c r="B11955" t="inlineStr">
        <is>
          <t>x̄MCMLIV</t>
        </is>
      </c>
      <c r="C11955">
        <f>ROMAN(11954)</f>
        <v/>
      </c>
      <c r="D11955">
        <f>IF(B11955=C11955, "YES", "WRONG")</f>
        <v/>
      </c>
    </row>
    <row r="11956">
      <c r="A11956" t="n">
        <v>11955</v>
      </c>
      <c r="B11956" t="inlineStr">
        <is>
          <t>x̄MCMLV</t>
        </is>
      </c>
      <c r="C11956">
        <f>ROMAN(11955)</f>
        <v/>
      </c>
      <c r="D11956">
        <f>IF(B11956=C11956, "YES", "WRONG")</f>
        <v/>
      </c>
    </row>
    <row r="11957">
      <c r="A11957" t="n">
        <v>11956</v>
      </c>
      <c r="B11957" t="inlineStr">
        <is>
          <t>x̄MCMLVI</t>
        </is>
      </c>
      <c r="C11957">
        <f>ROMAN(11956)</f>
        <v/>
      </c>
      <c r="D11957">
        <f>IF(B11957=C11957, "YES", "WRONG")</f>
        <v/>
      </c>
    </row>
    <row r="11958">
      <c r="A11958" t="n">
        <v>11957</v>
      </c>
      <c r="B11958" t="inlineStr">
        <is>
          <t>x̄MCMLVII</t>
        </is>
      </c>
      <c r="C11958">
        <f>ROMAN(11957)</f>
        <v/>
      </c>
      <c r="D11958">
        <f>IF(B11958=C11958, "YES", "WRONG")</f>
        <v/>
      </c>
    </row>
    <row r="11959">
      <c r="A11959" t="n">
        <v>11958</v>
      </c>
      <c r="B11959" t="inlineStr">
        <is>
          <t>x̄MCMLVIII</t>
        </is>
      </c>
      <c r="C11959">
        <f>ROMAN(11958)</f>
        <v/>
      </c>
      <c r="D11959">
        <f>IF(B11959=C11959, "YES", "WRONG")</f>
        <v/>
      </c>
    </row>
    <row r="11960">
      <c r="A11960" t="n">
        <v>11959</v>
      </c>
      <c r="B11960" t="inlineStr">
        <is>
          <t>x̄MCMLIX</t>
        </is>
      </c>
      <c r="C11960">
        <f>ROMAN(11959)</f>
        <v/>
      </c>
      <c r="D11960">
        <f>IF(B11960=C11960, "YES", "WRONG")</f>
        <v/>
      </c>
    </row>
    <row r="11961">
      <c r="A11961" t="n">
        <v>11960</v>
      </c>
      <c r="B11961" t="inlineStr">
        <is>
          <t>x̄MCMLX</t>
        </is>
      </c>
      <c r="C11961">
        <f>ROMAN(11960)</f>
        <v/>
      </c>
      <c r="D11961">
        <f>IF(B11961=C11961, "YES", "WRONG")</f>
        <v/>
      </c>
    </row>
    <row r="11962">
      <c r="A11962" t="n">
        <v>11961</v>
      </c>
      <c r="B11962" t="inlineStr">
        <is>
          <t>x̄MCMLXI</t>
        </is>
      </c>
      <c r="C11962">
        <f>ROMAN(11961)</f>
        <v/>
      </c>
      <c r="D11962">
        <f>IF(B11962=C11962, "YES", "WRONG")</f>
        <v/>
      </c>
    </row>
    <row r="11963">
      <c r="A11963" t="n">
        <v>11962</v>
      </c>
      <c r="B11963" t="inlineStr">
        <is>
          <t>x̄MCMLXII</t>
        </is>
      </c>
      <c r="C11963">
        <f>ROMAN(11962)</f>
        <v/>
      </c>
      <c r="D11963">
        <f>IF(B11963=C11963, "YES", "WRONG")</f>
        <v/>
      </c>
    </row>
    <row r="11964">
      <c r="A11964" t="n">
        <v>11963</v>
      </c>
      <c r="B11964" t="inlineStr">
        <is>
          <t>x̄MCMLXIII</t>
        </is>
      </c>
      <c r="C11964">
        <f>ROMAN(11963)</f>
        <v/>
      </c>
      <c r="D11964">
        <f>IF(B11964=C11964, "YES", "WRONG")</f>
        <v/>
      </c>
    </row>
    <row r="11965">
      <c r="A11965" t="n">
        <v>11964</v>
      </c>
      <c r="B11965" t="inlineStr">
        <is>
          <t>x̄MCMLXIV</t>
        </is>
      </c>
      <c r="C11965">
        <f>ROMAN(11964)</f>
        <v/>
      </c>
      <c r="D11965">
        <f>IF(B11965=C11965, "YES", "WRONG")</f>
        <v/>
      </c>
    </row>
    <row r="11966">
      <c r="A11966" t="n">
        <v>11965</v>
      </c>
      <c r="B11966" t="inlineStr">
        <is>
          <t>x̄MCMLXV</t>
        </is>
      </c>
      <c r="C11966">
        <f>ROMAN(11965)</f>
        <v/>
      </c>
      <c r="D11966">
        <f>IF(B11966=C11966, "YES", "WRONG")</f>
        <v/>
      </c>
    </row>
    <row r="11967">
      <c r="A11967" t="n">
        <v>11966</v>
      </c>
      <c r="B11967" t="inlineStr">
        <is>
          <t>x̄MCMLXVI</t>
        </is>
      </c>
      <c r="C11967">
        <f>ROMAN(11966)</f>
        <v/>
      </c>
      <c r="D11967">
        <f>IF(B11967=C11967, "YES", "WRONG")</f>
        <v/>
      </c>
    </row>
    <row r="11968">
      <c r="A11968" t="n">
        <v>11967</v>
      </c>
      <c r="B11968" t="inlineStr">
        <is>
          <t>x̄MCMLXVII</t>
        </is>
      </c>
      <c r="C11968">
        <f>ROMAN(11967)</f>
        <v/>
      </c>
      <c r="D11968">
        <f>IF(B11968=C11968, "YES", "WRONG")</f>
        <v/>
      </c>
    </row>
    <row r="11969">
      <c r="A11969" t="n">
        <v>11968</v>
      </c>
      <c r="B11969" t="inlineStr">
        <is>
          <t>x̄MCMLXVIII</t>
        </is>
      </c>
      <c r="C11969">
        <f>ROMAN(11968)</f>
        <v/>
      </c>
      <c r="D11969">
        <f>IF(B11969=C11969, "YES", "WRONG")</f>
        <v/>
      </c>
    </row>
    <row r="11970">
      <c r="A11970" t="n">
        <v>11969</v>
      </c>
      <c r="B11970" t="inlineStr">
        <is>
          <t>x̄MCMLXIX</t>
        </is>
      </c>
      <c r="C11970">
        <f>ROMAN(11969)</f>
        <v/>
      </c>
      <c r="D11970">
        <f>IF(B11970=C11970, "YES", "WRONG")</f>
        <v/>
      </c>
    </row>
    <row r="11971">
      <c r="A11971" t="n">
        <v>11970</v>
      </c>
      <c r="B11971" t="inlineStr">
        <is>
          <t>x̄MCMLXX</t>
        </is>
      </c>
      <c r="C11971">
        <f>ROMAN(11970)</f>
        <v/>
      </c>
      <c r="D11971">
        <f>IF(B11971=C11971, "YES", "WRONG")</f>
        <v/>
      </c>
    </row>
    <row r="11972">
      <c r="A11972" t="n">
        <v>11971</v>
      </c>
      <c r="B11972" t="inlineStr">
        <is>
          <t>x̄MCMLXXI</t>
        </is>
      </c>
      <c r="C11972">
        <f>ROMAN(11971)</f>
        <v/>
      </c>
      <c r="D11972">
        <f>IF(B11972=C11972, "YES", "WRONG")</f>
        <v/>
      </c>
    </row>
    <row r="11973">
      <c r="A11973" t="n">
        <v>11972</v>
      </c>
      <c r="B11973" t="inlineStr">
        <is>
          <t>x̄MCMLXXII</t>
        </is>
      </c>
      <c r="C11973">
        <f>ROMAN(11972)</f>
        <v/>
      </c>
      <c r="D11973">
        <f>IF(B11973=C11973, "YES", "WRONG")</f>
        <v/>
      </c>
    </row>
    <row r="11974">
      <c r="A11974" t="n">
        <v>11973</v>
      </c>
      <c r="B11974" t="inlineStr">
        <is>
          <t>x̄MCMLXXIII</t>
        </is>
      </c>
      <c r="C11974">
        <f>ROMAN(11973)</f>
        <v/>
      </c>
      <c r="D11974">
        <f>IF(B11974=C11974, "YES", "WRONG")</f>
        <v/>
      </c>
    </row>
    <row r="11975">
      <c r="A11975" t="n">
        <v>11974</v>
      </c>
      <c r="B11975" t="inlineStr">
        <is>
          <t>x̄MCMLXXIV</t>
        </is>
      </c>
      <c r="C11975">
        <f>ROMAN(11974)</f>
        <v/>
      </c>
      <c r="D11975">
        <f>IF(B11975=C11975, "YES", "WRONG")</f>
        <v/>
      </c>
    </row>
    <row r="11976">
      <c r="A11976" t="n">
        <v>11975</v>
      </c>
      <c r="B11976" t="inlineStr">
        <is>
          <t>x̄MCMLXXV</t>
        </is>
      </c>
      <c r="C11976">
        <f>ROMAN(11975)</f>
        <v/>
      </c>
      <c r="D11976">
        <f>IF(B11976=C11976, "YES", "WRONG")</f>
        <v/>
      </c>
    </row>
    <row r="11977">
      <c r="A11977" t="n">
        <v>11976</v>
      </c>
      <c r="B11977" t="inlineStr">
        <is>
          <t>x̄MCMLXXVI</t>
        </is>
      </c>
      <c r="C11977">
        <f>ROMAN(11976)</f>
        <v/>
      </c>
      <c r="D11977">
        <f>IF(B11977=C11977, "YES", "WRONG")</f>
        <v/>
      </c>
    </row>
    <row r="11978">
      <c r="A11978" t="n">
        <v>11977</v>
      </c>
      <c r="B11978" t="inlineStr">
        <is>
          <t>x̄MCMLXXVII</t>
        </is>
      </c>
      <c r="C11978">
        <f>ROMAN(11977)</f>
        <v/>
      </c>
      <c r="D11978">
        <f>IF(B11978=C11978, "YES", "WRONG")</f>
        <v/>
      </c>
    </row>
    <row r="11979">
      <c r="A11979" t="n">
        <v>11978</v>
      </c>
      <c r="B11979" t="inlineStr">
        <is>
          <t>x̄MCMLXXVIII</t>
        </is>
      </c>
      <c r="C11979">
        <f>ROMAN(11978)</f>
        <v/>
      </c>
      <c r="D11979">
        <f>IF(B11979=C11979, "YES", "WRONG")</f>
        <v/>
      </c>
    </row>
    <row r="11980">
      <c r="A11980" t="n">
        <v>11979</v>
      </c>
      <c r="B11980" t="inlineStr">
        <is>
          <t>x̄MCMLXXIX</t>
        </is>
      </c>
      <c r="C11980">
        <f>ROMAN(11979)</f>
        <v/>
      </c>
      <c r="D11980">
        <f>IF(B11980=C11980, "YES", "WRONG")</f>
        <v/>
      </c>
    </row>
    <row r="11981">
      <c r="A11981" t="n">
        <v>11980</v>
      </c>
      <c r="B11981" t="inlineStr">
        <is>
          <t>x̄MCMLXXX</t>
        </is>
      </c>
      <c r="C11981">
        <f>ROMAN(11980)</f>
        <v/>
      </c>
      <c r="D11981">
        <f>IF(B11981=C11981, "YES", "WRONG")</f>
        <v/>
      </c>
    </row>
    <row r="11982">
      <c r="A11982" t="n">
        <v>11981</v>
      </c>
      <c r="B11982" t="inlineStr">
        <is>
          <t>x̄MCMLXXXI</t>
        </is>
      </c>
      <c r="C11982">
        <f>ROMAN(11981)</f>
        <v/>
      </c>
      <c r="D11982">
        <f>IF(B11982=C11982, "YES", "WRONG")</f>
        <v/>
      </c>
    </row>
    <row r="11983">
      <c r="A11983" t="n">
        <v>11982</v>
      </c>
      <c r="B11983" t="inlineStr">
        <is>
          <t>x̄MCMLXXXII</t>
        </is>
      </c>
      <c r="C11983">
        <f>ROMAN(11982)</f>
        <v/>
      </c>
      <c r="D11983">
        <f>IF(B11983=C11983, "YES", "WRONG")</f>
        <v/>
      </c>
    </row>
    <row r="11984">
      <c r="A11984" t="n">
        <v>11983</v>
      </c>
      <c r="B11984" t="inlineStr">
        <is>
          <t>x̄MCMLXXXIII</t>
        </is>
      </c>
      <c r="C11984">
        <f>ROMAN(11983)</f>
        <v/>
      </c>
      <c r="D11984">
        <f>IF(B11984=C11984, "YES", "WRONG")</f>
        <v/>
      </c>
    </row>
    <row r="11985">
      <c r="A11985" t="n">
        <v>11984</v>
      </c>
      <c r="B11985" t="inlineStr">
        <is>
          <t>x̄MCMLXXXIV</t>
        </is>
      </c>
      <c r="C11985">
        <f>ROMAN(11984)</f>
        <v/>
      </c>
      <c r="D11985">
        <f>IF(B11985=C11985, "YES", "WRONG")</f>
        <v/>
      </c>
    </row>
    <row r="11986">
      <c r="A11986" t="n">
        <v>11985</v>
      </c>
      <c r="B11986" t="inlineStr">
        <is>
          <t>x̄MCMLXXXV</t>
        </is>
      </c>
      <c r="C11986">
        <f>ROMAN(11985)</f>
        <v/>
      </c>
      <c r="D11986">
        <f>IF(B11986=C11986, "YES", "WRONG")</f>
        <v/>
      </c>
    </row>
    <row r="11987">
      <c r="A11987" t="n">
        <v>11986</v>
      </c>
      <c r="B11987" t="inlineStr">
        <is>
          <t>x̄MCMLXXXVI</t>
        </is>
      </c>
      <c r="C11987">
        <f>ROMAN(11986)</f>
        <v/>
      </c>
      <c r="D11987">
        <f>IF(B11987=C11987, "YES", "WRONG")</f>
        <v/>
      </c>
    </row>
    <row r="11988">
      <c r="A11988" t="n">
        <v>11987</v>
      </c>
      <c r="B11988" t="inlineStr">
        <is>
          <t>x̄MCMLXXXVII</t>
        </is>
      </c>
      <c r="C11988">
        <f>ROMAN(11987)</f>
        <v/>
      </c>
      <c r="D11988">
        <f>IF(B11988=C11988, "YES", "WRONG")</f>
        <v/>
      </c>
    </row>
    <row r="11989">
      <c r="A11989" t="n">
        <v>11988</v>
      </c>
      <c r="B11989" t="inlineStr">
        <is>
          <t>x̄MCMLXXXVIII</t>
        </is>
      </c>
      <c r="C11989">
        <f>ROMAN(11988)</f>
        <v/>
      </c>
      <c r="D11989">
        <f>IF(B11989=C11989, "YES", "WRONG")</f>
        <v/>
      </c>
    </row>
    <row r="11990">
      <c r="A11990" t="n">
        <v>11989</v>
      </c>
      <c r="B11990" t="inlineStr">
        <is>
          <t>x̄MCMLXXXIX</t>
        </is>
      </c>
      <c r="C11990">
        <f>ROMAN(11989)</f>
        <v/>
      </c>
      <c r="D11990">
        <f>IF(B11990=C11990, "YES", "WRONG")</f>
        <v/>
      </c>
    </row>
    <row r="11991">
      <c r="A11991" t="n">
        <v>11990</v>
      </c>
      <c r="B11991" t="inlineStr">
        <is>
          <t>x̄MCMXC</t>
        </is>
      </c>
      <c r="C11991">
        <f>ROMAN(11990)</f>
        <v/>
      </c>
      <c r="D11991">
        <f>IF(B11991=C11991, "YES", "WRONG")</f>
        <v/>
      </c>
    </row>
    <row r="11992">
      <c r="A11992" t="n">
        <v>11991</v>
      </c>
      <c r="B11992" t="inlineStr">
        <is>
          <t>x̄MCMXCI</t>
        </is>
      </c>
      <c r="C11992">
        <f>ROMAN(11991)</f>
        <v/>
      </c>
      <c r="D11992">
        <f>IF(B11992=C11992, "YES", "WRONG")</f>
        <v/>
      </c>
    </row>
    <row r="11993">
      <c r="A11993" t="n">
        <v>11992</v>
      </c>
      <c r="B11993" t="inlineStr">
        <is>
          <t>x̄MCMXCII</t>
        </is>
      </c>
      <c r="C11993">
        <f>ROMAN(11992)</f>
        <v/>
      </c>
      <c r="D11993">
        <f>IF(B11993=C11993, "YES", "WRONG")</f>
        <v/>
      </c>
    </row>
    <row r="11994">
      <c r="A11994" t="n">
        <v>11993</v>
      </c>
      <c r="B11994" t="inlineStr">
        <is>
          <t>x̄MCMXCIII</t>
        </is>
      </c>
      <c r="C11994">
        <f>ROMAN(11993)</f>
        <v/>
      </c>
      <c r="D11994">
        <f>IF(B11994=C11994, "YES", "WRONG")</f>
        <v/>
      </c>
    </row>
    <row r="11995">
      <c r="A11995" t="n">
        <v>11994</v>
      </c>
      <c r="B11995" t="inlineStr">
        <is>
          <t>x̄MCMXCIV</t>
        </is>
      </c>
      <c r="C11995">
        <f>ROMAN(11994)</f>
        <v/>
      </c>
      <c r="D11995">
        <f>IF(B11995=C11995, "YES", "WRONG")</f>
        <v/>
      </c>
    </row>
    <row r="11996">
      <c r="A11996" t="n">
        <v>11995</v>
      </c>
      <c r="B11996" t="inlineStr">
        <is>
          <t>x̄MCMXCV</t>
        </is>
      </c>
      <c r="C11996">
        <f>ROMAN(11995)</f>
        <v/>
      </c>
      <c r="D11996">
        <f>IF(B11996=C11996, "YES", "WRONG")</f>
        <v/>
      </c>
    </row>
    <row r="11997">
      <c r="A11997" t="n">
        <v>11996</v>
      </c>
      <c r="B11997" t="inlineStr">
        <is>
          <t>x̄MCMXCVI</t>
        </is>
      </c>
      <c r="C11997">
        <f>ROMAN(11996)</f>
        <v/>
      </c>
      <c r="D11997">
        <f>IF(B11997=C11997, "YES", "WRONG")</f>
        <v/>
      </c>
    </row>
    <row r="11998">
      <c r="A11998" t="n">
        <v>11997</v>
      </c>
      <c r="B11998" t="inlineStr">
        <is>
          <t>x̄MCMXCVII</t>
        </is>
      </c>
      <c r="C11998">
        <f>ROMAN(11997)</f>
        <v/>
      </c>
      <c r="D11998">
        <f>IF(B11998=C11998, "YES", "WRONG")</f>
        <v/>
      </c>
    </row>
    <row r="11999">
      <c r="A11999" t="n">
        <v>11998</v>
      </c>
      <c r="B11999" t="inlineStr">
        <is>
          <t>x̄MCMXCVIII</t>
        </is>
      </c>
      <c r="C11999">
        <f>ROMAN(11998)</f>
        <v/>
      </c>
      <c r="D11999">
        <f>IF(B11999=C11999, "YES", "WRONG")</f>
        <v/>
      </c>
    </row>
    <row r="12000">
      <c r="A12000" t="n">
        <v>11999</v>
      </c>
      <c r="B12000" t="inlineStr">
        <is>
          <t>x̄MCMXCIX</t>
        </is>
      </c>
      <c r="C12000">
        <f>ROMAN(11999)</f>
        <v/>
      </c>
      <c r="D12000">
        <f>IF(B12000=C12000, "YES", "WRONG")</f>
        <v/>
      </c>
    </row>
    <row r="12001">
      <c r="A12001" t="n">
        <v>12000</v>
      </c>
      <c r="B12001" t="inlineStr">
        <is>
          <t>x̄MM</t>
        </is>
      </c>
      <c r="C12001">
        <f>ROMAN(12000)</f>
        <v/>
      </c>
      <c r="D12001">
        <f>IF(B12001=C12001, "YES", "WRONG")</f>
        <v/>
      </c>
    </row>
    <row r="12002">
      <c r="A12002" t="n">
        <v>12001</v>
      </c>
      <c r="B12002" t="inlineStr">
        <is>
          <t>x̄MMI</t>
        </is>
      </c>
      <c r="C12002">
        <f>ROMAN(12001)</f>
        <v/>
      </c>
      <c r="D12002">
        <f>IF(B12002=C12002, "YES", "WRONG")</f>
        <v/>
      </c>
    </row>
    <row r="12003">
      <c r="A12003" t="n">
        <v>12002</v>
      </c>
      <c r="B12003" t="inlineStr">
        <is>
          <t>x̄MMII</t>
        </is>
      </c>
      <c r="C12003">
        <f>ROMAN(12002)</f>
        <v/>
      </c>
      <c r="D12003">
        <f>IF(B12003=C12003, "YES", "WRONG")</f>
        <v/>
      </c>
    </row>
    <row r="12004">
      <c r="A12004" t="n">
        <v>12003</v>
      </c>
      <c r="B12004" t="inlineStr">
        <is>
          <t>x̄MMIII</t>
        </is>
      </c>
      <c r="C12004">
        <f>ROMAN(12003)</f>
        <v/>
      </c>
      <c r="D12004">
        <f>IF(B12004=C12004, "YES", "WRONG")</f>
        <v/>
      </c>
    </row>
    <row r="12005">
      <c r="A12005" t="n">
        <v>12004</v>
      </c>
      <c r="B12005" t="inlineStr">
        <is>
          <t>x̄MMIV</t>
        </is>
      </c>
      <c r="C12005">
        <f>ROMAN(12004)</f>
        <v/>
      </c>
      <c r="D12005">
        <f>IF(B12005=C12005, "YES", "WRONG")</f>
        <v/>
      </c>
    </row>
    <row r="12006">
      <c r="A12006" t="n">
        <v>12005</v>
      </c>
      <c r="B12006" t="inlineStr">
        <is>
          <t>x̄MMV</t>
        </is>
      </c>
      <c r="C12006">
        <f>ROMAN(12005)</f>
        <v/>
      </c>
      <c r="D12006">
        <f>IF(B12006=C12006, "YES", "WRONG")</f>
        <v/>
      </c>
    </row>
    <row r="12007">
      <c r="A12007" t="n">
        <v>12006</v>
      </c>
      <c r="B12007" t="inlineStr">
        <is>
          <t>x̄MMVI</t>
        </is>
      </c>
      <c r="C12007">
        <f>ROMAN(12006)</f>
        <v/>
      </c>
      <c r="D12007">
        <f>IF(B12007=C12007, "YES", "WRONG")</f>
        <v/>
      </c>
    </row>
    <row r="12008">
      <c r="A12008" t="n">
        <v>12007</v>
      </c>
      <c r="B12008" t="inlineStr">
        <is>
          <t>x̄MMVII</t>
        </is>
      </c>
      <c r="C12008">
        <f>ROMAN(12007)</f>
        <v/>
      </c>
      <c r="D12008">
        <f>IF(B12008=C12008, "YES", "WRONG")</f>
        <v/>
      </c>
    </row>
    <row r="12009">
      <c r="A12009" t="n">
        <v>12008</v>
      </c>
      <c r="B12009" t="inlineStr">
        <is>
          <t>x̄MMVIII</t>
        </is>
      </c>
      <c r="C12009">
        <f>ROMAN(12008)</f>
        <v/>
      </c>
      <c r="D12009">
        <f>IF(B12009=C12009, "YES", "WRONG")</f>
        <v/>
      </c>
    </row>
    <row r="12010">
      <c r="A12010" t="n">
        <v>12009</v>
      </c>
      <c r="B12010" t="inlineStr">
        <is>
          <t>x̄MMIX</t>
        </is>
      </c>
      <c r="C12010">
        <f>ROMAN(12009)</f>
        <v/>
      </c>
      <c r="D12010">
        <f>IF(B12010=C12010, "YES", "WRONG")</f>
        <v/>
      </c>
    </row>
    <row r="12011">
      <c r="A12011" t="n">
        <v>12010</v>
      </c>
      <c r="B12011" t="inlineStr">
        <is>
          <t>x̄MMX</t>
        </is>
      </c>
      <c r="C12011">
        <f>ROMAN(12010)</f>
        <v/>
      </c>
      <c r="D12011">
        <f>IF(B12011=C12011, "YES", "WRONG")</f>
        <v/>
      </c>
    </row>
    <row r="12012">
      <c r="A12012" t="n">
        <v>12011</v>
      </c>
      <c r="B12012" t="inlineStr">
        <is>
          <t>x̄MMXI</t>
        </is>
      </c>
      <c r="C12012">
        <f>ROMAN(12011)</f>
        <v/>
      </c>
      <c r="D12012">
        <f>IF(B12012=C12012, "YES", "WRONG")</f>
        <v/>
      </c>
    </row>
    <row r="12013">
      <c r="A12013" t="n">
        <v>12012</v>
      </c>
      <c r="B12013" t="inlineStr">
        <is>
          <t>x̄MMXII</t>
        </is>
      </c>
      <c r="C12013">
        <f>ROMAN(12012)</f>
        <v/>
      </c>
      <c r="D12013">
        <f>IF(B12013=C12013, "YES", "WRONG")</f>
        <v/>
      </c>
    </row>
    <row r="12014">
      <c r="A12014" t="n">
        <v>12013</v>
      </c>
      <c r="B12014" t="inlineStr">
        <is>
          <t>x̄MMXIII</t>
        </is>
      </c>
      <c r="C12014">
        <f>ROMAN(12013)</f>
        <v/>
      </c>
      <c r="D12014">
        <f>IF(B12014=C12014, "YES", "WRONG")</f>
        <v/>
      </c>
    </row>
    <row r="12015">
      <c r="A12015" t="n">
        <v>12014</v>
      </c>
      <c r="B12015" t="inlineStr">
        <is>
          <t>x̄MMXIV</t>
        </is>
      </c>
      <c r="C12015">
        <f>ROMAN(12014)</f>
        <v/>
      </c>
      <c r="D12015">
        <f>IF(B12015=C12015, "YES", "WRONG")</f>
        <v/>
      </c>
    </row>
    <row r="12016">
      <c r="A12016" t="n">
        <v>12015</v>
      </c>
      <c r="B12016" t="inlineStr">
        <is>
          <t>x̄MMXV</t>
        </is>
      </c>
      <c r="C12016">
        <f>ROMAN(12015)</f>
        <v/>
      </c>
      <c r="D12016">
        <f>IF(B12016=C12016, "YES", "WRONG")</f>
        <v/>
      </c>
    </row>
    <row r="12017">
      <c r="A12017" t="n">
        <v>12016</v>
      </c>
      <c r="B12017" t="inlineStr">
        <is>
          <t>x̄MMXVI</t>
        </is>
      </c>
      <c r="C12017">
        <f>ROMAN(12016)</f>
        <v/>
      </c>
      <c r="D12017">
        <f>IF(B12017=C12017, "YES", "WRONG")</f>
        <v/>
      </c>
    </row>
    <row r="12018">
      <c r="A12018" t="n">
        <v>12017</v>
      </c>
      <c r="B12018" t="inlineStr">
        <is>
          <t>x̄MMXVII</t>
        </is>
      </c>
      <c r="C12018">
        <f>ROMAN(12017)</f>
        <v/>
      </c>
      <c r="D12018">
        <f>IF(B12018=C12018, "YES", "WRONG")</f>
        <v/>
      </c>
    </row>
    <row r="12019">
      <c r="A12019" t="n">
        <v>12018</v>
      </c>
      <c r="B12019" t="inlineStr">
        <is>
          <t>x̄MMXVIII</t>
        </is>
      </c>
      <c r="C12019">
        <f>ROMAN(12018)</f>
        <v/>
      </c>
      <c r="D12019">
        <f>IF(B12019=C12019, "YES", "WRONG")</f>
        <v/>
      </c>
    </row>
    <row r="12020">
      <c r="A12020" t="n">
        <v>12019</v>
      </c>
      <c r="B12020" t="inlineStr">
        <is>
          <t>x̄MMXIX</t>
        </is>
      </c>
      <c r="C12020">
        <f>ROMAN(12019)</f>
        <v/>
      </c>
      <c r="D12020">
        <f>IF(B12020=C12020, "YES", "WRONG")</f>
        <v/>
      </c>
    </row>
    <row r="12021">
      <c r="A12021" t="n">
        <v>12020</v>
      </c>
      <c r="B12021" t="inlineStr">
        <is>
          <t>x̄MMXX</t>
        </is>
      </c>
      <c r="C12021">
        <f>ROMAN(12020)</f>
        <v/>
      </c>
      <c r="D12021">
        <f>IF(B12021=C12021, "YES", "WRONG")</f>
        <v/>
      </c>
    </row>
    <row r="12022">
      <c r="A12022" t="n">
        <v>12021</v>
      </c>
      <c r="B12022" t="inlineStr">
        <is>
          <t>x̄MMXXI</t>
        </is>
      </c>
      <c r="C12022">
        <f>ROMAN(12021)</f>
        <v/>
      </c>
      <c r="D12022">
        <f>IF(B12022=C12022, "YES", "WRONG")</f>
        <v/>
      </c>
    </row>
    <row r="12023">
      <c r="A12023" t="n">
        <v>12022</v>
      </c>
      <c r="B12023" t="inlineStr">
        <is>
          <t>x̄MMXXII</t>
        </is>
      </c>
      <c r="C12023">
        <f>ROMAN(12022)</f>
        <v/>
      </c>
      <c r="D12023">
        <f>IF(B12023=C12023, "YES", "WRONG")</f>
        <v/>
      </c>
    </row>
    <row r="12024">
      <c r="A12024" t="n">
        <v>12023</v>
      </c>
      <c r="B12024" t="inlineStr">
        <is>
          <t>x̄MMXXIII</t>
        </is>
      </c>
      <c r="C12024">
        <f>ROMAN(12023)</f>
        <v/>
      </c>
      <c r="D12024">
        <f>IF(B12024=C12024, "YES", "WRONG")</f>
        <v/>
      </c>
    </row>
    <row r="12025">
      <c r="A12025" t="n">
        <v>12024</v>
      </c>
      <c r="B12025" t="inlineStr">
        <is>
          <t>x̄MMXXIV</t>
        </is>
      </c>
      <c r="C12025">
        <f>ROMAN(12024)</f>
        <v/>
      </c>
      <c r="D12025">
        <f>IF(B12025=C12025, "YES", "WRONG")</f>
        <v/>
      </c>
    </row>
    <row r="12026">
      <c r="A12026" t="n">
        <v>12025</v>
      </c>
      <c r="B12026" t="inlineStr">
        <is>
          <t>x̄MMXXV</t>
        </is>
      </c>
      <c r="C12026">
        <f>ROMAN(12025)</f>
        <v/>
      </c>
      <c r="D12026">
        <f>IF(B12026=C12026, "YES", "WRONG")</f>
        <v/>
      </c>
    </row>
    <row r="12027">
      <c r="A12027" t="n">
        <v>12026</v>
      </c>
      <c r="B12027" t="inlineStr">
        <is>
          <t>x̄MMXXVI</t>
        </is>
      </c>
      <c r="C12027">
        <f>ROMAN(12026)</f>
        <v/>
      </c>
      <c r="D12027">
        <f>IF(B12027=C12027, "YES", "WRONG")</f>
        <v/>
      </c>
    </row>
    <row r="12028">
      <c r="A12028" t="n">
        <v>12027</v>
      </c>
      <c r="B12028" t="inlineStr">
        <is>
          <t>x̄MMXXVII</t>
        </is>
      </c>
      <c r="C12028">
        <f>ROMAN(12027)</f>
        <v/>
      </c>
      <c r="D12028">
        <f>IF(B12028=C12028, "YES", "WRONG")</f>
        <v/>
      </c>
    </row>
    <row r="12029">
      <c r="A12029" t="n">
        <v>12028</v>
      </c>
      <c r="B12029" t="inlineStr">
        <is>
          <t>x̄MMXXVIII</t>
        </is>
      </c>
      <c r="C12029">
        <f>ROMAN(12028)</f>
        <v/>
      </c>
      <c r="D12029">
        <f>IF(B12029=C12029, "YES", "WRONG")</f>
        <v/>
      </c>
    </row>
    <row r="12030">
      <c r="A12030" t="n">
        <v>12029</v>
      </c>
      <c r="B12030" t="inlineStr">
        <is>
          <t>x̄MMXXIX</t>
        </is>
      </c>
      <c r="C12030">
        <f>ROMAN(12029)</f>
        <v/>
      </c>
      <c r="D12030">
        <f>IF(B12030=C12030, "YES", "WRONG")</f>
        <v/>
      </c>
    </row>
    <row r="12031">
      <c r="A12031" t="n">
        <v>12030</v>
      </c>
      <c r="B12031" t="inlineStr">
        <is>
          <t>x̄MMXXX</t>
        </is>
      </c>
      <c r="C12031">
        <f>ROMAN(12030)</f>
        <v/>
      </c>
      <c r="D12031">
        <f>IF(B12031=C12031, "YES", "WRONG")</f>
        <v/>
      </c>
    </row>
    <row r="12032">
      <c r="A12032" t="n">
        <v>12031</v>
      </c>
      <c r="B12032" t="inlineStr">
        <is>
          <t>x̄MMXXXI</t>
        </is>
      </c>
      <c r="C12032">
        <f>ROMAN(12031)</f>
        <v/>
      </c>
      <c r="D12032">
        <f>IF(B12032=C12032, "YES", "WRONG")</f>
        <v/>
      </c>
    </row>
    <row r="12033">
      <c r="A12033" t="n">
        <v>12032</v>
      </c>
      <c r="B12033" t="inlineStr">
        <is>
          <t>x̄MMXXXII</t>
        </is>
      </c>
      <c r="C12033">
        <f>ROMAN(12032)</f>
        <v/>
      </c>
      <c r="D12033">
        <f>IF(B12033=C12033, "YES", "WRONG")</f>
        <v/>
      </c>
    </row>
    <row r="12034">
      <c r="A12034" t="n">
        <v>12033</v>
      </c>
      <c r="B12034" t="inlineStr">
        <is>
          <t>x̄MMXXXIII</t>
        </is>
      </c>
      <c r="C12034">
        <f>ROMAN(12033)</f>
        <v/>
      </c>
      <c r="D12034">
        <f>IF(B12034=C12034, "YES", "WRONG")</f>
        <v/>
      </c>
    </row>
    <row r="12035">
      <c r="A12035" t="n">
        <v>12034</v>
      </c>
      <c r="B12035" t="inlineStr">
        <is>
          <t>x̄MMXXXIV</t>
        </is>
      </c>
      <c r="C12035">
        <f>ROMAN(12034)</f>
        <v/>
      </c>
      <c r="D12035">
        <f>IF(B12035=C12035, "YES", "WRONG")</f>
        <v/>
      </c>
    </row>
    <row r="12036">
      <c r="A12036" t="n">
        <v>12035</v>
      </c>
      <c r="B12036" t="inlineStr">
        <is>
          <t>x̄MMXXXV</t>
        </is>
      </c>
      <c r="C12036">
        <f>ROMAN(12035)</f>
        <v/>
      </c>
      <c r="D12036">
        <f>IF(B12036=C12036, "YES", "WRONG")</f>
        <v/>
      </c>
    </row>
    <row r="12037">
      <c r="A12037" t="n">
        <v>12036</v>
      </c>
      <c r="B12037" t="inlineStr">
        <is>
          <t>x̄MMXXXVI</t>
        </is>
      </c>
      <c r="C12037">
        <f>ROMAN(12036)</f>
        <v/>
      </c>
      <c r="D12037">
        <f>IF(B12037=C12037, "YES", "WRONG")</f>
        <v/>
      </c>
    </row>
    <row r="12038">
      <c r="A12038" t="n">
        <v>12037</v>
      </c>
      <c r="B12038" t="inlineStr">
        <is>
          <t>x̄MMXXXVII</t>
        </is>
      </c>
      <c r="C12038">
        <f>ROMAN(12037)</f>
        <v/>
      </c>
      <c r="D12038">
        <f>IF(B12038=C12038, "YES", "WRONG")</f>
        <v/>
      </c>
    </row>
    <row r="12039">
      <c r="A12039" t="n">
        <v>12038</v>
      </c>
      <c r="B12039" t="inlineStr">
        <is>
          <t>x̄MMXXXVIII</t>
        </is>
      </c>
      <c r="C12039">
        <f>ROMAN(12038)</f>
        <v/>
      </c>
      <c r="D12039">
        <f>IF(B12039=C12039, "YES", "WRONG")</f>
        <v/>
      </c>
    </row>
    <row r="12040">
      <c r="A12040" t="n">
        <v>12039</v>
      </c>
      <c r="B12040" t="inlineStr">
        <is>
          <t>x̄MMXXXIX</t>
        </is>
      </c>
      <c r="C12040">
        <f>ROMAN(12039)</f>
        <v/>
      </c>
      <c r="D12040">
        <f>IF(B12040=C12040, "YES", "WRONG")</f>
        <v/>
      </c>
    </row>
    <row r="12041">
      <c r="A12041" t="n">
        <v>12040</v>
      </c>
      <c r="B12041" t="inlineStr">
        <is>
          <t>x̄MMXL</t>
        </is>
      </c>
      <c r="C12041">
        <f>ROMAN(12040)</f>
        <v/>
      </c>
      <c r="D12041">
        <f>IF(B12041=C12041, "YES", "WRONG")</f>
        <v/>
      </c>
    </row>
    <row r="12042">
      <c r="A12042" t="n">
        <v>12041</v>
      </c>
      <c r="B12042" t="inlineStr">
        <is>
          <t>x̄MMXLI</t>
        </is>
      </c>
      <c r="C12042">
        <f>ROMAN(12041)</f>
        <v/>
      </c>
      <c r="D12042">
        <f>IF(B12042=C12042, "YES", "WRONG")</f>
        <v/>
      </c>
    </row>
    <row r="12043">
      <c r="A12043" t="n">
        <v>12042</v>
      </c>
      <c r="B12043" t="inlineStr">
        <is>
          <t>x̄MMXLII</t>
        </is>
      </c>
      <c r="C12043">
        <f>ROMAN(12042)</f>
        <v/>
      </c>
      <c r="D12043">
        <f>IF(B12043=C12043, "YES", "WRONG")</f>
        <v/>
      </c>
    </row>
    <row r="12044">
      <c r="A12044" t="n">
        <v>12043</v>
      </c>
      <c r="B12044" t="inlineStr">
        <is>
          <t>x̄MMXLIII</t>
        </is>
      </c>
      <c r="C12044">
        <f>ROMAN(12043)</f>
        <v/>
      </c>
      <c r="D12044">
        <f>IF(B12044=C12044, "YES", "WRONG")</f>
        <v/>
      </c>
    </row>
    <row r="12045">
      <c r="A12045" t="n">
        <v>12044</v>
      </c>
      <c r="B12045" t="inlineStr">
        <is>
          <t>x̄MMXLIV</t>
        </is>
      </c>
      <c r="C12045">
        <f>ROMAN(12044)</f>
        <v/>
      </c>
      <c r="D12045">
        <f>IF(B12045=C12045, "YES", "WRONG")</f>
        <v/>
      </c>
    </row>
    <row r="12046">
      <c r="A12046" t="n">
        <v>12045</v>
      </c>
      <c r="B12046" t="inlineStr">
        <is>
          <t>x̄MMXLV</t>
        </is>
      </c>
      <c r="C12046">
        <f>ROMAN(12045)</f>
        <v/>
      </c>
      <c r="D12046">
        <f>IF(B12046=C12046, "YES", "WRONG")</f>
        <v/>
      </c>
    </row>
    <row r="12047">
      <c r="A12047" t="n">
        <v>12046</v>
      </c>
      <c r="B12047" t="inlineStr">
        <is>
          <t>x̄MMXLVI</t>
        </is>
      </c>
      <c r="C12047">
        <f>ROMAN(12046)</f>
        <v/>
      </c>
      <c r="D12047">
        <f>IF(B12047=C12047, "YES", "WRONG")</f>
        <v/>
      </c>
    </row>
    <row r="12048">
      <c r="A12048" t="n">
        <v>12047</v>
      </c>
      <c r="B12048" t="inlineStr">
        <is>
          <t>x̄MMXLVII</t>
        </is>
      </c>
      <c r="C12048">
        <f>ROMAN(12047)</f>
        <v/>
      </c>
      <c r="D12048">
        <f>IF(B12048=C12048, "YES", "WRONG")</f>
        <v/>
      </c>
    </row>
    <row r="12049">
      <c r="A12049" t="n">
        <v>12048</v>
      </c>
      <c r="B12049" t="inlineStr">
        <is>
          <t>x̄MMXLVIII</t>
        </is>
      </c>
      <c r="C12049">
        <f>ROMAN(12048)</f>
        <v/>
      </c>
      <c r="D12049">
        <f>IF(B12049=C12049, "YES", "WRONG")</f>
        <v/>
      </c>
    </row>
    <row r="12050">
      <c r="A12050" t="n">
        <v>12049</v>
      </c>
      <c r="B12050" t="inlineStr">
        <is>
          <t>x̄MMXLIX</t>
        </is>
      </c>
      <c r="C12050">
        <f>ROMAN(12049)</f>
        <v/>
      </c>
      <c r="D12050">
        <f>IF(B12050=C12050, "YES", "WRONG")</f>
        <v/>
      </c>
    </row>
    <row r="12051">
      <c r="A12051" t="n">
        <v>12050</v>
      </c>
      <c r="B12051" t="inlineStr">
        <is>
          <t>x̄MML</t>
        </is>
      </c>
      <c r="C12051">
        <f>ROMAN(12050)</f>
        <v/>
      </c>
      <c r="D12051">
        <f>IF(B12051=C12051, "YES", "WRONG")</f>
        <v/>
      </c>
    </row>
    <row r="12052">
      <c r="A12052" t="n">
        <v>12051</v>
      </c>
      <c r="B12052" t="inlineStr">
        <is>
          <t>x̄MMLI</t>
        </is>
      </c>
      <c r="C12052">
        <f>ROMAN(12051)</f>
        <v/>
      </c>
      <c r="D12052">
        <f>IF(B12052=C12052, "YES", "WRONG")</f>
        <v/>
      </c>
    </row>
    <row r="12053">
      <c r="A12053" t="n">
        <v>12052</v>
      </c>
      <c r="B12053" t="inlineStr">
        <is>
          <t>x̄MMLII</t>
        </is>
      </c>
      <c r="C12053">
        <f>ROMAN(12052)</f>
        <v/>
      </c>
      <c r="D12053">
        <f>IF(B12053=C12053, "YES", "WRONG")</f>
        <v/>
      </c>
    </row>
    <row r="12054">
      <c r="A12054" t="n">
        <v>12053</v>
      </c>
      <c r="B12054" t="inlineStr">
        <is>
          <t>x̄MMLIII</t>
        </is>
      </c>
      <c r="C12054">
        <f>ROMAN(12053)</f>
        <v/>
      </c>
      <c r="D12054">
        <f>IF(B12054=C12054, "YES", "WRONG")</f>
        <v/>
      </c>
    </row>
    <row r="12055">
      <c r="A12055" t="n">
        <v>12054</v>
      </c>
      <c r="B12055" t="inlineStr">
        <is>
          <t>x̄MMLIV</t>
        </is>
      </c>
      <c r="C12055">
        <f>ROMAN(12054)</f>
        <v/>
      </c>
      <c r="D12055">
        <f>IF(B12055=C12055, "YES", "WRONG")</f>
        <v/>
      </c>
    </row>
    <row r="12056">
      <c r="A12056" t="n">
        <v>12055</v>
      </c>
      <c r="B12056" t="inlineStr">
        <is>
          <t>x̄MMLV</t>
        </is>
      </c>
      <c r="C12056">
        <f>ROMAN(12055)</f>
        <v/>
      </c>
      <c r="D12056">
        <f>IF(B12056=C12056, "YES", "WRONG")</f>
        <v/>
      </c>
    </row>
    <row r="12057">
      <c r="A12057" t="n">
        <v>12056</v>
      </c>
      <c r="B12057" t="inlineStr">
        <is>
          <t>x̄MMLVI</t>
        </is>
      </c>
      <c r="C12057">
        <f>ROMAN(12056)</f>
        <v/>
      </c>
      <c r="D12057">
        <f>IF(B12057=C12057, "YES", "WRONG")</f>
        <v/>
      </c>
    </row>
    <row r="12058">
      <c r="A12058" t="n">
        <v>12057</v>
      </c>
      <c r="B12058" t="inlineStr">
        <is>
          <t>x̄MMLVII</t>
        </is>
      </c>
      <c r="C12058">
        <f>ROMAN(12057)</f>
        <v/>
      </c>
      <c r="D12058">
        <f>IF(B12058=C12058, "YES", "WRONG")</f>
        <v/>
      </c>
    </row>
    <row r="12059">
      <c r="A12059" t="n">
        <v>12058</v>
      </c>
      <c r="B12059" t="inlineStr">
        <is>
          <t>x̄MMLVIII</t>
        </is>
      </c>
      <c r="C12059">
        <f>ROMAN(12058)</f>
        <v/>
      </c>
      <c r="D12059">
        <f>IF(B12059=C12059, "YES", "WRONG")</f>
        <v/>
      </c>
    </row>
    <row r="12060">
      <c r="A12060" t="n">
        <v>12059</v>
      </c>
      <c r="B12060" t="inlineStr">
        <is>
          <t>x̄MMLIX</t>
        </is>
      </c>
      <c r="C12060">
        <f>ROMAN(12059)</f>
        <v/>
      </c>
      <c r="D12060">
        <f>IF(B12060=C12060, "YES", "WRONG")</f>
        <v/>
      </c>
    </row>
    <row r="12061">
      <c r="A12061" t="n">
        <v>12060</v>
      </c>
      <c r="B12061" t="inlineStr">
        <is>
          <t>x̄MMLX</t>
        </is>
      </c>
      <c r="C12061">
        <f>ROMAN(12060)</f>
        <v/>
      </c>
      <c r="D12061">
        <f>IF(B12061=C12061, "YES", "WRONG")</f>
        <v/>
      </c>
    </row>
    <row r="12062">
      <c r="A12062" t="n">
        <v>12061</v>
      </c>
      <c r="B12062" t="inlineStr">
        <is>
          <t>x̄MMLXI</t>
        </is>
      </c>
      <c r="C12062">
        <f>ROMAN(12061)</f>
        <v/>
      </c>
      <c r="D12062">
        <f>IF(B12062=C12062, "YES", "WRONG")</f>
        <v/>
      </c>
    </row>
    <row r="12063">
      <c r="A12063" t="n">
        <v>12062</v>
      </c>
      <c r="B12063" t="inlineStr">
        <is>
          <t>x̄MMLXII</t>
        </is>
      </c>
      <c r="C12063">
        <f>ROMAN(12062)</f>
        <v/>
      </c>
      <c r="D12063">
        <f>IF(B12063=C12063, "YES", "WRONG")</f>
        <v/>
      </c>
    </row>
    <row r="12064">
      <c r="A12064" t="n">
        <v>12063</v>
      </c>
      <c r="B12064" t="inlineStr">
        <is>
          <t>x̄MMLXIII</t>
        </is>
      </c>
      <c r="C12064">
        <f>ROMAN(12063)</f>
        <v/>
      </c>
      <c r="D12064">
        <f>IF(B12064=C12064, "YES", "WRONG")</f>
        <v/>
      </c>
    </row>
    <row r="12065">
      <c r="A12065" t="n">
        <v>12064</v>
      </c>
      <c r="B12065" t="inlineStr">
        <is>
          <t>x̄MMLXIV</t>
        </is>
      </c>
      <c r="C12065">
        <f>ROMAN(12064)</f>
        <v/>
      </c>
      <c r="D12065">
        <f>IF(B12065=C12065, "YES", "WRONG")</f>
        <v/>
      </c>
    </row>
    <row r="12066">
      <c r="A12066" t="n">
        <v>12065</v>
      </c>
      <c r="B12066" t="inlineStr">
        <is>
          <t>x̄MMLXV</t>
        </is>
      </c>
      <c r="C12066">
        <f>ROMAN(12065)</f>
        <v/>
      </c>
      <c r="D12066">
        <f>IF(B12066=C12066, "YES", "WRONG")</f>
        <v/>
      </c>
    </row>
    <row r="12067">
      <c r="A12067" t="n">
        <v>12066</v>
      </c>
      <c r="B12067" t="inlineStr">
        <is>
          <t>x̄MMLXVI</t>
        </is>
      </c>
      <c r="C12067">
        <f>ROMAN(12066)</f>
        <v/>
      </c>
      <c r="D12067">
        <f>IF(B12067=C12067, "YES", "WRONG")</f>
        <v/>
      </c>
    </row>
    <row r="12068">
      <c r="A12068" t="n">
        <v>12067</v>
      </c>
      <c r="B12068" t="inlineStr">
        <is>
          <t>x̄MMLXVII</t>
        </is>
      </c>
      <c r="C12068">
        <f>ROMAN(12067)</f>
        <v/>
      </c>
      <c r="D12068">
        <f>IF(B12068=C12068, "YES", "WRONG")</f>
        <v/>
      </c>
    </row>
    <row r="12069">
      <c r="A12069" t="n">
        <v>12068</v>
      </c>
      <c r="B12069" t="inlineStr">
        <is>
          <t>x̄MMLXVIII</t>
        </is>
      </c>
      <c r="C12069">
        <f>ROMAN(12068)</f>
        <v/>
      </c>
      <c r="D12069">
        <f>IF(B12069=C12069, "YES", "WRONG")</f>
        <v/>
      </c>
    </row>
    <row r="12070">
      <c r="A12070" t="n">
        <v>12069</v>
      </c>
      <c r="B12070" t="inlineStr">
        <is>
          <t>x̄MMLXIX</t>
        </is>
      </c>
      <c r="C12070">
        <f>ROMAN(12069)</f>
        <v/>
      </c>
      <c r="D12070">
        <f>IF(B12070=C12070, "YES", "WRONG")</f>
        <v/>
      </c>
    </row>
    <row r="12071">
      <c r="A12071" t="n">
        <v>12070</v>
      </c>
      <c r="B12071" t="inlineStr">
        <is>
          <t>x̄MMLXX</t>
        </is>
      </c>
      <c r="C12071">
        <f>ROMAN(12070)</f>
        <v/>
      </c>
      <c r="D12071">
        <f>IF(B12071=C12071, "YES", "WRONG")</f>
        <v/>
      </c>
    </row>
    <row r="12072">
      <c r="A12072" t="n">
        <v>12071</v>
      </c>
      <c r="B12072" t="inlineStr">
        <is>
          <t>x̄MMLXXI</t>
        </is>
      </c>
      <c r="C12072">
        <f>ROMAN(12071)</f>
        <v/>
      </c>
      <c r="D12072">
        <f>IF(B12072=C12072, "YES", "WRONG")</f>
        <v/>
      </c>
    </row>
    <row r="12073">
      <c r="A12073" t="n">
        <v>12072</v>
      </c>
      <c r="B12073" t="inlineStr">
        <is>
          <t>x̄MMLXXII</t>
        </is>
      </c>
      <c r="C12073">
        <f>ROMAN(12072)</f>
        <v/>
      </c>
      <c r="D12073">
        <f>IF(B12073=C12073, "YES", "WRONG")</f>
        <v/>
      </c>
    </row>
    <row r="12074">
      <c r="A12074" t="n">
        <v>12073</v>
      </c>
      <c r="B12074" t="inlineStr">
        <is>
          <t>x̄MMLXXIII</t>
        </is>
      </c>
      <c r="C12074">
        <f>ROMAN(12073)</f>
        <v/>
      </c>
      <c r="D12074">
        <f>IF(B12074=C12074, "YES", "WRONG")</f>
        <v/>
      </c>
    </row>
    <row r="12075">
      <c r="A12075" t="n">
        <v>12074</v>
      </c>
      <c r="B12075" t="inlineStr">
        <is>
          <t>x̄MMLXXIV</t>
        </is>
      </c>
      <c r="C12075">
        <f>ROMAN(12074)</f>
        <v/>
      </c>
      <c r="D12075">
        <f>IF(B12075=C12075, "YES", "WRONG")</f>
        <v/>
      </c>
    </row>
    <row r="12076">
      <c r="A12076" t="n">
        <v>12075</v>
      </c>
      <c r="B12076" t="inlineStr">
        <is>
          <t>x̄MMLXXV</t>
        </is>
      </c>
      <c r="C12076">
        <f>ROMAN(12075)</f>
        <v/>
      </c>
      <c r="D12076">
        <f>IF(B12076=C12076, "YES", "WRONG")</f>
        <v/>
      </c>
    </row>
    <row r="12077">
      <c r="A12077" t="n">
        <v>12076</v>
      </c>
      <c r="B12077" t="inlineStr">
        <is>
          <t>x̄MMLXXVI</t>
        </is>
      </c>
      <c r="C12077">
        <f>ROMAN(12076)</f>
        <v/>
      </c>
      <c r="D12077">
        <f>IF(B12077=C12077, "YES", "WRONG")</f>
        <v/>
      </c>
    </row>
    <row r="12078">
      <c r="A12078" t="n">
        <v>12077</v>
      </c>
      <c r="B12078" t="inlineStr">
        <is>
          <t>x̄MMLXXVII</t>
        </is>
      </c>
      <c r="C12078">
        <f>ROMAN(12077)</f>
        <v/>
      </c>
      <c r="D12078">
        <f>IF(B12078=C12078, "YES", "WRONG")</f>
        <v/>
      </c>
    </row>
    <row r="12079">
      <c r="A12079" t="n">
        <v>12078</v>
      </c>
      <c r="B12079" t="inlineStr">
        <is>
          <t>x̄MMLXXVIII</t>
        </is>
      </c>
      <c r="C12079">
        <f>ROMAN(12078)</f>
        <v/>
      </c>
      <c r="D12079">
        <f>IF(B12079=C12079, "YES", "WRONG")</f>
        <v/>
      </c>
    </row>
    <row r="12080">
      <c r="A12080" t="n">
        <v>12079</v>
      </c>
      <c r="B12080" t="inlineStr">
        <is>
          <t>x̄MMLXXIX</t>
        </is>
      </c>
      <c r="C12080">
        <f>ROMAN(12079)</f>
        <v/>
      </c>
      <c r="D12080">
        <f>IF(B12080=C12080, "YES", "WRONG")</f>
        <v/>
      </c>
    </row>
    <row r="12081">
      <c r="A12081" t="n">
        <v>12080</v>
      </c>
      <c r="B12081" t="inlineStr">
        <is>
          <t>x̄MMLXXX</t>
        </is>
      </c>
      <c r="C12081">
        <f>ROMAN(12080)</f>
        <v/>
      </c>
      <c r="D12081">
        <f>IF(B12081=C12081, "YES", "WRONG")</f>
        <v/>
      </c>
    </row>
    <row r="12082">
      <c r="A12082" t="n">
        <v>12081</v>
      </c>
      <c r="B12082" t="inlineStr">
        <is>
          <t>x̄MMLXXXI</t>
        </is>
      </c>
      <c r="C12082">
        <f>ROMAN(12081)</f>
        <v/>
      </c>
      <c r="D12082">
        <f>IF(B12082=C12082, "YES", "WRONG")</f>
        <v/>
      </c>
    </row>
    <row r="12083">
      <c r="A12083" t="n">
        <v>12082</v>
      </c>
      <c r="B12083" t="inlineStr">
        <is>
          <t>x̄MMLXXXII</t>
        </is>
      </c>
      <c r="C12083">
        <f>ROMAN(12082)</f>
        <v/>
      </c>
      <c r="D12083">
        <f>IF(B12083=C12083, "YES", "WRONG")</f>
        <v/>
      </c>
    </row>
    <row r="12084">
      <c r="A12084" t="n">
        <v>12083</v>
      </c>
      <c r="B12084" t="inlineStr">
        <is>
          <t>x̄MMLXXXIII</t>
        </is>
      </c>
      <c r="C12084">
        <f>ROMAN(12083)</f>
        <v/>
      </c>
      <c r="D12084">
        <f>IF(B12084=C12084, "YES", "WRONG")</f>
        <v/>
      </c>
    </row>
    <row r="12085">
      <c r="A12085" t="n">
        <v>12084</v>
      </c>
      <c r="B12085" t="inlineStr">
        <is>
          <t>x̄MMLXXXIV</t>
        </is>
      </c>
      <c r="C12085">
        <f>ROMAN(12084)</f>
        <v/>
      </c>
      <c r="D12085">
        <f>IF(B12085=C12085, "YES", "WRONG")</f>
        <v/>
      </c>
    </row>
    <row r="12086">
      <c r="A12086" t="n">
        <v>12085</v>
      </c>
      <c r="B12086" t="inlineStr">
        <is>
          <t>x̄MMLXXXV</t>
        </is>
      </c>
      <c r="C12086">
        <f>ROMAN(12085)</f>
        <v/>
      </c>
      <c r="D12086">
        <f>IF(B12086=C12086, "YES", "WRONG")</f>
        <v/>
      </c>
    </row>
    <row r="12087">
      <c r="A12087" t="n">
        <v>12086</v>
      </c>
      <c r="B12087" t="inlineStr">
        <is>
          <t>x̄MMLXXXVI</t>
        </is>
      </c>
      <c r="C12087">
        <f>ROMAN(12086)</f>
        <v/>
      </c>
      <c r="D12087">
        <f>IF(B12087=C12087, "YES", "WRONG")</f>
        <v/>
      </c>
    </row>
    <row r="12088">
      <c r="A12088" t="n">
        <v>12087</v>
      </c>
      <c r="B12088" t="inlineStr">
        <is>
          <t>x̄MMLXXXVII</t>
        </is>
      </c>
      <c r="C12088">
        <f>ROMAN(12087)</f>
        <v/>
      </c>
      <c r="D12088">
        <f>IF(B12088=C12088, "YES", "WRONG")</f>
        <v/>
      </c>
    </row>
    <row r="12089">
      <c r="A12089" t="n">
        <v>12088</v>
      </c>
      <c r="B12089" t="inlineStr">
        <is>
          <t>x̄MMLXXXVIII</t>
        </is>
      </c>
      <c r="C12089">
        <f>ROMAN(12088)</f>
        <v/>
      </c>
      <c r="D12089">
        <f>IF(B12089=C12089, "YES", "WRONG")</f>
        <v/>
      </c>
    </row>
    <row r="12090">
      <c r="A12090" t="n">
        <v>12089</v>
      </c>
      <c r="B12090" t="inlineStr">
        <is>
          <t>x̄MMLXXXIX</t>
        </is>
      </c>
      <c r="C12090">
        <f>ROMAN(12089)</f>
        <v/>
      </c>
      <c r="D12090">
        <f>IF(B12090=C12090, "YES", "WRONG")</f>
        <v/>
      </c>
    </row>
    <row r="12091">
      <c r="A12091" t="n">
        <v>12090</v>
      </c>
      <c r="B12091" t="inlineStr">
        <is>
          <t>x̄MMXC</t>
        </is>
      </c>
      <c r="C12091">
        <f>ROMAN(12090)</f>
        <v/>
      </c>
      <c r="D12091">
        <f>IF(B12091=C12091, "YES", "WRONG")</f>
        <v/>
      </c>
    </row>
    <row r="12092">
      <c r="A12092" t="n">
        <v>12091</v>
      </c>
      <c r="B12092" t="inlineStr">
        <is>
          <t>x̄MMXCI</t>
        </is>
      </c>
      <c r="C12092">
        <f>ROMAN(12091)</f>
        <v/>
      </c>
      <c r="D12092">
        <f>IF(B12092=C12092, "YES", "WRONG")</f>
        <v/>
      </c>
    </row>
    <row r="12093">
      <c r="A12093" t="n">
        <v>12092</v>
      </c>
      <c r="B12093" t="inlineStr">
        <is>
          <t>x̄MMXCII</t>
        </is>
      </c>
      <c r="C12093">
        <f>ROMAN(12092)</f>
        <v/>
      </c>
      <c r="D12093">
        <f>IF(B12093=C12093, "YES", "WRONG")</f>
        <v/>
      </c>
    </row>
    <row r="12094">
      <c r="A12094" t="n">
        <v>12093</v>
      </c>
      <c r="B12094" t="inlineStr">
        <is>
          <t>x̄MMXCIII</t>
        </is>
      </c>
      <c r="C12094">
        <f>ROMAN(12093)</f>
        <v/>
      </c>
      <c r="D12094">
        <f>IF(B12094=C12094, "YES", "WRONG")</f>
        <v/>
      </c>
    </row>
    <row r="12095">
      <c r="A12095" t="n">
        <v>12094</v>
      </c>
      <c r="B12095" t="inlineStr">
        <is>
          <t>x̄MMXCIV</t>
        </is>
      </c>
      <c r="C12095">
        <f>ROMAN(12094)</f>
        <v/>
      </c>
      <c r="D12095">
        <f>IF(B12095=C12095, "YES", "WRONG")</f>
        <v/>
      </c>
    </row>
    <row r="12096">
      <c r="A12096" t="n">
        <v>12095</v>
      </c>
      <c r="B12096" t="inlineStr">
        <is>
          <t>x̄MMXCV</t>
        </is>
      </c>
      <c r="C12096">
        <f>ROMAN(12095)</f>
        <v/>
      </c>
      <c r="D12096">
        <f>IF(B12096=C12096, "YES", "WRONG")</f>
        <v/>
      </c>
    </row>
    <row r="12097">
      <c r="A12097" t="n">
        <v>12096</v>
      </c>
      <c r="B12097" t="inlineStr">
        <is>
          <t>x̄MMXCVI</t>
        </is>
      </c>
      <c r="C12097">
        <f>ROMAN(12096)</f>
        <v/>
      </c>
      <c r="D12097">
        <f>IF(B12097=C12097, "YES", "WRONG")</f>
        <v/>
      </c>
    </row>
    <row r="12098">
      <c r="A12098" t="n">
        <v>12097</v>
      </c>
      <c r="B12098" t="inlineStr">
        <is>
          <t>x̄MMXCVII</t>
        </is>
      </c>
      <c r="C12098">
        <f>ROMAN(12097)</f>
        <v/>
      </c>
      <c r="D12098">
        <f>IF(B12098=C12098, "YES", "WRONG")</f>
        <v/>
      </c>
    </row>
    <row r="12099">
      <c r="A12099" t="n">
        <v>12098</v>
      </c>
      <c r="B12099" t="inlineStr">
        <is>
          <t>x̄MMXCVIII</t>
        </is>
      </c>
      <c r="C12099">
        <f>ROMAN(12098)</f>
        <v/>
      </c>
      <c r="D12099">
        <f>IF(B12099=C12099, "YES", "WRONG")</f>
        <v/>
      </c>
    </row>
    <row r="12100">
      <c r="A12100" t="n">
        <v>12099</v>
      </c>
      <c r="B12100" t="inlineStr">
        <is>
          <t>x̄MMXCIX</t>
        </is>
      </c>
      <c r="C12100">
        <f>ROMAN(12099)</f>
        <v/>
      </c>
      <c r="D12100">
        <f>IF(B12100=C12100, "YES", "WRONG")</f>
        <v/>
      </c>
    </row>
    <row r="12101">
      <c r="A12101" t="n">
        <v>12100</v>
      </c>
      <c r="B12101" t="inlineStr">
        <is>
          <t>x̄MMC</t>
        </is>
      </c>
      <c r="C12101">
        <f>ROMAN(12100)</f>
        <v/>
      </c>
      <c r="D12101">
        <f>IF(B12101=C12101, "YES", "WRONG")</f>
        <v/>
      </c>
    </row>
    <row r="12102">
      <c r="A12102" t="n">
        <v>12101</v>
      </c>
      <c r="B12102" t="inlineStr">
        <is>
          <t>x̄MMCI</t>
        </is>
      </c>
      <c r="C12102">
        <f>ROMAN(12101)</f>
        <v/>
      </c>
      <c r="D12102">
        <f>IF(B12102=C12102, "YES", "WRONG")</f>
        <v/>
      </c>
    </row>
    <row r="12103">
      <c r="A12103" t="n">
        <v>12102</v>
      </c>
      <c r="B12103" t="inlineStr">
        <is>
          <t>x̄MMCII</t>
        </is>
      </c>
      <c r="C12103">
        <f>ROMAN(12102)</f>
        <v/>
      </c>
      <c r="D12103">
        <f>IF(B12103=C12103, "YES", "WRONG")</f>
        <v/>
      </c>
    </row>
    <row r="12104">
      <c r="A12104" t="n">
        <v>12103</v>
      </c>
      <c r="B12104" t="inlineStr">
        <is>
          <t>x̄MMCIII</t>
        </is>
      </c>
      <c r="C12104">
        <f>ROMAN(12103)</f>
        <v/>
      </c>
      <c r="D12104">
        <f>IF(B12104=C12104, "YES", "WRONG")</f>
        <v/>
      </c>
    </row>
    <row r="12105">
      <c r="A12105" t="n">
        <v>12104</v>
      </c>
      <c r="B12105" t="inlineStr">
        <is>
          <t>x̄MMCIV</t>
        </is>
      </c>
      <c r="C12105">
        <f>ROMAN(12104)</f>
        <v/>
      </c>
      <c r="D12105">
        <f>IF(B12105=C12105, "YES", "WRONG")</f>
        <v/>
      </c>
    </row>
    <row r="12106">
      <c r="A12106" t="n">
        <v>12105</v>
      </c>
      <c r="B12106" t="inlineStr">
        <is>
          <t>x̄MMCV</t>
        </is>
      </c>
      <c r="C12106">
        <f>ROMAN(12105)</f>
        <v/>
      </c>
      <c r="D12106">
        <f>IF(B12106=C12106, "YES", "WRONG")</f>
        <v/>
      </c>
    </row>
    <row r="12107">
      <c r="A12107" t="n">
        <v>12106</v>
      </c>
      <c r="B12107" t="inlineStr">
        <is>
          <t>x̄MMCVI</t>
        </is>
      </c>
      <c r="C12107">
        <f>ROMAN(12106)</f>
        <v/>
      </c>
      <c r="D12107">
        <f>IF(B12107=C12107, "YES", "WRONG")</f>
        <v/>
      </c>
    </row>
    <row r="12108">
      <c r="A12108" t="n">
        <v>12107</v>
      </c>
      <c r="B12108" t="inlineStr">
        <is>
          <t>x̄MMCVII</t>
        </is>
      </c>
      <c r="C12108">
        <f>ROMAN(12107)</f>
        <v/>
      </c>
      <c r="D12108">
        <f>IF(B12108=C12108, "YES", "WRONG")</f>
        <v/>
      </c>
    </row>
    <row r="12109">
      <c r="A12109" t="n">
        <v>12108</v>
      </c>
      <c r="B12109" t="inlineStr">
        <is>
          <t>x̄MMCVIII</t>
        </is>
      </c>
      <c r="C12109">
        <f>ROMAN(12108)</f>
        <v/>
      </c>
      <c r="D12109">
        <f>IF(B12109=C12109, "YES", "WRONG")</f>
        <v/>
      </c>
    </row>
    <row r="12110">
      <c r="A12110" t="n">
        <v>12109</v>
      </c>
      <c r="B12110" t="inlineStr">
        <is>
          <t>x̄MMCIX</t>
        </is>
      </c>
      <c r="C12110">
        <f>ROMAN(12109)</f>
        <v/>
      </c>
      <c r="D12110">
        <f>IF(B12110=C12110, "YES", "WRONG")</f>
        <v/>
      </c>
    </row>
    <row r="12111">
      <c r="A12111" t="n">
        <v>12110</v>
      </c>
      <c r="B12111" t="inlineStr">
        <is>
          <t>x̄MMCX</t>
        </is>
      </c>
      <c r="C12111">
        <f>ROMAN(12110)</f>
        <v/>
      </c>
      <c r="D12111">
        <f>IF(B12111=C12111, "YES", "WRONG")</f>
        <v/>
      </c>
    </row>
    <row r="12112">
      <c r="A12112" t="n">
        <v>12111</v>
      </c>
      <c r="B12112" t="inlineStr">
        <is>
          <t>x̄MMCXI</t>
        </is>
      </c>
      <c r="C12112">
        <f>ROMAN(12111)</f>
        <v/>
      </c>
      <c r="D12112">
        <f>IF(B12112=C12112, "YES", "WRONG")</f>
        <v/>
      </c>
    </row>
    <row r="12113">
      <c r="A12113" t="n">
        <v>12112</v>
      </c>
      <c r="B12113" t="inlineStr">
        <is>
          <t>x̄MMCXII</t>
        </is>
      </c>
      <c r="C12113">
        <f>ROMAN(12112)</f>
        <v/>
      </c>
      <c r="D12113">
        <f>IF(B12113=C12113, "YES", "WRONG")</f>
        <v/>
      </c>
    </row>
    <row r="12114">
      <c r="A12114" t="n">
        <v>12113</v>
      </c>
      <c r="B12114" t="inlineStr">
        <is>
          <t>x̄MMCXIII</t>
        </is>
      </c>
      <c r="C12114">
        <f>ROMAN(12113)</f>
        <v/>
      </c>
      <c r="D12114">
        <f>IF(B12114=C12114, "YES", "WRONG")</f>
        <v/>
      </c>
    </row>
    <row r="12115">
      <c r="A12115" t="n">
        <v>12114</v>
      </c>
      <c r="B12115" t="inlineStr">
        <is>
          <t>x̄MMCXIV</t>
        </is>
      </c>
      <c r="C12115">
        <f>ROMAN(12114)</f>
        <v/>
      </c>
      <c r="D12115">
        <f>IF(B12115=C12115, "YES", "WRONG")</f>
        <v/>
      </c>
    </row>
    <row r="12116">
      <c r="A12116" t="n">
        <v>12115</v>
      </c>
      <c r="B12116" t="inlineStr">
        <is>
          <t>x̄MMCXV</t>
        </is>
      </c>
      <c r="C12116">
        <f>ROMAN(12115)</f>
        <v/>
      </c>
      <c r="D12116">
        <f>IF(B12116=C12116, "YES", "WRONG")</f>
        <v/>
      </c>
    </row>
    <row r="12117">
      <c r="A12117" t="n">
        <v>12116</v>
      </c>
      <c r="B12117" t="inlineStr">
        <is>
          <t>x̄MMCXVI</t>
        </is>
      </c>
      <c r="C12117">
        <f>ROMAN(12116)</f>
        <v/>
      </c>
      <c r="D12117">
        <f>IF(B12117=C12117, "YES", "WRONG")</f>
        <v/>
      </c>
    </row>
    <row r="12118">
      <c r="A12118" t="n">
        <v>12117</v>
      </c>
      <c r="B12118" t="inlineStr">
        <is>
          <t>x̄MMCXVII</t>
        </is>
      </c>
      <c r="C12118">
        <f>ROMAN(12117)</f>
        <v/>
      </c>
      <c r="D12118">
        <f>IF(B12118=C12118, "YES", "WRONG")</f>
        <v/>
      </c>
    </row>
    <row r="12119">
      <c r="A12119" t="n">
        <v>12118</v>
      </c>
      <c r="B12119" t="inlineStr">
        <is>
          <t>x̄MMCXVIII</t>
        </is>
      </c>
      <c r="C12119">
        <f>ROMAN(12118)</f>
        <v/>
      </c>
      <c r="D12119">
        <f>IF(B12119=C12119, "YES", "WRONG")</f>
        <v/>
      </c>
    </row>
    <row r="12120">
      <c r="A12120" t="n">
        <v>12119</v>
      </c>
      <c r="B12120" t="inlineStr">
        <is>
          <t>x̄MMCXIX</t>
        </is>
      </c>
      <c r="C12120">
        <f>ROMAN(12119)</f>
        <v/>
      </c>
      <c r="D12120">
        <f>IF(B12120=C12120, "YES", "WRONG")</f>
        <v/>
      </c>
    </row>
    <row r="12121">
      <c r="A12121" t="n">
        <v>12120</v>
      </c>
      <c r="B12121" t="inlineStr">
        <is>
          <t>x̄MMCXX</t>
        </is>
      </c>
      <c r="C12121">
        <f>ROMAN(12120)</f>
        <v/>
      </c>
      <c r="D12121">
        <f>IF(B12121=C12121, "YES", "WRONG")</f>
        <v/>
      </c>
    </row>
    <row r="12122">
      <c r="A12122" t="n">
        <v>12121</v>
      </c>
      <c r="B12122" t="inlineStr">
        <is>
          <t>x̄MMCXXI</t>
        </is>
      </c>
      <c r="C12122">
        <f>ROMAN(12121)</f>
        <v/>
      </c>
      <c r="D12122">
        <f>IF(B12122=C12122, "YES", "WRONG")</f>
        <v/>
      </c>
    </row>
    <row r="12123">
      <c r="A12123" t="n">
        <v>12122</v>
      </c>
      <c r="B12123" t="inlineStr">
        <is>
          <t>x̄MMCXXII</t>
        </is>
      </c>
      <c r="C12123">
        <f>ROMAN(12122)</f>
        <v/>
      </c>
      <c r="D12123">
        <f>IF(B12123=C12123, "YES", "WRONG")</f>
        <v/>
      </c>
    </row>
    <row r="12124">
      <c r="A12124" t="n">
        <v>12123</v>
      </c>
      <c r="B12124" t="inlineStr">
        <is>
          <t>x̄MMCXXIII</t>
        </is>
      </c>
      <c r="C12124">
        <f>ROMAN(12123)</f>
        <v/>
      </c>
      <c r="D12124">
        <f>IF(B12124=C12124, "YES", "WRONG")</f>
        <v/>
      </c>
    </row>
    <row r="12125">
      <c r="A12125" t="n">
        <v>12124</v>
      </c>
      <c r="B12125" t="inlineStr">
        <is>
          <t>x̄MMCXXIV</t>
        </is>
      </c>
      <c r="C12125">
        <f>ROMAN(12124)</f>
        <v/>
      </c>
      <c r="D12125">
        <f>IF(B12125=C12125, "YES", "WRONG")</f>
        <v/>
      </c>
    </row>
    <row r="12126">
      <c r="A12126" t="n">
        <v>12125</v>
      </c>
      <c r="B12126" t="inlineStr">
        <is>
          <t>x̄MMCXXV</t>
        </is>
      </c>
      <c r="C12126">
        <f>ROMAN(12125)</f>
        <v/>
      </c>
      <c r="D12126">
        <f>IF(B12126=C12126, "YES", "WRONG")</f>
        <v/>
      </c>
    </row>
    <row r="12127">
      <c r="A12127" t="n">
        <v>12126</v>
      </c>
      <c r="B12127" t="inlineStr">
        <is>
          <t>x̄MMCXXVI</t>
        </is>
      </c>
      <c r="C12127">
        <f>ROMAN(12126)</f>
        <v/>
      </c>
      <c r="D12127">
        <f>IF(B12127=C12127, "YES", "WRONG")</f>
        <v/>
      </c>
    </row>
    <row r="12128">
      <c r="A12128" t="n">
        <v>12127</v>
      </c>
      <c r="B12128" t="inlineStr">
        <is>
          <t>x̄MMCXXVII</t>
        </is>
      </c>
      <c r="C12128">
        <f>ROMAN(12127)</f>
        <v/>
      </c>
      <c r="D12128">
        <f>IF(B12128=C12128, "YES", "WRONG")</f>
        <v/>
      </c>
    </row>
    <row r="12129">
      <c r="A12129" t="n">
        <v>12128</v>
      </c>
      <c r="B12129" t="inlineStr">
        <is>
          <t>x̄MMCXXVIII</t>
        </is>
      </c>
      <c r="C12129">
        <f>ROMAN(12128)</f>
        <v/>
      </c>
      <c r="D12129">
        <f>IF(B12129=C12129, "YES", "WRONG")</f>
        <v/>
      </c>
    </row>
    <row r="12130">
      <c r="A12130" t="n">
        <v>12129</v>
      </c>
      <c r="B12130" t="inlineStr">
        <is>
          <t>x̄MMCXXIX</t>
        </is>
      </c>
      <c r="C12130">
        <f>ROMAN(12129)</f>
        <v/>
      </c>
      <c r="D12130">
        <f>IF(B12130=C12130, "YES", "WRONG")</f>
        <v/>
      </c>
    </row>
    <row r="12131">
      <c r="A12131" t="n">
        <v>12130</v>
      </c>
      <c r="B12131" t="inlineStr">
        <is>
          <t>x̄MMCXXX</t>
        </is>
      </c>
      <c r="C12131">
        <f>ROMAN(12130)</f>
        <v/>
      </c>
      <c r="D12131">
        <f>IF(B12131=C12131, "YES", "WRONG")</f>
        <v/>
      </c>
    </row>
    <row r="12132">
      <c r="A12132" t="n">
        <v>12131</v>
      </c>
      <c r="B12132" t="inlineStr">
        <is>
          <t>x̄MMCXXXI</t>
        </is>
      </c>
      <c r="C12132">
        <f>ROMAN(12131)</f>
        <v/>
      </c>
      <c r="D12132">
        <f>IF(B12132=C12132, "YES", "WRONG")</f>
        <v/>
      </c>
    </row>
    <row r="12133">
      <c r="A12133" t="n">
        <v>12132</v>
      </c>
      <c r="B12133" t="inlineStr">
        <is>
          <t>x̄MMCXXXII</t>
        </is>
      </c>
      <c r="C12133">
        <f>ROMAN(12132)</f>
        <v/>
      </c>
      <c r="D12133">
        <f>IF(B12133=C12133, "YES", "WRONG")</f>
        <v/>
      </c>
    </row>
    <row r="12134">
      <c r="A12134" t="n">
        <v>12133</v>
      </c>
      <c r="B12134" t="inlineStr">
        <is>
          <t>x̄MMCXXXIII</t>
        </is>
      </c>
      <c r="C12134">
        <f>ROMAN(12133)</f>
        <v/>
      </c>
      <c r="D12134">
        <f>IF(B12134=C12134, "YES", "WRONG")</f>
        <v/>
      </c>
    </row>
    <row r="12135">
      <c r="A12135" t="n">
        <v>12134</v>
      </c>
      <c r="B12135" t="inlineStr">
        <is>
          <t>x̄MMCXXXIV</t>
        </is>
      </c>
      <c r="C12135">
        <f>ROMAN(12134)</f>
        <v/>
      </c>
      <c r="D12135">
        <f>IF(B12135=C12135, "YES", "WRONG")</f>
        <v/>
      </c>
    </row>
    <row r="12136">
      <c r="A12136" t="n">
        <v>12135</v>
      </c>
      <c r="B12136" t="inlineStr">
        <is>
          <t>x̄MMCXXXV</t>
        </is>
      </c>
      <c r="C12136">
        <f>ROMAN(12135)</f>
        <v/>
      </c>
      <c r="D12136">
        <f>IF(B12136=C12136, "YES", "WRONG")</f>
        <v/>
      </c>
    </row>
    <row r="12137">
      <c r="A12137" t="n">
        <v>12136</v>
      </c>
      <c r="B12137" t="inlineStr">
        <is>
          <t>x̄MMCXXXVI</t>
        </is>
      </c>
      <c r="C12137">
        <f>ROMAN(12136)</f>
        <v/>
      </c>
      <c r="D12137">
        <f>IF(B12137=C12137, "YES", "WRONG")</f>
        <v/>
      </c>
    </row>
    <row r="12138">
      <c r="A12138" t="n">
        <v>12137</v>
      </c>
      <c r="B12138" t="inlineStr">
        <is>
          <t>x̄MMCXXXVII</t>
        </is>
      </c>
      <c r="C12138">
        <f>ROMAN(12137)</f>
        <v/>
      </c>
      <c r="D12138">
        <f>IF(B12138=C12138, "YES", "WRONG")</f>
        <v/>
      </c>
    </row>
    <row r="12139">
      <c r="A12139" t="n">
        <v>12138</v>
      </c>
      <c r="B12139" t="inlineStr">
        <is>
          <t>x̄MMCXXXVIII</t>
        </is>
      </c>
      <c r="C12139">
        <f>ROMAN(12138)</f>
        <v/>
      </c>
      <c r="D12139">
        <f>IF(B12139=C12139, "YES", "WRONG")</f>
        <v/>
      </c>
    </row>
    <row r="12140">
      <c r="A12140" t="n">
        <v>12139</v>
      </c>
      <c r="B12140" t="inlineStr">
        <is>
          <t>x̄MMCXXXIX</t>
        </is>
      </c>
      <c r="C12140">
        <f>ROMAN(12139)</f>
        <v/>
      </c>
      <c r="D12140">
        <f>IF(B12140=C12140, "YES", "WRONG")</f>
        <v/>
      </c>
    </row>
    <row r="12141">
      <c r="A12141" t="n">
        <v>12140</v>
      </c>
      <c r="B12141" t="inlineStr">
        <is>
          <t>x̄MMCXL</t>
        </is>
      </c>
      <c r="C12141">
        <f>ROMAN(12140)</f>
        <v/>
      </c>
      <c r="D12141">
        <f>IF(B12141=C12141, "YES", "WRONG")</f>
        <v/>
      </c>
    </row>
    <row r="12142">
      <c r="A12142" t="n">
        <v>12141</v>
      </c>
      <c r="B12142" t="inlineStr">
        <is>
          <t>x̄MMCXLI</t>
        </is>
      </c>
      <c r="C12142">
        <f>ROMAN(12141)</f>
        <v/>
      </c>
      <c r="D12142">
        <f>IF(B12142=C12142, "YES", "WRONG")</f>
        <v/>
      </c>
    </row>
    <row r="12143">
      <c r="A12143" t="n">
        <v>12142</v>
      </c>
      <c r="B12143" t="inlineStr">
        <is>
          <t>x̄MMCXLII</t>
        </is>
      </c>
      <c r="C12143">
        <f>ROMAN(12142)</f>
        <v/>
      </c>
      <c r="D12143">
        <f>IF(B12143=C12143, "YES", "WRONG")</f>
        <v/>
      </c>
    </row>
    <row r="12144">
      <c r="A12144" t="n">
        <v>12143</v>
      </c>
      <c r="B12144" t="inlineStr">
        <is>
          <t>x̄MMCXLIII</t>
        </is>
      </c>
      <c r="C12144">
        <f>ROMAN(12143)</f>
        <v/>
      </c>
      <c r="D12144">
        <f>IF(B12144=C12144, "YES", "WRONG")</f>
        <v/>
      </c>
    </row>
    <row r="12145">
      <c r="A12145" t="n">
        <v>12144</v>
      </c>
      <c r="B12145" t="inlineStr">
        <is>
          <t>x̄MMCXLIV</t>
        </is>
      </c>
      <c r="C12145">
        <f>ROMAN(12144)</f>
        <v/>
      </c>
      <c r="D12145">
        <f>IF(B12145=C12145, "YES", "WRONG")</f>
        <v/>
      </c>
    </row>
    <row r="12146">
      <c r="A12146" t="n">
        <v>12145</v>
      </c>
      <c r="B12146" t="inlineStr">
        <is>
          <t>x̄MMCXLV</t>
        </is>
      </c>
      <c r="C12146">
        <f>ROMAN(12145)</f>
        <v/>
      </c>
      <c r="D12146">
        <f>IF(B12146=C12146, "YES", "WRONG")</f>
        <v/>
      </c>
    </row>
    <row r="12147">
      <c r="A12147" t="n">
        <v>12146</v>
      </c>
      <c r="B12147" t="inlineStr">
        <is>
          <t>x̄MMCXLVI</t>
        </is>
      </c>
      <c r="C12147">
        <f>ROMAN(12146)</f>
        <v/>
      </c>
      <c r="D12147">
        <f>IF(B12147=C12147, "YES", "WRONG")</f>
        <v/>
      </c>
    </row>
    <row r="12148">
      <c r="A12148" t="n">
        <v>12147</v>
      </c>
      <c r="B12148" t="inlineStr">
        <is>
          <t>x̄MMCXLVII</t>
        </is>
      </c>
      <c r="C12148">
        <f>ROMAN(12147)</f>
        <v/>
      </c>
      <c r="D12148">
        <f>IF(B12148=C12148, "YES", "WRONG")</f>
        <v/>
      </c>
    </row>
    <row r="12149">
      <c r="A12149" t="n">
        <v>12148</v>
      </c>
      <c r="B12149" t="inlineStr">
        <is>
          <t>x̄MMCXLVIII</t>
        </is>
      </c>
      <c r="C12149">
        <f>ROMAN(12148)</f>
        <v/>
      </c>
      <c r="D12149">
        <f>IF(B12149=C12149, "YES", "WRONG")</f>
        <v/>
      </c>
    </row>
    <row r="12150">
      <c r="A12150" t="n">
        <v>12149</v>
      </c>
      <c r="B12150" t="inlineStr">
        <is>
          <t>x̄MMCXLIX</t>
        </is>
      </c>
      <c r="C12150">
        <f>ROMAN(12149)</f>
        <v/>
      </c>
      <c r="D12150">
        <f>IF(B12150=C12150, "YES", "WRONG")</f>
        <v/>
      </c>
    </row>
    <row r="12151">
      <c r="A12151" t="n">
        <v>12150</v>
      </c>
      <c r="B12151" t="inlineStr">
        <is>
          <t>x̄MMCL</t>
        </is>
      </c>
      <c r="C12151">
        <f>ROMAN(12150)</f>
        <v/>
      </c>
      <c r="D12151">
        <f>IF(B12151=C12151, "YES", "WRONG")</f>
        <v/>
      </c>
    </row>
    <row r="12152">
      <c r="A12152" t="n">
        <v>12151</v>
      </c>
      <c r="B12152" t="inlineStr">
        <is>
          <t>x̄MMCLI</t>
        </is>
      </c>
      <c r="C12152">
        <f>ROMAN(12151)</f>
        <v/>
      </c>
      <c r="D12152">
        <f>IF(B12152=C12152, "YES", "WRONG")</f>
        <v/>
      </c>
    </row>
    <row r="12153">
      <c r="A12153" t="n">
        <v>12152</v>
      </c>
      <c r="B12153" t="inlineStr">
        <is>
          <t>x̄MMCLII</t>
        </is>
      </c>
      <c r="C12153">
        <f>ROMAN(12152)</f>
        <v/>
      </c>
      <c r="D12153">
        <f>IF(B12153=C12153, "YES", "WRONG")</f>
        <v/>
      </c>
    </row>
    <row r="12154">
      <c r="A12154" t="n">
        <v>12153</v>
      </c>
      <c r="B12154" t="inlineStr">
        <is>
          <t>x̄MMCLIII</t>
        </is>
      </c>
      <c r="C12154">
        <f>ROMAN(12153)</f>
        <v/>
      </c>
      <c r="D12154">
        <f>IF(B12154=C12154, "YES", "WRONG")</f>
        <v/>
      </c>
    </row>
    <row r="12155">
      <c r="A12155" t="n">
        <v>12154</v>
      </c>
      <c r="B12155" t="inlineStr">
        <is>
          <t>x̄MMCLIV</t>
        </is>
      </c>
      <c r="C12155">
        <f>ROMAN(12154)</f>
        <v/>
      </c>
      <c r="D12155">
        <f>IF(B12155=C12155, "YES", "WRONG")</f>
        <v/>
      </c>
    </row>
    <row r="12156">
      <c r="A12156" t="n">
        <v>12155</v>
      </c>
      <c r="B12156" t="inlineStr">
        <is>
          <t>x̄MMCLV</t>
        </is>
      </c>
      <c r="C12156">
        <f>ROMAN(12155)</f>
        <v/>
      </c>
      <c r="D12156">
        <f>IF(B12156=C12156, "YES", "WRONG")</f>
        <v/>
      </c>
    </row>
    <row r="12157">
      <c r="A12157" t="n">
        <v>12156</v>
      </c>
      <c r="B12157" t="inlineStr">
        <is>
          <t>x̄MMCLVI</t>
        </is>
      </c>
      <c r="C12157">
        <f>ROMAN(12156)</f>
        <v/>
      </c>
      <c r="D12157">
        <f>IF(B12157=C12157, "YES", "WRONG")</f>
        <v/>
      </c>
    </row>
    <row r="12158">
      <c r="A12158" t="n">
        <v>12157</v>
      </c>
      <c r="B12158" t="inlineStr">
        <is>
          <t>x̄MMCLVII</t>
        </is>
      </c>
      <c r="C12158">
        <f>ROMAN(12157)</f>
        <v/>
      </c>
      <c r="D12158">
        <f>IF(B12158=C12158, "YES", "WRONG")</f>
        <v/>
      </c>
    </row>
    <row r="12159">
      <c r="A12159" t="n">
        <v>12158</v>
      </c>
      <c r="B12159" t="inlineStr">
        <is>
          <t>x̄MMCLVIII</t>
        </is>
      </c>
      <c r="C12159">
        <f>ROMAN(12158)</f>
        <v/>
      </c>
      <c r="D12159">
        <f>IF(B12159=C12159, "YES", "WRONG")</f>
        <v/>
      </c>
    </row>
    <row r="12160">
      <c r="A12160" t="n">
        <v>12159</v>
      </c>
      <c r="B12160" t="inlineStr">
        <is>
          <t>x̄MMCLIX</t>
        </is>
      </c>
      <c r="C12160">
        <f>ROMAN(12159)</f>
        <v/>
      </c>
      <c r="D12160">
        <f>IF(B12160=C12160, "YES", "WRONG")</f>
        <v/>
      </c>
    </row>
    <row r="12161">
      <c r="A12161" t="n">
        <v>12160</v>
      </c>
      <c r="B12161" t="inlineStr">
        <is>
          <t>x̄MMCLX</t>
        </is>
      </c>
      <c r="C12161">
        <f>ROMAN(12160)</f>
        <v/>
      </c>
      <c r="D12161">
        <f>IF(B12161=C12161, "YES", "WRONG")</f>
        <v/>
      </c>
    </row>
    <row r="12162">
      <c r="A12162" t="n">
        <v>12161</v>
      </c>
      <c r="B12162" t="inlineStr">
        <is>
          <t>x̄MMCLXI</t>
        </is>
      </c>
      <c r="C12162">
        <f>ROMAN(12161)</f>
        <v/>
      </c>
      <c r="D12162">
        <f>IF(B12162=C12162, "YES", "WRONG")</f>
        <v/>
      </c>
    </row>
    <row r="12163">
      <c r="A12163" t="n">
        <v>12162</v>
      </c>
      <c r="B12163" t="inlineStr">
        <is>
          <t>x̄MMCLXII</t>
        </is>
      </c>
      <c r="C12163">
        <f>ROMAN(12162)</f>
        <v/>
      </c>
      <c r="D12163">
        <f>IF(B12163=C12163, "YES", "WRONG")</f>
        <v/>
      </c>
    </row>
    <row r="12164">
      <c r="A12164" t="n">
        <v>12163</v>
      </c>
      <c r="B12164" t="inlineStr">
        <is>
          <t>x̄MMCLXIII</t>
        </is>
      </c>
      <c r="C12164">
        <f>ROMAN(12163)</f>
        <v/>
      </c>
      <c r="D12164">
        <f>IF(B12164=C12164, "YES", "WRONG")</f>
        <v/>
      </c>
    </row>
    <row r="12165">
      <c r="A12165" t="n">
        <v>12164</v>
      </c>
      <c r="B12165" t="inlineStr">
        <is>
          <t>x̄MMCLXIV</t>
        </is>
      </c>
      <c r="C12165">
        <f>ROMAN(12164)</f>
        <v/>
      </c>
      <c r="D12165">
        <f>IF(B12165=C12165, "YES", "WRONG")</f>
        <v/>
      </c>
    </row>
    <row r="12166">
      <c r="A12166" t="n">
        <v>12165</v>
      </c>
      <c r="B12166" t="inlineStr">
        <is>
          <t>x̄MMCLXV</t>
        </is>
      </c>
      <c r="C12166">
        <f>ROMAN(12165)</f>
        <v/>
      </c>
      <c r="D12166">
        <f>IF(B12166=C12166, "YES", "WRONG")</f>
        <v/>
      </c>
    </row>
    <row r="12167">
      <c r="A12167" t="n">
        <v>12166</v>
      </c>
      <c r="B12167" t="inlineStr">
        <is>
          <t>x̄MMCLXVI</t>
        </is>
      </c>
      <c r="C12167">
        <f>ROMAN(12166)</f>
        <v/>
      </c>
      <c r="D12167">
        <f>IF(B12167=C12167, "YES", "WRONG")</f>
        <v/>
      </c>
    </row>
    <row r="12168">
      <c r="A12168" t="n">
        <v>12167</v>
      </c>
      <c r="B12168" t="inlineStr">
        <is>
          <t>x̄MMCLXVII</t>
        </is>
      </c>
      <c r="C12168">
        <f>ROMAN(12167)</f>
        <v/>
      </c>
      <c r="D12168">
        <f>IF(B12168=C12168, "YES", "WRONG")</f>
        <v/>
      </c>
    </row>
    <row r="12169">
      <c r="A12169" t="n">
        <v>12168</v>
      </c>
      <c r="B12169" t="inlineStr">
        <is>
          <t>x̄MMCLXVIII</t>
        </is>
      </c>
      <c r="C12169">
        <f>ROMAN(12168)</f>
        <v/>
      </c>
      <c r="D12169">
        <f>IF(B12169=C12169, "YES", "WRONG")</f>
        <v/>
      </c>
    </row>
    <row r="12170">
      <c r="A12170" t="n">
        <v>12169</v>
      </c>
      <c r="B12170" t="inlineStr">
        <is>
          <t>x̄MMCLXIX</t>
        </is>
      </c>
      <c r="C12170">
        <f>ROMAN(12169)</f>
        <v/>
      </c>
      <c r="D12170">
        <f>IF(B12170=C12170, "YES", "WRONG")</f>
        <v/>
      </c>
    </row>
    <row r="12171">
      <c r="A12171" t="n">
        <v>12170</v>
      </c>
      <c r="B12171" t="inlineStr">
        <is>
          <t>x̄MMCLXX</t>
        </is>
      </c>
      <c r="C12171">
        <f>ROMAN(12170)</f>
        <v/>
      </c>
      <c r="D12171">
        <f>IF(B12171=C12171, "YES", "WRONG")</f>
        <v/>
      </c>
    </row>
    <row r="12172">
      <c r="A12172" t="n">
        <v>12171</v>
      </c>
      <c r="B12172" t="inlineStr">
        <is>
          <t>x̄MMCLXXI</t>
        </is>
      </c>
      <c r="C12172">
        <f>ROMAN(12171)</f>
        <v/>
      </c>
      <c r="D12172">
        <f>IF(B12172=C12172, "YES", "WRONG")</f>
        <v/>
      </c>
    </row>
    <row r="12173">
      <c r="A12173" t="n">
        <v>12172</v>
      </c>
      <c r="B12173" t="inlineStr">
        <is>
          <t>x̄MMCLXXII</t>
        </is>
      </c>
      <c r="C12173">
        <f>ROMAN(12172)</f>
        <v/>
      </c>
      <c r="D12173">
        <f>IF(B12173=C12173, "YES", "WRONG")</f>
        <v/>
      </c>
    </row>
    <row r="12174">
      <c r="A12174" t="n">
        <v>12173</v>
      </c>
      <c r="B12174" t="inlineStr">
        <is>
          <t>x̄MMCLXXIII</t>
        </is>
      </c>
      <c r="C12174">
        <f>ROMAN(12173)</f>
        <v/>
      </c>
      <c r="D12174">
        <f>IF(B12174=C12174, "YES", "WRONG")</f>
        <v/>
      </c>
    </row>
    <row r="12175">
      <c r="A12175" t="n">
        <v>12174</v>
      </c>
      <c r="B12175" t="inlineStr">
        <is>
          <t>x̄MMCLXXIV</t>
        </is>
      </c>
      <c r="C12175">
        <f>ROMAN(12174)</f>
        <v/>
      </c>
      <c r="D12175">
        <f>IF(B12175=C12175, "YES", "WRONG")</f>
        <v/>
      </c>
    </row>
    <row r="12176">
      <c r="A12176" t="n">
        <v>12175</v>
      </c>
      <c r="B12176" t="inlineStr">
        <is>
          <t>x̄MMCLXXV</t>
        </is>
      </c>
      <c r="C12176">
        <f>ROMAN(12175)</f>
        <v/>
      </c>
      <c r="D12176">
        <f>IF(B12176=C12176, "YES", "WRONG")</f>
        <v/>
      </c>
    </row>
    <row r="12177">
      <c r="A12177" t="n">
        <v>12176</v>
      </c>
      <c r="B12177" t="inlineStr">
        <is>
          <t>x̄MMCLXXVI</t>
        </is>
      </c>
      <c r="C12177">
        <f>ROMAN(12176)</f>
        <v/>
      </c>
      <c r="D12177">
        <f>IF(B12177=C12177, "YES", "WRONG")</f>
        <v/>
      </c>
    </row>
    <row r="12178">
      <c r="A12178" t="n">
        <v>12177</v>
      </c>
      <c r="B12178" t="inlineStr">
        <is>
          <t>x̄MMCLXXVII</t>
        </is>
      </c>
      <c r="C12178">
        <f>ROMAN(12177)</f>
        <v/>
      </c>
      <c r="D12178">
        <f>IF(B12178=C12178, "YES", "WRONG")</f>
        <v/>
      </c>
    </row>
    <row r="12179">
      <c r="A12179" t="n">
        <v>12178</v>
      </c>
      <c r="B12179" t="inlineStr">
        <is>
          <t>x̄MMCLXXVIII</t>
        </is>
      </c>
      <c r="C12179">
        <f>ROMAN(12178)</f>
        <v/>
      </c>
      <c r="D12179">
        <f>IF(B12179=C12179, "YES", "WRONG")</f>
        <v/>
      </c>
    </row>
    <row r="12180">
      <c r="A12180" t="n">
        <v>12179</v>
      </c>
      <c r="B12180" t="inlineStr">
        <is>
          <t>x̄MMCLXXIX</t>
        </is>
      </c>
      <c r="C12180">
        <f>ROMAN(12179)</f>
        <v/>
      </c>
      <c r="D12180">
        <f>IF(B12180=C12180, "YES", "WRONG")</f>
        <v/>
      </c>
    </row>
    <row r="12181">
      <c r="A12181" t="n">
        <v>12180</v>
      </c>
      <c r="B12181" t="inlineStr">
        <is>
          <t>x̄MMCLXXX</t>
        </is>
      </c>
      <c r="C12181">
        <f>ROMAN(12180)</f>
        <v/>
      </c>
      <c r="D12181">
        <f>IF(B12181=C12181, "YES", "WRONG")</f>
        <v/>
      </c>
    </row>
    <row r="12182">
      <c r="A12182" t="n">
        <v>12181</v>
      </c>
      <c r="B12182" t="inlineStr">
        <is>
          <t>x̄MMCLXXXI</t>
        </is>
      </c>
      <c r="C12182">
        <f>ROMAN(12181)</f>
        <v/>
      </c>
      <c r="D12182">
        <f>IF(B12182=C12182, "YES", "WRONG")</f>
        <v/>
      </c>
    </row>
    <row r="12183">
      <c r="A12183" t="n">
        <v>12182</v>
      </c>
      <c r="B12183" t="inlineStr">
        <is>
          <t>x̄MMCLXXXII</t>
        </is>
      </c>
      <c r="C12183">
        <f>ROMAN(12182)</f>
        <v/>
      </c>
      <c r="D12183">
        <f>IF(B12183=C12183, "YES", "WRONG")</f>
        <v/>
      </c>
    </row>
    <row r="12184">
      <c r="A12184" t="n">
        <v>12183</v>
      </c>
      <c r="B12184" t="inlineStr">
        <is>
          <t>x̄MMCLXXXIII</t>
        </is>
      </c>
      <c r="C12184">
        <f>ROMAN(12183)</f>
        <v/>
      </c>
      <c r="D12184">
        <f>IF(B12184=C12184, "YES", "WRONG")</f>
        <v/>
      </c>
    </row>
    <row r="12185">
      <c r="A12185" t="n">
        <v>12184</v>
      </c>
      <c r="B12185" t="inlineStr">
        <is>
          <t>x̄MMCLXXXIV</t>
        </is>
      </c>
      <c r="C12185">
        <f>ROMAN(12184)</f>
        <v/>
      </c>
      <c r="D12185">
        <f>IF(B12185=C12185, "YES", "WRONG")</f>
        <v/>
      </c>
    </row>
    <row r="12186">
      <c r="A12186" t="n">
        <v>12185</v>
      </c>
      <c r="B12186" t="inlineStr">
        <is>
          <t>x̄MMCLXXXV</t>
        </is>
      </c>
      <c r="C12186">
        <f>ROMAN(12185)</f>
        <v/>
      </c>
      <c r="D12186">
        <f>IF(B12186=C12186, "YES", "WRONG")</f>
        <v/>
      </c>
    </row>
    <row r="12187">
      <c r="A12187" t="n">
        <v>12186</v>
      </c>
      <c r="B12187" t="inlineStr">
        <is>
          <t>x̄MMCLXXXVI</t>
        </is>
      </c>
      <c r="C12187">
        <f>ROMAN(12186)</f>
        <v/>
      </c>
      <c r="D12187">
        <f>IF(B12187=C12187, "YES", "WRONG")</f>
        <v/>
      </c>
    </row>
    <row r="12188">
      <c r="A12188" t="n">
        <v>12187</v>
      </c>
      <c r="B12188" t="inlineStr">
        <is>
          <t>x̄MMCLXXXVII</t>
        </is>
      </c>
      <c r="C12188">
        <f>ROMAN(12187)</f>
        <v/>
      </c>
      <c r="D12188">
        <f>IF(B12188=C12188, "YES", "WRONG")</f>
        <v/>
      </c>
    </row>
    <row r="12189">
      <c r="A12189" t="n">
        <v>12188</v>
      </c>
      <c r="B12189" t="inlineStr">
        <is>
          <t>x̄MMCLXXXVIII</t>
        </is>
      </c>
      <c r="C12189">
        <f>ROMAN(12188)</f>
        <v/>
      </c>
      <c r="D12189">
        <f>IF(B12189=C12189, "YES", "WRONG")</f>
        <v/>
      </c>
    </row>
    <row r="12190">
      <c r="A12190" t="n">
        <v>12189</v>
      </c>
      <c r="B12190" t="inlineStr">
        <is>
          <t>x̄MMCLXXXIX</t>
        </is>
      </c>
      <c r="C12190">
        <f>ROMAN(12189)</f>
        <v/>
      </c>
      <c r="D12190">
        <f>IF(B12190=C12190, "YES", "WRONG")</f>
        <v/>
      </c>
    </row>
    <row r="12191">
      <c r="A12191" t="n">
        <v>12190</v>
      </c>
      <c r="B12191" t="inlineStr">
        <is>
          <t>x̄MMCXC</t>
        </is>
      </c>
      <c r="C12191">
        <f>ROMAN(12190)</f>
        <v/>
      </c>
      <c r="D12191">
        <f>IF(B12191=C12191, "YES", "WRONG")</f>
        <v/>
      </c>
    </row>
    <row r="12192">
      <c r="A12192" t="n">
        <v>12191</v>
      </c>
      <c r="B12192" t="inlineStr">
        <is>
          <t>x̄MMCXCI</t>
        </is>
      </c>
      <c r="C12192">
        <f>ROMAN(12191)</f>
        <v/>
      </c>
      <c r="D12192">
        <f>IF(B12192=C12192, "YES", "WRONG")</f>
        <v/>
      </c>
    </row>
    <row r="12193">
      <c r="A12193" t="n">
        <v>12192</v>
      </c>
      <c r="B12193" t="inlineStr">
        <is>
          <t>x̄MMCXCII</t>
        </is>
      </c>
      <c r="C12193">
        <f>ROMAN(12192)</f>
        <v/>
      </c>
      <c r="D12193">
        <f>IF(B12193=C12193, "YES", "WRONG")</f>
        <v/>
      </c>
    </row>
    <row r="12194">
      <c r="A12194" t="n">
        <v>12193</v>
      </c>
      <c r="B12194" t="inlineStr">
        <is>
          <t>x̄MMCXCIII</t>
        </is>
      </c>
      <c r="C12194">
        <f>ROMAN(12193)</f>
        <v/>
      </c>
      <c r="D12194">
        <f>IF(B12194=C12194, "YES", "WRONG")</f>
        <v/>
      </c>
    </row>
    <row r="12195">
      <c r="A12195" t="n">
        <v>12194</v>
      </c>
      <c r="B12195" t="inlineStr">
        <is>
          <t>x̄MMCXCIV</t>
        </is>
      </c>
      <c r="C12195">
        <f>ROMAN(12194)</f>
        <v/>
      </c>
      <c r="D12195">
        <f>IF(B12195=C12195, "YES", "WRONG")</f>
        <v/>
      </c>
    </row>
    <row r="12196">
      <c r="A12196" t="n">
        <v>12195</v>
      </c>
      <c r="B12196" t="inlineStr">
        <is>
          <t>x̄MMCXCV</t>
        </is>
      </c>
      <c r="C12196">
        <f>ROMAN(12195)</f>
        <v/>
      </c>
      <c r="D12196">
        <f>IF(B12196=C12196, "YES", "WRONG")</f>
        <v/>
      </c>
    </row>
    <row r="12197">
      <c r="A12197" t="n">
        <v>12196</v>
      </c>
      <c r="B12197" t="inlineStr">
        <is>
          <t>x̄MMCXCVI</t>
        </is>
      </c>
      <c r="C12197">
        <f>ROMAN(12196)</f>
        <v/>
      </c>
      <c r="D12197">
        <f>IF(B12197=C12197, "YES", "WRONG")</f>
        <v/>
      </c>
    </row>
    <row r="12198">
      <c r="A12198" t="n">
        <v>12197</v>
      </c>
      <c r="B12198" t="inlineStr">
        <is>
          <t>x̄MMCXCVII</t>
        </is>
      </c>
      <c r="C12198">
        <f>ROMAN(12197)</f>
        <v/>
      </c>
      <c r="D12198">
        <f>IF(B12198=C12198, "YES", "WRONG")</f>
        <v/>
      </c>
    </row>
    <row r="12199">
      <c r="A12199" t="n">
        <v>12198</v>
      </c>
      <c r="B12199" t="inlineStr">
        <is>
          <t>x̄MMCXCVIII</t>
        </is>
      </c>
      <c r="C12199">
        <f>ROMAN(12198)</f>
        <v/>
      </c>
      <c r="D12199">
        <f>IF(B12199=C12199, "YES", "WRONG")</f>
        <v/>
      </c>
    </row>
    <row r="12200">
      <c r="A12200" t="n">
        <v>12199</v>
      </c>
      <c r="B12200" t="inlineStr">
        <is>
          <t>x̄MMCXCIX</t>
        </is>
      </c>
      <c r="C12200">
        <f>ROMAN(12199)</f>
        <v/>
      </c>
      <c r="D12200">
        <f>IF(B12200=C12200, "YES", "WRONG")</f>
        <v/>
      </c>
    </row>
    <row r="12201">
      <c r="A12201" t="n">
        <v>12200</v>
      </c>
      <c r="B12201" t="inlineStr">
        <is>
          <t>x̄MMCC</t>
        </is>
      </c>
      <c r="C12201">
        <f>ROMAN(12200)</f>
        <v/>
      </c>
      <c r="D12201">
        <f>IF(B12201=C12201, "YES", "WRONG")</f>
        <v/>
      </c>
    </row>
    <row r="12202">
      <c r="A12202" t="n">
        <v>12201</v>
      </c>
      <c r="B12202" t="inlineStr">
        <is>
          <t>x̄MMCCI</t>
        </is>
      </c>
      <c r="C12202">
        <f>ROMAN(12201)</f>
        <v/>
      </c>
      <c r="D12202">
        <f>IF(B12202=C12202, "YES", "WRONG")</f>
        <v/>
      </c>
    </row>
    <row r="12203">
      <c r="A12203" t="n">
        <v>12202</v>
      </c>
      <c r="B12203" t="inlineStr">
        <is>
          <t>x̄MMCCII</t>
        </is>
      </c>
      <c r="C12203">
        <f>ROMAN(12202)</f>
        <v/>
      </c>
      <c r="D12203">
        <f>IF(B12203=C12203, "YES", "WRONG")</f>
        <v/>
      </c>
    </row>
    <row r="12204">
      <c r="A12204" t="n">
        <v>12203</v>
      </c>
      <c r="B12204" t="inlineStr">
        <is>
          <t>x̄MMCCIII</t>
        </is>
      </c>
      <c r="C12204">
        <f>ROMAN(12203)</f>
        <v/>
      </c>
      <c r="D12204">
        <f>IF(B12204=C12204, "YES", "WRONG")</f>
        <v/>
      </c>
    </row>
    <row r="12205">
      <c r="A12205" t="n">
        <v>12204</v>
      </c>
      <c r="B12205" t="inlineStr">
        <is>
          <t>x̄MMCCIV</t>
        </is>
      </c>
      <c r="C12205">
        <f>ROMAN(12204)</f>
        <v/>
      </c>
      <c r="D12205">
        <f>IF(B12205=C12205, "YES", "WRONG")</f>
        <v/>
      </c>
    </row>
    <row r="12206">
      <c r="A12206" t="n">
        <v>12205</v>
      </c>
      <c r="B12206" t="inlineStr">
        <is>
          <t>x̄MMCCV</t>
        </is>
      </c>
      <c r="C12206">
        <f>ROMAN(12205)</f>
        <v/>
      </c>
      <c r="D12206">
        <f>IF(B12206=C12206, "YES", "WRONG")</f>
        <v/>
      </c>
    </row>
    <row r="12207">
      <c r="A12207" t="n">
        <v>12206</v>
      </c>
      <c r="B12207" t="inlineStr">
        <is>
          <t>x̄MMCCVI</t>
        </is>
      </c>
      <c r="C12207">
        <f>ROMAN(12206)</f>
        <v/>
      </c>
      <c r="D12207">
        <f>IF(B12207=C12207, "YES", "WRONG")</f>
        <v/>
      </c>
    </row>
    <row r="12208">
      <c r="A12208" t="n">
        <v>12207</v>
      </c>
      <c r="B12208" t="inlineStr">
        <is>
          <t>x̄MMCCVII</t>
        </is>
      </c>
      <c r="C12208">
        <f>ROMAN(12207)</f>
        <v/>
      </c>
      <c r="D12208">
        <f>IF(B12208=C12208, "YES", "WRONG")</f>
        <v/>
      </c>
    </row>
    <row r="12209">
      <c r="A12209" t="n">
        <v>12208</v>
      </c>
      <c r="B12209" t="inlineStr">
        <is>
          <t>x̄MMCCVIII</t>
        </is>
      </c>
      <c r="C12209">
        <f>ROMAN(12208)</f>
        <v/>
      </c>
      <c r="D12209">
        <f>IF(B12209=C12209, "YES", "WRONG")</f>
        <v/>
      </c>
    </row>
    <row r="12210">
      <c r="A12210" t="n">
        <v>12209</v>
      </c>
      <c r="B12210" t="inlineStr">
        <is>
          <t>x̄MMCCIX</t>
        </is>
      </c>
      <c r="C12210">
        <f>ROMAN(12209)</f>
        <v/>
      </c>
      <c r="D12210">
        <f>IF(B12210=C12210, "YES", "WRONG")</f>
        <v/>
      </c>
    </row>
    <row r="12211">
      <c r="A12211" t="n">
        <v>12210</v>
      </c>
      <c r="B12211" t="inlineStr">
        <is>
          <t>x̄MMCCX</t>
        </is>
      </c>
      <c r="C12211">
        <f>ROMAN(12210)</f>
        <v/>
      </c>
      <c r="D12211">
        <f>IF(B12211=C12211, "YES", "WRONG")</f>
        <v/>
      </c>
    </row>
    <row r="12212">
      <c r="A12212" t="n">
        <v>12211</v>
      </c>
      <c r="B12212" t="inlineStr">
        <is>
          <t>x̄MMCCXI</t>
        </is>
      </c>
      <c r="C12212">
        <f>ROMAN(12211)</f>
        <v/>
      </c>
      <c r="D12212">
        <f>IF(B12212=C12212, "YES", "WRONG")</f>
        <v/>
      </c>
    </row>
    <row r="12213">
      <c r="A12213" t="n">
        <v>12212</v>
      </c>
      <c r="B12213" t="inlineStr">
        <is>
          <t>x̄MMCCXII</t>
        </is>
      </c>
      <c r="C12213">
        <f>ROMAN(12212)</f>
        <v/>
      </c>
      <c r="D12213">
        <f>IF(B12213=C12213, "YES", "WRONG")</f>
        <v/>
      </c>
    </row>
    <row r="12214">
      <c r="A12214" t="n">
        <v>12213</v>
      </c>
      <c r="B12214" t="inlineStr">
        <is>
          <t>x̄MMCCXIII</t>
        </is>
      </c>
      <c r="C12214">
        <f>ROMAN(12213)</f>
        <v/>
      </c>
      <c r="D12214">
        <f>IF(B12214=C12214, "YES", "WRONG")</f>
        <v/>
      </c>
    </row>
    <row r="12215">
      <c r="A12215" t="n">
        <v>12214</v>
      </c>
      <c r="B12215" t="inlineStr">
        <is>
          <t>x̄MMCCXIV</t>
        </is>
      </c>
      <c r="C12215">
        <f>ROMAN(12214)</f>
        <v/>
      </c>
      <c r="D12215">
        <f>IF(B12215=C12215, "YES", "WRONG")</f>
        <v/>
      </c>
    </row>
    <row r="12216">
      <c r="A12216" t="n">
        <v>12215</v>
      </c>
      <c r="B12216" t="inlineStr">
        <is>
          <t>x̄MMCCXV</t>
        </is>
      </c>
      <c r="C12216">
        <f>ROMAN(12215)</f>
        <v/>
      </c>
      <c r="D12216">
        <f>IF(B12216=C12216, "YES", "WRONG")</f>
        <v/>
      </c>
    </row>
    <row r="12217">
      <c r="A12217" t="n">
        <v>12216</v>
      </c>
      <c r="B12217" t="inlineStr">
        <is>
          <t>x̄MMCCXVI</t>
        </is>
      </c>
      <c r="C12217">
        <f>ROMAN(12216)</f>
        <v/>
      </c>
      <c r="D12217">
        <f>IF(B12217=C12217, "YES", "WRONG")</f>
        <v/>
      </c>
    </row>
    <row r="12218">
      <c r="A12218" t="n">
        <v>12217</v>
      </c>
      <c r="B12218" t="inlineStr">
        <is>
          <t>x̄MMCCXVII</t>
        </is>
      </c>
      <c r="C12218">
        <f>ROMAN(12217)</f>
        <v/>
      </c>
      <c r="D12218">
        <f>IF(B12218=C12218, "YES", "WRONG")</f>
        <v/>
      </c>
    </row>
    <row r="12219">
      <c r="A12219" t="n">
        <v>12218</v>
      </c>
      <c r="B12219" t="inlineStr">
        <is>
          <t>x̄MMCCXVIII</t>
        </is>
      </c>
      <c r="C12219">
        <f>ROMAN(12218)</f>
        <v/>
      </c>
      <c r="D12219">
        <f>IF(B12219=C12219, "YES", "WRONG")</f>
        <v/>
      </c>
    </row>
    <row r="12220">
      <c r="A12220" t="n">
        <v>12219</v>
      </c>
      <c r="B12220" t="inlineStr">
        <is>
          <t>x̄MMCCXIX</t>
        </is>
      </c>
      <c r="C12220">
        <f>ROMAN(12219)</f>
        <v/>
      </c>
      <c r="D12220">
        <f>IF(B12220=C12220, "YES", "WRONG")</f>
        <v/>
      </c>
    </row>
    <row r="12221">
      <c r="A12221" t="n">
        <v>12220</v>
      </c>
      <c r="B12221" t="inlineStr">
        <is>
          <t>x̄MMCCXX</t>
        </is>
      </c>
      <c r="C12221">
        <f>ROMAN(12220)</f>
        <v/>
      </c>
      <c r="D12221">
        <f>IF(B12221=C12221, "YES", "WRONG")</f>
        <v/>
      </c>
    </row>
    <row r="12222">
      <c r="A12222" t="n">
        <v>12221</v>
      </c>
      <c r="B12222" t="inlineStr">
        <is>
          <t>x̄MMCCXXI</t>
        </is>
      </c>
      <c r="C12222">
        <f>ROMAN(12221)</f>
        <v/>
      </c>
      <c r="D12222">
        <f>IF(B12222=C12222, "YES", "WRONG")</f>
        <v/>
      </c>
    </row>
    <row r="12223">
      <c r="A12223" t="n">
        <v>12222</v>
      </c>
      <c r="B12223" t="inlineStr">
        <is>
          <t>x̄MMCCXXII</t>
        </is>
      </c>
      <c r="C12223">
        <f>ROMAN(12222)</f>
        <v/>
      </c>
      <c r="D12223">
        <f>IF(B12223=C12223, "YES", "WRONG")</f>
        <v/>
      </c>
    </row>
    <row r="12224">
      <c r="A12224" t="n">
        <v>12223</v>
      </c>
      <c r="B12224" t="inlineStr">
        <is>
          <t>x̄MMCCXXIII</t>
        </is>
      </c>
      <c r="C12224">
        <f>ROMAN(12223)</f>
        <v/>
      </c>
      <c r="D12224">
        <f>IF(B12224=C12224, "YES", "WRONG")</f>
        <v/>
      </c>
    </row>
    <row r="12225">
      <c r="A12225" t="n">
        <v>12224</v>
      </c>
      <c r="B12225" t="inlineStr">
        <is>
          <t>x̄MMCCXXIV</t>
        </is>
      </c>
      <c r="C12225">
        <f>ROMAN(12224)</f>
        <v/>
      </c>
      <c r="D12225">
        <f>IF(B12225=C12225, "YES", "WRONG")</f>
        <v/>
      </c>
    </row>
    <row r="12226">
      <c r="A12226" t="n">
        <v>12225</v>
      </c>
      <c r="B12226" t="inlineStr">
        <is>
          <t>x̄MMCCXXV</t>
        </is>
      </c>
      <c r="C12226">
        <f>ROMAN(12225)</f>
        <v/>
      </c>
      <c r="D12226">
        <f>IF(B12226=C12226, "YES", "WRONG")</f>
        <v/>
      </c>
    </row>
    <row r="12227">
      <c r="A12227" t="n">
        <v>12226</v>
      </c>
      <c r="B12227" t="inlineStr">
        <is>
          <t>x̄MMCCXXVI</t>
        </is>
      </c>
      <c r="C12227">
        <f>ROMAN(12226)</f>
        <v/>
      </c>
      <c r="D12227">
        <f>IF(B12227=C12227, "YES", "WRONG")</f>
        <v/>
      </c>
    </row>
    <row r="12228">
      <c r="A12228" t="n">
        <v>12227</v>
      </c>
      <c r="B12228" t="inlineStr">
        <is>
          <t>x̄MMCCXXVII</t>
        </is>
      </c>
      <c r="C12228">
        <f>ROMAN(12227)</f>
        <v/>
      </c>
      <c r="D12228">
        <f>IF(B12228=C12228, "YES", "WRONG")</f>
        <v/>
      </c>
    </row>
    <row r="12229">
      <c r="A12229" t="n">
        <v>12228</v>
      </c>
      <c r="B12229" t="inlineStr">
        <is>
          <t>x̄MMCCXXVIII</t>
        </is>
      </c>
      <c r="C12229">
        <f>ROMAN(12228)</f>
        <v/>
      </c>
      <c r="D12229">
        <f>IF(B12229=C12229, "YES", "WRONG")</f>
        <v/>
      </c>
    </row>
    <row r="12230">
      <c r="A12230" t="n">
        <v>12229</v>
      </c>
      <c r="B12230" t="inlineStr">
        <is>
          <t>x̄MMCCXXIX</t>
        </is>
      </c>
      <c r="C12230">
        <f>ROMAN(12229)</f>
        <v/>
      </c>
      <c r="D12230">
        <f>IF(B12230=C12230, "YES", "WRONG")</f>
        <v/>
      </c>
    </row>
    <row r="12231">
      <c r="A12231" t="n">
        <v>12230</v>
      </c>
      <c r="B12231" t="inlineStr">
        <is>
          <t>x̄MMCCXXX</t>
        </is>
      </c>
      <c r="C12231">
        <f>ROMAN(12230)</f>
        <v/>
      </c>
      <c r="D12231">
        <f>IF(B12231=C12231, "YES", "WRONG")</f>
        <v/>
      </c>
    </row>
    <row r="12232">
      <c r="A12232" t="n">
        <v>12231</v>
      </c>
      <c r="B12232" t="inlineStr">
        <is>
          <t>x̄MMCCXXXI</t>
        </is>
      </c>
      <c r="C12232">
        <f>ROMAN(12231)</f>
        <v/>
      </c>
      <c r="D12232">
        <f>IF(B12232=C12232, "YES", "WRONG")</f>
        <v/>
      </c>
    </row>
    <row r="12233">
      <c r="A12233" t="n">
        <v>12232</v>
      </c>
      <c r="B12233" t="inlineStr">
        <is>
          <t>x̄MMCCXXXII</t>
        </is>
      </c>
      <c r="C12233">
        <f>ROMAN(12232)</f>
        <v/>
      </c>
      <c r="D12233">
        <f>IF(B12233=C12233, "YES", "WRONG")</f>
        <v/>
      </c>
    </row>
    <row r="12234">
      <c r="A12234" t="n">
        <v>12233</v>
      </c>
      <c r="B12234" t="inlineStr">
        <is>
          <t>x̄MMCCXXXIII</t>
        </is>
      </c>
      <c r="C12234">
        <f>ROMAN(12233)</f>
        <v/>
      </c>
      <c r="D12234">
        <f>IF(B12234=C12234, "YES", "WRONG")</f>
        <v/>
      </c>
    </row>
    <row r="12235">
      <c r="A12235" t="n">
        <v>12234</v>
      </c>
      <c r="B12235" t="inlineStr">
        <is>
          <t>x̄MMCCXXXIV</t>
        </is>
      </c>
      <c r="C12235">
        <f>ROMAN(12234)</f>
        <v/>
      </c>
      <c r="D12235">
        <f>IF(B12235=C12235, "YES", "WRONG")</f>
        <v/>
      </c>
    </row>
    <row r="12236">
      <c r="A12236" t="n">
        <v>12235</v>
      </c>
      <c r="B12236" t="inlineStr">
        <is>
          <t>x̄MMCCXXXV</t>
        </is>
      </c>
      <c r="C12236">
        <f>ROMAN(12235)</f>
        <v/>
      </c>
      <c r="D12236">
        <f>IF(B12236=C12236, "YES", "WRONG")</f>
        <v/>
      </c>
    </row>
    <row r="12237">
      <c r="A12237" t="n">
        <v>12236</v>
      </c>
      <c r="B12237" t="inlineStr">
        <is>
          <t>x̄MMCCXXXVI</t>
        </is>
      </c>
      <c r="C12237">
        <f>ROMAN(12236)</f>
        <v/>
      </c>
      <c r="D12237">
        <f>IF(B12237=C12237, "YES", "WRONG")</f>
        <v/>
      </c>
    </row>
    <row r="12238">
      <c r="A12238" t="n">
        <v>12237</v>
      </c>
      <c r="B12238" t="inlineStr">
        <is>
          <t>x̄MMCCXXXVII</t>
        </is>
      </c>
      <c r="C12238">
        <f>ROMAN(12237)</f>
        <v/>
      </c>
      <c r="D12238">
        <f>IF(B12238=C12238, "YES", "WRONG")</f>
        <v/>
      </c>
    </row>
    <row r="12239">
      <c r="A12239" t="n">
        <v>12238</v>
      </c>
      <c r="B12239" t="inlineStr">
        <is>
          <t>x̄MMCCXXXVIII</t>
        </is>
      </c>
      <c r="C12239">
        <f>ROMAN(12238)</f>
        <v/>
      </c>
      <c r="D12239">
        <f>IF(B12239=C12239, "YES", "WRONG")</f>
        <v/>
      </c>
    </row>
    <row r="12240">
      <c r="A12240" t="n">
        <v>12239</v>
      </c>
      <c r="B12240" t="inlineStr">
        <is>
          <t>x̄MMCCXXXIX</t>
        </is>
      </c>
      <c r="C12240">
        <f>ROMAN(12239)</f>
        <v/>
      </c>
      <c r="D12240">
        <f>IF(B12240=C12240, "YES", "WRONG")</f>
        <v/>
      </c>
    </row>
    <row r="12241">
      <c r="A12241" t="n">
        <v>12240</v>
      </c>
      <c r="B12241" t="inlineStr">
        <is>
          <t>x̄MMCCXL</t>
        </is>
      </c>
      <c r="C12241">
        <f>ROMAN(12240)</f>
        <v/>
      </c>
      <c r="D12241">
        <f>IF(B12241=C12241, "YES", "WRONG")</f>
        <v/>
      </c>
    </row>
    <row r="12242">
      <c r="A12242" t="n">
        <v>12241</v>
      </c>
      <c r="B12242" t="inlineStr">
        <is>
          <t>x̄MMCCXLI</t>
        </is>
      </c>
      <c r="C12242">
        <f>ROMAN(12241)</f>
        <v/>
      </c>
      <c r="D12242">
        <f>IF(B12242=C12242, "YES", "WRONG")</f>
        <v/>
      </c>
    </row>
    <row r="12243">
      <c r="A12243" t="n">
        <v>12242</v>
      </c>
      <c r="B12243" t="inlineStr">
        <is>
          <t>x̄MMCCXLII</t>
        </is>
      </c>
      <c r="C12243">
        <f>ROMAN(12242)</f>
        <v/>
      </c>
      <c r="D12243">
        <f>IF(B12243=C12243, "YES", "WRONG")</f>
        <v/>
      </c>
    </row>
    <row r="12244">
      <c r="A12244" t="n">
        <v>12243</v>
      </c>
      <c r="B12244" t="inlineStr">
        <is>
          <t>x̄MMCCXLIII</t>
        </is>
      </c>
      <c r="C12244">
        <f>ROMAN(12243)</f>
        <v/>
      </c>
      <c r="D12244">
        <f>IF(B12244=C12244, "YES", "WRONG")</f>
        <v/>
      </c>
    </row>
    <row r="12245">
      <c r="A12245" t="n">
        <v>12244</v>
      </c>
      <c r="B12245" t="inlineStr">
        <is>
          <t>x̄MMCCXLIV</t>
        </is>
      </c>
      <c r="C12245">
        <f>ROMAN(12244)</f>
        <v/>
      </c>
      <c r="D12245">
        <f>IF(B12245=C12245, "YES", "WRONG")</f>
        <v/>
      </c>
    </row>
    <row r="12246">
      <c r="A12246" t="n">
        <v>12245</v>
      </c>
      <c r="B12246" t="inlineStr">
        <is>
          <t>x̄MMCCXLV</t>
        </is>
      </c>
      <c r="C12246">
        <f>ROMAN(12245)</f>
        <v/>
      </c>
      <c r="D12246">
        <f>IF(B12246=C12246, "YES", "WRONG")</f>
        <v/>
      </c>
    </row>
    <row r="12247">
      <c r="A12247" t="n">
        <v>12246</v>
      </c>
      <c r="B12247" t="inlineStr">
        <is>
          <t>x̄MMCCXLVI</t>
        </is>
      </c>
      <c r="C12247">
        <f>ROMAN(12246)</f>
        <v/>
      </c>
      <c r="D12247">
        <f>IF(B12247=C12247, "YES", "WRONG")</f>
        <v/>
      </c>
    </row>
    <row r="12248">
      <c r="A12248" t="n">
        <v>12247</v>
      </c>
      <c r="B12248" t="inlineStr">
        <is>
          <t>x̄MMCCXLVII</t>
        </is>
      </c>
      <c r="C12248">
        <f>ROMAN(12247)</f>
        <v/>
      </c>
      <c r="D12248">
        <f>IF(B12248=C12248, "YES", "WRONG")</f>
        <v/>
      </c>
    </row>
    <row r="12249">
      <c r="A12249" t="n">
        <v>12248</v>
      </c>
      <c r="B12249" t="inlineStr">
        <is>
          <t>x̄MMCCXLVIII</t>
        </is>
      </c>
      <c r="C12249">
        <f>ROMAN(12248)</f>
        <v/>
      </c>
      <c r="D12249">
        <f>IF(B12249=C12249, "YES", "WRONG")</f>
        <v/>
      </c>
    </row>
    <row r="12250">
      <c r="A12250" t="n">
        <v>12249</v>
      </c>
      <c r="B12250" t="inlineStr">
        <is>
          <t>x̄MMCCXLIX</t>
        </is>
      </c>
      <c r="C12250">
        <f>ROMAN(12249)</f>
        <v/>
      </c>
      <c r="D12250">
        <f>IF(B12250=C12250, "YES", "WRONG")</f>
        <v/>
      </c>
    </row>
    <row r="12251">
      <c r="A12251" t="n">
        <v>12250</v>
      </c>
      <c r="B12251" t="inlineStr">
        <is>
          <t>x̄MMCCL</t>
        </is>
      </c>
      <c r="C12251">
        <f>ROMAN(12250)</f>
        <v/>
      </c>
      <c r="D12251">
        <f>IF(B12251=C12251, "YES", "WRONG")</f>
        <v/>
      </c>
    </row>
    <row r="12252">
      <c r="A12252" t="n">
        <v>12251</v>
      </c>
      <c r="B12252" t="inlineStr">
        <is>
          <t>x̄MMCCLI</t>
        </is>
      </c>
      <c r="C12252">
        <f>ROMAN(12251)</f>
        <v/>
      </c>
      <c r="D12252">
        <f>IF(B12252=C12252, "YES", "WRONG")</f>
        <v/>
      </c>
    </row>
    <row r="12253">
      <c r="A12253" t="n">
        <v>12252</v>
      </c>
      <c r="B12253" t="inlineStr">
        <is>
          <t>x̄MMCCLII</t>
        </is>
      </c>
      <c r="C12253">
        <f>ROMAN(12252)</f>
        <v/>
      </c>
      <c r="D12253">
        <f>IF(B12253=C12253, "YES", "WRONG")</f>
        <v/>
      </c>
    </row>
    <row r="12254">
      <c r="A12254" t="n">
        <v>12253</v>
      </c>
      <c r="B12254" t="inlineStr">
        <is>
          <t>x̄MMCCLIII</t>
        </is>
      </c>
      <c r="C12254">
        <f>ROMAN(12253)</f>
        <v/>
      </c>
      <c r="D12254">
        <f>IF(B12254=C12254, "YES", "WRONG")</f>
        <v/>
      </c>
    </row>
    <row r="12255">
      <c r="A12255" t="n">
        <v>12254</v>
      </c>
      <c r="B12255" t="inlineStr">
        <is>
          <t>x̄MMCCLIV</t>
        </is>
      </c>
      <c r="C12255">
        <f>ROMAN(12254)</f>
        <v/>
      </c>
      <c r="D12255">
        <f>IF(B12255=C12255, "YES", "WRONG")</f>
        <v/>
      </c>
    </row>
    <row r="12256">
      <c r="A12256" t="n">
        <v>12255</v>
      </c>
      <c r="B12256" t="inlineStr">
        <is>
          <t>x̄MMCCLV</t>
        </is>
      </c>
      <c r="C12256">
        <f>ROMAN(12255)</f>
        <v/>
      </c>
      <c r="D12256">
        <f>IF(B12256=C12256, "YES", "WRONG")</f>
        <v/>
      </c>
    </row>
    <row r="12257">
      <c r="A12257" t="n">
        <v>12256</v>
      </c>
      <c r="B12257" t="inlineStr">
        <is>
          <t>x̄MMCCLVI</t>
        </is>
      </c>
      <c r="C12257">
        <f>ROMAN(12256)</f>
        <v/>
      </c>
      <c r="D12257">
        <f>IF(B12257=C12257, "YES", "WRONG")</f>
        <v/>
      </c>
    </row>
    <row r="12258">
      <c r="A12258" t="n">
        <v>12257</v>
      </c>
      <c r="B12258" t="inlineStr">
        <is>
          <t>x̄MMCCLVII</t>
        </is>
      </c>
      <c r="C12258">
        <f>ROMAN(12257)</f>
        <v/>
      </c>
      <c r="D12258">
        <f>IF(B12258=C12258, "YES", "WRONG")</f>
        <v/>
      </c>
    </row>
    <row r="12259">
      <c r="A12259" t="n">
        <v>12258</v>
      </c>
      <c r="B12259" t="inlineStr">
        <is>
          <t>x̄MMCCLVIII</t>
        </is>
      </c>
      <c r="C12259">
        <f>ROMAN(12258)</f>
        <v/>
      </c>
      <c r="D12259">
        <f>IF(B12259=C12259, "YES", "WRONG")</f>
        <v/>
      </c>
    </row>
    <row r="12260">
      <c r="A12260" t="n">
        <v>12259</v>
      </c>
      <c r="B12260" t="inlineStr">
        <is>
          <t>x̄MMCCLIX</t>
        </is>
      </c>
      <c r="C12260">
        <f>ROMAN(12259)</f>
        <v/>
      </c>
      <c r="D12260">
        <f>IF(B12260=C12260, "YES", "WRONG")</f>
        <v/>
      </c>
    </row>
    <row r="12261">
      <c r="A12261" t="n">
        <v>12260</v>
      </c>
      <c r="B12261" t="inlineStr">
        <is>
          <t>x̄MMCCLX</t>
        </is>
      </c>
      <c r="C12261">
        <f>ROMAN(12260)</f>
        <v/>
      </c>
      <c r="D12261">
        <f>IF(B12261=C12261, "YES", "WRONG")</f>
        <v/>
      </c>
    </row>
    <row r="12262">
      <c r="A12262" t="n">
        <v>12261</v>
      </c>
      <c r="B12262" t="inlineStr">
        <is>
          <t>x̄MMCCLXI</t>
        </is>
      </c>
      <c r="C12262">
        <f>ROMAN(12261)</f>
        <v/>
      </c>
      <c r="D12262">
        <f>IF(B12262=C12262, "YES", "WRONG")</f>
        <v/>
      </c>
    </row>
    <row r="12263">
      <c r="A12263" t="n">
        <v>12262</v>
      </c>
      <c r="B12263" t="inlineStr">
        <is>
          <t>x̄MMCCLXII</t>
        </is>
      </c>
      <c r="C12263">
        <f>ROMAN(12262)</f>
        <v/>
      </c>
      <c r="D12263">
        <f>IF(B12263=C12263, "YES", "WRONG")</f>
        <v/>
      </c>
    </row>
    <row r="12264">
      <c r="A12264" t="n">
        <v>12263</v>
      </c>
      <c r="B12264" t="inlineStr">
        <is>
          <t>x̄MMCCLXIII</t>
        </is>
      </c>
      <c r="C12264">
        <f>ROMAN(12263)</f>
        <v/>
      </c>
      <c r="D12264">
        <f>IF(B12264=C12264, "YES", "WRONG")</f>
        <v/>
      </c>
    </row>
    <row r="12265">
      <c r="A12265" t="n">
        <v>12264</v>
      </c>
      <c r="B12265" t="inlineStr">
        <is>
          <t>x̄MMCCLXIV</t>
        </is>
      </c>
      <c r="C12265">
        <f>ROMAN(12264)</f>
        <v/>
      </c>
      <c r="D12265">
        <f>IF(B12265=C12265, "YES", "WRONG")</f>
        <v/>
      </c>
    </row>
    <row r="12266">
      <c r="A12266" t="n">
        <v>12265</v>
      </c>
      <c r="B12266" t="inlineStr">
        <is>
          <t>x̄MMCCLXV</t>
        </is>
      </c>
      <c r="C12266">
        <f>ROMAN(12265)</f>
        <v/>
      </c>
      <c r="D12266">
        <f>IF(B12266=C12266, "YES", "WRONG")</f>
        <v/>
      </c>
    </row>
    <row r="12267">
      <c r="A12267" t="n">
        <v>12266</v>
      </c>
      <c r="B12267" t="inlineStr">
        <is>
          <t>x̄MMCCLXVI</t>
        </is>
      </c>
      <c r="C12267">
        <f>ROMAN(12266)</f>
        <v/>
      </c>
      <c r="D12267">
        <f>IF(B12267=C12267, "YES", "WRONG")</f>
        <v/>
      </c>
    </row>
    <row r="12268">
      <c r="A12268" t="n">
        <v>12267</v>
      </c>
      <c r="B12268" t="inlineStr">
        <is>
          <t>x̄MMCCLXVII</t>
        </is>
      </c>
      <c r="C12268">
        <f>ROMAN(12267)</f>
        <v/>
      </c>
      <c r="D12268">
        <f>IF(B12268=C12268, "YES", "WRONG")</f>
        <v/>
      </c>
    </row>
    <row r="12269">
      <c r="A12269" t="n">
        <v>12268</v>
      </c>
      <c r="B12269" t="inlineStr">
        <is>
          <t>x̄MMCCLXVIII</t>
        </is>
      </c>
      <c r="C12269">
        <f>ROMAN(12268)</f>
        <v/>
      </c>
      <c r="D12269">
        <f>IF(B12269=C12269, "YES", "WRONG")</f>
        <v/>
      </c>
    </row>
    <row r="12270">
      <c r="A12270" t="n">
        <v>12269</v>
      </c>
      <c r="B12270" t="inlineStr">
        <is>
          <t>x̄MMCCLXIX</t>
        </is>
      </c>
      <c r="C12270">
        <f>ROMAN(12269)</f>
        <v/>
      </c>
      <c r="D12270">
        <f>IF(B12270=C12270, "YES", "WRONG")</f>
        <v/>
      </c>
    </row>
    <row r="12271">
      <c r="A12271" t="n">
        <v>12270</v>
      </c>
      <c r="B12271" t="inlineStr">
        <is>
          <t>x̄MMCCLXX</t>
        </is>
      </c>
      <c r="C12271">
        <f>ROMAN(12270)</f>
        <v/>
      </c>
      <c r="D12271">
        <f>IF(B12271=C12271, "YES", "WRONG")</f>
        <v/>
      </c>
    </row>
    <row r="12272">
      <c r="A12272" t="n">
        <v>12271</v>
      </c>
      <c r="B12272" t="inlineStr">
        <is>
          <t>x̄MMCCLXXI</t>
        </is>
      </c>
      <c r="C12272">
        <f>ROMAN(12271)</f>
        <v/>
      </c>
      <c r="D12272">
        <f>IF(B12272=C12272, "YES", "WRONG")</f>
        <v/>
      </c>
    </row>
    <row r="12273">
      <c r="A12273" t="n">
        <v>12272</v>
      </c>
      <c r="B12273" t="inlineStr">
        <is>
          <t>x̄MMCCLXXII</t>
        </is>
      </c>
      <c r="C12273">
        <f>ROMAN(12272)</f>
        <v/>
      </c>
      <c r="D12273">
        <f>IF(B12273=C12273, "YES", "WRONG")</f>
        <v/>
      </c>
    </row>
    <row r="12274">
      <c r="A12274" t="n">
        <v>12273</v>
      </c>
      <c r="B12274" t="inlineStr">
        <is>
          <t>x̄MMCCLXXIII</t>
        </is>
      </c>
      <c r="C12274">
        <f>ROMAN(12273)</f>
        <v/>
      </c>
      <c r="D12274">
        <f>IF(B12274=C12274, "YES", "WRONG")</f>
        <v/>
      </c>
    </row>
    <row r="12275">
      <c r="A12275" t="n">
        <v>12274</v>
      </c>
      <c r="B12275" t="inlineStr">
        <is>
          <t>x̄MMCCLXXIV</t>
        </is>
      </c>
      <c r="C12275">
        <f>ROMAN(12274)</f>
        <v/>
      </c>
      <c r="D12275">
        <f>IF(B12275=C12275, "YES", "WRONG")</f>
        <v/>
      </c>
    </row>
    <row r="12276">
      <c r="A12276" t="n">
        <v>12275</v>
      </c>
      <c r="B12276" t="inlineStr">
        <is>
          <t>x̄MMCCLXXV</t>
        </is>
      </c>
      <c r="C12276">
        <f>ROMAN(12275)</f>
        <v/>
      </c>
      <c r="D12276">
        <f>IF(B12276=C12276, "YES", "WRONG")</f>
        <v/>
      </c>
    </row>
    <row r="12277">
      <c r="A12277" t="n">
        <v>12276</v>
      </c>
      <c r="B12277" t="inlineStr">
        <is>
          <t>x̄MMCCLXXVI</t>
        </is>
      </c>
      <c r="C12277">
        <f>ROMAN(12276)</f>
        <v/>
      </c>
      <c r="D12277">
        <f>IF(B12277=C12277, "YES", "WRONG")</f>
        <v/>
      </c>
    </row>
    <row r="12278">
      <c r="A12278" t="n">
        <v>12277</v>
      </c>
      <c r="B12278" t="inlineStr">
        <is>
          <t>x̄MMCCLXXVII</t>
        </is>
      </c>
      <c r="C12278">
        <f>ROMAN(12277)</f>
        <v/>
      </c>
      <c r="D12278">
        <f>IF(B12278=C12278, "YES", "WRONG")</f>
        <v/>
      </c>
    </row>
    <row r="12279">
      <c r="A12279" t="n">
        <v>12278</v>
      </c>
      <c r="B12279" t="inlineStr">
        <is>
          <t>x̄MMCCLXXVIII</t>
        </is>
      </c>
      <c r="C12279">
        <f>ROMAN(12278)</f>
        <v/>
      </c>
      <c r="D12279">
        <f>IF(B12279=C12279, "YES", "WRONG")</f>
        <v/>
      </c>
    </row>
    <row r="12280">
      <c r="A12280" t="n">
        <v>12279</v>
      </c>
      <c r="B12280" t="inlineStr">
        <is>
          <t>x̄MMCCLXXIX</t>
        </is>
      </c>
      <c r="C12280">
        <f>ROMAN(12279)</f>
        <v/>
      </c>
      <c r="D12280">
        <f>IF(B12280=C12280, "YES", "WRONG")</f>
        <v/>
      </c>
    </row>
    <row r="12281">
      <c r="A12281" t="n">
        <v>12280</v>
      </c>
      <c r="B12281" t="inlineStr">
        <is>
          <t>x̄MMCCLXXX</t>
        </is>
      </c>
      <c r="C12281">
        <f>ROMAN(12280)</f>
        <v/>
      </c>
      <c r="D12281">
        <f>IF(B12281=C12281, "YES", "WRONG")</f>
        <v/>
      </c>
    </row>
    <row r="12282">
      <c r="A12282" t="n">
        <v>12281</v>
      </c>
      <c r="B12282" t="inlineStr">
        <is>
          <t>x̄MMCCLXXXI</t>
        </is>
      </c>
      <c r="C12282">
        <f>ROMAN(12281)</f>
        <v/>
      </c>
      <c r="D12282">
        <f>IF(B12282=C12282, "YES", "WRONG")</f>
        <v/>
      </c>
    </row>
    <row r="12283">
      <c r="A12283" t="n">
        <v>12282</v>
      </c>
      <c r="B12283" t="inlineStr">
        <is>
          <t>x̄MMCCLXXXII</t>
        </is>
      </c>
      <c r="C12283">
        <f>ROMAN(12282)</f>
        <v/>
      </c>
      <c r="D12283">
        <f>IF(B12283=C12283, "YES", "WRONG")</f>
        <v/>
      </c>
    </row>
    <row r="12284">
      <c r="A12284" t="n">
        <v>12283</v>
      </c>
      <c r="B12284" t="inlineStr">
        <is>
          <t>x̄MMCCLXXXIII</t>
        </is>
      </c>
      <c r="C12284">
        <f>ROMAN(12283)</f>
        <v/>
      </c>
      <c r="D12284">
        <f>IF(B12284=C12284, "YES", "WRONG")</f>
        <v/>
      </c>
    </row>
    <row r="12285">
      <c r="A12285" t="n">
        <v>12284</v>
      </c>
      <c r="B12285" t="inlineStr">
        <is>
          <t>x̄MMCCLXXXIV</t>
        </is>
      </c>
      <c r="C12285">
        <f>ROMAN(12284)</f>
        <v/>
      </c>
      <c r="D12285">
        <f>IF(B12285=C12285, "YES", "WRONG")</f>
        <v/>
      </c>
    </row>
    <row r="12286">
      <c r="A12286" t="n">
        <v>12285</v>
      </c>
      <c r="B12286" t="inlineStr">
        <is>
          <t>x̄MMCCLXXXV</t>
        </is>
      </c>
      <c r="C12286">
        <f>ROMAN(12285)</f>
        <v/>
      </c>
      <c r="D12286">
        <f>IF(B12286=C12286, "YES", "WRONG")</f>
        <v/>
      </c>
    </row>
    <row r="12287">
      <c r="A12287" t="n">
        <v>12286</v>
      </c>
      <c r="B12287" t="inlineStr">
        <is>
          <t>x̄MMCCLXXXVI</t>
        </is>
      </c>
      <c r="C12287">
        <f>ROMAN(12286)</f>
        <v/>
      </c>
      <c r="D12287">
        <f>IF(B12287=C12287, "YES", "WRONG")</f>
        <v/>
      </c>
    </row>
    <row r="12288">
      <c r="A12288" t="n">
        <v>12287</v>
      </c>
      <c r="B12288" t="inlineStr">
        <is>
          <t>x̄MMCCLXXXVII</t>
        </is>
      </c>
      <c r="C12288">
        <f>ROMAN(12287)</f>
        <v/>
      </c>
      <c r="D12288">
        <f>IF(B12288=C12288, "YES", "WRONG")</f>
        <v/>
      </c>
    </row>
    <row r="12289">
      <c r="A12289" t="n">
        <v>12288</v>
      </c>
      <c r="B12289" t="inlineStr">
        <is>
          <t>x̄MMCCLXXXVIII</t>
        </is>
      </c>
      <c r="C12289">
        <f>ROMAN(12288)</f>
        <v/>
      </c>
      <c r="D12289">
        <f>IF(B12289=C12289, "YES", "WRONG")</f>
        <v/>
      </c>
    </row>
    <row r="12290">
      <c r="A12290" t="n">
        <v>12289</v>
      </c>
      <c r="B12290" t="inlineStr">
        <is>
          <t>x̄MMCCLXXXIX</t>
        </is>
      </c>
      <c r="C12290">
        <f>ROMAN(12289)</f>
        <v/>
      </c>
      <c r="D12290">
        <f>IF(B12290=C12290, "YES", "WRONG")</f>
        <v/>
      </c>
    </row>
    <row r="12291">
      <c r="A12291" t="n">
        <v>12290</v>
      </c>
      <c r="B12291" t="inlineStr">
        <is>
          <t>x̄MMCCXC</t>
        </is>
      </c>
      <c r="C12291">
        <f>ROMAN(12290)</f>
        <v/>
      </c>
      <c r="D12291">
        <f>IF(B12291=C12291, "YES", "WRONG")</f>
        <v/>
      </c>
    </row>
    <row r="12292">
      <c r="A12292" t="n">
        <v>12291</v>
      </c>
      <c r="B12292" t="inlineStr">
        <is>
          <t>x̄MMCCXCI</t>
        </is>
      </c>
      <c r="C12292">
        <f>ROMAN(12291)</f>
        <v/>
      </c>
      <c r="D12292">
        <f>IF(B12292=C12292, "YES", "WRONG")</f>
        <v/>
      </c>
    </row>
    <row r="12293">
      <c r="A12293" t="n">
        <v>12292</v>
      </c>
      <c r="B12293" t="inlineStr">
        <is>
          <t>x̄MMCCXCII</t>
        </is>
      </c>
      <c r="C12293">
        <f>ROMAN(12292)</f>
        <v/>
      </c>
      <c r="D12293">
        <f>IF(B12293=C12293, "YES", "WRONG")</f>
        <v/>
      </c>
    </row>
    <row r="12294">
      <c r="A12294" t="n">
        <v>12293</v>
      </c>
      <c r="B12294" t="inlineStr">
        <is>
          <t>x̄MMCCXCIII</t>
        </is>
      </c>
      <c r="C12294">
        <f>ROMAN(12293)</f>
        <v/>
      </c>
      <c r="D12294">
        <f>IF(B12294=C12294, "YES", "WRONG")</f>
        <v/>
      </c>
    </row>
    <row r="12295">
      <c r="A12295" t="n">
        <v>12294</v>
      </c>
      <c r="B12295" t="inlineStr">
        <is>
          <t>x̄MMCCXCIV</t>
        </is>
      </c>
      <c r="C12295">
        <f>ROMAN(12294)</f>
        <v/>
      </c>
      <c r="D12295">
        <f>IF(B12295=C12295, "YES", "WRONG")</f>
        <v/>
      </c>
    </row>
    <row r="12296">
      <c r="A12296" t="n">
        <v>12295</v>
      </c>
      <c r="B12296" t="inlineStr">
        <is>
          <t>x̄MMCCXCV</t>
        </is>
      </c>
      <c r="C12296">
        <f>ROMAN(12295)</f>
        <v/>
      </c>
      <c r="D12296">
        <f>IF(B12296=C12296, "YES", "WRONG")</f>
        <v/>
      </c>
    </row>
    <row r="12297">
      <c r="A12297" t="n">
        <v>12296</v>
      </c>
      <c r="B12297" t="inlineStr">
        <is>
          <t>x̄MMCCXCVI</t>
        </is>
      </c>
      <c r="C12297">
        <f>ROMAN(12296)</f>
        <v/>
      </c>
      <c r="D12297">
        <f>IF(B12297=C12297, "YES", "WRONG")</f>
        <v/>
      </c>
    </row>
    <row r="12298">
      <c r="A12298" t="n">
        <v>12297</v>
      </c>
      <c r="B12298" t="inlineStr">
        <is>
          <t>x̄MMCCXCVII</t>
        </is>
      </c>
      <c r="C12298">
        <f>ROMAN(12297)</f>
        <v/>
      </c>
      <c r="D12298">
        <f>IF(B12298=C12298, "YES", "WRONG")</f>
        <v/>
      </c>
    </row>
    <row r="12299">
      <c r="A12299" t="n">
        <v>12298</v>
      </c>
      <c r="B12299" t="inlineStr">
        <is>
          <t>x̄MMCCXCVIII</t>
        </is>
      </c>
      <c r="C12299">
        <f>ROMAN(12298)</f>
        <v/>
      </c>
      <c r="D12299">
        <f>IF(B12299=C12299, "YES", "WRONG")</f>
        <v/>
      </c>
    </row>
    <row r="12300">
      <c r="A12300" t="n">
        <v>12299</v>
      </c>
      <c r="B12300" t="inlineStr">
        <is>
          <t>x̄MMCCXCIX</t>
        </is>
      </c>
      <c r="C12300">
        <f>ROMAN(12299)</f>
        <v/>
      </c>
      <c r="D12300">
        <f>IF(B12300=C12300, "YES", "WRONG")</f>
        <v/>
      </c>
    </row>
    <row r="12301">
      <c r="A12301" t="n">
        <v>12300</v>
      </c>
      <c r="B12301" t="inlineStr">
        <is>
          <t>x̄MMCCC</t>
        </is>
      </c>
      <c r="C12301">
        <f>ROMAN(12300)</f>
        <v/>
      </c>
      <c r="D12301">
        <f>IF(B12301=C12301, "YES", "WRONG")</f>
        <v/>
      </c>
    </row>
    <row r="12302">
      <c r="A12302" t="n">
        <v>12301</v>
      </c>
      <c r="B12302" t="inlineStr">
        <is>
          <t>x̄MMCCCI</t>
        </is>
      </c>
      <c r="C12302">
        <f>ROMAN(12301)</f>
        <v/>
      </c>
      <c r="D12302">
        <f>IF(B12302=C12302, "YES", "WRONG")</f>
        <v/>
      </c>
    </row>
    <row r="12303">
      <c r="A12303" t="n">
        <v>12302</v>
      </c>
      <c r="B12303" t="inlineStr">
        <is>
          <t>x̄MMCCCII</t>
        </is>
      </c>
      <c r="C12303">
        <f>ROMAN(12302)</f>
        <v/>
      </c>
      <c r="D12303">
        <f>IF(B12303=C12303, "YES", "WRONG")</f>
        <v/>
      </c>
    </row>
    <row r="12304">
      <c r="A12304" t="n">
        <v>12303</v>
      </c>
      <c r="B12304" t="inlineStr">
        <is>
          <t>x̄MMCCCIII</t>
        </is>
      </c>
      <c r="C12304">
        <f>ROMAN(12303)</f>
        <v/>
      </c>
      <c r="D12304">
        <f>IF(B12304=C12304, "YES", "WRONG")</f>
        <v/>
      </c>
    </row>
    <row r="12305">
      <c r="A12305" t="n">
        <v>12304</v>
      </c>
      <c r="B12305" t="inlineStr">
        <is>
          <t>x̄MMCCCIV</t>
        </is>
      </c>
      <c r="C12305">
        <f>ROMAN(12304)</f>
        <v/>
      </c>
      <c r="D12305">
        <f>IF(B12305=C12305, "YES", "WRONG")</f>
        <v/>
      </c>
    </row>
    <row r="12306">
      <c r="A12306" t="n">
        <v>12305</v>
      </c>
      <c r="B12306" t="inlineStr">
        <is>
          <t>x̄MMCCCV</t>
        </is>
      </c>
      <c r="C12306">
        <f>ROMAN(12305)</f>
        <v/>
      </c>
      <c r="D12306">
        <f>IF(B12306=C12306, "YES", "WRONG")</f>
        <v/>
      </c>
    </row>
    <row r="12307">
      <c r="A12307" t="n">
        <v>12306</v>
      </c>
      <c r="B12307" t="inlineStr">
        <is>
          <t>x̄MMCCCVI</t>
        </is>
      </c>
      <c r="C12307">
        <f>ROMAN(12306)</f>
        <v/>
      </c>
      <c r="D12307">
        <f>IF(B12307=C12307, "YES", "WRONG")</f>
        <v/>
      </c>
    </row>
    <row r="12308">
      <c r="A12308" t="n">
        <v>12307</v>
      </c>
      <c r="B12308" t="inlineStr">
        <is>
          <t>x̄MMCCCVII</t>
        </is>
      </c>
      <c r="C12308">
        <f>ROMAN(12307)</f>
        <v/>
      </c>
      <c r="D12308">
        <f>IF(B12308=C12308, "YES", "WRONG")</f>
        <v/>
      </c>
    </row>
    <row r="12309">
      <c r="A12309" t="n">
        <v>12308</v>
      </c>
      <c r="B12309" t="inlineStr">
        <is>
          <t>x̄MMCCCVIII</t>
        </is>
      </c>
      <c r="C12309">
        <f>ROMAN(12308)</f>
        <v/>
      </c>
      <c r="D12309">
        <f>IF(B12309=C12309, "YES", "WRONG")</f>
        <v/>
      </c>
    </row>
    <row r="12310">
      <c r="A12310" t="n">
        <v>12309</v>
      </c>
      <c r="B12310" t="inlineStr">
        <is>
          <t>x̄MMCCCIX</t>
        </is>
      </c>
      <c r="C12310">
        <f>ROMAN(12309)</f>
        <v/>
      </c>
      <c r="D12310">
        <f>IF(B12310=C12310, "YES", "WRONG")</f>
        <v/>
      </c>
    </row>
    <row r="12311">
      <c r="A12311" t="n">
        <v>12310</v>
      </c>
      <c r="B12311" t="inlineStr">
        <is>
          <t>x̄MMCCCX</t>
        </is>
      </c>
      <c r="C12311">
        <f>ROMAN(12310)</f>
        <v/>
      </c>
      <c r="D12311">
        <f>IF(B12311=C12311, "YES", "WRONG")</f>
        <v/>
      </c>
    </row>
    <row r="12312">
      <c r="A12312" t="n">
        <v>12311</v>
      </c>
      <c r="B12312" t="inlineStr">
        <is>
          <t>x̄MMCCCXI</t>
        </is>
      </c>
      <c r="C12312">
        <f>ROMAN(12311)</f>
        <v/>
      </c>
      <c r="D12312">
        <f>IF(B12312=C12312, "YES", "WRONG")</f>
        <v/>
      </c>
    </row>
    <row r="12313">
      <c r="A12313" t="n">
        <v>12312</v>
      </c>
      <c r="B12313" t="inlineStr">
        <is>
          <t>x̄MMCCCXII</t>
        </is>
      </c>
      <c r="C12313">
        <f>ROMAN(12312)</f>
        <v/>
      </c>
      <c r="D12313">
        <f>IF(B12313=C12313, "YES", "WRONG")</f>
        <v/>
      </c>
    </row>
    <row r="12314">
      <c r="A12314" t="n">
        <v>12313</v>
      </c>
      <c r="B12314" t="inlineStr">
        <is>
          <t>x̄MMCCCXIII</t>
        </is>
      </c>
      <c r="C12314">
        <f>ROMAN(12313)</f>
        <v/>
      </c>
      <c r="D12314">
        <f>IF(B12314=C12314, "YES", "WRONG")</f>
        <v/>
      </c>
    </row>
    <row r="12315">
      <c r="A12315" t="n">
        <v>12314</v>
      </c>
      <c r="B12315" t="inlineStr">
        <is>
          <t>x̄MMCCCXIV</t>
        </is>
      </c>
      <c r="C12315">
        <f>ROMAN(12314)</f>
        <v/>
      </c>
      <c r="D12315">
        <f>IF(B12315=C12315, "YES", "WRONG")</f>
        <v/>
      </c>
    </row>
    <row r="12316">
      <c r="A12316" t="n">
        <v>12315</v>
      </c>
      <c r="B12316" t="inlineStr">
        <is>
          <t>x̄MMCCCXV</t>
        </is>
      </c>
      <c r="C12316">
        <f>ROMAN(12315)</f>
        <v/>
      </c>
      <c r="D12316">
        <f>IF(B12316=C12316, "YES", "WRONG")</f>
        <v/>
      </c>
    </row>
    <row r="12317">
      <c r="A12317" t="n">
        <v>12316</v>
      </c>
      <c r="B12317" t="inlineStr">
        <is>
          <t>x̄MMCCCXVI</t>
        </is>
      </c>
      <c r="C12317">
        <f>ROMAN(12316)</f>
        <v/>
      </c>
      <c r="D12317">
        <f>IF(B12317=C12317, "YES", "WRONG")</f>
        <v/>
      </c>
    </row>
    <row r="12318">
      <c r="A12318" t="n">
        <v>12317</v>
      </c>
      <c r="B12318" t="inlineStr">
        <is>
          <t>x̄MMCCCXVII</t>
        </is>
      </c>
      <c r="C12318">
        <f>ROMAN(12317)</f>
        <v/>
      </c>
      <c r="D12318">
        <f>IF(B12318=C12318, "YES", "WRONG")</f>
        <v/>
      </c>
    </row>
    <row r="12319">
      <c r="A12319" t="n">
        <v>12318</v>
      </c>
      <c r="B12319" t="inlineStr">
        <is>
          <t>x̄MMCCCXVIII</t>
        </is>
      </c>
      <c r="C12319">
        <f>ROMAN(12318)</f>
        <v/>
      </c>
      <c r="D12319">
        <f>IF(B12319=C12319, "YES", "WRONG")</f>
        <v/>
      </c>
    </row>
    <row r="12320">
      <c r="A12320" t="n">
        <v>12319</v>
      </c>
      <c r="B12320" t="inlineStr">
        <is>
          <t>x̄MMCCCXIX</t>
        </is>
      </c>
      <c r="C12320">
        <f>ROMAN(12319)</f>
        <v/>
      </c>
      <c r="D12320">
        <f>IF(B12320=C12320, "YES", "WRONG")</f>
        <v/>
      </c>
    </row>
    <row r="12321">
      <c r="A12321" t="n">
        <v>12320</v>
      </c>
      <c r="B12321" t="inlineStr">
        <is>
          <t>x̄MMCCCXX</t>
        </is>
      </c>
      <c r="C12321">
        <f>ROMAN(12320)</f>
        <v/>
      </c>
      <c r="D12321">
        <f>IF(B12321=C12321, "YES", "WRONG")</f>
        <v/>
      </c>
    </row>
    <row r="12322">
      <c r="A12322" t="n">
        <v>12321</v>
      </c>
      <c r="B12322" t="inlineStr">
        <is>
          <t>x̄MMCCCXXI</t>
        </is>
      </c>
      <c r="C12322">
        <f>ROMAN(12321)</f>
        <v/>
      </c>
      <c r="D12322">
        <f>IF(B12322=C12322, "YES", "WRONG")</f>
        <v/>
      </c>
    </row>
    <row r="12323">
      <c r="A12323" t="n">
        <v>12322</v>
      </c>
      <c r="B12323" t="inlineStr">
        <is>
          <t>x̄MMCCCXXII</t>
        </is>
      </c>
      <c r="C12323">
        <f>ROMAN(12322)</f>
        <v/>
      </c>
      <c r="D12323">
        <f>IF(B12323=C12323, "YES", "WRONG")</f>
        <v/>
      </c>
    </row>
    <row r="12324">
      <c r="A12324" t="n">
        <v>12323</v>
      </c>
      <c r="B12324" t="inlineStr">
        <is>
          <t>x̄MMCCCXXIII</t>
        </is>
      </c>
      <c r="C12324">
        <f>ROMAN(12323)</f>
        <v/>
      </c>
      <c r="D12324">
        <f>IF(B12324=C12324, "YES", "WRONG")</f>
        <v/>
      </c>
    </row>
    <row r="12325">
      <c r="A12325" t="n">
        <v>12324</v>
      </c>
      <c r="B12325" t="inlineStr">
        <is>
          <t>x̄MMCCCXXIV</t>
        </is>
      </c>
      <c r="C12325">
        <f>ROMAN(12324)</f>
        <v/>
      </c>
      <c r="D12325">
        <f>IF(B12325=C12325, "YES", "WRONG")</f>
        <v/>
      </c>
    </row>
    <row r="12326">
      <c r="A12326" t="n">
        <v>12325</v>
      </c>
      <c r="B12326" t="inlineStr">
        <is>
          <t>x̄MMCCCXXV</t>
        </is>
      </c>
      <c r="C12326">
        <f>ROMAN(12325)</f>
        <v/>
      </c>
      <c r="D12326">
        <f>IF(B12326=C12326, "YES", "WRONG")</f>
        <v/>
      </c>
    </row>
    <row r="12327">
      <c r="A12327" t="n">
        <v>12326</v>
      </c>
      <c r="B12327" t="inlineStr">
        <is>
          <t>x̄MMCCCXXVI</t>
        </is>
      </c>
      <c r="C12327">
        <f>ROMAN(12326)</f>
        <v/>
      </c>
      <c r="D12327">
        <f>IF(B12327=C12327, "YES", "WRONG")</f>
        <v/>
      </c>
    </row>
    <row r="12328">
      <c r="A12328" t="n">
        <v>12327</v>
      </c>
      <c r="B12328" t="inlineStr">
        <is>
          <t>x̄MMCCCXXVII</t>
        </is>
      </c>
      <c r="C12328">
        <f>ROMAN(12327)</f>
        <v/>
      </c>
      <c r="D12328">
        <f>IF(B12328=C12328, "YES", "WRONG")</f>
        <v/>
      </c>
    </row>
    <row r="12329">
      <c r="A12329" t="n">
        <v>12328</v>
      </c>
      <c r="B12329" t="inlineStr">
        <is>
          <t>x̄MMCCCXXVIII</t>
        </is>
      </c>
      <c r="C12329">
        <f>ROMAN(12328)</f>
        <v/>
      </c>
      <c r="D12329">
        <f>IF(B12329=C12329, "YES", "WRONG")</f>
        <v/>
      </c>
    </row>
    <row r="12330">
      <c r="A12330" t="n">
        <v>12329</v>
      </c>
      <c r="B12330" t="inlineStr">
        <is>
          <t>x̄MMCCCXXIX</t>
        </is>
      </c>
      <c r="C12330">
        <f>ROMAN(12329)</f>
        <v/>
      </c>
      <c r="D12330">
        <f>IF(B12330=C12330, "YES", "WRONG")</f>
        <v/>
      </c>
    </row>
    <row r="12331">
      <c r="A12331" t="n">
        <v>12330</v>
      </c>
      <c r="B12331" t="inlineStr">
        <is>
          <t>x̄MMCCCXXX</t>
        </is>
      </c>
      <c r="C12331">
        <f>ROMAN(12330)</f>
        <v/>
      </c>
      <c r="D12331">
        <f>IF(B12331=C12331, "YES", "WRONG")</f>
        <v/>
      </c>
    </row>
    <row r="12332">
      <c r="A12332" t="n">
        <v>12331</v>
      </c>
      <c r="B12332" t="inlineStr">
        <is>
          <t>x̄MMCCCXXXI</t>
        </is>
      </c>
      <c r="C12332">
        <f>ROMAN(12331)</f>
        <v/>
      </c>
      <c r="D12332">
        <f>IF(B12332=C12332, "YES", "WRONG")</f>
        <v/>
      </c>
    </row>
    <row r="12333">
      <c r="A12333" t="n">
        <v>12332</v>
      </c>
      <c r="B12333" t="inlineStr">
        <is>
          <t>x̄MMCCCXXXII</t>
        </is>
      </c>
      <c r="C12333">
        <f>ROMAN(12332)</f>
        <v/>
      </c>
      <c r="D12333">
        <f>IF(B12333=C12333, "YES", "WRONG")</f>
        <v/>
      </c>
    </row>
    <row r="12334">
      <c r="A12334" t="n">
        <v>12333</v>
      </c>
      <c r="B12334" t="inlineStr">
        <is>
          <t>x̄MMCCCXXXIII</t>
        </is>
      </c>
      <c r="C12334">
        <f>ROMAN(12333)</f>
        <v/>
      </c>
      <c r="D12334">
        <f>IF(B12334=C12334, "YES", "WRONG")</f>
        <v/>
      </c>
    </row>
    <row r="12335">
      <c r="A12335" t="n">
        <v>12334</v>
      </c>
      <c r="B12335" t="inlineStr">
        <is>
          <t>x̄MMCCCXXXIV</t>
        </is>
      </c>
      <c r="C12335">
        <f>ROMAN(12334)</f>
        <v/>
      </c>
      <c r="D12335">
        <f>IF(B12335=C12335, "YES", "WRONG")</f>
        <v/>
      </c>
    </row>
    <row r="12336">
      <c r="A12336" t="n">
        <v>12335</v>
      </c>
      <c r="B12336" t="inlineStr">
        <is>
          <t>x̄MMCCCXXXV</t>
        </is>
      </c>
      <c r="C12336">
        <f>ROMAN(12335)</f>
        <v/>
      </c>
      <c r="D12336">
        <f>IF(B12336=C12336, "YES", "WRONG")</f>
        <v/>
      </c>
    </row>
    <row r="12337">
      <c r="A12337" t="n">
        <v>12336</v>
      </c>
      <c r="B12337" t="inlineStr">
        <is>
          <t>x̄MMCCCXXXVI</t>
        </is>
      </c>
      <c r="C12337">
        <f>ROMAN(12336)</f>
        <v/>
      </c>
      <c r="D12337">
        <f>IF(B12337=C12337, "YES", "WRONG")</f>
        <v/>
      </c>
    </row>
    <row r="12338">
      <c r="A12338" t="n">
        <v>12337</v>
      </c>
      <c r="B12338" t="inlineStr">
        <is>
          <t>x̄MMCCCXXXVII</t>
        </is>
      </c>
      <c r="C12338">
        <f>ROMAN(12337)</f>
        <v/>
      </c>
      <c r="D12338">
        <f>IF(B12338=C12338, "YES", "WRONG")</f>
        <v/>
      </c>
    </row>
    <row r="12339">
      <c r="A12339" t="n">
        <v>12338</v>
      </c>
      <c r="B12339" t="inlineStr">
        <is>
          <t>x̄MMCCCXXXVIII</t>
        </is>
      </c>
      <c r="C12339">
        <f>ROMAN(12338)</f>
        <v/>
      </c>
      <c r="D12339">
        <f>IF(B12339=C12339, "YES", "WRONG")</f>
        <v/>
      </c>
    </row>
    <row r="12340">
      <c r="A12340" t="n">
        <v>12339</v>
      </c>
      <c r="B12340" t="inlineStr">
        <is>
          <t>x̄MMCCCXXXIX</t>
        </is>
      </c>
      <c r="C12340">
        <f>ROMAN(12339)</f>
        <v/>
      </c>
      <c r="D12340">
        <f>IF(B12340=C12340, "YES", "WRONG")</f>
        <v/>
      </c>
    </row>
    <row r="12341">
      <c r="A12341" t="n">
        <v>12340</v>
      </c>
      <c r="B12341" t="inlineStr">
        <is>
          <t>x̄MMCCCXL</t>
        </is>
      </c>
      <c r="C12341">
        <f>ROMAN(12340)</f>
        <v/>
      </c>
      <c r="D12341">
        <f>IF(B12341=C12341, "YES", "WRONG")</f>
        <v/>
      </c>
    </row>
    <row r="12342">
      <c r="A12342" t="n">
        <v>12341</v>
      </c>
      <c r="B12342" t="inlineStr">
        <is>
          <t>x̄MMCCCXLI</t>
        </is>
      </c>
      <c r="C12342">
        <f>ROMAN(12341)</f>
        <v/>
      </c>
      <c r="D12342">
        <f>IF(B12342=C12342, "YES", "WRONG")</f>
        <v/>
      </c>
    </row>
    <row r="12343">
      <c r="A12343" t="n">
        <v>12342</v>
      </c>
      <c r="B12343" t="inlineStr">
        <is>
          <t>x̄MMCCCXLII</t>
        </is>
      </c>
      <c r="C12343">
        <f>ROMAN(12342)</f>
        <v/>
      </c>
      <c r="D12343">
        <f>IF(B12343=C12343, "YES", "WRONG")</f>
        <v/>
      </c>
    </row>
    <row r="12344">
      <c r="A12344" t="n">
        <v>12343</v>
      </c>
      <c r="B12344" t="inlineStr">
        <is>
          <t>x̄MMCCCXLIII</t>
        </is>
      </c>
      <c r="C12344">
        <f>ROMAN(12343)</f>
        <v/>
      </c>
      <c r="D12344">
        <f>IF(B12344=C12344, "YES", "WRONG")</f>
        <v/>
      </c>
    </row>
    <row r="12345">
      <c r="A12345" t="n">
        <v>12344</v>
      </c>
      <c r="B12345" t="inlineStr">
        <is>
          <t>x̄MMCCCXLIV</t>
        </is>
      </c>
      <c r="C12345">
        <f>ROMAN(12344)</f>
        <v/>
      </c>
      <c r="D12345">
        <f>IF(B12345=C12345, "YES", "WRONG")</f>
        <v/>
      </c>
    </row>
    <row r="12346">
      <c r="A12346" t="n">
        <v>12345</v>
      </c>
      <c r="B12346" t="inlineStr">
        <is>
          <t>x̄MMCCCXLV</t>
        </is>
      </c>
      <c r="C12346">
        <f>ROMAN(12345)</f>
        <v/>
      </c>
      <c r="D12346">
        <f>IF(B12346=C12346, "YES", "WRONG")</f>
        <v/>
      </c>
    </row>
    <row r="12347">
      <c r="A12347" t="n">
        <v>12346</v>
      </c>
      <c r="B12347" t="inlineStr">
        <is>
          <t>x̄MMCCCXLVI</t>
        </is>
      </c>
      <c r="C12347">
        <f>ROMAN(12346)</f>
        <v/>
      </c>
      <c r="D12347">
        <f>IF(B12347=C12347, "YES", "WRONG")</f>
        <v/>
      </c>
    </row>
    <row r="12348">
      <c r="A12348" t="n">
        <v>12347</v>
      </c>
      <c r="B12348" t="inlineStr">
        <is>
          <t>x̄MMCCCXLVII</t>
        </is>
      </c>
      <c r="C12348">
        <f>ROMAN(12347)</f>
        <v/>
      </c>
      <c r="D12348">
        <f>IF(B12348=C12348, "YES", "WRONG")</f>
        <v/>
      </c>
    </row>
    <row r="12349">
      <c r="A12349" t="n">
        <v>12348</v>
      </c>
      <c r="B12349" t="inlineStr">
        <is>
          <t>x̄MMCCCXLVIII</t>
        </is>
      </c>
      <c r="C12349">
        <f>ROMAN(12348)</f>
        <v/>
      </c>
      <c r="D12349">
        <f>IF(B12349=C12349, "YES", "WRONG")</f>
        <v/>
      </c>
    </row>
    <row r="12350">
      <c r="A12350" t="n">
        <v>12349</v>
      </c>
      <c r="B12350" t="inlineStr">
        <is>
          <t>x̄MMCCCXLIX</t>
        </is>
      </c>
      <c r="C12350">
        <f>ROMAN(12349)</f>
        <v/>
      </c>
      <c r="D12350">
        <f>IF(B12350=C12350, "YES", "WRONG")</f>
        <v/>
      </c>
    </row>
    <row r="12351">
      <c r="A12351" t="n">
        <v>12350</v>
      </c>
      <c r="B12351" t="inlineStr">
        <is>
          <t>x̄MMCCCL</t>
        </is>
      </c>
      <c r="C12351">
        <f>ROMAN(12350)</f>
        <v/>
      </c>
      <c r="D12351">
        <f>IF(B12351=C12351, "YES", "WRONG")</f>
        <v/>
      </c>
    </row>
    <row r="12352">
      <c r="A12352" t="n">
        <v>12351</v>
      </c>
      <c r="B12352" t="inlineStr">
        <is>
          <t>x̄MMCCCLI</t>
        </is>
      </c>
      <c r="C12352">
        <f>ROMAN(12351)</f>
        <v/>
      </c>
      <c r="D12352">
        <f>IF(B12352=C12352, "YES", "WRONG")</f>
        <v/>
      </c>
    </row>
    <row r="12353">
      <c r="A12353" t="n">
        <v>12352</v>
      </c>
      <c r="B12353" t="inlineStr">
        <is>
          <t>x̄MMCCCLII</t>
        </is>
      </c>
      <c r="C12353">
        <f>ROMAN(12352)</f>
        <v/>
      </c>
      <c r="D12353">
        <f>IF(B12353=C12353, "YES", "WRONG")</f>
        <v/>
      </c>
    </row>
    <row r="12354">
      <c r="A12354" t="n">
        <v>12353</v>
      </c>
      <c r="B12354" t="inlineStr">
        <is>
          <t>x̄MMCCCLIII</t>
        </is>
      </c>
      <c r="C12354">
        <f>ROMAN(12353)</f>
        <v/>
      </c>
      <c r="D12354">
        <f>IF(B12354=C12354, "YES", "WRONG")</f>
        <v/>
      </c>
    </row>
    <row r="12355">
      <c r="A12355" t="n">
        <v>12354</v>
      </c>
      <c r="B12355" t="inlineStr">
        <is>
          <t>x̄MMCCCLIV</t>
        </is>
      </c>
      <c r="C12355">
        <f>ROMAN(12354)</f>
        <v/>
      </c>
      <c r="D12355">
        <f>IF(B12355=C12355, "YES", "WRONG")</f>
        <v/>
      </c>
    </row>
    <row r="12356">
      <c r="A12356" t="n">
        <v>12355</v>
      </c>
      <c r="B12356" t="inlineStr">
        <is>
          <t>x̄MMCCCLV</t>
        </is>
      </c>
      <c r="C12356">
        <f>ROMAN(12355)</f>
        <v/>
      </c>
      <c r="D12356">
        <f>IF(B12356=C12356, "YES", "WRONG")</f>
        <v/>
      </c>
    </row>
    <row r="12357">
      <c r="A12357" t="n">
        <v>12356</v>
      </c>
      <c r="B12357" t="inlineStr">
        <is>
          <t>x̄MMCCCLVI</t>
        </is>
      </c>
      <c r="C12357">
        <f>ROMAN(12356)</f>
        <v/>
      </c>
      <c r="D12357">
        <f>IF(B12357=C12357, "YES", "WRONG")</f>
        <v/>
      </c>
    </row>
    <row r="12358">
      <c r="A12358" t="n">
        <v>12357</v>
      </c>
      <c r="B12358" t="inlineStr">
        <is>
          <t>x̄MMCCCLVII</t>
        </is>
      </c>
      <c r="C12358">
        <f>ROMAN(12357)</f>
        <v/>
      </c>
      <c r="D12358">
        <f>IF(B12358=C12358, "YES", "WRONG")</f>
        <v/>
      </c>
    </row>
    <row r="12359">
      <c r="A12359" t="n">
        <v>12358</v>
      </c>
      <c r="B12359" t="inlineStr">
        <is>
          <t>x̄MMCCCLVIII</t>
        </is>
      </c>
      <c r="C12359">
        <f>ROMAN(12358)</f>
        <v/>
      </c>
      <c r="D12359">
        <f>IF(B12359=C12359, "YES", "WRONG")</f>
        <v/>
      </c>
    </row>
    <row r="12360">
      <c r="A12360" t="n">
        <v>12359</v>
      </c>
      <c r="B12360" t="inlineStr">
        <is>
          <t>x̄MMCCCLIX</t>
        </is>
      </c>
      <c r="C12360">
        <f>ROMAN(12359)</f>
        <v/>
      </c>
      <c r="D12360">
        <f>IF(B12360=C12360, "YES", "WRONG")</f>
        <v/>
      </c>
    </row>
    <row r="12361">
      <c r="A12361" t="n">
        <v>12360</v>
      </c>
      <c r="B12361" t="inlineStr">
        <is>
          <t>x̄MMCCCLX</t>
        </is>
      </c>
      <c r="C12361">
        <f>ROMAN(12360)</f>
        <v/>
      </c>
      <c r="D12361">
        <f>IF(B12361=C12361, "YES", "WRONG")</f>
        <v/>
      </c>
    </row>
    <row r="12362">
      <c r="A12362" t="n">
        <v>12361</v>
      </c>
      <c r="B12362" t="inlineStr">
        <is>
          <t>x̄MMCCCLXI</t>
        </is>
      </c>
      <c r="C12362">
        <f>ROMAN(12361)</f>
        <v/>
      </c>
      <c r="D12362">
        <f>IF(B12362=C12362, "YES", "WRONG")</f>
        <v/>
      </c>
    </row>
    <row r="12363">
      <c r="A12363" t="n">
        <v>12362</v>
      </c>
      <c r="B12363" t="inlineStr">
        <is>
          <t>x̄MMCCCLXII</t>
        </is>
      </c>
      <c r="C12363">
        <f>ROMAN(12362)</f>
        <v/>
      </c>
      <c r="D12363">
        <f>IF(B12363=C12363, "YES", "WRONG")</f>
        <v/>
      </c>
    </row>
    <row r="12364">
      <c r="A12364" t="n">
        <v>12363</v>
      </c>
      <c r="B12364" t="inlineStr">
        <is>
          <t>x̄MMCCCLXIII</t>
        </is>
      </c>
      <c r="C12364">
        <f>ROMAN(12363)</f>
        <v/>
      </c>
      <c r="D12364">
        <f>IF(B12364=C12364, "YES", "WRONG")</f>
        <v/>
      </c>
    </row>
    <row r="12365">
      <c r="A12365" t="n">
        <v>12364</v>
      </c>
      <c r="B12365" t="inlineStr">
        <is>
          <t>x̄MMCCCLXIV</t>
        </is>
      </c>
      <c r="C12365">
        <f>ROMAN(12364)</f>
        <v/>
      </c>
      <c r="D12365">
        <f>IF(B12365=C12365, "YES", "WRONG")</f>
        <v/>
      </c>
    </row>
    <row r="12366">
      <c r="A12366" t="n">
        <v>12365</v>
      </c>
      <c r="B12366" t="inlineStr">
        <is>
          <t>x̄MMCCCLXV</t>
        </is>
      </c>
      <c r="C12366">
        <f>ROMAN(12365)</f>
        <v/>
      </c>
      <c r="D12366">
        <f>IF(B12366=C12366, "YES", "WRONG")</f>
        <v/>
      </c>
    </row>
    <row r="12367">
      <c r="A12367" t="n">
        <v>12366</v>
      </c>
      <c r="B12367" t="inlineStr">
        <is>
          <t>x̄MMCCCLXVI</t>
        </is>
      </c>
      <c r="C12367">
        <f>ROMAN(12366)</f>
        <v/>
      </c>
      <c r="D12367">
        <f>IF(B12367=C12367, "YES", "WRONG")</f>
        <v/>
      </c>
    </row>
    <row r="12368">
      <c r="A12368" t="n">
        <v>12367</v>
      </c>
      <c r="B12368" t="inlineStr">
        <is>
          <t>x̄MMCCCLXVII</t>
        </is>
      </c>
      <c r="C12368">
        <f>ROMAN(12367)</f>
        <v/>
      </c>
      <c r="D12368">
        <f>IF(B12368=C12368, "YES", "WRONG")</f>
        <v/>
      </c>
    </row>
    <row r="12369">
      <c r="A12369" t="n">
        <v>12368</v>
      </c>
      <c r="B12369" t="inlineStr">
        <is>
          <t>x̄MMCCCLXVIII</t>
        </is>
      </c>
      <c r="C12369">
        <f>ROMAN(12368)</f>
        <v/>
      </c>
      <c r="D12369">
        <f>IF(B12369=C12369, "YES", "WRONG")</f>
        <v/>
      </c>
    </row>
    <row r="12370">
      <c r="A12370" t="n">
        <v>12369</v>
      </c>
      <c r="B12370" t="inlineStr">
        <is>
          <t>x̄MMCCCLXIX</t>
        </is>
      </c>
      <c r="C12370">
        <f>ROMAN(12369)</f>
        <v/>
      </c>
      <c r="D12370">
        <f>IF(B12370=C12370, "YES", "WRONG")</f>
        <v/>
      </c>
    </row>
    <row r="12371">
      <c r="A12371" t="n">
        <v>12370</v>
      </c>
      <c r="B12371" t="inlineStr">
        <is>
          <t>x̄MMCCCLXX</t>
        </is>
      </c>
      <c r="C12371">
        <f>ROMAN(12370)</f>
        <v/>
      </c>
      <c r="D12371">
        <f>IF(B12371=C12371, "YES", "WRONG")</f>
        <v/>
      </c>
    </row>
    <row r="12372">
      <c r="A12372" t="n">
        <v>12371</v>
      </c>
      <c r="B12372" t="inlineStr">
        <is>
          <t>x̄MMCCCLXXI</t>
        </is>
      </c>
      <c r="C12372">
        <f>ROMAN(12371)</f>
        <v/>
      </c>
      <c r="D12372">
        <f>IF(B12372=C12372, "YES", "WRONG")</f>
        <v/>
      </c>
    </row>
    <row r="12373">
      <c r="A12373" t="n">
        <v>12372</v>
      </c>
      <c r="B12373" t="inlineStr">
        <is>
          <t>x̄MMCCCLXXII</t>
        </is>
      </c>
      <c r="C12373">
        <f>ROMAN(12372)</f>
        <v/>
      </c>
      <c r="D12373">
        <f>IF(B12373=C12373, "YES", "WRONG")</f>
        <v/>
      </c>
    </row>
    <row r="12374">
      <c r="A12374" t="n">
        <v>12373</v>
      </c>
      <c r="B12374" t="inlineStr">
        <is>
          <t>x̄MMCCCLXXIII</t>
        </is>
      </c>
      <c r="C12374">
        <f>ROMAN(12373)</f>
        <v/>
      </c>
      <c r="D12374">
        <f>IF(B12374=C12374, "YES", "WRONG")</f>
        <v/>
      </c>
    </row>
    <row r="12375">
      <c r="A12375" t="n">
        <v>12374</v>
      </c>
      <c r="B12375" t="inlineStr">
        <is>
          <t>x̄MMCCCLXXIV</t>
        </is>
      </c>
      <c r="C12375">
        <f>ROMAN(12374)</f>
        <v/>
      </c>
      <c r="D12375">
        <f>IF(B12375=C12375, "YES", "WRONG")</f>
        <v/>
      </c>
    </row>
    <row r="12376">
      <c r="A12376" t="n">
        <v>12375</v>
      </c>
      <c r="B12376" t="inlineStr">
        <is>
          <t>x̄MMCCCLXXV</t>
        </is>
      </c>
      <c r="C12376">
        <f>ROMAN(12375)</f>
        <v/>
      </c>
      <c r="D12376">
        <f>IF(B12376=C12376, "YES", "WRONG")</f>
        <v/>
      </c>
    </row>
    <row r="12377">
      <c r="A12377" t="n">
        <v>12376</v>
      </c>
      <c r="B12377" t="inlineStr">
        <is>
          <t>x̄MMCCCLXXVI</t>
        </is>
      </c>
      <c r="C12377">
        <f>ROMAN(12376)</f>
        <v/>
      </c>
      <c r="D12377">
        <f>IF(B12377=C12377, "YES", "WRONG")</f>
        <v/>
      </c>
    </row>
    <row r="12378">
      <c r="A12378" t="n">
        <v>12377</v>
      </c>
      <c r="B12378" t="inlineStr">
        <is>
          <t>x̄MMCCCLXXVII</t>
        </is>
      </c>
      <c r="C12378">
        <f>ROMAN(12377)</f>
        <v/>
      </c>
      <c r="D12378">
        <f>IF(B12378=C12378, "YES", "WRONG")</f>
        <v/>
      </c>
    </row>
    <row r="12379">
      <c r="A12379" t="n">
        <v>12378</v>
      </c>
      <c r="B12379" t="inlineStr">
        <is>
          <t>x̄MMCCCLXXVIII</t>
        </is>
      </c>
      <c r="C12379">
        <f>ROMAN(12378)</f>
        <v/>
      </c>
      <c r="D12379">
        <f>IF(B12379=C12379, "YES", "WRONG")</f>
        <v/>
      </c>
    </row>
    <row r="12380">
      <c r="A12380" t="n">
        <v>12379</v>
      </c>
      <c r="B12380" t="inlineStr">
        <is>
          <t>x̄MMCCCLXXIX</t>
        </is>
      </c>
      <c r="C12380">
        <f>ROMAN(12379)</f>
        <v/>
      </c>
      <c r="D12380">
        <f>IF(B12380=C12380, "YES", "WRONG")</f>
        <v/>
      </c>
    </row>
    <row r="12381">
      <c r="A12381" t="n">
        <v>12380</v>
      </c>
      <c r="B12381" t="inlineStr">
        <is>
          <t>x̄MMCCCLXXX</t>
        </is>
      </c>
      <c r="C12381">
        <f>ROMAN(12380)</f>
        <v/>
      </c>
      <c r="D12381">
        <f>IF(B12381=C12381, "YES", "WRONG")</f>
        <v/>
      </c>
    </row>
    <row r="12382">
      <c r="A12382" t="n">
        <v>12381</v>
      </c>
      <c r="B12382" t="inlineStr">
        <is>
          <t>x̄MMCCCLXXXI</t>
        </is>
      </c>
      <c r="C12382">
        <f>ROMAN(12381)</f>
        <v/>
      </c>
      <c r="D12382">
        <f>IF(B12382=C12382, "YES", "WRONG")</f>
        <v/>
      </c>
    </row>
    <row r="12383">
      <c r="A12383" t="n">
        <v>12382</v>
      </c>
      <c r="B12383" t="inlineStr">
        <is>
          <t>x̄MMCCCLXXXII</t>
        </is>
      </c>
      <c r="C12383">
        <f>ROMAN(12382)</f>
        <v/>
      </c>
      <c r="D12383">
        <f>IF(B12383=C12383, "YES", "WRONG")</f>
        <v/>
      </c>
    </row>
    <row r="12384">
      <c r="A12384" t="n">
        <v>12383</v>
      </c>
      <c r="B12384" t="inlineStr">
        <is>
          <t>x̄MMCCCLXXXIII</t>
        </is>
      </c>
      <c r="C12384">
        <f>ROMAN(12383)</f>
        <v/>
      </c>
      <c r="D12384">
        <f>IF(B12384=C12384, "YES", "WRONG")</f>
        <v/>
      </c>
    </row>
    <row r="12385">
      <c r="A12385" t="n">
        <v>12384</v>
      </c>
      <c r="B12385" t="inlineStr">
        <is>
          <t>x̄MMCCCLXXXIV</t>
        </is>
      </c>
      <c r="C12385">
        <f>ROMAN(12384)</f>
        <v/>
      </c>
      <c r="D12385">
        <f>IF(B12385=C12385, "YES", "WRONG")</f>
        <v/>
      </c>
    </row>
    <row r="12386">
      <c r="A12386" t="n">
        <v>12385</v>
      </c>
      <c r="B12386" t="inlineStr">
        <is>
          <t>x̄MMCCCLXXXV</t>
        </is>
      </c>
      <c r="C12386">
        <f>ROMAN(12385)</f>
        <v/>
      </c>
      <c r="D12386">
        <f>IF(B12386=C12386, "YES", "WRONG")</f>
        <v/>
      </c>
    </row>
    <row r="12387">
      <c r="A12387" t="n">
        <v>12386</v>
      </c>
      <c r="B12387" t="inlineStr">
        <is>
          <t>x̄MMCCCLXXXVI</t>
        </is>
      </c>
      <c r="C12387">
        <f>ROMAN(12386)</f>
        <v/>
      </c>
      <c r="D12387">
        <f>IF(B12387=C12387, "YES", "WRONG")</f>
        <v/>
      </c>
    </row>
    <row r="12388">
      <c r="A12388" t="n">
        <v>12387</v>
      </c>
      <c r="B12388" t="inlineStr">
        <is>
          <t>x̄MMCCCLXXXVII</t>
        </is>
      </c>
      <c r="C12388">
        <f>ROMAN(12387)</f>
        <v/>
      </c>
      <c r="D12388">
        <f>IF(B12388=C12388, "YES", "WRONG")</f>
        <v/>
      </c>
    </row>
    <row r="12389">
      <c r="A12389" t="n">
        <v>12388</v>
      </c>
      <c r="B12389" t="inlineStr">
        <is>
          <t>x̄MMCCCLXXXVIII</t>
        </is>
      </c>
      <c r="C12389">
        <f>ROMAN(12388)</f>
        <v/>
      </c>
      <c r="D12389">
        <f>IF(B12389=C12389, "YES", "WRONG")</f>
        <v/>
      </c>
    </row>
    <row r="12390">
      <c r="A12390" t="n">
        <v>12389</v>
      </c>
      <c r="B12390" t="inlineStr">
        <is>
          <t>x̄MMCCCLXXXIX</t>
        </is>
      </c>
      <c r="C12390">
        <f>ROMAN(12389)</f>
        <v/>
      </c>
      <c r="D12390">
        <f>IF(B12390=C12390, "YES", "WRONG")</f>
        <v/>
      </c>
    </row>
    <row r="12391">
      <c r="A12391" t="n">
        <v>12390</v>
      </c>
      <c r="B12391" t="inlineStr">
        <is>
          <t>x̄MMCCCXC</t>
        </is>
      </c>
      <c r="C12391">
        <f>ROMAN(12390)</f>
        <v/>
      </c>
      <c r="D12391">
        <f>IF(B12391=C12391, "YES", "WRONG")</f>
        <v/>
      </c>
    </row>
    <row r="12392">
      <c r="A12392" t="n">
        <v>12391</v>
      </c>
      <c r="B12392" t="inlineStr">
        <is>
          <t>x̄MMCCCXCI</t>
        </is>
      </c>
      <c r="C12392">
        <f>ROMAN(12391)</f>
        <v/>
      </c>
      <c r="D12392">
        <f>IF(B12392=C12392, "YES", "WRONG")</f>
        <v/>
      </c>
    </row>
    <row r="12393">
      <c r="A12393" t="n">
        <v>12392</v>
      </c>
      <c r="B12393" t="inlineStr">
        <is>
          <t>x̄MMCCCXCII</t>
        </is>
      </c>
      <c r="C12393">
        <f>ROMAN(12392)</f>
        <v/>
      </c>
      <c r="D12393">
        <f>IF(B12393=C12393, "YES", "WRONG")</f>
        <v/>
      </c>
    </row>
    <row r="12394">
      <c r="A12394" t="n">
        <v>12393</v>
      </c>
      <c r="B12394" t="inlineStr">
        <is>
          <t>x̄MMCCCXCIII</t>
        </is>
      </c>
      <c r="C12394">
        <f>ROMAN(12393)</f>
        <v/>
      </c>
      <c r="D12394">
        <f>IF(B12394=C12394, "YES", "WRONG")</f>
        <v/>
      </c>
    </row>
    <row r="12395">
      <c r="A12395" t="n">
        <v>12394</v>
      </c>
      <c r="B12395" t="inlineStr">
        <is>
          <t>x̄MMCCCXCIV</t>
        </is>
      </c>
      <c r="C12395">
        <f>ROMAN(12394)</f>
        <v/>
      </c>
      <c r="D12395">
        <f>IF(B12395=C12395, "YES", "WRONG")</f>
        <v/>
      </c>
    </row>
    <row r="12396">
      <c r="A12396" t="n">
        <v>12395</v>
      </c>
      <c r="B12396" t="inlineStr">
        <is>
          <t>x̄MMCCCXCV</t>
        </is>
      </c>
      <c r="C12396">
        <f>ROMAN(12395)</f>
        <v/>
      </c>
      <c r="D12396">
        <f>IF(B12396=C12396, "YES", "WRONG")</f>
        <v/>
      </c>
    </row>
    <row r="12397">
      <c r="A12397" t="n">
        <v>12396</v>
      </c>
      <c r="B12397" t="inlineStr">
        <is>
          <t>x̄MMCCCXCVI</t>
        </is>
      </c>
      <c r="C12397">
        <f>ROMAN(12396)</f>
        <v/>
      </c>
      <c r="D12397">
        <f>IF(B12397=C12397, "YES", "WRONG")</f>
        <v/>
      </c>
    </row>
    <row r="12398">
      <c r="A12398" t="n">
        <v>12397</v>
      </c>
      <c r="B12398" t="inlineStr">
        <is>
          <t>x̄MMCCCXCVII</t>
        </is>
      </c>
      <c r="C12398">
        <f>ROMAN(12397)</f>
        <v/>
      </c>
      <c r="D12398">
        <f>IF(B12398=C12398, "YES", "WRONG")</f>
        <v/>
      </c>
    </row>
    <row r="12399">
      <c r="A12399" t="n">
        <v>12398</v>
      </c>
      <c r="B12399" t="inlineStr">
        <is>
          <t>x̄MMCCCXCVIII</t>
        </is>
      </c>
      <c r="C12399">
        <f>ROMAN(12398)</f>
        <v/>
      </c>
      <c r="D12399">
        <f>IF(B12399=C12399, "YES", "WRONG")</f>
        <v/>
      </c>
    </row>
    <row r="12400">
      <c r="A12400" t="n">
        <v>12399</v>
      </c>
      <c r="B12400" t="inlineStr">
        <is>
          <t>x̄MMCCCXCIX</t>
        </is>
      </c>
      <c r="C12400">
        <f>ROMAN(12399)</f>
        <v/>
      </c>
      <c r="D12400">
        <f>IF(B12400=C12400, "YES", "WRONG")</f>
        <v/>
      </c>
    </row>
    <row r="12401">
      <c r="A12401" t="n">
        <v>12400</v>
      </c>
      <c r="B12401" t="inlineStr">
        <is>
          <t>x̄MMCD</t>
        </is>
      </c>
      <c r="C12401">
        <f>ROMAN(12400)</f>
        <v/>
      </c>
      <c r="D12401">
        <f>IF(B12401=C12401, "YES", "WRONG")</f>
        <v/>
      </c>
    </row>
    <row r="12402">
      <c r="A12402" t="n">
        <v>12401</v>
      </c>
      <c r="B12402" t="inlineStr">
        <is>
          <t>x̄MMCDI</t>
        </is>
      </c>
      <c r="C12402">
        <f>ROMAN(12401)</f>
        <v/>
      </c>
      <c r="D12402">
        <f>IF(B12402=C12402, "YES", "WRONG")</f>
        <v/>
      </c>
    </row>
    <row r="12403">
      <c r="A12403" t="n">
        <v>12402</v>
      </c>
      <c r="B12403" t="inlineStr">
        <is>
          <t>x̄MMCDII</t>
        </is>
      </c>
      <c r="C12403">
        <f>ROMAN(12402)</f>
        <v/>
      </c>
      <c r="D12403">
        <f>IF(B12403=C12403, "YES", "WRONG")</f>
        <v/>
      </c>
    </row>
    <row r="12404">
      <c r="A12404" t="n">
        <v>12403</v>
      </c>
      <c r="B12404" t="inlineStr">
        <is>
          <t>x̄MMCDIII</t>
        </is>
      </c>
      <c r="C12404">
        <f>ROMAN(12403)</f>
        <v/>
      </c>
      <c r="D12404">
        <f>IF(B12404=C12404, "YES", "WRONG")</f>
        <v/>
      </c>
    </row>
    <row r="12405">
      <c r="A12405" t="n">
        <v>12404</v>
      </c>
      <c r="B12405" t="inlineStr">
        <is>
          <t>x̄MMCDIV</t>
        </is>
      </c>
      <c r="C12405">
        <f>ROMAN(12404)</f>
        <v/>
      </c>
      <c r="D12405">
        <f>IF(B12405=C12405, "YES", "WRONG")</f>
        <v/>
      </c>
    </row>
    <row r="12406">
      <c r="A12406" t="n">
        <v>12405</v>
      </c>
      <c r="B12406" t="inlineStr">
        <is>
          <t>x̄MMCDV</t>
        </is>
      </c>
      <c r="C12406">
        <f>ROMAN(12405)</f>
        <v/>
      </c>
      <c r="D12406">
        <f>IF(B12406=C12406, "YES", "WRONG")</f>
        <v/>
      </c>
    </row>
    <row r="12407">
      <c r="A12407" t="n">
        <v>12406</v>
      </c>
      <c r="B12407" t="inlineStr">
        <is>
          <t>x̄MMCDVI</t>
        </is>
      </c>
      <c r="C12407">
        <f>ROMAN(12406)</f>
        <v/>
      </c>
      <c r="D12407">
        <f>IF(B12407=C12407, "YES", "WRONG")</f>
        <v/>
      </c>
    </row>
    <row r="12408">
      <c r="A12408" t="n">
        <v>12407</v>
      </c>
      <c r="B12408" t="inlineStr">
        <is>
          <t>x̄MMCDVII</t>
        </is>
      </c>
      <c r="C12408">
        <f>ROMAN(12407)</f>
        <v/>
      </c>
      <c r="D12408">
        <f>IF(B12408=C12408, "YES", "WRONG")</f>
        <v/>
      </c>
    </row>
    <row r="12409">
      <c r="A12409" t="n">
        <v>12408</v>
      </c>
      <c r="B12409" t="inlineStr">
        <is>
          <t>x̄MMCDVIII</t>
        </is>
      </c>
      <c r="C12409">
        <f>ROMAN(12408)</f>
        <v/>
      </c>
      <c r="D12409">
        <f>IF(B12409=C12409, "YES", "WRONG")</f>
        <v/>
      </c>
    </row>
    <row r="12410">
      <c r="A12410" t="n">
        <v>12409</v>
      </c>
      <c r="B12410" t="inlineStr">
        <is>
          <t>x̄MMCDIX</t>
        </is>
      </c>
      <c r="C12410">
        <f>ROMAN(12409)</f>
        <v/>
      </c>
      <c r="D12410">
        <f>IF(B12410=C12410, "YES", "WRONG")</f>
        <v/>
      </c>
    </row>
    <row r="12411">
      <c r="A12411" t="n">
        <v>12410</v>
      </c>
      <c r="B12411" t="inlineStr">
        <is>
          <t>x̄MMCDX</t>
        </is>
      </c>
      <c r="C12411">
        <f>ROMAN(12410)</f>
        <v/>
      </c>
      <c r="D12411">
        <f>IF(B12411=C12411, "YES", "WRONG")</f>
        <v/>
      </c>
    </row>
    <row r="12412">
      <c r="A12412" t="n">
        <v>12411</v>
      </c>
      <c r="B12412" t="inlineStr">
        <is>
          <t>x̄MMCDXI</t>
        </is>
      </c>
      <c r="C12412">
        <f>ROMAN(12411)</f>
        <v/>
      </c>
      <c r="D12412">
        <f>IF(B12412=C12412, "YES", "WRONG")</f>
        <v/>
      </c>
    </row>
    <row r="12413">
      <c r="A12413" t="n">
        <v>12412</v>
      </c>
      <c r="B12413" t="inlineStr">
        <is>
          <t>x̄MMCDXII</t>
        </is>
      </c>
      <c r="C12413">
        <f>ROMAN(12412)</f>
        <v/>
      </c>
      <c r="D12413">
        <f>IF(B12413=C12413, "YES", "WRONG")</f>
        <v/>
      </c>
    </row>
    <row r="12414">
      <c r="A12414" t="n">
        <v>12413</v>
      </c>
      <c r="B12414" t="inlineStr">
        <is>
          <t>x̄MMCDXIII</t>
        </is>
      </c>
      <c r="C12414">
        <f>ROMAN(12413)</f>
        <v/>
      </c>
      <c r="D12414">
        <f>IF(B12414=C12414, "YES", "WRONG")</f>
        <v/>
      </c>
    </row>
    <row r="12415">
      <c r="A12415" t="n">
        <v>12414</v>
      </c>
      <c r="B12415" t="inlineStr">
        <is>
          <t>x̄MMCDXIV</t>
        </is>
      </c>
      <c r="C12415">
        <f>ROMAN(12414)</f>
        <v/>
      </c>
      <c r="D12415">
        <f>IF(B12415=C12415, "YES", "WRONG")</f>
        <v/>
      </c>
    </row>
    <row r="12416">
      <c r="A12416" t="n">
        <v>12415</v>
      </c>
      <c r="B12416" t="inlineStr">
        <is>
          <t>x̄MMCDXV</t>
        </is>
      </c>
      <c r="C12416">
        <f>ROMAN(12415)</f>
        <v/>
      </c>
      <c r="D12416">
        <f>IF(B12416=C12416, "YES", "WRONG")</f>
        <v/>
      </c>
    </row>
    <row r="12417">
      <c r="A12417" t="n">
        <v>12416</v>
      </c>
      <c r="B12417" t="inlineStr">
        <is>
          <t>x̄MMCDXVI</t>
        </is>
      </c>
      <c r="C12417">
        <f>ROMAN(12416)</f>
        <v/>
      </c>
      <c r="D12417">
        <f>IF(B12417=C12417, "YES", "WRONG")</f>
        <v/>
      </c>
    </row>
    <row r="12418">
      <c r="A12418" t="n">
        <v>12417</v>
      </c>
      <c r="B12418" t="inlineStr">
        <is>
          <t>x̄MMCDXVII</t>
        </is>
      </c>
      <c r="C12418">
        <f>ROMAN(12417)</f>
        <v/>
      </c>
      <c r="D12418">
        <f>IF(B12418=C12418, "YES", "WRONG")</f>
        <v/>
      </c>
    </row>
    <row r="12419">
      <c r="A12419" t="n">
        <v>12418</v>
      </c>
      <c r="B12419" t="inlineStr">
        <is>
          <t>x̄MMCDXVIII</t>
        </is>
      </c>
      <c r="C12419">
        <f>ROMAN(12418)</f>
        <v/>
      </c>
      <c r="D12419">
        <f>IF(B12419=C12419, "YES", "WRONG")</f>
        <v/>
      </c>
    </row>
    <row r="12420">
      <c r="A12420" t="n">
        <v>12419</v>
      </c>
      <c r="B12420" t="inlineStr">
        <is>
          <t>x̄MMCDXIX</t>
        </is>
      </c>
      <c r="C12420">
        <f>ROMAN(12419)</f>
        <v/>
      </c>
      <c r="D12420">
        <f>IF(B12420=C12420, "YES", "WRONG")</f>
        <v/>
      </c>
    </row>
    <row r="12421">
      <c r="A12421" t="n">
        <v>12420</v>
      </c>
      <c r="B12421" t="inlineStr">
        <is>
          <t>x̄MMCDXX</t>
        </is>
      </c>
      <c r="C12421">
        <f>ROMAN(12420)</f>
        <v/>
      </c>
      <c r="D12421">
        <f>IF(B12421=C12421, "YES", "WRONG")</f>
        <v/>
      </c>
    </row>
    <row r="12422">
      <c r="A12422" t="n">
        <v>12421</v>
      </c>
      <c r="B12422" t="inlineStr">
        <is>
          <t>x̄MMCDXXI</t>
        </is>
      </c>
      <c r="C12422">
        <f>ROMAN(12421)</f>
        <v/>
      </c>
      <c r="D12422">
        <f>IF(B12422=C12422, "YES", "WRONG")</f>
        <v/>
      </c>
    </row>
    <row r="12423">
      <c r="A12423" t="n">
        <v>12422</v>
      </c>
      <c r="B12423" t="inlineStr">
        <is>
          <t>x̄MMCDXXII</t>
        </is>
      </c>
      <c r="C12423">
        <f>ROMAN(12422)</f>
        <v/>
      </c>
      <c r="D12423">
        <f>IF(B12423=C12423, "YES", "WRONG")</f>
        <v/>
      </c>
    </row>
    <row r="12424">
      <c r="A12424" t="n">
        <v>12423</v>
      </c>
      <c r="B12424" t="inlineStr">
        <is>
          <t>x̄MMCDXXIII</t>
        </is>
      </c>
      <c r="C12424">
        <f>ROMAN(12423)</f>
        <v/>
      </c>
      <c r="D12424">
        <f>IF(B12424=C12424, "YES", "WRONG")</f>
        <v/>
      </c>
    </row>
    <row r="12425">
      <c r="A12425" t="n">
        <v>12424</v>
      </c>
      <c r="B12425" t="inlineStr">
        <is>
          <t>x̄MMCDXXIV</t>
        </is>
      </c>
      <c r="C12425">
        <f>ROMAN(12424)</f>
        <v/>
      </c>
      <c r="D12425">
        <f>IF(B12425=C12425, "YES", "WRONG")</f>
        <v/>
      </c>
    </row>
    <row r="12426">
      <c r="A12426" t="n">
        <v>12425</v>
      </c>
      <c r="B12426" t="inlineStr">
        <is>
          <t>x̄MMCDXXV</t>
        </is>
      </c>
      <c r="C12426">
        <f>ROMAN(12425)</f>
        <v/>
      </c>
      <c r="D12426">
        <f>IF(B12426=C12426, "YES", "WRONG")</f>
        <v/>
      </c>
    </row>
    <row r="12427">
      <c r="A12427" t="n">
        <v>12426</v>
      </c>
      <c r="B12427" t="inlineStr">
        <is>
          <t>x̄MMCDXXVI</t>
        </is>
      </c>
      <c r="C12427">
        <f>ROMAN(12426)</f>
        <v/>
      </c>
      <c r="D12427">
        <f>IF(B12427=C12427, "YES", "WRONG")</f>
        <v/>
      </c>
    </row>
    <row r="12428">
      <c r="A12428" t="n">
        <v>12427</v>
      </c>
      <c r="B12428" t="inlineStr">
        <is>
          <t>x̄MMCDXXVII</t>
        </is>
      </c>
      <c r="C12428">
        <f>ROMAN(12427)</f>
        <v/>
      </c>
      <c r="D12428">
        <f>IF(B12428=C12428, "YES", "WRONG")</f>
        <v/>
      </c>
    </row>
    <row r="12429">
      <c r="A12429" t="n">
        <v>12428</v>
      </c>
      <c r="B12429" t="inlineStr">
        <is>
          <t>x̄MMCDXXVIII</t>
        </is>
      </c>
      <c r="C12429">
        <f>ROMAN(12428)</f>
        <v/>
      </c>
      <c r="D12429">
        <f>IF(B12429=C12429, "YES", "WRONG")</f>
        <v/>
      </c>
    </row>
    <row r="12430">
      <c r="A12430" t="n">
        <v>12429</v>
      </c>
      <c r="B12430" t="inlineStr">
        <is>
          <t>x̄MMCDXXIX</t>
        </is>
      </c>
      <c r="C12430">
        <f>ROMAN(12429)</f>
        <v/>
      </c>
      <c r="D12430">
        <f>IF(B12430=C12430, "YES", "WRONG")</f>
        <v/>
      </c>
    </row>
    <row r="12431">
      <c r="A12431" t="n">
        <v>12430</v>
      </c>
      <c r="B12431" t="inlineStr">
        <is>
          <t>x̄MMCDXXX</t>
        </is>
      </c>
      <c r="C12431">
        <f>ROMAN(12430)</f>
        <v/>
      </c>
      <c r="D12431">
        <f>IF(B12431=C12431, "YES", "WRONG")</f>
        <v/>
      </c>
    </row>
    <row r="12432">
      <c r="A12432" t="n">
        <v>12431</v>
      </c>
      <c r="B12432" t="inlineStr">
        <is>
          <t>x̄MMCDXXXI</t>
        </is>
      </c>
      <c r="C12432">
        <f>ROMAN(12431)</f>
        <v/>
      </c>
      <c r="D12432">
        <f>IF(B12432=C12432, "YES", "WRONG")</f>
        <v/>
      </c>
    </row>
    <row r="12433">
      <c r="A12433" t="n">
        <v>12432</v>
      </c>
      <c r="B12433" t="inlineStr">
        <is>
          <t>x̄MMCDXXXII</t>
        </is>
      </c>
      <c r="C12433">
        <f>ROMAN(12432)</f>
        <v/>
      </c>
      <c r="D12433">
        <f>IF(B12433=C12433, "YES", "WRONG")</f>
        <v/>
      </c>
    </row>
    <row r="12434">
      <c r="A12434" t="n">
        <v>12433</v>
      </c>
      <c r="B12434" t="inlineStr">
        <is>
          <t>x̄MMCDXXXIII</t>
        </is>
      </c>
      <c r="C12434">
        <f>ROMAN(12433)</f>
        <v/>
      </c>
      <c r="D12434">
        <f>IF(B12434=C12434, "YES", "WRONG")</f>
        <v/>
      </c>
    </row>
    <row r="12435">
      <c r="A12435" t="n">
        <v>12434</v>
      </c>
      <c r="B12435" t="inlineStr">
        <is>
          <t>x̄MMCDXXXIV</t>
        </is>
      </c>
      <c r="C12435">
        <f>ROMAN(12434)</f>
        <v/>
      </c>
      <c r="D12435">
        <f>IF(B12435=C12435, "YES", "WRONG")</f>
        <v/>
      </c>
    </row>
    <row r="12436">
      <c r="A12436" t="n">
        <v>12435</v>
      </c>
      <c r="B12436" t="inlineStr">
        <is>
          <t>x̄MMCDXXXV</t>
        </is>
      </c>
      <c r="C12436">
        <f>ROMAN(12435)</f>
        <v/>
      </c>
      <c r="D12436">
        <f>IF(B12436=C12436, "YES", "WRONG")</f>
        <v/>
      </c>
    </row>
    <row r="12437">
      <c r="A12437" t="n">
        <v>12436</v>
      </c>
      <c r="B12437" t="inlineStr">
        <is>
          <t>x̄MMCDXXXVI</t>
        </is>
      </c>
      <c r="C12437">
        <f>ROMAN(12436)</f>
        <v/>
      </c>
      <c r="D12437">
        <f>IF(B12437=C12437, "YES", "WRONG")</f>
        <v/>
      </c>
    </row>
    <row r="12438">
      <c r="A12438" t="n">
        <v>12437</v>
      </c>
      <c r="B12438" t="inlineStr">
        <is>
          <t>x̄MMCDXXXVII</t>
        </is>
      </c>
      <c r="C12438">
        <f>ROMAN(12437)</f>
        <v/>
      </c>
      <c r="D12438">
        <f>IF(B12438=C12438, "YES", "WRONG")</f>
        <v/>
      </c>
    </row>
    <row r="12439">
      <c r="A12439" t="n">
        <v>12438</v>
      </c>
      <c r="B12439" t="inlineStr">
        <is>
          <t>x̄MMCDXXXVIII</t>
        </is>
      </c>
      <c r="C12439">
        <f>ROMAN(12438)</f>
        <v/>
      </c>
      <c r="D12439">
        <f>IF(B12439=C12439, "YES", "WRONG")</f>
        <v/>
      </c>
    </row>
    <row r="12440">
      <c r="A12440" t="n">
        <v>12439</v>
      </c>
      <c r="B12440" t="inlineStr">
        <is>
          <t>x̄MMCDXXXIX</t>
        </is>
      </c>
      <c r="C12440">
        <f>ROMAN(12439)</f>
        <v/>
      </c>
      <c r="D12440">
        <f>IF(B12440=C12440, "YES", "WRONG")</f>
        <v/>
      </c>
    </row>
    <row r="12441">
      <c r="A12441" t="n">
        <v>12440</v>
      </c>
      <c r="B12441" t="inlineStr">
        <is>
          <t>x̄MMCDXL</t>
        </is>
      </c>
      <c r="C12441">
        <f>ROMAN(12440)</f>
        <v/>
      </c>
      <c r="D12441">
        <f>IF(B12441=C12441, "YES", "WRONG")</f>
        <v/>
      </c>
    </row>
    <row r="12442">
      <c r="A12442" t="n">
        <v>12441</v>
      </c>
      <c r="B12442" t="inlineStr">
        <is>
          <t>x̄MMCDXLI</t>
        </is>
      </c>
      <c r="C12442">
        <f>ROMAN(12441)</f>
        <v/>
      </c>
      <c r="D12442">
        <f>IF(B12442=C12442, "YES", "WRONG")</f>
        <v/>
      </c>
    </row>
    <row r="12443">
      <c r="A12443" t="n">
        <v>12442</v>
      </c>
      <c r="B12443" t="inlineStr">
        <is>
          <t>x̄MMCDXLII</t>
        </is>
      </c>
      <c r="C12443">
        <f>ROMAN(12442)</f>
        <v/>
      </c>
      <c r="D12443">
        <f>IF(B12443=C12443, "YES", "WRONG")</f>
        <v/>
      </c>
    </row>
    <row r="12444">
      <c r="A12444" t="n">
        <v>12443</v>
      </c>
      <c r="B12444" t="inlineStr">
        <is>
          <t>x̄MMCDXLIII</t>
        </is>
      </c>
      <c r="C12444">
        <f>ROMAN(12443)</f>
        <v/>
      </c>
      <c r="D12444">
        <f>IF(B12444=C12444, "YES", "WRONG")</f>
        <v/>
      </c>
    </row>
    <row r="12445">
      <c r="A12445" t="n">
        <v>12444</v>
      </c>
      <c r="B12445" t="inlineStr">
        <is>
          <t>x̄MMCDXLIV</t>
        </is>
      </c>
      <c r="C12445">
        <f>ROMAN(12444)</f>
        <v/>
      </c>
      <c r="D12445">
        <f>IF(B12445=C12445, "YES", "WRONG")</f>
        <v/>
      </c>
    </row>
    <row r="12446">
      <c r="A12446" t="n">
        <v>12445</v>
      </c>
      <c r="B12446" t="inlineStr">
        <is>
          <t>x̄MMCDXLV</t>
        </is>
      </c>
      <c r="C12446">
        <f>ROMAN(12445)</f>
        <v/>
      </c>
      <c r="D12446">
        <f>IF(B12446=C12446, "YES", "WRONG")</f>
        <v/>
      </c>
    </row>
    <row r="12447">
      <c r="A12447" t="n">
        <v>12446</v>
      </c>
      <c r="B12447" t="inlineStr">
        <is>
          <t>x̄MMCDXLVI</t>
        </is>
      </c>
      <c r="C12447">
        <f>ROMAN(12446)</f>
        <v/>
      </c>
      <c r="D12447">
        <f>IF(B12447=C12447, "YES", "WRONG")</f>
        <v/>
      </c>
    </row>
    <row r="12448">
      <c r="A12448" t="n">
        <v>12447</v>
      </c>
      <c r="B12448" t="inlineStr">
        <is>
          <t>x̄MMCDXLVII</t>
        </is>
      </c>
      <c r="C12448">
        <f>ROMAN(12447)</f>
        <v/>
      </c>
      <c r="D12448">
        <f>IF(B12448=C12448, "YES", "WRONG")</f>
        <v/>
      </c>
    </row>
    <row r="12449">
      <c r="A12449" t="n">
        <v>12448</v>
      </c>
      <c r="B12449" t="inlineStr">
        <is>
          <t>x̄MMCDXLVIII</t>
        </is>
      </c>
      <c r="C12449">
        <f>ROMAN(12448)</f>
        <v/>
      </c>
      <c r="D12449">
        <f>IF(B12449=C12449, "YES", "WRONG")</f>
        <v/>
      </c>
    </row>
    <row r="12450">
      <c r="A12450" t="n">
        <v>12449</v>
      </c>
      <c r="B12450" t="inlineStr">
        <is>
          <t>x̄MMCDXLIX</t>
        </is>
      </c>
      <c r="C12450">
        <f>ROMAN(12449)</f>
        <v/>
      </c>
      <c r="D12450">
        <f>IF(B12450=C12450, "YES", "WRONG")</f>
        <v/>
      </c>
    </row>
    <row r="12451">
      <c r="A12451" t="n">
        <v>12450</v>
      </c>
      <c r="B12451" t="inlineStr">
        <is>
          <t>x̄MMCDL</t>
        </is>
      </c>
      <c r="C12451">
        <f>ROMAN(12450)</f>
        <v/>
      </c>
      <c r="D12451">
        <f>IF(B12451=C12451, "YES", "WRONG")</f>
        <v/>
      </c>
    </row>
    <row r="12452">
      <c r="A12452" t="n">
        <v>12451</v>
      </c>
      <c r="B12452" t="inlineStr">
        <is>
          <t>x̄MMCDLI</t>
        </is>
      </c>
      <c r="C12452">
        <f>ROMAN(12451)</f>
        <v/>
      </c>
      <c r="D12452">
        <f>IF(B12452=C12452, "YES", "WRONG")</f>
        <v/>
      </c>
    </row>
    <row r="12453">
      <c r="A12453" t="n">
        <v>12452</v>
      </c>
      <c r="B12453" t="inlineStr">
        <is>
          <t>x̄MMCDLII</t>
        </is>
      </c>
      <c r="C12453">
        <f>ROMAN(12452)</f>
        <v/>
      </c>
      <c r="D12453">
        <f>IF(B12453=C12453, "YES", "WRONG")</f>
        <v/>
      </c>
    </row>
    <row r="12454">
      <c r="A12454" t="n">
        <v>12453</v>
      </c>
      <c r="B12454" t="inlineStr">
        <is>
          <t>x̄MMCDLIII</t>
        </is>
      </c>
      <c r="C12454">
        <f>ROMAN(12453)</f>
        <v/>
      </c>
      <c r="D12454">
        <f>IF(B12454=C12454, "YES", "WRONG")</f>
        <v/>
      </c>
    </row>
    <row r="12455">
      <c r="A12455" t="n">
        <v>12454</v>
      </c>
      <c r="B12455" t="inlineStr">
        <is>
          <t>x̄MMCDLIV</t>
        </is>
      </c>
      <c r="C12455">
        <f>ROMAN(12454)</f>
        <v/>
      </c>
      <c r="D12455">
        <f>IF(B12455=C12455, "YES", "WRONG")</f>
        <v/>
      </c>
    </row>
    <row r="12456">
      <c r="A12456" t="n">
        <v>12455</v>
      </c>
      <c r="B12456" t="inlineStr">
        <is>
          <t>x̄MMCDLV</t>
        </is>
      </c>
      <c r="C12456">
        <f>ROMAN(12455)</f>
        <v/>
      </c>
      <c r="D12456">
        <f>IF(B12456=C12456, "YES", "WRONG")</f>
        <v/>
      </c>
    </row>
    <row r="12457">
      <c r="A12457" t="n">
        <v>12456</v>
      </c>
      <c r="B12457" t="inlineStr">
        <is>
          <t>x̄MMCDLVI</t>
        </is>
      </c>
      <c r="C12457">
        <f>ROMAN(12456)</f>
        <v/>
      </c>
      <c r="D12457">
        <f>IF(B12457=C12457, "YES", "WRONG")</f>
        <v/>
      </c>
    </row>
    <row r="12458">
      <c r="A12458" t="n">
        <v>12457</v>
      </c>
      <c r="B12458" t="inlineStr">
        <is>
          <t>x̄MMCDLVII</t>
        </is>
      </c>
      <c r="C12458">
        <f>ROMAN(12457)</f>
        <v/>
      </c>
      <c r="D12458">
        <f>IF(B12458=C12458, "YES", "WRONG")</f>
        <v/>
      </c>
    </row>
    <row r="12459">
      <c r="A12459" t="n">
        <v>12458</v>
      </c>
      <c r="B12459" t="inlineStr">
        <is>
          <t>x̄MMCDLVIII</t>
        </is>
      </c>
      <c r="C12459">
        <f>ROMAN(12458)</f>
        <v/>
      </c>
      <c r="D12459">
        <f>IF(B12459=C12459, "YES", "WRONG")</f>
        <v/>
      </c>
    </row>
    <row r="12460">
      <c r="A12460" t="n">
        <v>12459</v>
      </c>
      <c r="B12460" t="inlineStr">
        <is>
          <t>x̄MMCDLIX</t>
        </is>
      </c>
      <c r="C12460">
        <f>ROMAN(12459)</f>
        <v/>
      </c>
      <c r="D12460">
        <f>IF(B12460=C12460, "YES", "WRONG")</f>
        <v/>
      </c>
    </row>
    <row r="12461">
      <c r="A12461" t="n">
        <v>12460</v>
      </c>
      <c r="B12461" t="inlineStr">
        <is>
          <t>x̄MMCDLX</t>
        </is>
      </c>
      <c r="C12461">
        <f>ROMAN(12460)</f>
        <v/>
      </c>
      <c r="D12461">
        <f>IF(B12461=C12461, "YES", "WRONG")</f>
        <v/>
      </c>
    </row>
    <row r="12462">
      <c r="A12462" t="n">
        <v>12461</v>
      </c>
      <c r="B12462" t="inlineStr">
        <is>
          <t>x̄MMCDLXI</t>
        </is>
      </c>
      <c r="C12462">
        <f>ROMAN(12461)</f>
        <v/>
      </c>
      <c r="D12462">
        <f>IF(B12462=C12462, "YES", "WRONG")</f>
        <v/>
      </c>
    </row>
    <row r="12463">
      <c r="A12463" t="n">
        <v>12462</v>
      </c>
      <c r="B12463" t="inlineStr">
        <is>
          <t>x̄MMCDLXII</t>
        </is>
      </c>
      <c r="C12463">
        <f>ROMAN(12462)</f>
        <v/>
      </c>
      <c r="D12463">
        <f>IF(B12463=C12463, "YES", "WRONG")</f>
        <v/>
      </c>
    </row>
    <row r="12464">
      <c r="A12464" t="n">
        <v>12463</v>
      </c>
      <c r="B12464" t="inlineStr">
        <is>
          <t>x̄MMCDLXIII</t>
        </is>
      </c>
      <c r="C12464">
        <f>ROMAN(12463)</f>
        <v/>
      </c>
      <c r="D12464">
        <f>IF(B12464=C12464, "YES", "WRONG")</f>
        <v/>
      </c>
    </row>
    <row r="12465">
      <c r="A12465" t="n">
        <v>12464</v>
      </c>
      <c r="B12465" t="inlineStr">
        <is>
          <t>x̄MMCDLXIV</t>
        </is>
      </c>
      <c r="C12465">
        <f>ROMAN(12464)</f>
        <v/>
      </c>
      <c r="D12465">
        <f>IF(B12465=C12465, "YES", "WRONG")</f>
        <v/>
      </c>
    </row>
    <row r="12466">
      <c r="A12466" t="n">
        <v>12465</v>
      </c>
      <c r="B12466" t="inlineStr">
        <is>
          <t>x̄MMCDLXV</t>
        </is>
      </c>
      <c r="C12466">
        <f>ROMAN(12465)</f>
        <v/>
      </c>
      <c r="D12466">
        <f>IF(B12466=C12466, "YES", "WRONG")</f>
        <v/>
      </c>
    </row>
    <row r="12467">
      <c r="A12467" t="n">
        <v>12466</v>
      </c>
      <c r="B12467" t="inlineStr">
        <is>
          <t>x̄MMCDLXVI</t>
        </is>
      </c>
      <c r="C12467">
        <f>ROMAN(12466)</f>
        <v/>
      </c>
      <c r="D12467">
        <f>IF(B12467=C12467, "YES", "WRONG")</f>
        <v/>
      </c>
    </row>
    <row r="12468">
      <c r="A12468" t="n">
        <v>12467</v>
      </c>
      <c r="B12468" t="inlineStr">
        <is>
          <t>x̄MMCDLXVII</t>
        </is>
      </c>
      <c r="C12468">
        <f>ROMAN(12467)</f>
        <v/>
      </c>
      <c r="D12468">
        <f>IF(B12468=C12468, "YES", "WRONG")</f>
        <v/>
      </c>
    </row>
    <row r="12469">
      <c r="A12469" t="n">
        <v>12468</v>
      </c>
      <c r="B12469" t="inlineStr">
        <is>
          <t>x̄MMCDLXVIII</t>
        </is>
      </c>
      <c r="C12469">
        <f>ROMAN(12468)</f>
        <v/>
      </c>
      <c r="D12469">
        <f>IF(B12469=C12469, "YES", "WRONG")</f>
        <v/>
      </c>
    </row>
    <row r="12470">
      <c r="A12470" t="n">
        <v>12469</v>
      </c>
      <c r="B12470" t="inlineStr">
        <is>
          <t>x̄MMCDLXIX</t>
        </is>
      </c>
      <c r="C12470">
        <f>ROMAN(12469)</f>
        <v/>
      </c>
      <c r="D12470">
        <f>IF(B12470=C12470, "YES", "WRONG")</f>
        <v/>
      </c>
    </row>
    <row r="12471">
      <c r="A12471" t="n">
        <v>12470</v>
      </c>
      <c r="B12471" t="inlineStr">
        <is>
          <t>x̄MMCDLXX</t>
        </is>
      </c>
      <c r="C12471">
        <f>ROMAN(12470)</f>
        <v/>
      </c>
      <c r="D12471">
        <f>IF(B12471=C12471, "YES", "WRONG")</f>
        <v/>
      </c>
    </row>
    <row r="12472">
      <c r="A12472" t="n">
        <v>12471</v>
      </c>
      <c r="B12472" t="inlineStr">
        <is>
          <t>x̄MMCDLXXI</t>
        </is>
      </c>
      <c r="C12472">
        <f>ROMAN(12471)</f>
        <v/>
      </c>
      <c r="D12472">
        <f>IF(B12472=C12472, "YES", "WRONG")</f>
        <v/>
      </c>
    </row>
    <row r="12473">
      <c r="A12473" t="n">
        <v>12472</v>
      </c>
      <c r="B12473" t="inlineStr">
        <is>
          <t>x̄MMCDLXXII</t>
        </is>
      </c>
      <c r="C12473">
        <f>ROMAN(12472)</f>
        <v/>
      </c>
      <c r="D12473">
        <f>IF(B12473=C12473, "YES", "WRONG")</f>
        <v/>
      </c>
    </row>
    <row r="12474">
      <c r="A12474" t="n">
        <v>12473</v>
      </c>
      <c r="B12474" t="inlineStr">
        <is>
          <t>x̄MMCDLXXIII</t>
        </is>
      </c>
      <c r="C12474">
        <f>ROMAN(12473)</f>
        <v/>
      </c>
      <c r="D12474">
        <f>IF(B12474=C12474, "YES", "WRONG")</f>
        <v/>
      </c>
    </row>
    <row r="12475">
      <c r="A12475" t="n">
        <v>12474</v>
      </c>
      <c r="B12475" t="inlineStr">
        <is>
          <t>x̄MMCDLXXIV</t>
        </is>
      </c>
      <c r="C12475">
        <f>ROMAN(12474)</f>
        <v/>
      </c>
      <c r="D12475">
        <f>IF(B12475=C12475, "YES", "WRONG")</f>
        <v/>
      </c>
    </row>
    <row r="12476">
      <c r="A12476" t="n">
        <v>12475</v>
      </c>
      <c r="B12476" t="inlineStr">
        <is>
          <t>x̄MMCDLXXV</t>
        </is>
      </c>
      <c r="C12476">
        <f>ROMAN(12475)</f>
        <v/>
      </c>
      <c r="D12476">
        <f>IF(B12476=C12476, "YES", "WRONG")</f>
        <v/>
      </c>
    </row>
    <row r="12477">
      <c r="A12477" t="n">
        <v>12476</v>
      </c>
      <c r="B12477" t="inlineStr">
        <is>
          <t>x̄MMCDLXXVI</t>
        </is>
      </c>
      <c r="C12477">
        <f>ROMAN(12476)</f>
        <v/>
      </c>
      <c r="D12477">
        <f>IF(B12477=C12477, "YES", "WRONG")</f>
        <v/>
      </c>
    </row>
    <row r="12478">
      <c r="A12478" t="n">
        <v>12477</v>
      </c>
      <c r="B12478" t="inlineStr">
        <is>
          <t>x̄MMCDLXXVII</t>
        </is>
      </c>
      <c r="C12478">
        <f>ROMAN(12477)</f>
        <v/>
      </c>
      <c r="D12478">
        <f>IF(B12478=C12478, "YES", "WRONG")</f>
        <v/>
      </c>
    </row>
    <row r="12479">
      <c r="A12479" t="n">
        <v>12478</v>
      </c>
      <c r="B12479" t="inlineStr">
        <is>
          <t>x̄MMCDLXXVIII</t>
        </is>
      </c>
      <c r="C12479">
        <f>ROMAN(12478)</f>
        <v/>
      </c>
      <c r="D12479">
        <f>IF(B12479=C12479, "YES", "WRONG")</f>
        <v/>
      </c>
    </row>
    <row r="12480">
      <c r="A12480" t="n">
        <v>12479</v>
      </c>
      <c r="B12480" t="inlineStr">
        <is>
          <t>x̄MMCDLXXIX</t>
        </is>
      </c>
      <c r="C12480">
        <f>ROMAN(12479)</f>
        <v/>
      </c>
      <c r="D12480">
        <f>IF(B12480=C12480, "YES", "WRONG")</f>
        <v/>
      </c>
    </row>
    <row r="12481">
      <c r="A12481" t="n">
        <v>12480</v>
      </c>
      <c r="B12481" t="inlineStr">
        <is>
          <t>x̄MMCDLXXX</t>
        </is>
      </c>
      <c r="C12481">
        <f>ROMAN(12480)</f>
        <v/>
      </c>
      <c r="D12481">
        <f>IF(B12481=C12481, "YES", "WRONG")</f>
        <v/>
      </c>
    </row>
    <row r="12482">
      <c r="A12482" t="n">
        <v>12481</v>
      </c>
      <c r="B12482" t="inlineStr">
        <is>
          <t>x̄MMCDLXXXI</t>
        </is>
      </c>
      <c r="C12482">
        <f>ROMAN(12481)</f>
        <v/>
      </c>
      <c r="D12482">
        <f>IF(B12482=C12482, "YES", "WRONG")</f>
        <v/>
      </c>
    </row>
    <row r="12483">
      <c r="A12483" t="n">
        <v>12482</v>
      </c>
      <c r="B12483" t="inlineStr">
        <is>
          <t>x̄MMCDLXXXII</t>
        </is>
      </c>
      <c r="C12483">
        <f>ROMAN(12482)</f>
        <v/>
      </c>
      <c r="D12483">
        <f>IF(B12483=C12483, "YES", "WRONG")</f>
        <v/>
      </c>
    </row>
    <row r="12484">
      <c r="A12484" t="n">
        <v>12483</v>
      </c>
      <c r="B12484" t="inlineStr">
        <is>
          <t>x̄MMCDLXXXIII</t>
        </is>
      </c>
      <c r="C12484">
        <f>ROMAN(12483)</f>
        <v/>
      </c>
      <c r="D12484">
        <f>IF(B12484=C12484, "YES", "WRONG")</f>
        <v/>
      </c>
    </row>
    <row r="12485">
      <c r="A12485" t="n">
        <v>12484</v>
      </c>
      <c r="B12485" t="inlineStr">
        <is>
          <t>x̄MMCDLXXXIV</t>
        </is>
      </c>
      <c r="C12485">
        <f>ROMAN(12484)</f>
        <v/>
      </c>
      <c r="D12485">
        <f>IF(B12485=C12485, "YES", "WRONG")</f>
        <v/>
      </c>
    </row>
    <row r="12486">
      <c r="A12486" t="n">
        <v>12485</v>
      </c>
      <c r="B12486" t="inlineStr">
        <is>
          <t>x̄MMCDLXXXV</t>
        </is>
      </c>
      <c r="C12486">
        <f>ROMAN(12485)</f>
        <v/>
      </c>
      <c r="D12486">
        <f>IF(B12486=C12486, "YES", "WRONG")</f>
        <v/>
      </c>
    </row>
    <row r="12487">
      <c r="A12487" t="n">
        <v>12486</v>
      </c>
      <c r="B12487" t="inlineStr">
        <is>
          <t>x̄MMCDLXXXVI</t>
        </is>
      </c>
      <c r="C12487">
        <f>ROMAN(12486)</f>
        <v/>
      </c>
      <c r="D12487">
        <f>IF(B12487=C12487, "YES", "WRONG")</f>
        <v/>
      </c>
    </row>
    <row r="12488">
      <c r="A12488" t="n">
        <v>12487</v>
      </c>
      <c r="B12488" t="inlineStr">
        <is>
          <t>x̄MMCDLXXXVII</t>
        </is>
      </c>
      <c r="C12488">
        <f>ROMAN(12487)</f>
        <v/>
      </c>
      <c r="D12488">
        <f>IF(B12488=C12488, "YES", "WRONG")</f>
        <v/>
      </c>
    </row>
    <row r="12489">
      <c r="A12489" t="n">
        <v>12488</v>
      </c>
      <c r="B12489" t="inlineStr">
        <is>
          <t>x̄MMCDLXXXVIII</t>
        </is>
      </c>
      <c r="C12489">
        <f>ROMAN(12488)</f>
        <v/>
      </c>
      <c r="D12489">
        <f>IF(B12489=C12489, "YES", "WRONG")</f>
        <v/>
      </c>
    </row>
    <row r="12490">
      <c r="A12490" t="n">
        <v>12489</v>
      </c>
      <c r="B12490" t="inlineStr">
        <is>
          <t>x̄MMCDLXXXIX</t>
        </is>
      </c>
      <c r="C12490">
        <f>ROMAN(12489)</f>
        <v/>
      </c>
      <c r="D12490">
        <f>IF(B12490=C12490, "YES", "WRONG")</f>
        <v/>
      </c>
    </row>
    <row r="12491">
      <c r="A12491" t="n">
        <v>12490</v>
      </c>
      <c r="B12491" t="inlineStr">
        <is>
          <t>x̄MMCDXC</t>
        </is>
      </c>
      <c r="C12491">
        <f>ROMAN(12490)</f>
        <v/>
      </c>
      <c r="D12491">
        <f>IF(B12491=C12491, "YES", "WRONG")</f>
        <v/>
      </c>
    </row>
    <row r="12492">
      <c r="A12492" t="n">
        <v>12491</v>
      </c>
      <c r="B12492" t="inlineStr">
        <is>
          <t>x̄MMCDXCI</t>
        </is>
      </c>
      <c r="C12492">
        <f>ROMAN(12491)</f>
        <v/>
      </c>
      <c r="D12492">
        <f>IF(B12492=C12492, "YES", "WRONG")</f>
        <v/>
      </c>
    </row>
    <row r="12493">
      <c r="A12493" t="n">
        <v>12492</v>
      </c>
      <c r="B12493" t="inlineStr">
        <is>
          <t>x̄MMCDXCII</t>
        </is>
      </c>
      <c r="C12493">
        <f>ROMAN(12492)</f>
        <v/>
      </c>
      <c r="D12493">
        <f>IF(B12493=C12493, "YES", "WRONG")</f>
        <v/>
      </c>
    </row>
    <row r="12494">
      <c r="A12494" t="n">
        <v>12493</v>
      </c>
      <c r="B12494" t="inlineStr">
        <is>
          <t>x̄MMCDXCIII</t>
        </is>
      </c>
      <c r="C12494">
        <f>ROMAN(12493)</f>
        <v/>
      </c>
      <c r="D12494">
        <f>IF(B12494=C12494, "YES", "WRONG")</f>
        <v/>
      </c>
    </row>
    <row r="12495">
      <c r="A12495" t="n">
        <v>12494</v>
      </c>
      <c r="B12495" t="inlineStr">
        <is>
          <t>x̄MMCDXCIV</t>
        </is>
      </c>
      <c r="C12495">
        <f>ROMAN(12494)</f>
        <v/>
      </c>
      <c r="D12495">
        <f>IF(B12495=C12495, "YES", "WRONG")</f>
        <v/>
      </c>
    </row>
    <row r="12496">
      <c r="A12496" t="n">
        <v>12495</v>
      </c>
      <c r="B12496" t="inlineStr">
        <is>
          <t>x̄MMCDXCV</t>
        </is>
      </c>
      <c r="C12496">
        <f>ROMAN(12495)</f>
        <v/>
      </c>
      <c r="D12496">
        <f>IF(B12496=C12496, "YES", "WRONG")</f>
        <v/>
      </c>
    </row>
    <row r="12497">
      <c r="A12497" t="n">
        <v>12496</v>
      </c>
      <c r="B12497" t="inlineStr">
        <is>
          <t>x̄MMCDXCVI</t>
        </is>
      </c>
      <c r="C12497">
        <f>ROMAN(12496)</f>
        <v/>
      </c>
      <c r="D12497">
        <f>IF(B12497=C12497, "YES", "WRONG")</f>
        <v/>
      </c>
    </row>
    <row r="12498">
      <c r="A12498" t="n">
        <v>12497</v>
      </c>
      <c r="B12498" t="inlineStr">
        <is>
          <t>x̄MMCDXCVII</t>
        </is>
      </c>
      <c r="C12498">
        <f>ROMAN(12497)</f>
        <v/>
      </c>
      <c r="D12498">
        <f>IF(B12498=C12498, "YES", "WRONG")</f>
        <v/>
      </c>
    </row>
    <row r="12499">
      <c r="A12499" t="n">
        <v>12498</v>
      </c>
      <c r="B12499" t="inlineStr">
        <is>
          <t>x̄MMCDXCVIII</t>
        </is>
      </c>
      <c r="C12499">
        <f>ROMAN(12498)</f>
        <v/>
      </c>
      <c r="D12499">
        <f>IF(B12499=C12499, "YES", "WRONG")</f>
        <v/>
      </c>
    </row>
    <row r="12500">
      <c r="A12500" t="n">
        <v>12499</v>
      </c>
      <c r="B12500" t="inlineStr">
        <is>
          <t>x̄MMCDXCIX</t>
        </is>
      </c>
      <c r="C12500">
        <f>ROMAN(12499)</f>
        <v/>
      </c>
      <c r="D12500">
        <f>IF(B12500=C12500, "YES", "WRONG")</f>
        <v/>
      </c>
    </row>
    <row r="12501">
      <c r="A12501" t="n">
        <v>12500</v>
      </c>
      <c r="B12501" t="inlineStr">
        <is>
          <t>x̄MMD</t>
        </is>
      </c>
      <c r="C12501">
        <f>ROMAN(12500)</f>
        <v/>
      </c>
      <c r="D12501">
        <f>IF(B12501=C12501, "YES", "WRONG")</f>
        <v/>
      </c>
    </row>
    <row r="12502">
      <c r="A12502" t="n">
        <v>12501</v>
      </c>
      <c r="B12502" t="inlineStr">
        <is>
          <t>x̄MMDI</t>
        </is>
      </c>
      <c r="C12502">
        <f>ROMAN(12501)</f>
        <v/>
      </c>
      <c r="D12502">
        <f>IF(B12502=C12502, "YES", "WRONG")</f>
        <v/>
      </c>
    </row>
    <row r="12503">
      <c r="A12503" t="n">
        <v>12502</v>
      </c>
      <c r="B12503" t="inlineStr">
        <is>
          <t>x̄MMDII</t>
        </is>
      </c>
      <c r="C12503">
        <f>ROMAN(12502)</f>
        <v/>
      </c>
      <c r="D12503">
        <f>IF(B12503=C12503, "YES", "WRONG")</f>
        <v/>
      </c>
    </row>
    <row r="12504">
      <c r="A12504" t="n">
        <v>12503</v>
      </c>
      <c r="B12504" t="inlineStr">
        <is>
          <t>x̄MMDIII</t>
        </is>
      </c>
      <c r="C12504">
        <f>ROMAN(12503)</f>
        <v/>
      </c>
      <c r="D12504">
        <f>IF(B12504=C12504, "YES", "WRONG")</f>
        <v/>
      </c>
    </row>
    <row r="12505">
      <c r="A12505" t="n">
        <v>12504</v>
      </c>
      <c r="B12505" t="inlineStr">
        <is>
          <t>x̄MMDIV</t>
        </is>
      </c>
      <c r="C12505">
        <f>ROMAN(12504)</f>
        <v/>
      </c>
      <c r="D12505">
        <f>IF(B12505=C12505, "YES", "WRONG")</f>
        <v/>
      </c>
    </row>
    <row r="12506">
      <c r="A12506" t="n">
        <v>12505</v>
      </c>
      <c r="B12506" t="inlineStr">
        <is>
          <t>x̄MMDV</t>
        </is>
      </c>
      <c r="C12506">
        <f>ROMAN(12505)</f>
        <v/>
      </c>
      <c r="D12506">
        <f>IF(B12506=C12506, "YES", "WRONG")</f>
        <v/>
      </c>
    </row>
    <row r="12507">
      <c r="A12507" t="n">
        <v>12506</v>
      </c>
      <c r="B12507" t="inlineStr">
        <is>
          <t>x̄MMDVI</t>
        </is>
      </c>
      <c r="C12507">
        <f>ROMAN(12506)</f>
        <v/>
      </c>
      <c r="D12507">
        <f>IF(B12507=C12507, "YES", "WRONG")</f>
        <v/>
      </c>
    </row>
    <row r="12508">
      <c r="A12508" t="n">
        <v>12507</v>
      </c>
      <c r="B12508" t="inlineStr">
        <is>
          <t>x̄MMDVII</t>
        </is>
      </c>
      <c r="C12508">
        <f>ROMAN(12507)</f>
        <v/>
      </c>
      <c r="D12508">
        <f>IF(B12508=C12508, "YES", "WRONG")</f>
        <v/>
      </c>
    </row>
    <row r="12509">
      <c r="A12509" t="n">
        <v>12508</v>
      </c>
      <c r="B12509" t="inlineStr">
        <is>
          <t>x̄MMDVIII</t>
        </is>
      </c>
      <c r="C12509">
        <f>ROMAN(12508)</f>
        <v/>
      </c>
      <c r="D12509">
        <f>IF(B12509=C12509, "YES", "WRONG")</f>
        <v/>
      </c>
    </row>
    <row r="12510">
      <c r="A12510" t="n">
        <v>12509</v>
      </c>
      <c r="B12510" t="inlineStr">
        <is>
          <t>x̄MMDIX</t>
        </is>
      </c>
      <c r="C12510">
        <f>ROMAN(12509)</f>
        <v/>
      </c>
      <c r="D12510">
        <f>IF(B12510=C12510, "YES", "WRONG")</f>
        <v/>
      </c>
    </row>
    <row r="12511">
      <c r="A12511" t="n">
        <v>12510</v>
      </c>
      <c r="B12511" t="inlineStr">
        <is>
          <t>x̄MMDX</t>
        </is>
      </c>
      <c r="C12511">
        <f>ROMAN(12510)</f>
        <v/>
      </c>
      <c r="D12511">
        <f>IF(B12511=C12511, "YES", "WRONG")</f>
        <v/>
      </c>
    </row>
    <row r="12512">
      <c r="A12512" t="n">
        <v>12511</v>
      </c>
      <c r="B12512" t="inlineStr">
        <is>
          <t>x̄MMDXI</t>
        </is>
      </c>
      <c r="C12512">
        <f>ROMAN(12511)</f>
        <v/>
      </c>
      <c r="D12512">
        <f>IF(B12512=C12512, "YES", "WRONG")</f>
        <v/>
      </c>
    </row>
    <row r="12513">
      <c r="A12513" t="n">
        <v>12512</v>
      </c>
      <c r="B12513" t="inlineStr">
        <is>
          <t>x̄MMDXII</t>
        </is>
      </c>
      <c r="C12513">
        <f>ROMAN(12512)</f>
        <v/>
      </c>
      <c r="D12513">
        <f>IF(B12513=C12513, "YES", "WRONG")</f>
        <v/>
      </c>
    </row>
    <row r="12514">
      <c r="A12514" t="n">
        <v>12513</v>
      </c>
      <c r="B12514" t="inlineStr">
        <is>
          <t>x̄MMDXIII</t>
        </is>
      </c>
      <c r="C12514">
        <f>ROMAN(12513)</f>
        <v/>
      </c>
      <c r="D12514">
        <f>IF(B12514=C12514, "YES", "WRONG")</f>
        <v/>
      </c>
    </row>
    <row r="12515">
      <c r="A12515" t="n">
        <v>12514</v>
      </c>
      <c r="B12515" t="inlineStr">
        <is>
          <t>x̄MMDXIV</t>
        </is>
      </c>
      <c r="C12515">
        <f>ROMAN(12514)</f>
        <v/>
      </c>
      <c r="D12515">
        <f>IF(B12515=C12515, "YES", "WRONG")</f>
        <v/>
      </c>
    </row>
    <row r="12516">
      <c r="A12516" t="n">
        <v>12515</v>
      </c>
      <c r="B12516" t="inlineStr">
        <is>
          <t>x̄MMDXV</t>
        </is>
      </c>
      <c r="C12516">
        <f>ROMAN(12515)</f>
        <v/>
      </c>
      <c r="D12516">
        <f>IF(B12516=C12516, "YES", "WRONG")</f>
        <v/>
      </c>
    </row>
    <row r="12517">
      <c r="A12517" t="n">
        <v>12516</v>
      </c>
      <c r="B12517" t="inlineStr">
        <is>
          <t>x̄MMDXVI</t>
        </is>
      </c>
      <c r="C12517">
        <f>ROMAN(12516)</f>
        <v/>
      </c>
      <c r="D12517">
        <f>IF(B12517=C12517, "YES", "WRONG")</f>
        <v/>
      </c>
    </row>
    <row r="12518">
      <c r="A12518" t="n">
        <v>12517</v>
      </c>
      <c r="B12518" t="inlineStr">
        <is>
          <t>x̄MMDXVII</t>
        </is>
      </c>
      <c r="C12518">
        <f>ROMAN(12517)</f>
        <v/>
      </c>
      <c r="D12518">
        <f>IF(B12518=C12518, "YES", "WRONG")</f>
        <v/>
      </c>
    </row>
    <row r="12519">
      <c r="A12519" t="n">
        <v>12518</v>
      </c>
      <c r="B12519" t="inlineStr">
        <is>
          <t>x̄MMDXVIII</t>
        </is>
      </c>
      <c r="C12519">
        <f>ROMAN(12518)</f>
        <v/>
      </c>
      <c r="D12519">
        <f>IF(B12519=C12519, "YES", "WRONG")</f>
        <v/>
      </c>
    </row>
    <row r="12520">
      <c r="A12520" t="n">
        <v>12519</v>
      </c>
      <c r="B12520" t="inlineStr">
        <is>
          <t>x̄MMDXIX</t>
        </is>
      </c>
      <c r="C12520">
        <f>ROMAN(12519)</f>
        <v/>
      </c>
      <c r="D12520">
        <f>IF(B12520=C12520, "YES", "WRONG")</f>
        <v/>
      </c>
    </row>
    <row r="12521">
      <c r="A12521" t="n">
        <v>12520</v>
      </c>
      <c r="B12521" t="inlineStr">
        <is>
          <t>x̄MMDXX</t>
        </is>
      </c>
      <c r="C12521">
        <f>ROMAN(12520)</f>
        <v/>
      </c>
      <c r="D12521">
        <f>IF(B12521=C12521, "YES", "WRONG")</f>
        <v/>
      </c>
    </row>
    <row r="12522">
      <c r="A12522" t="n">
        <v>12521</v>
      </c>
      <c r="B12522" t="inlineStr">
        <is>
          <t>x̄MMDXXI</t>
        </is>
      </c>
      <c r="C12522">
        <f>ROMAN(12521)</f>
        <v/>
      </c>
      <c r="D12522">
        <f>IF(B12522=C12522, "YES", "WRONG")</f>
        <v/>
      </c>
    </row>
    <row r="12523">
      <c r="A12523" t="n">
        <v>12522</v>
      </c>
      <c r="B12523" t="inlineStr">
        <is>
          <t>x̄MMDXXII</t>
        </is>
      </c>
      <c r="C12523">
        <f>ROMAN(12522)</f>
        <v/>
      </c>
      <c r="D12523">
        <f>IF(B12523=C12523, "YES", "WRONG")</f>
        <v/>
      </c>
    </row>
    <row r="12524">
      <c r="A12524" t="n">
        <v>12523</v>
      </c>
      <c r="B12524" t="inlineStr">
        <is>
          <t>x̄MMDXXIII</t>
        </is>
      </c>
      <c r="C12524">
        <f>ROMAN(12523)</f>
        <v/>
      </c>
      <c r="D12524">
        <f>IF(B12524=C12524, "YES", "WRONG")</f>
        <v/>
      </c>
    </row>
    <row r="12525">
      <c r="A12525" t="n">
        <v>12524</v>
      </c>
      <c r="B12525" t="inlineStr">
        <is>
          <t>x̄MMDXXIV</t>
        </is>
      </c>
      <c r="C12525">
        <f>ROMAN(12524)</f>
        <v/>
      </c>
      <c r="D12525">
        <f>IF(B12525=C12525, "YES", "WRONG")</f>
        <v/>
      </c>
    </row>
    <row r="12526">
      <c r="A12526" t="n">
        <v>12525</v>
      </c>
      <c r="B12526" t="inlineStr">
        <is>
          <t>x̄MMDXXV</t>
        </is>
      </c>
      <c r="C12526">
        <f>ROMAN(12525)</f>
        <v/>
      </c>
      <c r="D12526">
        <f>IF(B12526=C12526, "YES", "WRONG")</f>
        <v/>
      </c>
    </row>
    <row r="12527">
      <c r="A12527" t="n">
        <v>12526</v>
      </c>
      <c r="B12527" t="inlineStr">
        <is>
          <t>x̄MMDXXVI</t>
        </is>
      </c>
      <c r="C12527">
        <f>ROMAN(12526)</f>
        <v/>
      </c>
      <c r="D12527">
        <f>IF(B12527=C12527, "YES", "WRONG")</f>
        <v/>
      </c>
    </row>
    <row r="12528">
      <c r="A12528" t="n">
        <v>12527</v>
      </c>
      <c r="B12528" t="inlineStr">
        <is>
          <t>x̄MMDXXVII</t>
        </is>
      </c>
      <c r="C12528">
        <f>ROMAN(12527)</f>
        <v/>
      </c>
      <c r="D12528">
        <f>IF(B12528=C12528, "YES", "WRONG")</f>
        <v/>
      </c>
    </row>
    <row r="12529">
      <c r="A12529" t="n">
        <v>12528</v>
      </c>
      <c r="B12529" t="inlineStr">
        <is>
          <t>x̄MMDXXVIII</t>
        </is>
      </c>
      <c r="C12529">
        <f>ROMAN(12528)</f>
        <v/>
      </c>
      <c r="D12529">
        <f>IF(B12529=C12529, "YES", "WRONG")</f>
        <v/>
      </c>
    </row>
    <row r="12530">
      <c r="A12530" t="n">
        <v>12529</v>
      </c>
      <c r="B12530" t="inlineStr">
        <is>
          <t>x̄MMDXXIX</t>
        </is>
      </c>
      <c r="C12530">
        <f>ROMAN(12529)</f>
        <v/>
      </c>
      <c r="D12530">
        <f>IF(B12530=C12530, "YES", "WRONG")</f>
        <v/>
      </c>
    </row>
    <row r="12531">
      <c r="A12531" t="n">
        <v>12530</v>
      </c>
      <c r="B12531" t="inlineStr">
        <is>
          <t>x̄MMDXXX</t>
        </is>
      </c>
      <c r="C12531">
        <f>ROMAN(12530)</f>
        <v/>
      </c>
      <c r="D12531">
        <f>IF(B12531=C12531, "YES", "WRONG")</f>
        <v/>
      </c>
    </row>
    <row r="12532">
      <c r="A12532" t="n">
        <v>12531</v>
      </c>
      <c r="B12532" t="inlineStr">
        <is>
          <t>x̄MMDXXXI</t>
        </is>
      </c>
      <c r="C12532">
        <f>ROMAN(12531)</f>
        <v/>
      </c>
      <c r="D12532">
        <f>IF(B12532=C12532, "YES", "WRONG")</f>
        <v/>
      </c>
    </row>
    <row r="12533">
      <c r="A12533" t="n">
        <v>12532</v>
      </c>
      <c r="B12533" t="inlineStr">
        <is>
          <t>x̄MMDXXXII</t>
        </is>
      </c>
      <c r="C12533">
        <f>ROMAN(12532)</f>
        <v/>
      </c>
      <c r="D12533">
        <f>IF(B12533=C12533, "YES", "WRONG")</f>
        <v/>
      </c>
    </row>
    <row r="12534">
      <c r="A12534" t="n">
        <v>12533</v>
      </c>
      <c r="B12534" t="inlineStr">
        <is>
          <t>x̄MMDXXXIII</t>
        </is>
      </c>
      <c r="C12534">
        <f>ROMAN(12533)</f>
        <v/>
      </c>
      <c r="D12534">
        <f>IF(B12534=C12534, "YES", "WRONG")</f>
        <v/>
      </c>
    </row>
    <row r="12535">
      <c r="A12535" t="n">
        <v>12534</v>
      </c>
      <c r="B12535" t="inlineStr">
        <is>
          <t>x̄MMDXXXIV</t>
        </is>
      </c>
      <c r="C12535">
        <f>ROMAN(12534)</f>
        <v/>
      </c>
      <c r="D12535">
        <f>IF(B12535=C12535, "YES", "WRONG")</f>
        <v/>
      </c>
    </row>
    <row r="12536">
      <c r="A12536" t="n">
        <v>12535</v>
      </c>
      <c r="B12536" t="inlineStr">
        <is>
          <t>x̄MMDXXXV</t>
        </is>
      </c>
      <c r="C12536">
        <f>ROMAN(12535)</f>
        <v/>
      </c>
      <c r="D12536">
        <f>IF(B12536=C12536, "YES", "WRONG")</f>
        <v/>
      </c>
    </row>
    <row r="12537">
      <c r="A12537" t="n">
        <v>12536</v>
      </c>
      <c r="B12537" t="inlineStr">
        <is>
          <t>x̄MMDXXXVI</t>
        </is>
      </c>
      <c r="C12537">
        <f>ROMAN(12536)</f>
        <v/>
      </c>
      <c r="D12537">
        <f>IF(B12537=C12537, "YES", "WRONG")</f>
        <v/>
      </c>
    </row>
    <row r="12538">
      <c r="A12538" t="n">
        <v>12537</v>
      </c>
      <c r="B12538" t="inlineStr">
        <is>
          <t>x̄MMDXXXVII</t>
        </is>
      </c>
      <c r="C12538">
        <f>ROMAN(12537)</f>
        <v/>
      </c>
      <c r="D12538">
        <f>IF(B12538=C12538, "YES", "WRONG")</f>
        <v/>
      </c>
    </row>
    <row r="12539">
      <c r="A12539" t="n">
        <v>12538</v>
      </c>
      <c r="B12539" t="inlineStr">
        <is>
          <t>x̄MMDXXXVIII</t>
        </is>
      </c>
      <c r="C12539">
        <f>ROMAN(12538)</f>
        <v/>
      </c>
      <c r="D12539">
        <f>IF(B12539=C12539, "YES", "WRONG")</f>
        <v/>
      </c>
    </row>
    <row r="12540">
      <c r="A12540" t="n">
        <v>12539</v>
      </c>
      <c r="B12540" t="inlineStr">
        <is>
          <t>x̄MMDXXXIX</t>
        </is>
      </c>
      <c r="C12540">
        <f>ROMAN(12539)</f>
        <v/>
      </c>
      <c r="D12540">
        <f>IF(B12540=C12540, "YES", "WRONG")</f>
        <v/>
      </c>
    </row>
    <row r="12541">
      <c r="A12541" t="n">
        <v>12540</v>
      </c>
      <c r="B12541" t="inlineStr">
        <is>
          <t>x̄MMDXL</t>
        </is>
      </c>
      <c r="C12541">
        <f>ROMAN(12540)</f>
        <v/>
      </c>
      <c r="D12541">
        <f>IF(B12541=C12541, "YES", "WRONG")</f>
        <v/>
      </c>
    </row>
    <row r="12542">
      <c r="A12542" t="n">
        <v>12541</v>
      </c>
      <c r="B12542" t="inlineStr">
        <is>
          <t>x̄MMDXLI</t>
        </is>
      </c>
      <c r="C12542">
        <f>ROMAN(12541)</f>
        <v/>
      </c>
      <c r="D12542">
        <f>IF(B12542=C12542, "YES", "WRONG")</f>
        <v/>
      </c>
    </row>
    <row r="12543">
      <c r="A12543" t="n">
        <v>12542</v>
      </c>
      <c r="B12543" t="inlineStr">
        <is>
          <t>x̄MMDXLII</t>
        </is>
      </c>
      <c r="C12543">
        <f>ROMAN(12542)</f>
        <v/>
      </c>
      <c r="D12543">
        <f>IF(B12543=C12543, "YES", "WRONG")</f>
        <v/>
      </c>
    </row>
    <row r="12544">
      <c r="A12544" t="n">
        <v>12543</v>
      </c>
      <c r="B12544" t="inlineStr">
        <is>
          <t>x̄MMDXLIII</t>
        </is>
      </c>
      <c r="C12544">
        <f>ROMAN(12543)</f>
        <v/>
      </c>
      <c r="D12544">
        <f>IF(B12544=C12544, "YES", "WRONG")</f>
        <v/>
      </c>
    </row>
    <row r="12545">
      <c r="A12545" t="n">
        <v>12544</v>
      </c>
      <c r="B12545" t="inlineStr">
        <is>
          <t>x̄MMDXLIV</t>
        </is>
      </c>
      <c r="C12545">
        <f>ROMAN(12544)</f>
        <v/>
      </c>
      <c r="D12545">
        <f>IF(B12545=C12545, "YES", "WRONG")</f>
        <v/>
      </c>
    </row>
    <row r="12546">
      <c r="A12546" t="n">
        <v>12545</v>
      </c>
      <c r="B12546" t="inlineStr">
        <is>
          <t>x̄MMDXLV</t>
        </is>
      </c>
      <c r="C12546">
        <f>ROMAN(12545)</f>
        <v/>
      </c>
      <c r="D12546">
        <f>IF(B12546=C12546, "YES", "WRONG")</f>
        <v/>
      </c>
    </row>
    <row r="12547">
      <c r="A12547" t="n">
        <v>12546</v>
      </c>
      <c r="B12547" t="inlineStr">
        <is>
          <t>x̄MMDXLVI</t>
        </is>
      </c>
      <c r="C12547">
        <f>ROMAN(12546)</f>
        <v/>
      </c>
      <c r="D12547">
        <f>IF(B12547=C12547, "YES", "WRONG")</f>
        <v/>
      </c>
    </row>
    <row r="12548">
      <c r="A12548" t="n">
        <v>12547</v>
      </c>
      <c r="B12548" t="inlineStr">
        <is>
          <t>x̄MMDXLVII</t>
        </is>
      </c>
      <c r="C12548">
        <f>ROMAN(12547)</f>
        <v/>
      </c>
      <c r="D12548">
        <f>IF(B12548=C12548, "YES", "WRONG")</f>
        <v/>
      </c>
    </row>
    <row r="12549">
      <c r="A12549" t="n">
        <v>12548</v>
      </c>
      <c r="B12549" t="inlineStr">
        <is>
          <t>x̄MMDXLVIII</t>
        </is>
      </c>
      <c r="C12549">
        <f>ROMAN(12548)</f>
        <v/>
      </c>
      <c r="D12549">
        <f>IF(B12549=C12549, "YES", "WRONG")</f>
        <v/>
      </c>
    </row>
    <row r="12550">
      <c r="A12550" t="n">
        <v>12549</v>
      </c>
      <c r="B12550" t="inlineStr">
        <is>
          <t>x̄MMDXLIX</t>
        </is>
      </c>
      <c r="C12550">
        <f>ROMAN(12549)</f>
        <v/>
      </c>
      <c r="D12550">
        <f>IF(B12550=C12550, "YES", "WRONG")</f>
        <v/>
      </c>
    </row>
    <row r="12551">
      <c r="A12551" t="n">
        <v>12550</v>
      </c>
      <c r="B12551" t="inlineStr">
        <is>
          <t>x̄MMDL</t>
        </is>
      </c>
      <c r="C12551">
        <f>ROMAN(12550)</f>
        <v/>
      </c>
      <c r="D12551">
        <f>IF(B12551=C12551, "YES", "WRONG")</f>
        <v/>
      </c>
    </row>
    <row r="12552">
      <c r="A12552" t="n">
        <v>12551</v>
      </c>
      <c r="B12552" t="inlineStr">
        <is>
          <t>x̄MMDLI</t>
        </is>
      </c>
      <c r="C12552">
        <f>ROMAN(12551)</f>
        <v/>
      </c>
      <c r="D12552">
        <f>IF(B12552=C12552, "YES", "WRONG")</f>
        <v/>
      </c>
    </row>
    <row r="12553">
      <c r="A12553" t="n">
        <v>12552</v>
      </c>
      <c r="B12553" t="inlineStr">
        <is>
          <t>x̄MMDLII</t>
        </is>
      </c>
      <c r="C12553">
        <f>ROMAN(12552)</f>
        <v/>
      </c>
      <c r="D12553">
        <f>IF(B12553=C12553, "YES", "WRONG")</f>
        <v/>
      </c>
    </row>
    <row r="12554">
      <c r="A12554" t="n">
        <v>12553</v>
      </c>
      <c r="B12554" t="inlineStr">
        <is>
          <t>x̄MMDLIII</t>
        </is>
      </c>
      <c r="C12554">
        <f>ROMAN(12553)</f>
        <v/>
      </c>
      <c r="D12554">
        <f>IF(B12554=C12554, "YES", "WRONG")</f>
        <v/>
      </c>
    </row>
    <row r="12555">
      <c r="A12555" t="n">
        <v>12554</v>
      </c>
      <c r="B12555" t="inlineStr">
        <is>
          <t>x̄MMDLIV</t>
        </is>
      </c>
      <c r="C12555">
        <f>ROMAN(12554)</f>
        <v/>
      </c>
      <c r="D12555">
        <f>IF(B12555=C12555, "YES", "WRONG")</f>
        <v/>
      </c>
    </row>
    <row r="12556">
      <c r="A12556" t="n">
        <v>12555</v>
      </c>
      <c r="B12556" t="inlineStr">
        <is>
          <t>x̄MMDLV</t>
        </is>
      </c>
      <c r="C12556">
        <f>ROMAN(12555)</f>
        <v/>
      </c>
      <c r="D12556">
        <f>IF(B12556=C12556, "YES", "WRONG")</f>
        <v/>
      </c>
    </row>
    <row r="12557">
      <c r="A12557" t="n">
        <v>12556</v>
      </c>
      <c r="B12557" t="inlineStr">
        <is>
          <t>x̄MMDLVI</t>
        </is>
      </c>
      <c r="C12557">
        <f>ROMAN(12556)</f>
        <v/>
      </c>
      <c r="D12557">
        <f>IF(B12557=C12557, "YES", "WRONG")</f>
        <v/>
      </c>
    </row>
    <row r="12558">
      <c r="A12558" t="n">
        <v>12557</v>
      </c>
      <c r="B12558" t="inlineStr">
        <is>
          <t>x̄MMDLVII</t>
        </is>
      </c>
      <c r="C12558">
        <f>ROMAN(12557)</f>
        <v/>
      </c>
      <c r="D12558">
        <f>IF(B12558=C12558, "YES", "WRONG")</f>
        <v/>
      </c>
    </row>
    <row r="12559">
      <c r="A12559" t="n">
        <v>12558</v>
      </c>
      <c r="B12559" t="inlineStr">
        <is>
          <t>x̄MMDLVIII</t>
        </is>
      </c>
      <c r="C12559">
        <f>ROMAN(12558)</f>
        <v/>
      </c>
      <c r="D12559">
        <f>IF(B12559=C12559, "YES", "WRONG")</f>
        <v/>
      </c>
    </row>
    <row r="12560">
      <c r="A12560" t="n">
        <v>12559</v>
      </c>
      <c r="B12560" t="inlineStr">
        <is>
          <t>x̄MMDLIX</t>
        </is>
      </c>
      <c r="C12560">
        <f>ROMAN(12559)</f>
        <v/>
      </c>
      <c r="D12560">
        <f>IF(B12560=C12560, "YES", "WRONG")</f>
        <v/>
      </c>
    </row>
    <row r="12561">
      <c r="A12561" t="n">
        <v>12560</v>
      </c>
      <c r="B12561" t="inlineStr">
        <is>
          <t>x̄MMDLX</t>
        </is>
      </c>
      <c r="C12561">
        <f>ROMAN(12560)</f>
        <v/>
      </c>
      <c r="D12561">
        <f>IF(B12561=C12561, "YES", "WRONG")</f>
        <v/>
      </c>
    </row>
    <row r="12562">
      <c r="A12562" t="n">
        <v>12561</v>
      </c>
      <c r="B12562" t="inlineStr">
        <is>
          <t>x̄MMDLXI</t>
        </is>
      </c>
      <c r="C12562">
        <f>ROMAN(12561)</f>
        <v/>
      </c>
      <c r="D12562">
        <f>IF(B12562=C12562, "YES", "WRONG")</f>
        <v/>
      </c>
    </row>
    <row r="12563">
      <c r="A12563" t="n">
        <v>12562</v>
      </c>
      <c r="B12563" t="inlineStr">
        <is>
          <t>x̄MMDLXII</t>
        </is>
      </c>
      <c r="C12563">
        <f>ROMAN(12562)</f>
        <v/>
      </c>
      <c r="D12563">
        <f>IF(B12563=C12563, "YES", "WRONG")</f>
        <v/>
      </c>
    </row>
    <row r="12564">
      <c r="A12564" t="n">
        <v>12563</v>
      </c>
      <c r="B12564" t="inlineStr">
        <is>
          <t>x̄MMDLXIII</t>
        </is>
      </c>
      <c r="C12564">
        <f>ROMAN(12563)</f>
        <v/>
      </c>
      <c r="D12564">
        <f>IF(B12564=C12564, "YES", "WRONG")</f>
        <v/>
      </c>
    </row>
    <row r="12565">
      <c r="A12565" t="n">
        <v>12564</v>
      </c>
      <c r="B12565" t="inlineStr">
        <is>
          <t>x̄MMDLXIV</t>
        </is>
      </c>
      <c r="C12565">
        <f>ROMAN(12564)</f>
        <v/>
      </c>
      <c r="D12565">
        <f>IF(B12565=C12565, "YES", "WRONG")</f>
        <v/>
      </c>
    </row>
    <row r="12566">
      <c r="A12566" t="n">
        <v>12565</v>
      </c>
      <c r="B12566" t="inlineStr">
        <is>
          <t>x̄MMDLXV</t>
        </is>
      </c>
      <c r="C12566">
        <f>ROMAN(12565)</f>
        <v/>
      </c>
      <c r="D12566">
        <f>IF(B12566=C12566, "YES", "WRONG")</f>
        <v/>
      </c>
    </row>
    <row r="12567">
      <c r="A12567" t="n">
        <v>12566</v>
      </c>
      <c r="B12567" t="inlineStr">
        <is>
          <t>x̄MMDLXVI</t>
        </is>
      </c>
      <c r="C12567">
        <f>ROMAN(12566)</f>
        <v/>
      </c>
      <c r="D12567">
        <f>IF(B12567=C12567, "YES", "WRONG")</f>
        <v/>
      </c>
    </row>
    <row r="12568">
      <c r="A12568" t="n">
        <v>12567</v>
      </c>
      <c r="B12568" t="inlineStr">
        <is>
          <t>x̄MMDLXVII</t>
        </is>
      </c>
      <c r="C12568">
        <f>ROMAN(12567)</f>
        <v/>
      </c>
      <c r="D12568">
        <f>IF(B12568=C12568, "YES", "WRONG")</f>
        <v/>
      </c>
    </row>
    <row r="12569">
      <c r="A12569" t="n">
        <v>12568</v>
      </c>
      <c r="B12569" t="inlineStr">
        <is>
          <t>x̄MMDLXVIII</t>
        </is>
      </c>
      <c r="C12569">
        <f>ROMAN(12568)</f>
        <v/>
      </c>
      <c r="D12569">
        <f>IF(B12569=C12569, "YES", "WRONG")</f>
        <v/>
      </c>
    </row>
    <row r="12570">
      <c r="A12570" t="n">
        <v>12569</v>
      </c>
      <c r="B12570" t="inlineStr">
        <is>
          <t>x̄MMDLXIX</t>
        </is>
      </c>
      <c r="C12570">
        <f>ROMAN(12569)</f>
        <v/>
      </c>
      <c r="D12570">
        <f>IF(B12570=C12570, "YES", "WRONG")</f>
        <v/>
      </c>
    </row>
    <row r="12571">
      <c r="A12571" t="n">
        <v>12570</v>
      </c>
      <c r="B12571" t="inlineStr">
        <is>
          <t>x̄MMDLXX</t>
        </is>
      </c>
      <c r="C12571">
        <f>ROMAN(12570)</f>
        <v/>
      </c>
      <c r="D12571">
        <f>IF(B12571=C12571, "YES", "WRONG")</f>
        <v/>
      </c>
    </row>
    <row r="12572">
      <c r="A12572" t="n">
        <v>12571</v>
      </c>
      <c r="B12572" t="inlineStr">
        <is>
          <t>x̄MMDLXXI</t>
        </is>
      </c>
      <c r="C12572">
        <f>ROMAN(12571)</f>
        <v/>
      </c>
      <c r="D12572">
        <f>IF(B12572=C12572, "YES", "WRONG")</f>
        <v/>
      </c>
    </row>
    <row r="12573">
      <c r="A12573" t="n">
        <v>12572</v>
      </c>
      <c r="B12573" t="inlineStr">
        <is>
          <t>x̄MMDLXXII</t>
        </is>
      </c>
      <c r="C12573">
        <f>ROMAN(12572)</f>
        <v/>
      </c>
      <c r="D12573">
        <f>IF(B12573=C12573, "YES", "WRONG")</f>
        <v/>
      </c>
    </row>
    <row r="12574">
      <c r="A12574" t="n">
        <v>12573</v>
      </c>
      <c r="B12574" t="inlineStr">
        <is>
          <t>x̄MMDLXXIII</t>
        </is>
      </c>
      <c r="C12574">
        <f>ROMAN(12573)</f>
        <v/>
      </c>
      <c r="D12574">
        <f>IF(B12574=C12574, "YES", "WRONG")</f>
        <v/>
      </c>
    </row>
    <row r="12575">
      <c r="A12575" t="n">
        <v>12574</v>
      </c>
      <c r="B12575" t="inlineStr">
        <is>
          <t>x̄MMDLXXIV</t>
        </is>
      </c>
      <c r="C12575">
        <f>ROMAN(12574)</f>
        <v/>
      </c>
      <c r="D12575">
        <f>IF(B12575=C12575, "YES", "WRONG")</f>
        <v/>
      </c>
    </row>
    <row r="12576">
      <c r="A12576" t="n">
        <v>12575</v>
      </c>
      <c r="B12576" t="inlineStr">
        <is>
          <t>x̄MMDLXXV</t>
        </is>
      </c>
      <c r="C12576">
        <f>ROMAN(12575)</f>
        <v/>
      </c>
      <c r="D12576">
        <f>IF(B12576=C12576, "YES", "WRONG")</f>
        <v/>
      </c>
    </row>
    <row r="12577">
      <c r="A12577" t="n">
        <v>12576</v>
      </c>
      <c r="B12577" t="inlineStr">
        <is>
          <t>x̄MMDLXXVI</t>
        </is>
      </c>
      <c r="C12577">
        <f>ROMAN(12576)</f>
        <v/>
      </c>
      <c r="D12577">
        <f>IF(B12577=C12577, "YES", "WRONG")</f>
        <v/>
      </c>
    </row>
    <row r="12578">
      <c r="A12578" t="n">
        <v>12577</v>
      </c>
      <c r="B12578" t="inlineStr">
        <is>
          <t>x̄MMDLXXVII</t>
        </is>
      </c>
      <c r="C12578">
        <f>ROMAN(12577)</f>
        <v/>
      </c>
      <c r="D12578">
        <f>IF(B12578=C12578, "YES", "WRONG")</f>
        <v/>
      </c>
    </row>
    <row r="12579">
      <c r="A12579" t="n">
        <v>12578</v>
      </c>
      <c r="B12579" t="inlineStr">
        <is>
          <t>x̄MMDLXXVIII</t>
        </is>
      </c>
      <c r="C12579">
        <f>ROMAN(12578)</f>
        <v/>
      </c>
      <c r="D12579">
        <f>IF(B12579=C12579, "YES", "WRONG")</f>
        <v/>
      </c>
    </row>
    <row r="12580">
      <c r="A12580" t="n">
        <v>12579</v>
      </c>
      <c r="B12580" t="inlineStr">
        <is>
          <t>x̄MMDLXXIX</t>
        </is>
      </c>
      <c r="C12580">
        <f>ROMAN(12579)</f>
        <v/>
      </c>
      <c r="D12580">
        <f>IF(B12580=C12580, "YES", "WRONG")</f>
        <v/>
      </c>
    </row>
    <row r="12581">
      <c r="A12581" t="n">
        <v>12580</v>
      </c>
      <c r="B12581" t="inlineStr">
        <is>
          <t>x̄MMDLXXX</t>
        </is>
      </c>
      <c r="C12581">
        <f>ROMAN(12580)</f>
        <v/>
      </c>
      <c r="D12581">
        <f>IF(B12581=C12581, "YES", "WRONG")</f>
        <v/>
      </c>
    </row>
    <row r="12582">
      <c r="A12582" t="n">
        <v>12581</v>
      </c>
      <c r="B12582" t="inlineStr">
        <is>
          <t>x̄MMDLXXXI</t>
        </is>
      </c>
      <c r="C12582">
        <f>ROMAN(12581)</f>
        <v/>
      </c>
      <c r="D12582">
        <f>IF(B12582=C12582, "YES", "WRONG")</f>
        <v/>
      </c>
    </row>
    <row r="12583">
      <c r="A12583" t="n">
        <v>12582</v>
      </c>
      <c r="B12583" t="inlineStr">
        <is>
          <t>x̄MMDLXXXII</t>
        </is>
      </c>
      <c r="C12583">
        <f>ROMAN(12582)</f>
        <v/>
      </c>
      <c r="D12583">
        <f>IF(B12583=C12583, "YES", "WRONG")</f>
        <v/>
      </c>
    </row>
    <row r="12584">
      <c r="A12584" t="n">
        <v>12583</v>
      </c>
      <c r="B12584" t="inlineStr">
        <is>
          <t>x̄MMDLXXXIII</t>
        </is>
      </c>
      <c r="C12584">
        <f>ROMAN(12583)</f>
        <v/>
      </c>
      <c r="D12584">
        <f>IF(B12584=C12584, "YES", "WRONG")</f>
        <v/>
      </c>
    </row>
    <row r="12585">
      <c r="A12585" t="n">
        <v>12584</v>
      </c>
      <c r="B12585" t="inlineStr">
        <is>
          <t>x̄MMDLXXXIV</t>
        </is>
      </c>
      <c r="C12585">
        <f>ROMAN(12584)</f>
        <v/>
      </c>
      <c r="D12585">
        <f>IF(B12585=C12585, "YES", "WRONG")</f>
        <v/>
      </c>
    </row>
    <row r="12586">
      <c r="A12586" t="n">
        <v>12585</v>
      </c>
      <c r="B12586" t="inlineStr">
        <is>
          <t>x̄MMDLXXXV</t>
        </is>
      </c>
      <c r="C12586">
        <f>ROMAN(12585)</f>
        <v/>
      </c>
      <c r="D12586">
        <f>IF(B12586=C12586, "YES", "WRONG")</f>
        <v/>
      </c>
    </row>
    <row r="12587">
      <c r="A12587" t="n">
        <v>12586</v>
      </c>
      <c r="B12587" t="inlineStr">
        <is>
          <t>x̄MMDLXXXVI</t>
        </is>
      </c>
      <c r="C12587">
        <f>ROMAN(12586)</f>
        <v/>
      </c>
      <c r="D12587">
        <f>IF(B12587=C12587, "YES", "WRONG")</f>
        <v/>
      </c>
    </row>
    <row r="12588">
      <c r="A12588" t="n">
        <v>12587</v>
      </c>
      <c r="B12588" t="inlineStr">
        <is>
          <t>x̄MMDLXXXVII</t>
        </is>
      </c>
      <c r="C12588">
        <f>ROMAN(12587)</f>
        <v/>
      </c>
      <c r="D12588">
        <f>IF(B12588=C12588, "YES", "WRONG")</f>
        <v/>
      </c>
    </row>
    <row r="12589">
      <c r="A12589" t="n">
        <v>12588</v>
      </c>
      <c r="B12589" t="inlineStr">
        <is>
          <t>x̄MMDLXXXVIII</t>
        </is>
      </c>
      <c r="C12589">
        <f>ROMAN(12588)</f>
        <v/>
      </c>
      <c r="D12589">
        <f>IF(B12589=C12589, "YES", "WRONG")</f>
        <v/>
      </c>
    </row>
    <row r="12590">
      <c r="A12590" t="n">
        <v>12589</v>
      </c>
      <c r="B12590" t="inlineStr">
        <is>
          <t>x̄MMDLXXXIX</t>
        </is>
      </c>
      <c r="C12590">
        <f>ROMAN(12589)</f>
        <v/>
      </c>
      <c r="D12590">
        <f>IF(B12590=C12590, "YES", "WRONG")</f>
        <v/>
      </c>
    </row>
    <row r="12591">
      <c r="A12591" t="n">
        <v>12590</v>
      </c>
      <c r="B12591" t="inlineStr">
        <is>
          <t>x̄MMDXC</t>
        </is>
      </c>
      <c r="C12591">
        <f>ROMAN(12590)</f>
        <v/>
      </c>
      <c r="D12591">
        <f>IF(B12591=C12591, "YES", "WRONG")</f>
        <v/>
      </c>
    </row>
    <row r="12592">
      <c r="A12592" t="n">
        <v>12591</v>
      </c>
      <c r="B12592" t="inlineStr">
        <is>
          <t>x̄MMDXCI</t>
        </is>
      </c>
      <c r="C12592">
        <f>ROMAN(12591)</f>
        <v/>
      </c>
      <c r="D12592">
        <f>IF(B12592=C12592, "YES", "WRONG")</f>
        <v/>
      </c>
    </row>
    <row r="12593">
      <c r="A12593" t="n">
        <v>12592</v>
      </c>
      <c r="B12593" t="inlineStr">
        <is>
          <t>x̄MMDXCII</t>
        </is>
      </c>
      <c r="C12593">
        <f>ROMAN(12592)</f>
        <v/>
      </c>
      <c r="D12593">
        <f>IF(B12593=C12593, "YES", "WRONG")</f>
        <v/>
      </c>
    </row>
    <row r="12594">
      <c r="A12594" t="n">
        <v>12593</v>
      </c>
      <c r="B12594" t="inlineStr">
        <is>
          <t>x̄MMDXCIII</t>
        </is>
      </c>
      <c r="C12594">
        <f>ROMAN(12593)</f>
        <v/>
      </c>
      <c r="D12594">
        <f>IF(B12594=C12594, "YES", "WRONG")</f>
        <v/>
      </c>
    </row>
    <row r="12595">
      <c r="A12595" t="n">
        <v>12594</v>
      </c>
      <c r="B12595" t="inlineStr">
        <is>
          <t>x̄MMDXCIV</t>
        </is>
      </c>
      <c r="C12595">
        <f>ROMAN(12594)</f>
        <v/>
      </c>
      <c r="D12595">
        <f>IF(B12595=C12595, "YES", "WRONG")</f>
        <v/>
      </c>
    </row>
    <row r="12596">
      <c r="A12596" t="n">
        <v>12595</v>
      </c>
      <c r="B12596" t="inlineStr">
        <is>
          <t>x̄MMDXCV</t>
        </is>
      </c>
      <c r="C12596">
        <f>ROMAN(12595)</f>
        <v/>
      </c>
      <c r="D12596">
        <f>IF(B12596=C12596, "YES", "WRONG")</f>
        <v/>
      </c>
    </row>
    <row r="12597">
      <c r="A12597" t="n">
        <v>12596</v>
      </c>
      <c r="B12597" t="inlineStr">
        <is>
          <t>x̄MMDXCVI</t>
        </is>
      </c>
      <c r="C12597">
        <f>ROMAN(12596)</f>
        <v/>
      </c>
      <c r="D12597">
        <f>IF(B12597=C12597, "YES", "WRONG")</f>
        <v/>
      </c>
    </row>
    <row r="12598">
      <c r="A12598" t="n">
        <v>12597</v>
      </c>
      <c r="B12598" t="inlineStr">
        <is>
          <t>x̄MMDXCVII</t>
        </is>
      </c>
      <c r="C12598">
        <f>ROMAN(12597)</f>
        <v/>
      </c>
      <c r="D12598">
        <f>IF(B12598=C12598, "YES", "WRONG")</f>
        <v/>
      </c>
    </row>
    <row r="12599">
      <c r="A12599" t="n">
        <v>12598</v>
      </c>
      <c r="B12599" t="inlineStr">
        <is>
          <t>x̄MMDXCVIII</t>
        </is>
      </c>
      <c r="C12599">
        <f>ROMAN(12598)</f>
        <v/>
      </c>
      <c r="D12599">
        <f>IF(B12599=C12599, "YES", "WRONG")</f>
        <v/>
      </c>
    </row>
    <row r="12600">
      <c r="A12600" t="n">
        <v>12599</v>
      </c>
      <c r="B12600" t="inlineStr">
        <is>
          <t>x̄MMDXCIX</t>
        </is>
      </c>
      <c r="C12600">
        <f>ROMAN(12599)</f>
        <v/>
      </c>
      <c r="D12600">
        <f>IF(B12600=C12600, "YES", "WRONG")</f>
        <v/>
      </c>
    </row>
    <row r="12601">
      <c r="A12601" t="n">
        <v>12600</v>
      </c>
      <c r="B12601" t="inlineStr">
        <is>
          <t>x̄MMDC</t>
        </is>
      </c>
      <c r="C12601">
        <f>ROMAN(12600)</f>
        <v/>
      </c>
      <c r="D12601">
        <f>IF(B12601=C12601, "YES", "WRONG")</f>
        <v/>
      </c>
    </row>
    <row r="12602">
      <c r="A12602" t="n">
        <v>12601</v>
      </c>
      <c r="B12602" t="inlineStr">
        <is>
          <t>x̄MMDCI</t>
        </is>
      </c>
      <c r="C12602">
        <f>ROMAN(12601)</f>
        <v/>
      </c>
      <c r="D12602">
        <f>IF(B12602=C12602, "YES", "WRONG")</f>
        <v/>
      </c>
    </row>
    <row r="12603">
      <c r="A12603" t="n">
        <v>12602</v>
      </c>
      <c r="B12603" t="inlineStr">
        <is>
          <t>x̄MMDCII</t>
        </is>
      </c>
      <c r="C12603">
        <f>ROMAN(12602)</f>
        <v/>
      </c>
      <c r="D12603">
        <f>IF(B12603=C12603, "YES", "WRONG")</f>
        <v/>
      </c>
    </row>
    <row r="12604">
      <c r="A12604" t="n">
        <v>12603</v>
      </c>
      <c r="B12604" t="inlineStr">
        <is>
          <t>x̄MMDCIII</t>
        </is>
      </c>
      <c r="C12604">
        <f>ROMAN(12603)</f>
        <v/>
      </c>
      <c r="D12604">
        <f>IF(B12604=C12604, "YES", "WRONG")</f>
        <v/>
      </c>
    </row>
    <row r="12605">
      <c r="A12605" t="n">
        <v>12604</v>
      </c>
      <c r="B12605" t="inlineStr">
        <is>
          <t>x̄MMDCIV</t>
        </is>
      </c>
      <c r="C12605">
        <f>ROMAN(12604)</f>
        <v/>
      </c>
      <c r="D12605">
        <f>IF(B12605=C12605, "YES", "WRONG")</f>
        <v/>
      </c>
    </row>
    <row r="12606">
      <c r="A12606" t="n">
        <v>12605</v>
      </c>
      <c r="B12606" t="inlineStr">
        <is>
          <t>x̄MMDCV</t>
        </is>
      </c>
      <c r="C12606">
        <f>ROMAN(12605)</f>
        <v/>
      </c>
      <c r="D12606">
        <f>IF(B12606=C12606, "YES", "WRONG")</f>
        <v/>
      </c>
    </row>
    <row r="12607">
      <c r="A12607" t="n">
        <v>12606</v>
      </c>
      <c r="B12607" t="inlineStr">
        <is>
          <t>x̄MMDCVI</t>
        </is>
      </c>
      <c r="C12607">
        <f>ROMAN(12606)</f>
        <v/>
      </c>
      <c r="D12607">
        <f>IF(B12607=C12607, "YES", "WRONG")</f>
        <v/>
      </c>
    </row>
    <row r="12608">
      <c r="A12608" t="n">
        <v>12607</v>
      </c>
      <c r="B12608" t="inlineStr">
        <is>
          <t>x̄MMDCVII</t>
        </is>
      </c>
      <c r="C12608">
        <f>ROMAN(12607)</f>
        <v/>
      </c>
      <c r="D12608">
        <f>IF(B12608=C12608, "YES", "WRONG")</f>
        <v/>
      </c>
    </row>
    <row r="12609">
      <c r="A12609" t="n">
        <v>12608</v>
      </c>
      <c r="B12609" t="inlineStr">
        <is>
          <t>x̄MMDCVIII</t>
        </is>
      </c>
      <c r="C12609">
        <f>ROMAN(12608)</f>
        <v/>
      </c>
      <c r="D12609">
        <f>IF(B12609=C12609, "YES", "WRONG")</f>
        <v/>
      </c>
    </row>
    <row r="12610">
      <c r="A12610" t="n">
        <v>12609</v>
      </c>
      <c r="B12610" t="inlineStr">
        <is>
          <t>x̄MMDCIX</t>
        </is>
      </c>
      <c r="C12610">
        <f>ROMAN(12609)</f>
        <v/>
      </c>
      <c r="D12610">
        <f>IF(B12610=C12610, "YES", "WRONG")</f>
        <v/>
      </c>
    </row>
    <row r="12611">
      <c r="A12611" t="n">
        <v>12610</v>
      </c>
      <c r="B12611" t="inlineStr">
        <is>
          <t>x̄MMDCX</t>
        </is>
      </c>
      <c r="C12611">
        <f>ROMAN(12610)</f>
        <v/>
      </c>
      <c r="D12611">
        <f>IF(B12611=C12611, "YES", "WRONG")</f>
        <v/>
      </c>
    </row>
    <row r="12612">
      <c r="A12612" t="n">
        <v>12611</v>
      </c>
      <c r="B12612" t="inlineStr">
        <is>
          <t>x̄MMDCXI</t>
        </is>
      </c>
      <c r="C12612">
        <f>ROMAN(12611)</f>
        <v/>
      </c>
      <c r="D12612">
        <f>IF(B12612=C12612, "YES", "WRONG")</f>
        <v/>
      </c>
    </row>
    <row r="12613">
      <c r="A12613" t="n">
        <v>12612</v>
      </c>
      <c r="B12613" t="inlineStr">
        <is>
          <t>x̄MMDCXII</t>
        </is>
      </c>
      <c r="C12613">
        <f>ROMAN(12612)</f>
        <v/>
      </c>
      <c r="D12613">
        <f>IF(B12613=C12613, "YES", "WRONG")</f>
        <v/>
      </c>
    </row>
    <row r="12614">
      <c r="A12614" t="n">
        <v>12613</v>
      </c>
      <c r="B12614" t="inlineStr">
        <is>
          <t>x̄MMDCXIII</t>
        </is>
      </c>
      <c r="C12614">
        <f>ROMAN(12613)</f>
        <v/>
      </c>
      <c r="D12614">
        <f>IF(B12614=C12614, "YES", "WRONG")</f>
        <v/>
      </c>
    </row>
    <row r="12615">
      <c r="A12615" t="n">
        <v>12614</v>
      </c>
      <c r="B12615" t="inlineStr">
        <is>
          <t>x̄MMDCXIV</t>
        </is>
      </c>
      <c r="C12615">
        <f>ROMAN(12614)</f>
        <v/>
      </c>
      <c r="D12615">
        <f>IF(B12615=C12615, "YES", "WRONG")</f>
        <v/>
      </c>
    </row>
    <row r="12616">
      <c r="A12616" t="n">
        <v>12615</v>
      </c>
      <c r="B12616" t="inlineStr">
        <is>
          <t>x̄MMDCXV</t>
        </is>
      </c>
      <c r="C12616">
        <f>ROMAN(12615)</f>
        <v/>
      </c>
      <c r="D12616">
        <f>IF(B12616=C12616, "YES", "WRONG")</f>
        <v/>
      </c>
    </row>
    <row r="12617">
      <c r="A12617" t="n">
        <v>12616</v>
      </c>
      <c r="B12617" t="inlineStr">
        <is>
          <t>x̄MMDCXVI</t>
        </is>
      </c>
      <c r="C12617">
        <f>ROMAN(12616)</f>
        <v/>
      </c>
      <c r="D12617">
        <f>IF(B12617=C12617, "YES", "WRONG")</f>
        <v/>
      </c>
    </row>
    <row r="12618">
      <c r="A12618" t="n">
        <v>12617</v>
      </c>
      <c r="B12618" t="inlineStr">
        <is>
          <t>x̄MMDCXVII</t>
        </is>
      </c>
      <c r="C12618">
        <f>ROMAN(12617)</f>
        <v/>
      </c>
      <c r="D12618">
        <f>IF(B12618=C12618, "YES", "WRONG")</f>
        <v/>
      </c>
    </row>
    <row r="12619">
      <c r="A12619" t="n">
        <v>12618</v>
      </c>
      <c r="B12619" t="inlineStr">
        <is>
          <t>x̄MMDCXVIII</t>
        </is>
      </c>
      <c r="C12619">
        <f>ROMAN(12618)</f>
        <v/>
      </c>
      <c r="D12619">
        <f>IF(B12619=C12619, "YES", "WRONG")</f>
        <v/>
      </c>
    </row>
    <row r="12620">
      <c r="A12620" t="n">
        <v>12619</v>
      </c>
      <c r="B12620" t="inlineStr">
        <is>
          <t>x̄MMDCXIX</t>
        </is>
      </c>
      <c r="C12620">
        <f>ROMAN(12619)</f>
        <v/>
      </c>
      <c r="D12620">
        <f>IF(B12620=C12620, "YES", "WRONG")</f>
        <v/>
      </c>
    </row>
    <row r="12621">
      <c r="A12621" t="n">
        <v>12620</v>
      </c>
      <c r="B12621" t="inlineStr">
        <is>
          <t>x̄MMDCXX</t>
        </is>
      </c>
      <c r="C12621">
        <f>ROMAN(12620)</f>
        <v/>
      </c>
      <c r="D12621">
        <f>IF(B12621=C12621, "YES", "WRONG")</f>
        <v/>
      </c>
    </row>
    <row r="12622">
      <c r="A12622" t="n">
        <v>12621</v>
      </c>
      <c r="B12622" t="inlineStr">
        <is>
          <t>x̄MMDCXXI</t>
        </is>
      </c>
      <c r="C12622">
        <f>ROMAN(12621)</f>
        <v/>
      </c>
      <c r="D12622">
        <f>IF(B12622=C12622, "YES", "WRONG")</f>
        <v/>
      </c>
    </row>
    <row r="12623">
      <c r="A12623" t="n">
        <v>12622</v>
      </c>
      <c r="B12623" t="inlineStr">
        <is>
          <t>x̄MMDCXXII</t>
        </is>
      </c>
      <c r="C12623">
        <f>ROMAN(12622)</f>
        <v/>
      </c>
      <c r="D12623">
        <f>IF(B12623=C12623, "YES", "WRONG")</f>
        <v/>
      </c>
    </row>
    <row r="12624">
      <c r="A12624" t="n">
        <v>12623</v>
      </c>
      <c r="B12624" t="inlineStr">
        <is>
          <t>x̄MMDCXXIII</t>
        </is>
      </c>
      <c r="C12624">
        <f>ROMAN(12623)</f>
        <v/>
      </c>
      <c r="D12624">
        <f>IF(B12624=C12624, "YES", "WRONG")</f>
        <v/>
      </c>
    </row>
    <row r="12625">
      <c r="A12625" t="n">
        <v>12624</v>
      </c>
      <c r="B12625" t="inlineStr">
        <is>
          <t>x̄MMDCXXIV</t>
        </is>
      </c>
      <c r="C12625">
        <f>ROMAN(12624)</f>
        <v/>
      </c>
      <c r="D12625">
        <f>IF(B12625=C12625, "YES", "WRONG")</f>
        <v/>
      </c>
    </row>
    <row r="12626">
      <c r="A12626" t="n">
        <v>12625</v>
      </c>
      <c r="B12626" t="inlineStr">
        <is>
          <t>x̄MMDCXXV</t>
        </is>
      </c>
      <c r="C12626">
        <f>ROMAN(12625)</f>
        <v/>
      </c>
      <c r="D12626">
        <f>IF(B12626=C12626, "YES", "WRONG")</f>
        <v/>
      </c>
    </row>
    <row r="12627">
      <c r="A12627" t="n">
        <v>12626</v>
      </c>
      <c r="B12627" t="inlineStr">
        <is>
          <t>x̄MMDCXXVI</t>
        </is>
      </c>
      <c r="C12627">
        <f>ROMAN(12626)</f>
        <v/>
      </c>
      <c r="D12627">
        <f>IF(B12627=C12627, "YES", "WRONG")</f>
        <v/>
      </c>
    </row>
    <row r="12628">
      <c r="A12628" t="n">
        <v>12627</v>
      </c>
      <c r="B12628" t="inlineStr">
        <is>
          <t>x̄MMDCXXVII</t>
        </is>
      </c>
      <c r="C12628">
        <f>ROMAN(12627)</f>
        <v/>
      </c>
      <c r="D12628">
        <f>IF(B12628=C12628, "YES", "WRONG")</f>
        <v/>
      </c>
    </row>
    <row r="12629">
      <c r="A12629" t="n">
        <v>12628</v>
      </c>
      <c r="B12629" t="inlineStr">
        <is>
          <t>x̄MMDCXXVIII</t>
        </is>
      </c>
      <c r="C12629">
        <f>ROMAN(12628)</f>
        <v/>
      </c>
      <c r="D12629">
        <f>IF(B12629=C12629, "YES", "WRONG")</f>
        <v/>
      </c>
    </row>
    <row r="12630">
      <c r="A12630" t="n">
        <v>12629</v>
      </c>
      <c r="B12630" t="inlineStr">
        <is>
          <t>x̄MMDCXXIX</t>
        </is>
      </c>
      <c r="C12630">
        <f>ROMAN(12629)</f>
        <v/>
      </c>
      <c r="D12630">
        <f>IF(B12630=C12630, "YES", "WRONG")</f>
        <v/>
      </c>
    </row>
    <row r="12631">
      <c r="A12631" t="n">
        <v>12630</v>
      </c>
      <c r="B12631" t="inlineStr">
        <is>
          <t>x̄MMDCXXX</t>
        </is>
      </c>
      <c r="C12631">
        <f>ROMAN(12630)</f>
        <v/>
      </c>
      <c r="D12631">
        <f>IF(B12631=C12631, "YES", "WRONG")</f>
        <v/>
      </c>
    </row>
    <row r="12632">
      <c r="A12632" t="n">
        <v>12631</v>
      </c>
      <c r="B12632" t="inlineStr">
        <is>
          <t>x̄MMDCXXXI</t>
        </is>
      </c>
      <c r="C12632">
        <f>ROMAN(12631)</f>
        <v/>
      </c>
      <c r="D12632">
        <f>IF(B12632=C12632, "YES", "WRONG")</f>
        <v/>
      </c>
    </row>
    <row r="12633">
      <c r="A12633" t="n">
        <v>12632</v>
      </c>
      <c r="B12633" t="inlineStr">
        <is>
          <t>x̄MMDCXXXII</t>
        </is>
      </c>
      <c r="C12633">
        <f>ROMAN(12632)</f>
        <v/>
      </c>
      <c r="D12633">
        <f>IF(B12633=C12633, "YES", "WRONG")</f>
        <v/>
      </c>
    </row>
    <row r="12634">
      <c r="A12634" t="n">
        <v>12633</v>
      </c>
      <c r="B12634" t="inlineStr">
        <is>
          <t>x̄MMDCXXXIII</t>
        </is>
      </c>
      <c r="C12634">
        <f>ROMAN(12633)</f>
        <v/>
      </c>
      <c r="D12634">
        <f>IF(B12634=C12634, "YES", "WRONG")</f>
        <v/>
      </c>
    </row>
    <row r="12635">
      <c r="A12635" t="n">
        <v>12634</v>
      </c>
      <c r="B12635" t="inlineStr">
        <is>
          <t>x̄MMDCXXXIV</t>
        </is>
      </c>
      <c r="C12635">
        <f>ROMAN(12634)</f>
        <v/>
      </c>
      <c r="D12635">
        <f>IF(B12635=C12635, "YES", "WRONG")</f>
        <v/>
      </c>
    </row>
    <row r="12636">
      <c r="A12636" t="n">
        <v>12635</v>
      </c>
      <c r="B12636" t="inlineStr">
        <is>
          <t>x̄MMDCXXXV</t>
        </is>
      </c>
      <c r="C12636">
        <f>ROMAN(12635)</f>
        <v/>
      </c>
      <c r="D12636">
        <f>IF(B12636=C12636, "YES", "WRONG")</f>
        <v/>
      </c>
    </row>
    <row r="12637">
      <c r="A12637" t="n">
        <v>12636</v>
      </c>
      <c r="B12637" t="inlineStr">
        <is>
          <t>x̄MMDCXXXVI</t>
        </is>
      </c>
      <c r="C12637">
        <f>ROMAN(12636)</f>
        <v/>
      </c>
      <c r="D12637">
        <f>IF(B12637=C12637, "YES", "WRONG")</f>
        <v/>
      </c>
    </row>
    <row r="12638">
      <c r="A12638" t="n">
        <v>12637</v>
      </c>
      <c r="B12638" t="inlineStr">
        <is>
          <t>x̄MMDCXXXVII</t>
        </is>
      </c>
      <c r="C12638">
        <f>ROMAN(12637)</f>
        <v/>
      </c>
      <c r="D12638">
        <f>IF(B12638=C12638, "YES", "WRONG")</f>
        <v/>
      </c>
    </row>
    <row r="12639">
      <c r="A12639" t="n">
        <v>12638</v>
      </c>
      <c r="B12639" t="inlineStr">
        <is>
          <t>x̄MMDCXXXVIII</t>
        </is>
      </c>
      <c r="C12639">
        <f>ROMAN(12638)</f>
        <v/>
      </c>
      <c r="D12639">
        <f>IF(B12639=C12639, "YES", "WRONG")</f>
        <v/>
      </c>
    </row>
    <row r="12640">
      <c r="A12640" t="n">
        <v>12639</v>
      </c>
      <c r="B12640" t="inlineStr">
        <is>
          <t>x̄MMDCXXXIX</t>
        </is>
      </c>
      <c r="C12640">
        <f>ROMAN(12639)</f>
        <v/>
      </c>
      <c r="D12640">
        <f>IF(B12640=C12640, "YES", "WRONG")</f>
        <v/>
      </c>
    </row>
    <row r="12641">
      <c r="A12641" t="n">
        <v>12640</v>
      </c>
      <c r="B12641" t="inlineStr">
        <is>
          <t>x̄MMDCXL</t>
        </is>
      </c>
      <c r="C12641">
        <f>ROMAN(12640)</f>
        <v/>
      </c>
      <c r="D12641">
        <f>IF(B12641=C12641, "YES", "WRONG")</f>
        <v/>
      </c>
    </row>
    <row r="12642">
      <c r="A12642" t="n">
        <v>12641</v>
      </c>
      <c r="B12642" t="inlineStr">
        <is>
          <t>x̄MMDCXLI</t>
        </is>
      </c>
      <c r="C12642">
        <f>ROMAN(12641)</f>
        <v/>
      </c>
      <c r="D12642">
        <f>IF(B12642=C12642, "YES", "WRONG")</f>
        <v/>
      </c>
    </row>
    <row r="12643">
      <c r="A12643" t="n">
        <v>12642</v>
      </c>
      <c r="B12643" t="inlineStr">
        <is>
          <t>x̄MMDCXLII</t>
        </is>
      </c>
      <c r="C12643">
        <f>ROMAN(12642)</f>
        <v/>
      </c>
      <c r="D12643">
        <f>IF(B12643=C12643, "YES", "WRONG")</f>
        <v/>
      </c>
    </row>
    <row r="12644">
      <c r="A12644" t="n">
        <v>12643</v>
      </c>
      <c r="B12644" t="inlineStr">
        <is>
          <t>x̄MMDCXLIII</t>
        </is>
      </c>
      <c r="C12644">
        <f>ROMAN(12643)</f>
        <v/>
      </c>
      <c r="D12644">
        <f>IF(B12644=C12644, "YES", "WRONG")</f>
        <v/>
      </c>
    </row>
    <row r="12645">
      <c r="A12645" t="n">
        <v>12644</v>
      </c>
      <c r="B12645" t="inlineStr">
        <is>
          <t>x̄MMDCXLIV</t>
        </is>
      </c>
      <c r="C12645">
        <f>ROMAN(12644)</f>
        <v/>
      </c>
      <c r="D12645">
        <f>IF(B12645=C12645, "YES", "WRONG")</f>
        <v/>
      </c>
    </row>
    <row r="12646">
      <c r="A12646" t="n">
        <v>12645</v>
      </c>
      <c r="B12646" t="inlineStr">
        <is>
          <t>x̄MMDCXLV</t>
        </is>
      </c>
      <c r="C12646">
        <f>ROMAN(12645)</f>
        <v/>
      </c>
      <c r="D12646">
        <f>IF(B12646=C12646, "YES", "WRONG")</f>
        <v/>
      </c>
    </row>
    <row r="12647">
      <c r="A12647" t="n">
        <v>12646</v>
      </c>
      <c r="B12647" t="inlineStr">
        <is>
          <t>x̄MMDCXLVI</t>
        </is>
      </c>
      <c r="C12647">
        <f>ROMAN(12646)</f>
        <v/>
      </c>
      <c r="D12647">
        <f>IF(B12647=C12647, "YES", "WRONG")</f>
        <v/>
      </c>
    </row>
    <row r="12648">
      <c r="A12648" t="n">
        <v>12647</v>
      </c>
      <c r="B12648" t="inlineStr">
        <is>
          <t>x̄MMDCXLVII</t>
        </is>
      </c>
      <c r="C12648">
        <f>ROMAN(12647)</f>
        <v/>
      </c>
      <c r="D12648">
        <f>IF(B12648=C12648, "YES", "WRONG")</f>
        <v/>
      </c>
    </row>
    <row r="12649">
      <c r="A12649" t="n">
        <v>12648</v>
      </c>
      <c r="B12649" t="inlineStr">
        <is>
          <t>x̄MMDCXLVIII</t>
        </is>
      </c>
      <c r="C12649">
        <f>ROMAN(12648)</f>
        <v/>
      </c>
      <c r="D12649">
        <f>IF(B12649=C12649, "YES", "WRONG")</f>
        <v/>
      </c>
    </row>
    <row r="12650">
      <c r="A12650" t="n">
        <v>12649</v>
      </c>
      <c r="B12650" t="inlineStr">
        <is>
          <t>x̄MMDCXLIX</t>
        </is>
      </c>
      <c r="C12650">
        <f>ROMAN(12649)</f>
        <v/>
      </c>
      <c r="D12650">
        <f>IF(B12650=C12650, "YES", "WRONG")</f>
        <v/>
      </c>
    </row>
    <row r="12651">
      <c r="A12651" t="n">
        <v>12650</v>
      </c>
      <c r="B12651" t="inlineStr">
        <is>
          <t>x̄MMDCL</t>
        </is>
      </c>
      <c r="C12651">
        <f>ROMAN(12650)</f>
        <v/>
      </c>
      <c r="D12651">
        <f>IF(B12651=C12651, "YES", "WRONG")</f>
        <v/>
      </c>
    </row>
    <row r="12652">
      <c r="A12652" t="n">
        <v>12651</v>
      </c>
      <c r="B12652" t="inlineStr">
        <is>
          <t>x̄MMDCLI</t>
        </is>
      </c>
      <c r="C12652">
        <f>ROMAN(12651)</f>
        <v/>
      </c>
      <c r="D12652">
        <f>IF(B12652=C12652, "YES", "WRONG")</f>
        <v/>
      </c>
    </row>
    <row r="12653">
      <c r="A12653" t="n">
        <v>12652</v>
      </c>
      <c r="B12653" t="inlineStr">
        <is>
          <t>x̄MMDCLII</t>
        </is>
      </c>
      <c r="C12653">
        <f>ROMAN(12652)</f>
        <v/>
      </c>
      <c r="D12653">
        <f>IF(B12653=C12653, "YES", "WRONG")</f>
        <v/>
      </c>
    </row>
    <row r="12654">
      <c r="A12654" t="n">
        <v>12653</v>
      </c>
      <c r="B12654" t="inlineStr">
        <is>
          <t>x̄MMDCLIII</t>
        </is>
      </c>
      <c r="C12654">
        <f>ROMAN(12653)</f>
        <v/>
      </c>
      <c r="D12654">
        <f>IF(B12654=C12654, "YES", "WRONG")</f>
        <v/>
      </c>
    </row>
    <row r="12655">
      <c r="A12655" t="n">
        <v>12654</v>
      </c>
      <c r="B12655" t="inlineStr">
        <is>
          <t>x̄MMDCLIV</t>
        </is>
      </c>
      <c r="C12655">
        <f>ROMAN(12654)</f>
        <v/>
      </c>
      <c r="D12655">
        <f>IF(B12655=C12655, "YES", "WRONG")</f>
        <v/>
      </c>
    </row>
    <row r="12656">
      <c r="A12656" t="n">
        <v>12655</v>
      </c>
      <c r="B12656" t="inlineStr">
        <is>
          <t>x̄MMDCLV</t>
        </is>
      </c>
      <c r="C12656">
        <f>ROMAN(12655)</f>
        <v/>
      </c>
      <c r="D12656">
        <f>IF(B12656=C12656, "YES", "WRONG")</f>
        <v/>
      </c>
    </row>
    <row r="12657">
      <c r="A12657" t="n">
        <v>12656</v>
      </c>
      <c r="B12657" t="inlineStr">
        <is>
          <t>x̄MMDCLVI</t>
        </is>
      </c>
      <c r="C12657">
        <f>ROMAN(12656)</f>
        <v/>
      </c>
      <c r="D12657">
        <f>IF(B12657=C12657, "YES", "WRONG")</f>
        <v/>
      </c>
    </row>
    <row r="12658">
      <c r="A12658" t="n">
        <v>12657</v>
      </c>
      <c r="B12658" t="inlineStr">
        <is>
          <t>x̄MMDCLVII</t>
        </is>
      </c>
      <c r="C12658">
        <f>ROMAN(12657)</f>
        <v/>
      </c>
      <c r="D12658">
        <f>IF(B12658=C12658, "YES", "WRONG")</f>
        <v/>
      </c>
    </row>
    <row r="12659">
      <c r="A12659" t="n">
        <v>12658</v>
      </c>
      <c r="B12659" t="inlineStr">
        <is>
          <t>x̄MMDCLVIII</t>
        </is>
      </c>
      <c r="C12659">
        <f>ROMAN(12658)</f>
        <v/>
      </c>
      <c r="D12659">
        <f>IF(B12659=C12659, "YES", "WRONG")</f>
        <v/>
      </c>
    </row>
    <row r="12660">
      <c r="A12660" t="n">
        <v>12659</v>
      </c>
      <c r="B12660" t="inlineStr">
        <is>
          <t>x̄MMDCLIX</t>
        </is>
      </c>
      <c r="C12660">
        <f>ROMAN(12659)</f>
        <v/>
      </c>
      <c r="D12660">
        <f>IF(B12660=C12660, "YES", "WRONG")</f>
        <v/>
      </c>
    </row>
    <row r="12661">
      <c r="A12661" t="n">
        <v>12660</v>
      </c>
      <c r="B12661" t="inlineStr">
        <is>
          <t>x̄MMDCLX</t>
        </is>
      </c>
      <c r="C12661">
        <f>ROMAN(12660)</f>
        <v/>
      </c>
      <c r="D12661">
        <f>IF(B12661=C12661, "YES", "WRONG")</f>
        <v/>
      </c>
    </row>
    <row r="12662">
      <c r="A12662" t="n">
        <v>12661</v>
      </c>
      <c r="B12662" t="inlineStr">
        <is>
          <t>x̄MMDCLXI</t>
        </is>
      </c>
      <c r="C12662">
        <f>ROMAN(12661)</f>
        <v/>
      </c>
      <c r="D12662">
        <f>IF(B12662=C12662, "YES", "WRONG")</f>
        <v/>
      </c>
    </row>
    <row r="12663">
      <c r="A12663" t="n">
        <v>12662</v>
      </c>
      <c r="B12663" t="inlineStr">
        <is>
          <t>x̄MMDCLXII</t>
        </is>
      </c>
      <c r="C12663">
        <f>ROMAN(12662)</f>
        <v/>
      </c>
      <c r="D12663">
        <f>IF(B12663=C12663, "YES", "WRONG")</f>
        <v/>
      </c>
    </row>
    <row r="12664">
      <c r="A12664" t="n">
        <v>12663</v>
      </c>
      <c r="B12664" t="inlineStr">
        <is>
          <t>x̄MMDCLXIII</t>
        </is>
      </c>
      <c r="C12664">
        <f>ROMAN(12663)</f>
        <v/>
      </c>
      <c r="D12664">
        <f>IF(B12664=C12664, "YES", "WRONG")</f>
        <v/>
      </c>
    </row>
    <row r="12665">
      <c r="A12665" t="n">
        <v>12664</v>
      </c>
      <c r="B12665" t="inlineStr">
        <is>
          <t>x̄MMDCLXIV</t>
        </is>
      </c>
      <c r="C12665">
        <f>ROMAN(12664)</f>
        <v/>
      </c>
      <c r="D12665">
        <f>IF(B12665=C12665, "YES", "WRONG")</f>
        <v/>
      </c>
    </row>
    <row r="12666">
      <c r="A12666" t="n">
        <v>12665</v>
      </c>
      <c r="B12666" t="inlineStr">
        <is>
          <t>x̄MMDCLXV</t>
        </is>
      </c>
      <c r="C12666">
        <f>ROMAN(12665)</f>
        <v/>
      </c>
      <c r="D12666">
        <f>IF(B12666=C12666, "YES", "WRONG")</f>
        <v/>
      </c>
    </row>
    <row r="12667">
      <c r="A12667" t="n">
        <v>12666</v>
      </c>
      <c r="B12667" t="inlineStr">
        <is>
          <t>x̄MMDCLXVI</t>
        </is>
      </c>
      <c r="C12667">
        <f>ROMAN(12666)</f>
        <v/>
      </c>
      <c r="D12667">
        <f>IF(B12667=C12667, "YES", "WRONG")</f>
        <v/>
      </c>
    </row>
    <row r="12668">
      <c r="A12668" t="n">
        <v>12667</v>
      </c>
      <c r="B12668" t="inlineStr">
        <is>
          <t>x̄MMDCLXVII</t>
        </is>
      </c>
      <c r="C12668">
        <f>ROMAN(12667)</f>
        <v/>
      </c>
      <c r="D12668">
        <f>IF(B12668=C12668, "YES", "WRONG")</f>
        <v/>
      </c>
    </row>
    <row r="12669">
      <c r="A12669" t="n">
        <v>12668</v>
      </c>
      <c r="B12669" t="inlineStr">
        <is>
          <t>x̄MMDCLXVIII</t>
        </is>
      </c>
      <c r="C12669">
        <f>ROMAN(12668)</f>
        <v/>
      </c>
      <c r="D12669">
        <f>IF(B12669=C12669, "YES", "WRONG")</f>
        <v/>
      </c>
    </row>
    <row r="12670">
      <c r="A12670" t="n">
        <v>12669</v>
      </c>
      <c r="B12670" t="inlineStr">
        <is>
          <t>x̄MMDCLXIX</t>
        </is>
      </c>
      <c r="C12670">
        <f>ROMAN(12669)</f>
        <v/>
      </c>
      <c r="D12670">
        <f>IF(B12670=C12670, "YES", "WRONG")</f>
        <v/>
      </c>
    </row>
    <row r="12671">
      <c r="A12671" t="n">
        <v>12670</v>
      </c>
      <c r="B12671" t="inlineStr">
        <is>
          <t>x̄MMDCLXX</t>
        </is>
      </c>
      <c r="C12671">
        <f>ROMAN(12670)</f>
        <v/>
      </c>
      <c r="D12671">
        <f>IF(B12671=C12671, "YES", "WRONG")</f>
        <v/>
      </c>
    </row>
    <row r="12672">
      <c r="A12672" t="n">
        <v>12671</v>
      </c>
      <c r="B12672" t="inlineStr">
        <is>
          <t>x̄MMDCLXXI</t>
        </is>
      </c>
      <c r="C12672">
        <f>ROMAN(12671)</f>
        <v/>
      </c>
      <c r="D12672">
        <f>IF(B12672=C12672, "YES", "WRONG")</f>
        <v/>
      </c>
    </row>
    <row r="12673">
      <c r="A12673" t="n">
        <v>12672</v>
      </c>
      <c r="B12673" t="inlineStr">
        <is>
          <t>x̄MMDCLXXII</t>
        </is>
      </c>
      <c r="C12673">
        <f>ROMAN(12672)</f>
        <v/>
      </c>
      <c r="D12673">
        <f>IF(B12673=C12673, "YES", "WRONG")</f>
        <v/>
      </c>
    </row>
    <row r="12674">
      <c r="A12674" t="n">
        <v>12673</v>
      </c>
      <c r="B12674" t="inlineStr">
        <is>
          <t>x̄MMDCLXXIII</t>
        </is>
      </c>
      <c r="C12674">
        <f>ROMAN(12673)</f>
        <v/>
      </c>
      <c r="D12674">
        <f>IF(B12674=C12674, "YES", "WRONG")</f>
        <v/>
      </c>
    </row>
    <row r="12675">
      <c r="A12675" t="n">
        <v>12674</v>
      </c>
      <c r="B12675" t="inlineStr">
        <is>
          <t>x̄MMDCLXXIV</t>
        </is>
      </c>
      <c r="C12675">
        <f>ROMAN(12674)</f>
        <v/>
      </c>
      <c r="D12675">
        <f>IF(B12675=C12675, "YES", "WRONG")</f>
        <v/>
      </c>
    </row>
    <row r="12676">
      <c r="A12676" t="n">
        <v>12675</v>
      </c>
      <c r="B12676" t="inlineStr">
        <is>
          <t>x̄MMDCLXXV</t>
        </is>
      </c>
      <c r="C12676">
        <f>ROMAN(12675)</f>
        <v/>
      </c>
      <c r="D12676">
        <f>IF(B12676=C12676, "YES", "WRONG")</f>
        <v/>
      </c>
    </row>
    <row r="12677">
      <c r="A12677" t="n">
        <v>12676</v>
      </c>
      <c r="B12677" t="inlineStr">
        <is>
          <t>x̄MMDCLXXVI</t>
        </is>
      </c>
      <c r="C12677">
        <f>ROMAN(12676)</f>
        <v/>
      </c>
      <c r="D12677">
        <f>IF(B12677=C12677, "YES", "WRONG")</f>
        <v/>
      </c>
    </row>
    <row r="12678">
      <c r="A12678" t="n">
        <v>12677</v>
      </c>
      <c r="B12678" t="inlineStr">
        <is>
          <t>x̄MMDCLXXVII</t>
        </is>
      </c>
      <c r="C12678">
        <f>ROMAN(12677)</f>
        <v/>
      </c>
      <c r="D12678">
        <f>IF(B12678=C12678, "YES", "WRONG")</f>
        <v/>
      </c>
    </row>
    <row r="12679">
      <c r="A12679" t="n">
        <v>12678</v>
      </c>
      <c r="B12679" t="inlineStr">
        <is>
          <t>x̄MMDCLXXVIII</t>
        </is>
      </c>
      <c r="C12679">
        <f>ROMAN(12678)</f>
        <v/>
      </c>
      <c r="D12679">
        <f>IF(B12679=C12679, "YES", "WRONG")</f>
        <v/>
      </c>
    </row>
    <row r="12680">
      <c r="A12680" t="n">
        <v>12679</v>
      </c>
      <c r="B12680" t="inlineStr">
        <is>
          <t>x̄MMDCLXXIX</t>
        </is>
      </c>
      <c r="C12680">
        <f>ROMAN(12679)</f>
        <v/>
      </c>
      <c r="D12680">
        <f>IF(B12680=C12680, "YES", "WRONG")</f>
        <v/>
      </c>
    </row>
    <row r="12681">
      <c r="A12681" t="n">
        <v>12680</v>
      </c>
      <c r="B12681" t="inlineStr">
        <is>
          <t>x̄MMDCLXXX</t>
        </is>
      </c>
      <c r="C12681">
        <f>ROMAN(12680)</f>
        <v/>
      </c>
      <c r="D12681">
        <f>IF(B12681=C12681, "YES", "WRONG")</f>
        <v/>
      </c>
    </row>
    <row r="12682">
      <c r="A12682" t="n">
        <v>12681</v>
      </c>
      <c r="B12682" t="inlineStr">
        <is>
          <t>x̄MMDCLXXXI</t>
        </is>
      </c>
      <c r="C12682">
        <f>ROMAN(12681)</f>
        <v/>
      </c>
      <c r="D12682">
        <f>IF(B12682=C12682, "YES", "WRONG")</f>
        <v/>
      </c>
    </row>
    <row r="12683">
      <c r="A12683" t="n">
        <v>12682</v>
      </c>
      <c r="B12683" t="inlineStr">
        <is>
          <t>x̄MMDCLXXXII</t>
        </is>
      </c>
      <c r="C12683">
        <f>ROMAN(12682)</f>
        <v/>
      </c>
      <c r="D12683">
        <f>IF(B12683=C12683, "YES", "WRONG")</f>
        <v/>
      </c>
    </row>
    <row r="12684">
      <c r="A12684" t="n">
        <v>12683</v>
      </c>
      <c r="B12684" t="inlineStr">
        <is>
          <t>x̄MMDCLXXXIII</t>
        </is>
      </c>
      <c r="C12684">
        <f>ROMAN(12683)</f>
        <v/>
      </c>
      <c r="D12684">
        <f>IF(B12684=C12684, "YES", "WRONG")</f>
        <v/>
      </c>
    </row>
    <row r="12685">
      <c r="A12685" t="n">
        <v>12684</v>
      </c>
      <c r="B12685" t="inlineStr">
        <is>
          <t>x̄MMDCLXXXIV</t>
        </is>
      </c>
      <c r="C12685">
        <f>ROMAN(12684)</f>
        <v/>
      </c>
      <c r="D12685">
        <f>IF(B12685=C12685, "YES", "WRONG")</f>
        <v/>
      </c>
    </row>
    <row r="12686">
      <c r="A12686" t="n">
        <v>12685</v>
      </c>
      <c r="B12686" t="inlineStr">
        <is>
          <t>x̄MMDCLXXXV</t>
        </is>
      </c>
      <c r="C12686">
        <f>ROMAN(12685)</f>
        <v/>
      </c>
      <c r="D12686">
        <f>IF(B12686=C12686, "YES", "WRONG")</f>
        <v/>
      </c>
    </row>
    <row r="12687">
      <c r="A12687" t="n">
        <v>12686</v>
      </c>
      <c r="B12687" t="inlineStr">
        <is>
          <t>x̄MMDCLXXXVI</t>
        </is>
      </c>
      <c r="C12687">
        <f>ROMAN(12686)</f>
        <v/>
      </c>
      <c r="D12687">
        <f>IF(B12687=C12687, "YES", "WRONG")</f>
        <v/>
      </c>
    </row>
    <row r="12688">
      <c r="A12688" t="n">
        <v>12687</v>
      </c>
      <c r="B12688" t="inlineStr">
        <is>
          <t>x̄MMDCLXXXVII</t>
        </is>
      </c>
      <c r="C12688">
        <f>ROMAN(12687)</f>
        <v/>
      </c>
      <c r="D12688">
        <f>IF(B12688=C12688, "YES", "WRONG")</f>
        <v/>
      </c>
    </row>
    <row r="12689">
      <c r="A12689" t="n">
        <v>12688</v>
      </c>
      <c r="B12689" t="inlineStr">
        <is>
          <t>x̄MMDCLXXXVIII</t>
        </is>
      </c>
      <c r="C12689">
        <f>ROMAN(12688)</f>
        <v/>
      </c>
      <c r="D12689">
        <f>IF(B12689=C12689, "YES", "WRONG")</f>
        <v/>
      </c>
    </row>
    <row r="12690">
      <c r="A12690" t="n">
        <v>12689</v>
      </c>
      <c r="B12690" t="inlineStr">
        <is>
          <t>x̄MMDCLXXXIX</t>
        </is>
      </c>
      <c r="C12690">
        <f>ROMAN(12689)</f>
        <v/>
      </c>
      <c r="D12690">
        <f>IF(B12690=C12690, "YES", "WRONG")</f>
        <v/>
      </c>
    </row>
    <row r="12691">
      <c r="A12691" t="n">
        <v>12690</v>
      </c>
      <c r="B12691" t="inlineStr">
        <is>
          <t>x̄MMDCXC</t>
        </is>
      </c>
      <c r="C12691">
        <f>ROMAN(12690)</f>
        <v/>
      </c>
      <c r="D12691">
        <f>IF(B12691=C12691, "YES", "WRONG")</f>
        <v/>
      </c>
    </row>
    <row r="12692">
      <c r="A12692" t="n">
        <v>12691</v>
      </c>
      <c r="B12692" t="inlineStr">
        <is>
          <t>x̄MMDCXCI</t>
        </is>
      </c>
      <c r="C12692">
        <f>ROMAN(12691)</f>
        <v/>
      </c>
      <c r="D12692">
        <f>IF(B12692=C12692, "YES", "WRONG")</f>
        <v/>
      </c>
    </row>
    <row r="12693">
      <c r="A12693" t="n">
        <v>12692</v>
      </c>
      <c r="B12693" t="inlineStr">
        <is>
          <t>x̄MMDCXCII</t>
        </is>
      </c>
      <c r="C12693">
        <f>ROMAN(12692)</f>
        <v/>
      </c>
      <c r="D12693">
        <f>IF(B12693=C12693, "YES", "WRONG")</f>
        <v/>
      </c>
    </row>
    <row r="12694">
      <c r="A12694" t="n">
        <v>12693</v>
      </c>
      <c r="B12694" t="inlineStr">
        <is>
          <t>x̄MMDCXCIII</t>
        </is>
      </c>
      <c r="C12694">
        <f>ROMAN(12693)</f>
        <v/>
      </c>
      <c r="D12694">
        <f>IF(B12694=C12694, "YES", "WRONG")</f>
        <v/>
      </c>
    </row>
    <row r="12695">
      <c r="A12695" t="n">
        <v>12694</v>
      </c>
      <c r="B12695" t="inlineStr">
        <is>
          <t>x̄MMDCXCIV</t>
        </is>
      </c>
      <c r="C12695">
        <f>ROMAN(12694)</f>
        <v/>
      </c>
      <c r="D12695">
        <f>IF(B12695=C12695, "YES", "WRONG")</f>
        <v/>
      </c>
    </row>
    <row r="12696">
      <c r="A12696" t="n">
        <v>12695</v>
      </c>
      <c r="B12696" t="inlineStr">
        <is>
          <t>x̄MMDCXCV</t>
        </is>
      </c>
      <c r="C12696">
        <f>ROMAN(12695)</f>
        <v/>
      </c>
      <c r="D12696">
        <f>IF(B12696=C12696, "YES", "WRONG")</f>
        <v/>
      </c>
    </row>
    <row r="12697">
      <c r="A12697" t="n">
        <v>12696</v>
      </c>
      <c r="B12697" t="inlineStr">
        <is>
          <t>x̄MMDCXCVI</t>
        </is>
      </c>
      <c r="C12697">
        <f>ROMAN(12696)</f>
        <v/>
      </c>
      <c r="D12697">
        <f>IF(B12697=C12697, "YES", "WRONG")</f>
        <v/>
      </c>
    </row>
    <row r="12698">
      <c r="A12698" t="n">
        <v>12697</v>
      </c>
      <c r="B12698" t="inlineStr">
        <is>
          <t>x̄MMDCXCVII</t>
        </is>
      </c>
      <c r="C12698">
        <f>ROMAN(12697)</f>
        <v/>
      </c>
      <c r="D12698">
        <f>IF(B12698=C12698, "YES", "WRONG")</f>
        <v/>
      </c>
    </row>
    <row r="12699">
      <c r="A12699" t="n">
        <v>12698</v>
      </c>
      <c r="B12699" t="inlineStr">
        <is>
          <t>x̄MMDCXCVIII</t>
        </is>
      </c>
      <c r="C12699">
        <f>ROMAN(12698)</f>
        <v/>
      </c>
      <c r="D12699">
        <f>IF(B12699=C12699, "YES", "WRONG")</f>
        <v/>
      </c>
    </row>
    <row r="12700">
      <c r="A12700" t="n">
        <v>12699</v>
      </c>
      <c r="B12700" t="inlineStr">
        <is>
          <t>x̄MMDCXCIX</t>
        </is>
      </c>
      <c r="C12700">
        <f>ROMAN(12699)</f>
        <v/>
      </c>
      <c r="D12700">
        <f>IF(B12700=C12700, "YES", "WRONG")</f>
        <v/>
      </c>
    </row>
    <row r="12701">
      <c r="A12701" t="n">
        <v>12700</v>
      </c>
      <c r="B12701" t="inlineStr">
        <is>
          <t>x̄MMDCC</t>
        </is>
      </c>
      <c r="C12701">
        <f>ROMAN(12700)</f>
        <v/>
      </c>
      <c r="D12701">
        <f>IF(B12701=C12701, "YES", "WRONG")</f>
        <v/>
      </c>
    </row>
    <row r="12702">
      <c r="A12702" t="n">
        <v>12701</v>
      </c>
      <c r="B12702" t="inlineStr">
        <is>
          <t>x̄MMDCCI</t>
        </is>
      </c>
      <c r="C12702">
        <f>ROMAN(12701)</f>
        <v/>
      </c>
      <c r="D12702">
        <f>IF(B12702=C12702, "YES", "WRONG")</f>
        <v/>
      </c>
    </row>
    <row r="12703">
      <c r="A12703" t="n">
        <v>12702</v>
      </c>
      <c r="B12703" t="inlineStr">
        <is>
          <t>x̄MMDCCII</t>
        </is>
      </c>
      <c r="C12703">
        <f>ROMAN(12702)</f>
        <v/>
      </c>
      <c r="D12703">
        <f>IF(B12703=C12703, "YES", "WRONG")</f>
        <v/>
      </c>
    </row>
    <row r="12704">
      <c r="A12704" t="n">
        <v>12703</v>
      </c>
      <c r="B12704" t="inlineStr">
        <is>
          <t>x̄MMDCCIII</t>
        </is>
      </c>
      <c r="C12704">
        <f>ROMAN(12703)</f>
        <v/>
      </c>
      <c r="D12704">
        <f>IF(B12704=C12704, "YES", "WRONG")</f>
        <v/>
      </c>
    </row>
    <row r="12705">
      <c r="A12705" t="n">
        <v>12704</v>
      </c>
      <c r="B12705" t="inlineStr">
        <is>
          <t>x̄MMDCCIV</t>
        </is>
      </c>
      <c r="C12705">
        <f>ROMAN(12704)</f>
        <v/>
      </c>
      <c r="D12705">
        <f>IF(B12705=C12705, "YES", "WRONG")</f>
        <v/>
      </c>
    </row>
    <row r="12706">
      <c r="A12706" t="n">
        <v>12705</v>
      </c>
      <c r="B12706" t="inlineStr">
        <is>
          <t>x̄MMDCCV</t>
        </is>
      </c>
      <c r="C12706">
        <f>ROMAN(12705)</f>
        <v/>
      </c>
      <c r="D12706">
        <f>IF(B12706=C12706, "YES", "WRONG")</f>
        <v/>
      </c>
    </row>
    <row r="12707">
      <c r="A12707" t="n">
        <v>12706</v>
      </c>
      <c r="B12707" t="inlineStr">
        <is>
          <t>x̄MMDCCVI</t>
        </is>
      </c>
      <c r="C12707">
        <f>ROMAN(12706)</f>
        <v/>
      </c>
      <c r="D12707">
        <f>IF(B12707=C12707, "YES", "WRONG")</f>
        <v/>
      </c>
    </row>
    <row r="12708">
      <c r="A12708" t="n">
        <v>12707</v>
      </c>
      <c r="B12708" t="inlineStr">
        <is>
          <t>x̄MMDCCVII</t>
        </is>
      </c>
      <c r="C12708">
        <f>ROMAN(12707)</f>
        <v/>
      </c>
      <c r="D12708">
        <f>IF(B12708=C12708, "YES", "WRONG")</f>
        <v/>
      </c>
    </row>
    <row r="12709">
      <c r="A12709" t="n">
        <v>12708</v>
      </c>
      <c r="B12709" t="inlineStr">
        <is>
          <t>x̄MMDCCVIII</t>
        </is>
      </c>
      <c r="C12709">
        <f>ROMAN(12708)</f>
        <v/>
      </c>
      <c r="D12709">
        <f>IF(B12709=C12709, "YES", "WRONG")</f>
        <v/>
      </c>
    </row>
    <row r="12710">
      <c r="A12710" t="n">
        <v>12709</v>
      </c>
      <c r="B12710" t="inlineStr">
        <is>
          <t>x̄MMDCCIX</t>
        </is>
      </c>
      <c r="C12710">
        <f>ROMAN(12709)</f>
        <v/>
      </c>
      <c r="D12710">
        <f>IF(B12710=C12710, "YES", "WRONG")</f>
        <v/>
      </c>
    </row>
    <row r="12711">
      <c r="A12711" t="n">
        <v>12710</v>
      </c>
      <c r="B12711" t="inlineStr">
        <is>
          <t>x̄MMDCCX</t>
        </is>
      </c>
      <c r="C12711">
        <f>ROMAN(12710)</f>
        <v/>
      </c>
      <c r="D12711">
        <f>IF(B12711=C12711, "YES", "WRONG")</f>
        <v/>
      </c>
    </row>
    <row r="12712">
      <c r="A12712" t="n">
        <v>12711</v>
      </c>
      <c r="B12712" t="inlineStr">
        <is>
          <t>x̄MMDCCXI</t>
        </is>
      </c>
      <c r="C12712">
        <f>ROMAN(12711)</f>
        <v/>
      </c>
      <c r="D12712">
        <f>IF(B12712=C12712, "YES", "WRONG")</f>
        <v/>
      </c>
    </row>
    <row r="12713">
      <c r="A12713" t="n">
        <v>12712</v>
      </c>
      <c r="B12713" t="inlineStr">
        <is>
          <t>x̄MMDCCXII</t>
        </is>
      </c>
      <c r="C12713">
        <f>ROMAN(12712)</f>
        <v/>
      </c>
      <c r="D12713">
        <f>IF(B12713=C12713, "YES", "WRONG")</f>
        <v/>
      </c>
    </row>
    <row r="12714">
      <c r="A12714" t="n">
        <v>12713</v>
      </c>
      <c r="B12714" t="inlineStr">
        <is>
          <t>x̄MMDCCXIII</t>
        </is>
      </c>
      <c r="C12714">
        <f>ROMAN(12713)</f>
        <v/>
      </c>
      <c r="D12714">
        <f>IF(B12714=C12714, "YES", "WRONG")</f>
        <v/>
      </c>
    </row>
    <row r="12715">
      <c r="A12715" t="n">
        <v>12714</v>
      </c>
      <c r="B12715" t="inlineStr">
        <is>
          <t>x̄MMDCCXIV</t>
        </is>
      </c>
      <c r="C12715">
        <f>ROMAN(12714)</f>
        <v/>
      </c>
      <c r="D12715">
        <f>IF(B12715=C12715, "YES", "WRONG")</f>
        <v/>
      </c>
    </row>
    <row r="12716">
      <c r="A12716" t="n">
        <v>12715</v>
      </c>
      <c r="B12716" t="inlineStr">
        <is>
          <t>x̄MMDCCXV</t>
        </is>
      </c>
      <c r="C12716">
        <f>ROMAN(12715)</f>
        <v/>
      </c>
      <c r="D12716">
        <f>IF(B12716=C12716, "YES", "WRONG")</f>
        <v/>
      </c>
    </row>
    <row r="12717">
      <c r="A12717" t="n">
        <v>12716</v>
      </c>
      <c r="B12717" t="inlineStr">
        <is>
          <t>x̄MMDCCXVI</t>
        </is>
      </c>
      <c r="C12717">
        <f>ROMAN(12716)</f>
        <v/>
      </c>
      <c r="D12717">
        <f>IF(B12717=C12717, "YES", "WRONG")</f>
        <v/>
      </c>
    </row>
    <row r="12718">
      <c r="A12718" t="n">
        <v>12717</v>
      </c>
      <c r="B12718" t="inlineStr">
        <is>
          <t>x̄MMDCCXVII</t>
        </is>
      </c>
      <c r="C12718">
        <f>ROMAN(12717)</f>
        <v/>
      </c>
      <c r="D12718">
        <f>IF(B12718=C12718, "YES", "WRONG")</f>
        <v/>
      </c>
    </row>
    <row r="12719">
      <c r="A12719" t="n">
        <v>12718</v>
      </c>
      <c r="B12719" t="inlineStr">
        <is>
          <t>x̄MMDCCXVIII</t>
        </is>
      </c>
      <c r="C12719">
        <f>ROMAN(12718)</f>
        <v/>
      </c>
      <c r="D12719">
        <f>IF(B12719=C12719, "YES", "WRONG")</f>
        <v/>
      </c>
    </row>
    <row r="12720">
      <c r="A12720" t="n">
        <v>12719</v>
      </c>
      <c r="B12720" t="inlineStr">
        <is>
          <t>x̄MMDCCXIX</t>
        </is>
      </c>
      <c r="C12720">
        <f>ROMAN(12719)</f>
        <v/>
      </c>
      <c r="D12720">
        <f>IF(B12720=C12720, "YES", "WRONG")</f>
        <v/>
      </c>
    </row>
    <row r="12721">
      <c r="A12721" t="n">
        <v>12720</v>
      </c>
      <c r="B12721" t="inlineStr">
        <is>
          <t>x̄MMDCCXX</t>
        </is>
      </c>
      <c r="C12721">
        <f>ROMAN(12720)</f>
        <v/>
      </c>
      <c r="D12721">
        <f>IF(B12721=C12721, "YES", "WRONG")</f>
        <v/>
      </c>
    </row>
    <row r="12722">
      <c r="A12722" t="n">
        <v>12721</v>
      </c>
      <c r="B12722" t="inlineStr">
        <is>
          <t>x̄MMDCCXXI</t>
        </is>
      </c>
      <c r="C12722">
        <f>ROMAN(12721)</f>
        <v/>
      </c>
      <c r="D12722">
        <f>IF(B12722=C12722, "YES", "WRONG")</f>
        <v/>
      </c>
    </row>
    <row r="12723">
      <c r="A12723" t="n">
        <v>12722</v>
      </c>
      <c r="B12723" t="inlineStr">
        <is>
          <t>x̄MMDCCXXII</t>
        </is>
      </c>
      <c r="C12723">
        <f>ROMAN(12722)</f>
        <v/>
      </c>
      <c r="D12723">
        <f>IF(B12723=C12723, "YES", "WRONG")</f>
        <v/>
      </c>
    </row>
    <row r="12724">
      <c r="A12724" t="n">
        <v>12723</v>
      </c>
      <c r="B12724" t="inlineStr">
        <is>
          <t>x̄MMDCCXXIII</t>
        </is>
      </c>
      <c r="C12724">
        <f>ROMAN(12723)</f>
        <v/>
      </c>
      <c r="D12724">
        <f>IF(B12724=C12724, "YES", "WRONG")</f>
        <v/>
      </c>
    </row>
    <row r="12725">
      <c r="A12725" t="n">
        <v>12724</v>
      </c>
      <c r="B12725" t="inlineStr">
        <is>
          <t>x̄MMDCCXXIV</t>
        </is>
      </c>
      <c r="C12725">
        <f>ROMAN(12724)</f>
        <v/>
      </c>
      <c r="D12725">
        <f>IF(B12725=C12725, "YES", "WRONG")</f>
        <v/>
      </c>
    </row>
    <row r="12726">
      <c r="A12726" t="n">
        <v>12725</v>
      </c>
      <c r="B12726" t="inlineStr">
        <is>
          <t>x̄MMDCCXXV</t>
        </is>
      </c>
      <c r="C12726">
        <f>ROMAN(12725)</f>
        <v/>
      </c>
      <c r="D12726">
        <f>IF(B12726=C12726, "YES", "WRONG")</f>
        <v/>
      </c>
    </row>
    <row r="12727">
      <c r="A12727" t="n">
        <v>12726</v>
      </c>
      <c r="B12727" t="inlineStr">
        <is>
          <t>x̄MMDCCXXVI</t>
        </is>
      </c>
      <c r="C12727">
        <f>ROMAN(12726)</f>
        <v/>
      </c>
      <c r="D12727">
        <f>IF(B12727=C12727, "YES", "WRONG")</f>
        <v/>
      </c>
    </row>
    <row r="12728">
      <c r="A12728" t="n">
        <v>12727</v>
      </c>
      <c r="B12728" t="inlineStr">
        <is>
          <t>x̄MMDCCXXVII</t>
        </is>
      </c>
      <c r="C12728">
        <f>ROMAN(12727)</f>
        <v/>
      </c>
      <c r="D12728">
        <f>IF(B12728=C12728, "YES", "WRONG")</f>
        <v/>
      </c>
    </row>
    <row r="12729">
      <c r="A12729" t="n">
        <v>12728</v>
      </c>
      <c r="B12729" t="inlineStr">
        <is>
          <t>x̄MMDCCXXVIII</t>
        </is>
      </c>
      <c r="C12729">
        <f>ROMAN(12728)</f>
        <v/>
      </c>
      <c r="D12729">
        <f>IF(B12729=C12729, "YES", "WRONG")</f>
        <v/>
      </c>
    </row>
    <row r="12730">
      <c r="A12730" t="n">
        <v>12729</v>
      </c>
      <c r="B12730" t="inlineStr">
        <is>
          <t>x̄MMDCCXXIX</t>
        </is>
      </c>
      <c r="C12730">
        <f>ROMAN(12729)</f>
        <v/>
      </c>
      <c r="D12730">
        <f>IF(B12730=C12730, "YES", "WRONG")</f>
        <v/>
      </c>
    </row>
    <row r="12731">
      <c r="A12731" t="n">
        <v>12730</v>
      </c>
      <c r="B12731" t="inlineStr">
        <is>
          <t>x̄MMDCCXXX</t>
        </is>
      </c>
      <c r="C12731">
        <f>ROMAN(12730)</f>
        <v/>
      </c>
      <c r="D12731">
        <f>IF(B12731=C12731, "YES", "WRONG")</f>
        <v/>
      </c>
    </row>
    <row r="12732">
      <c r="A12732" t="n">
        <v>12731</v>
      </c>
      <c r="B12732" t="inlineStr">
        <is>
          <t>x̄MMDCCXXXI</t>
        </is>
      </c>
      <c r="C12732">
        <f>ROMAN(12731)</f>
        <v/>
      </c>
      <c r="D12732">
        <f>IF(B12732=C12732, "YES", "WRONG")</f>
        <v/>
      </c>
    </row>
    <row r="12733">
      <c r="A12733" t="n">
        <v>12732</v>
      </c>
      <c r="B12733" t="inlineStr">
        <is>
          <t>x̄MMDCCXXXII</t>
        </is>
      </c>
      <c r="C12733">
        <f>ROMAN(12732)</f>
        <v/>
      </c>
      <c r="D12733">
        <f>IF(B12733=C12733, "YES", "WRONG")</f>
        <v/>
      </c>
    </row>
    <row r="12734">
      <c r="A12734" t="n">
        <v>12733</v>
      </c>
      <c r="B12734" t="inlineStr">
        <is>
          <t>x̄MMDCCXXXIII</t>
        </is>
      </c>
      <c r="C12734">
        <f>ROMAN(12733)</f>
        <v/>
      </c>
      <c r="D12734">
        <f>IF(B12734=C12734, "YES", "WRONG")</f>
        <v/>
      </c>
    </row>
    <row r="12735">
      <c r="A12735" t="n">
        <v>12734</v>
      </c>
      <c r="B12735" t="inlineStr">
        <is>
          <t>x̄MMDCCXXXIV</t>
        </is>
      </c>
      <c r="C12735">
        <f>ROMAN(12734)</f>
        <v/>
      </c>
      <c r="D12735">
        <f>IF(B12735=C12735, "YES", "WRONG")</f>
        <v/>
      </c>
    </row>
    <row r="12736">
      <c r="A12736" t="n">
        <v>12735</v>
      </c>
      <c r="B12736" t="inlineStr">
        <is>
          <t>x̄MMDCCXXXV</t>
        </is>
      </c>
      <c r="C12736">
        <f>ROMAN(12735)</f>
        <v/>
      </c>
      <c r="D12736">
        <f>IF(B12736=C12736, "YES", "WRONG")</f>
        <v/>
      </c>
    </row>
    <row r="12737">
      <c r="A12737" t="n">
        <v>12736</v>
      </c>
      <c r="B12737" t="inlineStr">
        <is>
          <t>x̄MMDCCXXXVI</t>
        </is>
      </c>
      <c r="C12737">
        <f>ROMAN(12736)</f>
        <v/>
      </c>
      <c r="D12737">
        <f>IF(B12737=C12737, "YES", "WRONG")</f>
        <v/>
      </c>
    </row>
    <row r="12738">
      <c r="A12738" t="n">
        <v>12737</v>
      </c>
      <c r="B12738" t="inlineStr">
        <is>
          <t>x̄MMDCCXXXVII</t>
        </is>
      </c>
      <c r="C12738">
        <f>ROMAN(12737)</f>
        <v/>
      </c>
      <c r="D12738">
        <f>IF(B12738=C12738, "YES", "WRONG")</f>
        <v/>
      </c>
    </row>
    <row r="12739">
      <c r="A12739" t="n">
        <v>12738</v>
      </c>
      <c r="B12739" t="inlineStr">
        <is>
          <t>x̄MMDCCXXXVIII</t>
        </is>
      </c>
      <c r="C12739">
        <f>ROMAN(12738)</f>
        <v/>
      </c>
      <c r="D12739">
        <f>IF(B12739=C12739, "YES", "WRONG")</f>
        <v/>
      </c>
    </row>
    <row r="12740">
      <c r="A12740" t="n">
        <v>12739</v>
      </c>
      <c r="B12740" t="inlineStr">
        <is>
          <t>x̄MMDCCXXXIX</t>
        </is>
      </c>
      <c r="C12740">
        <f>ROMAN(12739)</f>
        <v/>
      </c>
      <c r="D12740">
        <f>IF(B12740=C12740, "YES", "WRONG")</f>
        <v/>
      </c>
    </row>
    <row r="12741">
      <c r="A12741" t="n">
        <v>12740</v>
      </c>
      <c r="B12741" t="inlineStr">
        <is>
          <t>x̄MMDCCXL</t>
        </is>
      </c>
      <c r="C12741">
        <f>ROMAN(12740)</f>
        <v/>
      </c>
      <c r="D12741">
        <f>IF(B12741=C12741, "YES", "WRONG")</f>
        <v/>
      </c>
    </row>
    <row r="12742">
      <c r="A12742" t="n">
        <v>12741</v>
      </c>
      <c r="B12742" t="inlineStr">
        <is>
          <t>x̄MMDCCXLI</t>
        </is>
      </c>
      <c r="C12742">
        <f>ROMAN(12741)</f>
        <v/>
      </c>
      <c r="D12742">
        <f>IF(B12742=C12742, "YES", "WRONG")</f>
        <v/>
      </c>
    </row>
    <row r="12743">
      <c r="A12743" t="n">
        <v>12742</v>
      </c>
      <c r="B12743" t="inlineStr">
        <is>
          <t>x̄MMDCCXLII</t>
        </is>
      </c>
      <c r="C12743">
        <f>ROMAN(12742)</f>
        <v/>
      </c>
      <c r="D12743">
        <f>IF(B12743=C12743, "YES", "WRONG")</f>
        <v/>
      </c>
    </row>
    <row r="12744">
      <c r="A12744" t="n">
        <v>12743</v>
      </c>
      <c r="B12744" t="inlineStr">
        <is>
          <t>x̄MMDCCXLIII</t>
        </is>
      </c>
      <c r="C12744">
        <f>ROMAN(12743)</f>
        <v/>
      </c>
      <c r="D12744">
        <f>IF(B12744=C12744, "YES", "WRONG")</f>
        <v/>
      </c>
    </row>
    <row r="12745">
      <c r="A12745" t="n">
        <v>12744</v>
      </c>
      <c r="B12745" t="inlineStr">
        <is>
          <t>x̄MMDCCXLIV</t>
        </is>
      </c>
      <c r="C12745">
        <f>ROMAN(12744)</f>
        <v/>
      </c>
      <c r="D12745">
        <f>IF(B12745=C12745, "YES", "WRONG")</f>
        <v/>
      </c>
    </row>
    <row r="12746">
      <c r="A12746" t="n">
        <v>12745</v>
      </c>
      <c r="B12746" t="inlineStr">
        <is>
          <t>x̄MMDCCXLV</t>
        </is>
      </c>
      <c r="C12746">
        <f>ROMAN(12745)</f>
        <v/>
      </c>
      <c r="D12746">
        <f>IF(B12746=C12746, "YES", "WRONG")</f>
        <v/>
      </c>
    </row>
    <row r="12747">
      <c r="A12747" t="n">
        <v>12746</v>
      </c>
      <c r="B12747" t="inlineStr">
        <is>
          <t>x̄MMDCCXLVI</t>
        </is>
      </c>
      <c r="C12747">
        <f>ROMAN(12746)</f>
        <v/>
      </c>
      <c r="D12747">
        <f>IF(B12747=C12747, "YES", "WRONG")</f>
        <v/>
      </c>
    </row>
    <row r="12748">
      <c r="A12748" t="n">
        <v>12747</v>
      </c>
      <c r="B12748" t="inlineStr">
        <is>
          <t>x̄MMDCCXLVII</t>
        </is>
      </c>
      <c r="C12748">
        <f>ROMAN(12747)</f>
        <v/>
      </c>
      <c r="D12748">
        <f>IF(B12748=C12748, "YES", "WRONG")</f>
        <v/>
      </c>
    </row>
    <row r="12749">
      <c r="A12749" t="n">
        <v>12748</v>
      </c>
      <c r="B12749" t="inlineStr">
        <is>
          <t>x̄MMDCCXLVIII</t>
        </is>
      </c>
      <c r="C12749">
        <f>ROMAN(12748)</f>
        <v/>
      </c>
      <c r="D12749">
        <f>IF(B12749=C12749, "YES", "WRONG")</f>
        <v/>
      </c>
    </row>
    <row r="12750">
      <c r="A12750" t="n">
        <v>12749</v>
      </c>
      <c r="B12750" t="inlineStr">
        <is>
          <t>x̄MMDCCXLIX</t>
        </is>
      </c>
      <c r="C12750">
        <f>ROMAN(12749)</f>
        <v/>
      </c>
      <c r="D12750">
        <f>IF(B12750=C12750, "YES", "WRONG")</f>
        <v/>
      </c>
    </row>
    <row r="12751">
      <c r="A12751" t="n">
        <v>12750</v>
      </c>
      <c r="B12751" t="inlineStr">
        <is>
          <t>x̄MMDCCL</t>
        </is>
      </c>
      <c r="C12751">
        <f>ROMAN(12750)</f>
        <v/>
      </c>
      <c r="D12751">
        <f>IF(B12751=C12751, "YES", "WRONG")</f>
        <v/>
      </c>
    </row>
    <row r="12752">
      <c r="A12752" t="n">
        <v>12751</v>
      </c>
      <c r="B12752" t="inlineStr">
        <is>
          <t>x̄MMDCCLI</t>
        </is>
      </c>
      <c r="C12752">
        <f>ROMAN(12751)</f>
        <v/>
      </c>
      <c r="D12752">
        <f>IF(B12752=C12752, "YES", "WRONG")</f>
        <v/>
      </c>
    </row>
    <row r="12753">
      <c r="A12753" t="n">
        <v>12752</v>
      </c>
      <c r="B12753" t="inlineStr">
        <is>
          <t>x̄MMDCCLII</t>
        </is>
      </c>
      <c r="C12753">
        <f>ROMAN(12752)</f>
        <v/>
      </c>
      <c r="D12753">
        <f>IF(B12753=C12753, "YES", "WRONG")</f>
        <v/>
      </c>
    </row>
    <row r="12754">
      <c r="A12754" t="n">
        <v>12753</v>
      </c>
      <c r="B12754" t="inlineStr">
        <is>
          <t>x̄MMDCCLIII</t>
        </is>
      </c>
      <c r="C12754">
        <f>ROMAN(12753)</f>
        <v/>
      </c>
      <c r="D12754">
        <f>IF(B12754=C12754, "YES", "WRONG")</f>
        <v/>
      </c>
    </row>
    <row r="12755">
      <c r="A12755" t="n">
        <v>12754</v>
      </c>
      <c r="B12755" t="inlineStr">
        <is>
          <t>x̄MMDCCLIV</t>
        </is>
      </c>
      <c r="C12755">
        <f>ROMAN(12754)</f>
        <v/>
      </c>
      <c r="D12755">
        <f>IF(B12755=C12755, "YES", "WRONG")</f>
        <v/>
      </c>
    </row>
    <row r="12756">
      <c r="A12756" t="n">
        <v>12755</v>
      </c>
      <c r="B12756" t="inlineStr">
        <is>
          <t>x̄MMDCCLV</t>
        </is>
      </c>
      <c r="C12756">
        <f>ROMAN(12755)</f>
        <v/>
      </c>
      <c r="D12756">
        <f>IF(B12756=C12756, "YES", "WRONG")</f>
        <v/>
      </c>
    </row>
    <row r="12757">
      <c r="A12757" t="n">
        <v>12756</v>
      </c>
      <c r="B12757" t="inlineStr">
        <is>
          <t>x̄MMDCCLVI</t>
        </is>
      </c>
      <c r="C12757">
        <f>ROMAN(12756)</f>
        <v/>
      </c>
      <c r="D12757">
        <f>IF(B12757=C12757, "YES", "WRONG")</f>
        <v/>
      </c>
    </row>
    <row r="12758">
      <c r="A12758" t="n">
        <v>12757</v>
      </c>
      <c r="B12758" t="inlineStr">
        <is>
          <t>x̄MMDCCLVII</t>
        </is>
      </c>
      <c r="C12758">
        <f>ROMAN(12757)</f>
        <v/>
      </c>
      <c r="D12758">
        <f>IF(B12758=C12758, "YES", "WRONG")</f>
        <v/>
      </c>
    </row>
    <row r="12759">
      <c r="A12759" t="n">
        <v>12758</v>
      </c>
      <c r="B12759" t="inlineStr">
        <is>
          <t>x̄MMDCCLVIII</t>
        </is>
      </c>
      <c r="C12759">
        <f>ROMAN(12758)</f>
        <v/>
      </c>
      <c r="D12759">
        <f>IF(B12759=C12759, "YES", "WRONG")</f>
        <v/>
      </c>
    </row>
    <row r="12760">
      <c r="A12760" t="n">
        <v>12759</v>
      </c>
      <c r="B12760" t="inlineStr">
        <is>
          <t>x̄MMDCCLIX</t>
        </is>
      </c>
      <c r="C12760">
        <f>ROMAN(12759)</f>
        <v/>
      </c>
      <c r="D12760">
        <f>IF(B12760=C12760, "YES", "WRONG")</f>
        <v/>
      </c>
    </row>
    <row r="12761">
      <c r="A12761" t="n">
        <v>12760</v>
      </c>
      <c r="B12761" t="inlineStr">
        <is>
          <t>x̄MMDCCLX</t>
        </is>
      </c>
      <c r="C12761">
        <f>ROMAN(12760)</f>
        <v/>
      </c>
      <c r="D12761">
        <f>IF(B12761=C12761, "YES", "WRONG")</f>
        <v/>
      </c>
    </row>
    <row r="12762">
      <c r="A12762" t="n">
        <v>12761</v>
      </c>
      <c r="B12762" t="inlineStr">
        <is>
          <t>x̄MMDCCLXI</t>
        </is>
      </c>
      <c r="C12762">
        <f>ROMAN(12761)</f>
        <v/>
      </c>
      <c r="D12762">
        <f>IF(B12762=C12762, "YES", "WRONG")</f>
        <v/>
      </c>
    </row>
    <row r="12763">
      <c r="A12763" t="n">
        <v>12762</v>
      </c>
      <c r="B12763" t="inlineStr">
        <is>
          <t>x̄MMDCCLXII</t>
        </is>
      </c>
      <c r="C12763">
        <f>ROMAN(12762)</f>
        <v/>
      </c>
      <c r="D12763">
        <f>IF(B12763=C12763, "YES", "WRONG")</f>
        <v/>
      </c>
    </row>
    <row r="12764">
      <c r="A12764" t="n">
        <v>12763</v>
      </c>
      <c r="B12764" t="inlineStr">
        <is>
          <t>x̄MMDCCLXIII</t>
        </is>
      </c>
      <c r="C12764">
        <f>ROMAN(12763)</f>
        <v/>
      </c>
      <c r="D12764">
        <f>IF(B12764=C12764, "YES", "WRONG")</f>
        <v/>
      </c>
    </row>
    <row r="12765">
      <c r="A12765" t="n">
        <v>12764</v>
      </c>
      <c r="B12765" t="inlineStr">
        <is>
          <t>x̄MMDCCLXIV</t>
        </is>
      </c>
      <c r="C12765">
        <f>ROMAN(12764)</f>
        <v/>
      </c>
      <c r="D12765">
        <f>IF(B12765=C12765, "YES", "WRONG")</f>
        <v/>
      </c>
    </row>
    <row r="12766">
      <c r="A12766" t="n">
        <v>12765</v>
      </c>
      <c r="B12766" t="inlineStr">
        <is>
          <t>x̄MMDCCLXV</t>
        </is>
      </c>
      <c r="C12766">
        <f>ROMAN(12765)</f>
        <v/>
      </c>
      <c r="D12766">
        <f>IF(B12766=C12766, "YES", "WRONG")</f>
        <v/>
      </c>
    </row>
    <row r="12767">
      <c r="A12767" t="n">
        <v>12766</v>
      </c>
      <c r="B12767" t="inlineStr">
        <is>
          <t>x̄MMDCCLXVI</t>
        </is>
      </c>
      <c r="C12767">
        <f>ROMAN(12766)</f>
        <v/>
      </c>
      <c r="D12767">
        <f>IF(B12767=C12767, "YES", "WRONG")</f>
        <v/>
      </c>
    </row>
    <row r="12768">
      <c r="A12768" t="n">
        <v>12767</v>
      </c>
      <c r="B12768" t="inlineStr">
        <is>
          <t>x̄MMDCCLXVII</t>
        </is>
      </c>
      <c r="C12768">
        <f>ROMAN(12767)</f>
        <v/>
      </c>
      <c r="D12768">
        <f>IF(B12768=C12768, "YES", "WRONG")</f>
        <v/>
      </c>
    </row>
    <row r="12769">
      <c r="A12769" t="n">
        <v>12768</v>
      </c>
      <c r="B12769" t="inlineStr">
        <is>
          <t>x̄MMDCCLXVIII</t>
        </is>
      </c>
      <c r="C12769">
        <f>ROMAN(12768)</f>
        <v/>
      </c>
      <c r="D12769">
        <f>IF(B12769=C12769, "YES", "WRONG")</f>
        <v/>
      </c>
    </row>
    <row r="12770">
      <c r="A12770" t="n">
        <v>12769</v>
      </c>
      <c r="B12770" t="inlineStr">
        <is>
          <t>x̄MMDCCLXIX</t>
        </is>
      </c>
      <c r="C12770">
        <f>ROMAN(12769)</f>
        <v/>
      </c>
      <c r="D12770">
        <f>IF(B12770=C12770, "YES", "WRONG")</f>
        <v/>
      </c>
    </row>
    <row r="12771">
      <c r="A12771" t="n">
        <v>12770</v>
      </c>
      <c r="B12771" t="inlineStr">
        <is>
          <t>x̄MMDCCLXX</t>
        </is>
      </c>
      <c r="C12771">
        <f>ROMAN(12770)</f>
        <v/>
      </c>
      <c r="D12771">
        <f>IF(B12771=C12771, "YES", "WRONG")</f>
        <v/>
      </c>
    </row>
    <row r="12772">
      <c r="A12772" t="n">
        <v>12771</v>
      </c>
      <c r="B12772" t="inlineStr">
        <is>
          <t>x̄MMDCCLXXI</t>
        </is>
      </c>
      <c r="C12772">
        <f>ROMAN(12771)</f>
        <v/>
      </c>
      <c r="D12772">
        <f>IF(B12772=C12772, "YES", "WRONG")</f>
        <v/>
      </c>
    </row>
    <row r="12773">
      <c r="A12773" t="n">
        <v>12772</v>
      </c>
      <c r="B12773" t="inlineStr">
        <is>
          <t>x̄MMDCCLXXII</t>
        </is>
      </c>
      <c r="C12773">
        <f>ROMAN(12772)</f>
        <v/>
      </c>
      <c r="D12773">
        <f>IF(B12773=C12773, "YES", "WRONG")</f>
        <v/>
      </c>
    </row>
    <row r="12774">
      <c r="A12774" t="n">
        <v>12773</v>
      </c>
      <c r="B12774" t="inlineStr">
        <is>
          <t>x̄MMDCCLXXIII</t>
        </is>
      </c>
      <c r="C12774">
        <f>ROMAN(12773)</f>
        <v/>
      </c>
      <c r="D12774">
        <f>IF(B12774=C12774, "YES", "WRONG")</f>
        <v/>
      </c>
    </row>
    <row r="12775">
      <c r="A12775" t="n">
        <v>12774</v>
      </c>
      <c r="B12775" t="inlineStr">
        <is>
          <t>x̄MMDCCLXXIV</t>
        </is>
      </c>
      <c r="C12775">
        <f>ROMAN(12774)</f>
        <v/>
      </c>
      <c r="D12775">
        <f>IF(B12775=C12775, "YES", "WRONG")</f>
        <v/>
      </c>
    </row>
    <row r="12776">
      <c r="A12776" t="n">
        <v>12775</v>
      </c>
      <c r="B12776" t="inlineStr">
        <is>
          <t>x̄MMDCCLXXV</t>
        </is>
      </c>
      <c r="C12776">
        <f>ROMAN(12775)</f>
        <v/>
      </c>
      <c r="D12776">
        <f>IF(B12776=C12776, "YES", "WRONG")</f>
        <v/>
      </c>
    </row>
    <row r="12777">
      <c r="A12777" t="n">
        <v>12776</v>
      </c>
      <c r="B12777" t="inlineStr">
        <is>
          <t>x̄MMDCCLXXVI</t>
        </is>
      </c>
      <c r="C12777">
        <f>ROMAN(12776)</f>
        <v/>
      </c>
      <c r="D12777">
        <f>IF(B12777=C12777, "YES", "WRONG")</f>
        <v/>
      </c>
    </row>
    <row r="12778">
      <c r="A12778" t="n">
        <v>12777</v>
      </c>
      <c r="B12778" t="inlineStr">
        <is>
          <t>x̄MMDCCLXXVII</t>
        </is>
      </c>
      <c r="C12778">
        <f>ROMAN(12777)</f>
        <v/>
      </c>
      <c r="D12778">
        <f>IF(B12778=C12778, "YES", "WRONG")</f>
        <v/>
      </c>
    </row>
    <row r="12779">
      <c r="A12779" t="n">
        <v>12778</v>
      </c>
      <c r="B12779" t="inlineStr">
        <is>
          <t>x̄MMDCCLXXVIII</t>
        </is>
      </c>
      <c r="C12779">
        <f>ROMAN(12778)</f>
        <v/>
      </c>
      <c r="D12779">
        <f>IF(B12779=C12779, "YES", "WRONG")</f>
        <v/>
      </c>
    </row>
    <row r="12780">
      <c r="A12780" t="n">
        <v>12779</v>
      </c>
      <c r="B12780" t="inlineStr">
        <is>
          <t>x̄MMDCCLXXIX</t>
        </is>
      </c>
      <c r="C12780">
        <f>ROMAN(12779)</f>
        <v/>
      </c>
      <c r="D12780">
        <f>IF(B12780=C12780, "YES", "WRONG")</f>
        <v/>
      </c>
    </row>
    <row r="12781">
      <c r="A12781" t="n">
        <v>12780</v>
      </c>
      <c r="B12781" t="inlineStr">
        <is>
          <t>x̄MMDCCLXXX</t>
        </is>
      </c>
      <c r="C12781">
        <f>ROMAN(12780)</f>
        <v/>
      </c>
      <c r="D12781">
        <f>IF(B12781=C12781, "YES", "WRONG")</f>
        <v/>
      </c>
    </row>
    <row r="12782">
      <c r="A12782" t="n">
        <v>12781</v>
      </c>
      <c r="B12782" t="inlineStr">
        <is>
          <t>x̄MMDCCLXXXI</t>
        </is>
      </c>
      <c r="C12782">
        <f>ROMAN(12781)</f>
        <v/>
      </c>
      <c r="D12782">
        <f>IF(B12782=C12782, "YES", "WRONG")</f>
        <v/>
      </c>
    </row>
    <row r="12783">
      <c r="A12783" t="n">
        <v>12782</v>
      </c>
      <c r="B12783" t="inlineStr">
        <is>
          <t>x̄MMDCCLXXXII</t>
        </is>
      </c>
      <c r="C12783">
        <f>ROMAN(12782)</f>
        <v/>
      </c>
      <c r="D12783">
        <f>IF(B12783=C12783, "YES", "WRONG")</f>
        <v/>
      </c>
    </row>
    <row r="12784">
      <c r="A12784" t="n">
        <v>12783</v>
      </c>
      <c r="B12784" t="inlineStr">
        <is>
          <t>x̄MMDCCLXXXIII</t>
        </is>
      </c>
      <c r="C12784">
        <f>ROMAN(12783)</f>
        <v/>
      </c>
      <c r="D12784">
        <f>IF(B12784=C12784, "YES", "WRONG")</f>
        <v/>
      </c>
    </row>
    <row r="12785">
      <c r="A12785" t="n">
        <v>12784</v>
      </c>
      <c r="B12785" t="inlineStr">
        <is>
          <t>x̄MMDCCLXXXIV</t>
        </is>
      </c>
      <c r="C12785">
        <f>ROMAN(12784)</f>
        <v/>
      </c>
      <c r="D12785">
        <f>IF(B12785=C12785, "YES", "WRONG")</f>
        <v/>
      </c>
    </row>
    <row r="12786">
      <c r="A12786" t="n">
        <v>12785</v>
      </c>
      <c r="B12786" t="inlineStr">
        <is>
          <t>x̄MMDCCLXXXV</t>
        </is>
      </c>
      <c r="C12786">
        <f>ROMAN(12785)</f>
        <v/>
      </c>
      <c r="D12786">
        <f>IF(B12786=C12786, "YES", "WRONG")</f>
        <v/>
      </c>
    </row>
    <row r="12787">
      <c r="A12787" t="n">
        <v>12786</v>
      </c>
      <c r="B12787" t="inlineStr">
        <is>
          <t>x̄MMDCCLXXXVI</t>
        </is>
      </c>
      <c r="C12787">
        <f>ROMAN(12786)</f>
        <v/>
      </c>
      <c r="D12787">
        <f>IF(B12787=C12787, "YES", "WRONG")</f>
        <v/>
      </c>
    </row>
    <row r="12788">
      <c r="A12788" t="n">
        <v>12787</v>
      </c>
      <c r="B12788" t="inlineStr">
        <is>
          <t>x̄MMDCCLXXXVII</t>
        </is>
      </c>
      <c r="C12788">
        <f>ROMAN(12787)</f>
        <v/>
      </c>
      <c r="D12788">
        <f>IF(B12788=C12788, "YES", "WRONG")</f>
        <v/>
      </c>
    </row>
    <row r="12789">
      <c r="A12789" t="n">
        <v>12788</v>
      </c>
      <c r="B12789" t="inlineStr">
        <is>
          <t>x̄MMDCCLXXXVIII</t>
        </is>
      </c>
      <c r="C12789">
        <f>ROMAN(12788)</f>
        <v/>
      </c>
      <c r="D12789">
        <f>IF(B12789=C12789, "YES", "WRONG")</f>
        <v/>
      </c>
    </row>
    <row r="12790">
      <c r="A12790" t="n">
        <v>12789</v>
      </c>
      <c r="B12790" t="inlineStr">
        <is>
          <t>x̄MMDCCLXXXIX</t>
        </is>
      </c>
      <c r="C12790">
        <f>ROMAN(12789)</f>
        <v/>
      </c>
      <c r="D12790">
        <f>IF(B12790=C12790, "YES", "WRONG")</f>
        <v/>
      </c>
    </row>
    <row r="12791">
      <c r="A12791" t="n">
        <v>12790</v>
      </c>
      <c r="B12791" t="inlineStr">
        <is>
          <t>x̄MMDCCXC</t>
        </is>
      </c>
      <c r="C12791">
        <f>ROMAN(12790)</f>
        <v/>
      </c>
      <c r="D12791">
        <f>IF(B12791=C12791, "YES", "WRONG")</f>
        <v/>
      </c>
    </row>
    <row r="12792">
      <c r="A12792" t="n">
        <v>12791</v>
      </c>
      <c r="B12792" t="inlineStr">
        <is>
          <t>x̄MMDCCXCI</t>
        </is>
      </c>
      <c r="C12792">
        <f>ROMAN(12791)</f>
        <v/>
      </c>
      <c r="D12792">
        <f>IF(B12792=C12792, "YES", "WRONG")</f>
        <v/>
      </c>
    </row>
    <row r="12793">
      <c r="A12793" t="n">
        <v>12792</v>
      </c>
      <c r="B12793" t="inlineStr">
        <is>
          <t>x̄MMDCCXCII</t>
        </is>
      </c>
      <c r="C12793">
        <f>ROMAN(12792)</f>
        <v/>
      </c>
      <c r="D12793">
        <f>IF(B12793=C12793, "YES", "WRONG")</f>
        <v/>
      </c>
    </row>
    <row r="12794">
      <c r="A12794" t="n">
        <v>12793</v>
      </c>
      <c r="B12794" t="inlineStr">
        <is>
          <t>x̄MMDCCXCIII</t>
        </is>
      </c>
      <c r="C12794">
        <f>ROMAN(12793)</f>
        <v/>
      </c>
      <c r="D12794">
        <f>IF(B12794=C12794, "YES", "WRONG")</f>
        <v/>
      </c>
    </row>
    <row r="12795">
      <c r="A12795" t="n">
        <v>12794</v>
      </c>
      <c r="B12795" t="inlineStr">
        <is>
          <t>x̄MMDCCXCIV</t>
        </is>
      </c>
      <c r="C12795">
        <f>ROMAN(12794)</f>
        <v/>
      </c>
      <c r="D12795">
        <f>IF(B12795=C12795, "YES", "WRONG")</f>
        <v/>
      </c>
    </row>
    <row r="12796">
      <c r="A12796" t="n">
        <v>12795</v>
      </c>
      <c r="B12796" t="inlineStr">
        <is>
          <t>x̄MMDCCXCV</t>
        </is>
      </c>
      <c r="C12796">
        <f>ROMAN(12795)</f>
        <v/>
      </c>
      <c r="D12796">
        <f>IF(B12796=C12796, "YES", "WRONG")</f>
        <v/>
      </c>
    </row>
    <row r="12797">
      <c r="A12797" t="n">
        <v>12796</v>
      </c>
      <c r="B12797" t="inlineStr">
        <is>
          <t>x̄MMDCCXCVI</t>
        </is>
      </c>
      <c r="C12797">
        <f>ROMAN(12796)</f>
        <v/>
      </c>
      <c r="D12797">
        <f>IF(B12797=C12797, "YES", "WRONG")</f>
        <v/>
      </c>
    </row>
    <row r="12798">
      <c r="A12798" t="n">
        <v>12797</v>
      </c>
      <c r="B12798" t="inlineStr">
        <is>
          <t>x̄MMDCCXCVII</t>
        </is>
      </c>
      <c r="C12798">
        <f>ROMAN(12797)</f>
        <v/>
      </c>
      <c r="D12798">
        <f>IF(B12798=C12798, "YES", "WRONG")</f>
        <v/>
      </c>
    </row>
    <row r="12799">
      <c r="A12799" t="n">
        <v>12798</v>
      </c>
      <c r="B12799" t="inlineStr">
        <is>
          <t>x̄MMDCCXCVIII</t>
        </is>
      </c>
      <c r="C12799">
        <f>ROMAN(12798)</f>
        <v/>
      </c>
      <c r="D12799">
        <f>IF(B12799=C12799, "YES", "WRONG")</f>
        <v/>
      </c>
    </row>
    <row r="12800">
      <c r="A12800" t="n">
        <v>12799</v>
      </c>
      <c r="B12800" t="inlineStr">
        <is>
          <t>x̄MMDCCXCIX</t>
        </is>
      </c>
      <c r="C12800">
        <f>ROMAN(12799)</f>
        <v/>
      </c>
      <c r="D12800">
        <f>IF(B12800=C12800, "YES", "WRONG")</f>
        <v/>
      </c>
    </row>
    <row r="12801">
      <c r="A12801" t="n">
        <v>12800</v>
      </c>
      <c r="B12801" t="inlineStr">
        <is>
          <t>x̄MMDCCC</t>
        </is>
      </c>
      <c r="C12801">
        <f>ROMAN(12800)</f>
        <v/>
      </c>
      <c r="D12801">
        <f>IF(B12801=C12801, "YES", "WRONG")</f>
        <v/>
      </c>
    </row>
    <row r="12802">
      <c r="A12802" t="n">
        <v>12801</v>
      </c>
      <c r="B12802" t="inlineStr">
        <is>
          <t>x̄MMDCCCI</t>
        </is>
      </c>
      <c r="C12802">
        <f>ROMAN(12801)</f>
        <v/>
      </c>
      <c r="D12802">
        <f>IF(B12802=C12802, "YES", "WRONG")</f>
        <v/>
      </c>
    </row>
    <row r="12803">
      <c r="A12803" t="n">
        <v>12802</v>
      </c>
      <c r="B12803" t="inlineStr">
        <is>
          <t>x̄MMDCCCII</t>
        </is>
      </c>
      <c r="C12803">
        <f>ROMAN(12802)</f>
        <v/>
      </c>
      <c r="D12803">
        <f>IF(B12803=C12803, "YES", "WRONG")</f>
        <v/>
      </c>
    </row>
    <row r="12804">
      <c r="A12804" t="n">
        <v>12803</v>
      </c>
      <c r="B12804" t="inlineStr">
        <is>
          <t>x̄MMDCCCIII</t>
        </is>
      </c>
      <c r="C12804">
        <f>ROMAN(12803)</f>
        <v/>
      </c>
      <c r="D12804">
        <f>IF(B12804=C12804, "YES", "WRONG")</f>
        <v/>
      </c>
    </row>
    <row r="12805">
      <c r="A12805" t="n">
        <v>12804</v>
      </c>
      <c r="B12805" t="inlineStr">
        <is>
          <t>x̄MMDCCCIV</t>
        </is>
      </c>
      <c r="C12805">
        <f>ROMAN(12804)</f>
        <v/>
      </c>
      <c r="D12805">
        <f>IF(B12805=C12805, "YES", "WRONG")</f>
        <v/>
      </c>
    </row>
    <row r="12806">
      <c r="A12806" t="n">
        <v>12805</v>
      </c>
      <c r="B12806" t="inlineStr">
        <is>
          <t>x̄MMDCCCV</t>
        </is>
      </c>
      <c r="C12806">
        <f>ROMAN(12805)</f>
        <v/>
      </c>
      <c r="D12806">
        <f>IF(B12806=C12806, "YES", "WRONG")</f>
        <v/>
      </c>
    </row>
    <row r="12807">
      <c r="A12807" t="n">
        <v>12806</v>
      </c>
      <c r="B12807" t="inlineStr">
        <is>
          <t>x̄MMDCCCVI</t>
        </is>
      </c>
      <c r="C12807">
        <f>ROMAN(12806)</f>
        <v/>
      </c>
      <c r="D12807">
        <f>IF(B12807=C12807, "YES", "WRONG")</f>
        <v/>
      </c>
    </row>
    <row r="12808">
      <c r="A12808" t="n">
        <v>12807</v>
      </c>
      <c r="B12808" t="inlineStr">
        <is>
          <t>x̄MMDCCCVII</t>
        </is>
      </c>
      <c r="C12808">
        <f>ROMAN(12807)</f>
        <v/>
      </c>
      <c r="D12808">
        <f>IF(B12808=C12808, "YES", "WRONG")</f>
        <v/>
      </c>
    </row>
    <row r="12809">
      <c r="A12809" t="n">
        <v>12808</v>
      </c>
      <c r="B12809" t="inlineStr">
        <is>
          <t>x̄MMDCCCVIII</t>
        </is>
      </c>
      <c r="C12809">
        <f>ROMAN(12808)</f>
        <v/>
      </c>
      <c r="D12809">
        <f>IF(B12809=C12809, "YES", "WRONG")</f>
        <v/>
      </c>
    </row>
    <row r="12810">
      <c r="A12810" t="n">
        <v>12809</v>
      </c>
      <c r="B12810" t="inlineStr">
        <is>
          <t>x̄MMDCCCIX</t>
        </is>
      </c>
      <c r="C12810">
        <f>ROMAN(12809)</f>
        <v/>
      </c>
      <c r="D12810">
        <f>IF(B12810=C12810, "YES", "WRONG")</f>
        <v/>
      </c>
    </row>
    <row r="12811">
      <c r="A12811" t="n">
        <v>12810</v>
      </c>
      <c r="B12811" t="inlineStr">
        <is>
          <t>x̄MMDCCCX</t>
        </is>
      </c>
      <c r="C12811">
        <f>ROMAN(12810)</f>
        <v/>
      </c>
      <c r="D12811">
        <f>IF(B12811=C12811, "YES", "WRONG")</f>
        <v/>
      </c>
    </row>
    <row r="12812">
      <c r="A12812" t="n">
        <v>12811</v>
      </c>
      <c r="B12812" t="inlineStr">
        <is>
          <t>x̄MMDCCCXI</t>
        </is>
      </c>
      <c r="C12812">
        <f>ROMAN(12811)</f>
        <v/>
      </c>
      <c r="D12812">
        <f>IF(B12812=C12812, "YES", "WRONG")</f>
        <v/>
      </c>
    </row>
    <row r="12813">
      <c r="A12813" t="n">
        <v>12812</v>
      </c>
      <c r="B12813" t="inlineStr">
        <is>
          <t>x̄MMDCCCXII</t>
        </is>
      </c>
      <c r="C12813">
        <f>ROMAN(12812)</f>
        <v/>
      </c>
      <c r="D12813">
        <f>IF(B12813=C12813, "YES", "WRONG")</f>
        <v/>
      </c>
    </row>
    <row r="12814">
      <c r="A12814" t="n">
        <v>12813</v>
      </c>
      <c r="B12814" t="inlineStr">
        <is>
          <t>x̄MMDCCCXIII</t>
        </is>
      </c>
      <c r="C12814">
        <f>ROMAN(12813)</f>
        <v/>
      </c>
      <c r="D12814">
        <f>IF(B12814=C12814, "YES", "WRONG")</f>
        <v/>
      </c>
    </row>
    <row r="12815">
      <c r="A12815" t="n">
        <v>12814</v>
      </c>
      <c r="B12815" t="inlineStr">
        <is>
          <t>x̄MMDCCCXIV</t>
        </is>
      </c>
      <c r="C12815">
        <f>ROMAN(12814)</f>
        <v/>
      </c>
      <c r="D12815">
        <f>IF(B12815=C12815, "YES", "WRONG")</f>
        <v/>
      </c>
    </row>
    <row r="12816">
      <c r="A12816" t="n">
        <v>12815</v>
      </c>
      <c r="B12816" t="inlineStr">
        <is>
          <t>x̄MMDCCCXV</t>
        </is>
      </c>
      <c r="C12816">
        <f>ROMAN(12815)</f>
        <v/>
      </c>
      <c r="D12816">
        <f>IF(B12816=C12816, "YES", "WRONG")</f>
        <v/>
      </c>
    </row>
    <row r="12817">
      <c r="A12817" t="n">
        <v>12816</v>
      </c>
      <c r="B12817" t="inlineStr">
        <is>
          <t>x̄MMDCCCXVI</t>
        </is>
      </c>
      <c r="C12817">
        <f>ROMAN(12816)</f>
        <v/>
      </c>
      <c r="D12817">
        <f>IF(B12817=C12817, "YES", "WRONG")</f>
        <v/>
      </c>
    </row>
    <row r="12818">
      <c r="A12818" t="n">
        <v>12817</v>
      </c>
      <c r="B12818" t="inlineStr">
        <is>
          <t>x̄MMDCCCXVII</t>
        </is>
      </c>
      <c r="C12818">
        <f>ROMAN(12817)</f>
        <v/>
      </c>
      <c r="D12818">
        <f>IF(B12818=C12818, "YES", "WRONG")</f>
        <v/>
      </c>
    </row>
    <row r="12819">
      <c r="A12819" t="n">
        <v>12818</v>
      </c>
      <c r="B12819" t="inlineStr">
        <is>
          <t>x̄MMDCCCXVIII</t>
        </is>
      </c>
      <c r="C12819">
        <f>ROMAN(12818)</f>
        <v/>
      </c>
      <c r="D12819">
        <f>IF(B12819=C12819, "YES", "WRONG")</f>
        <v/>
      </c>
    </row>
    <row r="12820">
      <c r="A12820" t="n">
        <v>12819</v>
      </c>
      <c r="B12820" t="inlineStr">
        <is>
          <t>x̄MMDCCCXIX</t>
        </is>
      </c>
      <c r="C12820">
        <f>ROMAN(12819)</f>
        <v/>
      </c>
      <c r="D12820">
        <f>IF(B12820=C12820, "YES", "WRONG")</f>
        <v/>
      </c>
    </row>
    <row r="12821">
      <c r="A12821" t="n">
        <v>12820</v>
      </c>
      <c r="B12821" t="inlineStr">
        <is>
          <t>x̄MMDCCCXX</t>
        </is>
      </c>
      <c r="C12821">
        <f>ROMAN(12820)</f>
        <v/>
      </c>
      <c r="D12821">
        <f>IF(B12821=C12821, "YES", "WRONG")</f>
        <v/>
      </c>
    </row>
    <row r="12822">
      <c r="A12822" t="n">
        <v>12821</v>
      </c>
      <c r="B12822" t="inlineStr">
        <is>
          <t>x̄MMDCCCXXI</t>
        </is>
      </c>
      <c r="C12822">
        <f>ROMAN(12821)</f>
        <v/>
      </c>
      <c r="D12822">
        <f>IF(B12822=C12822, "YES", "WRONG")</f>
        <v/>
      </c>
    </row>
    <row r="12823">
      <c r="A12823" t="n">
        <v>12822</v>
      </c>
      <c r="B12823" t="inlineStr">
        <is>
          <t>x̄MMDCCCXXII</t>
        </is>
      </c>
      <c r="C12823">
        <f>ROMAN(12822)</f>
        <v/>
      </c>
      <c r="D12823">
        <f>IF(B12823=C12823, "YES", "WRONG")</f>
        <v/>
      </c>
    </row>
    <row r="12824">
      <c r="A12824" t="n">
        <v>12823</v>
      </c>
      <c r="B12824" t="inlineStr">
        <is>
          <t>x̄MMDCCCXXIII</t>
        </is>
      </c>
      <c r="C12824">
        <f>ROMAN(12823)</f>
        <v/>
      </c>
      <c r="D12824">
        <f>IF(B12824=C12824, "YES", "WRONG")</f>
        <v/>
      </c>
    </row>
    <row r="12825">
      <c r="A12825" t="n">
        <v>12824</v>
      </c>
      <c r="B12825" t="inlineStr">
        <is>
          <t>x̄MMDCCCXXIV</t>
        </is>
      </c>
      <c r="C12825">
        <f>ROMAN(12824)</f>
        <v/>
      </c>
      <c r="D12825">
        <f>IF(B12825=C12825, "YES", "WRONG")</f>
        <v/>
      </c>
    </row>
    <row r="12826">
      <c r="A12826" t="n">
        <v>12825</v>
      </c>
      <c r="B12826" t="inlineStr">
        <is>
          <t>x̄MMDCCCXXV</t>
        </is>
      </c>
      <c r="C12826">
        <f>ROMAN(12825)</f>
        <v/>
      </c>
      <c r="D12826">
        <f>IF(B12826=C12826, "YES", "WRONG")</f>
        <v/>
      </c>
    </row>
    <row r="12827">
      <c r="A12827" t="n">
        <v>12826</v>
      </c>
      <c r="B12827" t="inlineStr">
        <is>
          <t>x̄MMDCCCXXVI</t>
        </is>
      </c>
      <c r="C12827">
        <f>ROMAN(12826)</f>
        <v/>
      </c>
      <c r="D12827">
        <f>IF(B12827=C12827, "YES", "WRONG")</f>
        <v/>
      </c>
    </row>
    <row r="12828">
      <c r="A12828" t="n">
        <v>12827</v>
      </c>
      <c r="B12828" t="inlineStr">
        <is>
          <t>x̄MMDCCCXXVII</t>
        </is>
      </c>
      <c r="C12828">
        <f>ROMAN(12827)</f>
        <v/>
      </c>
      <c r="D12828">
        <f>IF(B12828=C12828, "YES", "WRONG")</f>
        <v/>
      </c>
    </row>
    <row r="12829">
      <c r="A12829" t="n">
        <v>12828</v>
      </c>
      <c r="B12829" t="inlineStr">
        <is>
          <t>x̄MMDCCCXXVIII</t>
        </is>
      </c>
      <c r="C12829">
        <f>ROMAN(12828)</f>
        <v/>
      </c>
      <c r="D12829">
        <f>IF(B12829=C12829, "YES", "WRONG")</f>
        <v/>
      </c>
    </row>
    <row r="12830">
      <c r="A12830" t="n">
        <v>12829</v>
      </c>
      <c r="B12830" t="inlineStr">
        <is>
          <t>x̄MMDCCCXXIX</t>
        </is>
      </c>
      <c r="C12830">
        <f>ROMAN(12829)</f>
        <v/>
      </c>
      <c r="D12830">
        <f>IF(B12830=C12830, "YES", "WRONG")</f>
        <v/>
      </c>
    </row>
    <row r="12831">
      <c r="A12831" t="n">
        <v>12830</v>
      </c>
      <c r="B12831" t="inlineStr">
        <is>
          <t>x̄MMDCCCXXX</t>
        </is>
      </c>
      <c r="C12831">
        <f>ROMAN(12830)</f>
        <v/>
      </c>
      <c r="D12831">
        <f>IF(B12831=C12831, "YES", "WRONG")</f>
        <v/>
      </c>
    </row>
    <row r="12832">
      <c r="A12832" t="n">
        <v>12831</v>
      </c>
      <c r="B12832" t="inlineStr">
        <is>
          <t>x̄MMDCCCXXXI</t>
        </is>
      </c>
      <c r="C12832">
        <f>ROMAN(12831)</f>
        <v/>
      </c>
      <c r="D12832">
        <f>IF(B12832=C12832, "YES", "WRONG")</f>
        <v/>
      </c>
    </row>
    <row r="12833">
      <c r="A12833" t="n">
        <v>12832</v>
      </c>
      <c r="B12833" t="inlineStr">
        <is>
          <t>x̄MMDCCCXXXII</t>
        </is>
      </c>
      <c r="C12833">
        <f>ROMAN(12832)</f>
        <v/>
      </c>
      <c r="D12833">
        <f>IF(B12833=C12833, "YES", "WRONG")</f>
        <v/>
      </c>
    </row>
    <row r="12834">
      <c r="A12834" t="n">
        <v>12833</v>
      </c>
      <c r="B12834" t="inlineStr">
        <is>
          <t>x̄MMDCCCXXXIII</t>
        </is>
      </c>
      <c r="C12834">
        <f>ROMAN(12833)</f>
        <v/>
      </c>
      <c r="D12834">
        <f>IF(B12834=C12834, "YES", "WRONG")</f>
        <v/>
      </c>
    </row>
    <row r="12835">
      <c r="A12835" t="n">
        <v>12834</v>
      </c>
      <c r="B12835" t="inlineStr">
        <is>
          <t>x̄MMDCCCXXXIV</t>
        </is>
      </c>
      <c r="C12835">
        <f>ROMAN(12834)</f>
        <v/>
      </c>
      <c r="D12835">
        <f>IF(B12835=C12835, "YES", "WRONG")</f>
        <v/>
      </c>
    </row>
    <row r="12836">
      <c r="A12836" t="n">
        <v>12835</v>
      </c>
      <c r="B12836" t="inlineStr">
        <is>
          <t>x̄MMDCCCXXXV</t>
        </is>
      </c>
      <c r="C12836">
        <f>ROMAN(12835)</f>
        <v/>
      </c>
      <c r="D12836">
        <f>IF(B12836=C12836, "YES", "WRONG")</f>
        <v/>
      </c>
    </row>
    <row r="12837">
      <c r="A12837" t="n">
        <v>12836</v>
      </c>
      <c r="B12837" t="inlineStr">
        <is>
          <t>x̄MMDCCCXXXVI</t>
        </is>
      </c>
      <c r="C12837">
        <f>ROMAN(12836)</f>
        <v/>
      </c>
      <c r="D12837">
        <f>IF(B12837=C12837, "YES", "WRONG")</f>
        <v/>
      </c>
    </row>
    <row r="12838">
      <c r="A12838" t="n">
        <v>12837</v>
      </c>
      <c r="B12838" t="inlineStr">
        <is>
          <t>x̄MMDCCCXXXVII</t>
        </is>
      </c>
      <c r="C12838">
        <f>ROMAN(12837)</f>
        <v/>
      </c>
      <c r="D12838">
        <f>IF(B12838=C12838, "YES", "WRONG")</f>
        <v/>
      </c>
    </row>
    <row r="12839">
      <c r="A12839" t="n">
        <v>12838</v>
      </c>
      <c r="B12839" t="inlineStr">
        <is>
          <t>x̄MMDCCCXXXVIII</t>
        </is>
      </c>
      <c r="C12839">
        <f>ROMAN(12838)</f>
        <v/>
      </c>
      <c r="D12839">
        <f>IF(B12839=C12839, "YES", "WRONG")</f>
        <v/>
      </c>
    </row>
    <row r="12840">
      <c r="A12840" t="n">
        <v>12839</v>
      </c>
      <c r="B12840" t="inlineStr">
        <is>
          <t>x̄MMDCCCXXXIX</t>
        </is>
      </c>
      <c r="C12840">
        <f>ROMAN(12839)</f>
        <v/>
      </c>
      <c r="D12840">
        <f>IF(B12840=C12840, "YES", "WRONG")</f>
        <v/>
      </c>
    </row>
    <row r="12841">
      <c r="A12841" t="n">
        <v>12840</v>
      </c>
      <c r="B12841" t="inlineStr">
        <is>
          <t>x̄MMDCCCXL</t>
        </is>
      </c>
      <c r="C12841">
        <f>ROMAN(12840)</f>
        <v/>
      </c>
      <c r="D12841">
        <f>IF(B12841=C12841, "YES", "WRONG")</f>
        <v/>
      </c>
    </row>
    <row r="12842">
      <c r="A12842" t="n">
        <v>12841</v>
      </c>
      <c r="B12842" t="inlineStr">
        <is>
          <t>x̄MMDCCCXLI</t>
        </is>
      </c>
      <c r="C12842">
        <f>ROMAN(12841)</f>
        <v/>
      </c>
      <c r="D12842">
        <f>IF(B12842=C12842, "YES", "WRONG")</f>
        <v/>
      </c>
    </row>
    <row r="12843">
      <c r="A12843" t="n">
        <v>12842</v>
      </c>
      <c r="B12843" t="inlineStr">
        <is>
          <t>x̄MMDCCCXLII</t>
        </is>
      </c>
      <c r="C12843">
        <f>ROMAN(12842)</f>
        <v/>
      </c>
      <c r="D12843">
        <f>IF(B12843=C12843, "YES", "WRONG")</f>
        <v/>
      </c>
    </row>
    <row r="12844">
      <c r="A12844" t="n">
        <v>12843</v>
      </c>
      <c r="B12844" t="inlineStr">
        <is>
          <t>x̄MMDCCCXLIII</t>
        </is>
      </c>
      <c r="C12844">
        <f>ROMAN(12843)</f>
        <v/>
      </c>
      <c r="D12844">
        <f>IF(B12844=C12844, "YES", "WRONG")</f>
        <v/>
      </c>
    </row>
    <row r="12845">
      <c r="A12845" t="n">
        <v>12844</v>
      </c>
      <c r="B12845" t="inlineStr">
        <is>
          <t>x̄MMDCCCXLIV</t>
        </is>
      </c>
      <c r="C12845">
        <f>ROMAN(12844)</f>
        <v/>
      </c>
      <c r="D12845">
        <f>IF(B12845=C12845, "YES", "WRONG")</f>
        <v/>
      </c>
    </row>
    <row r="12846">
      <c r="A12846" t="n">
        <v>12845</v>
      </c>
      <c r="B12846" t="inlineStr">
        <is>
          <t>x̄MMDCCCXLV</t>
        </is>
      </c>
      <c r="C12846">
        <f>ROMAN(12845)</f>
        <v/>
      </c>
      <c r="D12846">
        <f>IF(B12846=C12846, "YES", "WRONG")</f>
        <v/>
      </c>
    </row>
    <row r="12847">
      <c r="A12847" t="n">
        <v>12846</v>
      </c>
      <c r="B12847" t="inlineStr">
        <is>
          <t>x̄MMDCCCXLVI</t>
        </is>
      </c>
      <c r="C12847">
        <f>ROMAN(12846)</f>
        <v/>
      </c>
      <c r="D12847">
        <f>IF(B12847=C12847, "YES", "WRONG")</f>
        <v/>
      </c>
    </row>
    <row r="12848">
      <c r="A12848" t="n">
        <v>12847</v>
      </c>
      <c r="B12848" t="inlineStr">
        <is>
          <t>x̄MMDCCCXLVII</t>
        </is>
      </c>
      <c r="C12848">
        <f>ROMAN(12847)</f>
        <v/>
      </c>
      <c r="D12848">
        <f>IF(B12848=C12848, "YES", "WRONG")</f>
        <v/>
      </c>
    </row>
    <row r="12849">
      <c r="A12849" t="n">
        <v>12848</v>
      </c>
      <c r="B12849" t="inlineStr">
        <is>
          <t>x̄MMDCCCXLVIII</t>
        </is>
      </c>
      <c r="C12849">
        <f>ROMAN(12848)</f>
        <v/>
      </c>
      <c r="D12849">
        <f>IF(B12849=C12849, "YES", "WRONG")</f>
        <v/>
      </c>
    </row>
    <row r="12850">
      <c r="A12850" t="n">
        <v>12849</v>
      </c>
      <c r="B12850" t="inlineStr">
        <is>
          <t>x̄MMDCCCXLIX</t>
        </is>
      </c>
      <c r="C12850">
        <f>ROMAN(12849)</f>
        <v/>
      </c>
      <c r="D12850">
        <f>IF(B12850=C12850, "YES", "WRONG")</f>
        <v/>
      </c>
    </row>
    <row r="12851">
      <c r="A12851" t="n">
        <v>12850</v>
      </c>
      <c r="B12851" t="inlineStr">
        <is>
          <t>x̄MMDCCCL</t>
        </is>
      </c>
      <c r="C12851">
        <f>ROMAN(12850)</f>
        <v/>
      </c>
      <c r="D12851">
        <f>IF(B12851=C12851, "YES", "WRONG")</f>
        <v/>
      </c>
    </row>
    <row r="12852">
      <c r="A12852" t="n">
        <v>12851</v>
      </c>
      <c r="B12852" t="inlineStr">
        <is>
          <t>x̄MMDCCCLI</t>
        </is>
      </c>
      <c r="C12852">
        <f>ROMAN(12851)</f>
        <v/>
      </c>
      <c r="D12852">
        <f>IF(B12852=C12852, "YES", "WRONG")</f>
        <v/>
      </c>
    </row>
    <row r="12853">
      <c r="A12853" t="n">
        <v>12852</v>
      </c>
      <c r="B12853" t="inlineStr">
        <is>
          <t>x̄MMDCCCLII</t>
        </is>
      </c>
      <c r="C12853">
        <f>ROMAN(12852)</f>
        <v/>
      </c>
      <c r="D12853">
        <f>IF(B12853=C12853, "YES", "WRONG")</f>
        <v/>
      </c>
    </row>
    <row r="12854">
      <c r="A12854" t="n">
        <v>12853</v>
      </c>
      <c r="B12854" t="inlineStr">
        <is>
          <t>x̄MMDCCCLIII</t>
        </is>
      </c>
      <c r="C12854">
        <f>ROMAN(12853)</f>
        <v/>
      </c>
      <c r="D12854">
        <f>IF(B12854=C12854, "YES", "WRONG")</f>
        <v/>
      </c>
    </row>
    <row r="12855">
      <c r="A12855" t="n">
        <v>12854</v>
      </c>
      <c r="B12855" t="inlineStr">
        <is>
          <t>x̄MMDCCCLIV</t>
        </is>
      </c>
      <c r="C12855">
        <f>ROMAN(12854)</f>
        <v/>
      </c>
      <c r="D12855">
        <f>IF(B12855=C12855, "YES", "WRONG")</f>
        <v/>
      </c>
    </row>
    <row r="12856">
      <c r="A12856" t="n">
        <v>12855</v>
      </c>
      <c r="B12856" t="inlineStr">
        <is>
          <t>x̄MMDCCCLV</t>
        </is>
      </c>
      <c r="C12856">
        <f>ROMAN(12855)</f>
        <v/>
      </c>
      <c r="D12856">
        <f>IF(B12856=C12856, "YES", "WRONG")</f>
        <v/>
      </c>
    </row>
    <row r="12857">
      <c r="A12857" t="n">
        <v>12856</v>
      </c>
      <c r="B12857" t="inlineStr">
        <is>
          <t>x̄MMDCCCLVI</t>
        </is>
      </c>
      <c r="C12857">
        <f>ROMAN(12856)</f>
        <v/>
      </c>
      <c r="D12857">
        <f>IF(B12857=C12857, "YES", "WRONG")</f>
        <v/>
      </c>
    </row>
    <row r="12858">
      <c r="A12858" t="n">
        <v>12857</v>
      </c>
      <c r="B12858" t="inlineStr">
        <is>
          <t>x̄MMDCCCLVII</t>
        </is>
      </c>
      <c r="C12858">
        <f>ROMAN(12857)</f>
        <v/>
      </c>
      <c r="D12858">
        <f>IF(B12858=C12858, "YES", "WRONG")</f>
        <v/>
      </c>
    </row>
    <row r="12859">
      <c r="A12859" t="n">
        <v>12858</v>
      </c>
      <c r="B12859" t="inlineStr">
        <is>
          <t>x̄MMDCCCLVIII</t>
        </is>
      </c>
      <c r="C12859">
        <f>ROMAN(12858)</f>
        <v/>
      </c>
      <c r="D12859">
        <f>IF(B12859=C12859, "YES", "WRONG")</f>
        <v/>
      </c>
    </row>
    <row r="12860">
      <c r="A12860" t="n">
        <v>12859</v>
      </c>
      <c r="B12860" t="inlineStr">
        <is>
          <t>x̄MMDCCCLIX</t>
        </is>
      </c>
      <c r="C12860">
        <f>ROMAN(12859)</f>
        <v/>
      </c>
      <c r="D12860">
        <f>IF(B12860=C12860, "YES", "WRONG")</f>
        <v/>
      </c>
    </row>
    <row r="12861">
      <c r="A12861" t="n">
        <v>12860</v>
      </c>
      <c r="B12861" t="inlineStr">
        <is>
          <t>x̄MMDCCCLX</t>
        </is>
      </c>
      <c r="C12861">
        <f>ROMAN(12860)</f>
        <v/>
      </c>
      <c r="D12861">
        <f>IF(B12861=C12861, "YES", "WRONG")</f>
        <v/>
      </c>
    </row>
    <row r="12862">
      <c r="A12862" t="n">
        <v>12861</v>
      </c>
      <c r="B12862" t="inlineStr">
        <is>
          <t>x̄MMDCCCLXI</t>
        </is>
      </c>
      <c r="C12862">
        <f>ROMAN(12861)</f>
        <v/>
      </c>
      <c r="D12862">
        <f>IF(B12862=C12862, "YES", "WRONG")</f>
        <v/>
      </c>
    </row>
    <row r="12863">
      <c r="A12863" t="n">
        <v>12862</v>
      </c>
      <c r="B12863" t="inlineStr">
        <is>
          <t>x̄MMDCCCLXII</t>
        </is>
      </c>
      <c r="C12863">
        <f>ROMAN(12862)</f>
        <v/>
      </c>
      <c r="D12863">
        <f>IF(B12863=C12863, "YES", "WRONG")</f>
        <v/>
      </c>
    </row>
    <row r="12864">
      <c r="A12864" t="n">
        <v>12863</v>
      </c>
      <c r="B12864" t="inlineStr">
        <is>
          <t>x̄MMDCCCLXIII</t>
        </is>
      </c>
      <c r="C12864">
        <f>ROMAN(12863)</f>
        <v/>
      </c>
      <c r="D12864">
        <f>IF(B12864=C12864, "YES", "WRONG")</f>
        <v/>
      </c>
    </row>
    <row r="12865">
      <c r="A12865" t="n">
        <v>12864</v>
      </c>
      <c r="B12865" t="inlineStr">
        <is>
          <t>x̄MMDCCCLXIV</t>
        </is>
      </c>
      <c r="C12865">
        <f>ROMAN(12864)</f>
        <v/>
      </c>
      <c r="D12865">
        <f>IF(B12865=C12865, "YES", "WRONG")</f>
        <v/>
      </c>
    </row>
    <row r="12866">
      <c r="A12866" t="n">
        <v>12865</v>
      </c>
      <c r="B12866" t="inlineStr">
        <is>
          <t>x̄MMDCCCLXV</t>
        </is>
      </c>
      <c r="C12866">
        <f>ROMAN(12865)</f>
        <v/>
      </c>
      <c r="D12866">
        <f>IF(B12866=C12866, "YES", "WRONG")</f>
        <v/>
      </c>
    </row>
    <row r="12867">
      <c r="A12867" t="n">
        <v>12866</v>
      </c>
      <c r="B12867" t="inlineStr">
        <is>
          <t>x̄MMDCCCLXVI</t>
        </is>
      </c>
      <c r="C12867">
        <f>ROMAN(12866)</f>
        <v/>
      </c>
      <c r="D12867">
        <f>IF(B12867=C12867, "YES", "WRONG")</f>
        <v/>
      </c>
    </row>
    <row r="12868">
      <c r="A12868" t="n">
        <v>12867</v>
      </c>
      <c r="B12868" t="inlineStr">
        <is>
          <t>x̄MMDCCCLXVII</t>
        </is>
      </c>
      <c r="C12868">
        <f>ROMAN(12867)</f>
        <v/>
      </c>
      <c r="D12868">
        <f>IF(B12868=C12868, "YES", "WRONG")</f>
        <v/>
      </c>
    </row>
    <row r="12869">
      <c r="A12869" t="n">
        <v>12868</v>
      </c>
      <c r="B12869" t="inlineStr">
        <is>
          <t>x̄MMDCCCLXVIII</t>
        </is>
      </c>
      <c r="C12869">
        <f>ROMAN(12868)</f>
        <v/>
      </c>
      <c r="D12869">
        <f>IF(B12869=C12869, "YES", "WRONG")</f>
        <v/>
      </c>
    </row>
    <row r="12870">
      <c r="A12870" t="n">
        <v>12869</v>
      </c>
      <c r="B12870" t="inlineStr">
        <is>
          <t>x̄MMDCCCLXIX</t>
        </is>
      </c>
      <c r="C12870">
        <f>ROMAN(12869)</f>
        <v/>
      </c>
      <c r="D12870">
        <f>IF(B12870=C12870, "YES", "WRONG")</f>
        <v/>
      </c>
    </row>
    <row r="12871">
      <c r="A12871" t="n">
        <v>12870</v>
      </c>
      <c r="B12871" t="inlineStr">
        <is>
          <t>x̄MMDCCCLXX</t>
        </is>
      </c>
      <c r="C12871">
        <f>ROMAN(12870)</f>
        <v/>
      </c>
      <c r="D12871">
        <f>IF(B12871=C12871, "YES", "WRONG")</f>
        <v/>
      </c>
    </row>
    <row r="12872">
      <c r="A12872" t="n">
        <v>12871</v>
      </c>
      <c r="B12872" t="inlineStr">
        <is>
          <t>x̄MMDCCCLXXI</t>
        </is>
      </c>
      <c r="C12872">
        <f>ROMAN(12871)</f>
        <v/>
      </c>
      <c r="D12872">
        <f>IF(B12872=C12872, "YES", "WRONG")</f>
        <v/>
      </c>
    </row>
    <row r="12873">
      <c r="A12873" t="n">
        <v>12872</v>
      </c>
      <c r="B12873" t="inlineStr">
        <is>
          <t>x̄MMDCCCLXXII</t>
        </is>
      </c>
      <c r="C12873">
        <f>ROMAN(12872)</f>
        <v/>
      </c>
      <c r="D12873">
        <f>IF(B12873=C12873, "YES", "WRONG")</f>
        <v/>
      </c>
    </row>
    <row r="12874">
      <c r="A12874" t="n">
        <v>12873</v>
      </c>
      <c r="B12874" t="inlineStr">
        <is>
          <t>x̄MMDCCCLXXIII</t>
        </is>
      </c>
      <c r="C12874">
        <f>ROMAN(12873)</f>
        <v/>
      </c>
      <c r="D12874">
        <f>IF(B12874=C12874, "YES", "WRONG")</f>
        <v/>
      </c>
    </row>
    <row r="12875">
      <c r="A12875" t="n">
        <v>12874</v>
      </c>
      <c r="B12875" t="inlineStr">
        <is>
          <t>x̄MMDCCCLXXIV</t>
        </is>
      </c>
      <c r="C12875">
        <f>ROMAN(12874)</f>
        <v/>
      </c>
      <c r="D12875">
        <f>IF(B12875=C12875, "YES", "WRONG")</f>
        <v/>
      </c>
    </row>
    <row r="12876">
      <c r="A12876" t="n">
        <v>12875</v>
      </c>
      <c r="B12876" t="inlineStr">
        <is>
          <t>x̄MMDCCCLXXV</t>
        </is>
      </c>
      <c r="C12876">
        <f>ROMAN(12875)</f>
        <v/>
      </c>
      <c r="D12876">
        <f>IF(B12876=C12876, "YES", "WRONG")</f>
        <v/>
      </c>
    </row>
    <row r="12877">
      <c r="A12877" t="n">
        <v>12876</v>
      </c>
      <c r="B12877" t="inlineStr">
        <is>
          <t>x̄MMDCCCLXXVI</t>
        </is>
      </c>
      <c r="C12877">
        <f>ROMAN(12876)</f>
        <v/>
      </c>
      <c r="D12877">
        <f>IF(B12877=C12877, "YES", "WRONG")</f>
        <v/>
      </c>
    </row>
    <row r="12878">
      <c r="A12878" t="n">
        <v>12877</v>
      </c>
      <c r="B12878" t="inlineStr">
        <is>
          <t>x̄MMDCCCLXXVII</t>
        </is>
      </c>
      <c r="C12878">
        <f>ROMAN(12877)</f>
        <v/>
      </c>
      <c r="D12878">
        <f>IF(B12878=C12878, "YES", "WRONG")</f>
        <v/>
      </c>
    </row>
    <row r="12879">
      <c r="A12879" t="n">
        <v>12878</v>
      </c>
      <c r="B12879" t="inlineStr">
        <is>
          <t>x̄MMDCCCLXXVIII</t>
        </is>
      </c>
      <c r="C12879">
        <f>ROMAN(12878)</f>
        <v/>
      </c>
      <c r="D12879">
        <f>IF(B12879=C12879, "YES", "WRONG")</f>
        <v/>
      </c>
    </row>
    <row r="12880">
      <c r="A12880" t="n">
        <v>12879</v>
      </c>
      <c r="B12880" t="inlineStr">
        <is>
          <t>x̄MMDCCCLXXIX</t>
        </is>
      </c>
      <c r="C12880">
        <f>ROMAN(12879)</f>
        <v/>
      </c>
      <c r="D12880">
        <f>IF(B12880=C12880, "YES", "WRONG")</f>
        <v/>
      </c>
    </row>
    <row r="12881">
      <c r="A12881" t="n">
        <v>12880</v>
      </c>
      <c r="B12881" t="inlineStr">
        <is>
          <t>x̄MMDCCCLXXX</t>
        </is>
      </c>
      <c r="C12881">
        <f>ROMAN(12880)</f>
        <v/>
      </c>
      <c r="D12881">
        <f>IF(B12881=C12881, "YES", "WRONG")</f>
        <v/>
      </c>
    </row>
    <row r="12882">
      <c r="A12882" t="n">
        <v>12881</v>
      </c>
      <c r="B12882" t="inlineStr">
        <is>
          <t>x̄MMDCCCLXXXI</t>
        </is>
      </c>
      <c r="C12882">
        <f>ROMAN(12881)</f>
        <v/>
      </c>
      <c r="D12882">
        <f>IF(B12882=C12882, "YES", "WRONG")</f>
        <v/>
      </c>
    </row>
    <row r="12883">
      <c r="A12883" t="n">
        <v>12882</v>
      </c>
      <c r="B12883" t="inlineStr">
        <is>
          <t>x̄MMDCCCLXXXII</t>
        </is>
      </c>
      <c r="C12883">
        <f>ROMAN(12882)</f>
        <v/>
      </c>
      <c r="D12883">
        <f>IF(B12883=C12883, "YES", "WRONG")</f>
        <v/>
      </c>
    </row>
    <row r="12884">
      <c r="A12884" t="n">
        <v>12883</v>
      </c>
      <c r="B12884" t="inlineStr">
        <is>
          <t>x̄MMDCCCLXXXIII</t>
        </is>
      </c>
      <c r="C12884">
        <f>ROMAN(12883)</f>
        <v/>
      </c>
      <c r="D12884">
        <f>IF(B12884=C12884, "YES", "WRONG")</f>
        <v/>
      </c>
    </row>
    <row r="12885">
      <c r="A12885" t="n">
        <v>12884</v>
      </c>
      <c r="B12885" t="inlineStr">
        <is>
          <t>x̄MMDCCCLXXXIV</t>
        </is>
      </c>
      <c r="C12885">
        <f>ROMAN(12884)</f>
        <v/>
      </c>
      <c r="D12885">
        <f>IF(B12885=C12885, "YES", "WRONG")</f>
        <v/>
      </c>
    </row>
    <row r="12886">
      <c r="A12886" t="n">
        <v>12885</v>
      </c>
      <c r="B12886" t="inlineStr">
        <is>
          <t>x̄MMDCCCLXXXV</t>
        </is>
      </c>
      <c r="C12886">
        <f>ROMAN(12885)</f>
        <v/>
      </c>
      <c r="D12886">
        <f>IF(B12886=C12886, "YES", "WRONG")</f>
        <v/>
      </c>
    </row>
    <row r="12887">
      <c r="A12887" t="n">
        <v>12886</v>
      </c>
      <c r="B12887" t="inlineStr">
        <is>
          <t>x̄MMDCCCLXXXVI</t>
        </is>
      </c>
      <c r="C12887">
        <f>ROMAN(12886)</f>
        <v/>
      </c>
      <c r="D12887">
        <f>IF(B12887=C12887, "YES", "WRONG")</f>
        <v/>
      </c>
    </row>
    <row r="12888">
      <c r="A12888" t="n">
        <v>12887</v>
      </c>
      <c r="B12888" t="inlineStr">
        <is>
          <t>x̄MMDCCCLXXXVII</t>
        </is>
      </c>
      <c r="C12888">
        <f>ROMAN(12887)</f>
        <v/>
      </c>
      <c r="D12888">
        <f>IF(B12888=C12888, "YES", "WRONG")</f>
        <v/>
      </c>
    </row>
    <row r="12889">
      <c r="A12889" t="n">
        <v>12888</v>
      </c>
      <c r="B12889" t="inlineStr">
        <is>
          <t>x̄MMDCCCLXXXVIII</t>
        </is>
      </c>
      <c r="C12889">
        <f>ROMAN(12888)</f>
        <v/>
      </c>
      <c r="D12889">
        <f>IF(B12889=C12889, "YES", "WRONG")</f>
        <v/>
      </c>
    </row>
    <row r="12890">
      <c r="A12890" t="n">
        <v>12889</v>
      </c>
      <c r="B12890" t="inlineStr">
        <is>
          <t>x̄MMDCCCLXXXIX</t>
        </is>
      </c>
      <c r="C12890">
        <f>ROMAN(12889)</f>
        <v/>
      </c>
      <c r="D12890">
        <f>IF(B12890=C12890, "YES", "WRONG")</f>
        <v/>
      </c>
    </row>
    <row r="12891">
      <c r="A12891" t="n">
        <v>12890</v>
      </c>
      <c r="B12891" t="inlineStr">
        <is>
          <t>x̄MMDCCCXC</t>
        </is>
      </c>
      <c r="C12891">
        <f>ROMAN(12890)</f>
        <v/>
      </c>
      <c r="D12891">
        <f>IF(B12891=C12891, "YES", "WRONG")</f>
        <v/>
      </c>
    </row>
    <row r="12892">
      <c r="A12892" t="n">
        <v>12891</v>
      </c>
      <c r="B12892" t="inlineStr">
        <is>
          <t>x̄MMDCCCXCI</t>
        </is>
      </c>
      <c r="C12892">
        <f>ROMAN(12891)</f>
        <v/>
      </c>
      <c r="D12892">
        <f>IF(B12892=C12892, "YES", "WRONG")</f>
        <v/>
      </c>
    </row>
    <row r="12893">
      <c r="A12893" t="n">
        <v>12892</v>
      </c>
      <c r="B12893" t="inlineStr">
        <is>
          <t>x̄MMDCCCXCII</t>
        </is>
      </c>
      <c r="C12893">
        <f>ROMAN(12892)</f>
        <v/>
      </c>
      <c r="D12893">
        <f>IF(B12893=C12893, "YES", "WRONG")</f>
        <v/>
      </c>
    </row>
    <row r="12894">
      <c r="A12894" t="n">
        <v>12893</v>
      </c>
      <c r="B12894" t="inlineStr">
        <is>
          <t>x̄MMDCCCXCIII</t>
        </is>
      </c>
      <c r="C12894">
        <f>ROMAN(12893)</f>
        <v/>
      </c>
      <c r="D12894">
        <f>IF(B12894=C12894, "YES", "WRONG")</f>
        <v/>
      </c>
    </row>
    <row r="12895">
      <c r="A12895" t="n">
        <v>12894</v>
      </c>
      <c r="B12895" t="inlineStr">
        <is>
          <t>x̄MMDCCCXCIV</t>
        </is>
      </c>
      <c r="C12895">
        <f>ROMAN(12894)</f>
        <v/>
      </c>
      <c r="D12895">
        <f>IF(B12895=C12895, "YES", "WRONG")</f>
        <v/>
      </c>
    </row>
    <row r="12896">
      <c r="A12896" t="n">
        <v>12895</v>
      </c>
      <c r="B12896" t="inlineStr">
        <is>
          <t>x̄MMDCCCXCV</t>
        </is>
      </c>
      <c r="C12896">
        <f>ROMAN(12895)</f>
        <v/>
      </c>
      <c r="D12896">
        <f>IF(B12896=C12896, "YES", "WRONG")</f>
        <v/>
      </c>
    </row>
    <row r="12897">
      <c r="A12897" t="n">
        <v>12896</v>
      </c>
      <c r="B12897" t="inlineStr">
        <is>
          <t>x̄MMDCCCXCVI</t>
        </is>
      </c>
      <c r="C12897">
        <f>ROMAN(12896)</f>
        <v/>
      </c>
      <c r="D12897">
        <f>IF(B12897=C12897, "YES", "WRONG")</f>
        <v/>
      </c>
    </row>
    <row r="12898">
      <c r="A12898" t="n">
        <v>12897</v>
      </c>
      <c r="B12898" t="inlineStr">
        <is>
          <t>x̄MMDCCCXCVII</t>
        </is>
      </c>
      <c r="C12898">
        <f>ROMAN(12897)</f>
        <v/>
      </c>
      <c r="D12898">
        <f>IF(B12898=C12898, "YES", "WRONG")</f>
        <v/>
      </c>
    </row>
    <row r="12899">
      <c r="A12899" t="n">
        <v>12898</v>
      </c>
      <c r="B12899" t="inlineStr">
        <is>
          <t>x̄MMDCCCXCVIII</t>
        </is>
      </c>
      <c r="C12899">
        <f>ROMAN(12898)</f>
        <v/>
      </c>
      <c r="D12899">
        <f>IF(B12899=C12899, "YES", "WRONG")</f>
        <v/>
      </c>
    </row>
    <row r="12900">
      <c r="A12900" t="n">
        <v>12899</v>
      </c>
      <c r="B12900" t="inlineStr">
        <is>
          <t>x̄MMDCCCXCIX</t>
        </is>
      </c>
      <c r="C12900">
        <f>ROMAN(12899)</f>
        <v/>
      </c>
      <c r="D12900">
        <f>IF(B12900=C12900, "YES", "WRONG")</f>
        <v/>
      </c>
    </row>
    <row r="12901">
      <c r="A12901" t="n">
        <v>12900</v>
      </c>
      <c r="B12901" t="inlineStr">
        <is>
          <t>x̄MMCM</t>
        </is>
      </c>
      <c r="C12901">
        <f>ROMAN(12900)</f>
        <v/>
      </c>
      <c r="D12901">
        <f>IF(B12901=C12901, "YES", "WRONG")</f>
        <v/>
      </c>
    </row>
    <row r="12902">
      <c r="A12902" t="n">
        <v>12901</v>
      </c>
      <c r="B12902" t="inlineStr">
        <is>
          <t>x̄MMCMI</t>
        </is>
      </c>
      <c r="C12902">
        <f>ROMAN(12901)</f>
        <v/>
      </c>
      <c r="D12902">
        <f>IF(B12902=C12902, "YES", "WRONG")</f>
        <v/>
      </c>
    </row>
    <row r="12903">
      <c r="A12903" t="n">
        <v>12902</v>
      </c>
      <c r="B12903" t="inlineStr">
        <is>
          <t>x̄MMCMII</t>
        </is>
      </c>
      <c r="C12903">
        <f>ROMAN(12902)</f>
        <v/>
      </c>
      <c r="D12903">
        <f>IF(B12903=C12903, "YES", "WRONG")</f>
        <v/>
      </c>
    </row>
    <row r="12904">
      <c r="A12904" t="n">
        <v>12903</v>
      </c>
      <c r="B12904" t="inlineStr">
        <is>
          <t>x̄MMCMIII</t>
        </is>
      </c>
      <c r="C12904">
        <f>ROMAN(12903)</f>
        <v/>
      </c>
      <c r="D12904">
        <f>IF(B12904=C12904, "YES", "WRONG")</f>
        <v/>
      </c>
    </row>
    <row r="12905">
      <c r="A12905" t="n">
        <v>12904</v>
      </c>
      <c r="B12905" t="inlineStr">
        <is>
          <t>x̄MMCMIV</t>
        </is>
      </c>
      <c r="C12905">
        <f>ROMAN(12904)</f>
        <v/>
      </c>
      <c r="D12905">
        <f>IF(B12905=C12905, "YES", "WRONG")</f>
        <v/>
      </c>
    </row>
    <row r="12906">
      <c r="A12906" t="n">
        <v>12905</v>
      </c>
      <c r="B12906" t="inlineStr">
        <is>
          <t>x̄MMCMV</t>
        </is>
      </c>
      <c r="C12906">
        <f>ROMAN(12905)</f>
        <v/>
      </c>
      <c r="D12906">
        <f>IF(B12906=C12906, "YES", "WRONG")</f>
        <v/>
      </c>
    </row>
    <row r="12907">
      <c r="A12907" t="n">
        <v>12906</v>
      </c>
      <c r="B12907" t="inlineStr">
        <is>
          <t>x̄MMCMVI</t>
        </is>
      </c>
      <c r="C12907">
        <f>ROMAN(12906)</f>
        <v/>
      </c>
      <c r="D12907">
        <f>IF(B12907=C12907, "YES", "WRONG")</f>
        <v/>
      </c>
    </row>
    <row r="12908">
      <c r="A12908" t="n">
        <v>12907</v>
      </c>
      <c r="B12908" t="inlineStr">
        <is>
          <t>x̄MMCMVII</t>
        </is>
      </c>
      <c r="C12908">
        <f>ROMAN(12907)</f>
        <v/>
      </c>
      <c r="D12908">
        <f>IF(B12908=C12908, "YES", "WRONG")</f>
        <v/>
      </c>
    </row>
    <row r="12909">
      <c r="A12909" t="n">
        <v>12908</v>
      </c>
      <c r="B12909" t="inlineStr">
        <is>
          <t>x̄MMCMVIII</t>
        </is>
      </c>
      <c r="C12909">
        <f>ROMAN(12908)</f>
        <v/>
      </c>
      <c r="D12909">
        <f>IF(B12909=C12909, "YES", "WRONG")</f>
        <v/>
      </c>
    </row>
    <row r="12910">
      <c r="A12910" t="n">
        <v>12909</v>
      </c>
      <c r="B12910" t="inlineStr">
        <is>
          <t>x̄MMCMIX</t>
        </is>
      </c>
      <c r="C12910">
        <f>ROMAN(12909)</f>
        <v/>
      </c>
      <c r="D12910">
        <f>IF(B12910=C12910, "YES", "WRONG")</f>
        <v/>
      </c>
    </row>
    <row r="12911">
      <c r="A12911" t="n">
        <v>12910</v>
      </c>
      <c r="B12911" t="inlineStr">
        <is>
          <t>x̄MMCMX</t>
        </is>
      </c>
      <c r="C12911">
        <f>ROMAN(12910)</f>
        <v/>
      </c>
      <c r="D12911">
        <f>IF(B12911=C12911, "YES", "WRONG")</f>
        <v/>
      </c>
    </row>
    <row r="12912">
      <c r="A12912" t="n">
        <v>12911</v>
      </c>
      <c r="B12912" t="inlineStr">
        <is>
          <t>x̄MMCMXI</t>
        </is>
      </c>
      <c r="C12912">
        <f>ROMAN(12911)</f>
        <v/>
      </c>
      <c r="D12912">
        <f>IF(B12912=C12912, "YES", "WRONG")</f>
        <v/>
      </c>
    </row>
    <row r="12913">
      <c r="A12913" t="n">
        <v>12912</v>
      </c>
      <c r="B12913" t="inlineStr">
        <is>
          <t>x̄MMCMXII</t>
        </is>
      </c>
      <c r="C12913">
        <f>ROMAN(12912)</f>
        <v/>
      </c>
      <c r="D12913">
        <f>IF(B12913=C12913, "YES", "WRONG")</f>
        <v/>
      </c>
    </row>
    <row r="12914">
      <c r="A12914" t="n">
        <v>12913</v>
      </c>
      <c r="B12914" t="inlineStr">
        <is>
          <t>x̄MMCMXIII</t>
        </is>
      </c>
      <c r="C12914">
        <f>ROMAN(12913)</f>
        <v/>
      </c>
      <c r="D12914">
        <f>IF(B12914=C12914, "YES", "WRONG")</f>
        <v/>
      </c>
    </row>
    <row r="12915">
      <c r="A12915" t="n">
        <v>12914</v>
      </c>
      <c r="B12915" t="inlineStr">
        <is>
          <t>x̄MMCMXIV</t>
        </is>
      </c>
      <c r="C12915">
        <f>ROMAN(12914)</f>
        <v/>
      </c>
      <c r="D12915">
        <f>IF(B12915=C12915, "YES", "WRONG")</f>
        <v/>
      </c>
    </row>
    <row r="12916">
      <c r="A12916" t="n">
        <v>12915</v>
      </c>
      <c r="B12916" t="inlineStr">
        <is>
          <t>x̄MMCMXV</t>
        </is>
      </c>
      <c r="C12916">
        <f>ROMAN(12915)</f>
        <v/>
      </c>
      <c r="D12916">
        <f>IF(B12916=C12916, "YES", "WRONG")</f>
        <v/>
      </c>
    </row>
    <row r="12917">
      <c r="A12917" t="n">
        <v>12916</v>
      </c>
      <c r="B12917" t="inlineStr">
        <is>
          <t>x̄MMCMXVI</t>
        </is>
      </c>
      <c r="C12917">
        <f>ROMAN(12916)</f>
        <v/>
      </c>
      <c r="D12917">
        <f>IF(B12917=C12917, "YES", "WRONG")</f>
        <v/>
      </c>
    </row>
    <row r="12918">
      <c r="A12918" t="n">
        <v>12917</v>
      </c>
      <c r="B12918" t="inlineStr">
        <is>
          <t>x̄MMCMXVII</t>
        </is>
      </c>
      <c r="C12918">
        <f>ROMAN(12917)</f>
        <v/>
      </c>
      <c r="D12918">
        <f>IF(B12918=C12918, "YES", "WRONG")</f>
        <v/>
      </c>
    </row>
    <row r="12919">
      <c r="A12919" t="n">
        <v>12918</v>
      </c>
      <c r="B12919" t="inlineStr">
        <is>
          <t>x̄MMCMXVIII</t>
        </is>
      </c>
      <c r="C12919">
        <f>ROMAN(12918)</f>
        <v/>
      </c>
      <c r="D12919">
        <f>IF(B12919=C12919, "YES", "WRONG")</f>
        <v/>
      </c>
    </row>
    <row r="12920">
      <c r="A12920" t="n">
        <v>12919</v>
      </c>
      <c r="B12920" t="inlineStr">
        <is>
          <t>x̄MMCMXIX</t>
        </is>
      </c>
      <c r="C12920">
        <f>ROMAN(12919)</f>
        <v/>
      </c>
      <c r="D12920">
        <f>IF(B12920=C12920, "YES", "WRONG")</f>
        <v/>
      </c>
    </row>
    <row r="12921">
      <c r="A12921" t="n">
        <v>12920</v>
      </c>
      <c r="B12921" t="inlineStr">
        <is>
          <t>x̄MMCMXX</t>
        </is>
      </c>
      <c r="C12921">
        <f>ROMAN(12920)</f>
        <v/>
      </c>
      <c r="D12921">
        <f>IF(B12921=C12921, "YES", "WRONG")</f>
        <v/>
      </c>
    </row>
    <row r="12922">
      <c r="A12922" t="n">
        <v>12921</v>
      </c>
      <c r="B12922" t="inlineStr">
        <is>
          <t>x̄MMCMXXI</t>
        </is>
      </c>
      <c r="C12922">
        <f>ROMAN(12921)</f>
        <v/>
      </c>
      <c r="D12922">
        <f>IF(B12922=C12922, "YES", "WRONG")</f>
        <v/>
      </c>
    </row>
    <row r="12923">
      <c r="A12923" t="n">
        <v>12922</v>
      </c>
      <c r="B12923" t="inlineStr">
        <is>
          <t>x̄MMCMXXII</t>
        </is>
      </c>
      <c r="C12923">
        <f>ROMAN(12922)</f>
        <v/>
      </c>
      <c r="D12923">
        <f>IF(B12923=C12923, "YES", "WRONG")</f>
        <v/>
      </c>
    </row>
    <row r="12924">
      <c r="A12924" t="n">
        <v>12923</v>
      </c>
      <c r="B12924" t="inlineStr">
        <is>
          <t>x̄MMCMXXIII</t>
        </is>
      </c>
      <c r="C12924">
        <f>ROMAN(12923)</f>
        <v/>
      </c>
      <c r="D12924">
        <f>IF(B12924=C12924, "YES", "WRONG")</f>
        <v/>
      </c>
    </row>
    <row r="12925">
      <c r="A12925" t="n">
        <v>12924</v>
      </c>
      <c r="B12925" t="inlineStr">
        <is>
          <t>x̄MMCMXXIV</t>
        </is>
      </c>
      <c r="C12925">
        <f>ROMAN(12924)</f>
        <v/>
      </c>
      <c r="D12925">
        <f>IF(B12925=C12925, "YES", "WRONG")</f>
        <v/>
      </c>
    </row>
    <row r="12926">
      <c r="A12926" t="n">
        <v>12925</v>
      </c>
      <c r="B12926" t="inlineStr">
        <is>
          <t>x̄MMCMXXV</t>
        </is>
      </c>
      <c r="C12926">
        <f>ROMAN(12925)</f>
        <v/>
      </c>
      <c r="D12926">
        <f>IF(B12926=C12926, "YES", "WRONG")</f>
        <v/>
      </c>
    </row>
    <row r="12927">
      <c r="A12927" t="n">
        <v>12926</v>
      </c>
      <c r="B12927" t="inlineStr">
        <is>
          <t>x̄MMCMXXVI</t>
        </is>
      </c>
      <c r="C12927">
        <f>ROMAN(12926)</f>
        <v/>
      </c>
      <c r="D12927">
        <f>IF(B12927=C12927, "YES", "WRONG")</f>
        <v/>
      </c>
    </row>
    <row r="12928">
      <c r="A12928" t="n">
        <v>12927</v>
      </c>
      <c r="B12928" t="inlineStr">
        <is>
          <t>x̄MMCMXXVII</t>
        </is>
      </c>
      <c r="C12928">
        <f>ROMAN(12927)</f>
        <v/>
      </c>
      <c r="D12928">
        <f>IF(B12928=C12928, "YES", "WRONG")</f>
        <v/>
      </c>
    </row>
    <row r="12929">
      <c r="A12929" t="n">
        <v>12928</v>
      </c>
      <c r="B12929" t="inlineStr">
        <is>
          <t>x̄MMCMXXVIII</t>
        </is>
      </c>
      <c r="C12929">
        <f>ROMAN(12928)</f>
        <v/>
      </c>
      <c r="D12929">
        <f>IF(B12929=C12929, "YES", "WRONG")</f>
        <v/>
      </c>
    </row>
    <row r="12930">
      <c r="A12930" t="n">
        <v>12929</v>
      </c>
      <c r="B12930" t="inlineStr">
        <is>
          <t>x̄MMCMXXIX</t>
        </is>
      </c>
      <c r="C12930">
        <f>ROMAN(12929)</f>
        <v/>
      </c>
      <c r="D12930">
        <f>IF(B12930=C12930, "YES", "WRONG")</f>
        <v/>
      </c>
    </row>
    <row r="12931">
      <c r="A12931" t="n">
        <v>12930</v>
      </c>
      <c r="B12931" t="inlineStr">
        <is>
          <t>x̄MMCMXXX</t>
        </is>
      </c>
      <c r="C12931">
        <f>ROMAN(12930)</f>
        <v/>
      </c>
      <c r="D12931">
        <f>IF(B12931=C12931, "YES", "WRONG")</f>
        <v/>
      </c>
    </row>
    <row r="12932">
      <c r="A12932" t="n">
        <v>12931</v>
      </c>
      <c r="B12932" t="inlineStr">
        <is>
          <t>x̄MMCMXXXI</t>
        </is>
      </c>
      <c r="C12932">
        <f>ROMAN(12931)</f>
        <v/>
      </c>
      <c r="D12932">
        <f>IF(B12932=C12932, "YES", "WRONG")</f>
        <v/>
      </c>
    </row>
    <row r="12933">
      <c r="A12933" t="n">
        <v>12932</v>
      </c>
      <c r="B12933" t="inlineStr">
        <is>
          <t>x̄MMCMXXXII</t>
        </is>
      </c>
      <c r="C12933">
        <f>ROMAN(12932)</f>
        <v/>
      </c>
      <c r="D12933">
        <f>IF(B12933=C12933, "YES", "WRONG")</f>
        <v/>
      </c>
    </row>
    <row r="12934">
      <c r="A12934" t="n">
        <v>12933</v>
      </c>
      <c r="B12934" t="inlineStr">
        <is>
          <t>x̄MMCMXXXIII</t>
        </is>
      </c>
      <c r="C12934">
        <f>ROMAN(12933)</f>
        <v/>
      </c>
      <c r="D12934">
        <f>IF(B12934=C12934, "YES", "WRONG")</f>
        <v/>
      </c>
    </row>
    <row r="12935">
      <c r="A12935" t="n">
        <v>12934</v>
      </c>
      <c r="B12935" t="inlineStr">
        <is>
          <t>x̄MMCMXXXIV</t>
        </is>
      </c>
      <c r="C12935">
        <f>ROMAN(12934)</f>
        <v/>
      </c>
      <c r="D12935">
        <f>IF(B12935=C12935, "YES", "WRONG")</f>
        <v/>
      </c>
    </row>
    <row r="12936">
      <c r="A12936" t="n">
        <v>12935</v>
      </c>
      <c r="B12936" t="inlineStr">
        <is>
          <t>x̄MMCMXXXV</t>
        </is>
      </c>
      <c r="C12936">
        <f>ROMAN(12935)</f>
        <v/>
      </c>
      <c r="D12936">
        <f>IF(B12936=C12936, "YES", "WRONG")</f>
        <v/>
      </c>
    </row>
    <row r="12937">
      <c r="A12937" t="n">
        <v>12936</v>
      </c>
      <c r="B12937" t="inlineStr">
        <is>
          <t>x̄MMCMXXXVI</t>
        </is>
      </c>
      <c r="C12937">
        <f>ROMAN(12936)</f>
        <v/>
      </c>
      <c r="D12937">
        <f>IF(B12937=C12937, "YES", "WRONG")</f>
        <v/>
      </c>
    </row>
    <row r="12938">
      <c r="A12938" t="n">
        <v>12937</v>
      </c>
      <c r="B12938" t="inlineStr">
        <is>
          <t>x̄MMCMXXXVII</t>
        </is>
      </c>
      <c r="C12938">
        <f>ROMAN(12937)</f>
        <v/>
      </c>
      <c r="D12938">
        <f>IF(B12938=C12938, "YES", "WRONG")</f>
        <v/>
      </c>
    </row>
    <row r="12939">
      <c r="A12939" t="n">
        <v>12938</v>
      </c>
      <c r="B12939" t="inlineStr">
        <is>
          <t>x̄MMCMXXXVIII</t>
        </is>
      </c>
      <c r="C12939">
        <f>ROMAN(12938)</f>
        <v/>
      </c>
      <c r="D12939">
        <f>IF(B12939=C12939, "YES", "WRONG")</f>
        <v/>
      </c>
    </row>
    <row r="12940">
      <c r="A12940" t="n">
        <v>12939</v>
      </c>
      <c r="B12940" t="inlineStr">
        <is>
          <t>x̄MMCMXXXIX</t>
        </is>
      </c>
      <c r="C12940">
        <f>ROMAN(12939)</f>
        <v/>
      </c>
      <c r="D12940">
        <f>IF(B12940=C12940, "YES", "WRONG")</f>
        <v/>
      </c>
    </row>
    <row r="12941">
      <c r="A12941" t="n">
        <v>12940</v>
      </c>
      <c r="B12941" t="inlineStr">
        <is>
          <t>x̄MMCMXL</t>
        </is>
      </c>
      <c r="C12941">
        <f>ROMAN(12940)</f>
        <v/>
      </c>
      <c r="D12941">
        <f>IF(B12941=C12941, "YES", "WRONG")</f>
        <v/>
      </c>
    </row>
    <row r="12942">
      <c r="A12942" t="n">
        <v>12941</v>
      </c>
      <c r="B12942" t="inlineStr">
        <is>
          <t>x̄MMCMXLI</t>
        </is>
      </c>
      <c r="C12942">
        <f>ROMAN(12941)</f>
        <v/>
      </c>
      <c r="D12942">
        <f>IF(B12942=C12942, "YES", "WRONG")</f>
        <v/>
      </c>
    </row>
    <row r="12943">
      <c r="A12943" t="n">
        <v>12942</v>
      </c>
      <c r="B12943" t="inlineStr">
        <is>
          <t>x̄MMCMXLII</t>
        </is>
      </c>
      <c r="C12943">
        <f>ROMAN(12942)</f>
        <v/>
      </c>
      <c r="D12943">
        <f>IF(B12943=C12943, "YES", "WRONG")</f>
        <v/>
      </c>
    </row>
    <row r="12944">
      <c r="A12944" t="n">
        <v>12943</v>
      </c>
      <c r="B12944" t="inlineStr">
        <is>
          <t>x̄MMCMXLIII</t>
        </is>
      </c>
      <c r="C12944">
        <f>ROMAN(12943)</f>
        <v/>
      </c>
      <c r="D12944">
        <f>IF(B12944=C12944, "YES", "WRONG")</f>
        <v/>
      </c>
    </row>
    <row r="12945">
      <c r="A12945" t="n">
        <v>12944</v>
      </c>
      <c r="B12945" t="inlineStr">
        <is>
          <t>x̄MMCMXLIV</t>
        </is>
      </c>
      <c r="C12945">
        <f>ROMAN(12944)</f>
        <v/>
      </c>
      <c r="D12945">
        <f>IF(B12945=C12945, "YES", "WRONG")</f>
        <v/>
      </c>
    </row>
    <row r="12946">
      <c r="A12946" t="n">
        <v>12945</v>
      </c>
      <c r="B12946" t="inlineStr">
        <is>
          <t>x̄MMCMXLV</t>
        </is>
      </c>
      <c r="C12946">
        <f>ROMAN(12945)</f>
        <v/>
      </c>
      <c r="D12946">
        <f>IF(B12946=C12946, "YES", "WRONG")</f>
        <v/>
      </c>
    </row>
    <row r="12947">
      <c r="A12947" t="n">
        <v>12946</v>
      </c>
      <c r="B12947" t="inlineStr">
        <is>
          <t>x̄MMCMXLVI</t>
        </is>
      </c>
      <c r="C12947">
        <f>ROMAN(12946)</f>
        <v/>
      </c>
      <c r="D12947">
        <f>IF(B12947=C12947, "YES", "WRONG")</f>
        <v/>
      </c>
    </row>
    <row r="12948">
      <c r="A12948" t="n">
        <v>12947</v>
      </c>
      <c r="B12948" t="inlineStr">
        <is>
          <t>x̄MMCMXLVII</t>
        </is>
      </c>
      <c r="C12948">
        <f>ROMAN(12947)</f>
        <v/>
      </c>
      <c r="D12948">
        <f>IF(B12948=C12948, "YES", "WRONG")</f>
        <v/>
      </c>
    </row>
    <row r="12949">
      <c r="A12949" t="n">
        <v>12948</v>
      </c>
      <c r="B12949" t="inlineStr">
        <is>
          <t>x̄MMCMXLVIII</t>
        </is>
      </c>
      <c r="C12949">
        <f>ROMAN(12948)</f>
        <v/>
      </c>
      <c r="D12949">
        <f>IF(B12949=C12949, "YES", "WRONG")</f>
        <v/>
      </c>
    </row>
    <row r="12950">
      <c r="A12950" t="n">
        <v>12949</v>
      </c>
      <c r="B12950" t="inlineStr">
        <is>
          <t>x̄MMCMXLIX</t>
        </is>
      </c>
      <c r="C12950">
        <f>ROMAN(12949)</f>
        <v/>
      </c>
      <c r="D12950">
        <f>IF(B12950=C12950, "YES", "WRONG")</f>
        <v/>
      </c>
    </row>
    <row r="12951">
      <c r="A12951" t="n">
        <v>12950</v>
      </c>
      <c r="B12951" t="inlineStr">
        <is>
          <t>x̄MMCML</t>
        </is>
      </c>
      <c r="C12951">
        <f>ROMAN(12950)</f>
        <v/>
      </c>
      <c r="D12951">
        <f>IF(B12951=C12951, "YES", "WRONG")</f>
        <v/>
      </c>
    </row>
    <row r="12952">
      <c r="A12952" t="n">
        <v>12951</v>
      </c>
      <c r="B12952" t="inlineStr">
        <is>
          <t>x̄MMCMLI</t>
        </is>
      </c>
      <c r="C12952">
        <f>ROMAN(12951)</f>
        <v/>
      </c>
      <c r="D12952">
        <f>IF(B12952=C12952, "YES", "WRONG")</f>
        <v/>
      </c>
    </row>
    <row r="12953">
      <c r="A12953" t="n">
        <v>12952</v>
      </c>
      <c r="B12953" t="inlineStr">
        <is>
          <t>x̄MMCMLII</t>
        </is>
      </c>
      <c r="C12953">
        <f>ROMAN(12952)</f>
        <v/>
      </c>
      <c r="D12953">
        <f>IF(B12953=C12953, "YES", "WRONG")</f>
        <v/>
      </c>
    </row>
    <row r="12954">
      <c r="A12954" t="n">
        <v>12953</v>
      </c>
      <c r="B12954" t="inlineStr">
        <is>
          <t>x̄MMCMLIII</t>
        </is>
      </c>
      <c r="C12954">
        <f>ROMAN(12953)</f>
        <v/>
      </c>
      <c r="D12954">
        <f>IF(B12954=C12954, "YES", "WRONG")</f>
        <v/>
      </c>
    </row>
    <row r="12955">
      <c r="A12955" t="n">
        <v>12954</v>
      </c>
      <c r="B12955" t="inlineStr">
        <is>
          <t>x̄MMCMLIV</t>
        </is>
      </c>
      <c r="C12955">
        <f>ROMAN(12954)</f>
        <v/>
      </c>
      <c r="D12955">
        <f>IF(B12955=C12955, "YES", "WRONG")</f>
        <v/>
      </c>
    </row>
    <row r="12956">
      <c r="A12956" t="n">
        <v>12955</v>
      </c>
      <c r="B12956" t="inlineStr">
        <is>
          <t>x̄MMCMLV</t>
        </is>
      </c>
      <c r="C12956">
        <f>ROMAN(12955)</f>
        <v/>
      </c>
      <c r="D12956">
        <f>IF(B12956=C12956, "YES", "WRONG")</f>
        <v/>
      </c>
    </row>
    <row r="12957">
      <c r="A12957" t="n">
        <v>12956</v>
      </c>
      <c r="B12957" t="inlineStr">
        <is>
          <t>x̄MMCMLVI</t>
        </is>
      </c>
      <c r="C12957">
        <f>ROMAN(12956)</f>
        <v/>
      </c>
      <c r="D12957">
        <f>IF(B12957=C12957, "YES", "WRONG")</f>
        <v/>
      </c>
    </row>
    <row r="12958">
      <c r="A12958" t="n">
        <v>12957</v>
      </c>
      <c r="B12958" t="inlineStr">
        <is>
          <t>x̄MMCMLVII</t>
        </is>
      </c>
      <c r="C12958">
        <f>ROMAN(12957)</f>
        <v/>
      </c>
      <c r="D12958">
        <f>IF(B12958=C12958, "YES", "WRONG")</f>
        <v/>
      </c>
    </row>
    <row r="12959">
      <c r="A12959" t="n">
        <v>12958</v>
      </c>
      <c r="B12959" t="inlineStr">
        <is>
          <t>x̄MMCMLVIII</t>
        </is>
      </c>
      <c r="C12959">
        <f>ROMAN(12958)</f>
        <v/>
      </c>
      <c r="D12959">
        <f>IF(B12959=C12959, "YES", "WRONG")</f>
        <v/>
      </c>
    </row>
    <row r="12960">
      <c r="A12960" t="n">
        <v>12959</v>
      </c>
      <c r="B12960" t="inlineStr">
        <is>
          <t>x̄MMCMLIX</t>
        </is>
      </c>
      <c r="C12960">
        <f>ROMAN(12959)</f>
        <v/>
      </c>
      <c r="D12960">
        <f>IF(B12960=C12960, "YES", "WRONG")</f>
        <v/>
      </c>
    </row>
    <row r="12961">
      <c r="A12961" t="n">
        <v>12960</v>
      </c>
      <c r="B12961" t="inlineStr">
        <is>
          <t>x̄MMCMLX</t>
        </is>
      </c>
      <c r="C12961">
        <f>ROMAN(12960)</f>
        <v/>
      </c>
      <c r="D12961">
        <f>IF(B12961=C12961, "YES", "WRONG")</f>
        <v/>
      </c>
    </row>
    <row r="12962">
      <c r="A12962" t="n">
        <v>12961</v>
      </c>
      <c r="B12962" t="inlineStr">
        <is>
          <t>x̄MMCMLXI</t>
        </is>
      </c>
      <c r="C12962">
        <f>ROMAN(12961)</f>
        <v/>
      </c>
      <c r="D12962">
        <f>IF(B12962=C12962, "YES", "WRONG")</f>
        <v/>
      </c>
    </row>
    <row r="12963">
      <c r="A12963" t="n">
        <v>12962</v>
      </c>
      <c r="B12963" t="inlineStr">
        <is>
          <t>x̄MMCMLXII</t>
        </is>
      </c>
      <c r="C12963">
        <f>ROMAN(12962)</f>
        <v/>
      </c>
      <c r="D12963">
        <f>IF(B12963=C12963, "YES", "WRONG")</f>
        <v/>
      </c>
    </row>
    <row r="12964">
      <c r="A12964" t="n">
        <v>12963</v>
      </c>
      <c r="B12964" t="inlineStr">
        <is>
          <t>x̄MMCMLXIII</t>
        </is>
      </c>
      <c r="C12964">
        <f>ROMAN(12963)</f>
        <v/>
      </c>
      <c r="D12964">
        <f>IF(B12964=C12964, "YES", "WRONG")</f>
        <v/>
      </c>
    </row>
    <row r="12965">
      <c r="A12965" t="n">
        <v>12964</v>
      </c>
      <c r="B12965" t="inlineStr">
        <is>
          <t>x̄MMCMLXIV</t>
        </is>
      </c>
      <c r="C12965">
        <f>ROMAN(12964)</f>
        <v/>
      </c>
      <c r="D12965">
        <f>IF(B12965=C12965, "YES", "WRONG")</f>
        <v/>
      </c>
    </row>
    <row r="12966">
      <c r="A12966" t="n">
        <v>12965</v>
      </c>
      <c r="B12966" t="inlineStr">
        <is>
          <t>x̄MMCMLXV</t>
        </is>
      </c>
      <c r="C12966">
        <f>ROMAN(12965)</f>
        <v/>
      </c>
      <c r="D12966">
        <f>IF(B12966=C12966, "YES", "WRONG")</f>
        <v/>
      </c>
    </row>
    <row r="12967">
      <c r="A12967" t="n">
        <v>12966</v>
      </c>
      <c r="B12967" t="inlineStr">
        <is>
          <t>x̄MMCMLXVI</t>
        </is>
      </c>
      <c r="C12967">
        <f>ROMAN(12966)</f>
        <v/>
      </c>
      <c r="D12967">
        <f>IF(B12967=C12967, "YES", "WRONG")</f>
        <v/>
      </c>
    </row>
    <row r="12968">
      <c r="A12968" t="n">
        <v>12967</v>
      </c>
      <c r="B12968" t="inlineStr">
        <is>
          <t>x̄MMCMLXVII</t>
        </is>
      </c>
      <c r="C12968">
        <f>ROMAN(12967)</f>
        <v/>
      </c>
      <c r="D12968">
        <f>IF(B12968=C12968, "YES", "WRONG")</f>
        <v/>
      </c>
    </row>
    <row r="12969">
      <c r="A12969" t="n">
        <v>12968</v>
      </c>
      <c r="B12969" t="inlineStr">
        <is>
          <t>x̄MMCMLXVIII</t>
        </is>
      </c>
      <c r="C12969">
        <f>ROMAN(12968)</f>
        <v/>
      </c>
      <c r="D12969">
        <f>IF(B12969=C12969, "YES", "WRONG")</f>
        <v/>
      </c>
    </row>
    <row r="12970">
      <c r="A12970" t="n">
        <v>12969</v>
      </c>
      <c r="B12970" t="inlineStr">
        <is>
          <t>x̄MMCMLXIX</t>
        </is>
      </c>
      <c r="C12970">
        <f>ROMAN(12969)</f>
        <v/>
      </c>
      <c r="D12970">
        <f>IF(B12970=C12970, "YES", "WRONG")</f>
        <v/>
      </c>
    </row>
    <row r="12971">
      <c r="A12971" t="n">
        <v>12970</v>
      </c>
      <c r="B12971" t="inlineStr">
        <is>
          <t>x̄MMCMLXX</t>
        </is>
      </c>
      <c r="C12971">
        <f>ROMAN(12970)</f>
        <v/>
      </c>
      <c r="D12971">
        <f>IF(B12971=C12971, "YES", "WRONG")</f>
        <v/>
      </c>
    </row>
    <row r="12972">
      <c r="A12972" t="n">
        <v>12971</v>
      </c>
      <c r="B12972" t="inlineStr">
        <is>
          <t>x̄MMCMLXXI</t>
        </is>
      </c>
      <c r="C12972">
        <f>ROMAN(12971)</f>
        <v/>
      </c>
      <c r="D12972">
        <f>IF(B12972=C12972, "YES", "WRONG")</f>
        <v/>
      </c>
    </row>
    <row r="12973">
      <c r="A12973" t="n">
        <v>12972</v>
      </c>
      <c r="B12973" t="inlineStr">
        <is>
          <t>x̄MMCMLXXII</t>
        </is>
      </c>
      <c r="C12973">
        <f>ROMAN(12972)</f>
        <v/>
      </c>
      <c r="D12973">
        <f>IF(B12973=C12973, "YES", "WRONG")</f>
        <v/>
      </c>
    </row>
    <row r="12974">
      <c r="A12974" t="n">
        <v>12973</v>
      </c>
      <c r="B12974" t="inlineStr">
        <is>
          <t>x̄MMCMLXXIII</t>
        </is>
      </c>
      <c r="C12974">
        <f>ROMAN(12973)</f>
        <v/>
      </c>
      <c r="D12974">
        <f>IF(B12974=C12974, "YES", "WRONG")</f>
        <v/>
      </c>
    </row>
    <row r="12975">
      <c r="A12975" t="n">
        <v>12974</v>
      </c>
      <c r="B12975" t="inlineStr">
        <is>
          <t>x̄MMCMLXXIV</t>
        </is>
      </c>
      <c r="C12975">
        <f>ROMAN(12974)</f>
        <v/>
      </c>
      <c r="D12975">
        <f>IF(B12975=C12975, "YES", "WRONG")</f>
        <v/>
      </c>
    </row>
    <row r="12976">
      <c r="A12976" t="n">
        <v>12975</v>
      </c>
      <c r="B12976" t="inlineStr">
        <is>
          <t>x̄MMCMLXXV</t>
        </is>
      </c>
      <c r="C12976">
        <f>ROMAN(12975)</f>
        <v/>
      </c>
      <c r="D12976">
        <f>IF(B12976=C12976, "YES", "WRONG")</f>
        <v/>
      </c>
    </row>
    <row r="12977">
      <c r="A12977" t="n">
        <v>12976</v>
      </c>
      <c r="B12977" t="inlineStr">
        <is>
          <t>x̄MMCMLXXVI</t>
        </is>
      </c>
      <c r="C12977">
        <f>ROMAN(12976)</f>
        <v/>
      </c>
      <c r="D12977">
        <f>IF(B12977=C12977, "YES", "WRONG")</f>
        <v/>
      </c>
    </row>
    <row r="12978">
      <c r="A12978" t="n">
        <v>12977</v>
      </c>
      <c r="B12978" t="inlineStr">
        <is>
          <t>x̄MMCMLXXVII</t>
        </is>
      </c>
      <c r="C12978">
        <f>ROMAN(12977)</f>
        <v/>
      </c>
      <c r="D12978">
        <f>IF(B12978=C12978, "YES", "WRONG")</f>
        <v/>
      </c>
    </row>
    <row r="12979">
      <c r="A12979" t="n">
        <v>12978</v>
      </c>
      <c r="B12979" t="inlineStr">
        <is>
          <t>x̄MMCMLXXVIII</t>
        </is>
      </c>
      <c r="C12979">
        <f>ROMAN(12978)</f>
        <v/>
      </c>
      <c r="D12979">
        <f>IF(B12979=C12979, "YES", "WRONG")</f>
        <v/>
      </c>
    </row>
    <row r="12980">
      <c r="A12980" t="n">
        <v>12979</v>
      </c>
      <c r="B12980" t="inlineStr">
        <is>
          <t>x̄MMCMLXXIX</t>
        </is>
      </c>
      <c r="C12980">
        <f>ROMAN(12979)</f>
        <v/>
      </c>
      <c r="D12980">
        <f>IF(B12980=C12980, "YES", "WRONG")</f>
        <v/>
      </c>
    </row>
    <row r="12981">
      <c r="A12981" t="n">
        <v>12980</v>
      </c>
      <c r="B12981" t="inlineStr">
        <is>
          <t>x̄MMCMLXXX</t>
        </is>
      </c>
      <c r="C12981">
        <f>ROMAN(12980)</f>
        <v/>
      </c>
      <c r="D12981">
        <f>IF(B12981=C12981, "YES", "WRONG")</f>
        <v/>
      </c>
    </row>
    <row r="12982">
      <c r="A12982" t="n">
        <v>12981</v>
      </c>
      <c r="B12982" t="inlineStr">
        <is>
          <t>x̄MMCMLXXXI</t>
        </is>
      </c>
      <c r="C12982">
        <f>ROMAN(12981)</f>
        <v/>
      </c>
      <c r="D12982">
        <f>IF(B12982=C12982, "YES", "WRONG")</f>
        <v/>
      </c>
    </row>
    <row r="12983">
      <c r="A12983" t="n">
        <v>12982</v>
      </c>
      <c r="B12983" t="inlineStr">
        <is>
          <t>x̄MMCMLXXXII</t>
        </is>
      </c>
      <c r="C12983">
        <f>ROMAN(12982)</f>
        <v/>
      </c>
      <c r="D12983">
        <f>IF(B12983=C12983, "YES", "WRONG")</f>
        <v/>
      </c>
    </row>
    <row r="12984">
      <c r="A12984" t="n">
        <v>12983</v>
      </c>
      <c r="B12984" t="inlineStr">
        <is>
          <t>x̄MMCMLXXXIII</t>
        </is>
      </c>
      <c r="C12984">
        <f>ROMAN(12983)</f>
        <v/>
      </c>
      <c r="D12984">
        <f>IF(B12984=C12984, "YES", "WRONG")</f>
        <v/>
      </c>
    </row>
    <row r="12985">
      <c r="A12985" t="n">
        <v>12984</v>
      </c>
      <c r="B12985" t="inlineStr">
        <is>
          <t>x̄MMCMLXXXIV</t>
        </is>
      </c>
      <c r="C12985">
        <f>ROMAN(12984)</f>
        <v/>
      </c>
      <c r="D12985">
        <f>IF(B12985=C12985, "YES", "WRONG")</f>
        <v/>
      </c>
    </row>
    <row r="12986">
      <c r="A12986" t="n">
        <v>12985</v>
      </c>
      <c r="B12986" t="inlineStr">
        <is>
          <t>x̄MMCMLXXXV</t>
        </is>
      </c>
      <c r="C12986">
        <f>ROMAN(12985)</f>
        <v/>
      </c>
      <c r="D12986">
        <f>IF(B12986=C12986, "YES", "WRONG")</f>
        <v/>
      </c>
    </row>
    <row r="12987">
      <c r="A12987" t="n">
        <v>12986</v>
      </c>
      <c r="B12987" t="inlineStr">
        <is>
          <t>x̄MMCMLXXXVI</t>
        </is>
      </c>
      <c r="C12987">
        <f>ROMAN(12986)</f>
        <v/>
      </c>
      <c r="D12987">
        <f>IF(B12987=C12987, "YES", "WRONG")</f>
        <v/>
      </c>
    </row>
    <row r="12988">
      <c r="A12988" t="n">
        <v>12987</v>
      </c>
      <c r="B12988" t="inlineStr">
        <is>
          <t>x̄MMCMLXXXVII</t>
        </is>
      </c>
      <c r="C12988">
        <f>ROMAN(12987)</f>
        <v/>
      </c>
      <c r="D12988">
        <f>IF(B12988=C12988, "YES", "WRONG")</f>
        <v/>
      </c>
    </row>
    <row r="12989">
      <c r="A12989" t="n">
        <v>12988</v>
      </c>
      <c r="B12989" t="inlineStr">
        <is>
          <t>x̄MMCMLXXXVIII</t>
        </is>
      </c>
      <c r="C12989">
        <f>ROMAN(12988)</f>
        <v/>
      </c>
      <c r="D12989">
        <f>IF(B12989=C12989, "YES", "WRONG")</f>
        <v/>
      </c>
    </row>
    <row r="12990">
      <c r="A12990" t="n">
        <v>12989</v>
      </c>
      <c r="B12990" t="inlineStr">
        <is>
          <t>x̄MMCMLXXXIX</t>
        </is>
      </c>
      <c r="C12990">
        <f>ROMAN(12989)</f>
        <v/>
      </c>
      <c r="D12990">
        <f>IF(B12990=C12990, "YES", "WRONG")</f>
        <v/>
      </c>
    </row>
    <row r="12991">
      <c r="A12991" t="n">
        <v>12990</v>
      </c>
      <c r="B12991" t="inlineStr">
        <is>
          <t>x̄MMCMXC</t>
        </is>
      </c>
      <c r="C12991">
        <f>ROMAN(12990)</f>
        <v/>
      </c>
      <c r="D12991">
        <f>IF(B12991=C12991, "YES", "WRONG")</f>
        <v/>
      </c>
    </row>
    <row r="12992">
      <c r="A12992" t="n">
        <v>12991</v>
      </c>
      <c r="B12992" t="inlineStr">
        <is>
          <t>x̄MMCMXCI</t>
        </is>
      </c>
      <c r="C12992">
        <f>ROMAN(12991)</f>
        <v/>
      </c>
      <c r="D12992">
        <f>IF(B12992=C12992, "YES", "WRONG")</f>
        <v/>
      </c>
    </row>
    <row r="12993">
      <c r="A12993" t="n">
        <v>12992</v>
      </c>
      <c r="B12993" t="inlineStr">
        <is>
          <t>x̄MMCMXCII</t>
        </is>
      </c>
      <c r="C12993">
        <f>ROMAN(12992)</f>
        <v/>
      </c>
      <c r="D12993">
        <f>IF(B12993=C12993, "YES", "WRONG")</f>
        <v/>
      </c>
    </row>
    <row r="12994">
      <c r="A12994" t="n">
        <v>12993</v>
      </c>
      <c r="B12994" t="inlineStr">
        <is>
          <t>x̄MMCMXCIII</t>
        </is>
      </c>
      <c r="C12994">
        <f>ROMAN(12993)</f>
        <v/>
      </c>
      <c r="D12994">
        <f>IF(B12994=C12994, "YES", "WRONG")</f>
        <v/>
      </c>
    </row>
    <row r="12995">
      <c r="A12995" t="n">
        <v>12994</v>
      </c>
      <c r="B12995" t="inlineStr">
        <is>
          <t>x̄MMCMXCIV</t>
        </is>
      </c>
      <c r="C12995">
        <f>ROMAN(12994)</f>
        <v/>
      </c>
      <c r="D12995">
        <f>IF(B12995=C12995, "YES", "WRONG")</f>
        <v/>
      </c>
    </row>
    <row r="12996">
      <c r="A12996" t="n">
        <v>12995</v>
      </c>
      <c r="B12996" t="inlineStr">
        <is>
          <t>x̄MMCMXCV</t>
        </is>
      </c>
      <c r="C12996">
        <f>ROMAN(12995)</f>
        <v/>
      </c>
      <c r="D12996">
        <f>IF(B12996=C12996, "YES", "WRONG")</f>
        <v/>
      </c>
    </row>
    <row r="12997">
      <c r="A12997" t="n">
        <v>12996</v>
      </c>
      <c r="B12997" t="inlineStr">
        <is>
          <t>x̄MMCMXCVI</t>
        </is>
      </c>
      <c r="C12997">
        <f>ROMAN(12996)</f>
        <v/>
      </c>
      <c r="D12997">
        <f>IF(B12997=C12997, "YES", "WRONG")</f>
        <v/>
      </c>
    </row>
    <row r="12998">
      <c r="A12998" t="n">
        <v>12997</v>
      </c>
      <c r="B12998" t="inlineStr">
        <is>
          <t>x̄MMCMXCVII</t>
        </is>
      </c>
      <c r="C12998">
        <f>ROMAN(12997)</f>
        <v/>
      </c>
      <c r="D12998">
        <f>IF(B12998=C12998, "YES", "WRONG")</f>
        <v/>
      </c>
    </row>
    <row r="12999">
      <c r="A12999" t="n">
        <v>12998</v>
      </c>
      <c r="B12999" t="inlineStr">
        <is>
          <t>x̄MMCMXCVIII</t>
        </is>
      </c>
      <c r="C12999">
        <f>ROMAN(12998)</f>
        <v/>
      </c>
      <c r="D12999">
        <f>IF(B12999=C12999, "YES", "WRONG")</f>
        <v/>
      </c>
    </row>
    <row r="13000">
      <c r="A13000" t="n">
        <v>12999</v>
      </c>
      <c r="B13000" t="inlineStr">
        <is>
          <t>x̄MMCMXCIX</t>
        </is>
      </c>
      <c r="C13000">
        <f>ROMAN(12999)</f>
        <v/>
      </c>
      <c r="D13000">
        <f>IF(B13000=C13000, "YES", "WRONG")</f>
        <v/>
      </c>
    </row>
    <row r="13001">
      <c r="A13001" t="n">
        <v>13000</v>
      </c>
      <c r="B13001" t="inlineStr">
        <is>
          <t>x̄MMM</t>
        </is>
      </c>
      <c r="C13001">
        <f>ROMAN(13000)</f>
        <v/>
      </c>
      <c r="D13001">
        <f>IF(B13001=C13001, "YES", "WRONG")</f>
        <v/>
      </c>
    </row>
    <row r="13002">
      <c r="A13002" t="n">
        <v>13001</v>
      </c>
      <c r="B13002" t="inlineStr">
        <is>
          <t>x̄MMMI</t>
        </is>
      </c>
      <c r="C13002">
        <f>ROMAN(13001)</f>
        <v/>
      </c>
      <c r="D13002">
        <f>IF(B13002=C13002, "YES", "WRONG")</f>
        <v/>
      </c>
    </row>
    <row r="13003">
      <c r="A13003" t="n">
        <v>13002</v>
      </c>
      <c r="B13003" t="inlineStr">
        <is>
          <t>x̄MMMII</t>
        </is>
      </c>
      <c r="C13003">
        <f>ROMAN(13002)</f>
        <v/>
      </c>
      <c r="D13003">
        <f>IF(B13003=C13003, "YES", "WRONG")</f>
        <v/>
      </c>
    </row>
    <row r="13004">
      <c r="A13004" t="n">
        <v>13003</v>
      </c>
      <c r="B13004" t="inlineStr">
        <is>
          <t>x̄MMMIII</t>
        </is>
      </c>
      <c r="C13004">
        <f>ROMAN(13003)</f>
        <v/>
      </c>
      <c r="D13004">
        <f>IF(B13004=C13004, "YES", "WRONG")</f>
        <v/>
      </c>
    </row>
    <row r="13005">
      <c r="A13005" t="n">
        <v>13004</v>
      </c>
      <c r="B13005" t="inlineStr">
        <is>
          <t>x̄MMMIV</t>
        </is>
      </c>
      <c r="C13005">
        <f>ROMAN(13004)</f>
        <v/>
      </c>
      <c r="D13005">
        <f>IF(B13005=C13005, "YES", "WRONG")</f>
        <v/>
      </c>
    </row>
    <row r="13006">
      <c r="A13006" t="n">
        <v>13005</v>
      </c>
      <c r="B13006" t="inlineStr">
        <is>
          <t>x̄MMMV</t>
        </is>
      </c>
      <c r="C13006">
        <f>ROMAN(13005)</f>
        <v/>
      </c>
      <c r="D13006">
        <f>IF(B13006=C13006, "YES", "WRONG")</f>
        <v/>
      </c>
    </row>
    <row r="13007">
      <c r="A13007" t="n">
        <v>13006</v>
      </c>
      <c r="B13007" t="inlineStr">
        <is>
          <t>x̄MMMVI</t>
        </is>
      </c>
      <c r="C13007">
        <f>ROMAN(13006)</f>
        <v/>
      </c>
      <c r="D13007">
        <f>IF(B13007=C13007, "YES", "WRONG")</f>
        <v/>
      </c>
    </row>
    <row r="13008">
      <c r="A13008" t="n">
        <v>13007</v>
      </c>
      <c r="B13008" t="inlineStr">
        <is>
          <t>x̄MMMVII</t>
        </is>
      </c>
      <c r="C13008">
        <f>ROMAN(13007)</f>
        <v/>
      </c>
      <c r="D13008">
        <f>IF(B13008=C13008, "YES", "WRONG")</f>
        <v/>
      </c>
    </row>
    <row r="13009">
      <c r="A13009" t="n">
        <v>13008</v>
      </c>
      <c r="B13009" t="inlineStr">
        <is>
          <t>x̄MMMVIII</t>
        </is>
      </c>
      <c r="C13009">
        <f>ROMAN(13008)</f>
        <v/>
      </c>
      <c r="D13009">
        <f>IF(B13009=C13009, "YES", "WRONG")</f>
        <v/>
      </c>
    </row>
    <row r="13010">
      <c r="A13010" t="n">
        <v>13009</v>
      </c>
      <c r="B13010" t="inlineStr">
        <is>
          <t>x̄MMMIX</t>
        </is>
      </c>
      <c r="C13010">
        <f>ROMAN(13009)</f>
        <v/>
      </c>
      <c r="D13010">
        <f>IF(B13010=C13010, "YES", "WRONG")</f>
        <v/>
      </c>
    </row>
    <row r="13011">
      <c r="A13011" t="n">
        <v>13010</v>
      </c>
      <c r="B13011" t="inlineStr">
        <is>
          <t>x̄MMMX</t>
        </is>
      </c>
      <c r="C13011">
        <f>ROMAN(13010)</f>
        <v/>
      </c>
      <c r="D13011">
        <f>IF(B13011=C13011, "YES", "WRONG")</f>
        <v/>
      </c>
    </row>
    <row r="13012">
      <c r="A13012" t="n">
        <v>13011</v>
      </c>
      <c r="B13012" t="inlineStr">
        <is>
          <t>x̄MMMXI</t>
        </is>
      </c>
      <c r="C13012">
        <f>ROMAN(13011)</f>
        <v/>
      </c>
      <c r="D13012">
        <f>IF(B13012=C13012, "YES", "WRONG")</f>
        <v/>
      </c>
    </row>
    <row r="13013">
      <c r="A13013" t="n">
        <v>13012</v>
      </c>
      <c r="B13013" t="inlineStr">
        <is>
          <t>x̄MMMXII</t>
        </is>
      </c>
      <c r="C13013">
        <f>ROMAN(13012)</f>
        <v/>
      </c>
      <c r="D13013">
        <f>IF(B13013=C13013, "YES", "WRONG")</f>
        <v/>
      </c>
    </row>
    <row r="13014">
      <c r="A13014" t="n">
        <v>13013</v>
      </c>
      <c r="B13014" t="inlineStr">
        <is>
          <t>x̄MMMXIII</t>
        </is>
      </c>
      <c r="C13014">
        <f>ROMAN(13013)</f>
        <v/>
      </c>
      <c r="D13014">
        <f>IF(B13014=C13014, "YES", "WRONG")</f>
        <v/>
      </c>
    </row>
    <row r="13015">
      <c r="A13015" t="n">
        <v>13014</v>
      </c>
      <c r="B13015" t="inlineStr">
        <is>
          <t>x̄MMMXIV</t>
        </is>
      </c>
      <c r="C13015">
        <f>ROMAN(13014)</f>
        <v/>
      </c>
      <c r="D13015">
        <f>IF(B13015=C13015, "YES", "WRONG")</f>
        <v/>
      </c>
    </row>
    <row r="13016">
      <c r="A13016" t="n">
        <v>13015</v>
      </c>
      <c r="B13016" t="inlineStr">
        <is>
          <t>x̄MMMXV</t>
        </is>
      </c>
      <c r="C13016">
        <f>ROMAN(13015)</f>
        <v/>
      </c>
      <c r="D13016">
        <f>IF(B13016=C13016, "YES", "WRONG")</f>
        <v/>
      </c>
    </row>
    <row r="13017">
      <c r="A13017" t="n">
        <v>13016</v>
      </c>
      <c r="B13017" t="inlineStr">
        <is>
          <t>x̄MMMXVI</t>
        </is>
      </c>
      <c r="C13017">
        <f>ROMAN(13016)</f>
        <v/>
      </c>
      <c r="D13017">
        <f>IF(B13017=C13017, "YES", "WRONG")</f>
        <v/>
      </c>
    </row>
    <row r="13018">
      <c r="A13018" t="n">
        <v>13017</v>
      </c>
      <c r="B13018" t="inlineStr">
        <is>
          <t>x̄MMMXVII</t>
        </is>
      </c>
      <c r="C13018">
        <f>ROMAN(13017)</f>
        <v/>
      </c>
      <c r="D13018">
        <f>IF(B13018=C13018, "YES", "WRONG")</f>
        <v/>
      </c>
    </row>
    <row r="13019">
      <c r="A13019" t="n">
        <v>13018</v>
      </c>
      <c r="B13019" t="inlineStr">
        <is>
          <t>x̄MMMXVIII</t>
        </is>
      </c>
      <c r="C13019">
        <f>ROMAN(13018)</f>
        <v/>
      </c>
      <c r="D13019">
        <f>IF(B13019=C13019, "YES", "WRONG")</f>
        <v/>
      </c>
    </row>
    <row r="13020">
      <c r="A13020" t="n">
        <v>13019</v>
      </c>
      <c r="B13020" t="inlineStr">
        <is>
          <t>x̄MMMXIX</t>
        </is>
      </c>
      <c r="C13020">
        <f>ROMAN(13019)</f>
        <v/>
      </c>
      <c r="D13020">
        <f>IF(B13020=C13020, "YES", "WRONG")</f>
        <v/>
      </c>
    </row>
    <row r="13021">
      <c r="A13021" t="n">
        <v>13020</v>
      </c>
      <c r="B13021" t="inlineStr">
        <is>
          <t>x̄MMMXX</t>
        </is>
      </c>
      <c r="C13021">
        <f>ROMAN(13020)</f>
        <v/>
      </c>
      <c r="D13021">
        <f>IF(B13021=C13021, "YES", "WRONG")</f>
        <v/>
      </c>
    </row>
    <row r="13022">
      <c r="A13022" t="n">
        <v>13021</v>
      </c>
      <c r="B13022" t="inlineStr">
        <is>
          <t>x̄MMMXXI</t>
        </is>
      </c>
      <c r="C13022">
        <f>ROMAN(13021)</f>
        <v/>
      </c>
      <c r="D13022">
        <f>IF(B13022=C13022, "YES", "WRONG")</f>
        <v/>
      </c>
    </row>
    <row r="13023">
      <c r="A13023" t="n">
        <v>13022</v>
      </c>
      <c r="B13023" t="inlineStr">
        <is>
          <t>x̄MMMXXII</t>
        </is>
      </c>
      <c r="C13023">
        <f>ROMAN(13022)</f>
        <v/>
      </c>
      <c r="D13023">
        <f>IF(B13023=C13023, "YES", "WRONG")</f>
        <v/>
      </c>
    </row>
    <row r="13024">
      <c r="A13024" t="n">
        <v>13023</v>
      </c>
      <c r="B13024" t="inlineStr">
        <is>
          <t>x̄MMMXXIII</t>
        </is>
      </c>
      <c r="C13024">
        <f>ROMAN(13023)</f>
        <v/>
      </c>
      <c r="D13024">
        <f>IF(B13024=C13024, "YES", "WRONG")</f>
        <v/>
      </c>
    </row>
    <row r="13025">
      <c r="A13025" t="n">
        <v>13024</v>
      </c>
      <c r="B13025" t="inlineStr">
        <is>
          <t>x̄MMMXXIV</t>
        </is>
      </c>
      <c r="C13025">
        <f>ROMAN(13024)</f>
        <v/>
      </c>
      <c r="D13025">
        <f>IF(B13025=C13025, "YES", "WRONG")</f>
        <v/>
      </c>
    </row>
    <row r="13026">
      <c r="A13026" t="n">
        <v>13025</v>
      </c>
      <c r="B13026" t="inlineStr">
        <is>
          <t>x̄MMMXXV</t>
        </is>
      </c>
      <c r="C13026">
        <f>ROMAN(13025)</f>
        <v/>
      </c>
      <c r="D13026">
        <f>IF(B13026=C13026, "YES", "WRONG")</f>
        <v/>
      </c>
    </row>
    <row r="13027">
      <c r="A13027" t="n">
        <v>13026</v>
      </c>
      <c r="B13027" t="inlineStr">
        <is>
          <t>x̄MMMXXVI</t>
        </is>
      </c>
      <c r="C13027">
        <f>ROMAN(13026)</f>
        <v/>
      </c>
      <c r="D13027">
        <f>IF(B13027=C13027, "YES", "WRONG")</f>
        <v/>
      </c>
    </row>
    <row r="13028">
      <c r="A13028" t="n">
        <v>13027</v>
      </c>
      <c r="B13028" t="inlineStr">
        <is>
          <t>x̄MMMXXVII</t>
        </is>
      </c>
      <c r="C13028">
        <f>ROMAN(13027)</f>
        <v/>
      </c>
      <c r="D13028">
        <f>IF(B13028=C13028, "YES", "WRONG")</f>
        <v/>
      </c>
    </row>
    <row r="13029">
      <c r="A13029" t="n">
        <v>13028</v>
      </c>
      <c r="B13029" t="inlineStr">
        <is>
          <t>x̄MMMXXVIII</t>
        </is>
      </c>
      <c r="C13029">
        <f>ROMAN(13028)</f>
        <v/>
      </c>
      <c r="D13029">
        <f>IF(B13029=C13029, "YES", "WRONG")</f>
        <v/>
      </c>
    </row>
    <row r="13030">
      <c r="A13030" t="n">
        <v>13029</v>
      </c>
      <c r="B13030" t="inlineStr">
        <is>
          <t>x̄MMMXXIX</t>
        </is>
      </c>
      <c r="C13030">
        <f>ROMAN(13029)</f>
        <v/>
      </c>
      <c r="D13030">
        <f>IF(B13030=C13030, "YES", "WRONG")</f>
        <v/>
      </c>
    </row>
    <row r="13031">
      <c r="A13031" t="n">
        <v>13030</v>
      </c>
      <c r="B13031" t="inlineStr">
        <is>
          <t>x̄MMMXXX</t>
        </is>
      </c>
      <c r="C13031">
        <f>ROMAN(13030)</f>
        <v/>
      </c>
      <c r="D13031">
        <f>IF(B13031=C13031, "YES", "WRONG")</f>
        <v/>
      </c>
    </row>
    <row r="13032">
      <c r="A13032" t="n">
        <v>13031</v>
      </c>
      <c r="B13032" t="inlineStr">
        <is>
          <t>x̄MMMXXXI</t>
        </is>
      </c>
      <c r="C13032">
        <f>ROMAN(13031)</f>
        <v/>
      </c>
      <c r="D13032">
        <f>IF(B13032=C13032, "YES", "WRONG")</f>
        <v/>
      </c>
    </row>
    <row r="13033">
      <c r="A13033" t="n">
        <v>13032</v>
      </c>
      <c r="B13033" t="inlineStr">
        <is>
          <t>x̄MMMXXXII</t>
        </is>
      </c>
      <c r="C13033">
        <f>ROMAN(13032)</f>
        <v/>
      </c>
      <c r="D13033">
        <f>IF(B13033=C13033, "YES", "WRONG")</f>
        <v/>
      </c>
    </row>
    <row r="13034">
      <c r="A13034" t="n">
        <v>13033</v>
      </c>
      <c r="B13034" t="inlineStr">
        <is>
          <t>x̄MMMXXXIII</t>
        </is>
      </c>
      <c r="C13034">
        <f>ROMAN(13033)</f>
        <v/>
      </c>
      <c r="D13034">
        <f>IF(B13034=C13034, "YES", "WRONG")</f>
        <v/>
      </c>
    </row>
    <row r="13035">
      <c r="A13035" t="n">
        <v>13034</v>
      </c>
      <c r="B13035" t="inlineStr">
        <is>
          <t>x̄MMMXXXIV</t>
        </is>
      </c>
      <c r="C13035">
        <f>ROMAN(13034)</f>
        <v/>
      </c>
      <c r="D13035">
        <f>IF(B13035=C13035, "YES", "WRONG")</f>
        <v/>
      </c>
    </row>
    <row r="13036">
      <c r="A13036" t="n">
        <v>13035</v>
      </c>
      <c r="B13036" t="inlineStr">
        <is>
          <t>x̄MMMXXXV</t>
        </is>
      </c>
      <c r="C13036">
        <f>ROMAN(13035)</f>
        <v/>
      </c>
      <c r="D13036">
        <f>IF(B13036=C13036, "YES", "WRONG")</f>
        <v/>
      </c>
    </row>
    <row r="13037">
      <c r="A13037" t="n">
        <v>13036</v>
      </c>
      <c r="B13037" t="inlineStr">
        <is>
          <t>x̄MMMXXXVI</t>
        </is>
      </c>
      <c r="C13037">
        <f>ROMAN(13036)</f>
        <v/>
      </c>
      <c r="D13037">
        <f>IF(B13037=C13037, "YES", "WRONG")</f>
        <v/>
      </c>
    </row>
    <row r="13038">
      <c r="A13038" t="n">
        <v>13037</v>
      </c>
      <c r="B13038" t="inlineStr">
        <is>
          <t>x̄MMMXXXVII</t>
        </is>
      </c>
      <c r="C13038">
        <f>ROMAN(13037)</f>
        <v/>
      </c>
      <c r="D13038">
        <f>IF(B13038=C13038, "YES", "WRONG")</f>
        <v/>
      </c>
    </row>
    <row r="13039">
      <c r="A13039" t="n">
        <v>13038</v>
      </c>
      <c r="B13039" t="inlineStr">
        <is>
          <t>x̄MMMXXXVIII</t>
        </is>
      </c>
      <c r="C13039">
        <f>ROMAN(13038)</f>
        <v/>
      </c>
      <c r="D13039">
        <f>IF(B13039=C13039, "YES", "WRONG")</f>
        <v/>
      </c>
    </row>
    <row r="13040">
      <c r="A13040" t="n">
        <v>13039</v>
      </c>
      <c r="B13040" t="inlineStr">
        <is>
          <t>x̄MMMXXXIX</t>
        </is>
      </c>
      <c r="C13040">
        <f>ROMAN(13039)</f>
        <v/>
      </c>
      <c r="D13040">
        <f>IF(B13040=C13040, "YES", "WRONG")</f>
        <v/>
      </c>
    </row>
    <row r="13041">
      <c r="A13041" t="n">
        <v>13040</v>
      </c>
      <c r="B13041" t="inlineStr">
        <is>
          <t>x̄MMMXL</t>
        </is>
      </c>
      <c r="C13041">
        <f>ROMAN(13040)</f>
        <v/>
      </c>
      <c r="D13041">
        <f>IF(B13041=C13041, "YES", "WRONG")</f>
        <v/>
      </c>
    </row>
    <row r="13042">
      <c r="A13042" t="n">
        <v>13041</v>
      </c>
      <c r="B13042" t="inlineStr">
        <is>
          <t>x̄MMMXLI</t>
        </is>
      </c>
      <c r="C13042">
        <f>ROMAN(13041)</f>
        <v/>
      </c>
      <c r="D13042">
        <f>IF(B13042=C13042, "YES", "WRONG")</f>
        <v/>
      </c>
    </row>
    <row r="13043">
      <c r="A13043" t="n">
        <v>13042</v>
      </c>
      <c r="B13043" t="inlineStr">
        <is>
          <t>x̄MMMXLII</t>
        </is>
      </c>
      <c r="C13043">
        <f>ROMAN(13042)</f>
        <v/>
      </c>
      <c r="D13043">
        <f>IF(B13043=C13043, "YES", "WRONG")</f>
        <v/>
      </c>
    </row>
    <row r="13044">
      <c r="A13044" t="n">
        <v>13043</v>
      </c>
      <c r="B13044" t="inlineStr">
        <is>
          <t>x̄MMMXLIII</t>
        </is>
      </c>
      <c r="C13044">
        <f>ROMAN(13043)</f>
        <v/>
      </c>
      <c r="D13044">
        <f>IF(B13044=C13044, "YES", "WRONG")</f>
        <v/>
      </c>
    </row>
    <row r="13045">
      <c r="A13045" t="n">
        <v>13044</v>
      </c>
      <c r="B13045" t="inlineStr">
        <is>
          <t>x̄MMMXLIV</t>
        </is>
      </c>
      <c r="C13045">
        <f>ROMAN(13044)</f>
        <v/>
      </c>
      <c r="D13045">
        <f>IF(B13045=C13045, "YES", "WRONG")</f>
        <v/>
      </c>
    </row>
    <row r="13046">
      <c r="A13046" t="n">
        <v>13045</v>
      </c>
      <c r="B13046" t="inlineStr">
        <is>
          <t>x̄MMMXLV</t>
        </is>
      </c>
      <c r="C13046">
        <f>ROMAN(13045)</f>
        <v/>
      </c>
      <c r="D13046">
        <f>IF(B13046=C13046, "YES", "WRONG")</f>
        <v/>
      </c>
    </row>
    <row r="13047">
      <c r="A13047" t="n">
        <v>13046</v>
      </c>
      <c r="B13047" t="inlineStr">
        <is>
          <t>x̄MMMXLVI</t>
        </is>
      </c>
      <c r="C13047">
        <f>ROMAN(13046)</f>
        <v/>
      </c>
      <c r="D13047">
        <f>IF(B13047=C13047, "YES", "WRONG")</f>
        <v/>
      </c>
    </row>
    <row r="13048">
      <c r="A13048" t="n">
        <v>13047</v>
      </c>
      <c r="B13048" t="inlineStr">
        <is>
          <t>x̄MMMXLVII</t>
        </is>
      </c>
      <c r="C13048">
        <f>ROMAN(13047)</f>
        <v/>
      </c>
      <c r="D13048">
        <f>IF(B13048=C13048, "YES", "WRONG")</f>
        <v/>
      </c>
    </row>
    <row r="13049">
      <c r="A13049" t="n">
        <v>13048</v>
      </c>
      <c r="B13049" t="inlineStr">
        <is>
          <t>x̄MMMXLVIII</t>
        </is>
      </c>
      <c r="C13049">
        <f>ROMAN(13048)</f>
        <v/>
      </c>
      <c r="D13049">
        <f>IF(B13049=C13049, "YES", "WRONG")</f>
        <v/>
      </c>
    </row>
    <row r="13050">
      <c r="A13050" t="n">
        <v>13049</v>
      </c>
      <c r="B13050" t="inlineStr">
        <is>
          <t>x̄MMMXLIX</t>
        </is>
      </c>
      <c r="C13050">
        <f>ROMAN(13049)</f>
        <v/>
      </c>
      <c r="D13050">
        <f>IF(B13050=C13050, "YES", "WRONG")</f>
        <v/>
      </c>
    </row>
    <row r="13051">
      <c r="A13051" t="n">
        <v>13050</v>
      </c>
      <c r="B13051" t="inlineStr">
        <is>
          <t>x̄MMML</t>
        </is>
      </c>
      <c r="C13051">
        <f>ROMAN(13050)</f>
        <v/>
      </c>
      <c r="D13051">
        <f>IF(B13051=C13051, "YES", "WRONG")</f>
        <v/>
      </c>
    </row>
    <row r="13052">
      <c r="A13052" t="n">
        <v>13051</v>
      </c>
      <c r="B13052" t="inlineStr">
        <is>
          <t>x̄MMMLI</t>
        </is>
      </c>
      <c r="C13052">
        <f>ROMAN(13051)</f>
        <v/>
      </c>
      <c r="D13052">
        <f>IF(B13052=C13052, "YES", "WRONG")</f>
        <v/>
      </c>
    </row>
    <row r="13053">
      <c r="A13053" t="n">
        <v>13052</v>
      </c>
      <c r="B13053" t="inlineStr">
        <is>
          <t>x̄MMMLII</t>
        </is>
      </c>
      <c r="C13053">
        <f>ROMAN(13052)</f>
        <v/>
      </c>
      <c r="D13053">
        <f>IF(B13053=C13053, "YES", "WRONG")</f>
        <v/>
      </c>
    </row>
    <row r="13054">
      <c r="A13054" t="n">
        <v>13053</v>
      </c>
      <c r="B13054" t="inlineStr">
        <is>
          <t>x̄MMMLIII</t>
        </is>
      </c>
      <c r="C13054">
        <f>ROMAN(13053)</f>
        <v/>
      </c>
      <c r="D13054">
        <f>IF(B13054=C13054, "YES", "WRONG")</f>
        <v/>
      </c>
    </row>
    <row r="13055">
      <c r="A13055" t="n">
        <v>13054</v>
      </c>
      <c r="B13055" t="inlineStr">
        <is>
          <t>x̄MMMLIV</t>
        </is>
      </c>
      <c r="C13055">
        <f>ROMAN(13054)</f>
        <v/>
      </c>
      <c r="D13055">
        <f>IF(B13055=C13055, "YES", "WRONG")</f>
        <v/>
      </c>
    </row>
    <row r="13056">
      <c r="A13056" t="n">
        <v>13055</v>
      </c>
      <c r="B13056" t="inlineStr">
        <is>
          <t>x̄MMMLV</t>
        </is>
      </c>
      <c r="C13056">
        <f>ROMAN(13055)</f>
        <v/>
      </c>
      <c r="D13056">
        <f>IF(B13056=C13056, "YES", "WRONG")</f>
        <v/>
      </c>
    </row>
    <row r="13057">
      <c r="A13057" t="n">
        <v>13056</v>
      </c>
      <c r="B13057" t="inlineStr">
        <is>
          <t>x̄MMMLVI</t>
        </is>
      </c>
      <c r="C13057">
        <f>ROMAN(13056)</f>
        <v/>
      </c>
      <c r="D13057">
        <f>IF(B13057=C13057, "YES", "WRONG")</f>
        <v/>
      </c>
    </row>
    <row r="13058">
      <c r="A13058" t="n">
        <v>13057</v>
      </c>
      <c r="B13058" t="inlineStr">
        <is>
          <t>x̄MMMLVII</t>
        </is>
      </c>
      <c r="C13058">
        <f>ROMAN(13057)</f>
        <v/>
      </c>
      <c r="D13058">
        <f>IF(B13058=C13058, "YES", "WRONG")</f>
        <v/>
      </c>
    </row>
    <row r="13059">
      <c r="A13059" t="n">
        <v>13058</v>
      </c>
      <c r="B13059" t="inlineStr">
        <is>
          <t>x̄MMMLVIII</t>
        </is>
      </c>
      <c r="C13059">
        <f>ROMAN(13058)</f>
        <v/>
      </c>
      <c r="D13059">
        <f>IF(B13059=C13059, "YES", "WRONG")</f>
        <v/>
      </c>
    </row>
    <row r="13060">
      <c r="A13060" t="n">
        <v>13059</v>
      </c>
      <c r="B13060" t="inlineStr">
        <is>
          <t>x̄MMMLIX</t>
        </is>
      </c>
      <c r="C13060">
        <f>ROMAN(13059)</f>
        <v/>
      </c>
      <c r="D13060">
        <f>IF(B13060=C13060, "YES", "WRONG")</f>
        <v/>
      </c>
    </row>
    <row r="13061">
      <c r="A13061" t="n">
        <v>13060</v>
      </c>
      <c r="B13061" t="inlineStr">
        <is>
          <t>x̄MMMLX</t>
        </is>
      </c>
      <c r="C13061">
        <f>ROMAN(13060)</f>
        <v/>
      </c>
      <c r="D13061">
        <f>IF(B13061=C13061, "YES", "WRONG")</f>
        <v/>
      </c>
    </row>
    <row r="13062">
      <c r="A13062" t="n">
        <v>13061</v>
      </c>
      <c r="B13062" t="inlineStr">
        <is>
          <t>x̄MMMLXI</t>
        </is>
      </c>
      <c r="C13062">
        <f>ROMAN(13061)</f>
        <v/>
      </c>
      <c r="D13062">
        <f>IF(B13062=C13062, "YES", "WRONG")</f>
        <v/>
      </c>
    </row>
    <row r="13063">
      <c r="A13063" t="n">
        <v>13062</v>
      </c>
      <c r="B13063" t="inlineStr">
        <is>
          <t>x̄MMMLXII</t>
        </is>
      </c>
      <c r="C13063">
        <f>ROMAN(13062)</f>
        <v/>
      </c>
      <c r="D13063">
        <f>IF(B13063=C13063, "YES", "WRONG")</f>
        <v/>
      </c>
    </row>
    <row r="13064">
      <c r="A13064" t="n">
        <v>13063</v>
      </c>
      <c r="B13064" t="inlineStr">
        <is>
          <t>x̄MMMLXIII</t>
        </is>
      </c>
      <c r="C13064">
        <f>ROMAN(13063)</f>
        <v/>
      </c>
      <c r="D13064">
        <f>IF(B13064=C13064, "YES", "WRONG")</f>
        <v/>
      </c>
    </row>
    <row r="13065">
      <c r="A13065" t="n">
        <v>13064</v>
      </c>
      <c r="B13065" t="inlineStr">
        <is>
          <t>x̄MMMLXIV</t>
        </is>
      </c>
      <c r="C13065">
        <f>ROMAN(13064)</f>
        <v/>
      </c>
      <c r="D13065">
        <f>IF(B13065=C13065, "YES", "WRONG")</f>
        <v/>
      </c>
    </row>
    <row r="13066">
      <c r="A13066" t="n">
        <v>13065</v>
      </c>
      <c r="B13066" t="inlineStr">
        <is>
          <t>x̄MMMLXV</t>
        </is>
      </c>
      <c r="C13066">
        <f>ROMAN(13065)</f>
        <v/>
      </c>
      <c r="D13066">
        <f>IF(B13066=C13066, "YES", "WRONG")</f>
        <v/>
      </c>
    </row>
    <row r="13067">
      <c r="A13067" t="n">
        <v>13066</v>
      </c>
      <c r="B13067" t="inlineStr">
        <is>
          <t>x̄MMMLXVI</t>
        </is>
      </c>
      <c r="C13067">
        <f>ROMAN(13066)</f>
        <v/>
      </c>
      <c r="D13067">
        <f>IF(B13067=C13067, "YES", "WRONG")</f>
        <v/>
      </c>
    </row>
    <row r="13068">
      <c r="A13068" t="n">
        <v>13067</v>
      </c>
      <c r="B13068" t="inlineStr">
        <is>
          <t>x̄MMMLXVII</t>
        </is>
      </c>
      <c r="C13068">
        <f>ROMAN(13067)</f>
        <v/>
      </c>
      <c r="D13068">
        <f>IF(B13068=C13068, "YES", "WRONG")</f>
        <v/>
      </c>
    </row>
    <row r="13069">
      <c r="A13069" t="n">
        <v>13068</v>
      </c>
      <c r="B13069" t="inlineStr">
        <is>
          <t>x̄MMMLXVIII</t>
        </is>
      </c>
      <c r="C13069">
        <f>ROMAN(13068)</f>
        <v/>
      </c>
      <c r="D13069">
        <f>IF(B13069=C13069, "YES", "WRONG")</f>
        <v/>
      </c>
    </row>
    <row r="13070">
      <c r="A13070" t="n">
        <v>13069</v>
      </c>
      <c r="B13070" t="inlineStr">
        <is>
          <t>x̄MMMLXIX</t>
        </is>
      </c>
      <c r="C13070">
        <f>ROMAN(13069)</f>
        <v/>
      </c>
      <c r="D13070">
        <f>IF(B13070=C13070, "YES", "WRONG")</f>
        <v/>
      </c>
    </row>
    <row r="13071">
      <c r="A13071" t="n">
        <v>13070</v>
      </c>
      <c r="B13071" t="inlineStr">
        <is>
          <t>x̄MMMLXX</t>
        </is>
      </c>
      <c r="C13071">
        <f>ROMAN(13070)</f>
        <v/>
      </c>
      <c r="D13071">
        <f>IF(B13071=C13071, "YES", "WRONG")</f>
        <v/>
      </c>
    </row>
    <row r="13072">
      <c r="A13072" t="n">
        <v>13071</v>
      </c>
      <c r="B13072" t="inlineStr">
        <is>
          <t>x̄MMMLXXI</t>
        </is>
      </c>
      <c r="C13072">
        <f>ROMAN(13071)</f>
        <v/>
      </c>
      <c r="D13072">
        <f>IF(B13072=C13072, "YES", "WRONG")</f>
        <v/>
      </c>
    </row>
    <row r="13073">
      <c r="A13073" t="n">
        <v>13072</v>
      </c>
      <c r="B13073" t="inlineStr">
        <is>
          <t>x̄MMMLXXII</t>
        </is>
      </c>
      <c r="C13073">
        <f>ROMAN(13072)</f>
        <v/>
      </c>
      <c r="D13073">
        <f>IF(B13073=C13073, "YES", "WRONG")</f>
        <v/>
      </c>
    </row>
    <row r="13074">
      <c r="A13074" t="n">
        <v>13073</v>
      </c>
      <c r="B13074" t="inlineStr">
        <is>
          <t>x̄MMMLXXIII</t>
        </is>
      </c>
      <c r="C13074">
        <f>ROMAN(13073)</f>
        <v/>
      </c>
      <c r="D13074">
        <f>IF(B13074=C13074, "YES", "WRONG")</f>
        <v/>
      </c>
    </row>
    <row r="13075">
      <c r="A13075" t="n">
        <v>13074</v>
      </c>
      <c r="B13075" t="inlineStr">
        <is>
          <t>x̄MMMLXXIV</t>
        </is>
      </c>
      <c r="C13075">
        <f>ROMAN(13074)</f>
        <v/>
      </c>
      <c r="D13075">
        <f>IF(B13075=C13075, "YES", "WRONG")</f>
        <v/>
      </c>
    </row>
    <row r="13076">
      <c r="A13076" t="n">
        <v>13075</v>
      </c>
      <c r="B13076" t="inlineStr">
        <is>
          <t>x̄MMMLXXV</t>
        </is>
      </c>
      <c r="C13076">
        <f>ROMAN(13075)</f>
        <v/>
      </c>
      <c r="D13076">
        <f>IF(B13076=C13076, "YES", "WRONG")</f>
        <v/>
      </c>
    </row>
    <row r="13077">
      <c r="A13077" t="n">
        <v>13076</v>
      </c>
      <c r="B13077" t="inlineStr">
        <is>
          <t>x̄MMMLXXVI</t>
        </is>
      </c>
      <c r="C13077">
        <f>ROMAN(13076)</f>
        <v/>
      </c>
      <c r="D13077">
        <f>IF(B13077=C13077, "YES", "WRONG")</f>
        <v/>
      </c>
    </row>
    <row r="13078">
      <c r="A13078" t="n">
        <v>13077</v>
      </c>
      <c r="B13078" t="inlineStr">
        <is>
          <t>x̄MMMLXXVII</t>
        </is>
      </c>
      <c r="C13078">
        <f>ROMAN(13077)</f>
        <v/>
      </c>
      <c r="D13078">
        <f>IF(B13078=C13078, "YES", "WRONG")</f>
        <v/>
      </c>
    </row>
    <row r="13079">
      <c r="A13079" t="n">
        <v>13078</v>
      </c>
      <c r="B13079" t="inlineStr">
        <is>
          <t>x̄MMMLXXVIII</t>
        </is>
      </c>
      <c r="C13079">
        <f>ROMAN(13078)</f>
        <v/>
      </c>
      <c r="D13079">
        <f>IF(B13079=C13079, "YES", "WRONG")</f>
        <v/>
      </c>
    </row>
    <row r="13080">
      <c r="A13080" t="n">
        <v>13079</v>
      </c>
      <c r="B13080" t="inlineStr">
        <is>
          <t>x̄MMMLXXIX</t>
        </is>
      </c>
      <c r="C13080">
        <f>ROMAN(13079)</f>
        <v/>
      </c>
      <c r="D13080">
        <f>IF(B13080=C13080, "YES", "WRONG")</f>
        <v/>
      </c>
    </row>
    <row r="13081">
      <c r="A13081" t="n">
        <v>13080</v>
      </c>
      <c r="B13081" t="inlineStr">
        <is>
          <t>x̄MMMLXXX</t>
        </is>
      </c>
      <c r="C13081">
        <f>ROMAN(13080)</f>
        <v/>
      </c>
      <c r="D13081">
        <f>IF(B13081=C13081, "YES", "WRONG")</f>
        <v/>
      </c>
    </row>
    <row r="13082">
      <c r="A13082" t="n">
        <v>13081</v>
      </c>
      <c r="B13082" t="inlineStr">
        <is>
          <t>x̄MMMLXXXI</t>
        </is>
      </c>
      <c r="C13082">
        <f>ROMAN(13081)</f>
        <v/>
      </c>
      <c r="D13082">
        <f>IF(B13082=C13082, "YES", "WRONG")</f>
        <v/>
      </c>
    </row>
    <row r="13083">
      <c r="A13083" t="n">
        <v>13082</v>
      </c>
      <c r="B13083" t="inlineStr">
        <is>
          <t>x̄MMMLXXXII</t>
        </is>
      </c>
      <c r="C13083">
        <f>ROMAN(13082)</f>
        <v/>
      </c>
      <c r="D13083">
        <f>IF(B13083=C13083, "YES", "WRONG")</f>
        <v/>
      </c>
    </row>
    <row r="13084">
      <c r="A13084" t="n">
        <v>13083</v>
      </c>
      <c r="B13084" t="inlineStr">
        <is>
          <t>x̄MMMLXXXIII</t>
        </is>
      </c>
      <c r="C13084">
        <f>ROMAN(13083)</f>
        <v/>
      </c>
      <c r="D13084">
        <f>IF(B13084=C13084, "YES", "WRONG")</f>
        <v/>
      </c>
    </row>
    <row r="13085">
      <c r="A13085" t="n">
        <v>13084</v>
      </c>
      <c r="B13085" t="inlineStr">
        <is>
          <t>x̄MMMLXXXIV</t>
        </is>
      </c>
      <c r="C13085">
        <f>ROMAN(13084)</f>
        <v/>
      </c>
      <c r="D13085">
        <f>IF(B13085=C13085, "YES", "WRONG")</f>
        <v/>
      </c>
    </row>
    <row r="13086">
      <c r="A13086" t="n">
        <v>13085</v>
      </c>
      <c r="B13086" t="inlineStr">
        <is>
          <t>x̄MMMLXXXV</t>
        </is>
      </c>
      <c r="C13086">
        <f>ROMAN(13085)</f>
        <v/>
      </c>
      <c r="D13086">
        <f>IF(B13086=C13086, "YES", "WRONG")</f>
        <v/>
      </c>
    </row>
    <row r="13087">
      <c r="A13087" t="n">
        <v>13086</v>
      </c>
      <c r="B13087" t="inlineStr">
        <is>
          <t>x̄MMMLXXXVI</t>
        </is>
      </c>
      <c r="C13087">
        <f>ROMAN(13086)</f>
        <v/>
      </c>
      <c r="D13087">
        <f>IF(B13087=C13087, "YES", "WRONG")</f>
        <v/>
      </c>
    </row>
    <row r="13088">
      <c r="A13088" t="n">
        <v>13087</v>
      </c>
      <c r="B13088" t="inlineStr">
        <is>
          <t>x̄MMMLXXXVII</t>
        </is>
      </c>
      <c r="C13088">
        <f>ROMAN(13087)</f>
        <v/>
      </c>
      <c r="D13088">
        <f>IF(B13088=C13088, "YES", "WRONG")</f>
        <v/>
      </c>
    </row>
    <row r="13089">
      <c r="A13089" t="n">
        <v>13088</v>
      </c>
      <c r="B13089" t="inlineStr">
        <is>
          <t>x̄MMMLXXXVIII</t>
        </is>
      </c>
      <c r="C13089">
        <f>ROMAN(13088)</f>
        <v/>
      </c>
      <c r="D13089">
        <f>IF(B13089=C13089, "YES", "WRONG")</f>
        <v/>
      </c>
    </row>
    <row r="13090">
      <c r="A13090" t="n">
        <v>13089</v>
      </c>
      <c r="B13090" t="inlineStr">
        <is>
          <t>x̄MMMLXXXIX</t>
        </is>
      </c>
      <c r="C13090">
        <f>ROMAN(13089)</f>
        <v/>
      </c>
      <c r="D13090">
        <f>IF(B13090=C13090, "YES", "WRONG")</f>
        <v/>
      </c>
    </row>
    <row r="13091">
      <c r="A13091" t="n">
        <v>13090</v>
      </c>
      <c r="B13091" t="inlineStr">
        <is>
          <t>x̄MMMXC</t>
        </is>
      </c>
      <c r="C13091">
        <f>ROMAN(13090)</f>
        <v/>
      </c>
      <c r="D13091">
        <f>IF(B13091=C13091, "YES", "WRONG")</f>
        <v/>
      </c>
    </row>
    <row r="13092">
      <c r="A13092" t="n">
        <v>13091</v>
      </c>
      <c r="B13092" t="inlineStr">
        <is>
          <t>x̄MMMXCI</t>
        </is>
      </c>
      <c r="C13092">
        <f>ROMAN(13091)</f>
        <v/>
      </c>
      <c r="D13092">
        <f>IF(B13092=C13092, "YES", "WRONG")</f>
        <v/>
      </c>
    </row>
    <row r="13093">
      <c r="A13093" t="n">
        <v>13092</v>
      </c>
      <c r="B13093" t="inlineStr">
        <is>
          <t>x̄MMMXCII</t>
        </is>
      </c>
      <c r="C13093">
        <f>ROMAN(13092)</f>
        <v/>
      </c>
      <c r="D13093">
        <f>IF(B13093=C13093, "YES", "WRONG")</f>
        <v/>
      </c>
    </row>
    <row r="13094">
      <c r="A13094" t="n">
        <v>13093</v>
      </c>
      <c r="B13094" t="inlineStr">
        <is>
          <t>x̄MMMXCIII</t>
        </is>
      </c>
      <c r="C13094">
        <f>ROMAN(13093)</f>
        <v/>
      </c>
      <c r="D13094">
        <f>IF(B13094=C13094, "YES", "WRONG")</f>
        <v/>
      </c>
    </row>
    <row r="13095">
      <c r="A13095" t="n">
        <v>13094</v>
      </c>
      <c r="B13095" t="inlineStr">
        <is>
          <t>x̄MMMXCIV</t>
        </is>
      </c>
      <c r="C13095">
        <f>ROMAN(13094)</f>
        <v/>
      </c>
      <c r="D13095">
        <f>IF(B13095=C13095, "YES", "WRONG")</f>
        <v/>
      </c>
    </row>
    <row r="13096">
      <c r="A13096" t="n">
        <v>13095</v>
      </c>
      <c r="B13096" t="inlineStr">
        <is>
          <t>x̄MMMXCV</t>
        </is>
      </c>
      <c r="C13096">
        <f>ROMAN(13095)</f>
        <v/>
      </c>
      <c r="D13096">
        <f>IF(B13096=C13096, "YES", "WRONG")</f>
        <v/>
      </c>
    </row>
    <row r="13097">
      <c r="A13097" t="n">
        <v>13096</v>
      </c>
      <c r="B13097" t="inlineStr">
        <is>
          <t>x̄MMMXCVI</t>
        </is>
      </c>
      <c r="C13097">
        <f>ROMAN(13096)</f>
        <v/>
      </c>
      <c r="D13097">
        <f>IF(B13097=C13097, "YES", "WRONG")</f>
        <v/>
      </c>
    </row>
    <row r="13098">
      <c r="A13098" t="n">
        <v>13097</v>
      </c>
      <c r="B13098" t="inlineStr">
        <is>
          <t>x̄MMMXCVII</t>
        </is>
      </c>
      <c r="C13098">
        <f>ROMAN(13097)</f>
        <v/>
      </c>
      <c r="D13098">
        <f>IF(B13098=C13098, "YES", "WRONG")</f>
        <v/>
      </c>
    </row>
    <row r="13099">
      <c r="A13099" t="n">
        <v>13098</v>
      </c>
      <c r="B13099" t="inlineStr">
        <is>
          <t>x̄MMMXCVIII</t>
        </is>
      </c>
      <c r="C13099">
        <f>ROMAN(13098)</f>
        <v/>
      </c>
      <c r="D13099">
        <f>IF(B13099=C13099, "YES", "WRONG")</f>
        <v/>
      </c>
    </row>
    <row r="13100">
      <c r="A13100" t="n">
        <v>13099</v>
      </c>
      <c r="B13100" t="inlineStr">
        <is>
          <t>x̄MMMXCIX</t>
        </is>
      </c>
      <c r="C13100">
        <f>ROMAN(13099)</f>
        <v/>
      </c>
      <c r="D13100">
        <f>IF(B13100=C13100, "YES", "WRONG")</f>
        <v/>
      </c>
    </row>
    <row r="13101">
      <c r="A13101" t="n">
        <v>13100</v>
      </c>
      <c r="B13101" t="inlineStr">
        <is>
          <t>x̄MMMC</t>
        </is>
      </c>
      <c r="C13101">
        <f>ROMAN(13100)</f>
        <v/>
      </c>
      <c r="D13101">
        <f>IF(B13101=C13101, "YES", "WRONG")</f>
        <v/>
      </c>
    </row>
    <row r="13102">
      <c r="A13102" t="n">
        <v>13101</v>
      </c>
      <c r="B13102" t="inlineStr">
        <is>
          <t>x̄MMMCI</t>
        </is>
      </c>
      <c r="C13102">
        <f>ROMAN(13101)</f>
        <v/>
      </c>
      <c r="D13102">
        <f>IF(B13102=C13102, "YES", "WRONG")</f>
        <v/>
      </c>
    </row>
    <row r="13103">
      <c r="A13103" t="n">
        <v>13102</v>
      </c>
      <c r="B13103" t="inlineStr">
        <is>
          <t>x̄MMMCII</t>
        </is>
      </c>
      <c r="C13103">
        <f>ROMAN(13102)</f>
        <v/>
      </c>
      <c r="D13103">
        <f>IF(B13103=C13103, "YES", "WRONG")</f>
        <v/>
      </c>
    </row>
    <row r="13104">
      <c r="A13104" t="n">
        <v>13103</v>
      </c>
      <c r="B13104" t="inlineStr">
        <is>
          <t>x̄MMMCIII</t>
        </is>
      </c>
      <c r="C13104">
        <f>ROMAN(13103)</f>
        <v/>
      </c>
      <c r="D13104">
        <f>IF(B13104=C13104, "YES", "WRONG")</f>
        <v/>
      </c>
    </row>
    <row r="13105">
      <c r="A13105" t="n">
        <v>13104</v>
      </c>
      <c r="B13105" t="inlineStr">
        <is>
          <t>x̄MMMCIV</t>
        </is>
      </c>
      <c r="C13105">
        <f>ROMAN(13104)</f>
        <v/>
      </c>
      <c r="D13105">
        <f>IF(B13105=C13105, "YES", "WRONG")</f>
        <v/>
      </c>
    </row>
    <row r="13106">
      <c r="A13106" t="n">
        <v>13105</v>
      </c>
      <c r="B13106" t="inlineStr">
        <is>
          <t>x̄MMMCV</t>
        </is>
      </c>
      <c r="C13106">
        <f>ROMAN(13105)</f>
        <v/>
      </c>
      <c r="D13106">
        <f>IF(B13106=C13106, "YES", "WRONG")</f>
        <v/>
      </c>
    </row>
    <row r="13107">
      <c r="A13107" t="n">
        <v>13106</v>
      </c>
      <c r="B13107" t="inlineStr">
        <is>
          <t>x̄MMMCVI</t>
        </is>
      </c>
      <c r="C13107">
        <f>ROMAN(13106)</f>
        <v/>
      </c>
      <c r="D13107">
        <f>IF(B13107=C13107, "YES", "WRONG")</f>
        <v/>
      </c>
    </row>
    <row r="13108">
      <c r="A13108" t="n">
        <v>13107</v>
      </c>
      <c r="B13108" t="inlineStr">
        <is>
          <t>x̄MMMCVII</t>
        </is>
      </c>
      <c r="C13108">
        <f>ROMAN(13107)</f>
        <v/>
      </c>
      <c r="D13108">
        <f>IF(B13108=C13108, "YES", "WRONG")</f>
        <v/>
      </c>
    </row>
    <row r="13109">
      <c r="A13109" t="n">
        <v>13108</v>
      </c>
      <c r="B13109" t="inlineStr">
        <is>
          <t>x̄MMMCVIII</t>
        </is>
      </c>
      <c r="C13109">
        <f>ROMAN(13108)</f>
        <v/>
      </c>
      <c r="D13109">
        <f>IF(B13109=C13109, "YES", "WRONG")</f>
        <v/>
      </c>
    </row>
    <row r="13110">
      <c r="A13110" t="n">
        <v>13109</v>
      </c>
      <c r="B13110" t="inlineStr">
        <is>
          <t>x̄MMMCIX</t>
        </is>
      </c>
      <c r="C13110">
        <f>ROMAN(13109)</f>
        <v/>
      </c>
      <c r="D13110">
        <f>IF(B13110=C13110, "YES", "WRONG")</f>
        <v/>
      </c>
    </row>
    <row r="13111">
      <c r="A13111" t="n">
        <v>13110</v>
      </c>
      <c r="B13111" t="inlineStr">
        <is>
          <t>x̄MMMCX</t>
        </is>
      </c>
      <c r="C13111">
        <f>ROMAN(13110)</f>
        <v/>
      </c>
      <c r="D13111">
        <f>IF(B13111=C13111, "YES", "WRONG")</f>
        <v/>
      </c>
    </row>
    <row r="13112">
      <c r="A13112" t="n">
        <v>13111</v>
      </c>
      <c r="B13112" t="inlineStr">
        <is>
          <t>x̄MMMCXI</t>
        </is>
      </c>
      <c r="C13112">
        <f>ROMAN(13111)</f>
        <v/>
      </c>
      <c r="D13112">
        <f>IF(B13112=C13112, "YES", "WRONG")</f>
        <v/>
      </c>
    </row>
    <row r="13113">
      <c r="A13113" t="n">
        <v>13112</v>
      </c>
      <c r="B13113" t="inlineStr">
        <is>
          <t>x̄MMMCXII</t>
        </is>
      </c>
      <c r="C13113">
        <f>ROMAN(13112)</f>
        <v/>
      </c>
      <c r="D13113">
        <f>IF(B13113=C13113, "YES", "WRONG")</f>
        <v/>
      </c>
    </row>
    <row r="13114">
      <c r="A13114" t="n">
        <v>13113</v>
      </c>
      <c r="B13114" t="inlineStr">
        <is>
          <t>x̄MMMCXIII</t>
        </is>
      </c>
      <c r="C13114">
        <f>ROMAN(13113)</f>
        <v/>
      </c>
      <c r="D13114">
        <f>IF(B13114=C13114, "YES", "WRONG")</f>
        <v/>
      </c>
    </row>
    <row r="13115">
      <c r="A13115" t="n">
        <v>13114</v>
      </c>
      <c r="B13115" t="inlineStr">
        <is>
          <t>x̄MMMCXIV</t>
        </is>
      </c>
      <c r="C13115">
        <f>ROMAN(13114)</f>
        <v/>
      </c>
      <c r="D13115">
        <f>IF(B13115=C13115, "YES", "WRONG")</f>
        <v/>
      </c>
    </row>
    <row r="13116">
      <c r="A13116" t="n">
        <v>13115</v>
      </c>
      <c r="B13116" t="inlineStr">
        <is>
          <t>x̄MMMCXV</t>
        </is>
      </c>
      <c r="C13116">
        <f>ROMAN(13115)</f>
        <v/>
      </c>
      <c r="D13116">
        <f>IF(B13116=C13116, "YES", "WRONG")</f>
        <v/>
      </c>
    </row>
    <row r="13117">
      <c r="A13117" t="n">
        <v>13116</v>
      </c>
      <c r="B13117" t="inlineStr">
        <is>
          <t>x̄MMMCXVI</t>
        </is>
      </c>
      <c r="C13117">
        <f>ROMAN(13116)</f>
        <v/>
      </c>
      <c r="D13117">
        <f>IF(B13117=C13117, "YES", "WRONG")</f>
        <v/>
      </c>
    </row>
    <row r="13118">
      <c r="A13118" t="n">
        <v>13117</v>
      </c>
      <c r="B13118" t="inlineStr">
        <is>
          <t>x̄MMMCXVII</t>
        </is>
      </c>
      <c r="C13118">
        <f>ROMAN(13117)</f>
        <v/>
      </c>
      <c r="D13118">
        <f>IF(B13118=C13118, "YES", "WRONG")</f>
        <v/>
      </c>
    </row>
    <row r="13119">
      <c r="A13119" t="n">
        <v>13118</v>
      </c>
      <c r="B13119" t="inlineStr">
        <is>
          <t>x̄MMMCXVIII</t>
        </is>
      </c>
      <c r="C13119">
        <f>ROMAN(13118)</f>
        <v/>
      </c>
      <c r="D13119">
        <f>IF(B13119=C13119, "YES", "WRONG")</f>
        <v/>
      </c>
    </row>
    <row r="13120">
      <c r="A13120" t="n">
        <v>13119</v>
      </c>
      <c r="B13120" t="inlineStr">
        <is>
          <t>x̄MMMCXIX</t>
        </is>
      </c>
      <c r="C13120">
        <f>ROMAN(13119)</f>
        <v/>
      </c>
      <c r="D13120">
        <f>IF(B13120=C13120, "YES", "WRONG")</f>
        <v/>
      </c>
    </row>
    <row r="13121">
      <c r="A13121" t="n">
        <v>13120</v>
      </c>
      <c r="B13121" t="inlineStr">
        <is>
          <t>x̄MMMCXX</t>
        </is>
      </c>
      <c r="C13121">
        <f>ROMAN(13120)</f>
        <v/>
      </c>
      <c r="D13121">
        <f>IF(B13121=C13121, "YES", "WRONG")</f>
        <v/>
      </c>
    </row>
    <row r="13122">
      <c r="A13122" t="n">
        <v>13121</v>
      </c>
      <c r="B13122" t="inlineStr">
        <is>
          <t>x̄MMMCXXI</t>
        </is>
      </c>
      <c r="C13122">
        <f>ROMAN(13121)</f>
        <v/>
      </c>
      <c r="D13122">
        <f>IF(B13122=C13122, "YES", "WRONG")</f>
        <v/>
      </c>
    </row>
    <row r="13123">
      <c r="A13123" t="n">
        <v>13122</v>
      </c>
      <c r="B13123" t="inlineStr">
        <is>
          <t>x̄MMMCXXII</t>
        </is>
      </c>
      <c r="C13123">
        <f>ROMAN(13122)</f>
        <v/>
      </c>
      <c r="D13123">
        <f>IF(B13123=C13123, "YES", "WRONG")</f>
        <v/>
      </c>
    </row>
    <row r="13124">
      <c r="A13124" t="n">
        <v>13123</v>
      </c>
      <c r="B13124" t="inlineStr">
        <is>
          <t>x̄MMMCXXIII</t>
        </is>
      </c>
      <c r="C13124">
        <f>ROMAN(13123)</f>
        <v/>
      </c>
      <c r="D13124">
        <f>IF(B13124=C13124, "YES", "WRONG")</f>
        <v/>
      </c>
    </row>
    <row r="13125">
      <c r="A13125" t="n">
        <v>13124</v>
      </c>
      <c r="B13125" t="inlineStr">
        <is>
          <t>x̄MMMCXXIV</t>
        </is>
      </c>
      <c r="C13125">
        <f>ROMAN(13124)</f>
        <v/>
      </c>
      <c r="D13125">
        <f>IF(B13125=C13125, "YES", "WRONG")</f>
        <v/>
      </c>
    </row>
    <row r="13126">
      <c r="A13126" t="n">
        <v>13125</v>
      </c>
      <c r="B13126" t="inlineStr">
        <is>
          <t>x̄MMMCXXV</t>
        </is>
      </c>
      <c r="C13126">
        <f>ROMAN(13125)</f>
        <v/>
      </c>
      <c r="D13126">
        <f>IF(B13126=C13126, "YES", "WRONG")</f>
        <v/>
      </c>
    </row>
    <row r="13127">
      <c r="A13127" t="n">
        <v>13126</v>
      </c>
      <c r="B13127" t="inlineStr">
        <is>
          <t>x̄MMMCXXVI</t>
        </is>
      </c>
      <c r="C13127">
        <f>ROMAN(13126)</f>
        <v/>
      </c>
      <c r="D13127">
        <f>IF(B13127=C13127, "YES", "WRONG")</f>
        <v/>
      </c>
    </row>
    <row r="13128">
      <c r="A13128" t="n">
        <v>13127</v>
      </c>
      <c r="B13128" t="inlineStr">
        <is>
          <t>x̄MMMCXXVII</t>
        </is>
      </c>
      <c r="C13128">
        <f>ROMAN(13127)</f>
        <v/>
      </c>
      <c r="D13128">
        <f>IF(B13128=C13128, "YES", "WRONG")</f>
        <v/>
      </c>
    </row>
    <row r="13129">
      <c r="A13129" t="n">
        <v>13128</v>
      </c>
      <c r="B13129" t="inlineStr">
        <is>
          <t>x̄MMMCXXVIII</t>
        </is>
      </c>
      <c r="C13129">
        <f>ROMAN(13128)</f>
        <v/>
      </c>
      <c r="D13129">
        <f>IF(B13129=C13129, "YES", "WRONG")</f>
        <v/>
      </c>
    </row>
    <row r="13130">
      <c r="A13130" t="n">
        <v>13129</v>
      </c>
      <c r="B13130" t="inlineStr">
        <is>
          <t>x̄MMMCXXIX</t>
        </is>
      </c>
      <c r="C13130">
        <f>ROMAN(13129)</f>
        <v/>
      </c>
      <c r="D13130">
        <f>IF(B13130=C13130, "YES", "WRONG")</f>
        <v/>
      </c>
    </row>
    <row r="13131">
      <c r="A13131" t="n">
        <v>13130</v>
      </c>
      <c r="B13131" t="inlineStr">
        <is>
          <t>x̄MMMCXXX</t>
        </is>
      </c>
      <c r="C13131">
        <f>ROMAN(13130)</f>
        <v/>
      </c>
      <c r="D13131">
        <f>IF(B13131=C13131, "YES", "WRONG")</f>
        <v/>
      </c>
    </row>
    <row r="13132">
      <c r="A13132" t="n">
        <v>13131</v>
      </c>
      <c r="B13132" t="inlineStr">
        <is>
          <t>x̄MMMCXXXI</t>
        </is>
      </c>
      <c r="C13132">
        <f>ROMAN(13131)</f>
        <v/>
      </c>
      <c r="D13132">
        <f>IF(B13132=C13132, "YES", "WRONG")</f>
        <v/>
      </c>
    </row>
    <row r="13133">
      <c r="A13133" t="n">
        <v>13132</v>
      </c>
      <c r="B13133" t="inlineStr">
        <is>
          <t>x̄MMMCXXXII</t>
        </is>
      </c>
      <c r="C13133">
        <f>ROMAN(13132)</f>
        <v/>
      </c>
      <c r="D13133">
        <f>IF(B13133=C13133, "YES", "WRONG")</f>
        <v/>
      </c>
    </row>
    <row r="13134">
      <c r="A13134" t="n">
        <v>13133</v>
      </c>
      <c r="B13134" t="inlineStr">
        <is>
          <t>x̄MMMCXXXIII</t>
        </is>
      </c>
      <c r="C13134">
        <f>ROMAN(13133)</f>
        <v/>
      </c>
      <c r="D13134">
        <f>IF(B13134=C13134, "YES", "WRONG")</f>
        <v/>
      </c>
    </row>
    <row r="13135">
      <c r="A13135" t="n">
        <v>13134</v>
      </c>
      <c r="B13135" t="inlineStr">
        <is>
          <t>x̄MMMCXXXIV</t>
        </is>
      </c>
      <c r="C13135">
        <f>ROMAN(13134)</f>
        <v/>
      </c>
      <c r="D13135">
        <f>IF(B13135=C13135, "YES", "WRONG")</f>
        <v/>
      </c>
    </row>
    <row r="13136">
      <c r="A13136" t="n">
        <v>13135</v>
      </c>
      <c r="B13136" t="inlineStr">
        <is>
          <t>x̄MMMCXXXV</t>
        </is>
      </c>
      <c r="C13136">
        <f>ROMAN(13135)</f>
        <v/>
      </c>
      <c r="D13136">
        <f>IF(B13136=C13136, "YES", "WRONG")</f>
        <v/>
      </c>
    </row>
    <row r="13137">
      <c r="A13137" t="n">
        <v>13136</v>
      </c>
      <c r="B13137" t="inlineStr">
        <is>
          <t>x̄MMMCXXXVI</t>
        </is>
      </c>
      <c r="C13137">
        <f>ROMAN(13136)</f>
        <v/>
      </c>
      <c r="D13137">
        <f>IF(B13137=C13137, "YES", "WRONG")</f>
        <v/>
      </c>
    </row>
    <row r="13138">
      <c r="A13138" t="n">
        <v>13137</v>
      </c>
      <c r="B13138" t="inlineStr">
        <is>
          <t>x̄MMMCXXXVII</t>
        </is>
      </c>
      <c r="C13138">
        <f>ROMAN(13137)</f>
        <v/>
      </c>
      <c r="D13138">
        <f>IF(B13138=C13138, "YES", "WRONG")</f>
        <v/>
      </c>
    </row>
    <row r="13139">
      <c r="A13139" t="n">
        <v>13138</v>
      </c>
      <c r="B13139" t="inlineStr">
        <is>
          <t>x̄MMMCXXXVIII</t>
        </is>
      </c>
      <c r="C13139">
        <f>ROMAN(13138)</f>
        <v/>
      </c>
      <c r="D13139">
        <f>IF(B13139=C13139, "YES", "WRONG")</f>
        <v/>
      </c>
    </row>
    <row r="13140">
      <c r="A13140" t="n">
        <v>13139</v>
      </c>
      <c r="B13140" t="inlineStr">
        <is>
          <t>x̄MMMCXXXIX</t>
        </is>
      </c>
      <c r="C13140">
        <f>ROMAN(13139)</f>
        <v/>
      </c>
      <c r="D13140">
        <f>IF(B13140=C13140, "YES", "WRONG")</f>
        <v/>
      </c>
    </row>
    <row r="13141">
      <c r="A13141" t="n">
        <v>13140</v>
      </c>
      <c r="B13141" t="inlineStr">
        <is>
          <t>x̄MMMCXL</t>
        </is>
      </c>
      <c r="C13141">
        <f>ROMAN(13140)</f>
        <v/>
      </c>
      <c r="D13141">
        <f>IF(B13141=C13141, "YES", "WRONG")</f>
        <v/>
      </c>
    </row>
    <row r="13142">
      <c r="A13142" t="n">
        <v>13141</v>
      </c>
      <c r="B13142" t="inlineStr">
        <is>
          <t>x̄MMMCXLI</t>
        </is>
      </c>
      <c r="C13142">
        <f>ROMAN(13141)</f>
        <v/>
      </c>
      <c r="D13142">
        <f>IF(B13142=C13142, "YES", "WRONG")</f>
        <v/>
      </c>
    </row>
    <row r="13143">
      <c r="A13143" t="n">
        <v>13142</v>
      </c>
      <c r="B13143" t="inlineStr">
        <is>
          <t>x̄MMMCXLII</t>
        </is>
      </c>
      <c r="C13143">
        <f>ROMAN(13142)</f>
        <v/>
      </c>
      <c r="D13143">
        <f>IF(B13143=C13143, "YES", "WRONG")</f>
        <v/>
      </c>
    </row>
    <row r="13144">
      <c r="A13144" t="n">
        <v>13143</v>
      </c>
      <c r="B13144" t="inlineStr">
        <is>
          <t>x̄MMMCXLIII</t>
        </is>
      </c>
      <c r="C13144">
        <f>ROMAN(13143)</f>
        <v/>
      </c>
      <c r="D13144">
        <f>IF(B13144=C13144, "YES", "WRONG")</f>
        <v/>
      </c>
    </row>
    <row r="13145">
      <c r="A13145" t="n">
        <v>13144</v>
      </c>
      <c r="B13145" t="inlineStr">
        <is>
          <t>x̄MMMCXLIV</t>
        </is>
      </c>
      <c r="C13145">
        <f>ROMAN(13144)</f>
        <v/>
      </c>
      <c r="D13145">
        <f>IF(B13145=C13145, "YES", "WRONG")</f>
        <v/>
      </c>
    </row>
    <row r="13146">
      <c r="A13146" t="n">
        <v>13145</v>
      </c>
      <c r="B13146" t="inlineStr">
        <is>
          <t>x̄MMMCXLV</t>
        </is>
      </c>
      <c r="C13146">
        <f>ROMAN(13145)</f>
        <v/>
      </c>
      <c r="D13146">
        <f>IF(B13146=C13146, "YES", "WRONG")</f>
        <v/>
      </c>
    </row>
    <row r="13147">
      <c r="A13147" t="n">
        <v>13146</v>
      </c>
      <c r="B13147" t="inlineStr">
        <is>
          <t>x̄MMMCXLVI</t>
        </is>
      </c>
      <c r="C13147">
        <f>ROMAN(13146)</f>
        <v/>
      </c>
      <c r="D13147">
        <f>IF(B13147=C13147, "YES", "WRONG")</f>
        <v/>
      </c>
    </row>
    <row r="13148">
      <c r="A13148" t="n">
        <v>13147</v>
      </c>
      <c r="B13148" t="inlineStr">
        <is>
          <t>x̄MMMCXLVII</t>
        </is>
      </c>
      <c r="C13148">
        <f>ROMAN(13147)</f>
        <v/>
      </c>
      <c r="D13148">
        <f>IF(B13148=C13148, "YES", "WRONG")</f>
        <v/>
      </c>
    </row>
    <row r="13149">
      <c r="A13149" t="n">
        <v>13148</v>
      </c>
      <c r="B13149" t="inlineStr">
        <is>
          <t>x̄MMMCXLVIII</t>
        </is>
      </c>
      <c r="C13149">
        <f>ROMAN(13148)</f>
        <v/>
      </c>
      <c r="D13149">
        <f>IF(B13149=C13149, "YES", "WRONG")</f>
        <v/>
      </c>
    </row>
    <row r="13150">
      <c r="A13150" t="n">
        <v>13149</v>
      </c>
      <c r="B13150" t="inlineStr">
        <is>
          <t>x̄MMMCXLIX</t>
        </is>
      </c>
      <c r="C13150">
        <f>ROMAN(13149)</f>
        <v/>
      </c>
      <c r="D13150">
        <f>IF(B13150=C13150, "YES", "WRONG")</f>
        <v/>
      </c>
    </row>
    <row r="13151">
      <c r="A13151" t="n">
        <v>13150</v>
      </c>
      <c r="B13151" t="inlineStr">
        <is>
          <t>x̄MMMCL</t>
        </is>
      </c>
      <c r="C13151">
        <f>ROMAN(13150)</f>
        <v/>
      </c>
      <c r="D13151">
        <f>IF(B13151=C13151, "YES", "WRONG")</f>
        <v/>
      </c>
    </row>
    <row r="13152">
      <c r="A13152" t="n">
        <v>13151</v>
      </c>
      <c r="B13152" t="inlineStr">
        <is>
          <t>x̄MMMCLI</t>
        </is>
      </c>
      <c r="C13152">
        <f>ROMAN(13151)</f>
        <v/>
      </c>
      <c r="D13152">
        <f>IF(B13152=C13152, "YES", "WRONG")</f>
        <v/>
      </c>
    </row>
    <row r="13153">
      <c r="A13153" t="n">
        <v>13152</v>
      </c>
      <c r="B13153" t="inlineStr">
        <is>
          <t>x̄MMMCLII</t>
        </is>
      </c>
      <c r="C13153">
        <f>ROMAN(13152)</f>
        <v/>
      </c>
      <c r="D13153">
        <f>IF(B13153=C13153, "YES", "WRONG")</f>
        <v/>
      </c>
    </row>
    <row r="13154">
      <c r="A13154" t="n">
        <v>13153</v>
      </c>
      <c r="B13154" t="inlineStr">
        <is>
          <t>x̄MMMCLIII</t>
        </is>
      </c>
      <c r="C13154">
        <f>ROMAN(13153)</f>
        <v/>
      </c>
      <c r="D13154">
        <f>IF(B13154=C13154, "YES", "WRONG")</f>
        <v/>
      </c>
    </row>
    <row r="13155">
      <c r="A13155" t="n">
        <v>13154</v>
      </c>
      <c r="B13155" t="inlineStr">
        <is>
          <t>x̄MMMCLIV</t>
        </is>
      </c>
      <c r="C13155">
        <f>ROMAN(13154)</f>
        <v/>
      </c>
      <c r="D13155">
        <f>IF(B13155=C13155, "YES", "WRONG")</f>
        <v/>
      </c>
    </row>
    <row r="13156">
      <c r="A13156" t="n">
        <v>13155</v>
      </c>
      <c r="B13156" t="inlineStr">
        <is>
          <t>x̄MMMCLV</t>
        </is>
      </c>
      <c r="C13156">
        <f>ROMAN(13155)</f>
        <v/>
      </c>
      <c r="D13156">
        <f>IF(B13156=C13156, "YES", "WRONG")</f>
        <v/>
      </c>
    </row>
    <row r="13157">
      <c r="A13157" t="n">
        <v>13156</v>
      </c>
      <c r="B13157" t="inlineStr">
        <is>
          <t>x̄MMMCLVI</t>
        </is>
      </c>
      <c r="C13157">
        <f>ROMAN(13156)</f>
        <v/>
      </c>
      <c r="D13157">
        <f>IF(B13157=C13157, "YES", "WRONG")</f>
        <v/>
      </c>
    </row>
    <row r="13158">
      <c r="A13158" t="n">
        <v>13157</v>
      </c>
      <c r="B13158" t="inlineStr">
        <is>
          <t>x̄MMMCLVII</t>
        </is>
      </c>
      <c r="C13158">
        <f>ROMAN(13157)</f>
        <v/>
      </c>
      <c r="D13158">
        <f>IF(B13158=C13158, "YES", "WRONG")</f>
        <v/>
      </c>
    </row>
    <row r="13159">
      <c r="A13159" t="n">
        <v>13158</v>
      </c>
      <c r="B13159" t="inlineStr">
        <is>
          <t>x̄MMMCLVIII</t>
        </is>
      </c>
      <c r="C13159">
        <f>ROMAN(13158)</f>
        <v/>
      </c>
      <c r="D13159">
        <f>IF(B13159=C13159, "YES", "WRONG")</f>
        <v/>
      </c>
    </row>
    <row r="13160">
      <c r="A13160" t="n">
        <v>13159</v>
      </c>
      <c r="B13160" t="inlineStr">
        <is>
          <t>x̄MMMCLIX</t>
        </is>
      </c>
      <c r="C13160">
        <f>ROMAN(13159)</f>
        <v/>
      </c>
      <c r="D13160">
        <f>IF(B13160=C13160, "YES", "WRONG")</f>
        <v/>
      </c>
    </row>
    <row r="13161">
      <c r="A13161" t="n">
        <v>13160</v>
      </c>
      <c r="B13161" t="inlineStr">
        <is>
          <t>x̄MMMCLX</t>
        </is>
      </c>
      <c r="C13161">
        <f>ROMAN(13160)</f>
        <v/>
      </c>
      <c r="D13161">
        <f>IF(B13161=C13161, "YES", "WRONG")</f>
        <v/>
      </c>
    </row>
    <row r="13162">
      <c r="A13162" t="n">
        <v>13161</v>
      </c>
      <c r="B13162" t="inlineStr">
        <is>
          <t>x̄MMMCLXI</t>
        </is>
      </c>
      <c r="C13162">
        <f>ROMAN(13161)</f>
        <v/>
      </c>
      <c r="D13162">
        <f>IF(B13162=C13162, "YES", "WRONG")</f>
        <v/>
      </c>
    </row>
    <row r="13163">
      <c r="A13163" t="n">
        <v>13162</v>
      </c>
      <c r="B13163" t="inlineStr">
        <is>
          <t>x̄MMMCLXII</t>
        </is>
      </c>
      <c r="C13163">
        <f>ROMAN(13162)</f>
        <v/>
      </c>
      <c r="D13163">
        <f>IF(B13163=C13163, "YES", "WRONG")</f>
        <v/>
      </c>
    </row>
    <row r="13164">
      <c r="A13164" t="n">
        <v>13163</v>
      </c>
      <c r="B13164" t="inlineStr">
        <is>
          <t>x̄MMMCLXIII</t>
        </is>
      </c>
      <c r="C13164">
        <f>ROMAN(13163)</f>
        <v/>
      </c>
      <c r="D13164">
        <f>IF(B13164=C13164, "YES", "WRONG")</f>
        <v/>
      </c>
    </row>
    <row r="13165">
      <c r="A13165" t="n">
        <v>13164</v>
      </c>
      <c r="B13165" t="inlineStr">
        <is>
          <t>x̄MMMCLXIV</t>
        </is>
      </c>
      <c r="C13165">
        <f>ROMAN(13164)</f>
        <v/>
      </c>
      <c r="D13165">
        <f>IF(B13165=C13165, "YES", "WRONG")</f>
        <v/>
      </c>
    </row>
    <row r="13166">
      <c r="A13166" t="n">
        <v>13165</v>
      </c>
      <c r="B13166" t="inlineStr">
        <is>
          <t>x̄MMMCLXV</t>
        </is>
      </c>
      <c r="C13166">
        <f>ROMAN(13165)</f>
        <v/>
      </c>
      <c r="D13166">
        <f>IF(B13166=C13166, "YES", "WRONG")</f>
        <v/>
      </c>
    </row>
    <row r="13167">
      <c r="A13167" t="n">
        <v>13166</v>
      </c>
      <c r="B13167" t="inlineStr">
        <is>
          <t>x̄MMMCLXVI</t>
        </is>
      </c>
      <c r="C13167">
        <f>ROMAN(13166)</f>
        <v/>
      </c>
      <c r="D13167">
        <f>IF(B13167=C13167, "YES", "WRONG")</f>
        <v/>
      </c>
    </row>
    <row r="13168">
      <c r="A13168" t="n">
        <v>13167</v>
      </c>
      <c r="B13168" t="inlineStr">
        <is>
          <t>x̄MMMCLXVII</t>
        </is>
      </c>
      <c r="C13168">
        <f>ROMAN(13167)</f>
        <v/>
      </c>
      <c r="D13168">
        <f>IF(B13168=C13168, "YES", "WRONG")</f>
        <v/>
      </c>
    </row>
    <row r="13169">
      <c r="A13169" t="n">
        <v>13168</v>
      </c>
      <c r="B13169" t="inlineStr">
        <is>
          <t>x̄MMMCLXVIII</t>
        </is>
      </c>
      <c r="C13169">
        <f>ROMAN(13168)</f>
        <v/>
      </c>
      <c r="D13169">
        <f>IF(B13169=C13169, "YES", "WRONG")</f>
        <v/>
      </c>
    </row>
    <row r="13170">
      <c r="A13170" t="n">
        <v>13169</v>
      </c>
      <c r="B13170" t="inlineStr">
        <is>
          <t>x̄MMMCLXIX</t>
        </is>
      </c>
      <c r="C13170">
        <f>ROMAN(13169)</f>
        <v/>
      </c>
      <c r="D13170">
        <f>IF(B13170=C13170, "YES", "WRONG")</f>
        <v/>
      </c>
    </row>
    <row r="13171">
      <c r="A13171" t="n">
        <v>13170</v>
      </c>
      <c r="B13171" t="inlineStr">
        <is>
          <t>x̄MMMCLXX</t>
        </is>
      </c>
      <c r="C13171">
        <f>ROMAN(13170)</f>
        <v/>
      </c>
      <c r="D13171">
        <f>IF(B13171=C13171, "YES", "WRONG")</f>
        <v/>
      </c>
    </row>
    <row r="13172">
      <c r="A13172" t="n">
        <v>13171</v>
      </c>
      <c r="B13172" t="inlineStr">
        <is>
          <t>x̄MMMCLXXI</t>
        </is>
      </c>
      <c r="C13172">
        <f>ROMAN(13171)</f>
        <v/>
      </c>
      <c r="D13172">
        <f>IF(B13172=C13172, "YES", "WRONG")</f>
        <v/>
      </c>
    </row>
    <row r="13173">
      <c r="A13173" t="n">
        <v>13172</v>
      </c>
      <c r="B13173" t="inlineStr">
        <is>
          <t>x̄MMMCLXXII</t>
        </is>
      </c>
      <c r="C13173">
        <f>ROMAN(13172)</f>
        <v/>
      </c>
      <c r="D13173">
        <f>IF(B13173=C13173, "YES", "WRONG")</f>
        <v/>
      </c>
    </row>
    <row r="13174">
      <c r="A13174" t="n">
        <v>13173</v>
      </c>
      <c r="B13174" t="inlineStr">
        <is>
          <t>x̄MMMCLXXIII</t>
        </is>
      </c>
      <c r="C13174">
        <f>ROMAN(13173)</f>
        <v/>
      </c>
      <c r="D13174">
        <f>IF(B13174=C13174, "YES", "WRONG")</f>
        <v/>
      </c>
    </row>
    <row r="13175">
      <c r="A13175" t="n">
        <v>13174</v>
      </c>
      <c r="B13175" t="inlineStr">
        <is>
          <t>x̄MMMCLXXIV</t>
        </is>
      </c>
      <c r="C13175">
        <f>ROMAN(13174)</f>
        <v/>
      </c>
      <c r="D13175">
        <f>IF(B13175=C13175, "YES", "WRONG")</f>
        <v/>
      </c>
    </row>
    <row r="13176">
      <c r="A13176" t="n">
        <v>13175</v>
      </c>
      <c r="B13176" t="inlineStr">
        <is>
          <t>x̄MMMCLXXV</t>
        </is>
      </c>
      <c r="C13176">
        <f>ROMAN(13175)</f>
        <v/>
      </c>
      <c r="D13176">
        <f>IF(B13176=C13176, "YES", "WRONG")</f>
        <v/>
      </c>
    </row>
    <row r="13177">
      <c r="A13177" t="n">
        <v>13176</v>
      </c>
      <c r="B13177" t="inlineStr">
        <is>
          <t>x̄MMMCLXXVI</t>
        </is>
      </c>
      <c r="C13177">
        <f>ROMAN(13176)</f>
        <v/>
      </c>
      <c r="D13177">
        <f>IF(B13177=C13177, "YES", "WRONG")</f>
        <v/>
      </c>
    </row>
    <row r="13178">
      <c r="A13178" t="n">
        <v>13177</v>
      </c>
      <c r="B13178" t="inlineStr">
        <is>
          <t>x̄MMMCLXXVII</t>
        </is>
      </c>
      <c r="C13178">
        <f>ROMAN(13177)</f>
        <v/>
      </c>
      <c r="D13178">
        <f>IF(B13178=C13178, "YES", "WRONG")</f>
        <v/>
      </c>
    </row>
    <row r="13179">
      <c r="A13179" t="n">
        <v>13178</v>
      </c>
      <c r="B13179" t="inlineStr">
        <is>
          <t>x̄MMMCLXXVIII</t>
        </is>
      </c>
      <c r="C13179">
        <f>ROMAN(13178)</f>
        <v/>
      </c>
      <c r="D13179">
        <f>IF(B13179=C13179, "YES", "WRONG")</f>
        <v/>
      </c>
    </row>
    <row r="13180">
      <c r="A13180" t="n">
        <v>13179</v>
      </c>
      <c r="B13180" t="inlineStr">
        <is>
          <t>x̄MMMCLXXIX</t>
        </is>
      </c>
      <c r="C13180">
        <f>ROMAN(13179)</f>
        <v/>
      </c>
      <c r="D13180">
        <f>IF(B13180=C13180, "YES", "WRONG")</f>
        <v/>
      </c>
    </row>
    <row r="13181">
      <c r="A13181" t="n">
        <v>13180</v>
      </c>
      <c r="B13181" t="inlineStr">
        <is>
          <t>x̄MMMCLXXX</t>
        </is>
      </c>
      <c r="C13181">
        <f>ROMAN(13180)</f>
        <v/>
      </c>
      <c r="D13181">
        <f>IF(B13181=C13181, "YES", "WRONG")</f>
        <v/>
      </c>
    </row>
    <row r="13182">
      <c r="A13182" t="n">
        <v>13181</v>
      </c>
      <c r="B13182" t="inlineStr">
        <is>
          <t>x̄MMMCLXXXI</t>
        </is>
      </c>
      <c r="C13182">
        <f>ROMAN(13181)</f>
        <v/>
      </c>
      <c r="D13182">
        <f>IF(B13182=C13182, "YES", "WRONG")</f>
        <v/>
      </c>
    </row>
    <row r="13183">
      <c r="A13183" t="n">
        <v>13182</v>
      </c>
      <c r="B13183" t="inlineStr">
        <is>
          <t>x̄MMMCLXXXII</t>
        </is>
      </c>
      <c r="C13183">
        <f>ROMAN(13182)</f>
        <v/>
      </c>
      <c r="D13183">
        <f>IF(B13183=C13183, "YES", "WRONG")</f>
        <v/>
      </c>
    </row>
    <row r="13184">
      <c r="A13184" t="n">
        <v>13183</v>
      </c>
      <c r="B13184" t="inlineStr">
        <is>
          <t>x̄MMMCLXXXIII</t>
        </is>
      </c>
      <c r="C13184">
        <f>ROMAN(13183)</f>
        <v/>
      </c>
      <c r="D13184">
        <f>IF(B13184=C13184, "YES", "WRONG")</f>
        <v/>
      </c>
    </row>
    <row r="13185">
      <c r="A13185" t="n">
        <v>13184</v>
      </c>
      <c r="B13185" t="inlineStr">
        <is>
          <t>x̄MMMCLXXXIV</t>
        </is>
      </c>
      <c r="C13185">
        <f>ROMAN(13184)</f>
        <v/>
      </c>
      <c r="D13185">
        <f>IF(B13185=C13185, "YES", "WRONG")</f>
        <v/>
      </c>
    </row>
    <row r="13186">
      <c r="A13186" t="n">
        <v>13185</v>
      </c>
      <c r="B13186" t="inlineStr">
        <is>
          <t>x̄MMMCLXXXV</t>
        </is>
      </c>
      <c r="C13186">
        <f>ROMAN(13185)</f>
        <v/>
      </c>
      <c r="D13186">
        <f>IF(B13186=C13186, "YES", "WRONG")</f>
        <v/>
      </c>
    </row>
    <row r="13187">
      <c r="A13187" t="n">
        <v>13186</v>
      </c>
      <c r="B13187" t="inlineStr">
        <is>
          <t>x̄MMMCLXXXVI</t>
        </is>
      </c>
      <c r="C13187">
        <f>ROMAN(13186)</f>
        <v/>
      </c>
      <c r="D13187">
        <f>IF(B13187=C13187, "YES", "WRONG")</f>
        <v/>
      </c>
    </row>
    <row r="13188">
      <c r="A13188" t="n">
        <v>13187</v>
      </c>
      <c r="B13188" t="inlineStr">
        <is>
          <t>x̄MMMCLXXXVII</t>
        </is>
      </c>
      <c r="C13188">
        <f>ROMAN(13187)</f>
        <v/>
      </c>
      <c r="D13188">
        <f>IF(B13188=C13188, "YES", "WRONG")</f>
        <v/>
      </c>
    </row>
    <row r="13189">
      <c r="A13189" t="n">
        <v>13188</v>
      </c>
      <c r="B13189" t="inlineStr">
        <is>
          <t>x̄MMMCLXXXVIII</t>
        </is>
      </c>
      <c r="C13189">
        <f>ROMAN(13188)</f>
        <v/>
      </c>
      <c r="D13189">
        <f>IF(B13189=C13189, "YES", "WRONG")</f>
        <v/>
      </c>
    </row>
    <row r="13190">
      <c r="A13190" t="n">
        <v>13189</v>
      </c>
      <c r="B13190" t="inlineStr">
        <is>
          <t>x̄MMMCLXXXIX</t>
        </is>
      </c>
      <c r="C13190">
        <f>ROMAN(13189)</f>
        <v/>
      </c>
      <c r="D13190">
        <f>IF(B13190=C13190, "YES", "WRONG")</f>
        <v/>
      </c>
    </row>
    <row r="13191">
      <c r="A13191" t="n">
        <v>13190</v>
      </c>
      <c r="B13191" t="inlineStr">
        <is>
          <t>x̄MMMCXC</t>
        </is>
      </c>
      <c r="C13191">
        <f>ROMAN(13190)</f>
        <v/>
      </c>
      <c r="D13191">
        <f>IF(B13191=C13191, "YES", "WRONG")</f>
        <v/>
      </c>
    </row>
    <row r="13192">
      <c r="A13192" t="n">
        <v>13191</v>
      </c>
      <c r="B13192" t="inlineStr">
        <is>
          <t>x̄MMMCXCI</t>
        </is>
      </c>
      <c r="C13192">
        <f>ROMAN(13191)</f>
        <v/>
      </c>
      <c r="D13192">
        <f>IF(B13192=C13192, "YES", "WRONG")</f>
        <v/>
      </c>
    </row>
    <row r="13193">
      <c r="A13193" t="n">
        <v>13192</v>
      </c>
      <c r="B13193" t="inlineStr">
        <is>
          <t>x̄MMMCXCII</t>
        </is>
      </c>
      <c r="C13193">
        <f>ROMAN(13192)</f>
        <v/>
      </c>
      <c r="D13193">
        <f>IF(B13193=C13193, "YES", "WRONG")</f>
        <v/>
      </c>
    </row>
    <row r="13194">
      <c r="A13194" t="n">
        <v>13193</v>
      </c>
      <c r="B13194" t="inlineStr">
        <is>
          <t>x̄MMMCXCIII</t>
        </is>
      </c>
      <c r="C13194">
        <f>ROMAN(13193)</f>
        <v/>
      </c>
      <c r="D13194">
        <f>IF(B13194=C13194, "YES", "WRONG")</f>
        <v/>
      </c>
    </row>
    <row r="13195">
      <c r="A13195" t="n">
        <v>13194</v>
      </c>
      <c r="B13195" t="inlineStr">
        <is>
          <t>x̄MMMCXCIV</t>
        </is>
      </c>
      <c r="C13195">
        <f>ROMAN(13194)</f>
        <v/>
      </c>
      <c r="D13195">
        <f>IF(B13195=C13195, "YES", "WRONG")</f>
        <v/>
      </c>
    </row>
    <row r="13196">
      <c r="A13196" t="n">
        <v>13195</v>
      </c>
      <c r="B13196" t="inlineStr">
        <is>
          <t>x̄MMMCXCV</t>
        </is>
      </c>
      <c r="C13196">
        <f>ROMAN(13195)</f>
        <v/>
      </c>
      <c r="D13196">
        <f>IF(B13196=C13196, "YES", "WRONG")</f>
        <v/>
      </c>
    </row>
    <row r="13197">
      <c r="A13197" t="n">
        <v>13196</v>
      </c>
      <c r="B13197" t="inlineStr">
        <is>
          <t>x̄MMMCXCVI</t>
        </is>
      </c>
      <c r="C13197">
        <f>ROMAN(13196)</f>
        <v/>
      </c>
      <c r="D13197">
        <f>IF(B13197=C13197, "YES", "WRONG")</f>
        <v/>
      </c>
    </row>
    <row r="13198">
      <c r="A13198" t="n">
        <v>13197</v>
      </c>
      <c r="B13198" t="inlineStr">
        <is>
          <t>x̄MMMCXCVII</t>
        </is>
      </c>
      <c r="C13198">
        <f>ROMAN(13197)</f>
        <v/>
      </c>
      <c r="D13198">
        <f>IF(B13198=C13198, "YES", "WRONG")</f>
        <v/>
      </c>
    </row>
    <row r="13199">
      <c r="A13199" t="n">
        <v>13198</v>
      </c>
      <c r="B13199" t="inlineStr">
        <is>
          <t>x̄MMMCXCVIII</t>
        </is>
      </c>
      <c r="C13199">
        <f>ROMAN(13198)</f>
        <v/>
      </c>
      <c r="D13199">
        <f>IF(B13199=C13199, "YES", "WRONG")</f>
        <v/>
      </c>
    </row>
    <row r="13200">
      <c r="A13200" t="n">
        <v>13199</v>
      </c>
      <c r="B13200" t="inlineStr">
        <is>
          <t>x̄MMMCXCIX</t>
        </is>
      </c>
      <c r="C13200">
        <f>ROMAN(13199)</f>
        <v/>
      </c>
      <c r="D13200">
        <f>IF(B13200=C13200, "YES", "WRONG")</f>
        <v/>
      </c>
    </row>
    <row r="13201">
      <c r="A13201" t="n">
        <v>13200</v>
      </c>
      <c r="B13201" t="inlineStr">
        <is>
          <t>x̄MMMCC</t>
        </is>
      </c>
      <c r="C13201">
        <f>ROMAN(13200)</f>
        <v/>
      </c>
      <c r="D13201">
        <f>IF(B13201=C13201, "YES", "WRONG")</f>
        <v/>
      </c>
    </row>
    <row r="13202">
      <c r="A13202" t="n">
        <v>13201</v>
      </c>
      <c r="B13202" t="inlineStr">
        <is>
          <t>x̄MMMCCI</t>
        </is>
      </c>
      <c r="C13202">
        <f>ROMAN(13201)</f>
        <v/>
      </c>
      <c r="D13202">
        <f>IF(B13202=C13202, "YES", "WRONG")</f>
        <v/>
      </c>
    </row>
    <row r="13203">
      <c r="A13203" t="n">
        <v>13202</v>
      </c>
      <c r="B13203" t="inlineStr">
        <is>
          <t>x̄MMMCCII</t>
        </is>
      </c>
      <c r="C13203">
        <f>ROMAN(13202)</f>
        <v/>
      </c>
      <c r="D13203">
        <f>IF(B13203=C13203, "YES", "WRONG")</f>
        <v/>
      </c>
    </row>
    <row r="13204">
      <c r="A13204" t="n">
        <v>13203</v>
      </c>
      <c r="B13204" t="inlineStr">
        <is>
          <t>x̄MMMCCIII</t>
        </is>
      </c>
      <c r="C13204">
        <f>ROMAN(13203)</f>
        <v/>
      </c>
      <c r="D13204">
        <f>IF(B13204=C13204, "YES", "WRONG")</f>
        <v/>
      </c>
    </row>
    <row r="13205">
      <c r="A13205" t="n">
        <v>13204</v>
      </c>
      <c r="B13205" t="inlineStr">
        <is>
          <t>x̄MMMCCIV</t>
        </is>
      </c>
      <c r="C13205">
        <f>ROMAN(13204)</f>
        <v/>
      </c>
      <c r="D13205">
        <f>IF(B13205=C13205, "YES", "WRONG")</f>
        <v/>
      </c>
    </row>
    <row r="13206">
      <c r="A13206" t="n">
        <v>13205</v>
      </c>
      <c r="B13206" t="inlineStr">
        <is>
          <t>x̄MMMCCV</t>
        </is>
      </c>
      <c r="C13206">
        <f>ROMAN(13205)</f>
        <v/>
      </c>
      <c r="D13206">
        <f>IF(B13206=C13206, "YES", "WRONG")</f>
        <v/>
      </c>
    </row>
    <row r="13207">
      <c r="A13207" t="n">
        <v>13206</v>
      </c>
      <c r="B13207" t="inlineStr">
        <is>
          <t>x̄MMMCCVI</t>
        </is>
      </c>
      <c r="C13207">
        <f>ROMAN(13206)</f>
        <v/>
      </c>
      <c r="D13207">
        <f>IF(B13207=C13207, "YES", "WRONG")</f>
        <v/>
      </c>
    </row>
    <row r="13208">
      <c r="A13208" t="n">
        <v>13207</v>
      </c>
      <c r="B13208" t="inlineStr">
        <is>
          <t>x̄MMMCCVII</t>
        </is>
      </c>
      <c r="C13208">
        <f>ROMAN(13207)</f>
        <v/>
      </c>
      <c r="D13208">
        <f>IF(B13208=C13208, "YES", "WRONG")</f>
        <v/>
      </c>
    </row>
    <row r="13209">
      <c r="A13209" t="n">
        <v>13208</v>
      </c>
      <c r="B13209" t="inlineStr">
        <is>
          <t>x̄MMMCCVIII</t>
        </is>
      </c>
      <c r="C13209">
        <f>ROMAN(13208)</f>
        <v/>
      </c>
      <c r="D13209">
        <f>IF(B13209=C13209, "YES", "WRONG")</f>
        <v/>
      </c>
    </row>
    <row r="13210">
      <c r="A13210" t="n">
        <v>13209</v>
      </c>
      <c r="B13210" t="inlineStr">
        <is>
          <t>x̄MMMCCIX</t>
        </is>
      </c>
      <c r="C13210">
        <f>ROMAN(13209)</f>
        <v/>
      </c>
      <c r="D13210">
        <f>IF(B13210=C13210, "YES", "WRONG")</f>
        <v/>
      </c>
    </row>
    <row r="13211">
      <c r="A13211" t="n">
        <v>13210</v>
      </c>
      <c r="B13211" t="inlineStr">
        <is>
          <t>x̄MMMCCX</t>
        </is>
      </c>
      <c r="C13211">
        <f>ROMAN(13210)</f>
        <v/>
      </c>
      <c r="D13211">
        <f>IF(B13211=C13211, "YES", "WRONG")</f>
        <v/>
      </c>
    </row>
    <row r="13212">
      <c r="A13212" t="n">
        <v>13211</v>
      </c>
      <c r="B13212" t="inlineStr">
        <is>
          <t>x̄MMMCCXI</t>
        </is>
      </c>
      <c r="C13212">
        <f>ROMAN(13211)</f>
        <v/>
      </c>
      <c r="D13212">
        <f>IF(B13212=C13212, "YES", "WRONG")</f>
        <v/>
      </c>
    </row>
    <row r="13213">
      <c r="A13213" t="n">
        <v>13212</v>
      </c>
      <c r="B13213" t="inlineStr">
        <is>
          <t>x̄MMMCCXII</t>
        </is>
      </c>
      <c r="C13213">
        <f>ROMAN(13212)</f>
        <v/>
      </c>
      <c r="D13213">
        <f>IF(B13213=C13213, "YES", "WRONG")</f>
        <v/>
      </c>
    </row>
    <row r="13214">
      <c r="A13214" t="n">
        <v>13213</v>
      </c>
      <c r="B13214" t="inlineStr">
        <is>
          <t>x̄MMMCCXIII</t>
        </is>
      </c>
      <c r="C13214">
        <f>ROMAN(13213)</f>
        <v/>
      </c>
      <c r="D13214">
        <f>IF(B13214=C13214, "YES", "WRONG")</f>
        <v/>
      </c>
    </row>
    <row r="13215">
      <c r="A13215" t="n">
        <v>13214</v>
      </c>
      <c r="B13215" t="inlineStr">
        <is>
          <t>x̄MMMCCXIV</t>
        </is>
      </c>
      <c r="C13215">
        <f>ROMAN(13214)</f>
        <v/>
      </c>
      <c r="D13215">
        <f>IF(B13215=C13215, "YES", "WRONG")</f>
        <v/>
      </c>
    </row>
    <row r="13216">
      <c r="A13216" t="n">
        <v>13215</v>
      </c>
      <c r="B13216" t="inlineStr">
        <is>
          <t>x̄MMMCCXV</t>
        </is>
      </c>
      <c r="C13216">
        <f>ROMAN(13215)</f>
        <v/>
      </c>
      <c r="D13216">
        <f>IF(B13216=C13216, "YES", "WRONG")</f>
        <v/>
      </c>
    </row>
    <row r="13217">
      <c r="A13217" t="n">
        <v>13216</v>
      </c>
      <c r="B13217" t="inlineStr">
        <is>
          <t>x̄MMMCCXVI</t>
        </is>
      </c>
      <c r="C13217">
        <f>ROMAN(13216)</f>
        <v/>
      </c>
      <c r="D13217">
        <f>IF(B13217=C13217, "YES", "WRONG")</f>
        <v/>
      </c>
    </row>
    <row r="13218">
      <c r="A13218" t="n">
        <v>13217</v>
      </c>
      <c r="B13218" t="inlineStr">
        <is>
          <t>x̄MMMCCXVII</t>
        </is>
      </c>
      <c r="C13218">
        <f>ROMAN(13217)</f>
        <v/>
      </c>
      <c r="D13218">
        <f>IF(B13218=C13218, "YES", "WRONG")</f>
        <v/>
      </c>
    </row>
    <row r="13219">
      <c r="A13219" t="n">
        <v>13218</v>
      </c>
      <c r="B13219" t="inlineStr">
        <is>
          <t>x̄MMMCCXVIII</t>
        </is>
      </c>
      <c r="C13219">
        <f>ROMAN(13218)</f>
        <v/>
      </c>
      <c r="D13219">
        <f>IF(B13219=C13219, "YES", "WRONG")</f>
        <v/>
      </c>
    </row>
    <row r="13220">
      <c r="A13220" t="n">
        <v>13219</v>
      </c>
      <c r="B13220" t="inlineStr">
        <is>
          <t>x̄MMMCCXIX</t>
        </is>
      </c>
      <c r="C13220">
        <f>ROMAN(13219)</f>
        <v/>
      </c>
      <c r="D13220">
        <f>IF(B13220=C13220, "YES", "WRONG")</f>
        <v/>
      </c>
    </row>
    <row r="13221">
      <c r="A13221" t="n">
        <v>13220</v>
      </c>
      <c r="B13221" t="inlineStr">
        <is>
          <t>x̄MMMCCXX</t>
        </is>
      </c>
      <c r="C13221">
        <f>ROMAN(13220)</f>
        <v/>
      </c>
      <c r="D13221">
        <f>IF(B13221=C13221, "YES", "WRONG")</f>
        <v/>
      </c>
    </row>
    <row r="13222">
      <c r="A13222" t="n">
        <v>13221</v>
      </c>
      <c r="B13222" t="inlineStr">
        <is>
          <t>x̄MMMCCXXI</t>
        </is>
      </c>
      <c r="C13222">
        <f>ROMAN(13221)</f>
        <v/>
      </c>
      <c r="D13222">
        <f>IF(B13222=C13222, "YES", "WRONG")</f>
        <v/>
      </c>
    </row>
    <row r="13223">
      <c r="A13223" t="n">
        <v>13222</v>
      </c>
      <c r="B13223" t="inlineStr">
        <is>
          <t>x̄MMMCCXXII</t>
        </is>
      </c>
      <c r="C13223">
        <f>ROMAN(13222)</f>
        <v/>
      </c>
      <c r="D13223">
        <f>IF(B13223=C13223, "YES", "WRONG")</f>
        <v/>
      </c>
    </row>
    <row r="13224">
      <c r="A13224" t="n">
        <v>13223</v>
      </c>
      <c r="B13224" t="inlineStr">
        <is>
          <t>x̄MMMCCXXIII</t>
        </is>
      </c>
      <c r="C13224">
        <f>ROMAN(13223)</f>
        <v/>
      </c>
      <c r="D13224">
        <f>IF(B13224=C13224, "YES", "WRONG")</f>
        <v/>
      </c>
    </row>
    <row r="13225">
      <c r="A13225" t="n">
        <v>13224</v>
      </c>
      <c r="B13225" t="inlineStr">
        <is>
          <t>x̄MMMCCXXIV</t>
        </is>
      </c>
      <c r="C13225">
        <f>ROMAN(13224)</f>
        <v/>
      </c>
      <c r="D13225">
        <f>IF(B13225=C13225, "YES", "WRONG")</f>
        <v/>
      </c>
    </row>
    <row r="13226">
      <c r="A13226" t="n">
        <v>13225</v>
      </c>
      <c r="B13226" t="inlineStr">
        <is>
          <t>x̄MMMCCXXV</t>
        </is>
      </c>
      <c r="C13226">
        <f>ROMAN(13225)</f>
        <v/>
      </c>
      <c r="D13226">
        <f>IF(B13226=C13226, "YES", "WRONG")</f>
        <v/>
      </c>
    </row>
    <row r="13227">
      <c r="A13227" t="n">
        <v>13226</v>
      </c>
      <c r="B13227" t="inlineStr">
        <is>
          <t>x̄MMMCCXXVI</t>
        </is>
      </c>
      <c r="C13227">
        <f>ROMAN(13226)</f>
        <v/>
      </c>
      <c r="D13227">
        <f>IF(B13227=C13227, "YES", "WRONG")</f>
        <v/>
      </c>
    </row>
    <row r="13228">
      <c r="A13228" t="n">
        <v>13227</v>
      </c>
      <c r="B13228" t="inlineStr">
        <is>
          <t>x̄MMMCCXXVII</t>
        </is>
      </c>
      <c r="C13228">
        <f>ROMAN(13227)</f>
        <v/>
      </c>
      <c r="D13228">
        <f>IF(B13228=C13228, "YES", "WRONG")</f>
        <v/>
      </c>
    </row>
    <row r="13229">
      <c r="A13229" t="n">
        <v>13228</v>
      </c>
      <c r="B13229" t="inlineStr">
        <is>
          <t>x̄MMMCCXXVIII</t>
        </is>
      </c>
      <c r="C13229">
        <f>ROMAN(13228)</f>
        <v/>
      </c>
      <c r="D13229">
        <f>IF(B13229=C13229, "YES", "WRONG")</f>
        <v/>
      </c>
    </row>
    <row r="13230">
      <c r="A13230" t="n">
        <v>13229</v>
      </c>
      <c r="B13230" t="inlineStr">
        <is>
          <t>x̄MMMCCXXIX</t>
        </is>
      </c>
      <c r="C13230">
        <f>ROMAN(13229)</f>
        <v/>
      </c>
      <c r="D13230">
        <f>IF(B13230=C13230, "YES", "WRONG")</f>
        <v/>
      </c>
    </row>
    <row r="13231">
      <c r="A13231" t="n">
        <v>13230</v>
      </c>
      <c r="B13231" t="inlineStr">
        <is>
          <t>x̄MMMCCXXX</t>
        </is>
      </c>
      <c r="C13231">
        <f>ROMAN(13230)</f>
        <v/>
      </c>
      <c r="D13231">
        <f>IF(B13231=C13231, "YES", "WRONG")</f>
        <v/>
      </c>
    </row>
    <row r="13232">
      <c r="A13232" t="n">
        <v>13231</v>
      </c>
      <c r="B13232" t="inlineStr">
        <is>
          <t>x̄MMMCCXXXI</t>
        </is>
      </c>
      <c r="C13232">
        <f>ROMAN(13231)</f>
        <v/>
      </c>
      <c r="D13232">
        <f>IF(B13232=C13232, "YES", "WRONG")</f>
        <v/>
      </c>
    </row>
    <row r="13233">
      <c r="A13233" t="n">
        <v>13232</v>
      </c>
      <c r="B13233" t="inlineStr">
        <is>
          <t>x̄MMMCCXXXII</t>
        </is>
      </c>
      <c r="C13233">
        <f>ROMAN(13232)</f>
        <v/>
      </c>
      <c r="D13233">
        <f>IF(B13233=C13233, "YES", "WRONG")</f>
        <v/>
      </c>
    </row>
    <row r="13234">
      <c r="A13234" t="n">
        <v>13233</v>
      </c>
      <c r="B13234" t="inlineStr">
        <is>
          <t>x̄MMMCCXXXIII</t>
        </is>
      </c>
      <c r="C13234">
        <f>ROMAN(13233)</f>
        <v/>
      </c>
      <c r="D13234">
        <f>IF(B13234=C13234, "YES", "WRONG")</f>
        <v/>
      </c>
    </row>
    <row r="13235">
      <c r="A13235" t="n">
        <v>13234</v>
      </c>
      <c r="B13235" t="inlineStr">
        <is>
          <t>x̄MMMCCXXXIV</t>
        </is>
      </c>
      <c r="C13235">
        <f>ROMAN(13234)</f>
        <v/>
      </c>
      <c r="D13235">
        <f>IF(B13235=C13235, "YES", "WRONG")</f>
        <v/>
      </c>
    </row>
    <row r="13236">
      <c r="A13236" t="n">
        <v>13235</v>
      </c>
      <c r="B13236" t="inlineStr">
        <is>
          <t>x̄MMMCCXXXV</t>
        </is>
      </c>
      <c r="C13236">
        <f>ROMAN(13235)</f>
        <v/>
      </c>
      <c r="D13236">
        <f>IF(B13236=C13236, "YES", "WRONG")</f>
        <v/>
      </c>
    </row>
    <row r="13237">
      <c r="A13237" t="n">
        <v>13236</v>
      </c>
      <c r="B13237" t="inlineStr">
        <is>
          <t>x̄MMMCCXXXVI</t>
        </is>
      </c>
      <c r="C13237">
        <f>ROMAN(13236)</f>
        <v/>
      </c>
      <c r="D13237">
        <f>IF(B13237=C13237, "YES", "WRONG")</f>
        <v/>
      </c>
    </row>
    <row r="13238">
      <c r="A13238" t="n">
        <v>13237</v>
      </c>
      <c r="B13238" t="inlineStr">
        <is>
          <t>x̄MMMCCXXXVII</t>
        </is>
      </c>
      <c r="C13238">
        <f>ROMAN(13237)</f>
        <v/>
      </c>
      <c r="D13238">
        <f>IF(B13238=C13238, "YES", "WRONG")</f>
        <v/>
      </c>
    </row>
    <row r="13239">
      <c r="A13239" t="n">
        <v>13238</v>
      </c>
      <c r="B13239" t="inlineStr">
        <is>
          <t>x̄MMMCCXXXVIII</t>
        </is>
      </c>
      <c r="C13239">
        <f>ROMAN(13238)</f>
        <v/>
      </c>
      <c r="D13239">
        <f>IF(B13239=C13239, "YES", "WRONG")</f>
        <v/>
      </c>
    </row>
    <row r="13240">
      <c r="A13240" t="n">
        <v>13239</v>
      </c>
      <c r="B13240" t="inlineStr">
        <is>
          <t>x̄MMMCCXXXIX</t>
        </is>
      </c>
      <c r="C13240">
        <f>ROMAN(13239)</f>
        <v/>
      </c>
      <c r="D13240">
        <f>IF(B13240=C13240, "YES", "WRONG")</f>
        <v/>
      </c>
    </row>
    <row r="13241">
      <c r="A13241" t="n">
        <v>13240</v>
      </c>
      <c r="B13241" t="inlineStr">
        <is>
          <t>x̄MMMCCXL</t>
        </is>
      </c>
      <c r="C13241">
        <f>ROMAN(13240)</f>
        <v/>
      </c>
      <c r="D13241">
        <f>IF(B13241=C13241, "YES", "WRONG")</f>
        <v/>
      </c>
    </row>
    <row r="13242">
      <c r="A13242" t="n">
        <v>13241</v>
      </c>
      <c r="B13242" t="inlineStr">
        <is>
          <t>x̄MMMCCXLI</t>
        </is>
      </c>
      <c r="C13242">
        <f>ROMAN(13241)</f>
        <v/>
      </c>
      <c r="D13242">
        <f>IF(B13242=C13242, "YES", "WRONG")</f>
        <v/>
      </c>
    </row>
    <row r="13243">
      <c r="A13243" t="n">
        <v>13242</v>
      </c>
      <c r="B13243" t="inlineStr">
        <is>
          <t>x̄MMMCCXLII</t>
        </is>
      </c>
      <c r="C13243">
        <f>ROMAN(13242)</f>
        <v/>
      </c>
      <c r="D13243">
        <f>IF(B13243=C13243, "YES", "WRONG")</f>
        <v/>
      </c>
    </row>
    <row r="13244">
      <c r="A13244" t="n">
        <v>13243</v>
      </c>
      <c r="B13244" t="inlineStr">
        <is>
          <t>x̄MMMCCXLIII</t>
        </is>
      </c>
      <c r="C13244">
        <f>ROMAN(13243)</f>
        <v/>
      </c>
      <c r="D13244">
        <f>IF(B13244=C13244, "YES", "WRONG")</f>
        <v/>
      </c>
    </row>
    <row r="13245">
      <c r="A13245" t="n">
        <v>13244</v>
      </c>
      <c r="B13245" t="inlineStr">
        <is>
          <t>x̄MMMCCXLIV</t>
        </is>
      </c>
      <c r="C13245">
        <f>ROMAN(13244)</f>
        <v/>
      </c>
      <c r="D13245">
        <f>IF(B13245=C13245, "YES", "WRONG")</f>
        <v/>
      </c>
    </row>
    <row r="13246">
      <c r="A13246" t="n">
        <v>13245</v>
      </c>
      <c r="B13246" t="inlineStr">
        <is>
          <t>x̄MMMCCXLV</t>
        </is>
      </c>
      <c r="C13246">
        <f>ROMAN(13245)</f>
        <v/>
      </c>
      <c r="D13246">
        <f>IF(B13246=C13246, "YES", "WRONG")</f>
        <v/>
      </c>
    </row>
    <row r="13247">
      <c r="A13247" t="n">
        <v>13246</v>
      </c>
      <c r="B13247" t="inlineStr">
        <is>
          <t>x̄MMMCCXLVI</t>
        </is>
      </c>
      <c r="C13247">
        <f>ROMAN(13246)</f>
        <v/>
      </c>
      <c r="D13247">
        <f>IF(B13247=C13247, "YES", "WRONG")</f>
        <v/>
      </c>
    </row>
    <row r="13248">
      <c r="A13248" t="n">
        <v>13247</v>
      </c>
      <c r="B13248" t="inlineStr">
        <is>
          <t>x̄MMMCCXLVII</t>
        </is>
      </c>
      <c r="C13248">
        <f>ROMAN(13247)</f>
        <v/>
      </c>
      <c r="D13248">
        <f>IF(B13248=C13248, "YES", "WRONG")</f>
        <v/>
      </c>
    </row>
    <row r="13249">
      <c r="A13249" t="n">
        <v>13248</v>
      </c>
      <c r="B13249" t="inlineStr">
        <is>
          <t>x̄MMMCCXLVIII</t>
        </is>
      </c>
      <c r="C13249">
        <f>ROMAN(13248)</f>
        <v/>
      </c>
      <c r="D13249">
        <f>IF(B13249=C13249, "YES", "WRONG")</f>
        <v/>
      </c>
    </row>
    <row r="13250">
      <c r="A13250" t="n">
        <v>13249</v>
      </c>
      <c r="B13250" t="inlineStr">
        <is>
          <t>x̄MMMCCXLIX</t>
        </is>
      </c>
      <c r="C13250">
        <f>ROMAN(13249)</f>
        <v/>
      </c>
      <c r="D13250">
        <f>IF(B13250=C13250, "YES", "WRONG")</f>
        <v/>
      </c>
    </row>
    <row r="13251">
      <c r="A13251" t="n">
        <v>13250</v>
      </c>
      <c r="B13251" t="inlineStr">
        <is>
          <t>x̄MMMCCL</t>
        </is>
      </c>
      <c r="C13251">
        <f>ROMAN(13250)</f>
        <v/>
      </c>
      <c r="D13251">
        <f>IF(B13251=C13251, "YES", "WRONG")</f>
        <v/>
      </c>
    </row>
    <row r="13252">
      <c r="A13252" t="n">
        <v>13251</v>
      </c>
      <c r="B13252" t="inlineStr">
        <is>
          <t>x̄MMMCCLI</t>
        </is>
      </c>
      <c r="C13252">
        <f>ROMAN(13251)</f>
        <v/>
      </c>
      <c r="D13252">
        <f>IF(B13252=C13252, "YES", "WRONG")</f>
        <v/>
      </c>
    </row>
    <row r="13253">
      <c r="A13253" t="n">
        <v>13252</v>
      </c>
      <c r="B13253" t="inlineStr">
        <is>
          <t>x̄MMMCCLII</t>
        </is>
      </c>
      <c r="C13253">
        <f>ROMAN(13252)</f>
        <v/>
      </c>
      <c r="D13253">
        <f>IF(B13253=C13253, "YES", "WRONG")</f>
        <v/>
      </c>
    </row>
    <row r="13254">
      <c r="A13254" t="n">
        <v>13253</v>
      </c>
      <c r="B13254" t="inlineStr">
        <is>
          <t>x̄MMMCCLIII</t>
        </is>
      </c>
      <c r="C13254">
        <f>ROMAN(13253)</f>
        <v/>
      </c>
      <c r="D13254">
        <f>IF(B13254=C13254, "YES", "WRONG")</f>
        <v/>
      </c>
    </row>
    <row r="13255">
      <c r="A13255" t="n">
        <v>13254</v>
      </c>
      <c r="B13255" t="inlineStr">
        <is>
          <t>x̄MMMCCLIV</t>
        </is>
      </c>
      <c r="C13255">
        <f>ROMAN(13254)</f>
        <v/>
      </c>
      <c r="D13255">
        <f>IF(B13255=C13255, "YES", "WRONG")</f>
        <v/>
      </c>
    </row>
    <row r="13256">
      <c r="A13256" t="n">
        <v>13255</v>
      </c>
      <c r="B13256" t="inlineStr">
        <is>
          <t>x̄MMMCCLV</t>
        </is>
      </c>
      <c r="C13256">
        <f>ROMAN(13255)</f>
        <v/>
      </c>
      <c r="D13256">
        <f>IF(B13256=C13256, "YES", "WRONG")</f>
        <v/>
      </c>
    </row>
    <row r="13257">
      <c r="A13257" t="n">
        <v>13256</v>
      </c>
      <c r="B13257" t="inlineStr">
        <is>
          <t>x̄MMMCCLVI</t>
        </is>
      </c>
      <c r="C13257">
        <f>ROMAN(13256)</f>
        <v/>
      </c>
      <c r="D13257">
        <f>IF(B13257=C13257, "YES", "WRONG")</f>
        <v/>
      </c>
    </row>
    <row r="13258">
      <c r="A13258" t="n">
        <v>13257</v>
      </c>
      <c r="B13258" t="inlineStr">
        <is>
          <t>x̄MMMCCLVII</t>
        </is>
      </c>
      <c r="C13258">
        <f>ROMAN(13257)</f>
        <v/>
      </c>
      <c r="D13258">
        <f>IF(B13258=C13258, "YES", "WRONG")</f>
        <v/>
      </c>
    </row>
    <row r="13259">
      <c r="A13259" t="n">
        <v>13258</v>
      </c>
      <c r="B13259" t="inlineStr">
        <is>
          <t>x̄MMMCCLVIII</t>
        </is>
      </c>
      <c r="C13259">
        <f>ROMAN(13258)</f>
        <v/>
      </c>
      <c r="D13259">
        <f>IF(B13259=C13259, "YES", "WRONG")</f>
        <v/>
      </c>
    </row>
    <row r="13260">
      <c r="A13260" t="n">
        <v>13259</v>
      </c>
      <c r="B13260" t="inlineStr">
        <is>
          <t>x̄MMMCCLIX</t>
        </is>
      </c>
      <c r="C13260">
        <f>ROMAN(13259)</f>
        <v/>
      </c>
      <c r="D13260">
        <f>IF(B13260=C13260, "YES", "WRONG")</f>
        <v/>
      </c>
    </row>
    <row r="13261">
      <c r="A13261" t="n">
        <v>13260</v>
      </c>
      <c r="B13261" t="inlineStr">
        <is>
          <t>x̄MMMCCLX</t>
        </is>
      </c>
      <c r="C13261">
        <f>ROMAN(13260)</f>
        <v/>
      </c>
      <c r="D13261">
        <f>IF(B13261=C13261, "YES", "WRONG")</f>
        <v/>
      </c>
    </row>
    <row r="13262">
      <c r="A13262" t="n">
        <v>13261</v>
      </c>
      <c r="B13262" t="inlineStr">
        <is>
          <t>x̄MMMCCLXI</t>
        </is>
      </c>
      <c r="C13262">
        <f>ROMAN(13261)</f>
        <v/>
      </c>
      <c r="D13262">
        <f>IF(B13262=C13262, "YES", "WRONG")</f>
        <v/>
      </c>
    </row>
    <row r="13263">
      <c r="A13263" t="n">
        <v>13262</v>
      </c>
      <c r="B13263" t="inlineStr">
        <is>
          <t>x̄MMMCCLXII</t>
        </is>
      </c>
      <c r="C13263">
        <f>ROMAN(13262)</f>
        <v/>
      </c>
      <c r="D13263">
        <f>IF(B13263=C13263, "YES", "WRONG")</f>
        <v/>
      </c>
    </row>
    <row r="13264">
      <c r="A13264" t="n">
        <v>13263</v>
      </c>
      <c r="B13264" t="inlineStr">
        <is>
          <t>x̄MMMCCLXIII</t>
        </is>
      </c>
      <c r="C13264">
        <f>ROMAN(13263)</f>
        <v/>
      </c>
      <c r="D13264">
        <f>IF(B13264=C13264, "YES", "WRONG")</f>
        <v/>
      </c>
    </row>
    <row r="13265">
      <c r="A13265" t="n">
        <v>13264</v>
      </c>
      <c r="B13265" t="inlineStr">
        <is>
          <t>x̄MMMCCLXIV</t>
        </is>
      </c>
      <c r="C13265">
        <f>ROMAN(13264)</f>
        <v/>
      </c>
      <c r="D13265">
        <f>IF(B13265=C13265, "YES", "WRONG")</f>
        <v/>
      </c>
    </row>
    <row r="13266">
      <c r="A13266" t="n">
        <v>13265</v>
      </c>
      <c r="B13266" t="inlineStr">
        <is>
          <t>x̄MMMCCLXV</t>
        </is>
      </c>
      <c r="C13266">
        <f>ROMAN(13265)</f>
        <v/>
      </c>
      <c r="D13266">
        <f>IF(B13266=C13266, "YES", "WRONG")</f>
        <v/>
      </c>
    </row>
    <row r="13267">
      <c r="A13267" t="n">
        <v>13266</v>
      </c>
      <c r="B13267" t="inlineStr">
        <is>
          <t>x̄MMMCCLXVI</t>
        </is>
      </c>
      <c r="C13267">
        <f>ROMAN(13266)</f>
        <v/>
      </c>
      <c r="D13267">
        <f>IF(B13267=C13267, "YES", "WRONG")</f>
        <v/>
      </c>
    </row>
    <row r="13268">
      <c r="A13268" t="n">
        <v>13267</v>
      </c>
      <c r="B13268" t="inlineStr">
        <is>
          <t>x̄MMMCCLXVII</t>
        </is>
      </c>
      <c r="C13268">
        <f>ROMAN(13267)</f>
        <v/>
      </c>
      <c r="D13268">
        <f>IF(B13268=C13268, "YES", "WRONG")</f>
        <v/>
      </c>
    </row>
    <row r="13269">
      <c r="A13269" t="n">
        <v>13268</v>
      </c>
      <c r="B13269" t="inlineStr">
        <is>
          <t>x̄MMMCCLXVIII</t>
        </is>
      </c>
      <c r="C13269">
        <f>ROMAN(13268)</f>
        <v/>
      </c>
      <c r="D13269">
        <f>IF(B13269=C13269, "YES", "WRONG")</f>
        <v/>
      </c>
    </row>
    <row r="13270">
      <c r="A13270" t="n">
        <v>13269</v>
      </c>
      <c r="B13270" t="inlineStr">
        <is>
          <t>x̄MMMCCLXIX</t>
        </is>
      </c>
      <c r="C13270">
        <f>ROMAN(13269)</f>
        <v/>
      </c>
      <c r="D13270">
        <f>IF(B13270=C13270, "YES", "WRONG")</f>
        <v/>
      </c>
    </row>
    <row r="13271">
      <c r="A13271" t="n">
        <v>13270</v>
      </c>
      <c r="B13271" t="inlineStr">
        <is>
          <t>x̄MMMCCLXX</t>
        </is>
      </c>
      <c r="C13271">
        <f>ROMAN(13270)</f>
        <v/>
      </c>
      <c r="D13271">
        <f>IF(B13271=C13271, "YES", "WRONG")</f>
        <v/>
      </c>
    </row>
    <row r="13272">
      <c r="A13272" t="n">
        <v>13271</v>
      </c>
      <c r="B13272" t="inlineStr">
        <is>
          <t>x̄MMMCCLXXI</t>
        </is>
      </c>
      <c r="C13272">
        <f>ROMAN(13271)</f>
        <v/>
      </c>
      <c r="D13272">
        <f>IF(B13272=C13272, "YES", "WRONG")</f>
        <v/>
      </c>
    </row>
    <row r="13273">
      <c r="A13273" t="n">
        <v>13272</v>
      </c>
      <c r="B13273" t="inlineStr">
        <is>
          <t>x̄MMMCCLXXII</t>
        </is>
      </c>
      <c r="C13273">
        <f>ROMAN(13272)</f>
        <v/>
      </c>
      <c r="D13273">
        <f>IF(B13273=C13273, "YES", "WRONG")</f>
        <v/>
      </c>
    </row>
    <row r="13274">
      <c r="A13274" t="n">
        <v>13273</v>
      </c>
      <c r="B13274" t="inlineStr">
        <is>
          <t>x̄MMMCCLXXIII</t>
        </is>
      </c>
      <c r="C13274">
        <f>ROMAN(13273)</f>
        <v/>
      </c>
      <c r="D13274">
        <f>IF(B13274=C13274, "YES", "WRONG")</f>
        <v/>
      </c>
    </row>
    <row r="13275">
      <c r="A13275" t="n">
        <v>13274</v>
      </c>
      <c r="B13275" t="inlineStr">
        <is>
          <t>x̄MMMCCLXXIV</t>
        </is>
      </c>
      <c r="C13275">
        <f>ROMAN(13274)</f>
        <v/>
      </c>
      <c r="D13275">
        <f>IF(B13275=C13275, "YES", "WRONG")</f>
        <v/>
      </c>
    </row>
    <row r="13276">
      <c r="A13276" t="n">
        <v>13275</v>
      </c>
      <c r="B13276" t="inlineStr">
        <is>
          <t>x̄MMMCCLXXV</t>
        </is>
      </c>
      <c r="C13276">
        <f>ROMAN(13275)</f>
        <v/>
      </c>
      <c r="D13276">
        <f>IF(B13276=C13276, "YES", "WRONG")</f>
        <v/>
      </c>
    </row>
    <row r="13277">
      <c r="A13277" t="n">
        <v>13276</v>
      </c>
      <c r="B13277" t="inlineStr">
        <is>
          <t>x̄MMMCCLXXVI</t>
        </is>
      </c>
      <c r="C13277">
        <f>ROMAN(13276)</f>
        <v/>
      </c>
      <c r="D13277">
        <f>IF(B13277=C13277, "YES", "WRONG")</f>
        <v/>
      </c>
    </row>
    <row r="13278">
      <c r="A13278" t="n">
        <v>13277</v>
      </c>
      <c r="B13278" t="inlineStr">
        <is>
          <t>x̄MMMCCLXXVII</t>
        </is>
      </c>
      <c r="C13278">
        <f>ROMAN(13277)</f>
        <v/>
      </c>
      <c r="D13278">
        <f>IF(B13278=C13278, "YES", "WRONG")</f>
        <v/>
      </c>
    </row>
    <row r="13279">
      <c r="A13279" t="n">
        <v>13278</v>
      </c>
      <c r="B13279" t="inlineStr">
        <is>
          <t>x̄MMMCCLXXVIII</t>
        </is>
      </c>
      <c r="C13279">
        <f>ROMAN(13278)</f>
        <v/>
      </c>
      <c r="D13279">
        <f>IF(B13279=C13279, "YES", "WRONG")</f>
        <v/>
      </c>
    </row>
    <row r="13280">
      <c r="A13280" t="n">
        <v>13279</v>
      </c>
      <c r="B13280" t="inlineStr">
        <is>
          <t>x̄MMMCCLXXIX</t>
        </is>
      </c>
      <c r="C13280">
        <f>ROMAN(13279)</f>
        <v/>
      </c>
      <c r="D13280">
        <f>IF(B13280=C13280, "YES", "WRONG")</f>
        <v/>
      </c>
    </row>
    <row r="13281">
      <c r="A13281" t="n">
        <v>13280</v>
      </c>
      <c r="B13281" t="inlineStr">
        <is>
          <t>x̄MMMCCLXXX</t>
        </is>
      </c>
      <c r="C13281">
        <f>ROMAN(13280)</f>
        <v/>
      </c>
      <c r="D13281">
        <f>IF(B13281=C13281, "YES", "WRONG")</f>
        <v/>
      </c>
    </row>
    <row r="13282">
      <c r="A13282" t="n">
        <v>13281</v>
      </c>
      <c r="B13282" t="inlineStr">
        <is>
          <t>x̄MMMCCLXXXI</t>
        </is>
      </c>
      <c r="C13282">
        <f>ROMAN(13281)</f>
        <v/>
      </c>
      <c r="D13282">
        <f>IF(B13282=C13282, "YES", "WRONG")</f>
        <v/>
      </c>
    </row>
    <row r="13283">
      <c r="A13283" t="n">
        <v>13282</v>
      </c>
      <c r="B13283" t="inlineStr">
        <is>
          <t>x̄MMMCCLXXXII</t>
        </is>
      </c>
      <c r="C13283">
        <f>ROMAN(13282)</f>
        <v/>
      </c>
      <c r="D13283">
        <f>IF(B13283=C13283, "YES", "WRONG")</f>
        <v/>
      </c>
    </row>
    <row r="13284">
      <c r="A13284" t="n">
        <v>13283</v>
      </c>
      <c r="B13284" t="inlineStr">
        <is>
          <t>x̄MMMCCLXXXIII</t>
        </is>
      </c>
      <c r="C13284">
        <f>ROMAN(13283)</f>
        <v/>
      </c>
      <c r="D13284">
        <f>IF(B13284=C13284, "YES", "WRONG")</f>
        <v/>
      </c>
    </row>
    <row r="13285">
      <c r="A13285" t="n">
        <v>13284</v>
      </c>
      <c r="B13285" t="inlineStr">
        <is>
          <t>x̄MMMCCLXXXIV</t>
        </is>
      </c>
      <c r="C13285">
        <f>ROMAN(13284)</f>
        <v/>
      </c>
      <c r="D13285">
        <f>IF(B13285=C13285, "YES", "WRONG")</f>
        <v/>
      </c>
    </row>
    <row r="13286">
      <c r="A13286" t="n">
        <v>13285</v>
      </c>
      <c r="B13286" t="inlineStr">
        <is>
          <t>x̄MMMCCLXXXV</t>
        </is>
      </c>
      <c r="C13286">
        <f>ROMAN(13285)</f>
        <v/>
      </c>
      <c r="D13286">
        <f>IF(B13286=C13286, "YES", "WRONG")</f>
        <v/>
      </c>
    </row>
    <row r="13287">
      <c r="A13287" t="n">
        <v>13286</v>
      </c>
      <c r="B13287" t="inlineStr">
        <is>
          <t>x̄MMMCCLXXXVI</t>
        </is>
      </c>
      <c r="C13287">
        <f>ROMAN(13286)</f>
        <v/>
      </c>
      <c r="D13287">
        <f>IF(B13287=C13287, "YES", "WRONG")</f>
        <v/>
      </c>
    </row>
    <row r="13288">
      <c r="A13288" t="n">
        <v>13287</v>
      </c>
      <c r="B13288" t="inlineStr">
        <is>
          <t>x̄MMMCCLXXXVII</t>
        </is>
      </c>
      <c r="C13288">
        <f>ROMAN(13287)</f>
        <v/>
      </c>
      <c r="D13288">
        <f>IF(B13288=C13288, "YES", "WRONG")</f>
        <v/>
      </c>
    </row>
    <row r="13289">
      <c r="A13289" t="n">
        <v>13288</v>
      </c>
      <c r="B13289" t="inlineStr">
        <is>
          <t>x̄MMMCCLXXXVIII</t>
        </is>
      </c>
      <c r="C13289">
        <f>ROMAN(13288)</f>
        <v/>
      </c>
      <c r="D13289">
        <f>IF(B13289=C13289, "YES", "WRONG")</f>
        <v/>
      </c>
    </row>
    <row r="13290">
      <c r="A13290" t="n">
        <v>13289</v>
      </c>
      <c r="B13290" t="inlineStr">
        <is>
          <t>x̄MMMCCLXXXIX</t>
        </is>
      </c>
      <c r="C13290">
        <f>ROMAN(13289)</f>
        <v/>
      </c>
      <c r="D13290">
        <f>IF(B13290=C13290, "YES", "WRONG")</f>
        <v/>
      </c>
    </row>
    <row r="13291">
      <c r="A13291" t="n">
        <v>13290</v>
      </c>
      <c r="B13291" t="inlineStr">
        <is>
          <t>x̄MMMCCXC</t>
        </is>
      </c>
      <c r="C13291">
        <f>ROMAN(13290)</f>
        <v/>
      </c>
      <c r="D13291">
        <f>IF(B13291=C13291, "YES", "WRONG")</f>
        <v/>
      </c>
    </row>
    <row r="13292">
      <c r="A13292" t="n">
        <v>13291</v>
      </c>
      <c r="B13292" t="inlineStr">
        <is>
          <t>x̄MMMCCXCI</t>
        </is>
      </c>
      <c r="C13292">
        <f>ROMAN(13291)</f>
        <v/>
      </c>
      <c r="D13292">
        <f>IF(B13292=C13292, "YES", "WRONG")</f>
        <v/>
      </c>
    </row>
    <row r="13293">
      <c r="A13293" t="n">
        <v>13292</v>
      </c>
      <c r="B13293" t="inlineStr">
        <is>
          <t>x̄MMMCCXCII</t>
        </is>
      </c>
      <c r="C13293">
        <f>ROMAN(13292)</f>
        <v/>
      </c>
      <c r="D13293">
        <f>IF(B13293=C13293, "YES", "WRONG")</f>
        <v/>
      </c>
    </row>
    <row r="13294">
      <c r="A13294" t="n">
        <v>13293</v>
      </c>
      <c r="B13294" t="inlineStr">
        <is>
          <t>x̄MMMCCXCIII</t>
        </is>
      </c>
      <c r="C13294">
        <f>ROMAN(13293)</f>
        <v/>
      </c>
      <c r="D13294">
        <f>IF(B13294=C13294, "YES", "WRONG")</f>
        <v/>
      </c>
    </row>
    <row r="13295">
      <c r="A13295" t="n">
        <v>13294</v>
      </c>
      <c r="B13295" t="inlineStr">
        <is>
          <t>x̄MMMCCXCIV</t>
        </is>
      </c>
      <c r="C13295">
        <f>ROMAN(13294)</f>
        <v/>
      </c>
      <c r="D13295">
        <f>IF(B13295=C13295, "YES", "WRONG")</f>
        <v/>
      </c>
    </row>
    <row r="13296">
      <c r="A13296" t="n">
        <v>13295</v>
      </c>
      <c r="B13296" t="inlineStr">
        <is>
          <t>x̄MMMCCXCV</t>
        </is>
      </c>
      <c r="C13296">
        <f>ROMAN(13295)</f>
        <v/>
      </c>
      <c r="D13296">
        <f>IF(B13296=C13296, "YES", "WRONG")</f>
        <v/>
      </c>
    </row>
    <row r="13297">
      <c r="A13297" t="n">
        <v>13296</v>
      </c>
      <c r="B13297" t="inlineStr">
        <is>
          <t>x̄MMMCCXCVI</t>
        </is>
      </c>
      <c r="C13297">
        <f>ROMAN(13296)</f>
        <v/>
      </c>
      <c r="D13297">
        <f>IF(B13297=C13297, "YES", "WRONG")</f>
        <v/>
      </c>
    </row>
    <row r="13298">
      <c r="A13298" t="n">
        <v>13297</v>
      </c>
      <c r="B13298" t="inlineStr">
        <is>
          <t>x̄MMMCCXCVII</t>
        </is>
      </c>
      <c r="C13298">
        <f>ROMAN(13297)</f>
        <v/>
      </c>
      <c r="D13298">
        <f>IF(B13298=C13298, "YES", "WRONG")</f>
        <v/>
      </c>
    </row>
    <row r="13299">
      <c r="A13299" t="n">
        <v>13298</v>
      </c>
      <c r="B13299" t="inlineStr">
        <is>
          <t>x̄MMMCCXCVIII</t>
        </is>
      </c>
      <c r="C13299">
        <f>ROMAN(13298)</f>
        <v/>
      </c>
      <c r="D13299">
        <f>IF(B13299=C13299, "YES", "WRONG")</f>
        <v/>
      </c>
    </row>
    <row r="13300">
      <c r="A13300" t="n">
        <v>13299</v>
      </c>
      <c r="B13300" t="inlineStr">
        <is>
          <t>x̄MMMCCXCIX</t>
        </is>
      </c>
      <c r="C13300">
        <f>ROMAN(13299)</f>
        <v/>
      </c>
      <c r="D13300">
        <f>IF(B13300=C13300, "YES", "WRONG")</f>
        <v/>
      </c>
    </row>
    <row r="13301">
      <c r="A13301" t="n">
        <v>13300</v>
      </c>
      <c r="B13301" t="inlineStr">
        <is>
          <t>x̄MMMCCC</t>
        </is>
      </c>
      <c r="C13301">
        <f>ROMAN(13300)</f>
        <v/>
      </c>
      <c r="D13301">
        <f>IF(B13301=C13301, "YES", "WRONG")</f>
        <v/>
      </c>
    </row>
    <row r="13302">
      <c r="A13302" t="n">
        <v>13301</v>
      </c>
      <c r="B13302" t="inlineStr">
        <is>
          <t>x̄MMMCCCI</t>
        </is>
      </c>
      <c r="C13302">
        <f>ROMAN(13301)</f>
        <v/>
      </c>
      <c r="D13302">
        <f>IF(B13302=C13302, "YES", "WRONG")</f>
        <v/>
      </c>
    </row>
    <row r="13303">
      <c r="A13303" t="n">
        <v>13302</v>
      </c>
      <c r="B13303" t="inlineStr">
        <is>
          <t>x̄MMMCCCII</t>
        </is>
      </c>
      <c r="C13303">
        <f>ROMAN(13302)</f>
        <v/>
      </c>
      <c r="D13303">
        <f>IF(B13303=C13303, "YES", "WRONG")</f>
        <v/>
      </c>
    </row>
    <row r="13304">
      <c r="A13304" t="n">
        <v>13303</v>
      </c>
      <c r="B13304" t="inlineStr">
        <is>
          <t>x̄MMMCCCIII</t>
        </is>
      </c>
      <c r="C13304">
        <f>ROMAN(13303)</f>
        <v/>
      </c>
      <c r="D13304">
        <f>IF(B13304=C13304, "YES", "WRONG")</f>
        <v/>
      </c>
    </row>
    <row r="13305">
      <c r="A13305" t="n">
        <v>13304</v>
      </c>
      <c r="B13305" t="inlineStr">
        <is>
          <t>x̄MMMCCCIV</t>
        </is>
      </c>
      <c r="C13305">
        <f>ROMAN(13304)</f>
        <v/>
      </c>
      <c r="D13305">
        <f>IF(B13305=C13305, "YES", "WRONG")</f>
        <v/>
      </c>
    </row>
    <row r="13306">
      <c r="A13306" t="n">
        <v>13305</v>
      </c>
      <c r="B13306" t="inlineStr">
        <is>
          <t>x̄MMMCCCV</t>
        </is>
      </c>
      <c r="C13306">
        <f>ROMAN(13305)</f>
        <v/>
      </c>
      <c r="D13306">
        <f>IF(B13306=C13306, "YES", "WRONG")</f>
        <v/>
      </c>
    </row>
    <row r="13307">
      <c r="A13307" t="n">
        <v>13306</v>
      </c>
      <c r="B13307" t="inlineStr">
        <is>
          <t>x̄MMMCCCVI</t>
        </is>
      </c>
      <c r="C13307">
        <f>ROMAN(13306)</f>
        <v/>
      </c>
      <c r="D13307">
        <f>IF(B13307=C13307, "YES", "WRONG")</f>
        <v/>
      </c>
    </row>
    <row r="13308">
      <c r="A13308" t="n">
        <v>13307</v>
      </c>
      <c r="B13308" t="inlineStr">
        <is>
          <t>x̄MMMCCCVII</t>
        </is>
      </c>
      <c r="C13308">
        <f>ROMAN(13307)</f>
        <v/>
      </c>
      <c r="D13308">
        <f>IF(B13308=C13308, "YES", "WRONG")</f>
        <v/>
      </c>
    </row>
    <row r="13309">
      <c r="A13309" t="n">
        <v>13308</v>
      </c>
      <c r="B13309" t="inlineStr">
        <is>
          <t>x̄MMMCCCVIII</t>
        </is>
      </c>
      <c r="C13309">
        <f>ROMAN(13308)</f>
        <v/>
      </c>
      <c r="D13309">
        <f>IF(B13309=C13309, "YES", "WRONG")</f>
        <v/>
      </c>
    </row>
    <row r="13310">
      <c r="A13310" t="n">
        <v>13309</v>
      </c>
      <c r="B13310" t="inlineStr">
        <is>
          <t>x̄MMMCCCIX</t>
        </is>
      </c>
      <c r="C13310">
        <f>ROMAN(13309)</f>
        <v/>
      </c>
      <c r="D13310">
        <f>IF(B13310=C13310, "YES", "WRONG")</f>
        <v/>
      </c>
    </row>
    <row r="13311">
      <c r="A13311" t="n">
        <v>13310</v>
      </c>
      <c r="B13311" t="inlineStr">
        <is>
          <t>x̄MMMCCCX</t>
        </is>
      </c>
      <c r="C13311">
        <f>ROMAN(13310)</f>
        <v/>
      </c>
      <c r="D13311">
        <f>IF(B13311=C13311, "YES", "WRONG")</f>
        <v/>
      </c>
    </row>
    <row r="13312">
      <c r="A13312" t="n">
        <v>13311</v>
      </c>
      <c r="B13312" t="inlineStr">
        <is>
          <t>x̄MMMCCCXI</t>
        </is>
      </c>
      <c r="C13312">
        <f>ROMAN(13311)</f>
        <v/>
      </c>
      <c r="D13312">
        <f>IF(B13312=C13312, "YES", "WRONG")</f>
        <v/>
      </c>
    </row>
    <row r="13313">
      <c r="A13313" t="n">
        <v>13312</v>
      </c>
      <c r="B13313" t="inlineStr">
        <is>
          <t>x̄MMMCCCXII</t>
        </is>
      </c>
      <c r="C13313">
        <f>ROMAN(13312)</f>
        <v/>
      </c>
      <c r="D13313">
        <f>IF(B13313=C13313, "YES", "WRONG")</f>
        <v/>
      </c>
    </row>
    <row r="13314">
      <c r="A13314" t="n">
        <v>13313</v>
      </c>
      <c r="B13314" t="inlineStr">
        <is>
          <t>x̄MMMCCCXIII</t>
        </is>
      </c>
      <c r="C13314">
        <f>ROMAN(13313)</f>
        <v/>
      </c>
      <c r="D13314">
        <f>IF(B13314=C13314, "YES", "WRONG")</f>
        <v/>
      </c>
    </row>
    <row r="13315">
      <c r="A13315" t="n">
        <v>13314</v>
      </c>
      <c r="B13315" t="inlineStr">
        <is>
          <t>x̄MMMCCCXIV</t>
        </is>
      </c>
      <c r="C13315">
        <f>ROMAN(13314)</f>
        <v/>
      </c>
      <c r="D13315">
        <f>IF(B13315=C13315, "YES", "WRONG")</f>
        <v/>
      </c>
    </row>
    <row r="13316">
      <c r="A13316" t="n">
        <v>13315</v>
      </c>
      <c r="B13316" t="inlineStr">
        <is>
          <t>x̄MMMCCCXV</t>
        </is>
      </c>
      <c r="C13316">
        <f>ROMAN(13315)</f>
        <v/>
      </c>
      <c r="D13316">
        <f>IF(B13316=C13316, "YES", "WRONG")</f>
        <v/>
      </c>
    </row>
    <row r="13317">
      <c r="A13317" t="n">
        <v>13316</v>
      </c>
      <c r="B13317" t="inlineStr">
        <is>
          <t>x̄MMMCCCXVI</t>
        </is>
      </c>
      <c r="C13317">
        <f>ROMAN(13316)</f>
        <v/>
      </c>
      <c r="D13317">
        <f>IF(B13317=C13317, "YES", "WRONG")</f>
        <v/>
      </c>
    </row>
    <row r="13318">
      <c r="A13318" t="n">
        <v>13317</v>
      </c>
      <c r="B13318" t="inlineStr">
        <is>
          <t>x̄MMMCCCXVII</t>
        </is>
      </c>
      <c r="C13318">
        <f>ROMAN(13317)</f>
        <v/>
      </c>
      <c r="D13318">
        <f>IF(B13318=C13318, "YES", "WRONG")</f>
        <v/>
      </c>
    </row>
    <row r="13319">
      <c r="A13319" t="n">
        <v>13318</v>
      </c>
      <c r="B13319" t="inlineStr">
        <is>
          <t>x̄MMMCCCXVIII</t>
        </is>
      </c>
      <c r="C13319">
        <f>ROMAN(13318)</f>
        <v/>
      </c>
      <c r="D13319">
        <f>IF(B13319=C13319, "YES", "WRONG")</f>
        <v/>
      </c>
    </row>
    <row r="13320">
      <c r="A13320" t="n">
        <v>13319</v>
      </c>
      <c r="B13320" t="inlineStr">
        <is>
          <t>x̄MMMCCCXIX</t>
        </is>
      </c>
      <c r="C13320">
        <f>ROMAN(13319)</f>
        <v/>
      </c>
      <c r="D13320">
        <f>IF(B13320=C13320, "YES", "WRONG")</f>
        <v/>
      </c>
    </row>
    <row r="13321">
      <c r="A13321" t="n">
        <v>13320</v>
      </c>
      <c r="B13321" t="inlineStr">
        <is>
          <t>x̄MMMCCCXX</t>
        </is>
      </c>
      <c r="C13321">
        <f>ROMAN(13320)</f>
        <v/>
      </c>
      <c r="D13321">
        <f>IF(B13321=C13321, "YES", "WRONG")</f>
        <v/>
      </c>
    </row>
    <row r="13322">
      <c r="A13322" t="n">
        <v>13321</v>
      </c>
      <c r="B13322" t="inlineStr">
        <is>
          <t>x̄MMMCCCXXI</t>
        </is>
      </c>
      <c r="C13322">
        <f>ROMAN(13321)</f>
        <v/>
      </c>
      <c r="D13322">
        <f>IF(B13322=C13322, "YES", "WRONG")</f>
        <v/>
      </c>
    </row>
    <row r="13323">
      <c r="A13323" t="n">
        <v>13322</v>
      </c>
      <c r="B13323" t="inlineStr">
        <is>
          <t>x̄MMMCCCXXII</t>
        </is>
      </c>
      <c r="C13323">
        <f>ROMAN(13322)</f>
        <v/>
      </c>
      <c r="D13323">
        <f>IF(B13323=C13323, "YES", "WRONG")</f>
        <v/>
      </c>
    </row>
    <row r="13324">
      <c r="A13324" t="n">
        <v>13323</v>
      </c>
      <c r="B13324" t="inlineStr">
        <is>
          <t>x̄MMMCCCXXIII</t>
        </is>
      </c>
      <c r="C13324">
        <f>ROMAN(13323)</f>
        <v/>
      </c>
      <c r="D13324">
        <f>IF(B13324=C13324, "YES", "WRONG")</f>
        <v/>
      </c>
    </row>
    <row r="13325">
      <c r="A13325" t="n">
        <v>13324</v>
      </c>
      <c r="B13325" t="inlineStr">
        <is>
          <t>x̄MMMCCCXXIV</t>
        </is>
      </c>
      <c r="C13325">
        <f>ROMAN(13324)</f>
        <v/>
      </c>
      <c r="D13325">
        <f>IF(B13325=C13325, "YES", "WRONG")</f>
        <v/>
      </c>
    </row>
    <row r="13326">
      <c r="A13326" t="n">
        <v>13325</v>
      </c>
      <c r="B13326" t="inlineStr">
        <is>
          <t>x̄MMMCCCXXV</t>
        </is>
      </c>
      <c r="C13326">
        <f>ROMAN(13325)</f>
        <v/>
      </c>
      <c r="D13326">
        <f>IF(B13326=C13326, "YES", "WRONG")</f>
        <v/>
      </c>
    </row>
    <row r="13327">
      <c r="A13327" t="n">
        <v>13326</v>
      </c>
      <c r="B13327" t="inlineStr">
        <is>
          <t>x̄MMMCCCXXVI</t>
        </is>
      </c>
      <c r="C13327">
        <f>ROMAN(13326)</f>
        <v/>
      </c>
      <c r="D13327">
        <f>IF(B13327=C13327, "YES", "WRONG")</f>
        <v/>
      </c>
    </row>
    <row r="13328">
      <c r="A13328" t="n">
        <v>13327</v>
      </c>
      <c r="B13328" t="inlineStr">
        <is>
          <t>x̄MMMCCCXXVII</t>
        </is>
      </c>
      <c r="C13328">
        <f>ROMAN(13327)</f>
        <v/>
      </c>
      <c r="D13328">
        <f>IF(B13328=C13328, "YES", "WRONG")</f>
        <v/>
      </c>
    </row>
    <row r="13329">
      <c r="A13329" t="n">
        <v>13328</v>
      </c>
      <c r="B13329" t="inlineStr">
        <is>
          <t>x̄MMMCCCXXVIII</t>
        </is>
      </c>
      <c r="C13329">
        <f>ROMAN(13328)</f>
        <v/>
      </c>
      <c r="D13329">
        <f>IF(B13329=C13329, "YES", "WRONG")</f>
        <v/>
      </c>
    </row>
    <row r="13330">
      <c r="A13330" t="n">
        <v>13329</v>
      </c>
      <c r="B13330" t="inlineStr">
        <is>
          <t>x̄MMMCCCXXIX</t>
        </is>
      </c>
      <c r="C13330">
        <f>ROMAN(13329)</f>
        <v/>
      </c>
      <c r="D13330">
        <f>IF(B13330=C13330, "YES", "WRONG")</f>
        <v/>
      </c>
    </row>
    <row r="13331">
      <c r="A13331" t="n">
        <v>13330</v>
      </c>
      <c r="B13331" t="inlineStr">
        <is>
          <t>x̄MMMCCCXXX</t>
        </is>
      </c>
      <c r="C13331">
        <f>ROMAN(13330)</f>
        <v/>
      </c>
      <c r="D13331">
        <f>IF(B13331=C13331, "YES", "WRONG")</f>
        <v/>
      </c>
    </row>
    <row r="13332">
      <c r="A13332" t="n">
        <v>13331</v>
      </c>
      <c r="B13332" t="inlineStr">
        <is>
          <t>x̄MMMCCCXXXI</t>
        </is>
      </c>
      <c r="C13332">
        <f>ROMAN(13331)</f>
        <v/>
      </c>
      <c r="D13332">
        <f>IF(B13332=C13332, "YES", "WRONG")</f>
        <v/>
      </c>
    </row>
    <row r="13333">
      <c r="A13333" t="n">
        <v>13332</v>
      </c>
      <c r="B13333" t="inlineStr">
        <is>
          <t>x̄MMMCCCXXXII</t>
        </is>
      </c>
      <c r="C13333">
        <f>ROMAN(13332)</f>
        <v/>
      </c>
      <c r="D13333">
        <f>IF(B13333=C13333, "YES", "WRONG")</f>
        <v/>
      </c>
    </row>
    <row r="13334">
      <c r="A13334" t="n">
        <v>13333</v>
      </c>
      <c r="B13334" t="inlineStr">
        <is>
          <t>x̄MMMCCCXXXIII</t>
        </is>
      </c>
      <c r="C13334">
        <f>ROMAN(13333)</f>
        <v/>
      </c>
      <c r="D13334">
        <f>IF(B13334=C13334, "YES", "WRONG")</f>
        <v/>
      </c>
    </row>
    <row r="13335">
      <c r="A13335" t="n">
        <v>13334</v>
      </c>
      <c r="B13335" t="inlineStr">
        <is>
          <t>x̄MMMCCCXXXIV</t>
        </is>
      </c>
      <c r="C13335">
        <f>ROMAN(13334)</f>
        <v/>
      </c>
      <c r="D13335">
        <f>IF(B13335=C13335, "YES", "WRONG")</f>
        <v/>
      </c>
    </row>
    <row r="13336">
      <c r="A13336" t="n">
        <v>13335</v>
      </c>
      <c r="B13336" t="inlineStr">
        <is>
          <t>x̄MMMCCCXXXV</t>
        </is>
      </c>
      <c r="C13336">
        <f>ROMAN(13335)</f>
        <v/>
      </c>
      <c r="D13336">
        <f>IF(B13336=C13336, "YES", "WRONG")</f>
        <v/>
      </c>
    </row>
    <row r="13337">
      <c r="A13337" t="n">
        <v>13336</v>
      </c>
      <c r="B13337" t="inlineStr">
        <is>
          <t>x̄MMMCCCXXXVI</t>
        </is>
      </c>
      <c r="C13337">
        <f>ROMAN(13336)</f>
        <v/>
      </c>
      <c r="D13337">
        <f>IF(B13337=C13337, "YES", "WRONG")</f>
        <v/>
      </c>
    </row>
    <row r="13338">
      <c r="A13338" t="n">
        <v>13337</v>
      </c>
      <c r="B13338" t="inlineStr">
        <is>
          <t>x̄MMMCCCXXXVII</t>
        </is>
      </c>
      <c r="C13338">
        <f>ROMAN(13337)</f>
        <v/>
      </c>
      <c r="D13338">
        <f>IF(B13338=C13338, "YES", "WRONG")</f>
        <v/>
      </c>
    </row>
    <row r="13339">
      <c r="A13339" t="n">
        <v>13338</v>
      </c>
      <c r="B13339" t="inlineStr">
        <is>
          <t>x̄MMMCCCXXXVIII</t>
        </is>
      </c>
      <c r="C13339">
        <f>ROMAN(13338)</f>
        <v/>
      </c>
      <c r="D13339">
        <f>IF(B13339=C13339, "YES", "WRONG")</f>
        <v/>
      </c>
    </row>
    <row r="13340">
      <c r="A13340" t="n">
        <v>13339</v>
      </c>
      <c r="B13340" t="inlineStr">
        <is>
          <t>x̄MMMCCCXXXIX</t>
        </is>
      </c>
      <c r="C13340">
        <f>ROMAN(13339)</f>
        <v/>
      </c>
      <c r="D13340">
        <f>IF(B13340=C13340, "YES", "WRONG")</f>
        <v/>
      </c>
    </row>
    <row r="13341">
      <c r="A13341" t="n">
        <v>13340</v>
      </c>
      <c r="B13341" t="inlineStr">
        <is>
          <t>x̄MMMCCCXL</t>
        </is>
      </c>
      <c r="C13341">
        <f>ROMAN(13340)</f>
        <v/>
      </c>
      <c r="D13341">
        <f>IF(B13341=C13341, "YES", "WRONG")</f>
        <v/>
      </c>
    </row>
    <row r="13342">
      <c r="A13342" t="n">
        <v>13341</v>
      </c>
      <c r="B13342" t="inlineStr">
        <is>
          <t>x̄MMMCCCXLI</t>
        </is>
      </c>
      <c r="C13342">
        <f>ROMAN(13341)</f>
        <v/>
      </c>
      <c r="D13342">
        <f>IF(B13342=C13342, "YES", "WRONG")</f>
        <v/>
      </c>
    </row>
    <row r="13343">
      <c r="A13343" t="n">
        <v>13342</v>
      </c>
      <c r="B13343" t="inlineStr">
        <is>
          <t>x̄MMMCCCXLII</t>
        </is>
      </c>
      <c r="C13343">
        <f>ROMAN(13342)</f>
        <v/>
      </c>
      <c r="D13343">
        <f>IF(B13343=C13343, "YES", "WRONG")</f>
        <v/>
      </c>
    </row>
    <row r="13344">
      <c r="A13344" t="n">
        <v>13343</v>
      </c>
      <c r="B13344" t="inlineStr">
        <is>
          <t>x̄MMMCCCXLIII</t>
        </is>
      </c>
      <c r="C13344">
        <f>ROMAN(13343)</f>
        <v/>
      </c>
      <c r="D13344">
        <f>IF(B13344=C13344, "YES", "WRONG")</f>
        <v/>
      </c>
    </row>
    <row r="13345">
      <c r="A13345" t="n">
        <v>13344</v>
      </c>
      <c r="B13345" t="inlineStr">
        <is>
          <t>x̄MMMCCCXLIV</t>
        </is>
      </c>
      <c r="C13345">
        <f>ROMAN(13344)</f>
        <v/>
      </c>
      <c r="D13345">
        <f>IF(B13345=C13345, "YES", "WRONG")</f>
        <v/>
      </c>
    </row>
    <row r="13346">
      <c r="A13346" t="n">
        <v>13345</v>
      </c>
      <c r="B13346" t="inlineStr">
        <is>
          <t>x̄MMMCCCXLV</t>
        </is>
      </c>
      <c r="C13346">
        <f>ROMAN(13345)</f>
        <v/>
      </c>
      <c r="D13346">
        <f>IF(B13346=C13346, "YES", "WRONG")</f>
        <v/>
      </c>
    </row>
    <row r="13347">
      <c r="A13347" t="n">
        <v>13346</v>
      </c>
      <c r="B13347" t="inlineStr">
        <is>
          <t>x̄MMMCCCXLVI</t>
        </is>
      </c>
      <c r="C13347">
        <f>ROMAN(13346)</f>
        <v/>
      </c>
      <c r="D13347">
        <f>IF(B13347=C13347, "YES", "WRONG")</f>
        <v/>
      </c>
    </row>
    <row r="13348">
      <c r="A13348" t="n">
        <v>13347</v>
      </c>
      <c r="B13348" t="inlineStr">
        <is>
          <t>x̄MMMCCCXLVII</t>
        </is>
      </c>
      <c r="C13348">
        <f>ROMAN(13347)</f>
        <v/>
      </c>
      <c r="D13348">
        <f>IF(B13348=C13348, "YES", "WRONG")</f>
        <v/>
      </c>
    </row>
    <row r="13349">
      <c r="A13349" t="n">
        <v>13348</v>
      </c>
      <c r="B13349" t="inlineStr">
        <is>
          <t>x̄MMMCCCXLVIII</t>
        </is>
      </c>
      <c r="C13349">
        <f>ROMAN(13348)</f>
        <v/>
      </c>
      <c r="D13349">
        <f>IF(B13349=C13349, "YES", "WRONG")</f>
        <v/>
      </c>
    </row>
    <row r="13350">
      <c r="A13350" t="n">
        <v>13349</v>
      </c>
      <c r="B13350" t="inlineStr">
        <is>
          <t>x̄MMMCCCXLIX</t>
        </is>
      </c>
      <c r="C13350">
        <f>ROMAN(13349)</f>
        <v/>
      </c>
      <c r="D13350">
        <f>IF(B13350=C13350, "YES", "WRONG")</f>
        <v/>
      </c>
    </row>
    <row r="13351">
      <c r="A13351" t="n">
        <v>13350</v>
      </c>
      <c r="B13351" t="inlineStr">
        <is>
          <t>x̄MMMCCCL</t>
        </is>
      </c>
      <c r="C13351">
        <f>ROMAN(13350)</f>
        <v/>
      </c>
      <c r="D13351">
        <f>IF(B13351=C13351, "YES", "WRONG")</f>
        <v/>
      </c>
    </row>
    <row r="13352">
      <c r="A13352" t="n">
        <v>13351</v>
      </c>
      <c r="B13352" t="inlineStr">
        <is>
          <t>x̄MMMCCCLI</t>
        </is>
      </c>
      <c r="C13352">
        <f>ROMAN(13351)</f>
        <v/>
      </c>
      <c r="D13352">
        <f>IF(B13352=C13352, "YES", "WRONG")</f>
        <v/>
      </c>
    </row>
    <row r="13353">
      <c r="A13353" t="n">
        <v>13352</v>
      </c>
      <c r="B13353" t="inlineStr">
        <is>
          <t>x̄MMMCCCLII</t>
        </is>
      </c>
      <c r="C13353">
        <f>ROMAN(13352)</f>
        <v/>
      </c>
      <c r="D13353">
        <f>IF(B13353=C13353, "YES", "WRONG")</f>
        <v/>
      </c>
    </row>
    <row r="13354">
      <c r="A13354" t="n">
        <v>13353</v>
      </c>
      <c r="B13354" t="inlineStr">
        <is>
          <t>x̄MMMCCCLIII</t>
        </is>
      </c>
      <c r="C13354">
        <f>ROMAN(13353)</f>
        <v/>
      </c>
      <c r="D13354">
        <f>IF(B13354=C13354, "YES", "WRONG")</f>
        <v/>
      </c>
    </row>
    <row r="13355">
      <c r="A13355" t="n">
        <v>13354</v>
      </c>
      <c r="B13355" t="inlineStr">
        <is>
          <t>x̄MMMCCCLIV</t>
        </is>
      </c>
      <c r="C13355">
        <f>ROMAN(13354)</f>
        <v/>
      </c>
      <c r="D13355">
        <f>IF(B13355=C13355, "YES", "WRONG")</f>
        <v/>
      </c>
    </row>
    <row r="13356">
      <c r="A13356" t="n">
        <v>13355</v>
      </c>
      <c r="B13356" t="inlineStr">
        <is>
          <t>x̄MMMCCCLV</t>
        </is>
      </c>
      <c r="C13356">
        <f>ROMAN(13355)</f>
        <v/>
      </c>
      <c r="D13356">
        <f>IF(B13356=C13356, "YES", "WRONG")</f>
        <v/>
      </c>
    </row>
    <row r="13357">
      <c r="A13357" t="n">
        <v>13356</v>
      </c>
      <c r="B13357" t="inlineStr">
        <is>
          <t>x̄MMMCCCLVI</t>
        </is>
      </c>
      <c r="C13357">
        <f>ROMAN(13356)</f>
        <v/>
      </c>
      <c r="D13357">
        <f>IF(B13357=C13357, "YES", "WRONG")</f>
        <v/>
      </c>
    </row>
    <row r="13358">
      <c r="A13358" t="n">
        <v>13357</v>
      </c>
      <c r="B13358" t="inlineStr">
        <is>
          <t>x̄MMMCCCLVII</t>
        </is>
      </c>
      <c r="C13358">
        <f>ROMAN(13357)</f>
        <v/>
      </c>
      <c r="D13358">
        <f>IF(B13358=C13358, "YES", "WRONG")</f>
        <v/>
      </c>
    </row>
    <row r="13359">
      <c r="A13359" t="n">
        <v>13358</v>
      </c>
      <c r="B13359" t="inlineStr">
        <is>
          <t>x̄MMMCCCLVIII</t>
        </is>
      </c>
      <c r="C13359">
        <f>ROMAN(13358)</f>
        <v/>
      </c>
      <c r="D13359">
        <f>IF(B13359=C13359, "YES", "WRONG")</f>
        <v/>
      </c>
    </row>
    <row r="13360">
      <c r="A13360" t="n">
        <v>13359</v>
      </c>
      <c r="B13360" t="inlineStr">
        <is>
          <t>x̄MMMCCCLIX</t>
        </is>
      </c>
      <c r="C13360">
        <f>ROMAN(13359)</f>
        <v/>
      </c>
      <c r="D13360">
        <f>IF(B13360=C13360, "YES", "WRONG")</f>
        <v/>
      </c>
    </row>
    <row r="13361">
      <c r="A13361" t="n">
        <v>13360</v>
      </c>
      <c r="B13361" t="inlineStr">
        <is>
          <t>x̄MMMCCCLX</t>
        </is>
      </c>
      <c r="C13361">
        <f>ROMAN(13360)</f>
        <v/>
      </c>
      <c r="D13361">
        <f>IF(B13361=C13361, "YES", "WRONG")</f>
        <v/>
      </c>
    </row>
    <row r="13362">
      <c r="A13362" t="n">
        <v>13361</v>
      </c>
      <c r="B13362" t="inlineStr">
        <is>
          <t>x̄MMMCCCLXI</t>
        </is>
      </c>
      <c r="C13362">
        <f>ROMAN(13361)</f>
        <v/>
      </c>
      <c r="D13362">
        <f>IF(B13362=C13362, "YES", "WRONG")</f>
        <v/>
      </c>
    </row>
    <row r="13363">
      <c r="A13363" t="n">
        <v>13362</v>
      </c>
      <c r="B13363" t="inlineStr">
        <is>
          <t>x̄MMMCCCLXII</t>
        </is>
      </c>
      <c r="C13363">
        <f>ROMAN(13362)</f>
        <v/>
      </c>
      <c r="D13363">
        <f>IF(B13363=C13363, "YES", "WRONG")</f>
        <v/>
      </c>
    </row>
    <row r="13364">
      <c r="A13364" t="n">
        <v>13363</v>
      </c>
      <c r="B13364" t="inlineStr">
        <is>
          <t>x̄MMMCCCLXIII</t>
        </is>
      </c>
      <c r="C13364">
        <f>ROMAN(13363)</f>
        <v/>
      </c>
      <c r="D13364">
        <f>IF(B13364=C13364, "YES", "WRONG")</f>
        <v/>
      </c>
    </row>
    <row r="13365">
      <c r="A13365" t="n">
        <v>13364</v>
      </c>
      <c r="B13365" t="inlineStr">
        <is>
          <t>x̄MMMCCCLXIV</t>
        </is>
      </c>
      <c r="C13365">
        <f>ROMAN(13364)</f>
        <v/>
      </c>
      <c r="D13365">
        <f>IF(B13365=C13365, "YES", "WRONG")</f>
        <v/>
      </c>
    </row>
    <row r="13366">
      <c r="A13366" t="n">
        <v>13365</v>
      </c>
      <c r="B13366" t="inlineStr">
        <is>
          <t>x̄MMMCCCLXV</t>
        </is>
      </c>
      <c r="C13366">
        <f>ROMAN(13365)</f>
        <v/>
      </c>
      <c r="D13366">
        <f>IF(B13366=C13366, "YES", "WRONG")</f>
        <v/>
      </c>
    </row>
    <row r="13367">
      <c r="A13367" t="n">
        <v>13366</v>
      </c>
      <c r="B13367" t="inlineStr">
        <is>
          <t>x̄MMMCCCLXVI</t>
        </is>
      </c>
      <c r="C13367">
        <f>ROMAN(13366)</f>
        <v/>
      </c>
      <c r="D13367">
        <f>IF(B13367=C13367, "YES", "WRONG")</f>
        <v/>
      </c>
    </row>
    <row r="13368">
      <c r="A13368" t="n">
        <v>13367</v>
      </c>
      <c r="B13368" t="inlineStr">
        <is>
          <t>x̄MMMCCCLXVII</t>
        </is>
      </c>
      <c r="C13368">
        <f>ROMAN(13367)</f>
        <v/>
      </c>
      <c r="D13368">
        <f>IF(B13368=C13368, "YES", "WRONG")</f>
        <v/>
      </c>
    </row>
    <row r="13369">
      <c r="A13369" t="n">
        <v>13368</v>
      </c>
      <c r="B13369" t="inlineStr">
        <is>
          <t>x̄MMMCCCLXVIII</t>
        </is>
      </c>
      <c r="C13369">
        <f>ROMAN(13368)</f>
        <v/>
      </c>
      <c r="D13369">
        <f>IF(B13369=C13369, "YES", "WRONG")</f>
        <v/>
      </c>
    </row>
    <row r="13370">
      <c r="A13370" t="n">
        <v>13369</v>
      </c>
      <c r="B13370" t="inlineStr">
        <is>
          <t>x̄MMMCCCLXIX</t>
        </is>
      </c>
      <c r="C13370">
        <f>ROMAN(13369)</f>
        <v/>
      </c>
      <c r="D13370">
        <f>IF(B13370=C13370, "YES", "WRONG")</f>
        <v/>
      </c>
    </row>
    <row r="13371">
      <c r="A13371" t="n">
        <v>13370</v>
      </c>
      <c r="B13371" t="inlineStr">
        <is>
          <t>x̄MMMCCCLXX</t>
        </is>
      </c>
      <c r="C13371">
        <f>ROMAN(13370)</f>
        <v/>
      </c>
      <c r="D13371">
        <f>IF(B13371=C13371, "YES", "WRONG")</f>
        <v/>
      </c>
    </row>
    <row r="13372">
      <c r="A13372" t="n">
        <v>13371</v>
      </c>
      <c r="B13372" t="inlineStr">
        <is>
          <t>x̄MMMCCCLXXI</t>
        </is>
      </c>
      <c r="C13372">
        <f>ROMAN(13371)</f>
        <v/>
      </c>
      <c r="D13372">
        <f>IF(B13372=C13372, "YES", "WRONG")</f>
        <v/>
      </c>
    </row>
    <row r="13373">
      <c r="A13373" t="n">
        <v>13372</v>
      </c>
      <c r="B13373" t="inlineStr">
        <is>
          <t>x̄MMMCCCLXXII</t>
        </is>
      </c>
      <c r="C13373">
        <f>ROMAN(13372)</f>
        <v/>
      </c>
      <c r="D13373">
        <f>IF(B13373=C13373, "YES", "WRONG")</f>
        <v/>
      </c>
    </row>
    <row r="13374">
      <c r="A13374" t="n">
        <v>13373</v>
      </c>
      <c r="B13374" t="inlineStr">
        <is>
          <t>x̄MMMCCCLXXIII</t>
        </is>
      </c>
      <c r="C13374">
        <f>ROMAN(13373)</f>
        <v/>
      </c>
      <c r="D13374">
        <f>IF(B13374=C13374, "YES", "WRONG")</f>
        <v/>
      </c>
    </row>
    <row r="13375">
      <c r="A13375" t="n">
        <v>13374</v>
      </c>
      <c r="B13375" t="inlineStr">
        <is>
          <t>x̄MMMCCCLXXIV</t>
        </is>
      </c>
      <c r="C13375">
        <f>ROMAN(13374)</f>
        <v/>
      </c>
      <c r="D13375">
        <f>IF(B13375=C13375, "YES", "WRONG")</f>
        <v/>
      </c>
    </row>
    <row r="13376">
      <c r="A13376" t="n">
        <v>13375</v>
      </c>
      <c r="B13376" t="inlineStr">
        <is>
          <t>x̄MMMCCCLXXV</t>
        </is>
      </c>
      <c r="C13376">
        <f>ROMAN(13375)</f>
        <v/>
      </c>
      <c r="D13376">
        <f>IF(B13376=C13376, "YES", "WRONG")</f>
        <v/>
      </c>
    </row>
    <row r="13377">
      <c r="A13377" t="n">
        <v>13376</v>
      </c>
      <c r="B13377" t="inlineStr">
        <is>
          <t>x̄MMMCCCLXXVI</t>
        </is>
      </c>
      <c r="C13377">
        <f>ROMAN(13376)</f>
        <v/>
      </c>
      <c r="D13377">
        <f>IF(B13377=C13377, "YES", "WRONG")</f>
        <v/>
      </c>
    </row>
    <row r="13378">
      <c r="A13378" t="n">
        <v>13377</v>
      </c>
      <c r="B13378" t="inlineStr">
        <is>
          <t>x̄MMMCCCLXXVII</t>
        </is>
      </c>
      <c r="C13378">
        <f>ROMAN(13377)</f>
        <v/>
      </c>
      <c r="D13378">
        <f>IF(B13378=C13378, "YES", "WRONG")</f>
        <v/>
      </c>
    </row>
    <row r="13379">
      <c r="A13379" t="n">
        <v>13378</v>
      </c>
      <c r="B13379" t="inlineStr">
        <is>
          <t>x̄MMMCCCLXXVIII</t>
        </is>
      </c>
      <c r="C13379">
        <f>ROMAN(13378)</f>
        <v/>
      </c>
      <c r="D13379">
        <f>IF(B13379=C13379, "YES", "WRONG")</f>
        <v/>
      </c>
    </row>
    <row r="13380">
      <c r="A13380" t="n">
        <v>13379</v>
      </c>
      <c r="B13380" t="inlineStr">
        <is>
          <t>x̄MMMCCCLXXIX</t>
        </is>
      </c>
      <c r="C13380">
        <f>ROMAN(13379)</f>
        <v/>
      </c>
      <c r="D13380">
        <f>IF(B13380=C13380, "YES", "WRONG")</f>
        <v/>
      </c>
    </row>
    <row r="13381">
      <c r="A13381" t="n">
        <v>13380</v>
      </c>
      <c r="B13381" t="inlineStr">
        <is>
          <t>x̄MMMCCCLXXX</t>
        </is>
      </c>
      <c r="C13381">
        <f>ROMAN(13380)</f>
        <v/>
      </c>
      <c r="D13381">
        <f>IF(B13381=C13381, "YES", "WRONG")</f>
        <v/>
      </c>
    </row>
    <row r="13382">
      <c r="A13382" t="n">
        <v>13381</v>
      </c>
      <c r="B13382" t="inlineStr">
        <is>
          <t>x̄MMMCCCLXXXI</t>
        </is>
      </c>
      <c r="C13382">
        <f>ROMAN(13381)</f>
        <v/>
      </c>
      <c r="D13382">
        <f>IF(B13382=C13382, "YES", "WRONG")</f>
        <v/>
      </c>
    </row>
    <row r="13383">
      <c r="A13383" t="n">
        <v>13382</v>
      </c>
      <c r="B13383" t="inlineStr">
        <is>
          <t>x̄MMMCCCLXXXII</t>
        </is>
      </c>
      <c r="C13383">
        <f>ROMAN(13382)</f>
        <v/>
      </c>
      <c r="D13383">
        <f>IF(B13383=C13383, "YES", "WRONG")</f>
        <v/>
      </c>
    </row>
    <row r="13384">
      <c r="A13384" t="n">
        <v>13383</v>
      </c>
      <c r="B13384" t="inlineStr">
        <is>
          <t>x̄MMMCCCLXXXIII</t>
        </is>
      </c>
      <c r="C13384">
        <f>ROMAN(13383)</f>
        <v/>
      </c>
      <c r="D13384">
        <f>IF(B13384=C13384, "YES", "WRONG")</f>
        <v/>
      </c>
    </row>
    <row r="13385">
      <c r="A13385" t="n">
        <v>13384</v>
      </c>
      <c r="B13385" t="inlineStr">
        <is>
          <t>x̄MMMCCCLXXXIV</t>
        </is>
      </c>
      <c r="C13385">
        <f>ROMAN(13384)</f>
        <v/>
      </c>
      <c r="D13385">
        <f>IF(B13385=C13385, "YES", "WRONG")</f>
        <v/>
      </c>
    </row>
    <row r="13386">
      <c r="A13386" t="n">
        <v>13385</v>
      </c>
      <c r="B13386" t="inlineStr">
        <is>
          <t>x̄MMMCCCLXXXV</t>
        </is>
      </c>
      <c r="C13386">
        <f>ROMAN(13385)</f>
        <v/>
      </c>
      <c r="D13386">
        <f>IF(B13386=C13386, "YES", "WRONG")</f>
        <v/>
      </c>
    </row>
    <row r="13387">
      <c r="A13387" t="n">
        <v>13386</v>
      </c>
      <c r="B13387" t="inlineStr">
        <is>
          <t>x̄MMMCCCLXXXVI</t>
        </is>
      </c>
      <c r="C13387">
        <f>ROMAN(13386)</f>
        <v/>
      </c>
      <c r="D13387">
        <f>IF(B13387=C13387, "YES", "WRONG")</f>
        <v/>
      </c>
    </row>
    <row r="13388">
      <c r="A13388" t="n">
        <v>13387</v>
      </c>
      <c r="B13388" t="inlineStr">
        <is>
          <t>x̄MMMCCCLXXXVII</t>
        </is>
      </c>
      <c r="C13388">
        <f>ROMAN(13387)</f>
        <v/>
      </c>
      <c r="D13388">
        <f>IF(B13388=C13388, "YES", "WRONG")</f>
        <v/>
      </c>
    </row>
    <row r="13389">
      <c r="A13389" t="n">
        <v>13388</v>
      </c>
      <c r="B13389" t="inlineStr">
        <is>
          <t>x̄MMMCCCLXXXVIII</t>
        </is>
      </c>
      <c r="C13389">
        <f>ROMAN(13388)</f>
        <v/>
      </c>
      <c r="D13389">
        <f>IF(B13389=C13389, "YES", "WRONG")</f>
        <v/>
      </c>
    </row>
    <row r="13390">
      <c r="A13390" t="n">
        <v>13389</v>
      </c>
      <c r="B13390" t="inlineStr">
        <is>
          <t>x̄MMMCCCLXXXIX</t>
        </is>
      </c>
      <c r="C13390">
        <f>ROMAN(13389)</f>
        <v/>
      </c>
      <c r="D13390">
        <f>IF(B13390=C13390, "YES", "WRONG")</f>
        <v/>
      </c>
    </row>
    <row r="13391">
      <c r="A13391" t="n">
        <v>13390</v>
      </c>
      <c r="B13391" t="inlineStr">
        <is>
          <t>x̄MMMCCCXC</t>
        </is>
      </c>
      <c r="C13391">
        <f>ROMAN(13390)</f>
        <v/>
      </c>
      <c r="D13391">
        <f>IF(B13391=C13391, "YES", "WRONG")</f>
        <v/>
      </c>
    </row>
    <row r="13392">
      <c r="A13392" t="n">
        <v>13391</v>
      </c>
      <c r="B13392" t="inlineStr">
        <is>
          <t>x̄MMMCCCXCI</t>
        </is>
      </c>
      <c r="C13392">
        <f>ROMAN(13391)</f>
        <v/>
      </c>
      <c r="D13392">
        <f>IF(B13392=C13392, "YES", "WRONG")</f>
        <v/>
      </c>
    </row>
    <row r="13393">
      <c r="A13393" t="n">
        <v>13392</v>
      </c>
      <c r="B13393" t="inlineStr">
        <is>
          <t>x̄MMMCCCXCII</t>
        </is>
      </c>
      <c r="C13393">
        <f>ROMAN(13392)</f>
        <v/>
      </c>
      <c r="D13393">
        <f>IF(B13393=C13393, "YES", "WRONG")</f>
        <v/>
      </c>
    </row>
    <row r="13394">
      <c r="A13394" t="n">
        <v>13393</v>
      </c>
      <c r="B13394" t="inlineStr">
        <is>
          <t>x̄MMMCCCXCIII</t>
        </is>
      </c>
      <c r="C13394">
        <f>ROMAN(13393)</f>
        <v/>
      </c>
      <c r="D13394">
        <f>IF(B13394=C13394, "YES", "WRONG")</f>
        <v/>
      </c>
    </row>
    <row r="13395">
      <c r="A13395" t="n">
        <v>13394</v>
      </c>
      <c r="B13395" t="inlineStr">
        <is>
          <t>x̄MMMCCCXCIV</t>
        </is>
      </c>
      <c r="C13395">
        <f>ROMAN(13394)</f>
        <v/>
      </c>
      <c r="D13395">
        <f>IF(B13395=C13395, "YES", "WRONG")</f>
        <v/>
      </c>
    </row>
    <row r="13396">
      <c r="A13396" t="n">
        <v>13395</v>
      </c>
      <c r="B13396" t="inlineStr">
        <is>
          <t>x̄MMMCCCXCV</t>
        </is>
      </c>
      <c r="C13396">
        <f>ROMAN(13395)</f>
        <v/>
      </c>
      <c r="D13396">
        <f>IF(B13396=C13396, "YES", "WRONG")</f>
        <v/>
      </c>
    </row>
    <row r="13397">
      <c r="A13397" t="n">
        <v>13396</v>
      </c>
      <c r="B13397" t="inlineStr">
        <is>
          <t>x̄MMMCCCXCVI</t>
        </is>
      </c>
      <c r="C13397">
        <f>ROMAN(13396)</f>
        <v/>
      </c>
      <c r="D13397">
        <f>IF(B13397=C13397, "YES", "WRONG")</f>
        <v/>
      </c>
    </row>
    <row r="13398">
      <c r="A13398" t="n">
        <v>13397</v>
      </c>
      <c r="B13398" t="inlineStr">
        <is>
          <t>x̄MMMCCCXCVII</t>
        </is>
      </c>
      <c r="C13398">
        <f>ROMAN(13397)</f>
        <v/>
      </c>
      <c r="D13398">
        <f>IF(B13398=C13398, "YES", "WRONG")</f>
        <v/>
      </c>
    </row>
    <row r="13399">
      <c r="A13399" t="n">
        <v>13398</v>
      </c>
      <c r="B13399" t="inlineStr">
        <is>
          <t>x̄MMMCCCXCVIII</t>
        </is>
      </c>
      <c r="C13399">
        <f>ROMAN(13398)</f>
        <v/>
      </c>
      <c r="D13399">
        <f>IF(B13399=C13399, "YES", "WRONG")</f>
        <v/>
      </c>
    </row>
    <row r="13400">
      <c r="A13400" t="n">
        <v>13399</v>
      </c>
      <c r="B13400" t="inlineStr">
        <is>
          <t>x̄MMMCCCXCIX</t>
        </is>
      </c>
      <c r="C13400">
        <f>ROMAN(13399)</f>
        <v/>
      </c>
      <c r="D13400">
        <f>IF(B13400=C13400, "YES", "WRONG")</f>
        <v/>
      </c>
    </row>
    <row r="13401">
      <c r="A13401" t="n">
        <v>13400</v>
      </c>
      <c r="B13401" t="inlineStr">
        <is>
          <t>x̄MMMCD</t>
        </is>
      </c>
      <c r="C13401">
        <f>ROMAN(13400)</f>
        <v/>
      </c>
      <c r="D13401">
        <f>IF(B13401=C13401, "YES", "WRONG")</f>
        <v/>
      </c>
    </row>
    <row r="13402">
      <c r="A13402" t="n">
        <v>13401</v>
      </c>
      <c r="B13402" t="inlineStr">
        <is>
          <t>x̄MMMCDI</t>
        </is>
      </c>
      <c r="C13402">
        <f>ROMAN(13401)</f>
        <v/>
      </c>
      <c r="D13402">
        <f>IF(B13402=C13402, "YES", "WRONG")</f>
        <v/>
      </c>
    </row>
    <row r="13403">
      <c r="A13403" t="n">
        <v>13402</v>
      </c>
      <c r="B13403" t="inlineStr">
        <is>
          <t>x̄MMMCDII</t>
        </is>
      </c>
      <c r="C13403">
        <f>ROMAN(13402)</f>
        <v/>
      </c>
      <c r="D13403">
        <f>IF(B13403=C13403, "YES", "WRONG")</f>
        <v/>
      </c>
    </row>
    <row r="13404">
      <c r="A13404" t="n">
        <v>13403</v>
      </c>
      <c r="B13404" t="inlineStr">
        <is>
          <t>x̄MMMCDIII</t>
        </is>
      </c>
      <c r="C13404">
        <f>ROMAN(13403)</f>
        <v/>
      </c>
      <c r="D13404">
        <f>IF(B13404=C13404, "YES", "WRONG")</f>
        <v/>
      </c>
    </row>
    <row r="13405">
      <c r="A13405" t="n">
        <v>13404</v>
      </c>
      <c r="B13405" t="inlineStr">
        <is>
          <t>x̄MMMCDIV</t>
        </is>
      </c>
      <c r="C13405">
        <f>ROMAN(13404)</f>
        <v/>
      </c>
      <c r="D13405">
        <f>IF(B13405=C13405, "YES", "WRONG")</f>
        <v/>
      </c>
    </row>
    <row r="13406">
      <c r="A13406" t="n">
        <v>13405</v>
      </c>
      <c r="B13406" t="inlineStr">
        <is>
          <t>x̄MMMCDV</t>
        </is>
      </c>
      <c r="C13406">
        <f>ROMAN(13405)</f>
        <v/>
      </c>
      <c r="D13406">
        <f>IF(B13406=C13406, "YES", "WRONG")</f>
        <v/>
      </c>
    </row>
    <row r="13407">
      <c r="A13407" t="n">
        <v>13406</v>
      </c>
      <c r="B13407" t="inlineStr">
        <is>
          <t>x̄MMMCDVI</t>
        </is>
      </c>
      <c r="C13407">
        <f>ROMAN(13406)</f>
        <v/>
      </c>
      <c r="D13407">
        <f>IF(B13407=C13407, "YES", "WRONG")</f>
        <v/>
      </c>
    </row>
    <row r="13408">
      <c r="A13408" t="n">
        <v>13407</v>
      </c>
      <c r="B13408" t="inlineStr">
        <is>
          <t>x̄MMMCDVII</t>
        </is>
      </c>
      <c r="C13408">
        <f>ROMAN(13407)</f>
        <v/>
      </c>
      <c r="D13408">
        <f>IF(B13408=C13408, "YES", "WRONG")</f>
        <v/>
      </c>
    </row>
    <row r="13409">
      <c r="A13409" t="n">
        <v>13408</v>
      </c>
      <c r="B13409" t="inlineStr">
        <is>
          <t>x̄MMMCDVIII</t>
        </is>
      </c>
      <c r="C13409">
        <f>ROMAN(13408)</f>
        <v/>
      </c>
      <c r="D13409">
        <f>IF(B13409=C13409, "YES", "WRONG")</f>
        <v/>
      </c>
    </row>
    <row r="13410">
      <c r="A13410" t="n">
        <v>13409</v>
      </c>
      <c r="B13410" t="inlineStr">
        <is>
          <t>x̄MMMCDIX</t>
        </is>
      </c>
      <c r="C13410">
        <f>ROMAN(13409)</f>
        <v/>
      </c>
      <c r="D13410">
        <f>IF(B13410=C13410, "YES", "WRONG")</f>
        <v/>
      </c>
    </row>
    <row r="13411">
      <c r="A13411" t="n">
        <v>13410</v>
      </c>
      <c r="B13411" t="inlineStr">
        <is>
          <t>x̄MMMCDX</t>
        </is>
      </c>
      <c r="C13411">
        <f>ROMAN(13410)</f>
        <v/>
      </c>
      <c r="D13411">
        <f>IF(B13411=C13411, "YES", "WRONG")</f>
        <v/>
      </c>
    </row>
    <row r="13412">
      <c r="A13412" t="n">
        <v>13411</v>
      </c>
      <c r="B13412" t="inlineStr">
        <is>
          <t>x̄MMMCDXI</t>
        </is>
      </c>
      <c r="C13412">
        <f>ROMAN(13411)</f>
        <v/>
      </c>
      <c r="D13412">
        <f>IF(B13412=C13412, "YES", "WRONG")</f>
        <v/>
      </c>
    </row>
    <row r="13413">
      <c r="A13413" t="n">
        <v>13412</v>
      </c>
      <c r="B13413" t="inlineStr">
        <is>
          <t>x̄MMMCDXII</t>
        </is>
      </c>
      <c r="C13413">
        <f>ROMAN(13412)</f>
        <v/>
      </c>
      <c r="D13413">
        <f>IF(B13413=C13413, "YES", "WRONG")</f>
        <v/>
      </c>
    </row>
    <row r="13414">
      <c r="A13414" t="n">
        <v>13413</v>
      </c>
      <c r="B13414" t="inlineStr">
        <is>
          <t>x̄MMMCDXIII</t>
        </is>
      </c>
      <c r="C13414">
        <f>ROMAN(13413)</f>
        <v/>
      </c>
      <c r="D13414">
        <f>IF(B13414=C13414, "YES", "WRONG")</f>
        <v/>
      </c>
    </row>
    <row r="13415">
      <c r="A13415" t="n">
        <v>13414</v>
      </c>
      <c r="B13415" t="inlineStr">
        <is>
          <t>x̄MMMCDXIV</t>
        </is>
      </c>
      <c r="C13415">
        <f>ROMAN(13414)</f>
        <v/>
      </c>
      <c r="D13415">
        <f>IF(B13415=C13415, "YES", "WRONG")</f>
        <v/>
      </c>
    </row>
    <row r="13416">
      <c r="A13416" t="n">
        <v>13415</v>
      </c>
      <c r="B13416" t="inlineStr">
        <is>
          <t>x̄MMMCDXV</t>
        </is>
      </c>
      <c r="C13416">
        <f>ROMAN(13415)</f>
        <v/>
      </c>
      <c r="D13416">
        <f>IF(B13416=C13416, "YES", "WRONG")</f>
        <v/>
      </c>
    </row>
    <row r="13417">
      <c r="A13417" t="n">
        <v>13416</v>
      </c>
      <c r="B13417" t="inlineStr">
        <is>
          <t>x̄MMMCDXVI</t>
        </is>
      </c>
      <c r="C13417">
        <f>ROMAN(13416)</f>
        <v/>
      </c>
      <c r="D13417">
        <f>IF(B13417=C13417, "YES", "WRONG")</f>
        <v/>
      </c>
    </row>
    <row r="13418">
      <c r="A13418" t="n">
        <v>13417</v>
      </c>
      <c r="B13418" t="inlineStr">
        <is>
          <t>x̄MMMCDXVII</t>
        </is>
      </c>
      <c r="C13418">
        <f>ROMAN(13417)</f>
        <v/>
      </c>
      <c r="D13418">
        <f>IF(B13418=C13418, "YES", "WRONG")</f>
        <v/>
      </c>
    </row>
    <row r="13419">
      <c r="A13419" t="n">
        <v>13418</v>
      </c>
      <c r="B13419" t="inlineStr">
        <is>
          <t>x̄MMMCDXVIII</t>
        </is>
      </c>
      <c r="C13419">
        <f>ROMAN(13418)</f>
        <v/>
      </c>
      <c r="D13419">
        <f>IF(B13419=C13419, "YES", "WRONG")</f>
        <v/>
      </c>
    </row>
    <row r="13420">
      <c r="A13420" t="n">
        <v>13419</v>
      </c>
      <c r="B13420" t="inlineStr">
        <is>
          <t>x̄MMMCDXIX</t>
        </is>
      </c>
      <c r="C13420">
        <f>ROMAN(13419)</f>
        <v/>
      </c>
      <c r="D13420">
        <f>IF(B13420=C13420, "YES", "WRONG")</f>
        <v/>
      </c>
    </row>
    <row r="13421">
      <c r="A13421" t="n">
        <v>13420</v>
      </c>
      <c r="B13421" t="inlineStr">
        <is>
          <t>x̄MMMCDXX</t>
        </is>
      </c>
      <c r="C13421">
        <f>ROMAN(13420)</f>
        <v/>
      </c>
      <c r="D13421">
        <f>IF(B13421=C13421, "YES", "WRONG")</f>
        <v/>
      </c>
    </row>
    <row r="13422">
      <c r="A13422" t="n">
        <v>13421</v>
      </c>
      <c r="B13422" t="inlineStr">
        <is>
          <t>x̄MMMCDXXI</t>
        </is>
      </c>
      <c r="C13422">
        <f>ROMAN(13421)</f>
        <v/>
      </c>
      <c r="D13422">
        <f>IF(B13422=C13422, "YES", "WRONG")</f>
        <v/>
      </c>
    </row>
    <row r="13423">
      <c r="A13423" t="n">
        <v>13422</v>
      </c>
      <c r="B13423" t="inlineStr">
        <is>
          <t>x̄MMMCDXXII</t>
        </is>
      </c>
      <c r="C13423">
        <f>ROMAN(13422)</f>
        <v/>
      </c>
      <c r="D13423">
        <f>IF(B13423=C13423, "YES", "WRONG")</f>
        <v/>
      </c>
    </row>
    <row r="13424">
      <c r="A13424" t="n">
        <v>13423</v>
      </c>
      <c r="B13424" t="inlineStr">
        <is>
          <t>x̄MMMCDXXIII</t>
        </is>
      </c>
      <c r="C13424">
        <f>ROMAN(13423)</f>
        <v/>
      </c>
      <c r="D13424">
        <f>IF(B13424=C13424, "YES", "WRONG")</f>
        <v/>
      </c>
    </row>
    <row r="13425">
      <c r="A13425" t="n">
        <v>13424</v>
      </c>
      <c r="B13425" t="inlineStr">
        <is>
          <t>x̄MMMCDXXIV</t>
        </is>
      </c>
      <c r="C13425">
        <f>ROMAN(13424)</f>
        <v/>
      </c>
      <c r="D13425">
        <f>IF(B13425=C13425, "YES", "WRONG")</f>
        <v/>
      </c>
    </row>
    <row r="13426">
      <c r="A13426" t="n">
        <v>13425</v>
      </c>
      <c r="B13426" t="inlineStr">
        <is>
          <t>x̄MMMCDXXV</t>
        </is>
      </c>
      <c r="C13426">
        <f>ROMAN(13425)</f>
        <v/>
      </c>
      <c r="D13426">
        <f>IF(B13426=C13426, "YES", "WRONG")</f>
        <v/>
      </c>
    </row>
    <row r="13427">
      <c r="A13427" t="n">
        <v>13426</v>
      </c>
      <c r="B13427" t="inlineStr">
        <is>
          <t>x̄MMMCDXXVI</t>
        </is>
      </c>
      <c r="C13427">
        <f>ROMAN(13426)</f>
        <v/>
      </c>
      <c r="D13427">
        <f>IF(B13427=C13427, "YES", "WRONG")</f>
        <v/>
      </c>
    </row>
    <row r="13428">
      <c r="A13428" t="n">
        <v>13427</v>
      </c>
      <c r="B13428" t="inlineStr">
        <is>
          <t>x̄MMMCDXXVII</t>
        </is>
      </c>
      <c r="C13428">
        <f>ROMAN(13427)</f>
        <v/>
      </c>
      <c r="D13428">
        <f>IF(B13428=C13428, "YES", "WRONG")</f>
        <v/>
      </c>
    </row>
    <row r="13429">
      <c r="A13429" t="n">
        <v>13428</v>
      </c>
      <c r="B13429" t="inlineStr">
        <is>
          <t>x̄MMMCDXXVIII</t>
        </is>
      </c>
      <c r="C13429">
        <f>ROMAN(13428)</f>
        <v/>
      </c>
      <c r="D13429">
        <f>IF(B13429=C13429, "YES", "WRONG")</f>
        <v/>
      </c>
    </row>
    <row r="13430">
      <c r="A13430" t="n">
        <v>13429</v>
      </c>
      <c r="B13430" t="inlineStr">
        <is>
          <t>x̄MMMCDXXIX</t>
        </is>
      </c>
      <c r="C13430">
        <f>ROMAN(13429)</f>
        <v/>
      </c>
      <c r="D13430">
        <f>IF(B13430=C13430, "YES", "WRONG")</f>
        <v/>
      </c>
    </row>
    <row r="13431">
      <c r="A13431" t="n">
        <v>13430</v>
      </c>
      <c r="B13431" t="inlineStr">
        <is>
          <t>x̄MMMCDXXX</t>
        </is>
      </c>
      <c r="C13431">
        <f>ROMAN(13430)</f>
        <v/>
      </c>
      <c r="D13431">
        <f>IF(B13431=C13431, "YES", "WRONG")</f>
        <v/>
      </c>
    </row>
    <row r="13432">
      <c r="A13432" t="n">
        <v>13431</v>
      </c>
      <c r="B13432" t="inlineStr">
        <is>
          <t>x̄MMMCDXXXI</t>
        </is>
      </c>
      <c r="C13432">
        <f>ROMAN(13431)</f>
        <v/>
      </c>
      <c r="D13432">
        <f>IF(B13432=C13432, "YES", "WRONG")</f>
        <v/>
      </c>
    </row>
    <row r="13433">
      <c r="A13433" t="n">
        <v>13432</v>
      </c>
      <c r="B13433" t="inlineStr">
        <is>
          <t>x̄MMMCDXXXII</t>
        </is>
      </c>
      <c r="C13433">
        <f>ROMAN(13432)</f>
        <v/>
      </c>
      <c r="D13433">
        <f>IF(B13433=C13433, "YES", "WRONG")</f>
        <v/>
      </c>
    </row>
    <row r="13434">
      <c r="A13434" t="n">
        <v>13433</v>
      </c>
      <c r="B13434" t="inlineStr">
        <is>
          <t>x̄MMMCDXXXIII</t>
        </is>
      </c>
      <c r="C13434">
        <f>ROMAN(13433)</f>
        <v/>
      </c>
      <c r="D13434">
        <f>IF(B13434=C13434, "YES", "WRONG")</f>
        <v/>
      </c>
    </row>
    <row r="13435">
      <c r="A13435" t="n">
        <v>13434</v>
      </c>
      <c r="B13435" t="inlineStr">
        <is>
          <t>x̄MMMCDXXXIV</t>
        </is>
      </c>
      <c r="C13435">
        <f>ROMAN(13434)</f>
        <v/>
      </c>
      <c r="D13435">
        <f>IF(B13435=C13435, "YES", "WRONG")</f>
        <v/>
      </c>
    </row>
    <row r="13436">
      <c r="A13436" t="n">
        <v>13435</v>
      </c>
      <c r="B13436" t="inlineStr">
        <is>
          <t>x̄MMMCDXXXV</t>
        </is>
      </c>
      <c r="C13436">
        <f>ROMAN(13435)</f>
        <v/>
      </c>
      <c r="D13436">
        <f>IF(B13436=C13436, "YES", "WRONG")</f>
        <v/>
      </c>
    </row>
    <row r="13437">
      <c r="A13437" t="n">
        <v>13436</v>
      </c>
      <c r="B13437" t="inlineStr">
        <is>
          <t>x̄MMMCDXXXVI</t>
        </is>
      </c>
      <c r="C13437">
        <f>ROMAN(13436)</f>
        <v/>
      </c>
      <c r="D13437">
        <f>IF(B13437=C13437, "YES", "WRONG")</f>
        <v/>
      </c>
    </row>
    <row r="13438">
      <c r="A13438" t="n">
        <v>13437</v>
      </c>
      <c r="B13438" t="inlineStr">
        <is>
          <t>x̄MMMCDXXXVII</t>
        </is>
      </c>
      <c r="C13438">
        <f>ROMAN(13437)</f>
        <v/>
      </c>
      <c r="D13438">
        <f>IF(B13438=C13438, "YES", "WRONG")</f>
        <v/>
      </c>
    </row>
    <row r="13439">
      <c r="A13439" t="n">
        <v>13438</v>
      </c>
      <c r="B13439" t="inlineStr">
        <is>
          <t>x̄MMMCDXXXVIII</t>
        </is>
      </c>
      <c r="C13439">
        <f>ROMAN(13438)</f>
        <v/>
      </c>
      <c r="D13439">
        <f>IF(B13439=C13439, "YES", "WRONG")</f>
        <v/>
      </c>
    </row>
    <row r="13440">
      <c r="A13440" t="n">
        <v>13439</v>
      </c>
      <c r="B13440" t="inlineStr">
        <is>
          <t>x̄MMMCDXXXIX</t>
        </is>
      </c>
      <c r="C13440">
        <f>ROMAN(13439)</f>
        <v/>
      </c>
      <c r="D13440">
        <f>IF(B13440=C13440, "YES", "WRONG")</f>
        <v/>
      </c>
    </row>
    <row r="13441">
      <c r="A13441" t="n">
        <v>13440</v>
      </c>
      <c r="B13441" t="inlineStr">
        <is>
          <t>x̄MMMCDXL</t>
        </is>
      </c>
      <c r="C13441">
        <f>ROMAN(13440)</f>
        <v/>
      </c>
      <c r="D13441">
        <f>IF(B13441=C13441, "YES", "WRONG")</f>
        <v/>
      </c>
    </row>
    <row r="13442">
      <c r="A13442" t="n">
        <v>13441</v>
      </c>
      <c r="B13442" t="inlineStr">
        <is>
          <t>x̄MMMCDXLI</t>
        </is>
      </c>
      <c r="C13442">
        <f>ROMAN(13441)</f>
        <v/>
      </c>
      <c r="D13442">
        <f>IF(B13442=C13442, "YES", "WRONG")</f>
        <v/>
      </c>
    </row>
    <row r="13443">
      <c r="A13443" t="n">
        <v>13442</v>
      </c>
      <c r="B13443" t="inlineStr">
        <is>
          <t>x̄MMMCDXLII</t>
        </is>
      </c>
      <c r="C13443">
        <f>ROMAN(13442)</f>
        <v/>
      </c>
      <c r="D13443">
        <f>IF(B13443=C13443, "YES", "WRONG")</f>
        <v/>
      </c>
    </row>
    <row r="13444">
      <c r="A13444" t="n">
        <v>13443</v>
      </c>
      <c r="B13444" t="inlineStr">
        <is>
          <t>x̄MMMCDXLIII</t>
        </is>
      </c>
      <c r="C13444">
        <f>ROMAN(13443)</f>
        <v/>
      </c>
      <c r="D13444">
        <f>IF(B13444=C13444, "YES", "WRONG")</f>
        <v/>
      </c>
    </row>
    <row r="13445">
      <c r="A13445" t="n">
        <v>13444</v>
      </c>
      <c r="B13445" t="inlineStr">
        <is>
          <t>x̄MMMCDXLIV</t>
        </is>
      </c>
      <c r="C13445">
        <f>ROMAN(13444)</f>
        <v/>
      </c>
      <c r="D13445">
        <f>IF(B13445=C13445, "YES", "WRONG")</f>
        <v/>
      </c>
    </row>
    <row r="13446">
      <c r="A13446" t="n">
        <v>13445</v>
      </c>
      <c r="B13446" t="inlineStr">
        <is>
          <t>x̄MMMCDXLV</t>
        </is>
      </c>
      <c r="C13446">
        <f>ROMAN(13445)</f>
        <v/>
      </c>
      <c r="D13446">
        <f>IF(B13446=C13446, "YES", "WRONG")</f>
        <v/>
      </c>
    </row>
    <row r="13447">
      <c r="A13447" t="n">
        <v>13446</v>
      </c>
      <c r="B13447" t="inlineStr">
        <is>
          <t>x̄MMMCDXLVI</t>
        </is>
      </c>
      <c r="C13447">
        <f>ROMAN(13446)</f>
        <v/>
      </c>
      <c r="D13447">
        <f>IF(B13447=C13447, "YES", "WRONG")</f>
        <v/>
      </c>
    </row>
    <row r="13448">
      <c r="A13448" t="n">
        <v>13447</v>
      </c>
      <c r="B13448" t="inlineStr">
        <is>
          <t>x̄MMMCDXLVII</t>
        </is>
      </c>
      <c r="C13448">
        <f>ROMAN(13447)</f>
        <v/>
      </c>
      <c r="D13448">
        <f>IF(B13448=C13448, "YES", "WRONG")</f>
        <v/>
      </c>
    </row>
    <row r="13449">
      <c r="A13449" t="n">
        <v>13448</v>
      </c>
      <c r="B13449" t="inlineStr">
        <is>
          <t>x̄MMMCDXLVIII</t>
        </is>
      </c>
      <c r="C13449">
        <f>ROMAN(13448)</f>
        <v/>
      </c>
      <c r="D13449">
        <f>IF(B13449=C13449, "YES", "WRONG")</f>
        <v/>
      </c>
    </row>
    <row r="13450">
      <c r="A13450" t="n">
        <v>13449</v>
      </c>
      <c r="B13450" t="inlineStr">
        <is>
          <t>x̄MMMCDXLIX</t>
        </is>
      </c>
      <c r="C13450">
        <f>ROMAN(13449)</f>
        <v/>
      </c>
      <c r="D13450">
        <f>IF(B13450=C13450, "YES", "WRONG")</f>
        <v/>
      </c>
    </row>
    <row r="13451">
      <c r="A13451" t="n">
        <v>13450</v>
      </c>
      <c r="B13451" t="inlineStr">
        <is>
          <t>x̄MMMCDL</t>
        </is>
      </c>
      <c r="C13451">
        <f>ROMAN(13450)</f>
        <v/>
      </c>
      <c r="D13451">
        <f>IF(B13451=C13451, "YES", "WRONG")</f>
        <v/>
      </c>
    </row>
    <row r="13452">
      <c r="A13452" t="n">
        <v>13451</v>
      </c>
      <c r="B13452" t="inlineStr">
        <is>
          <t>x̄MMMCDLI</t>
        </is>
      </c>
      <c r="C13452">
        <f>ROMAN(13451)</f>
        <v/>
      </c>
      <c r="D13452">
        <f>IF(B13452=C13452, "YES", "WRONG")</f>
        <v/>
      </c>
    </row>
    <row r="13453">
      <c r="A13453" t="n">
        <v>13452</v>
      </c>
      <c r="B13453" t="inlineStr">
        <is>
          <t>x̄MMMCDLII</t>
        </is>
      </c>
      <c r="C13453">
        <f>ROMAN(13452)</f>
        <v/>
      </c>
      <c r="D13453">
        <f>IF(B13453=C13453, "YES", "WRONG")</f>
        <v/>
      </c>
    </row>
    <row r="13454">
      <c r="A13454" t="n">
        <v>13453</v>
      </c>
      <c r="B13454" t="inlineStr">
        <is>
          <t>x̄MMMCDLIII</t>
        </is>
      </c>
      <c r="C13454">
        <f>ROMAN(13453)</f>
        <v/>
      </c>
      <c r="D13454">
        <f>IF(B13454=C13454, "YES", "WRONG")</f>
        <v/>
      </c>
    </row>
    <row r="13455">
      <c r="A13455" t="n">
        <v>13454</v>
      </c>
      <c r="B13455" t="inlineStr">
        <is>
          <t>x̄MMMCDLIV</t>
        </is>
      </c>
      <c r="C13455">
        <f>ROMAN(13454)</f>
        <v/>
      </c>
      <c r="D13455">
        <f>IF(B13455=C13455, "YES", "WRONG")</f>
        <v/>
      </c>
    </row>
    <row r="13456">
      <c r="A13456" t="n">
        <v>13455</v>
      </c>
      <c r="B13456" t="inlineStr">
        <is>
          <t>x̄MMMCDLV</t>
        </is>
      </c>
      <c r="C13456">
        <f>ROMAN(13455)</f>
        <v/>
      </c>
      <c r="D13456">
        <f>IF(B13456=C13456, "YES", "WRONG")</f>
        <v/>
      </c>
    </row>
    <row r="13457">
      <c r="A13457" t="n">
        <v>13456</v>
      </c>
      <c r="B13457" t="inlineStr">
        <is>
          <t>x̄MMMCDLVI</t>
        </is>
      </c>
      <c r="C13457">
        <f>ROMAN(13456)</f>
        <v/>
      </c>
      <c r="D13457">
        <f>IF(B13457=C13457, "YES", "WRONG")</f>
        <v/>
      </c>
    </row>
    <row r="13458">
      <c r="A13458" t="n">
        <v>13457</v>
      </c>
      <c r="B13458" t="inlineStr">
        <is>
          <t>x̄MMMCDLVII</t>
        </is>
      </c>
      <c r="C13458">
        <f>ROMAN(13457)</f>
        <v/>
      </c>
      <c r="D13458">
        <f>IF(B13458=C13458, "YES", "WRONG")</f>
        <v/>
      </c>
    </row>
    <row r="13459">
      <c r="A13459" t="n">
        <v>13458</v>
      </c>
      <c r="B13459" t="inlineStr">
        <is>
          <t>x̄MMMCDLVIII</t>
        </is>
      </c>
      <c r="C13459">
        <f>ROMAN(13458)</f>
        <v/>
      </c>
      <c r="D13459">
        <f>IF(B13459=C13459, "YES", "WRONG")</f>
        <v/>
      </c>
    </row>
    <row r="13460">
      <c r="A13460" t="n">
        <v>13459</v>
      </c>
      <c r="B13460" t="inlineStr">
        <is>
          <t>x̄MMMCDLIX</t>
        </is>
      </c>
      <c r="C13460">
        <f>ROMAN(13459)</f>
        <v/>
      </c>
      <c r="D13460">
        <f>IF(B13460=C13460, "YES", "WRONG")</f>
        <v/>
      </c>
    </row>
    <row r="13461">
      <c r="A13461" t="n">
        <v>13460</v>
      </c>
      <c r="B13461" t="inlineStr">
        <is>
          <t>x̄MMMCDLX</t>
        </is>
      </c>
      <c r="C13461">
        <f>ROMAN(13460)</f>
        <v/>
      </c>
      <c r="D13461">
        <f>IF(B13461=C13461, "YES", "WRONG")</f>
        <v/>
      </c>
    </row>
    <row r="13462">
      <c r="A13462" t="n">
        <v>13461</v>
      </c>
      <c r="B13462" t="inlineStr">
        <is>
          <t>x̄MMMCDLXI</t>
        </is>
      </c>
      <c r="C13462">
        <f>ROMAN(13461)</f>
        <v/>
      </c>
      <c r="D13462">
        <f>IF(B13462=C13462, "YES", "WRONG")</f>
        <v/>
      </c>
    </row>
    <row r="13463">
      <c r="A13463" t="n">
        <v>13462</v>
      </c>
      <c r="B13463" t="inlineStr">
        <is>
          <t>x̄MMMCDLXII</t>
        </is>
      </c>
      <c r="C13463">
        <f>ROMAN(13462)</f>
        <v/>
      </c>
      <c r="D13463">
        <f>IF(B13463=C13463, "YES", "WRONG")</f>
        <v/>
      </c>
    </row>
    <row r="13464">
      <c r="A13464" t="n">
        <v>13463</v>
      </c>
      <c r="B13464" t="inlineStr">
        <is>
          <t>x̄MMMCDLXIII</t>
        </is>
      </c>
      <c r="C13464">
        <f>ROMAN(13463)</f>
        <v/>
      </c>
      <c r="D13464">
        <f>IF(B13464=C13464, "YES", "WRONG")</f>
        <v/>
      </c>
    </row>
    <row r="13465">
      <c r="A13465" t="n">
        <v>13464</v>
      </c>
      <c r="B13465" t="inlineStr">
        <is>
          <t>x̄MMMCDLXIV</t>
        </is>
      </c>
      <c r="C13465">
        <f>ROMAN(13464)</f>
        <v/>
      </c>
      <c r="D13465">
        <f>IF(B13465=C13465, "YES", "WRONG")</f>
        <v/>
      </c>
    </row>
    <row r="13466">
      <c r="A13466" t="n">
        <v>13465</v>
      </c>
      <c r="B13466" t="inlineStr">
        <is>
          <t>x̄MMMCDLXV</t>
        </is>
      </c>
      <c r="C13466">
        <f>ROMAN(13465)</f>
        <v/>
      </c>
      <c r="D13466">
        <f>IF(B13466=C13466, "YES", "WRONG")</f>
        <v/>
      </c>
    </row>
    <row r="13467">
      <c r="A13467" t="n">
        <v>13466</v>
      </c>
      <c r="B13467" t="inlineStr">
        <is>
          <t>x̄MMMCDLXVI</t>
        </is>
      </c>
      <c r="C13467">
        <f>ROMAN(13466)</f>
        <v/>
      </c>
      <c r="D13467">
        <f>IF(B13467=C13467, "YES", "WRONG")</f>
        <v/>
      </c>
    </row>
    <row r="13468">
      <c r="A13468" t="n">
        <v>13467</v>
      </c>
      <c r="B13468" t="inlineStr">
        <is>
          <t>x̄MMMCDLXVII</t>
        </is>
      </c>
      <c r="C13468">
        <f>ROMAN(13467)</f>
        <v/>
      </c>
      <c r="D13468">
        <f>IF(B13468=C13468, "YES", "WRONG")</f>
        <v/>
      </c>
    </row>
    <row r="13469">
      <c r="A13469" t="n">
        <v>13468</v>
      </c>
      <c r="B13469" t="inlineStr">
        <is>
          <t>x̄MMMCDLXVIII</t>
        </is>
      </c>
      <c r="C13469">
        <f>ROMAN(13468)</f>
        <v/>
      </c>
      <c r="D13469">
        <f>IF(B13469=C13469, "YES", "WRONG")</f>
        <v/>
      </c>
    </row>
    <row r="13470">
      <c r="A13470" t="n">
        <v>13469</v>
      </c>
      <c r="B13470" t="inlineStr">
        <is>
          <t>x̄MMMCDLXIX</t>
        </is>
      </c>
      <c r="C13470">
        <f>ROMAN(13469)</f>
        <v/>
      </c>
      <c r="D13470">
        <f>IF(B13470=C13470, "YES", "WRONG")</f>
        <v/>
      </c>
    </row>
    <row r="13471">
      <c r="A13471" t="n">
        <v>13470</v>
      </c>
      <c r="B13471" t="inlineStr">
        <is>
          <t>x̄MMMCDLXX</t>
        </is>
      </c>
      <c r="C13471">
        <f>ROMAN(13470)</f>
        <v/>
      </c>
      <c r="D13471">
        <f>IF(B13471=C13471, "YES", "WRONG")</f>
        <v/>
      </c>
    </row>
    <row r="13472">
      <c r="A13472" t="n">
        <v>13471</v>
      </c>
      <c r="B13472" t="inlineStr">
        <is>
          <t>x̄MMMCDLXXI</t>
        </is>
      </c>
      <c r="C13472">
        <f>ROMAN(13471)</f>
        <v/>
      </c>
      <c r="D13472">
        <f>IF(B13472=C13472, "YES", "WRONG")</f>
        <v/>
      </c>
    </row>
    <row r="13473">
      <c r="A13473" t="n">
        <v>13472</v>
      </c>
      <c r="B13473" t="inlineStr">
        <is>
          <t>x̄MMMCDLXXII</t>
        </is>
      </c>
      <c r="C13473">
        <f>ROMAN(13472)</f>
        <v/>
      </c>
      <c r="D13473">
        <f>IF(B13473=C13473, "YES", "WRONG")</f>
        <v/>
      </c>
    </row>
    <row r="13474">
      <c r="A13474" t="n">
        <v>13473</v>
      </c>
      <c r="B13474" t="inlineStr">
        <is>
          <t>x̄MMMCDLXXIII</t>
        </is>
      </c>
      <c r="C13474">
        <f>ROMAN(13473)</f>
        <v/>
      </c>
      <c r="D13474">
        <f>IF(B13474=C13474, "YES", "WRONG")</f>
        <v/>
      </c>
    </row>
    <row r="13475">
      <c r="A13475" t="n">
        <v>13474</v>
      </c>
      <c r="B13475" t="inlineStr">
        <is>
          <t>x̄MMMCDLXXIV</t>
        </is>
      </c>
      <c r="C13475">
        <f>ROMAN(13474)</f>
        <v/>
      </c>
      <c r="D13475">
        <f>IF(B13475=C13475, "YES", "WRONG")</f>
        <v/>
      </c>
    </row>
    <row r="13476">
      <c r="A13476" t="n">
        <v>13475</v>
      </c>
      <c r="B13476" t="inlineStr">
        <is>
          <t>x̄MMMCDLXXV</t>
        </is>
      </c>
      <c r="C13476">
        <f>ROMAN(13475)</f>
        <v/>
      </c>
      <c r="D13476">
        <f>IF(B13476=C13476, "YES", "WRONG")</f>
        <v/>
      </c>
    </row>
    <row r="13477">
      <c r="A13477" t="n">
        <v>13476</v>
      </c>
      <c r="B13477" t="inlineStr">
        <is>
          <t>x̄MMMCDLXXVI</t>
        </is>
      </c>
      <c r="C13477">
        <f>ROMAN(13476)</f>
        <v/>
      </c>
      <c r="D13477">
        <f>IF(B13477=C13477, "YES", "WRONG")</f>
        <v/>
      </c>
    </row>
    <row r="13478">
      <c r="A13478" t="n">
        <v>13477</v>
      </c>
      <c r="B13478" t="inlineStr">
        <is>
          <t>x̄MMMCDLXXVII</t>
        </is>
      </c>
      <c r="C13478">
        <f>ROMAN(13477)</f>
        <v/>
      </c>
      <c r="D13478">
        <f>IF(B13478=C13478, "YES", "WRONG")</f>
        <v/>
      </c>
    </row>
    <row r="13479">
      <c r="A13479" t="n">
        <v>13478</v>
      </c>
      <c r="B13479" t="inlineStr">
        <is>
          <t>x̄MMMCDLXXVIII</t>
        </is>
      </c>
      <c r="C13479">
        <f>ROMAN(13478)</f>
        <v/>
      </c>
      <c r="D13479">
        <f>IF(B13479=C13479, "YES", "WRONG")</f>
        <v/>
      </c>
    </row>
    <row r="13480">
      <c r="A13480" t="n">
        <v>13479</v>
      </c>
      <c r="B13480" t="inlineStr">
        <is>
          <t>x̄MMMCDLXXIX</t>
        </is>
      </c>
      <c r="C13480">
        <f>ROMAN(13479)</f>
        <v/>
      </c>
      <c r="D13480">
        <f>IF(B13480=C13480, "YES", "WRONG")</f>
        <v/>
      </c>
    </row>
    <row r="13481">
      <c r="A13481" t="n">
        <v>13480</v>
      </c>
      <c r="B13481" t="inlineStr">
        <is>
          <t>x̄MMMCDLXXX</t>
        </is>
      </c>
      <c r="C13481">
        <f>ROMAN(13480)</f>
        <v/>
      </c>
      <c r="D13481">
        <f>IF(B13481=C13481, "YES", "WRONG")</f>
        <v/>
      </c>
    </row>
    <row r="13482">
      <c r="A13482" t="n">
        <v>13481</v>
      </c>
      <c r="B13482" t="inlineStr">
        <is>
          <t>x̄MMMCDLXXXI</t>
        </is>
      </c>
      <c r="C13482">
        <f>ROMAN(13481)</f>
        <v/>
      </c>
      <c r="D13482">
        <f>IF(B13482=C13482, "YES", "WRONG")</f>
        <v/>
      </c>
    </row>
    <row r="13483">
      <c r="A13483" t="n">
        <v>13482</v>
      </c>
      <c r="B13483" t="inlineStr">
        <is>
          <t>x̄MMMCDLXXXII</t>
        </is>
      </c>
      <c r="C13483">
        <f>ROMAN(13482)</f>
        <v/>
      </c>
      <c r="D13483">
        <f>IF(B13483=C13483, "YES", "WRONG")</f>
        <v/>
      </c>
    </row>
    <row r="13484">
      <c r="A13484" t="n">
        <v>13483</v>
      </c>
      <c r="B13484" t="inlineStr">
        <is>
          <t>x̄MMMCDLXXXIII</t>
        </is>
      </c>
      <c r="C13484">
        <f>ROMAN(13483)</f>
        <v/>
      </c>
      <c r="D13484">
        <f>IF(B13484=C13484, "YES", "WRONG")</f>
        <v/>
      </c>
    </row>
    <row r="13485">
      <c r="A13485" t="n">
        <v>13484</v>
      </c>
      <c r="B13485" t="inlineStr">
        <is>
          <t>x̄MMMCDLXXXIV</t>
        </is>
      </c>
      <c r="C13485">
        <f>ROMAN(13484)</f>
        <v/>
      </c>
      <c r="D13485">
        <f>IF(B13485=C13485, "YES", "WRONG")</f>
        <v/>
      </c>
    </row>
    <row r="13486">
      <c r="A13486" t="n">
        <v>13485</v>
      </c>
      <c r="B13486" t="inlineStr">
        <is>
          <t>x̄MMMCDLXXXV</t>
        </is>
      </c>
      <c r="C13486">
        <f>ROMAN(13485)</f>
        <v/>
      </c>
      <c r="D13486">
        <f>IF(B13486=C13486, "YES", "WRONG")</f>
        <v/>
      </c>
    </row>
    <row r="13487">
      <c r="A13487" t="n">
        <v>13486</v>
      </c>
      <c r="B13487" t="inlineStr">
        <is>
          <t>x̄MMMCDLXXXVI</t>
        </is>
      </c>
      <c r="C13487">
        <f>ROMAN(13486)</f>
        <v/>
      </c>
      <c r="D13487">
        <f>IF(B13487=C13487, "YES", "WRONG")</f>
        <v/>
      </c>
    </row>
    <row r="13488">
      <c r="A13488" t="n">
        <v>13487</v>
      </c>
      <c r="B13488" t="inlineStr">
        <is>
          <t>x̄MMMCDLXXXVII</t>
        </is>
      </c>
      <c r="C13488">
        <f>ROMAN(13487)</f>
        <v/>
      </c>
      <c r="D13488">
        <f>IF(B13488=C13488, "YES", "WRONG")</f>
        <v/>
      </c>
    </row>
    <row r="13489">
      <c r="A13489" t="n">
        <v>13488</v>
      </c>
      <c r="B13489" t="inlineStr">
        <is>
          <t>x̄MMMCDLXXXVIII</t>
        </is>
      </c>
      <c r="C13489">
        <f>ROMAN(13488)</f>
        <v/>
      </c>
      <c r="D13489">
        <f>IF(B13489=C13489, "YES", "WRONG")</f>
        <v/>
      </c>
    </row>
    <row r="13490">
      <c r="A13490" t="n">
        <v>13489</v>
      </c>
      <c r="B13490" t="inlineStr">
        <is>
          <t>x̄MMMCDLXXXIX</t>
        </is>
      </c>
      <c r="C13490">
        <f>ROMAN(13489)</f>
        <v/>
      </c>
      <c r="D13490">
        <f>IF(B13490=C13490, "YES", "WRONG")</f>
        <v/>
      </c>
    </row>
    <row r="13491">
      <c r="A13491" t="n">
        <v>13490</v>
      </c>
      <c r="B13491" t="inlineStr">
        <is>
          <t>x̄MMMCDXC</t>
        </is>
      </c>
      <c r="C13491">
        <f>ROMAN(13490)</f>
        <v/>
      </c>
      <c r="D13491">
        <f>IF(B13491=C13491, "YES", "WRONG")</f>
        <v/>
      </c>
    </row>
    <row r="13492">
      <c r="A13492" t="n">
        <v>13491</v>
      </c>
      <c r="B13492" t="inlineStr">
        <is>
          <t>x̄MMMCDXCI</t>
        </is>
      </c>
      <c r="C13492">
        <f>ROMAN(13491)</f>
        <v/>
      </c>
      <c r="D13492">
        <f>IF(B13492=C13492, "YES", "WRONG")</f>
        <v/>
      </c>
    </row>
    <row r="13493">
      <c r="A13493" t="n">
        <v>13492</v>
      </c>
      <c r="B13493" t="inlineStr">
        <is>
          <t>x̄MMMCDXCII</t>
        </is>
      </c>
      <c r="C13493">
        <f>ROMAN(13492)</f>
        <v/>
      </c>
      <c r="D13493">
        <f>IF(B13493=C13493, "YES", "WRONG")</f>
        <v/>
      </c>
    </row>
    <row r="13494">
      <c r="A13494" t="n">
        <v>13493</v>
      </c>
      <c r="B13494" t="inlineStr">
        <is>
          <t>x̄MMMCDXCIII</t>
        </is>
      </c>
      <c r="C13494">
        <f>ROMAN(13493)</f>
        <v/>
      </c>
      <c r="D13494">
        <f>IF(B13494=C13494, "YES", "WRONG")</f>
        <v/>
      </c>
    </row>
    <row r="13495">
      <c r="A13495" t="n">
        <v>13494</v>
      </c>
      <c r="B13495" t="inlineStr">
        <is>
          <t>x̄MMMCDXCIV</t>
        </is>
      </c>
      <c r="C13495">
        <f>ROMAN(13494)</f>
        <v/>
      </c>
      <c r="D13495">
        <f>IF(B13495=C13495, "YES", "WRONG")</f>
        <v/>
      </c>
    </row>
    <row r="13496">
      <c r="A13496" t="n">
        <v>13495</v>
      </c>
      <c r="B13496" t="inlineStr">
        <is>
          <t>x̄MMMCDXCV</t>
        </is>
      </c>
      <c r="C13496">
        <f>ROMAN(13495)</f>
        <v/>
      </c>
      <c r="D13496">
        <f>IF(B13496=C13496, "YES", "WRONG")</f>
        <v/>
      </c>
    </row>
    <row r="13497">
      <c r="A13497" t="n">
        <v>13496</v>
      </c>
      <c r="B13497" t="inlineStr">
        <is>
          <t>x̄MMMCDXCVI</t>
        </is>
      </c>
      <c r="C13497">
        <f>ROMAN(13496)</f>
        <v/>
      </c>
      <c r="D13497">
        <f>IF(B13497=C13497, "YES", "WRONG")</f>
        <v/>
      </c>
    </row>
    <row r="13498">
      <c r="A13498" t="n">
        <v>13497</v>
      </c>
      <c r="B13498" t="inlineStr">
        <is>
          <t>x̄MMMCDXCVII</t>
        </is>
      </c>
      <c r="C13498">
        <f>ROMAN(13497)</f>
        <v/>
      </c>
      <c r="D13498">
        <f>IF(B13498=C13498, "YES", "WRONG")</f>
        <v/>
      </c>
    </row>
    <row r="13499">
      <c r="A13499" t="n">
        <v>13498</v>
      </c>
      <c r="B13499" t="inlineStr">
        <is>
          <t>x̄MMMCDXCVIII</t>
        </is>
      </c>
      <c r="C13499">
        <f>ROMAN(13498)</f>
        <v/>
      </c>
      <c r="D13499">
        <f>IF(B13499=C13499, "YES", "WRONG")</f>
        <v/>
      </c>
    </row>
    <row r="13500">
      <c r="A13500" t="n">
        <v>13499</v>
      </c>
      <c r="B13500" t="inlineStr">
        <is>
          <t>x̄MMMCDXCIX</t>
        </is>
      </c>
      <c r="C13500">
        <f>ROMAN(13499)</f>
        <v/>
      </c>
      <c r="D13500">
        <f>IF(B13500=C13500, "YES", "WRONG")</f>
        <v/>
      </c>
    </row>
    <row r="13501">
      <c r="A13501" t="n">
        <v>13500</v>
      </c>
      <c r="B13501" t="inlineStr">
        <is>
          <t>x̄MMMD</t>
        </is>
      </c>
      <c r="C13501">
        <f>ROMAN(13500)</f>
        <v/>
      </c>
      <c r="D13501">
        <f>IF(B13501=C13501, "YES", "WRONG")</f>
        <v/>
      </c>
    </row>
    <row r="13502">
      <c r="A13502" t="n">
        <v>13501</v>
      </c>
      <c r="B13502" t="inlineStr">
        <is>
          <t>x̄MMMDI</t>
        </is>
      </c>
      <c r="C13502">
        <f>ROMAN(13501)</f>
        <v/>
      </c>
      <c r="D13502">
        <f>IF(B13502=C13502, "YES", "WRONG")</f>
        <v/>
      </c>
    </row>
    <row r="13503">
      <c r="A13503" t="n">
        <v>13502</v>
      </c>
      <c r="B13503" t="inlineStr">
        <is>
          <t>x̄MMMDII</t>
        </is>
      </c>
      <c r="C13503">
        <f>ROMAN(13502)</f>
        <v/>
      </c>
      <c r="D13503">
        <f>IF(B13503=C13503, "YES", "WRONG")</f>
        <v/>
      </c>
    </row>
    <row r="13504">
      <c r="A13504" t="n">
        <v>13503</v>
      </c>
      <c r="B13504" t="inlineStr">
        <is>
          <t>x̄MMMDIII</t>
        </is>
      </c>
      <c r="C13504">
        <f>ROMAN(13503)</f>
        <v/>
      </c>
      <c r="D13504">
        <f>IF(B13504=C13504, "YES", "WRONG")</f>
        <v/>
      </c>
    </row>
    <row r="13505">
      <c r="A13505" t="n">
        <v>13504</v>
      </c>
      <c r="B13505" t="inlineStr">
        <is>
          <t>x̄MMMDIV</t>
        </is>
      </c>
      <c r="C13505">
        <f>ROMAN(13504)</f>
        <v/>
      </c>
      <c r="D13505">
        <f>IF(B13505=C13505, "YES", "WRONG")</f>
        <v/>
      </c>
    </row>
    <row r="13506">
      <c r="A13506" t="n">
        <v>13505</v>
      </c>
      <c r="B13506" t="inlineStr">
        <is>
          <t>x̄MMMDV</t>
        </is>
      </c>
      <c r="C13506">
        <f>ROMAN(13505)</f>
        <v/>
      </c>
      <c r="D13506">
        <f>IF(B13506=C13506, "YES", "WRONG")</f>
        <v/>
      </c>
    </row>
    <row r="13507">
      <c r="A13507" t="n">
        <v>13506</v>
      </c>
      <c r="B13507" t="inlineStr">
        <is>
          <t>x̄MMMDVI</t>
        </is>
      </c>
      <c r="C13507">
        <f>ROMAN(13506)</f>
        <v/>
      </c>
      <c r="D13507">
        <f>IF(B13507=C13507, "YES", "WRONG")</f>
        <v/>
      </c>
    </row>
    <row r="13508">
      <c r="A13508" t="n">
        <v>13507</v>
      </c>
      <c r="B13508" t="inlineStr">
        <is>
          <t>x̄MMMDVII</t>
        </is>
      </c>
      <c r="C13508">
        <f>ROMAN(13507)</f>
        <v/>
      </c>
      <c r="D13508">
        <f>IF(B13508=C13508, "YES", "WRONG")</f>
        <v/>
      </c>
    </row>
    <row r="13509">
      <c r="A13509" t="n">
        <v>13508</v>
      </c>
      <c r="B13509" t="inlineStr">
        <is>
          <t>x̄MMMDVIII</t>
        </is>
      </c>
      <c r="C13509">
        <f>ROMAN(13508)</f>
        <v/>
      </c>
      <c r="D13509">
        <f>IF(B13509=C13509, "YES", "WRONG")</f>
        <v/>
      </c>
    </row>
    <row r="13510">
      <c r="A13510" t="n">
        <v>13509</v>
      </c>
      <c r="B13510" t="inlineStr">
        <is>
          <t>x̄MMMDIX</t>
        </is>
      </c>
      <c r="C13510">
        <f>ROMAN(13509)</f>
        <v/>
      </c>
      <c r="D13510">
        <f>IF(B13510=C13510, "YES", "WRONG")</f>
        <v/>
      </c>
    </row>
    <row r="13511">
      <c r="A13511" t="n">
        <v>13510</v>
      </c>
      <c r="B13511" t="inlineStr">
        <is>
          <t>x̄MMMDX</t>
        </is>
      </c>
      <c r="C13511">
        <f>ROMAN(13510)</f>
        <v/>
      </c>
      <c r="D13511">
        <f>IF(B13511=C13511, "YES", "WRONG")</f>
        <v/>
      </c>
    </row>
    <row r="13512">
      <c r="A13512" t="n">
        <v>13511</v>
      </c>
      <c r="B13512" t="inlineStr">
        <is>
          <t>x̄MMMDXI</t>
        </is>
      </c>
      <c r="C13512">
        <f>ROMAN(13511)</f>
        <v/>
      </c>
      <c r="D13512">
        <f>IF(B13512=C13512, "YES", "WRONG")</f>
        <v/>
      </c>
    </row>
    <row r="13513">
      <c r="A13513" t="n">
        <v>13512</v>
      </c>
      <c r="B13513" t="inlineStr">
        <is>
          <t>x̄MMMDXII</t>
        </is>
      </c>
      <c r="C13513">
        <f>ROMAN(13512)</f>
        <v/>
      </c>
      <c r="D13513">
        <f>IF(B13513=C13513, "YES", "WRONG")</f>
        <v/>
      </c>
    </row>
    <row r="13514">
      <c r="A13514" t="n">
        <v>13513</v>
      </c>
      <c r="B13514" t="inlineStr">
        <is>
          <t>x̄MMMDXIII</t>
        </is>
      </c>
      <c r="C13514">
        <f>ROMAN(13513)</f>
        <v/>
      </c>
      <c r="D13514">
        <f>IF(B13514=C13514, "YES", "WRONG")</f>
        <v/>
      </c>
    </row>
    <row r="13515">
      <c r="A13515" t="n">
        <v>13514</v>
      </c>
      <c r="B13515" t="inlineStr">
        <is>
          <t>x̄MMMDXIV</t>
        </is>
      </c>
      <c r="C13515">
        <f>ROMAN(13514)</f>
        <v/>
      </c>
      <c r="D13515">
        <f>IF(B13515=C13515, "YES", "WRONG")</f>
        <v/>
      </c>
    </row>
    <row r="13516">
      <c r="A13516" t="n">
        <v>13515</v>
      </c>
      <c r="B13516" t="inlineStr">
        <is>
          <t>x̄MMMDXV</t>
        </is>
      </c>
      <c r="C13516">
        <f>ROMAN(13515)</f>
        <v/>
      </c>
      <c r="D13516">
        <f>IF(B13516=C13516, "YES", "WRONG")</f>
        <v/>
      </c>
    </row>
    <row r="13517">
      <c r="A13517" t="n">
        <v>13516</v>
      </c>
      <c r="B13517" t="inlineStr">
        <is>
          <t>x̄MMMDXVI</t>
        </is>
      </c>
      <c r="C13517">
        <f>ROMAN(13516)</f>
        <v/>
      </c>
      <c r="D13517">
        <f>IF(B13517=C13517, "YES", "WRONG")</f>
        <v/>
      </c>
    </row>
    <row r="13518">
      <c r="A13518" t="n">
        <v>13517</v>
      </c>
      <c r="B13518" t="inlineStr">
        <is>
          <t>x̄MMMDXVII</t>
        </is>
      </c>
      <c r="C13518">
        <f>ROMAN(13517)</f>
        <v/>
      </c>
      <c r="D13518">
        <f>IF(B13518=C13518, "YES", "WRONG")</f>
        <v/>
      </c>
    </row>
    <row r="13519">
      <c r="A13519" t="n">
        <v>13518</v>
      </c>
      <c r="B13519" t="inlineStr">
        <is>
          <t>x̄MMMDXVIII</t>
        </is>
      </c>
      <c r="C13519">
        <f>ROMAN(13518)</f>
        <v/>
      </c>
      <c r="D13519">
        <f>IF(B13519=C13519, "YES", "WRONG")</f>
        <v/>
      </c>
    </row>
    <row r="13520">
      <c r="A13520" t="n">
        <v>13519</v>
      </c>
      <c r="B13520" t="inlineStr">
        <is>
          <t>x̄MMMDXIX</t>
        </is>
      </c>
      <c r="C13520">
        <f>ROMAN(13519)</f>
        <v/>
      </c>
      <c r="D13520">
        <f>IF(B13520=C13520, "YES", "WRONG")</f>
        <v/>
      </c>
    </row>
    <row r="13521">
      <c r="A13521" t="n">
        <v>13520</v>
      </c>
      <c r="B13521" t="inlineStr">
        <is>
          <t>x̄MMMDXX</t>
        </is>
      </c>
      <c r="C13521">
        <f>ROMAN(13520)</f>
        <v/>
      </c>
      <c r="D13521">
        <f>IF(B13521=C13521, "YES", "WRONG")</f>
        <v/>
      </c>
    </row>
    <row r="13522">
      <c r="A13522" t="n">
        <v>13521</v>
      </c>
      <c r="B13522" t="inlineStr">
        <is>
          <t>x̄MMMDXXI</t>
        </is>
      </c>
      <c r="C13522">
        <f>ROMAN(13521)</f>
        <v/>
      </c>
      <c r="D13522">
        <f>IF(B13522=C13522, "YES", "WRONG")</f>
        <v/>
      </c>
    </row>
    <row r="13523">
      <c r="A13523" t="n">
        <v>13522</v>
      </c>
      <c r="B13523" t="inlineStr">
        <is>
          <t>x̄MMMDXXII</t>
        </is>
      </c>
      <c r="C13523">
        <f>ROMAN(13522)</f>
        <v/>
      </c>
      <c r="D13523">
        <f>IF(B13523=C13523, "YES", "WRONG")</f>
        <v/>
      </c>
    </row>
    <row r="13524">
      <c r="A13524" t="n">
        <v>13523</v>
      </c>
      <c r="B13524" t="inlineStr">
        <is>
          <t>x̄MMMDXXIII</t>
        </is>
      </c>
      <c r="C13524">
        <f>ROMAN(13523)</f>
        <v/>
      </c>
      <c r="D13524">
        <f>IF(B13524=C13524, "YES", "WRONG")</f>
        <v/>
      </c>
    </row>
    <row r="13525">
      <c r="A13525" t="n">
        <v>13524</v>
      </c>
      <c r="B13525" t="inlineStr">
        <is>
          <t>x̄MMMDXXIV</t>
        </is>
      </c>
      <c r="C13525">
        <f>ROMAN(13524)</f>
        <v/>
      </c>
      <c r="D13525">
        <f>IF(B13525=C13525, "YES", "WRONG")</f>
        <v/>
      </c>
    </row>
    <row r="13526">
      <c r="A13526" t="n">
        <v>13525</v>
      </c>
      <c r="B13526" t="inlineStr">
        <is>
          <t>x̄MMMDXXV</t>
        </is>
      </c>
      <c r="C13526">
        <f>ROMAN(13525)</f>
        <v/>
      </c>
      <c r="D13526">
        <f>IF(B13526=C13526, "YES", "WRONG")</f>
        <v/>
      </c>
    </row>
    <row r="13527">
      <c r="A13527" t="n">
        <v>13526</v>
      </c>
      <c r="B13527" t="inlineStr">
        <is>
          <t>x̄MMMDXXVI</t>
        </is>
      </c>
      <c r="C13527">
        <f>ROMAN(13526)</f>
        <v/>
      </c>
      <c r="D13527">
        <f>IF(B13527=C13527, "YES", "WRONG")</f>
        <v/>
      </c>
    </row>
    <row r="13528">
      <c r="A13528" t="n">
        <v>13527</v>
      </c>
      <c r="B13528" t="inlineStr">
        <is>
          <t>x̄MMMDXXVII</t>
        </is>
      </c>
      <c r="C13528">
        <f>ROMAN(13527)</f>
        <v/>
      </c>
      <c r="D13528">
        <f>IF(B13528=C13528, "YES", "WRONG")</f>
        <v/>
      </c>
    </row>
    <row r="13529">
      <c r="A13529" t="n">
        <v>13528</v>
      </c>
      <c r="B13529" t="inlineStr">
        <is>
          <t>x̄MMMDXXVIII</t>
        </is>
      </c>
      <c r="C13529">
        <f>ROMAN(13528)</f>
        <v/>
      </c>
      <c r="D13529">
        <f>IF(B13529=C13529, "YES", "WRONG")</f>
        <v/>
      </c>
    </row>
    <row r="13530">
      <c r="A13530" t="n">
        <v>13529</v>
      </c>
      <c r="B13530" t="inlineStr">
        <is>
          <t>x̄MMMDXXIX</t>
        </is>
      </c>
      <c r="C13530">
        <f>ROMAN(13529)</f>
        <v/>
      </c>
      <c r="D13530">
        <f>IF(B13530=C13530, "YES", "WRONG")</f>
        <v/>
      </c>
    </row>
    <row r="13531">
      <c r="A13531" t="n">
        <v>13530</v>
      </c>
      <c r="B13531" t="inlineStr">
        <is>
          <t>x̄MMMDXXX</t>
        </is>
      </c>
      <c r="C13531">
        <f>ROMAN(13530)</f>
        <v/>
      </c>
      <c r="D13531">
        <f>IF(B13531=C13531, "YES", "WRONG")</f>
        <v/>
      </c>
    </row>
    <row r="13532">
      <c r="A13532" t="n">
        <v>13531</v>
      </c>
      <c r="B13532" t="inlineStr">
        <is>
          <t>x̄MMMDXXXI</t>
        </is>
      </c>
      <c r="C13532">
        <f>ROMAN(13531)</f>
        <v/>
      </c>
      <c r="D13532">
        <f>IF(B13532=C13532, "YES", "WRONG")</f>
        <v/>
      </c>
    </row>
    <row r="13533">
      <c r="A13533" t="n">
        <v>13532</v>
      </c>
      <c r="B13533" t="inlineStr">
        <is>
          <t>x̄MMMDXXXII</t>
        </is>
      </c>
      <c r="C13533">
        <f>ROMAN(13532)</f>
        <v/>
      </c>
      <c r="D13533">
        <f>IF(B13533=C13533, "YES", "WRONG")</f>
        <v/>
      </c>
    </row>
    <row r="13534">
      <c r="A13534" t="n">
        <v>13533</v>
      </c>
      <c r="B13534" t="inlineStr">
        <is>
          <t>x̄MMMDXXXIII</t>
        </is>
      </c>
      <c r="C13534">
        <f>ROMAN(13533)</f>
        <v/>
      </c>
      <c r="D13534">
        <f>IF(B13534=C13534, "YES", "WRONG")</f>
        <v/>
      </c>
    </row>
    <row r="13535">
      <c r="A13535" t="n">
        <v>13534</v>
      </c>
      <c r="B13535" t="inlineStr">
        <is>
          <t>x̄MMMDXXXIV</t>
        </is>
      </c>
      <c r="C13535">
        <f>ROMAN(13534)</f>
        <v/>
      </c>
      <c r="D13535">
        <f>IF(B13535=C13535, "YES", "WRONG")</f>
        <v/>
      </c>
    </row>
    <row r="13536">
      <c r="A13536" t="n">
        <v>13535</v>
      </c>
      <c r="B13536" t="inlineStr">
        <is>
          <t>x̄MMMDXXXV</t>
        </is>
      </c>
      <c r="C13536">
        <f>ROMAN(13535)</f>
        <v/>
      </c>
      <c r="D13536">
        <f>IF(B13536=C13536, "YES", "WRONG")</f>
        <v/>
      </c>
    </row>
    <row r="13537">
      <c r="A13537" t="n">
        <v>13536</v>
      </c>
      <c r="B13537" t="inlineStr">
        <is>
          <t>x̄MMMDXXXVI</t>
        </is>
      </c>
      <c r="C13537">
        <f>ROMAN(13536)</f>
        <v/>
      </c>
      <c r="D13537">
        <f>IF(B13537=C13537, "YES", "WRONG")</f>
        <v/>
      </c>
    </row>
    <row r="13538">
      <c r="A13538" t="n">
        <v>13537</v>
      </c>
      <c r="B13538" t="inlineStr">
        <is>
          <t>x̄MMMDXXXVII</t>
        </is>
      </c>
      <c r="C13538">
        <f>ROMAN(13537)</f>
        <v/>
      </c>
      <c r="D13538">
        <f>IF(B13538=C13538, "YES", "WRONG")</f>
        <v/>
      </c>
    </row>
    <row r="13539">
      <c r="A13539" t="n">
        <v>13538</v>
      </c>
      <c r="B13539" t="inlineStr">
        <is>
          <t>x̄MMMDXXXVIII</t>
        </is>
      </c>
      <c r="C13539">
        <f>ROMAN(13538)</f>
        <v/>
      </c>
      <c r="D13539">
        <f>IF(B13539=C13539, "YES", "WRONG")</f>
        <v/>
      </c>
    </row>
    <row r="13540">
      <c r="A13540" t="n">
        <v>13539</v>
      </c>
      <c r="B13540" t="inlineStr">
        <is>
          <t>x̄MMMDXXXIX</t>
        </is>
      </c>
      <c r="C13540">
        <f>ROMAN(13539)</f>
        <v/>
      </c>
      <c r="D13540">
        <f>IF(B13540=C13540, "YES", "WRONG")</f>
        <v/>
      </c>
    </row>
    <row r="13541">
      <c r="A13541" t="n">
        <v>13540</v>
      </c>
      <c r="B13541" t="inlineStr">
        <is>
          <t>x̄MMMDXL</t>
        </is>
      </c>
      <c r="C13541">
        <f>ROMAN(13540)</f>
        <v/>
      </c>
      <c r="D13541">
        <f>IF(B13541=C13541, "YES", "WRONG")</f>
        <v/>
      </c>
    </row>
    <row r="13542">
      <c r="A13542" t="n">
        <v>13541</v>
      </c>
      <c r="B13542" t="inlineStr">
        <is>
          <t>x̄MMMDXLI</t>
        </is>
      </c>
      <c r="C13542">
        <f>ROMAN(13541)</f>
        <v/>
      </c>
      <c r="D13542">
        <f>IF(B13542=C13542, "YES", "WRONG")</f>
        <v/>
      </c>
    </row>
    <row r="13543">
      <c r="A13543" t="n">
        <v>13542</v>
      </c>
      <c r="B13543" t="inlineStr">
        <is>
          <t>x̄MMMDXLII</t>
        </is>
      </c>
      <c r="C13543">
        <f>ROMAN(13542)</f>
        <v/>
      </c>
      <c r="D13543">
        <f>IF(B13543=C13543, "YES", "WRONG")</f>
        <v/>
      </c>
    </row>
    <row r="13544">
      <c r="A13544" t="n">
        <v>13543</v>
      </c>
      <c r="B13544" t="inlineStr">
        <is>
          <t>x̄MMMDXLIII</t>
        </is>
      </c>
      <c r="C13544">
        <f>ROMAN(13543)</f>
        <v/>
      </c>
      <c r="D13544">
        <f>IF(B13544=C13544, "YES", "WRONG")</f>
        <v/>
      </c>
    </row>
    <row r="13545">
      <c r="A13545" t="n">
        <v>13544</v>
      </c>
      <c r="B13545" t="inlineStr">
        <is>
          <t>x̄MMMDXLIV</t>
        </is>
      </c>
      <c r="C13545">
        <f>ROMAN(13544)</f>
        <v/>
      </c>
      <c r="D13545">
        <f>IF(B13545=C13545, "YES", "WRONG")</f>
        <v/>
      </c>
    </row>
    <row r="13546">
      <c r="A13546" t="n">
        <v>13545</v>
      </c>
      <c r="B13546" t="inlineStr">
        <is>
          <t>x̄MMMDXLV</t>
        </is>
      </c>
      <c r="C13546">
        <f>ROMAN(13545)</f>
        <v/>
      </c>
      <c r="D13546">
        <f>IF(B13546=C13546, "YES", "WRONG")</f>
        <v/>
      </c>
    </row>
    <row r="13547">
      <c r="A13547" t="n">
        <v>13546</v>
      </c>
      <c r="B13547" t="inlineStr">
        <is>
          <t>x̄MMMDXLVI</t>
        </is>
      </c>
      <c r="C13547">
        <f>ROMAN(13546)</f>
        <v/>
      </c>
      <c r="D13547">
        <f>IF(B13547=C13547, "YES", "WRONG")</f>
        <v/>
      </c>
    </row>
    <row r="13548">
      <c r="A13548" t="n">
        <v>13547</v>
      </c>
      <c r="B13548" t="inlineStr">
        <is>
          <t>x̄MMMDXLVII</t>
        </is>
      </c>
      <c r="C13548">
        <f>ROMAN(13547)</f>
        <v/>
      </c>
      <c r="D13548">
        <f>IF(B13548=C13548, "YES", "WRONG")</f>
        <v/>
      </c>
    </row>
    <row r="13549">
      <c r="A13549" t="n">
        <v>13548</v>
      </c>
      <c r="B13549" t="inlineStr">
        <is>
          <t>x̄MMMDXLVIII</t>
        </is>
      </c>
      <c r="C13549">
        <f>ROMAN(13548)</f>
        <v/>
      </c>
      <c r="D13549">
        <f>IF(B13549=C13549, "YES", "WRONG")</f>
        <v/>
      </c>
    </row>
    <row r="13550">
      <c r="A13550" t="n">
        <v>13549</v>
      </c>
      <c r="B13550" t="inlineStr">
        <is>
          <t>x̄MMMDXLIX</t>
        </is>
      </c>
      <c r="C13550">
        <f>ROMAN(13549)</f>
        <v/>
      </c>
      <c r="D13550">
        <f>IF(B13550=C13550, "YES", "WRONG")</f>
        <v/>
      </c>
    </row>
    <row r="13551">
      <c r="A13551" t="n">
        <v>13550</v>
      </c>
      <c r="B13551" t="inlineStr">
        <is>
          <t>x̄MMMDL</t>
        </is>
      </c>
      <c r="C13551">
        <f>ROMAN(13550)</f>
        <v/>
      </c>
      <c r="D13551">
        <f>IF(B13551=C13551, "YES", "WRONG")</f>
        <v/>
      </c>
    </row>
    <row r="13552">
      <c r="A13552" t="n">
        <v>13551</v>
      </c>
      <c r="B13552" t="inlineStr">
        <is>
          <t>x̄MMMDLI</t>
        </is>
      </c>
      <c r="C13552">
        <f>ROMAN(13551)</f>
        <v/>
      </c>
      <c r="D13552">
        <f>IF(B13552=C13552, "YES", "WRONG")</f>
        <v/>
      </c>
    </row>
    <row r="13553">
      <c r="A13553" t="n">
        <v>13552</v>
      </c>
      <c r="B13553" t="inlineStr">
        <is>
          <t>x̄MMMDLII</t>
        </is>
      </c>
      <c r="C13553">
        <f>ROMAN(13552)</f>
        <v/>
      </c>
      <c r="D13553">
        <f>IF(B13553=C13553, "YES", "WRONG")</f>
        <v/>
      </c>
    </row>
    <row r="13554">
      <c r="A13554" t="n">
        <v>13553</v>
      </c>
      <c r="B13554" t="inlineStr">
        <is>
          <t>x̄MMMDLIII</t>
        </is>
      </c>
      <c r="C13554">
        <f>ROMAN(13553)</f>
        <v/>
      </c>
      <c r="D13554">
        <f>IF(B13554=C13554, "YES", "WRONG")</f>
        <v/>
      </c>
    </row>
    <row r="13555">
      <c r="A13555" t="n">
        <v>13554</v>
      </c>
      <c r="B13555" t="inlineStr">
        <is>
          <t>x̄MMMDLIV</t>
        </is>
      </c>
      <c r="C13555">
        <f>ROMAN(13554)</f>
        <v/>
      </c>
      <c r="D13555">
        <f>IF(B13555=C13555, "YES", "WRONG")</f>
        <v/>
      </c>
    </row>
    <row r="13556">
      <c r="A13556" t="n">
        <v>13555</v>
      </c>
      <c r="B13556" t="inlineStr">
        <is>
          <t>x̄MMMDLV</t>
        </is>
      </c>
      <c r="C13556">
        <f>ROMAN(13555)</f>
        <v/>
      </c>
      <c r="D13556">
        <f>IF(B13556=C13556, "YES", "WRONG")</f>
        <v/>
      </c>
    </row>
    <row r="13557">
      <c r="A13557" t="n">
        <v>13556</v>
      </c>
      <c r="B13557" t="inlineStr">
        <is>
          <t>x̄MMMDLVI</t>
        </is>
      </c>
      <c r="C13557">
        <f>ROMAN(13556)</f>
        <v/>
      </c>
      <c r="D13557">
        <f>IF(B13557=C13557, "YES", "WRONG")</f>
        <v/>
      </c>
    </row>
    <row r="13558">
      <c r="A13558" t="n">
        <v>13557</v>
      </c>
      <c r="B13558" t="inlineStr">
        <is>
          <t>x̄MMMDLVII</t>
        </is>
      </c>
      <c r="C13558">
        <f>ROMAN(13557)</f>
        <v/>
      </c>
      <c r="D13558">
        <f>IF(B13558=C13558, "YES", "WRONG")</f>
        <v/>
      </c>
    </row>
    <row r="13559">
      <c r="A13559" t="n">
        <v>13558</v>
      </c>
      <c r="B13559" t="inlineStr">
        <is>
          <t>x̄MMMDLVIII</t>
        </is>
      </c>
      <c r="C13559">
        <f>ROMAN(13558)</f>
        <v/>
      </c>
      <c r="D13559">
        <f>IF(B13559=C13559, "YES", "WRONG")</f>
        <v/>
      </c>
    </row>
    <row r="13560">
      <c r="A13560" t="n">
        <v>13559</v>
      </c>
      <c r="B13560" t="inlineStr">
        <is>
          <t>x̄MMMDLIX</t>
        </is>
      </c>
      <c r="C13560">
        <f>ROMAN(13559)</f>
        <v/>
      </c>
      <c r="D13560">
        <f>IF(B13560=C13560, "YES", "WRONG")</f>
        <v/>
      </c>
    </row>
    <row r="13561">
      <c r="A13561" t="n">
        <v>13560</v>
      </c>
      <c r="B13561" t="inlineStr">
        <is>
          <t>x̄MMMDLX</t>
        </is>
      </c>
      <c r="C13561">
        <f>ROMAN(13560)</f>
        <v/>
      </c>
      <c r="D13561">
        <f>IF(B13561=C13561, "YES", "WRONG")</f>
        <v/>
      </c>
    </row>
    <row r="13562">
      <c r="A13562" t="n">
        <v>13561</v>
      </c>
      <c r="B13562" t="inlineStr">
        <is>
          <t>x̄MMMDLXI</t>
        </is>
      </c>
      <c r="C13562">
        <f>ROMAN(13561)</f>
        <v/>
      </c>
      <c r="D13562">
        <f>IF(B13562=C13562, "YES", "WRONG")</f>
        <v/>
      </c>
    </row>
    <row r="13563">
      <c r="A13563" t="n">
        <v>13562</v>
      </c>
      <c r="B13563" t="inlineStr">
        <is>
          <t>x̄MMMDLXII</t>
        </is>
      </c>
      <c r="C13563">
        <f>ROMAN(13562)</f>
        <v/>
      </c>
      <c r="D13563">
        <f>IF(B13563=C13563, "YES", "WRONG")</f>
        <v/>
      </c>
    </row>
    <row r="13564">
      <c r="A13564" t="n">
        <v>13563</v>
      </c>
      <c r="B13564" t="inlineStr">
        <is>
          <t>x̄MMMDLXIII</t>
        </is>
      </c>
      <c r="C13564">
        <f>ROMAN(13563)</f>
        <v/>
      </c>
      <c r="D13564">
        <f>IF(B13564=C13564, "YES", "WRONG")</f>
        <v/>
      </c>
    </row>
    <row r="13565">
      <c r="A13565" t="n">
        <v>13564</v>
      </c>
      <c r="B13565" t="inlineStr">
        <is>
          <t>x̄MMMDLXIV</t>
        </is>
      </c>
      <c r="C13565">
        <f>ROMAN(13564)</f>
        <v/>
      </c>
      <c r="D13565">
        <f>IF(B13565=C13565, "YES", "WRONG")</f>
        <v/>
      </c>
    </row>
    <row r="13566">
      <c r="A13566" t="n">
        <v>13565</v>
      </c>
      <c r="B13566" t="inlineStr">
        <is>
          <t>x̄MMMDLXV</t>
        </is>
      </c>
      <c r="C13566">
        <f>ROMAN(13565)</f>
        <v/>
      </c>
      <c r="D13566">
        <f>IF(B13566=C13566, "YES", "WRONG")</f>
        <v/>
      </c>
    </row>
    <row r="13567">
      <c r="A13567" t="n">
        <v>13566</v>
      </c>
      <c r="B13567" t="inlineStr">
        <is>
          <t>x̄MMMDLXVI</t>
        </is>
      </c>
      <c r="C13567">
        <f>ROMAN(13566)</f>
        <v/>
      </c>
      <c r="D13567">
        <f>IF(B13567=C13567, "YES", "WRONG")</f>
        <v/>
      </c>
    </row>
    <row r="13568">
      <c r="A13568" t="n">
        <v>13567</v>
      </c>
      <c r="B13568" t="inlineStr">
        <is>
          <t>x̄MMMDLXVII</t>
        </is>
      </c>
      <c r="C13568">
        <f>ROMAN(13567)</f>
        <v/>
      </c>
      <c r="D13568">
        <f>IF(B13568=C13568, "YES", "WRONG")</f>
        <v/>
      </c>
    </row>
    <row r="13569">
      <c r="A13569" t="n">
        <v>13568</v>
      </c>
      <c r="B13569" t="inlineStr">
        <is>
          <t>x̄MMMDLXVIII</t>
        </is>
      </c>
      <c r="C13569">
        <f>ROMAN(13568)</f>
        <v/>
      </c>
      <c r="D13569">
        <f>IF(B13569=C13569, "YES", "WRONG")</f>
        <v/>
      </c>
    </row>
    <row r="13570">
      <c r="A13570" t="n">
        <v>13569</v>
      </c>
      <c r="B13570" t="inlineStr">
        <is>
          <t>x̄MMMDLXIX</t>
        </is>
      </c>
      <c r="C13570">
        <f>ROMAN(13569)</f>
        <v/>
      </c>
      <c r="D13570">
        <f>IF(B13570=C13570, "YES", "WRONG")</f>
        <v/>
      </c>
    </row>
    <row r="13571">
      <c r="A13571" t="n">
        <v>13570</v>
      </c>
      <c r="B13571" t="inlineStr">
        <is>
          <t>x̄MMMDLXX</t>
        </is>
      </c>
      <c r="C13571">
        <f>ROMAN(13570)</f>
        <v/>
      </c>
      <c r="D13571">
        <f>IF(B13571=C13571, "YES", "WRONG")</f>
        <v/>
      </c>
    </row>
    <row r="13572">
      <c r="A13572" t="n">
        <v>13571</v>
      </c>
      <c r="B13572" t="inlineStr">
        <is>
          <t>x̄MMMDLXXI</t>
        </is>
      </c>
      <c r="C13572">
        <f>ROMAN(13571)</f>
        <v/>
      </c>
      <c r="D13572">
        <f>IF(B13572=C13572, "YES", "WRONG")</f>
        <v/>
      </c>
    </row>
    <row r="13573">
      <c r="A13573" t="n">
        <v>13572</v>
      </c>
      <c r="B13573" t="inlineStr">
        <is>
          <t>x̄MMMDLXXII</t>
        </is>
      </c>
      <c r="C13573">
        <f>ROMAN(13572)</f>
        <v/>
      </c>
      <c r="D13573">
        <f>IF(B13573=C13573, "YES", "WRONG")</f>
        <v/>
      </c>
    </row>
    <row r="13574">
      <c r="A13574" t="n">
        <v>13573</v>
      </c>
      <c r="B13574" t="inlineStr">
        <is>
          <t>x̄MMMDLXXIII</t>
        </is>
      </c>
      <c r="C13574">
        <f>ROMAN(13573)</f>
        <v/>
      </c>
      <c r="D13574">
        <f>IF(B13574=C13574, "YES", "WRONG")</f>
        <v/>
      </c>
    </row>
    <row r="13575">
      <c r="A13575" t="n">
        <v>13574</v>
      </c>
      <c r="B13575" t="inlineStr">
        <is>
          <t>x̄MMMDLXXIV</t>
        </is>
      </c>
      <c r="C13575">
        <f>ROMAN(13574)</f>
        <v/>
      </c>
      <c r="D13575">
        <f>IF(B13575=C13575, "YES", "WRONG")</f>
        <v/>
      </c>
    </row>
    <row r="13576">
      <c r="A13576" t="n">
        <v>13575</v>
      </c>
      <c r="B13576" t="inlineStr">
        <is>
          <t>x̄MMMDLXXV</t>
        </is>
      </c>
      <c r="C13576">
        <f>ROMAN(13575)</f>
        <v/>
      </c>
      <c r="D13576">
        <f>IF(B13576=C13576, "YES", "WRONG")</f>
        <v/>
      </c>
    </row>
    <row r="13577">
      <c r="A13577" t="n">
        <v>13576</v>
      </c>
      <c r="B13577" t="inlineStr">
        <is>
          <t>x̄MMMDLXXVI</t>
        </is>
      </c>
      <c r="C13577">
        <f>ROMAN(13576)</f>
        <v/>
      </c>
      <c r="D13577">
        <f>IF(B13577=C13577, "YES", "WRONG")</f>
        <v/>
      </c>
    </row>
    <row r="13578">
      <c r="A13578" t="n">
        <v>13577</v>
      </c>
      <c r="B13578" t="inlineStr">
        <is>
          <t>x̄MMMDLXXVII</t>
        </is>
      </c>
      <c r="C13578">
        <f>ROMAN(13577)</f>
        <v/>
      </c>
      <c r="D13578">
        <f>IF(B13578=C13578, "YES", "WRONG")</f>
        <v/>
      </c>
    </row>
    <row r="13579">
      <c r="A13579" t="n">
        <v>13578</v>
      </c>
      <c r="B13579" t="inlineStr">
        <is>
          <t>x̄MMMDLXXVIII</t>
        </is>
      </c>
      <c r="C13579">
        <f>ROMAN(13578)</f>
        <v/>
      </c>
      <c r="D13579">
        <f>IF(B13579=C13579, "YES", "WRONG")</f>
        <v/>
      </c>
    </row>
    <row r="13580">
      <c r="A13580" t="n">
        <v>13579</v>
      </c>
      <c r="B13580" t="inlineStr">
        <is>
          <t>x̄MMMDLXXIX</t>
        </is>
      </c>
      <c r="C13580">
        <f>ROMAN(13579)</f>
        <v/>
      </c>
      <c r="D13580">
        <f>IF(B13580=C13580, "YES", "WRONG")</f>
        <v/>
      </c>
    </row>
    <row r="13581">
      <c r="A13581" t="n">
        <v>13580</v>
      </c>
      <c r="B13581" t="inlineStr">
        <is>
          <t>x̄MMMDLXXX</t>
        </is>
      </c>
      <c r="C13581">
        <f>ROMAN(13580)</f>
        <v/>
      </c>
      <c r="D13581">
        <f>IF(B13581=C13581, "YES", "WRONG")</f>
        <v/>
      </c>
    </row>
    <row r="13582">
      <c r="A13582" t="n">
        <v>13581</v>
      </c>
      <c r="B13582" t="inlineStr">
        <is>
          <t>x̄MMMDLXXXI</t>
        </is>
      </c>
      <c r="C13582">
        <f>ROMAN(13581)</f>
        <v/>
      </c>
      <c r="D13582">
        <f>IF(B13582=C13582, "YES", "WRONG")</f>
        <v/>
      </c>
    </row>
    <row r="13583">
      <c r="A13583" t="n">
        <v>13582</v>
      </c>
      <c r="B13583" t="inlineStr">
        <is>
          <t>x̄MMMDLXXXII</t>
        </is>
      </c>
      <c r="C13583">
        <f>ROMAN(13582)</f>
        <v/>
      </c>
      <c r="D13583">
        <f>IF(B13583=C13583, "YES", "WRONG")</f>
        <v/>
      </c>
    </row>
    <row r="13584">
      <c r="A13584" t="n">
        <v>13583</v>
      </c>
      <c r="B13584" t="inlineStr">
        <is>
          <t>x̄MMMDLXXXIII</t>
        </is>
      </c>
      <c r="C13584">
        <f>ROMAN(13583)</f>
        <v/>
      </c>
      <c r="D13584">
        <f>IF(B13584=C13584, "YES", "WRONG")</f>
        <v/>
      </c>
    </row>
    <row r="13585">
      <c r="A13585" t="n">
        <v>13584</v>
      </c>
      <c r="B13585" t="inlineStr">
        <is>
          <t>x̄MMMDLXXXIV</t>
        </is>
      </c>
      <c r="C13585">
        <f>ROMAN(13584)</f>
        <v/>
      </c>
      <c r="D13585">
        <f>IF(B13585=C13585, "YES", "WRONG")</f>
        <v/>
      </c>
    </row>
    <row r="13586">
      <c r="A13586" t="n">
        <v>13585</v>
      </c>
      <c r="B13586" t="inlineStr">
        <is>
          <t>x̄MMMDLXXXV</t>
        </is>
      </c>
      <c r="C13586">
        <f>ROMAN(13585)</f>
        <v/>
      </c>
      <c r="D13586">
        <f>IF(B13586=C13586, "YES", "WRONG")</f>
        <v/>
      </c>
    </row>
    <row r="13587">
      <c r="A13587" t="n">
        <v>13586</v>
      </c>
      <c r="B13587" t="inlineStr">
        <is>
          <t>x̄MMMDLXXXVI</t>
        </is>
      </c>
      <c r="C13587">
        <f>ROMAN(13586)</f>
        <v/>
      </c>
      <c r="D13587">
        <f>IF(B13587=C13587, "YES", "WRONG")</f>
        <v/>
      </c>
    </row>
    <row r="13588">
      <c r="A13588" t="n">
        <v>13587</v>
      </c>
      <c r="B13588" t="inlineStr">
        <is>
          <t>x̄MMMDLXXXVII</t>
        </is>
      </c>
      <c r="C13588">
        <f>ROMAN(13587)</f>
        <v/>
      </c>
      <c r="D13588">
        <f>IF(B13588=C13588, "YES", "WRONG")</f>
        <v/>
      </c>
    </row>
    <row r="13589">
      <c r="A13589" t="n">
        <v>13588</v>
      </c>
      <c r="B13589" t="inlineStr">
        <is>
          <t>x̄MMMDLXXXVIII</t>
        </is>
      </c>
      <c r="C13589">
        <f>ROMAN(13588)</f>
        <v/>
      </c>
      <c r="D13589">
        <f>IF(B13589=C13589, "YES", "WRONG")</f>
        <v/>
      </c>
    </row>
    <row r="13590">
      <c r="A13590" t="n">
        <v>13589</v>
      </c>
      <c r="B13590" t="inlineStr">
        <is>
          <t>x̄MMMDLXXXIX</t>
        </is>
      </c>
      <c r="C13590">
        <f>ROMAN(13589)</f>
        <v/>
      </c>
      <c r="D13590">
        <f>IF(B13590=C13590, "YES", "WRONG")</f>
        <v/>
      </c>
    </row>
    <row r="13591">
      <c r="A13591" t="n">
        <v>13590</v>
      </c>
      <c r="B13591" t="inlineStr">
        <is>
          <t>x̄MMMDXC</t>
        </is>
      </c>
      <c r="C13591">
        <f>ROMAN(13590)</f>
        <v/>
      </c>
      <c r="D13591">
        <f>IF(B13591=C13591, "YES", "WRONG")</f>
        <v/>
      </c>
    </row>
    <row r="13592">
      <c r="A13592" t="n">
        <v>13591</v>
      </c>
      <c r="B13592" t="inlineStr">
        <is>
          <t>x̄MMMDXCI</t>
        </is>
      </c>
      <c r="C13592">
        <f>ROMAN(13591)</f>
        <v/>
      </c>
      <c r="D13592">
        <f>IF(B13592=C13592, "YES", "WRONG")</f>
        <v/>
      </c>
    </row>
    <row r="13593">
      <c r="A13593" t="n">
        <v>13592</v>
      </c>
      <c r="B13593" t="inlineStr">
        <is>
          <t>x̄MMMDXCII</t>
        </is>
      </c>
      <c r="C13593">
        <f>ROMAN(13592)</f>
        <v/>
      </c>
      <c r="D13593">
        <f>IF(B13593=C13593, "YES", "WRONG")</f>
        <v/>
      </c>
    </row>
    <row r="13594">
      <c r="A13594" t="n">
        <v>13593</v>
      </c>
      <c r="B13594" t="inlineStr">
        <is>
          <t>x̄MMMDXCIII</t>
        </is>
      </c>
      <c r="C13594">
        <f>ROMAN(13593)</f>
        <v/>
      </c>
      <c r="D13594">
        <f>IF(B13594=C13594, "YES", "WRONG")</f>
        <v/>
      </c>
    </row>
    <row r="13595">
      <c r="A13595" t="n">
        <v>13594</v>
      </c>
      <c r="B13595" t="inlineStr">
        <is>
          <t>x̄MMMDXCIV</t>
        </is>
      </c>
      <c r="C13595">
        <f>ROMAN(13594)</f>
        <v/>
      </c>
      <c r="D13595">
        <f>IF(B13595=C13595, "YES", "WRONG")</f>
        <v/>
      </c>
    </row>
    <row r="13596">
      <c r="A13596" t="n">
        <v>13595</v>
      </c>
      <c r="B13596" t="inlineStr">
        <is>
          <t>x̄MMMDXCV</t>
        </is>
      </c>
      <c r="C13596">
        <f>ROMAN(13595)</f>
        <v/>
      </c>
      <c r="D13596">
        <f>IF(B13596=C13596, "YES", "WRONG")</f>
        <v/>
      </c>
    </row>
    <row r="13597">
      <c r="A13597" t="n">
        <v>13596</v>
      </c>
      <c r="B13597" t="inlineStr">
        <is>
          <t>x̄MMMDXCVI</t>
        </is>
      </c>
      <c r="C13597">
        <f>ROMAN(13596)</f>
        <v/>
      </c>
      <c r="D13597">
        <f>IF(B13597=C13597, "YES", "WRONG")</f>
        <v/>
      </c>
    </row>
    <row r="13598">
      <c r="A13598" t="n">
        <v>13597</v>
      </c>
      <c r="B13598" t="inlineStr">
        <is>
          <t>x̄MMMDXCVII</t>
        </is>
      </c>
      <c r="C13598">
        <f>ROMAN(13597)</f>
        <v/>
      </c>
      <c r="D13598">
        <f>IF(B13598=C13598, "YES", "WRONG")</f>
        <v/>
      </c>
    </row>
    <row r="13599">
      <c r="A13599" t="n">
        <v>13598</v>
      </c>
      <c r="B13599" t="inlineStr">
        <is>
          <t>x̄MMMDXCVIII</t>
        </is>
      </c>
      <c r="C13599">
        <f>ROMAN(13598)</f>
        <v/>
      </c>
      <c r="D13599">
        <f>IF(B13599=C13599, "YES", "WRONG")</f>
        <v/>
      </c>
    </row>
    <row r="13600">
      <c r="A13600" t="n">
        <v>13599</v>
      </c>
      <c r="B13600" t="inlineStr">
        <is>
          <t>x̄MMMDXCIX</t>
        </is>
      </c>
      <c r="C13600">
        <f>ROMAN(13599)</f>
        <v/>
      </c>
      <c r="D13600">
        <f>IF(B13600=C13600, "YES", "WRONG")</f>
        <v/>
      </c>
    </row>
    <row r="13601">
      <c r="A13601" t="n">
        <v>13600</v>
      </c>
      <c r="B13601" t="inlineStr">
        <is>
          <t>x̄MMMDC</t>
        </is>
      </c>
      <c r="C13601">
        <f>ROMAN(13600)</f>
        <v/>
      </c>
      <c r="D13601">
        <f>IF(B13601=C13601, "YES", "WRONG")</f>
        <v/>
      </c>
    </row>
    <row r="13602">
      <c r="A13602" t="n">
        <v>13601</v>
      </c>
      <c r="B13602" t="inlineStr">
        <is>
          <t>x̄MMMDCI</t>
        </is>
      </c>
      <c r="C13602">
        <f>ROMAN(13601)</f>
        <v/>
      </c>
      <c r="D13602">
        <f>IF(B13602=C13602, "YES", "WRONG")</f>
        <v/>
      </c>
    </row>
    <row r="13603">
      <c r="A13603" t="n">
        <v>13602</v>
      </c>
      <c r="B13603" t="inlineStr">
        <is>
          <t>x̄MMMDCII</t>
        </is>
      </c>
      <c r="C13603">
        <f>ROMAN(13602)</f>
        <v/>
      </c>
      <c r="D13603">
        <f>IF(B13603=C13603, "YES", "WRONG")</f>
        <v/>
      </c>
    </row>
    <row r="13604">
      <c r="A13604" t="n">
        <v>13603</v>
      </c>
      <c r="B13604" t="inlineStr">
        <is>
          <t>x̄MMMDCIII</t>
        </is>
      </c>
      <c r="C13604">
        <f>ROMAN(13603)</f>
        <v/>
      </c>
      <c r="D13604">
        <f>IF(B13604=C13604, "YES", "WRONG")</f>
        <v/>
      </c>
    </row>
    <row r="13605">
      <c r="A13605" t="n">
        <v>13604</v>
      </c>
      <c r="B13605" t="inlineStr">
        <is>
          <t>x̄MMMDCIV</t>
        </is>
      </c>
      <c r="C13605">
        <f>ROMAN(13604)</f>
        <v/>
      </c>
      <c r="D13605">
        <f>IF(B13605=C13605, "YES", "WRONG")</f>
        <v/>
      </c>
    </row>
    <row r="13606">
      <c r="A13606" t="n">
        <v>13605</v>
      </c>
      <c r="B13606" t="inlineStr">
        <is>
          <t>x̄MMMDCV</t>
        </is>
      </c>
      <c r="C13606">
        <f>ROMAN(13605)</f>
        <v/>
      </c>
      <c r="D13606">
        <f>IF(B13606=C13606, "YES", "WRONG")</f>
        <v/>
      </c>
    </row>
    <row r="13607">
      <c r="A13607" t="n">
        <v>13606</v>
      </c>
      <c r="B13607" t="inlineStr">
        <is>
          <t>x̄MMMDCVI</t>
        </is>
      </c>
      <c r="C13607">
        <f>ROMAN(13606)</f>
        <v/>
      </c>
      <c r="D13607">
        <f>IF(B13607=C13607, "YES", "WRONG")</f>
        <v/>
      </c>
    </row>
    <row r="13608">
      <c r="A13608" t="n">
        <v>13607</v>
      </c>
      <c r="B13608" t="inlineStr">
        <is>
          <t>x̄MMMDCVII</t>
        </is>
      </c>
      <c r="C13608">
        <f>ROMAN(13607)</f>
        <v/>
      </c>
      <c r="D13608">
        <f>IF(B13608=C13608, "YES", "WRONG")</f>
        <v/>
      </c>
    </row>
    <row r="13609">
      <c r="A13609" t="n">
        <v>13608</v>
      </c>
      <c r="B13609" t="inlineStr">
        <is>
          <t>x̄MMMDCVIII</t>
        </is>
      </c>
      <c r="C13609">
        <f>ROMAN(13608)</f>
        <v/>
      </c>
      <c r="D13609">
        <f>IF(B13609=C13609, "YES", "WRONG")</f>
        <v/>
      </c>
    </row>
    <row r="13610">
      <c r="A13610" t="n">
        <v>13609</v>
      </c>
      <c r="B13610" t="inlineStr">
        <is>
          <t>x̄MMMDCIX</t>
        </is>
      </c>
      <c r="C13610">
        <f>ROMAN(13609)</f>
        <v/>
      </c>
      <c r="D13610">
        <f>IF(B13610=C13610, "YES", "WRONG")</f>
        <v/>
      </c>
    </row>
    <row r="13611">
      <c r="A13611" t="n">
        <v>13610</v>
      </c>
      <c r="B13611" t="inlineStr">
        <is>
          <t>x̄MMMDCX</t>
        </is>
      </c>
      <c r="C13611">
        <f>ROMAN(13610)</f>
        <v/>
      </c>
      <c r="D13611">
        <f>IF(B13611=C13611, "YES", "WRONG")</f>
        <v/>
      </c>
    </row>
    <row r="13612">
      <c r="A13612" t="n">
        <v>13611</v>
      </c>
      <c r="B13612" t="inlineStr">
        <is>
          <t>x̄MMMDCXI</t>
        </is>
      </c>
      <c r="C13612">
        <f>ROMAN(13611)</f>
        <v/>
      </c>
      <c r="D13612">
        <f>IF(B13612=C13612, "YES", "WRONG")</f>
        <v/>
      </c>
    </row>
    <row r="13613">
      <c r="A13613" t="n">
        <v>13612</v>
      </c>
      <c r="B13613" t="inlineStr">
        <is>
          <t>x̄MMMDCXII</t>
        </is>
      </c>
      <c r="C13613">
        <f>ROMAN(13612)</f>
        <v/>
      </c>
      <c r="D13613">
        <f>IF(B13613=C13613, "YES", "WRONG")</f>
        <v/>
      </c>
    </row>
    <row r="13614">
      <c r="A13614" t="n">
        <v>13613</v>
      </c>
      <c r="B13614" t="inlineStr">
        <is>
          <t>x̄MMMDCXIII</t>
        </is>
      </c>
      <c r="C13614">
        <f>ROMAN(13613)</f>
        <v/>
      </c>
      <c r="D13614">
        <f>IF(B13614=C13614, "YES", "WRONG")</f>
        <v/>
      </c>
    </row>
    <row r="13615">
      <c r="A13615" t="n">
        <v>13614</v>
      </c>
      <c r="B13615" t="inlineStr">
        <is>
          <t>x̄MMMDCXIV</t>
        </is>
      </c>
      <c r="C13615">
        <f>ROMAN(13614)</f>
        <v/>
      </c>
      <c r="D13615">
        <f>IF(B13615=C13615, "YES", "WRONG")</f>
        <v/>
      </c>
    </row>
    <row r="13616">
      <c r="A13616" t="n">
        <v>13615</v>
      </c>
      <c r="B13616" t="inlineStr">
        <is>
          <t>x̄MMMDCXV</t>
        </is>
      </c>
      <c r="C13616">
        <f>ROMAN(13615)</f>
        <v/>
      </c>
      <c r="D13616">
        <f>IF(B13616=C13616, "YES", "WRONG")</f>
        <v/>
      </c>
    </row>
    <row r="13617">
      <c r="A13617" t="n">
        <v>13616</v>
      </c>
      <c r="B13617" t="inlineStr">
        <is>
          <t>x̄MMMDCXVI</t>
        </is>
      </c>
      <c r="C13617">
        <f>ROMAN(13616)</f>
        <v/>
      </c>
      <c r="D13617">
        <f>IF(B13617=C13617, "YES", "WRONG")</f>
        <v/>
      </c>
    </row>
    <row r="13618">
      <c r="A13618" t="n">
        <v>13617</v>
      </c>
      <c r="B13618" t="inlineStr">
        <is>
          <t>x̄MMMDCXVII</t>
        </is>
      </c>
      <c r="C13618">
        <f>ROMAN(13617)</f>
        <v/>
      </c>
      <c r="D13618">
        <f>IF(B13618=C13618, "YES", "WRONG")</f>
        <v/>
      </c>
    </row>
    <row r="13619">
      <c r="A13619" t="n">
        <v>13618</v>
      </c>
      <c r="B13619" t="inlineStr">
        <is>
          <t>x̄MMMDCXVIII</t>
        </is>
      </c>
      <c r="C13619">
        <f>ROMAN(13618)</f>
        <v/>
      </c>
      <c r="D13619">
        <f>IF(B13619=C13619, "YES", "WRONG")</f>
        <v/>
      </c>
    </row>
    <row r="13620">
      <c r="A13620" t="n">
        <v>13619</v>
      </c>
      <c r="B13620" t="inlineStr">
        <is>
          <t>x̄MMMDCXIX</t>
        </is>
      </c>
      <c r="C13620">
        <f>ROMAN(13619)</f>
        <v/>
      </c>
      <c r="D13620">
        <f>IF(B13620=C13620, "YES", "WRONG")</f>
        <v/>
      </c>
    </row>
    <row r="13621">
      <c r="A13621" t="n">
        <v>13620</v>
      </c>
      <c r="B13621" t="inlineStr">
        <is>
          <t>x̄MMMDCXX</t>
        </is>
      </c>
      <c r="C13621">
        <f>ROMAN(13620)</f>
        <v/>
      </c>
      <c r="D13621">
        <f>IF(B13621=C13621, "YES", "WRONG")</f>
        <v/>
      </c>
    </row>
    <row r="13622">
      <c r="A13622" t="n">
        <v>13621</v>
      </c>
      <c r="B13622" t="inlineStr">
        <is>
          <t>x̄MMMDCXXI</t>
        </is>
      </c>
      <c r="C13622">
        <f>ROMAN(13621)</f>
        <v/>
      </c>
      <c r="D13622">
        <f>IF(B13622=C13622, "YES", "WRONG")</f>
        <v/>
      </c>
    </row>
    <row r="13623">
      <c r="A13623" t="n">
        <v>13622</v>
      </c>
      <c r="B13623" t="inlineStr">
        <is>
          <t>x̄MMMDCXXII</t>
        </is>
      </c>
      <c r="C13623">
        <f>ROMAN(13622)</f>
        <v/>
      </c>
      <c r="D13623">
        <f>IF(B13623=C13623, "YES", "WRONG")</f>
        <v/>
      </c>
    </row>
    <row r="13624">
      <c r="A13624" t="n">
        <v>13623</v>
      </c>
      <c r="B13624" t="inlineStr">
        <is>
          <t>x̄MMMDCXXIII</t>
        </is>
      </c>
      <c r="C13624">
        <f>ROMAN(13623)</f>
        <v/>
      </c>
      <c r="D13624">
        <f>IF(B13624=C13624, "YES", "WRONG")</f>
        <v/>
      </c>
    </row>
    <row r="13625">
      <c r="A13625" t="n">
        <v>13624</v>
      </c>
      <c r="B13625" t="inlineStr">
        <is>
          <t>x̄MMMDCXXIV</t>
        </is>
      </c>
      <c r="C13625">
        <f>ROMAN(13624)</f>
        <v/>
      </c>
      <c r="D13625">
        <f>IF(B13625=C13625, "YES", "WRONG")</f>
        <v/>
      </c>
    </row>
    <row r="13626">
      <c r="A13626" t="n">
        <v>13625</v>
      </c>
      <c r="B13626" t="inlineStr">
        <is>
          <t>x̄MMMDCXXV</t>
        </is>
      </c>
      <c r="C13626">
        <f>ROMAN(13625)</f>
        <v/>
      </c>
      <c r="D13626">
        <f>IF(B13626=C13626, "YES", "WRONG")</f>
        <v/>
      </c>
    </row>
    <row r="13627">
      <c r="A13627" t="n">
        <v>13626</v>
      </c>
      <c r="B13627" t="inlineStr">
        <is>
          <t>x̄MMMDCXXVI</t>
        </is>
      </c>
      <c r="C13627">
        <f>ROMAN(13626)</f>
        <v/>
      </c>
      <c r="D13627">
        <f>IF(B13627=C13627, "YES", "WRONG")</f>
        <v/>
      </c>
    </row>
    <row r="13628">
      <c r="A13628" t="n">
        <v>13627</v>
      </c>
      <c r="B13628" t="inlineStr">
        <is>
          <t>x̄MMMDCXXVII</t>
        </is>
      </c>
      <c r="C13628">
        <f>ROMAN(13627)</f>
        <v/>
      </c>
      <c r="D13628">
        <f>IF(B13628=C13628, "YES", "WRONG")</f>
        <v/>
      </c>
    </row>
    <row r="13629">
      <c r="A13629" t="n">
        <v>13628</v>
      </c>
      <c r="B13629" t="inlineStr">
        <is>
          <t>x̄MMMDCXXVIII</t>
        </is>
      </c>
      <c r="C13629">
        <f>ROMAN(13628)</f>
        <v/>
      </c>
      <c r="D13629">
        <f>IF(B13629=C13629, "YES", "WRONG")</f>
        <v/>
      </c>
    </row>
    <row r="13630">
      <c r="A13630" t="n">
        <v>13629</v>
      </c>
      <c r="B13630" t="inlineStr">
        <is>
          <t>x̄MMMDCXXIX</t>
        </is>
      </c>
      <c r="C13630">
        <f>ROMAN(13629)</f>
        <v/>
      </c>
      <c r="D13630">
        <f>IF(B13630=C13630, "YES", "WRONG")</f>
        <v/>
      </c>
    </row>
    <row r="13631">
      <c r="A13631" t="n">
        <v>13630</v>
      </c>
      <c r="B13631" t="inlineStr">
        <is>
          <t>x̄MMMDCXXX</t>
        </is>
      </c>
      <c r="C13631">
        <f>ROMAN(13630)</f>
        <v/>
      </c>
      <c r="D13631">
        <f>IF(B13631=C13631, "YES", "WRONG")</f>
        <v/>
      </c>
    </row>
    <row r="13632">
      <c r="A13632" t="n">
        <v>13631</v>
      </c>
      <c r="B13632" t="inlineStr">
        <is>
          <t>x̄MMMDCXXXI</t>
        </is>
      </c>
      <c r="C13632">
        <f>ROMAN(13631)</f>
        <v/>
      </c>
      <c r="D13632">
        <f>IF(B13632=C13632, "YES", "WRONG")</f>
        <v/>
      </c>
    </row>
    <row r="13633">
      <c r="A13633" t="n">
        <v>13632</v>
      </c>
      <c r="B13633" t="inlineStr">
        <is>
          <t>x̄MMMDCXXXII</t>
        </is>
      </c>
      <c r="C13633">
        <f>ROMAN(13632)</f>
        <v/>
      </c>
      <c r="D13633">
        <f>IF(B13633=C13633, "YES", "WRONG")</f>
        <v/>
      </c>
    </row>
    <row r="13634">
      <c r="A13634" t="n">
        <v>13633</v>
      </c>
      <c r="B13634" t="inlineStr">
        <is>
          <t>x̄MMMDCXXXIII</t>
        </is>
      </c>
      <c r="C13634">
        <f>ROMAN(13633)</f>
        <v/>
      </c>
      <c r="D13634">
        <f>IF(B13634=C13634, "YES", "WRONG")</f>
        <v/>
      </c>
    </row>
    <row r="13635">
      <c r="A13635" t="n">
        <v>13634</v>
      </c>
      <c r="B13635" t="inlineStr">
        <is>
          <t>x̄MMMDCXXXIV</t>
        </is>
      </c>
      <c r="C13635">
        <f>ROMAN(13634)</f>
        <v/>
      </c>
      <c r="D13635">
        <f>IF(B13635=C13635, "YES", "WRONG")</f>
        <v/>
      </c>
    </row>
    <row r="13636">
      <c r="A13636" t="n">
        <v>13635</v>
      </c>
      <c r="B13636" t="inlineStr">
        <is>
          <t>x̄MMMDCXXXV</t>
        </is>
      </c>
      <c r="C13636">
        <f>ROMAN(13635)</f>
        <v/>
      </c>
      <c r="D13636">
        <f>IF(B13636=C13636, "YES", "WRONG")</f>
        <v/>
      </c>
    </row>
    <row r="13637">
      <c r="A13637" t="n">
        <v>13636</v>
      </c>
      <c r="B13637" t="inlineStr">
        <is>
          <t>x̄MMMDCXXXVI</t>
        </is>
      </c>
      <c r="C13637">
        <f>ROMAN(13636)</f>
        <v/>
      </c>
      <c r="D13637">
        <f>IF(B13637=C13637, "YES", "WRONG")</f>
        <v/>
      </c>
    </row>
    <row r="13638">
      <c r="A13638" t="n">
        <v>13637</v>
      </c>
      <c r="B13638" t="inlineStr">
        <is>
          <t>x̄MMMDCXXXVII</t>
        </is>
      </c>
      <c r="C13638">
        <f>ROMAN(13637)</f>
        <v/>
      </c>
      <c r="D13638">
        <f>IF(B13638=C13638, "YES", "WRONG")</f>
        <v/>
      </c>
    </row>
    <row r="13639">
      <c r="A13639" t="n">
        <v>13638</v>
      </c>
      <c r="B13639" t="inlineStr">
        <is>
          <t>x̄MMMDCXXXVIII</t>
        </is>
      </c>
      <c r="C13639">
        <f>ROMAN(13638)</f>
        <v/>
      </c>
      <c r="D13639">
        <f>IF(B13639=C13639, "YES", "WRONG")</f>
        <v/>
      </c>
    </row>
    <row r="13640">
      <c r="A13640" t="n">
        <v>13639</v>
      </c>
      <c r="B13640" t="inlineStr">
        <is>
          <t>x̄MMMDCXXXIX</t>
        </is>
      </c>
      <c r="C13640">
        <f>ROMAN(13639)</f>
        <v/>
      </c>
      <c r="D13640">
        <f>IF(B13640=C13640, "YES", "WRONG")</f>
        <v/>
      </c>
    </row>
    <row r="13641">
      <c r="A13641" t="n">
        <v>13640</v>
      </c>
      <c r="B13641" t="inlineStr">
        <is>
          <t>x̄MMMDCXL</t>
        </is>
      </c>
      <c r="C13641">
        <f>ROMAN(13640)</f>
        <v/>
      </c>
      <c r="D13641">
        <f>IF(B13641=C13641, "YES", "WRONG")</f>
        <v/>
      </c>
    </row>
    <row r="13642">
      <c r="A13642" t="n">
        <v>13641</v>
      </c>
      <c r="B13642" t="inlineStr">
        <is>
          <t>x̄MMMDCXLI</t>
        </is>
      </c>
      <c r="C13642">
        <f>ROMAN(13641)</f>
        <v/>
      </c>
      <c r="D13642">
        <f>IF(B13642=C13642, "YES", "WRONG")</f>
        <v/>
      </c>
    </row>
    <row r="13643">
      <c r="A13643" t="n">
        <v>13642</v>
      </c>
      <c r="B13643" t="inlineStr">
        <is>
          <t>x̄MMMDCXLII</t>
        </is>
      </c>
      <c r="C13643">
        <f>ROMAN(13642)</f>
        <v/>
      </c>
      <c r="D13643">
        <f>IF(B13643=C13643, "YES", "WRONG")</f>
        <v/>
      </c>
    </row>
    <row r="13644">
      <c r="A13644" t="n">
        <v>13643</v>
      </c>
      <c r="B13644" t="inlineStr">
        <is>
          <t>x̄MMMDCXLIII</t>
        </is>
      </c>
      <c r="C13644">
        <f>ROMAN(13643)</f>
        <v/>
      </c>
      <c r="D13644">
        <f>IF(B13644=C13644, "YES", "WRONG")</f>
        <v/>
      </c>
    </row>
    <row r="13645">
      <c r="A13645" t="n">
        <v>13644</v>
      </c>
      <c r="B13645" t="inlineStr">
        <is>
          <t>x̄MMMDCXLIV</t>
        </is>
      </c>
      <c r="C13645">
        <f>ROMAN(13644)</f>
        <v/>
      </c>
      <c r="D13645">
        <f>IF(B13645=C13645, "YES", "WRONG")</f>
        <v/>
      </c>
    </row>
    <row r="13646">
      <c r="A13646" t="n">
        <v>13645</v>
      </c>
      <c r="B13646" t="inlineStr">
        <is>
          <t>x̄MMMDCXLV</t>
        </is>
      </c>
      <c r="C13646">
        <f>ROMAN(13645)</f>
        <v/>
      </c>
      <c r="D13646">
        <f>IF(B13646=C13646, "YES", "WRONG")</f>
        <v/>
      </c>
    </row>
    <row r="13647">
      <c r="A13647" t="n">
        <v>13646</v>
      </c>
      <c r="B13647" t="inlineStr">
        <is>
          <t>x̄MMMDCXLVI</t>
        </is>
      </c>
      <c r="C13647">
        <f>ROMAN(13646)</f>
        <v/>
      </c>
      <c r="D13647">
        <f>IF(B13647=C13647, "YES", "WRONG")</f>
        <v/>
      </c>
    </row>
    <row r="13648">
      <c r="A13648" t="n">
        <v>13647</v>
      </c>
      <c r="B13648" t="inlineStr">
        <is>
          <t>x̄MMMDCXLVII</t>
        </is>
      </c>
      <c r="C13648">
        <f>ROMAN(13647)</f>
        <v/>
      </c>
      <c r="D13648">
        <f>IF(B13648=C13648, "YES", "WRONG")</f>
        <v/>
      </c>
    </row>
    <row r="13649">
      <c r="A13649" t="n">
        <v>13648</v>
      </c>
      <c r="B13649" t="inlineStr">
        <is>
          <t>x̄MMMDCXLVIII</t>
        </is>
      </c>
      <c r="C13649">
        <f>ROMAN(13648)</f>
        <v/>
      </c>
      <c r="D13649">
        <f>IF(B13649=C13649, "YES", "WRONG")</f>
        <v/>
      </c>
    </row>
    <row r="13650">
      <c r="A13650" t="n">
        <v>13649</v>
      </c>
      <c r="B13650" t="inlineStr">
        <is>
          <t>x̄MMMDCXLIX</t>
        </is>
      </c>
      <c r="C13650">
        <f>ROMAN(13649)</f>
        <v/>
      </c>
      <c r="D13650">
        <f>IF(B13650=C13650, "YES", "WRONG")</f>
        <v/>
      </c>
    </row>
    <row r="13651">
      <c r="A13651" t="n">
        <v>13650</v>
      </c>
      <c r="B13651" t="inlineStr">
        <is>
          <t>x̄MMMDCL</t>
        </is>
      </c>
      <c r="C13651">
        <f>ROMAN(13650)</f>
        <v/>
      </c>
      <c r="D13651">
        <f>IF(B13651=C13651, "YES", "WRONG")</f>
        <v/>
      </c>
    </row>
    <row r="13652">
      <c r="A13652" t="n">
        <v>13651</v>
      </c>
      <c r="B13652" t="inlineStr">
        <is>
          <t>x̄MMMDCLI</t>
        </is>
      </c>
      <c r="C13652">
        <f>ROMAN(13651)</f>
        <v/>
      </c>
      <c r="D13652">
        <f>IF(B13652=C13652, "YES", "WRONG")</f>
        <v/>
      </c>
    </row>
    <row r="13653">
      <c r="A13653" t="n">
        <v>13652</v>
      </c>
      <c r="B13653" t="inlineStr">
        <is>
          <t>x̄MMMDCLII</t>
        </is>
      </c>
      <c r="C13653">
        <f>ROMAN(13652)</f>
        <v/>
      </c>
      <c r="D13653">
        <f>IF(B13653=C13653, "YES", "WRONG")</f>
        <v/>
      </c>
    </row>
    <row r="13654">
      <c r="A13654" t="n">
        <v>13653</v>
      </c>
      <c r="B13654" t="inlineStr">
        <is>
          <t>x̄MMMDCLIII</t>
        </is>
      </c>
      <c r="C13654">
        <f>ROMAN(13653)</f>
        <v/>
      </c>
      <c r="D13654">
        <f>IF(B13654=C13654, "YES", "WRONG")</f>
        <v/>
      </c>
    </row>
    <row r="13655">
      <c r="A13655" t="n">
        <v>13654</v>
      </c>
      <c r="B13655" t="inlineStr">
        <is>
          <t>x̄MMMDCLIV</t>
        </is>
      </c>
      <c r="C13655">
        <f>ROMAN(13654)</f>
        <v/>
      </c>
      <c r="D13655">
        <f>IF(B13655=C13655, "YES", "WRONG")</f>
        <v/>
      </c>
    </row>
    <row r="13656">
      <c r="A13656" t="n">
        <v>13655</v>
      </c>
      <c r="B13656" t="inlineStr">
        <is>
          <t>x̄MMMDCLV</t>
        </is>
      </c>
      <c r="C13656">
        <f>ROMAN(13655)</f>
        <v/>
      </c>
      <c r="D13656">
        <f>IF(B13656=C13656, "YES", "WRONG")</f>
        <v/>
      </c>
    </row>
    <row r="13657">
      <c r="A13657" t="n">
        <v>13656</v>
      </c>
      <c r="B13657" t="inlineStr">
        <is>
          <t>x̄MMMDCLVI</t>
        </is>
      </c>
      <c r="C13657">
        <f>ROMAN(13656)</f>
        <v/>
      </c>
      <c r="D13657">
        <f>IF(B13657=C13657, "YES", "WRONG")</f>
        <v/>
      </c>
    </row>
    <row r="13658">
      <c r="A13658" t="n">
        <v>13657</v>
      </c>
      <c r="B13658" t="inlineStr">
        <is>
          <t>x̄MMMDCLVII</t>
        </is>
      </c>
      <c r="C13658">
        <f>ROMAN(13657)</f>
        <v/>
      </c>
      <c r="D13658">
        <f>IF(B13658=C13658, "YES", "WRONG")</f>
        <v/>
      </c>
    </row>
    <row r="13659">
      <c r="A13659" t="n">
        <v>13658</v>
      </c>
      <c r="B13659" t="inlineStr">
        <is>
          <t>x̄MMMDCLVIII</t>
        </is>
      </c>
      <c r="C13659">
        <f>ROMAN(13658)</f>
        <v/>
      </c>
      <c r="D13659">
        <f>IF(B13659=C13659, "YES", "WRONG")</f>
        <v/>
      </c>
    </row>
    <row r="13660">
      <c r="A13660" t="n">
        <v>13659</v>
      </c>
      <c r="B13660" t="inlineStr">
        <is>
          <t>x̄MMMDCLIX</t>
        </is>
      </c>
      <c r="C13660">
        <f>ROMAN(13659)</f>
        <v/>
      </c>
      <c r="D13660">
        <f>IF(B13660=C13660, "YES", "WRONG")</f>
        <v/>
      </c>
    </row>
    <row r="13661">
      <c r="A13661" t="n">
        <v>13660</v>
      </c>
      <c r="B13661" t="inlineStr">
        <is>
          <t>x̄MMMDCLX</t>
        </is>
      </c>
      <c r="C13661">
        <f>ROMAN(13660)</f>
        <v/>
      </c>
      <c r="D13661">
        <f>IF(B13661=C13661, "YES", "WRONG")</f>
        <v/>
      </c>
    </row>
    <row r="13662">
      <c r="A13662" t="n">
        <v>13661</v>
      </c>
      <c r="B13662" t="inlineStr">
        <is>
          <t>x̄MMMDCLXI</t>
        </is>
      </c>
      <c r="C13662">
        <f>ROMAN(13661)</f>
        <v/>
      </c>
      <c r="D13662">
        <f>IF(B13662=C13662, "YES", "WRONG")</f>
        <v/>
      </c>
    </row>
    <row r="13663">
      <c r="A13663" t="n">
        <v>13662</v>
      </c>
      <c r="B13663" t="inlineStr">
        <is>
          <t>x̄MMMDCLXII</t>
        </is>
      </c>
      <c r="C13663">
        <f>ROMAN(13662)</f>
        <v/>
      </c>
      <c r="D13663">
        <f>IF(B13663=C13663, "YES", "WRONG")</f>
        <v/>
      </c>
    </row>
    <row r="13664">
      <c r="A13664" t="n">
        <v>13663</v>
      </c>
      <c r="B13664" t="inlineStr">
        <is>
          <t>x̄MMMDCLXIII</t>
        </is>
      </c>
      <c r="C13664">
        <f>ROMAN(13663)</f>
        <v/>
      </c>
      <c r="D13664">
        <f>IF(B13664=C13664, "YES", "WRONG")</f>
        <v/>
      </c>
    </row>
    <row r="13665">
      <c r="A13665" t="n">
        <v>13664</v>
      </c>
      <c r="B13665" t="inlineStr">
        <is>
          <t>x̄MMMDCLXIV</t>
        </is>
      </c>
      <c r="C13665">
        <f>ROMAN(13664)</f>
        <v/>
      </c>
      <c r="D13665">
        <f>IF(B13665=C13665, "YES", "WRONG")</f>
        <v/>
      </c>
    </row>
    <row r="13666">
      <c r="A13666" t="n">
        <v>13665</v>
      </c>
      <c r="B13666" t="inlineStr">
        <is>
          <t>x̄MMMDCLXV</t>
        </is>
      </c>
      <c r="C13666">
        <f>ROMAN(13665)</f>
        <v/>
      </c>
      <c r="D13666">
        <f>IF(B13666=C13666, "YES", "WRONG")</f>
        <v/>
      </c>
    </row>
    <row r="13667">
      <c r="A13667" t="n">
        <v>13666</v>
      </c>
      <c r="B13667" t="inlineStr">
        <is>
          <t>x̄MMMDCLXVI</t>
        </is>
      </c>
      <c r="C13667">
        <f>ROMAN(13666)</f>
        <v/>
      </c>
      <c r="D13667">
        <f>IF(B13667=C13667, "YES", "WRONG")</f>
        <v/>
      </c>
    </row>
    <row r="13668">
      <c r="A13668" t="n">
        <v>13667</v>
      </c>
      <c r="B13668" t="inlineStr">
        <is>
          <t>x̄MMMDCLXVII</t>
        </is>
      </c>
      <c r="C13668">
        <f>ROMAN(13667)</f>
        <v/>
      </c>
      <c r="D13668">
        <f>IF(B13668=C13668, "YES", "WRONG")</f>
        <v/>
      </c>
    </row>
    <row r="13669">
      <c r="A13669" t="n">
        <v>13668</v>
      </c>
      <c r="B13669" t="inlineStr">
        <is>
          <t>x̄MMMDCLXVIII</t>
        </is>
      </c>
      <c r="C13669">
        <f>ROMAN(13668)</f>
        <v/>
      </c>
      <c r="D13669">
        <f>IF(B13669=C13669, "YES", "WRONG")</f>
        <v/>
      </c>
    </row>
    <row r="13670">
      <c r="A13670" t="n">
        <v>13669</v>
      </c>
      <c r="B13670" t="inlineStr">
        <is>
          <t>x̄MMMDCLXIX</t>
        </is>
      </c>
      <c r="C13670">
        <f>ROMAN(13669)</f>
        <v/>
      </c>
      <c r="D13670">
        <f>IF(B13670=C13670, "YES", "WRONG")</f>
        <v/>
      </c>
    </row>
    <row r="13671">
      <c r="A13671" t="n">
        <v>13670</v>
      </c>
      <c r="B13671" t="inlineStr">
        <is>
          <t>x̄MMMDCLXX</t>
        </is>
      </c>
      <c r="C13671">
        <f>ROMAN(13670)</f>
        <v/>
      </c>
      <c r="D13671">
        <f>IF(B13671=C13671, "YES", "WRONG")</f>
        <v/>
      </c>
    </row>
    <row r="13672">
      <c r="A13672" t="n">
        <v>13671</v>
      </c>
      <c r="B13672" t="inlineStr">
        <is>
          <t>x̄MMMDCLXXI</t>
        </is>
      </c>
      <c r="C13672">
        <f>ROMAN(13671)</f>
        <v/>
      </c>
      <c r="D13672">
        <f>IF(B13672=C13672, "YES", "WRONG")</f>
        <v/>
      </c>
    </row>
    <row r="13673">
      <c r="A13673" t="n">
        <v>13672</v>
      </c>
      <c r="B13673" t="inlineStr">
        <is>
          <t>x̄MMMDCLXXII</t>
        </is>
      </c>
      <c r="C13673">
        <f>ROMAN(13672)</f>
        <v/>
      </c>
      <c r="D13673">
        <f>IF(B13673=C13673, "YES", "WRONG")</f>
        <v/>
      </c>
    </row>
    <row r="13674">
      <c r="A13674" t="n">
        <v>13673</v>
      </c>
      <c r="B13674" t="inlineStr">
        <is>
          <t>x̄MMMDCLXXIII</t>
        </is>
      </c>
      <c r="C13674">
        <f>ROMAN(13673)</f>
        <v/>
      </c>
      <c r="D13674">
        <f>IF(B13674=C13674, "YES", "WRONG")</f>
        <v/>
      </c>
    </row>
    <row r="13675">
      <c r="A13675" t="n">
        <v>13674</v>
      </c>
      <c r="B13675" t="inlineStr">
        <is>
          <t>x̄MMMDCLXXIV</t>
        </is>
      </c>
      <c r="C13675">
        <f>ROMAN(13674)</f>
        <v/>
      </c>
      <c r="D13675">
        <f>IF(B13675=C13675, "YES", "WRONG")</f>
        <v/>
      </c>
    </row>
    <row r="13676">
      <c r="A13676" t="n">
        <v>13675</v>
      </c>
      <c r="B13676" t="inlineStr">
        <is>
          <t>x̄MMMDCLXXV</t>
        </is>
      </c>
      <c r="C13676">
        <f>ROMAN(13675)</f>
        <v/>
      </c>
      <c r="D13676">
        <f>IF(B13676=C13676, "YES", "WRONG")</f>
        <v/>
      </c>
    </row>
    <row r="13677">
      <c r="A13677" t="n">
        <v>13676</v>
      </c>
      <c r="B13677" t="inlineStr">
        <is>
          <t>x̄MMMDCLXXVI</t>
        </is>
      </c>
      <c r="C13677">
        <f>ROMAN(13676)</f>
        <v/>
      </c>
      <c r="D13677">
        <f>IF(B13677=C13677, "YES", "WRONG")</f>
        <v/>
      </c>
    </row>
    <row r="13678">
      <c r="A13678" t="n">
        <v>13677</v>
      </c>
      <c r="B13678" t="inlineStr">
        <is>
          <t>x̄MMMDCLXXVII</t>
        </is>
      </c>
      <c r="C13678">
        <f>ROMAN(13677)</f>
        <v/>
      </c>
      <c r="D13678">
        <f>IF(B13678=C13678, "YES", "WRONG")</f>
        <v/>
      </c>
    </row>
    <row r="13679">
      <c r="A13679" t="n">
        <v>13678</v>
      </c>
      <c r="B13679" t="inlineStr">
        <is>
          <t>x̄MMMDCLXXVIII</t>
        </is>
      </c>
      <c r="C13679">
        <f>ROMAN(13678)</f>
        <v/>
      </c>
      <c r="D13679">
        <f>IF(B13679=C13679, "YES", "WRONG")</f>
        <v/>
      </c>
    </row>
    <row r="13680">
      <c r="A13680" t="n">
        <v>13679</v>
      </c>
      <c r="B13680" t="inlineStr">
        <is>
          <t>x̄MMMDCLXXIX</t>
        </is>
      </c>
      <c r="C13680">
        <f>ROMAN(13679)</f>
        <v/>
      </c>
      <c r="D13680">
        <f>IF(B13680=C13680, "YES", "WRONG")</f>
        <v/>
      </c>
    </row>
    <row r="13681">
      <c r="A13681" t="n">
        <v>13680</v>
      </c>
      <c r="B13681" t="inlineStr">
        <is>
          <t>x̄MMMDCLXXX</t>
        </is>
      </c>
      <c r="C13681">
        <f>ROMAN(13680)</f>
        <v/>
      </c>
      <c r="D13681">
        <f>IF(B13681=C13681, "YES", "WRONG")</f>
        <v/>
      </c>
    </row>
    <row r="13682">
      <c r="A13682" t="n">
        <v>13681</v>
      </c>
      <c r="B13682" t="inlineStr">
        <is>
          <t>x̄MMMDCLXXXI</t>
        </is>
      </c>
      <c r="C13682">
        <f>ROMAN(13681)</f>
        <v/>
      </c>
      <c r="D13682">
        <f>IF(B13682=C13682, "YES", "WRONG")</f>
        <v/>
      </c>
    </row>
    <row r="13683">
      <c r="A13683" t="n">
        <v>13682</v>
      </c>
      <c r="B13683" t="inlineStr">
        <is>
          <t>x̄MMMDCLXXXII</t>
        </is>
      </c>
      <c r="C13683">
        <f>ROMAN(13682)</f>
        <v/>
      </c>
      <c r="D13683">
        <f>IF(B13683=C13683, "YES", "WRONG")</f>
        <v/>
      </c>
    </row>
    <row r="13684">
      <c r="A13684" t="n">
        <v>13683</v>
      </c>
      <c r="B13684" t="inlineStr">
        <is>
          <t>x̄MMMDCLXXXIII</t>
        </is>
      </c>
      <c r="C13684">
        <f>ROMAN(13683)</f>
        <v/>
      </c>
      <c r="D13684">
        <f>IF(B13684=C13684, "YES", "WRONG")</f>
        <v/>
      </c>
    </row>
    <row r="13685">
      <c r="A13685" t="n">
        <v>13684</v>
      </c>
      <c r="B13685" t="inlineStr">
        <is>
          <t>x̄MMMDCLXXXIV</t>
        </is>
      </c>
      <c r="C13685">
        <f>ROMAN(13684)</f>
        <v/>
      </c>
      <c r="D13685">
        <f>IF(B13685=C13685, "YES", "WRONG")</f>
        <v/>
      </c>
    </row>
    <row r="13686">
      <c r="A13686" t="n">
        <v>13685</v>
      </c>
      <c r="B13686" t="inlineStr">
        <is>
          <t>x̄MMMDCLXXXV</t>
        </is>
      </c>
      <c r="C13686">
        <f>ROMAN(13685)</f>
        <v/>
      </c>
      <c r="D13686">
        <f>IF(B13686=C13686, "YES", "WRONG")</f>
        <v/>
      </c>
    </row>
    <row r="13687">
      <c r="A13687" t="n">
        <v>13686</v>
      </c>
      <c r="B13687" t="inlineStr">
        <is>
          <t>x̄MMMDCLXXXVI</t>
        </is>
      </c>
      <c r="C13687">
        <f>ROMAN(13686)</f>
        <v/>
      </c>
      <c r="D13687">
        <f>IF(B13687=C13687, "YES", "WRONG")</f>
        <v/>
      </c>
    </row>
    <row r="13688">
      <c r="A13688" t="n">
        <v>13687</v>
      </c>
      <c r="B13688" t="inlineStr">
        <is>
          <t>x̄MMMDCLXXXVII</t>
        </is>
      </c>
      <c r="C13688">
        <f>ROMAN(13687)</f>
        <v/>
      </c>
      <c r="D13688">
        <f>IF(B13688=C13688, "YES", "WRONG")</f>
        <v/>
      </c>
    </row>
    <row r="13689">
      <c r="A13689" t="n">
        <v>13688</v>
      </c>
      <c r="B13689" t="inlineStr">
        <is>
          <t>x̄MMMDCLXXXVIII</t>
        </is>
      </c>
      <c r="C13689">
        <f>ROMAN(13688)</f>
        <v/>
      </c>
      <c r="D13689">
        <f>IF(B13689=C13689, "YES", "WRONG")</f>
        <v/>
      </c>
    </row>
    <row r="13690">
      <c r="A13690" t="n">
        <v>13689</v>
      </c>
      <c r="B13690" t="inlineStr">
        <is>
          <t>x̄MMMDCLXXXIX</t>
        </is>
      </c>
      <c r="C13690">
        <f>ROMAN(13689)</f>
        <v/>
      </c>
      <c r="D13690">
        <f>IF(B13690=C13690, "YES", "WRONG")</f>
        <v/>
      </c>
    </row>
    <row r="13691">
      <c r="A13691" t="n">
        <v>13690</v>
      </c>
      <c r="B13691" t="inlineStr">
        <is>
          <t>x̄MMMDCXC</t>
        </is>
      </c>
      <c r="C13691">
        <f>ROMAN(13690)</f>
        <v/>
      </c>
      <c r="D13691">
        <f>IF(B13691=C13691, "YES", "WRONG")</f>
        <v/>
      </c>
    </row>
    <row r="13692">
      <c r="A13692" t="n">
        <v>13691</v>
      </c>
      <c r="B13692" t="inlineStr">
        <is>
          <t>x̄MMMDCXCI</t>
        </is>
      </c>
      <c r="C13692">
        <f>ROMAN(13691)</f>
        <v/>
      </c>
      <c r="D13692">
        <f>IF(B13692=C13692, "YES", "WRONG")</f>
        <v/>
      </c>
    </row>
    <row r="13693">
      <c r="A13693" t="n">
        <v>13692</v>
      </c>
      <c r="B13693" t="inlineStr">
        <is>
          <t>x̄MMMDCXCII</t>
        </is>
      </c>
      <c r="C13693">
        <f>ROMAN(13692)</f>
        <v/>
      </c>
      <c r="D13693">
        <f>IF(B13693=C13693, "YES", "WRONG")</f>
        <v/>
      </c>
    </row>
    <row r="13694">
      <c r="A13694" t="n">
        <v>13693</v>
      </c>
      <c r="B13694" t="inlineStr">
        <is>
          <t>x̄MMMDCXCIII</t>
        </is>
      </c>
      <c r="C13694">
        <f>ROMAN(13693)</f>
        <v/>
      </c>
      <c r="D13694">
        <f>IF(B13694=C13694, "YES", "WRONG")</f>
        <v/>
      </c>
    </row>
    <row r="13695">
      <c r="A13695" t="n">
        <v>13694</v>
      </c>
      <c r="B13695" t="inlineStr">
        <is>
          <t>x̄MMMDCXCIV</t>
        </is>
      </c>
      <c r="C13695">
        <f>ROMAN(13694)</f>
        <v/>
      </c>
      <c r="D13695">
        <f>IF(B13695=C13695, "YES", "WRONG")</f>
        <v/>
      </c>
    </row>
    <row r="13696">
      <c r="A13696" t="n">
        <v>13695</v>
      </c>
      <c r="B13696" t="inlineStr">
        <is>
          <t>x̄MMMDCXCV</t>
        </is>
      </c>
      <c r="C13696">
        <f>ROMAN(13695)</f>
        <v/>
      </c>
      <c r="D13696">
        <f>IF(B13696=C13696, "YES", "WRONG")</f>
        <v/>
      </c>
    </row>
    <row r="13697">
      <c r="A13697" t="n">
        <v>13696</v>
      </c>
      <c r="B13697" t="inlineStr">
        <is>
          <t>x̄MMMDCXCVI</t>
        </is>
      </c>
      <c r="C13697">
        <f>ROMAN(13696)</f>
        <v/>
      </c>
      <c r="D13697">
        <f>IF(B13697=C13697, "YES", "WRONG")</f>
        <v/>
      </c>
    </row>
    <row r="13698">
      <c r="A13698" t="n">
        <v>13697</v>
      </c>
      <c r="B13698" t="inlineStr">
        <is>
          <t>x̄MMMDCXCVII</t>
        </is>
      </c>
      <c r="C13698">
        <f>ROMAN(13697)</f>
        <v/>
      </c>
      <c r="D13698">
        <f>IF(B13698=C13698, "YES", "WRONG")</f>
        <v/>
      </c>
    </row>
    <row r="13699">
      <c r="A13699" t="n">
        <v>13698</v>
      </c>
      <c r="B13699" t="inlineStr">
        <is>
          <t>x̄MMMDCXCVIII</t>
        </is>
      </c>
      <c r="C13699">
        <f>ROMAN(13698)</f>
        <v/>
      </c>
      <c r="D13699">
        <f>IF(B13699=C13699, "YES", "WRONG")</f>
        <v/>
      </c>
    </row>
    <row r="13700">
      <c r="A13700" t="n">
        <v>13699</v>
      </c>
      <c r="B13700" t="inlineStr">
        <is>
          <t>x̄MMMDCXCIX</t>
        </is>
      </c>
      <c r="C13700">
        <f>ROMAN(13699)</f>
        <v/>
      </c>
      <c r="D13700">
        <f>IF(B13700=C13700, "YES", "WRONG")</f>
        <v/>
      </c>
    </row>
    <row r="13701">
      <c r="A13701" t="n">
        <v>13700</v>
      </c>
      <c r="B13701" t="inlineStr">
        <is>
          <t>x̄MMMDCC</t>
        </is>
      </c>
      <c r="C13701">
        <f>ROMAN(13700)</f>
        <v/>
      </c>
      <c r="D13701">
        <f>IF(B13701=C13701, "YES", "WRONG")</f>
        <v/>
      </c>
    </row>
    <row r="13702">
      <c r="A13702" t="n">
        <v>13701</v>
      </c>
      <c r="B13702" t="inlineStr">
        <is>
          <t>x̄MMMDCCI</t>
        </is>
      </c>
      <c r="C13702">
        <f>ROMAN(13701)</f>
        <v/>
      </c>
      <c r="D13702">
        <f>IF(B13702=C13702, "YES", "WRONG")</f>
        <v/>
      </c>
    </row>
    <row r="13703">
      <c r="A13703" t="n">
        <v>13702</v>
      </c>
      <c r="B13703" t="inlineStr">
        <is>
          <t>x̄MMMDCCII</t>
        </is>
      </c>
      <c r="C13703">
        <f>ROMAN(13702)</f>
        <v/>
      </c>
      <c r="D13703">
        <f>IF(B13703=C13703, "YES", "WRONG")</f>
        <v/>
      </c>
    </row>
    <row r="13704">
      <c r="A13704" t="n">
        <v>13703</v>
      </c>
      <c r="B13704" t="inlineStr">
        <is>
          <t>x̄MMMDCCIII</t>
        </is>
      </c>
      <c r="C13704">
        <f>ROMAN(13703)</f>
        <v/>
      </c>
      <c r="D13704">
        <f>IF(B13704=C13704, "YES", "WRONG")</f>
        <v/>
      </c>
    </row>
    <row r="13705">
      <c r="A13705" t="n">
        <v>13704</v>
      </c>
      <c r="B13705" t="inlineStr">
        <is>
          <t>x̄MMMDCCIV</t>
        </is>
      </c>
      <c r="C13705">
        <f>ROMAN(13704)</f>
        <v/>
      </c>
      <c r="D13705">
        <f>IF(B13705=C13705, "YES", "WRONG")</f>
        <v/>
      </c>
    </row>
    <row r="13706">
      <c r="A13706" t="n">
        <v>13705</v>
      </c>
      <c r="B13706" t="inlineStr">
        <is>
          <t>x̄MMMDCCV</t>
        </is>
      </c>
      <c r="C13706">
        <f>ROMAN(13705)</f>
        <v/>
      </c>
      <c r="D13706">
        <f>IF(B13706=C13706, "YES", "WRONG")</f>
        <v/>
      </c>
    </row>
    <row r="13707">
      <c r="A13707" t="n">
        <v>13706</v>
      </c>
      <c r="B13707" t="inlineStr">
        <is>
          <t>x̄MMMDCCVI</t>
        </is>
      </c>
      <c r="C13707">
        <f>ROMAN(13706)</f>
        <v/>
      </c>
      <c r="D13707">
        <f>IF(B13707=C13707, "YES", "WRONG")</f>
        <v/>
      </c>
    </row>
    <row r="13708">
      <c r="A13708" t="n">
        <v>13707</v>
      </c>
      <c r="B13708" t="inlineStr">
        <is>
          <t>x̄MMMDCCVII</t>
        </is>
      </c>
      <c r="C13708">
        <f>ROMAN(13707)</f>
        <v/>
      </c>
      <c r="D13708">
        <f>IF(B13708=C13708, "YES", "WRONG")</f>
        <v/>
      </c>
    </row>
    <row r="13709">
      <c r="A13709" t="n">
        <v>13708</v>
      </c>
      <c r="B13709" t="inlineStr">
        <is>
          <t>x̄MMMDCCVIII</t>
        </is>
      </c>
      <c r="C13709">
        <f>ROMAN(13708)</f>
        <v/>
      </c>
      <c r="D13709">
        <f>IF(B13709=C13709, "YES", "WRONG")</f>
        <v/>
      </c>
    </row>
    <row r="13710">
      <c r="A13710" t="n">
        <v>13709</v>
      </c>
      <c r="B13710" t="inlineStr">
        <is>
          <t>x̄MMMDCCIX</t>
        </is>
      </c>
      <c r="C13710">
        <f>ROMAN(13709)</f>
        <v/>
      </c>
      <c r="D13710">
        <f>IF(B13710=C13710, "YES", "WRONG")</f>
        <v/>
      </c>
    </row>
    <row r="13711">
      <c r="A13711" t="n">
        <v>13710</v>
      </c>
      <c r="B13711" t="inlineStr">
        <is>
          <t>x̄MMMDCCX</t>
        </is>
      </c>
      <c r="C13711">
        <f>ROMAN(13710)</f>
        <v/>
      </c>
      <c r="D13711">
        <f>IF(B13711=C13711, "YES", "WRONG")</f>
        <v/>
      </c>
    </row>
    <row r="13712">
      <c r="A13712" t="n">
        <v>13711</v>
      </c>
      <c r="B13712" t="inlineStr">
        <is>
          <t>x̄MMMDCCXI</t>
        </is>
      </c>
      <c r="C13712">
        <f>ROMAN(13711)</f>
        <v/>
      </c>
      <c r="D13712">
        <f>IF(B13712=C13712, "YES", "WRONG")</f>
        <v/>
      </c>
    </row>
    <row r="13713">
      <c r="A13713" t="n">
        <v>13712</v>
      </c>
      <c r="B13713" t="inlineStr">
        <is>
          <t>x̄MMMDCCXII</t>
        </is>
      </c>
      <c r="C13713">
        <f>ROMAN(13712)</f>
        <v/>
      </c>
      <c r="D13713">
        <f>IF(B13713=C13713, "YES", "WRONG")</f>
        <v/>
      </c>
    </row>
    <row r="13714">
      <c r="A13714" t="n">
        <v>13713</v>
      </c>
      <c r="B13714" t="inlineStr">
        <is>
          <t>x̄MMMDCCXIII</t>
        </is>
      </c>
      <c r="C13714">
        <f>ROMAN(13713)</f>
        <v/>
      </c>
      <c r="D13714">
        <f>IF(B13714=C13714, "YES", "WRONG")</f>
        <v/>
      </c>
    </row>
    <row r="13715">
      <c r="A13715" t="n">
        <v>13714</v>
      </c>
      <c r="B13715" t="inlineStr">
        <is>
          <t>x̄MMMDCCXIV</t>
        </is>
      </c>
      <c r="C13715">
        <f>ROMAN(13714)</f>
        <v/>
      </c>
      <c r="D13715">
        <f>IF(B13715=C13715, "YES", "WRONG")</f>
        <v/>
      </c>
    </row>
    <row r="13716">
      <c r="A13716" t="n">
        <v>13715</v>
      </c>
      <c r="B13716" t="inlineStr">
        <is>
          <t>x̄MMMDCCXV</t>
        </is>
      </c>
      <c r="C13716">
        <f>ROMAN(13715)</f>
        <v/>
      </c>
      <c r="D13716">
        <f>IF(B13716=C13716, "YES", "WRONG")</f>
        <v/>
      </c>
    </row>
    <row r="13717">
      <c r="A13717" t="n">
        <v>13716</v>
      </c>
      <c r="B13717" t="inlineStr">
        <is>
          <t>x̄MMMDCCXVI</t>
        </is>
      </c>
      <c r="C13717">
        <f>ROMAN(13716)</f>
        <v/>
      </c>
      <c r="D13717">
        <f>IF(B13717=C13717, "YES", "WRONG")</f>
        <v/>
      </c>
    </row>
    <row r="13718">
      <c r="A13718" t="n">
        <v>13717</v>
      </c>
      <c r="B13718" t="inlineStr">
        <is>
          <t>x̄MMMDCCXVII</t>
        </is>
      </c>
      <c r="C13718">
        <f>ROMAN(13717)</f>
        <v/>
      </c>
      <c r="D13718">
        <f>IF(B13718=C13718, "YES", "WRONG")</f>
        <v/>
      </c>
    </row>
    <row r="13719">
      <c r="A13719" t="n">
        <v>13718</v>
      </c>
      <c r="B13719" t="inlineStr">
        <is>
          <t>x̄MMMDCCXVIII</t>
        </is>
      </c>
      <c r="C13719">
        <f>ROMAN(13718)</f>
        <v/>
      </c>
      <c r="D13719">
        <f>IF(B13719=C13719, "YES", "WRONG")</f>
        <v/>
      </c>
    </row>
    <row r="13720">
      <c r="A13720" t="n">
        <v>13719</v>
      </c>
      <c r="B13720" t="inlineStr">
        <is>
          <t>x̄MMMDCCXIX</t>
        </is>
      </c>
      <c r="C13720">
        <f>ROMAN(13719)</f>
        <v/>
      </c>
      <c r="D13720">
        <f>IF(B13720=C13720, "YES", "WRONG")</f>
        <v/>
      </c>
    </row>
    <row r="13721">
      <c r="A13721" t="n">
        <v>13720</v>
      </c>
      <c r="B13721" t="inlineStr">
        <is>
          <t>x̄MMMDCCXX</t>
        </is>
      </c>
      <c r="C13721">
        <f>ROMAN(13720)</f>
        <v/>
      </c>
      <c r="D13721">
        <f>IF(B13721=C13721, "YES", "WRONG")</f>
        <v/>
      </c>
    </row>
    <row r="13722">
      <c r="A13722" t="n">
        <v>13721</v>
      </c>
      <c r="B13722" t="inlineStr">
        <is>
          <t>x̄MMMDCCXXI</t>
        </is>
      </c>
      <c r="C13722">
        <f>ROMAN(13721)</f>
        <v/>
      </c>
      <c r="D13722">
        <f>IF(B13722=C13722, "YES", "WRONG")</f>
        <v/>
      </c>
    </row>
    <row r="13723">
      <c r="A13723" t="n">
        <v>13722</v>
      </c>
      <c r="B13723" t="inlineStr">
        <is>
          <t>x̄MMMDCCXXII</t>
        </is>
      </c>
      <c r="C13723">
        <f>ROMAN(13722)</f>
        <v/>
      </c>
      <c r="D13723">
        <f>IF(B13723=C13723, "YES", "WRONG")</f>
        <v/>
      </c>
    </row>
    <row r="13724">
      <c r="A13724" t="n">
        <v>13723</v>
      </c>
      <c r="B13724" t="inlineStr">
        <is>
          <t>x̄MMMDCCXXIII</t>
        </is>
      </c>
      <c r="C13724">
        <f>ROMAN(13723)</f>
        <v/>
      </c>
      <c r="D13724">
        <f>IF(B13724=C13724, "YES", "WRONG")</f>
        <v/>
      </c>
    </row>
    <row r="13725">
      <c r="A13725" t="n">
        <v>13724</v>
      </c>
      <c r="B13725" t="inlineStr">
        <is>
          <t>x̄MMMDCCXXIV</t>
        </is>
      </c>
      <c r="C13725">
        <f>ROMAN(13724)</f>
        <v/>
      </c>
      <c r="D13725">
        <f>IF(B13725=C13725, "YES", "WRONG")</f>
        <v/>
      </c>
    </row>
    <row r="13726">
      <c r="A13726" t="n">
        <v>13725</v>
      </c>
      <c r="B13726" t="inlineStr">
        <is>
          <t>x̄MMMDCCXXV</t>
        </is>
      </c>
      <c r="C13726">
        <f>ROMAN(13725)</f>
        <v/>
      </c>
      <c r="D13726">
        <f>IF(B13726=C13726, "YES", "WRONG")</f>
        <v/>
      </c>
    </row>
    <row r="13727">
      <c r="A13727" t="n">
        <v>13726</v>
      </c>
      <c r="B13727" t="inlineStr">
        <is>
          <t>x̄MMMDCCXXVI</t>
        </is>
      </c>
      <c r="C13727">
        <f>ROMAN(13726)</f>
        <v/>
      </c>
      <c r="D13727">
        <f>IF(B13727=C13727, "YES", "WRONG")</f>
        <v/>
      </c>
    </row>
    <row r="13728">
      <c r="A13728" t="n">
        <v>13727</v>
      </c>
      <c r="B13728" t="inlineStr">
        <is>
          <t>x̄MMMDCCXXVII</t>
        </is>
      </c>
      <c r="C13728">
        <f>ROMAN(13727)</f>
        <v/>
      </c>
      <c r="D13728">
        <f>IF(B13728=C13728, "YES", "WRONG")</f>
        <v/>
      </c>
    </row>
    <row r="13729">
      <c r="A13729" t="n">
        <v>13728</v>
      </c>
      <c r="B13729" t="inlineStr">
        <is>
          <t>x̄MMMDCCXXVIII</t>
        </is>
      </c>
      <c r="C13729">
        <f>ROMAN(13728)</f>
        <v/>
      </c>
      <c r="D13729">
        <f>IF(B13729=C13729, "YES", "WRONG")</f>
        <v/>
      </c>
    </row>
    <row r="13730">
      <c r="A13730" t="n">
        <v>13729</v>
      </c>
      <c r="B13730" t="inlineStr">
        <is>
          <t>x̄MMMDCCXXIX</t>
        </is>
      </c>
      <c r="C13730">
        <f>ROMAN(13729)</f>
        <v/>
      </c>
      <c r="D13730">
        <f>IF(B13730=C13730, "YES", "WRONG")</f>
        <v/>
      </c>
    </row>
    <row r="13731">
      <c r="A13731" t="n">
        <v>13730</v>
      </c>
      <c r="B13731" t="inlineStr">
        <is>
          <t>x̄MMMDCCXXX</t>
        </is>
      </c>
      <c r="C13731">
        <f>ROMAN(13730)</f>
        <v/>
      </c>
      <c r="D13731">
        <f>IF(B13731=C13731, "YES", "WRONG")</f>
        <v/>
      </c>
    </row>
    <row r="13732">
      <c r="A13732" t="n">
        <v>13731</v>
      </c>
      <c r="B13732" t="inlineStr">
        <is>
          <t>x̄MMMDCCXXXI</t>
        </is>
      </c>
      <c r="C13732">
        <f>ROMAN(13731)</f>
        <v/>
      </c>
      <c r="D13732">
        <f>IF(B13732=C13732, "YES", "WRONG")</f>
        <v/>
      </c>
    </row>
    <row r="13733">
      <c r="A13733" t="n">
        <v>13732</v>
      </c>
      <c r="B13733" t="inlineStr">
        <is>
          <t>x̄MMMDCCXXXII</t>
        </is>
      </c>
      <c r="C13733">
        <f>ROMAN(13732)</f>
        <v/>
      </c>
      <c r="D13733">
        <f>IF(B13733=C13733, "YES", "WRONG")</f>
        <v/>
      </c>
    </row>
    <row r="13734">
      <c r="A13734" t="n">
        <v>13733</v>
      </c>
      <c r="B13734" t="inlineStr">
        <is>
          <t>x̄MMMDCCXXXIII</t>
        </is>
      </c>
      <c r="C13734">
        <f>ROMAN(13733)</f>
        <v/>
      </c>
      <c r="D13734">
        <f>IF(B13734=C13734, "YES", "WRONG")</f>
        <v/>
      </c>
    </row>
    <row r="13735">
      <c r="A13735" t="n">
        <v>13734</v>
      </c>
      <c r="B13735" t="inlineStr">
        <is>
          <t>x̄MMMDCCXXXIV</t>
        </is>
      </c>
      <c r="C13735">
        <f>ROMAN(13734)</f>
        <v/>
      </c>
      <c r="D13735">
        <f>IF(B13735=C13735, "YES", "WRONG")</f>
        <v/>
      </c>
    </row>
    <row r="13736">
      <c r="A13736" t="n">
        <v>13735</v>
      </c>
      <c r="B13736" t="inlineStr">
        <is>
          <t>x̄MMMDCCXXXV</t>
        </is>
      </c>
      <c r="C13736">
        <f>ROMAN(13735)</f>
        <v/>
      </c>
      <c r="D13736">
        <f>IF(B13736=C13736, "YES", "WRONG")</f>
        <v/>
      </c>
    </row>
    <row r="13737">
      <c r="A13737" t="n">
        <v>13736</v>
      </c>
      <c r="B13737" t="inlineStr">
        <is>
          <t>x̄MMMDCCXXXVI</t>
        </is>
      </c>
      <c r="C13737">
        <f>ROMAN(13736)</f>
        <v/>
      </c>
      <c r="D13737">
        <f>IF(B13737=C13737, "YES", "WRONG")</f>
        <v/>
      </c>
    </row>
    <row r="13738">
      <c r="A13738" t="n">
        <v>13737</v>
      </c>
      <c r="B13738" t="inlineStr">
        <is>
          <t>x̄MMMDCCXXXVII</t>
        </is>
      </c>
      <c r="C13738">
        <f>ROMAN(13737)</f>
        <v/>
      </c>
      <c r="D13738">
        <f>IF(B13738=C13738, "YES", "WRONG")</f>
        <v/>
      </c>
    </row>
    <row r="13739">
      <c r="A13739" t="n">
        <v>13738</v>
      </c>
      <c r="B13739" t="inlineStr">
        <is>
          <t>x̄MMMDCCXXXVIII</t>
        </is>
      </c>
      <c r="C13739">
        <f>ROMAN(13738)</f>
        <v/>
      </c>
      <c r="D13739">
        <f>IF(B13739=C13739, "YES", "WRONG")</f>
        <v/>
      </c>
    </row>
    <row r="13740">
      <c r="A13740" t="n">
        <v>13739</v>
      </c>
      <c r="B13740" t="inlineStr">
        <is>
          <t>x̄MMMDCCXXXIX</t>
        </is>
      </c>
      <c r="C13740">
        <f>ROMAN(13739)</f>
        <v/>
      </c>
      <c r="D13740">
        <f>IF(B13740=C13740, "YES", "WRONG")</f>
        <v/>
      </c>
    </row>
    <row r="13741">
      <c r="A13741" t="n">
        <v>13740</v>
      </c>
      <c r="B13741" t="inlineStr">
        <is>
          <t>x̄MMMDCCXL</t>
        </is>
      </c>
      <c r="C13741">
        <f>ROMAN(13740)</f>
        <v/>
      </c>
      <c r="D13741">
        <f>IF(B13741=C13741, "YES", "WRONG")</f>
        <v/>
      </c>
    </row>
    <row r="13742">
      <c r="A13742" t="n">
        <v>13741</v>
      </c>
      <c r="B13742" t="inlineStr">
        <is>
          <t>x̄MMMDCCXLI</t>
        </is>
      </c>
      <c r="C13742">
        <f>ROMAN(13741)</f>
        <v/>
      </c>
      <c r="D13742">
        <f>IF(B13742=C13742, "YES", "WRONG")</f>
        <v/>
      </c>
    </row>
    <row r="13743">
      <c r="A13743" t="n">
        <v>13742</v>
      </c>
      <c r="B13743" t="inlineStr">
        <is>
          <t>x̄MMMDCCXLII</t>
        </is>
      </c>
      <c r="C13743">
        <f>ROMAN(13742)</f>
        <v/>
      </c>
      <c r="D13743">
        <f>IF(B13743=C13743, "YES", "WRONG")</f>
        <v/>
      </c>
    </row>
    <row r="13744">
      <c r="A13744" t="n">
        <v>13743</v>
      </c>
      <c r="B13744" t="inlineStr">
        <is>
          <t>x̄MMMDCCXLIII</t>
        </is>
      </c>
      <c r="C13744">
        <f>ROMAN(13743)</f>
        <v/>
      </c>
      <c r="D13744">
        <f>IF(B13744=C13744, "YES", "WRONG")</f>
        <v/>
      </c>
    </row>
    <row r="13745">
      <c r="A13745" t="n">
        <v>13744</v>
      </c>
      <c r="B13745" t="inlineStr">
        <is>
          <t>x̄MMMDCCXLIV</t>
        </is>
      </c>
      <c r="C13745">
        <f>ROMAN(13744)</f>
        <v/>
      </c>
      <c r="D13745">
        <f>IF(B13745=C13745, "YES", "WRONG")</f>
        <v/>
      </c>
    </row>
    <row r="13746">
      <c r="A13746" t="n">
        <v>13745</v>
      </c>
      <c r="B13746" t="inlineStr">
        <is>
          <t>x̄MMMDCCXLV</t>
        </is>
      </c>
      <c r="C13746">
        <f>ROMAN(13745)</f>
        <v/>
      </c>
      <c r="D13746">
        <f>IF(B13746=C13746, "YES", "WRONG")</f>
        <v/>
      </c>
    </row>
    <row r="13747">
      <c r="A13747" t="n">
        <v>13746</v>
      </c>
      <c r="B13747" t="inlineStr">
        <is>
          <t>x̄MMMDCCXLVI</t>
        </is>
      </c>
      <c r="C13747">
        <f>ROMAN(13746)</f>
        <v/>
      </c>
      <c r="D13747">
        <f>IF(B13747=C13747, "YES", "WRONG")</f>
        <v/>
      </c>
    </row>
    <row r="13748">
      <c r="A13748" t="n">
        <v>13747</v>
      </c>
      <c r="B13748" t="inlineStr">
        <is>
          <t>x̄MMMDCCXLVII</t>
        </is>
      </c>
      <c r="C13748">
        <f>ROMAN(13747)</f>
        <v/>
      </c>
      <c r="D13748">
        <f>IF(B13748=C13748, "YES", "WRONG")</f>
        <v/>
      </c>
    </row>
    <row r="13749">
      <c r="A13749" t="n">
        <v>13748</v>
      </c>
      <c r="B13749" t="inlineStr">
        <is>
          <t>x̄MMMDCCXLVIII</t>
        </is>
      </c>
      <c r="C13749">
        <f>ROMAN(13748)</f>
        <v/>
      </c>
      <c r="D13749">
        <f>IF(B13749=C13749, "YES", "WRONG")</f>
        <v/>
      </c>
    </row>
    <row r="13750">
      <c r="A13750" t="n">
        <v>13749</v>
      </c>
      <c r="B13750" t="inlineStr">
        <is>
          <t>x̄MMMDCCXLIX</t>
        </is>
      </c>
      <c r="C13750">
        <f>ROMAN(13749)</f>
        <v/>
      </c>
      <c r="D13750">
        <f>IF(B13750=C13750, "YES", "WRONG")</f>
        <v/>
      </c>
    </row>
    <row r="13751">
      <c r="A13751" t="n">
        <v>13750</v>
      </c>
      <c r="B13751" t="inlineStr">
        <is>
          <t>x̄MMMDCCL</t>
        </is>
      </c>
      <c r="C13751">
        <f>ROMAN(13750)</f>
        <v/>
      </c>
      <c r="D13751">
        <f>IF(B13751=C13751, "YES", "WRONG")</f>
        <v/>
      </c>
    </row>
    <row r="13752">
      <c r="A13752" t="n">
        <v>13751</v>
      </c>
      <c r="B13752" t="inlineStr">
        <is>
          <t>x̄MMMDCCLI</t>
        </is>
      </c>
      <c r="C13752">
        <f>ROMAN(13751)</f>
        <v/>
      </c>
      <c r="D13752">
        <f>IF(B13752=C13752, "YES", "WRONG")</f>
        <v/>
      </c>
    </row>
    <row r="13753">
      <c r="A13753" t="n">
        <v>13752</v>
      </c>
      <c r="B13753" t="inlineStr">
        <is>
          <t>x̄MMMDCCLII</t>
        </is>
      </c>
      <c r="C13753">
        <f>ROMAN(13752)</f>
        <v/>
      </c>
      <c r="D13753">
        <f>IF(B13753=C13753, "YES", "WRONG")</f>
        <v/>
      </c>
    </row>
    <row r="13754">
      <c r="A13754" t="n">
        <v>13753</v>
      </c>
      <c r="B13754" t="inlineStr">
        <is>
          <t>x̄MMMDCCLIII</t>
        </is>
      </c>
      <c r="C13754">
        <f>ROMAN(13753)</f>
        <v/>
      </c>
      <c r="D13754">
        <f>IF(B13754=C13754, "YES", "WRONG")</f>
        <v/>
      </c>
    </row>
    <row r="13755">
      <c r="A13755" t="n">
        <v>13754</v>
      </c>
      <c r="B13755" t="inlineStr">
        <is>
          <t>x̄MMMDCCLIV</t>
        </is>
      </c>
      <c r="C13755">
        <f>ROMAN(13754)</f>
        <v/>
      </c>
      <c r="D13755">
        <f>IF(B13755=C13755, "YES", "WRONG")</f>
        <v/>
      </c>
    </row>
    <row r="13756">
      <c r="A13756" t="n">
        <v>13755</v>
      </c>
      <c r="B13756" t="inlineStr">
        <is>
          <t>x̄MMMDCCLV</t>
        </is>
      </c>
      <c r="C13756">
        <f>ROMAN(13755)</f>
        <v/>
      </c>
      <c r="D13756">
        <f>IF(B13756=C13756, "YES", "WRONG")</f>
        <v/>
      </c>
    </row>
    <row r="13757">
      <c r="A13757" t="n">
        <v>13756</v>
      </c>
      <c r="B13757" t="inlineStr">
        <is>
          <t>x̄MMMDCCLVI</t>
        </is>
      </c>
      <c r="C13757">
        <f>ROMAN(13756)</f>
        <v/>
      </c>
      <c r="D13757">
        <f>IF(B13757=C13757, "YES", "WRONG")</f>
        <v/>
      </c>
    </row>
    <row r="13758">
      <c r="A13758" t="n">
        <v>13757</v>
      </c>
      <c r="B13758" t="inlineStr">
        <is>
          <t>x̄MMMDCCLVII</t>
        </is>
      </c>
      <c r="C13758">
        <f>ROMAN(13757)</f>
        <v/>
      </c>
      <c r="D13758">
        <f>IF(B13758=C13758, "YES", "WRONG")</f>
        <v/>
      </c>
    </row>
    <row r="13759">
      <c r="A13759" t="n">
        <v>13758</v>
      </c>
      <c r="B13759" t="inlineStr">
        <is>
          <t>x̄MMMDCCLVIII</t>
        </is>
      </c>
      <c r="C13759">
        <f>ROMAN(13758)</f>
        <v/>
      </c>
      <c r="D13759">
        <f>IF(B13759=C13759, "YES", "WRONG")</f>
        <v/>
      </c>
    </row>
    <row r="13760">
      <c r="A13760" t="n">
        <v>13759</v>
      </c>
      <c r="B13760" t="inlineStr">
        <is>
          <t>x̄MMMDCCLIX</t>
        </is>
      </c>
      <c r="C13760">
        <f>ROMAN(13759)</f>
        <v/>
      </c>
      <c r="D13760">
        <f>IF(B13760=C13760, "YES", "WRONG")</f>
        <v/>
      </c>
    </row>
    <row r="13761">
      <c r="A13761" t="n">
        <v>13760</v>
      </c>
      <c r="B13761" t="inlineStr">
        <is>
          <t>x̄MMMDCCLX</t>
        </is>
      </c>
      <c r="C13761">
        <f>ROMAN(13760)</f>
        <v/>
      </c>
      <c r="D13761">
        <f>IF(B13761=C13761, "YES", "WRONG")</f>
        <v/>
      </c>
    </row>
    <row r="13762">
      <c r="A13762" t="n">
        <v>13761</v>
      </c>
      <c r="B13762" t="inlineStr">
        <is>
          <t>x̄MMMDCCLXI</t>
        </is>
      </c>
      <c r="C13762">
        <f>ROMAN(13761)</f>
        <v/>
      </c>
      <c r="D13762">
        <f>IF(B13762=C13762, "YES", "WRONG")</f>
        <v/>
      </c>
    </row>
    <row r="13763">
      <c r="A13763" t="n">
        <v>13762</v>
      </c>
      <c r="B13763" t="inlineStr">
        <is>
          <t>x̄MMMDCCLXII</t>
        </is>
      </c>
      <c r="C13763">
        <f>ROMAN(13762)</f>
        <v/>
      </c>
      <c r="D13763">
        <f>IF(B13763=C13763, "YES", "WRONG")</f>
        <v/>
      </c>
    </row>
    <row r="13764">
      <c r="A13764" t="n">
        <v>13763</v>
      </c>
      <c r="B13764" t="inlineStr">
        <is>
          <t>x̄MMMDCCLXIII</t>
        </is>
      </c>
      <c r="C13764">
        <f>ROMAN(13763)</f>
        <v/>
      </c>
      <c r="D13764">
        <f>IF(B13764=C13764, "YES", "WRONG")</f>
        <v/>
      </c>
    </row>
    <row r="13765">
      <c r="A13765" t="n">
        <v>13764</v>
      </c>
      <c r="B13765" t="inlineStr">
        <is>
          <t>x̄MMMDCCLXIV</t>
        </is>
      </c>
      <c r="C13765">
        <f>ROMAN(13764)</f>
        <v/>
      </c>
      <c r="D13765">
        <f>IF(B13765=C13765, "YES", "WRONG")</f>
        <v/>
      </c>
    </row>
    <row r="13766">
      <c r="A13766" t="n">
        <v>13765</v>
      </c>
      <c r="B13766" t="inlineStr">
        <is>
          <t>x̄MMMDCCLXV</t>
        </is>
      </c>
      <c r="C13766">
        <f>ROMAN(13765)</f>
        <v/>
      </c>
      <c r="D13766">
        <f>IF(B13766=C13766, "YES", "WRONG")</f>
        <v/>
      </c>
    </row>
    <row r="13767">
      <c r="A13767" t="n">
        <v>13766</v>
      </c>
      <c r="B13767" t="inlineStr">
        <is>
          <t>x̄MMMDCCLXVI</t>
        </is>
      </c>
      <c r="C13767">
        <f>ROMAN(13766)</f>
        <v/>
      </c>
      <c r="D13767">
        <f>IF(B13767=C13767, "YES", "WRONG")</f>
        <v/>
      </c>
    </row>
    <row r="13768">
      <c r="A13768" t="n">
        <v>13767</v>
      </c>
      <c r="B13768" t="inlineStr">
        <is>
          <t>x̄MMMDCCLXVII</t>
        </is>
      </c>
      <c r="C13768">
        <f>ROMAN(13767)</f>
        <v/>
      </c>
      <c r="D13768">
        <f>IF(B13768=C13768, "YES", "WRONG")</f>
        <v/>
      </c>
    </row>
    <row r="13769">
      <c r="A13769" t="n">
        <v>13768</v>
      </c>
      <c r="B13769" t="inlineStr">
        <is>
          <t>x̄MMMDCCLXVIII</t>
        </is>
      </c>
      <c r="C13769">
        <f>ROMAN(13768)</f>
        <v/>
      </c>
      <c r="D13769">
        <f>IF(B13769=C13769, "YES", "WRONG")</f>
        <v/>
      </c>
    </row>
    <row r="13770">
      <c r="A13770" t="n">
        <v>13769</v>
      </c>
      <c r="B13770" t="inlineStr">
        <is>
          <t>x̄MMMDCCLXIX</t>
        </is>
      </c>
      <c r="C13770">
        <f>ROMAN(13769)</f>
        <v/>
      </c>
      <c r="D13770">
        <f>IF(B13770=C13770, "YES", "WRONG")</f>
        <v/>
      </c>
    </row>
    <row r="13771">
      <c r="A13771" t="n">
        <v>13770</v>
      </c>
      <c r="B13771" t="inlineStr">
        <is>
          <t>x̄MMMDCCLXX</t>
        </is>
      </c>
      <c r="C13771">
        <f>ROMAN(13770)</f>
        <v/>
      </c>
      <c r="D13771">
        <f>IF(B13771=C13771, "YES", "WRONG")</f>
        <v/>
      </c>
    </row>
    <row r="13772">
      <c r="A13772" t="n">
        <v>13771</v>
      </c>
      <c r="B13772" t="inlineStr">
        <is>
          <t>x̄MMMDCCLXXI</t>
        </is>
      </c>
      <c r="C13772">
        <f>ROMAN(13771)</f>
        <v/>
      </c>
      <c r="D13772">
        <f>IF(B13772=C13772, "YES", "WRONG")</f>
        <v/>
      </c>
    </row>
    <row r="13773">
      <c r="A13773" t="n">
        <v>13772</v>
      </c>
      <c r="B13773" t="inlineStr">
        <is>
          <t>x̄MMMDCCLXXII</t>
        </is>
      </c>
      <c r="C13773">
        <f>ROMAN(13772)</f>
        <v/>
      </c>
      <c r="D13773">
        <f>IF(B13773=C13773, "YES", "WRONG")</f>
        <v/>
      </c>
    </row>
    <row r="13774">
      <c r="A13774" t="n">
        <v>13773</v>
      </c>
      <c r="B13774" t="inlineStr">
        <is>
          <t>x̄MMMDCCLXXIII</t>
        </is>
      </c>
      <c r="C13774">
        <f>ROMAN(13773)</f>
        <v/>
      </c>
      <c r="D13774">
        <f>IF(B13774=C13774, "YES", "WRONG")</f>
        <v/>
      </c>
    </row>
    <row r="13775">
      <c r="A13775" t="n">
        <v>13774</v>
      </c>
      <c r="B13775" t="inlineStr">
        <is>
          <t>x̄MMMDCCLXXIV</t>
        </is>
      </c>
      <c r="C13775">
        <f>ROMAN(13774)</f>
        <v/>
      </c>
      <c r="D13775">
        <f>IF(B13775=C13775, "YES", "WRONG")</f>
        <v/>
      </c>
    </row>
    <row r="13776">
      <c r="A13776" t="n">
        <v>13775</v>
      </c>
      <c r="B13776" t="inlineStr">
        <is>
          <t>x̄MMMDCCLXXV</t>
        </is>
      </c>
      <c r="C13776">
        <f>ROMAN(13775)</f>
        <v/>
      </c>
      <c r="D13776">
        <f>IF(B13776=C13776, "YES", "WRONG")</f>
        <v/>
      </c>
    </row>
    <row r="13777">
      <c r="A13777" t="n">
        <v>13776</v>
      </c>
      <c r="B13777" t="inlineStr">
        <is>
          <t>x̄MMMDCCLXXVI</t>
        </is>
      </c>
      <c r="C13777">
        <f>ROMAN(13776)</f>
        <v/>
      </c>
      <c r="D13777">
        <f>IF(B13777=C13777, "YES", "WRONG")</f>
        <v/>
      </c>
    </row>
    <row r="13778">
      <c r="A13778" t="n">
        <v>13777</v>
      </c>
      <c r="B13778" t="inlineStr">
        <is>
          <t>x̄MMMDCCLXXVII</t>
        </is>
      </c>
      <c r="C13778">
        <f>ROMAN(13777)</f>
        <v/>
      </c>
      <c r="D13778">
        <f>IF(B13778=C13778, "YES", "WRONG")</f>
        <v/>
      </c>
    </row>
    <row r="13779">
      <c r="A13779" t="n">
        <v>13778</v>
      </c>
      <c r="B13779" t="inlineStr">
        <is>
          <t>x̄MMMDCCLXXVIII</t>
        </is>
      </c>
      <c r="C13779">
        <f>ROMAN(13778)</f>
        <v/>
      </c>
      <c r="D13779">
        <f>IF(B13779=C13779, "YES", "WRONG")</f>
        <v/>
      </c>
    </row>
    <row r="13780">
      <c r="A13780" t="n">
        <v>13779</v>
      </c>
      <c r="B13780" t="inlineStr">
        <is>
          <t>x̄MMMDCCLXXIX</t>
        </is>
      </c>
      <c r="C13780">
        <f>ROMAN(13779)</f>
        <v/>
      </c>
      <c r="D13780">
        <f>IF(B13780=C13780, "YES", "WRONG")</f>
        <v/>
      </c>
    </row>
    <row r="13781">
      <c r="A13781" t="n">
        <v>13780</v>
      </c>
      <c r="B13781" t="inlineStr">
        <is>
          <t>x̄MMMDCCLXXX</t>
        </is>
      </c>
      <c r="C13781">
        <f>ROMAN(13780)</f>
        <v/>
      </c>
      <c r="D13781">
        <f>IF(B13781=C13781, "YES", "WRONG")</f>
        <v/>
      </c>
    </row>
    <row r="13782">
      <c r="A13782" t="n">
        <v>13781</v>
      </c>
      <c r="B13782" t="inlineStr">
        <is>
          <t>x̄MMMDCCLXXXI</t>
        </is>
      </c>
      <c r="C13782">
        <f>ROMAN(13781)</f>
        <v/>
      </c>
      <c r="D13782">
        <f>IF(B13782=C13782, "YES", "WRONG")</f>
        <v/>
      </c>
    </row>
    <row r="13783">
      <c r="A13783" t="n">
        <v>13782</v>
      </c>
      <c r="B13783" t="inlineStr">
        <is>
          <t>x̄MMMDCCLXXXII</t>
        </is>
      </c>
      <c r="C13783">
        <f>ROMAN(13782)</f>
        <v/>
      </c>
      <c r="D13783">
        <f>IF(B13783=C13783, "YES", "WRONG")</f>
        <v/>
      </c>
    </row>
    <row r="13784">
      <c r="A13784" t="n">
        <v>13783</v>
      </c>
      <c r="B13784" t="inlineStr">
        <is>
          <t>x̄MMMDCCLXXXIII</t>
        </is>
      </c>
      <c r="C13784">
        <f>ROMAN(13783)</f>
        <v/>
      </c>
      <c r="D13784">
        <f>IF(B13784=C13784, "YES", "WRONG")</f>
        <v/>
      </c>
    </row>
    <row r="13785">
      <c r="A13785" t="n">
        <v>13784</v>
      </c>
      <c r="B13785" t="inlineStr">
        <is>
          <t>x̄MMMDCCLXXXIV</t>
        </is>
      </c>
      <c r="C13785">
        <f>ROMAN(13784)</f>
        <v/>
      </c>
      <c r="D13785">
        <f>IF(B13785=C13785, "YES", "WRONG")</f>
        <v/>
      </c>
    </row>
    <row r="13786">
      <c r="A13786" t="n">
        <v>13785</v>
      </c>
      <c r="B13786" t="inlineStr">
        <is>
          <t>x̄MMMDCCLXXXV</t>
        </is>
      </c>
      <c r="C13786">
        <f>ROMAN(13785)</f>
        <v/>
      </c>
      <c r="D13786">
        <f>IF(B13786=C13786, "YES", "WRONG")</f>
        <v/>
      </c>
    </row>
    <row r="13787">
      <c r="A13787" t="n">
        <v>13786</v>
      </c>
      <c r="B13787" t="inlineStr">
        <is>
          <t>x̄MMMDCCLXXXVI</t>
        </is>
      </c>
      <c r="C13787">
        <f>ROMAN(13786)</f>
        <v/>
      </c>
      <c r="D13787">
        <f>IF(B13787=C13787, "YES", "WRONG")</f>
        <v/>
      </c>
    </row>
    <row r="13788">
      <c r="A13788" t="n">
        <v>13787</v>
      </c>
      <c r="B13788" t="inlineStr">
        <is>
          <t>x̄MMMDCCLXXXVII</t>
        </is>
      </c>
      <c r="C13788">
        <f>ROMAN(13787)</f>
        <v/>
      </c>
      <c r="D13788">
        <f>IF(B13788=C13788, "YES", "WRONG")</f>
        <v/>
      </c>
    </row>
    <row r="13789">
      <c r="A13789" t="n">
        <v>13788</v>
      </c>
      <c r="B13789" t="inlineStr">
        <is>
          <t>x̄MMMDCCLXXXVIII</t>
        </is>
      </c>
      <c r="C13789">
        <f>ROMAN(13788)</f>
        <v/>
      </c>
      <c r="D13789">
        <f>IF(B13789=C13789, "YES", "WRONG")</f>
        <v/>
      </c>
    </row>
    <row r="13790">
      <c r="A13790" t="n">
        <v>13789</v>
      </c>
      <c r="B13790" t="inlineStr">
        <is>
          <t>x̄MMMDCCLXXXIX</t>
        </is>
      </c>
      <c r="C13790">
        <f>ROMAN(13789)</f>
        <v/>
      </c>
      <c r="D13790">
        <f>IF(B13790=C13790, "YES", "WRONG")</f>
        <v/>
      </c>
    </row>
    <row r="13791">
      <c r="A13791" t="n">
        <v>13790</v>
      </c>
      <c r="B13791" t="inlineStr">
        <is>
          <t>x̄MMMDCCXC</t>
        </is>
      </c>
      <c r="C13791">
        <f>ROMAN(13790)</f>
        <v/>
      </c>
      <c r="D13791">
        <f>IF(B13791=C13791, "YES", "WRONG")</f>
        <v/>
      </c>
    </row>
    <row r="13792">
      <c r="A13792" t="n">
        <v>13791</v>
      </c>
      <c r="B13792" t="inlineStr">
        <is>
          <t>x̄MMMDCCXCI</t>
        </is>
      </c>
      <c r="C13792">
        <f>ROMAN(13791)</f>
        <v/>
      </c>
      <c r="D13792">
        <f>IF(B13792=C13792, "YES", "WRONG")</f>
        <v/>
      </c>
    </row>
    <row r="13793">
      <c r="A13793" t="n">
        <v>13792</v>
      </c>
      <c r="B13793" t="inlineStr">
        <is>
          <t>x̄MMMDCCXCII</t>
        </is>
      </c>
      <c r="C13793">
        <f>ROMAN(13792)</f>
        <v/>
      </c>
      <c r="D13793">
        <f>IF(B13793=C13793, "YES", "WRONG")</f>
        <v/>
      </c>
    </row>
    <row r="13794">
      <c r="A13794" t="n">
        <v>13793</v>
      </c>
      <c r="B13794" t="inlineStr">
        <is>
          <t>x̄MMMDCCXCIII</t>
        </is>
      </c>
      <c r="C13794">
        <f>ROMAN(13793)</f>
        <v/>
      </c>
      <c r="D13794">
        <f>IF(B13794=C13794, "YES", "WRONG")</f>
        <v/>
      </c>
    </row>
    <row r="13795">
      <c r="A13795" t="n">
        <v>13794</v>
      </c>
      <c r="B13795" t="inlineStr">
        <is>
          <t>x̄MMMDCCXCIV</t>
        </is>
      </c>
      <c r="C13795">
        <f>ROMAN(13794)</f>
        <v/>
      </c>
      <c r="D13795">
        <f>IF(B13795=C13795, "YES", "WRONG")</f>
        <v/>
      </c>
    </row>
    <row r="13796">
      <c r="A13796" t="n">
        <v>13795</v>
      </c>
      <c r="B13796" t="inlineStr">
        <is>
          <t>x̄MMMDCCXCV</t>
        </is>
      </c>
      <c r="C13796">
        <f>ROMAN(13795)</f>
        <v/>
      </c>
      <c r="D13796">
        <f>IF(B13796=C13796, "YES", "WRONG")</f>
        <v/>
      </c>
    </row>
    <row r="13797">
      <c r="A13797" t="n">
        <v>13796</v>
      </c>
      <c r="B13797" t="inlineStr">
        <is>
          <t>x̄MMMDCCXCVI</t>
        </is>
      </c>
      <c r="C13797">
        <f>ROMAN(13796)</f>
        <v/>
      </c>
      <c r="D13797">
        <f>IF(B13797=C13797, "YES", "WRONG")</f>
        <v/>
      </c>
    </row>
    <row r="13798">
      <c r="A13798" t="n">
        <v>13797</v>
      </c>
      <c r="B13798" t="inlineStr">
        <is>
          <t>x̄MMMDCCXCVII</t>
        </is>
      </c>
      <c r="C13798">
        <f>ROMAN(13797)</f>
        <v/>
      </c>
      <c r="D13798">
        <f>IF(B13798=C13798, "YES", "WRONG")</f>
        <v/>
      </c>
    </row>
    <row r="13799">
      <c r="A13799" t="n">
        <v>13798</v>
      </c>
      <c r="B13799" t="inlineStr">
        <is>
          <t>x̄MMMDCCXCVIII</t>
        </is>
      </c>
      <c r="C13799">
        <f>ROMAN(13798)</f>
        <v/>
      </c>
      <c r="D13799">
        <f>IF(B13799=C13799, "YES", "WRONG")</f>
        <v/>
      </c>
    </row>
    <row r="13800">
      <c r="A13800" t="n">
        <v>13799</v>
      </c>
      <c r="B13800" t="inlineStr">
        <is>
          <t>x̄MMMDCCXCIX</t>
        </is>
      </c>
      <c r="C13800">
        <f>ROMAN(13799)</f>
        <v/>
      </c>
      <c r="D13800">
        <f>IF(B13800=C13800, "YES", "WRONG")</f>
        <v/>
      </c>
    </row>
    <row r="13801">
      <c r="A13801" t="n">
        <v>13800</v>
      </c>
      <c r="B13801" t="inlineStr">
        <is>
          <t>x̄MMMDCCC</t>
        </is>
      </c>
      <c r="C13801">
        <f>ROMAN(13800)</f>
        <v/>
      </c>
      <c r="D13801">
        <f>IF(B13801=C13801, "YES", "WRONG")</f>
        <v/>
      </c>
    </row>
    <row r="13802">
      <c r="A13802" t="n">
        <v>13801</v>
      </c>
      <c r="B13802" t="inlineStr">
        <is>
          <t>x̄MMMDCCCI</t>
        </is>
      </c>
      <c r="C13802">
        <f>ROMAN(13801)</f>
        <v/>
      </c>
      <c r="D13802">
        <f>IF(B13802=C13802, "YES", "WRONG")</f>
        <v/>
      </c>
    </row>
    <row r="13803">
      <c r="A13803" t="n">
        <v>13802</v>
      </c>
      <c r="B13803" t="inlineStr">
        <is>
          <t>x̄MMMDCCCII</t>
        </is>
      </c>
      <c r="C13803">
        <f>ROMAN(13802)</f>
        <v/>
      </c>
      <c r="D13803">
        <f>IF(B13803=C13803, "YES", "WRONG")</f>
        <v/>
      </c>
    </row>
    <row r="13804">
      <c r="A13804" t="n">
        <v>13803</v>
      </c>
      <c r="B13804" t="inlineStr">
        <is>
          <t>x̄MMMDCCCIII</t>
        </is>
      </c>
      <c r="C13804">
        <f>ROMAN(13803)</f>
        <v/>
      </c>
      <c r="D13804">
        <f>IF(B13804=C13804, "YES", "WRONG")</f>
        <v/>
      </c>
    </row>
    <row r="13805">
      <c r="A13805" t="n">
        <v>13804</v>
      </c>
      <c r="B13805" t="inlineStr">
        <is>
          <t>x̄MMMDCCCIV</t>
        </is>
      </c>
      <c r="C13805">
        <f>ROMAN(13804)</f>
        <v/>
      </c>
      <c r="D13805">
        <f>IF(B13805=C13805, "YES", "WRONG")</f>
        <v/>
      </c>
    </row>
    <row r="13806">
      <c r="A13806" t="n">
        <v>13805</v>
      </c>
      <c r="B13806" t="inlineStr">
        <is>
          <t>x̄MMMDCCCV</t>
        </is>
      </c>
      <c r="C13806">
        <f>ROMAN(13805)</f>
        <v/>
      </c>
      <c r="D13806">
        <f>IF(B13806=C13806, "YES", "WRONG")</f>
        <v/>
      </c>
    </row>
    <row r="13807">
      <c r="A13807" t="n">
        <v>13806</v>
      </c>
      <c r="B13807" t="inlineStr">
        <is>
          <t>x̄MMMDCCCVI</t>
        </is>
      </c>
      <c r="C13807">
        <f>ROMAN(13806)</f>
        <v/>
      </c>
      <c r="D13807">
        <f>IF(B13807=C13807, "YES", "WRONG")</f>
        <v/>
      </c>
    </row>
    <row r="13808">
      <c r="A13808" t="n">
        <v>13807</v>
      </c>
      <c r="B13808" t="inlineStr">
        <is>
          <t>x̄MMMDCCCVII</t>
        </is>
      </c>
      <c r="C13808">
        <f>ROMAN(13807)</f>
        <v/>
      </c>
      <c r="D13808">
        <f>IF(B13808=C13808, "YES", "WRONG")</f>
        <v/>
      </c>
    </row>
    <row r="13809">
      <c r="A13809" t="n">
        <v>13808</v>
      </c>
      <c r="B13809" t="inlineStr">
        <is>
          <t>x̄MMMDCCCVIII</t>
        </is>
      </c>
      <c r="C13809">
        <f>ROMAN(13808)</f>
        <v/>
      </c>
      <c r="D13809">
        <f>IF(B13809=C13809, "YES", "WRONG")</f>
        <v/>
      </c>
    </row>
    <row r="13810">
      <c r="A13810" t="n">
        <v>13809</v>
      </c>
      <c r="B13810" t="inlineStr">
        <is>
          <t>x̄MMMDCCCIX</t>
        </is>
      </c>
      <c r="C13810">
        <f>ROMAN(13809)</f>
        <v/>
      </c>
      <c r="D13810">
        <f>IF(B13810=C13810, "YES", "WRONG")</f>
        <v/>
      </c>
    </row>
    <row r="13811">
      <c r="A13811" t="n">
        <v>13810</v>
      </c>
      <c r="B13811" t="inlineStr">
        <is>
          <t>x̄MMMDCCCX</t>
        </is>
      </c>
      <c r="C13811">
        <f>ROMAN(13810)</f>
        <v/>
      </c>
      <c r="D13811">
        <f>IF(B13811=C13811, "YES", "WRONG")</f>
        <v/>
      </c>
    </row>
    <row r="13812">
      <c r="A13812" t="n">
        <v>13811</v>
      </c>
      <c r="B13812" t="inlineStr">
        <is>
          <t>x̄MMMDCCCXI</t>
        </is>
      </c>
      <c r="C13812">
        <f>ROMAN(13811)</f>
        <v/>
      </c>
      <c r="D13812">
        <f>IF(B13812=C13812, "YES", "WRONG")</f>
        <v/>
      </c>
    </row>
    <row r="13813">
      <c r="A13813" t="n">
        <v>13812</v>
      </c>
      <c r="B13813" t="inlineStr">
        <is>
          <t>x̄MMMDCCCXII</t>
        </is>
      </c>
      <c r="C13813">
        <f>ROMAN(13812)</f>
        <v/>
      </c>
      <c r="D13813">
        <f>IF(B13813=C13813, "YES", "WRONG")</f>
        <v/>
      </c>
    </row>
    <row r="13814">
      <c r="A13814" t="n">
        <v>13813</v>
      </c>
      <c r="B13814" t="inlineStr">
        <is>
          <t>x̄MMMDCCCXIII</t>
        </is>
      </c>
      <c r="C13814">
        <f>ROMAN(13813)</f>
        <v/>
      </c>
      <c r="D13814">
        <f>IF(B13814=C13814, "YES", "WRONG")</f>
        <v/>
      </c>
    </row>
    <row r="13815">
      <c r="A13815" t="n">
        <v>13814</v>
      </c>
      <c r="B13815" t="inlineStr">
        <is>
          <t>x̄MMMDCCCXIV</t>
        </is>
      </c>
      <c r="C13815">
        <f>ROMAN(13814)</f>
        <v/>
      </c>
      <c r="D13815">
        <f>IF(B13815=C13815, "YES", "WRONG")</f>
        <v/>
      </c>
    </row>
    <row r="13816">
      <c r="A13816" t="n">
        <v>13815</v>
      </c>
      <c r="B13816" t="inlineStr">
        <is>
          <t>x̄MMMDCCCXV</t>
        </is>
      </c>
      <c r="C13816">
        <f>ROMAN(13815)</f>
        <v/>
      </c>
      <c r="D13816">
        <f>IF(B13816=C13816, "YES", "WRONG")</f>
        <v/>
      </c>
    </row>
    <row r="13817">
      <c r="A13817" t="n">
        <v>13816</v>
      </c>
      <c r="B13817" t="inlineStr">
        <is>
          <t>x̄MMMDCCCXVI</t>
        </is>
      </c>
      <c r="C13817">
        <f>ROMAN(13816)</f>
        <v/>
      </c>
      <c r="D13817">
        <f>IF(B13817=C13817, "YES", "WRONG")</f>
        <v/>
      </c>
    </row>
    <row r="13818">
      <c r="A13818" t="n">
        <v>13817</v>
      </c>
      <c r="B13818" t="inlineStr">
        <is>
          <t>x̄MMMDCCCXVII</t>
        </is>
      </c>
      <c r="C13818">
        <f>ROMAN(13817)</f>
        <v/>
      </c>
      <c r="D13818">
        <f>IF(B13818=C13818, "YES", "WRONG")</f>
        <v/>
      </c>
    </row>
    <row r="13819">
      <c r="A13819" t="n">
        <v>13818</v>
      </c>
      <c r="B13819" t="inlineStr">
        <is>
          <t>x̄MMMDCCCXVIII</t>
        </is>
      </c>
      <c r="C13819">
        <f>ROMAN(13818)</f>
        <v/>
      </c>
      <c r="D13819">
        <f>IF(B13819=C13819, "YES", "WRONG")</f>
        <v/>
      </c>
    </row>
    <row r="13820">
      <c r="A13820" t="n">
        <v>13819</v>
      </c>
      <c r="B13820" t="inlineStr">
        <is>
          <t>x̄MMMDCCCXIX</t>
        </is>
      </c>
      <c r="C13820">
        <f>ROMAN(13819)</f>
        <v/>
      </c>
      <c r="D13820">
        <f>IF(B13820=C13820, "YES", "WRONG")</f>
        <v/>
      </c>
    </row>
    <row r="13821">
      <c r="A13821" t="n">
        <v>13820</v>
      </c>
      <c r="B13821" t="inlineStr">
        <is>
          <t>x̄MMMDCCCXX</t>
        </is>
      </c>
      <c r="C13821">
        <f>ROMAN(13820)</f>
        <v/>
      </c>
      <c r="D13821">
        <f>IF(B13821=C13821, "YES", "WRONG")</f>
        <v/>
      </c>
    </row>
    <row r="13822">
      <c r="A13822" t="n">
        <v>13821</v>
      </c>
      <c r="B13822" t="inlineStr">
        <is>
          <t>x̄MMMDCCCXXI</t>
        </is>
      </c>
      <c r="C13822">
        <f>ROMAN(13821)</f>
        <v/>
      </c>
      <c r="D13822">
        <f>IF(B13822=C13822, "YES", "WRONG")</f>
        <v/>
      </c>
    </row>
    <row r="13823">
      <c r="A13823" t="n">
        <v>13822</v>
      </c>
      <c r="B13823" t="inlineStr">
        <is>
          <t>x̄MMMDCCCXXII</t>
        </is>
      </c>
      <c r="C13823">
        <f>ROMAN(13822)</f>
        <v/>
      </c>
      <c r="D13823">
        <f>IF(B13823=C13823, "YES", "WRONG")</f>
        <v/>
      </c>
    </row>
    <row r="13824">
      <c r="A13824" t="n">
        <v>13823</v>
      </c>
      <c r="B13824" t="inlineStr">
        <is>
          <t>x̄MMMDCCCXXIII</t>
        </is>
      </c>
      <c r="C13824">
        <f>ROMAN(13823)</f>
        <v/>
      </c>
      <c r="D13824">
        <f>IF(B13824=C13824, "YES", "WRONG")</f>
        <v/>
      </c>
    </row>
    <row r="13825">
      <c r="A13825" t="n">
        <v>13824</v>
      </c>
      <c r="B13825" t="inlineStr">
        <is>
          <t>x̄MMMDCCCXXIV</t>
        </is>
      </c>
      <c r="C13825">
        <f>ROMAN(13824)</f>
        <v/>
      </c>
      <c r="D13825">
        <f>IF(B13825=C13825, "YES", "WRONG")</f>
        <v/>
      </c>
    </row>
    <row r="13826">
      <c r="A13826" t="n">
        <v>13825</v>
      </c>
      <c r="B13826" t="inlineStr">
        <is>
          <t>x̄MMMDCCCXXV</t>
        </is>
      </c>
      <c r="C13826">
        <f>ROMAN(13825)</f>
        <v/>
      </c>
      <c r="D13826">
        <f>IF(B13826=C13826, "YES", "WRONG")</f>
        <v/>
      </c>
    </row>
    <row r="13827">
      <c r="A13827" t="n">
        <v>13826</v>
      </c>
      <c r="B13827" t="inlineStr">
        <is>
          <t>x̄MMMDCCCXXVI</t>
        </is>
      </c>
      <c r="C13827">
        <f>ROMAN(13826)</f>
        <v/>
      </c>
      <c r="D13827">
        <f>IF(B13827=C13827, "YES", "WRONG")</f>
        <v/>
      </c>
    </row>
    <row r="13828">
      <c r="A13828" t="n">
        <v>13827</v>
      </c>
      <c r="B13828" t="inlineStr">
        <is>
          <t>x̄MMMDCCCXXVII</t>
        </is>
      </c>
      <c r="C13828">
        <f>ROMAN(13827)</f>
        <v/>
      </c>
      <c r="D13828">
        <f>IF(B13828=C13828, "YES", "WRONG")</f>
        <v/>
      </c>
    </row>
    <row r="13829">
      <c r="A13829" t="n">
        <v>13828</v>
      </c>
      <c r="B13829" t="inlineStr">
        <is>
          <t>x̄MMMDCCCXXVIII</t>
        </is>
      </c>
      <c r="C13829">
        <f>ROMAN(13828)</f>
        <v/>
      </c>
      <c r="D13829">
        <f>IF(B13829=C13829, "YES", "WRONG")</f>
        <v/>
      </c>
    </row>
    <row r="13830">
      <c r="A13830" t="n">
        <v>13829</v>
      </c>
      <c r="B13830" t="inlineStr">
        <is>
          <t>x̄MMMDCCCXXIX</t>
        </is>
      </c>
      <c r="C13830">
        <f>ROMAN(13829)</f>
        <v/>
      </c>
      <c r="D13830">
        <f>IF(B13830=C13830, "YES", "WRONG")</f>
        <v/>
      </c>
    </row>
    <row r="13831">
      <c r="A13831" t="n">
        <v>13830</v>
      </c>
      <c r="B13831" t="inlineStr">
        <is>
          <t>x̄MMMDCCCXXX</t>
        </is>
      </c>
      <c r="C13831">
        <f>ROMAN(13830)</f>
        <v/>
      </c>
      <c r="D13831">
        <f>IF(B13831=C13831, "YES", "WRONG")</f>
        <v/>
      </c>
    </row>
    <row r="13832">
      <c r="A13832" t="n">
        <v>13831</v>
      </c>
      <c r="B13832" t="inlineStr">
        <is>
          <t>x̄MMMDCCCXXXI</t>
        </is>
      </c>
      <c r="C13832">
        <f>ROMAN(13831)</f>
        <v/>
      </c>
      <c r="D13832">
        <f>IF(B13832=C13832, "YES", "WRONG")</f>
        <v/>
      </c>
    </row>
    <row r="13833">
      <c r="A13833" t="n">
        <v>13832</v>
      </c>
      <c r="B13833" t="inlineStr">
        <is>
          <t>x̄MMMDCCCXXXII</t>
        </is>
      </c>
      <c r="C13833">
        <f>ROMAN(13832)</f>
        <v/>
      </c>
      <c r="D13833">
        <f>IF(B13833=C13833, "YES", "WRONG")</f>
        <v/>
      </c>
    </row>
    <row r="13834">
      <c r="A13834" t="n">
        <v>13833</v>
      </c>
      <c r="B13834" t="inlineStr">
        <is>
          <t>x̄MMMDCCCXXXIII</t>
        </is>
      </c>
      <c r="C13834">
        <f>ROMAN(13833)</f>
        <v/>
      </c>
      <c r="D13834">
        <f>IF(B13834=C13834, "YES", "WRONG")</f>
        <v/>
      </c>
    </row>
    <row r="13835">
      <c r="A13835" t="n">
        <v>13834</v>
      </c>
      <c r="B13835" t="inlineStr">
        <is>
          <t>x̄MMMDCCCXXXIV</t>
        </is>
      </c>
      <c r="C13835">
        <f>ROMAN(13834)</f>
        <v/>
      </c>
      <c r="D13835">
        <f>IF(B13835=C13835, "YES", "WRONG")</f>
        <v/>
      </c>
    </row>
    <row r="13836">
      <c r="A13836" t="n">
        <v>13835</v>
      </c>
      <c r="B13836" t="inlineStr">
        <is>
          <t>x̄MMMDCCCXXXV</t>
        </is>
      </c>
      <c r="C13836">
        <f>ROMAN(13835)</f>
        <v/>
      </c>
      <c r="D13836">
        <f>IF(B13836=C13836, "YES", "WRONG")</f>
        <v/>
      </c>
    </row>
    <row r="13837">
      <c r="A13837" t="n">
        <v>13836</v>
      </c>
      <c r="B13837" t="inlineStr">
        <is>
          <t>x̄MMMDCCCXXXVI</t>
        </is>
      </c>
      <c r="C13837">
        <f>ROMAN(13836)</f>
        <v/>
      </c>
      <c r="D13837">
        <f>IF(B13837=C13837, "YES", "WRONG")</f>
        <v/>
      </c>
    </row>
    <row r="13838">
      <c r="A13838" t="n">
        <v>13837</v>
      </c>
      <c r="B13838" t="inlineStr">
        <is>
          <t>x̄MMMDCCCXXXVII</t>
        </is>
      </c>
      <c r="C13838">
        <f>ROMAN(13837)</f>
        <v/>
      </c>
      <c r="D13838">
        <f>IF(B13838=C13838, "YES", "WRONG")</f>
        <v/>
      </c>
    </row>
    <row r="13839">
      <c r="A13839" t="n">
        <v>13838</v>
      </c>
      <c r="B13839" t="inlineStr">
        <is>
          <t>x̄MMMDCCCXXXVIII</t>
        </is>
      </c>
      <c r="C13839">
        <f>ROMAN(13838)</f>
        <v/>
      </c>
      <c r="D13839">
        <f>IF(B13839=C13839, "YES", "WRONG")</f>
        <v/>
      </c>
    </row>
    <row r="13840">
      <c r="A13840" t="n">
        <v>13839</v>
      </c>
      <c r="B13840" t="inlineStr">
        <is>
          <t>x̄MMMDCCCXXXIX</t>
        </is>
      </c>
      <c r="C13840">
        <f>ROMAN(13839)</f>
        <v/>
      </c>
      <c r="D13840">
        <f>IF(B13840=C13840, "YES", "WRONG")</f>
        <v/>
      </c>
    </row>
    <row r="13841">
      <c r="A13841" t="n">
        <v>13840</v>
      </c>
      <c r="B13841" t="inlineStr">
        <is>
          <t>x̄MMMDCCCXL</t>
        </is>
      </c>
      <c r="C13841">
        <f>ROMAN(13840)</f>
        <v/>
      </c>
      <c r="D13841">
        <f>IF(B13841=C13841, "YES", "WRONG")</f>
        <v/>
      </c>
    </row>
    <row r="13842">
      <c r="A13842" t="n">
        <v>13841</v>
      </c>
      <c r="B13842" t="inlineStr">
        <is>
          <t>x̄MMMDCCCXLI</t>
        </is>
      </c>
      <c r="C13842">
        <f>ROMAN(13841)</f>
        <v/>
      </c>
      <c r="D13842">
        <f>IF(B13842=C13842, "YES", "WRONG")</f>
        <v/>
      </c>
    </row>
    <row r="13843">
      <c r="A13843" t="n">
        <v>13842</v>
      </c>
      <c r="B13843" t="inlineStr">
        <is>
          <t>x̄MMMDCCCXLII</t>
        </is>
      </c>
      <c r="C13843">
        <f>ROMAN(13842)</f>
        <v/>
      </c>
      <c r="D13843">
        <f>IF(B13843=C13843, "YES", "WRONG")</f>
        <v/>
      </c>
    </row>
    <row r="13844">
      <c r="A13844" t="n">
        <v>13843</v>
      </c>
      <c r="B13844" t="inlineStr">
        <is>
          <t>x̄MMMDCCCXLIII</t>
        </is>
      </c>
      <c r="C13844">
        <f>ROMAN(13843)</f>
        <v/>
      </c>
      <c r="D13844">
        <f>IF(B13844=C13844, "YES", "WRONG")</f>
        <v/>
      </c>
    </row>
    <row r="13845">
      <c r="A13845" t="n">
        <v>13844</v>
      </c>
      <c r="B13845" t="inlineStr">
        <is>
          <t>x̄MMMDCCCXLIV</t>
        </is>
      </c>
      <c r="C13845">
        <f>ROMAN(13844)</f>
        <v/>
      </c>
      <c r="D13845">
        <f>IF(B13845=C13845, "YES", "WRONG")</f>
        <v/>
      </c>
    </row>
    <row r="13846">
      <c r="A13846" t="n">
        <v>13845</v>
      </c>
      <c r="B13846" t="inlineStr">
        <is>
          <t>x̄MMMDCCCXLV</t>
        </is>
      </c>
      <c r="C13846">
        <f>ROMAN(13845)</f>
        <v/>
      </c>
      <c r="D13846">
        <f>IF(B13846=C13846, "YES", "WRONG")</f>
        <v/>
      </c>
    </row>
    <row r="13847">
      <c r="A13847" t="n">
        <v>13846</v>
      </c>
      <c r="B13847" t="inlineStr">
        <is>
          <t>x̄MMMDCCCXLVI</t>
        </is>
      </c>
      <c r="C13847">
        <f>ROMAN(13846)</f>
        <v/>
      </c>
      <c r="D13847">
        <f>IF(B13847=C13847, "YES", "WRONG")</f>
        <v/>
      </c>
    </row>
    <row r="13848">
      <c r="A13848" t="n">
        <v>13847</v>
      </c>
      <c r="B13848" t="inlineStr">
        <is>
          <t>x̄MMMDCCCXLVII</t>
        </is>
      </c>
      <c r="C13848">
        <f>ROMAN(13847)</f>
        <v/>
      </c>
      <c r="D13848">
        <f>IF(B13848=C13848, "YES", "WRONG")</f>
        <v/>
      </c>
    </row>
    <row r="13849">
      <c r="A13849" t="n">
        <v>13848</v>
      </c>
      <c r="B13849" t="inlineStr">
        <is>
          <t>x̄MMMDCCCXLVIII</t>
        </is>
      </c>
      <c r="C13849">
        <f>ROMAN(13848)</f>
        <v/>
      </c>
      <c r="D13849">
        <f>IF(B13849=C13849, "YES", "WRONG")</f>
        <v/>
      </c>
    </row>
    <row r="13850">
      <c r="A13850" t="n">
        <v>13849</v>
      </c>
      <c r="B13850" t="inlineStr">
        <is>
          <t>x̄MMMDCCCXLIX</t>
        </is>
      </c>
      <c r="C13850">
        <f>ROMAN(13849)</f>
        <v/>
      </c>
      <c r="D13850">
        <f>IF(B13850=C13850, "YES", "WRONG")</f>
        <v/>
      </c>
    </row>
    <row r="13851">
      <c r="A13851" t="n">
        <v>13850</v>
      </c>
      <c r="B13851" t="inlineStr">
        <is>
          <t>x̄MMMDCCCL</t>
        </is>
      </c>
      <c r="C13851">
        <f>ROMAN(13850)</f>
        <v/>
      </c>
      <c r="D13851">
        <f>IF(B13851=C13851, "YES", "WRONG")</f>
        <v/>
      </c>
    </row>
    <row r="13852">
      <c r="A13852" t="n">
        <v>13851</v>
      </c>
      <c r="B13852" t="inlineStr">
        <is>
          <t>x̄MMMDCCCLI</t>
        </is>
      </c>
      <c r="C13852">
        <f>ROMAN(13851)</f>
        <v/>
      </c>
      <c r="D13852">
        <f>IF(B13852=C13852, "YES", "WRONG")</f>
        <v/>
      </c>
    </row>
    <row r="13853">
      <c r="A13853" t="n">
        <v>13852</v>
      </c>
      <c r="B13853" t="inlineStr">
        <is>
          <t>x̄MMMDCCCLII</t>
        </is>
      </c>
      <c r="C13853">
        <f>ROMAN(13852)</f>
        <v/>
      </c>
      <c r="D13853">
        <f>IF(B13853=C13853, "YES", "WRONG")</f>
        <v/>
      </c>
    </row>
    <row r="13854">
      <c r="A13854" t="n">
        <v>13853</v>
      </c>
      <c r="B13854" t="inlineStr">
        <is>
          <t>x̄MMMDCCCLIII</t>
        </is>
      </c>
      <c r="C13854">
        <f>ROMAN(13853)</f>
        <v/>
      </c>
      <c r="D13854">
        <f>IF(B13854=C13854, "YES", "WRONG")</f>
        <v/>
      </c>
    </row>
    <row r="13855">
      <c r="A13855" t="n">
        <v>13854</v>
      </c>
      <c r="B13855" t="inlineStr">
        <is>
          <t>x̄MMMDCCCLIV</t>
        </is>
      </c>
      <c r="C13855">
        <f>ROMAN(13854)</f>
        <v/>
      </c>
      <c r="D13855">
        <f>IF(B13855=C13855, "YES", "WRONG")</f>
        <v/>
      </c>
    </row>
    <row r="13856">
      <c r="A13856" t="n">
        <v>13855</v>
      </c>
      <c r="B13856" t="inlineStr">
        <is>
          <t>x̄MMMDCCCLV</t>
        </is>
      </c>
      <c r="C13856">
        <f>ROMAN(13855)</f>
        <v/>
      </c>
      <c r="D13856">
        <f>IF(B13856=C13856, "YES", "WRONG")</f>
        <v/>
      </c>
    </row>
    <row r="13857">
      <c r="A13857" t="n">
        <v>13856</v>
      </c>
      <c r="B13857" t="inlineStr">
        <is>
          <t>x̄MMMDCCCLVI</t>
        </is>
      </c>
      <c r="C13857">
        <f>ROMAN(13856)</f>
        <v/>
      </c>
      <c r="D13857">
        <f>IF(B13857=C13857, "YES", "WRONG")</f>
        <v/>
      </c>
    </row>
    <row r="13858">
      <c r="A13858" t="n">
        <v>13857</v>
      </c>
      <c r="B13858" t="inlineStr">
        <is>
          <t>x̄MMMDCCCLVII</t>
        </is>
      </c>
      <c r="C13858">
        <f>ROMAN(13857)</f>
        <v/>
      </c>
      <c r="D13858">
        <f>IF(B13858=C13858, "YES", "WRONG")</f>
        <v/>
      </c>
    </row>
    <row r="13859">
      <c r="A13859" t="n">
        <v>13858</v>
      </c>
      <c r="B13859" t="inlineStr">
        <is>
          <t>x̄MMMDCCCLVIII</t>
        </is>
      </c>
      <c r="C13859">
        <f>ROMAN(13858)</f>
        <v/>
      </c>
      <c r="D13859">
        <f>IF(B13859=C13859, "YES", "WRONG")</f>
        <v/>
      </c>
    </row>
    <row r="13860">
      <c r="A13860" t="n">
        <v>13859</v>
      </c>
      <c r="B13860" t="inlineStr">
        <is>
          <t>x̄MMMDCCCLIX</t>
        </is>
      </c>
      <c r="C13860">
        <f>ROMAN(13859)</f>
        <v/>
      </c>
      <c r="D13860">
        <f>IF(B13860=C13860, "YES", "WRONG")</f>
        <v/>
      </c>
    </row>
    <row r="13861">
      <c r="A13861" t="n">
        <v>13860</v>
      </c>
      <c r="B13861" t="inlineStr">
        <is>
          <t>x̄MMMDCCCLX</t>
        </is>
      </c>
      <c r="C13861">
        <f>ROMAN(13860)</f>
        <v/>
      </c>
      <c r="D13861">
        <f>IF(B13861=C13861, "YES", "WRONG")</f>
        <v/>
      </c>
    </row>
    <row r="13862">
      <c r="A13862" t="n">
        <v>13861</v>
      </c>
      <c r="B13862" t="inlineStr">
        <is>
          <t>x̄MMMDCCCLXI</t>
        </is>
      </c>
      <c r="C13862">
        <f>ROMAN(13861)</f>
        <v/>
      </c>
      <c r="D13862">
        <f>IF(B13862=C13862, "YES", "WRONG")</f>
        <v/>
      </c>
    </row>
    <row r="13863">
      <c r="A13863" t="n">
        <v>13862</v>
      </c>
      <c r="B13863" t="inlineStr">
        <is>
          <t>x̄MMMDCCCLXII</t>
        </is>
      </c>
      <c r="C13863">
        <f>ROMAN(13862)</f>
        <v/>
      </c>
      <c r="D13863">
        <f>IF(B13863=C13863, "YES", "WRONG")</f>
        <v/>
      </c>
    </row>
    <row r="13864">
      <c r="A13864" t="n">
        <v>13863</v>
      </c>
      <c r="B13864" t="inlineStr">
        <is>
          <t>x̄MMMDCCCLXIII</t>
        </is>
      </c>
      <c r="C13864">
        <f>ROMAN(13863)</f>
        <v/>
      </c>
      <c r="D13864">
        <f>IF(B13864=C13864, "YES", "WRONG")</f>
        <v/>
      </c>
    </row>
    <row r="13865">
      <c r="A13865" t="n">
        <v>13864</v>
      </c>
      <c r="B13865" t="inlineStr">
        <is>
          <t>x̄MMMDCCCLXIV</t>
        </is>
      </c>
      <c r="C13865">
        <f>ROMAN(13864)</f>
        <v/>
      </c>
      <c r="D13865">
        <f>IF(B13865=C13865, "YES", "WRONG")</f>
        <v/>
      </c>
    </row>
    <row r="13866">
      <c r="A13866" t="n">
        <v>13865</v>
      </c>
      <c r="B13866" t="inlineStr">
        <is>
          <t>x̄MMMDCCCLXV</t>
        </is>
      </c>
      <c r="C13866">
        <f>ROMAN(13865)</f>
        <v/>
      </c>
      <c r="D13866">
        <f>IF(B13866=C13866, "YES", "WRONG")</f>
        <v/>
      </c>
    </row>
    <row r="13867">
      <c r="A13867" t="n">
        <v>13866</v>
      </c>
      <c r="B13867" t="inlineStr">
        <is>
          <t>x̄MMMDCCCLXVI</t>
        </is>
      </c>
      <c r="C13867">
        <f>ROMAN(13866)</f>
        <v/>
      </c>
      <c r="D13867">
        <f>IF(B13867=C13867, "YES", "WRONG")</f>
        <v/>
      </c>
    </row>
    <row r="13868">
      <c r="A13868" t="n">
        <v>13867</v>
      </c>
      <c r="B13868" t="inlineStr">
        <is>
          <t>x̄MMMDCCCLXVII</t>
        </is>
      </c>
      <c r="C13868">
        <f>ROMAN(13867)</f>
        <v/>
      </c>
      <c r="D13868">
        <f>IF(B13868=C13868, "YES", "WRONG")</f>
        <v/>
      </c>
    </row>
    <row r="13869">
      <c r="A13869" t="n">
        <v>13868</v>
      </c>
      <c r="B13869" t="inlineStr">
        <is>
          <t>x̄MMMDCCCLXVIII</t>
        </is>
      </c>
      <c r="C13869">
        <f>ROMAN(13868)</f>
        <v/>
      </c>
      <c r="D13869">
        <f>IF(B13869=C13869, "YES", "WRONG")</f>
        <v/>
      </c>
    </row>
    <row r="13870">
      <c r="A13870" t="n">
        <v>13869</v>
      </c>
      <c r="B13870" t="inlineStr">
        <is>
          <t>x̄MMMDCCCLXIX</t>
        </is>
      </c>
      <c r="C13870">
        <f>ROMAN(13869)</f>
        <v/>
      </c>
      <c r="D13870">
        <f>IF(B13870=C13870, "YES", "WRONG")</f>
        <v/>
      </c>
    </row>
    <row r="13871">
      <c r="A13871" t="n">
        <v>13870</v>
      </c>
      <c r="B13871" t="inlineStr">
        <is>
          <t>x̄MMMDCCCLXX</t>
        </is>
      </c>
      <c r="C13871">
        <f>ROMAN(13870)</f>
        <v/>
      </c>
      <c r="D13871">
        <f>IF(B13871=C13871, "YES", "WRONG")</f>
        <v/>
      </c>
    </row>
    <row r="13872">
      <c r="A13872" t="n">
        <v>13871</v>
      </c>
      <c r="B13872" t="inlineStr">
        <is>
          <t>x̄MMMDCCCLXXI</t>
        </is>
      </c>
      <c r="C13872">
        <f>ROMAN(13871)</f>
        <v/>
      </c>
      <c r="D13872">
        <f>IF(B13872=C13872, "YES", "WRONG")</f>
        <v/>
      </c>
    </row>
    <row r="13873">
      <c r="A13873" t="n">
        <v>13872</v>
      </c>
      <c r="B13873" t="inlineStr">
        <is>
          <t>x̄MMMDCCCLXXII</t>
        </is>
      </c>
      <c r="C13873">
        <f>ROMAN(13872)</f>
        <v/>
      </c>
      <c r="D13873">
        <f>IF(B13873=C13873, "YES", "WRONG")</f>
        <v/>
      </c>
    </row>
    <row r="13874">
      <c r="A13874" t="n">
        <v>13873</v>
      </c>
      <c r="B13874" t="inlineStr">
        <is>
          <t>x̄MMMDCCCLXXIII</t>
        </is>
      </c>
      <c r="C13874">
        <f>ROMAN(13873)</f>
        <v/>
      </c>
      <c r="D13874">
        <f>IF(B13874=C13874, "YES", "WRONG")</f>
        <v/>
      </c>
    </row>
    <row r="13875">
      <c r="A13875" t="n">
        <v>13874</v>
      </c>
      <c r="B13875" t="inlineStr">
        <is>
          <t>x̄MMMDCCCLXXIV</t>
        </is>
      </c>
      <c r="C13875">
        <f>ROMAN(13874)</f>
        <v/>
      </c>
      <c r="D13875">
        <f>IF(B13875=C13875, "YES", "WRONG")</f>
        <v/>
      </c>
    </row>
    <row r="13876">
      <c r="A13876" t="n">
        <v>13875</v>
      </c>
      <c r="B13876" t="inlineStr">
        <is>
          <t>x̄MMMDCCCLXXV</t>
        </is>
      </c>
      <c r="C13876">
        <f>ROMAN(13875)</f>
        <v/>
      </c>
      <c r="D13876">
        <f>IF(B13876=C13876, "YES", "WRONG")</f>
        <v/>
      </c>
    </row>
    <row r="13877">
      <c r="A13877" t="n">
        <v>13876</v>
      </c>
      <c r="B13877" t="inlineStr">
        <is>
          <t>x̄MMMDCCCLXXVI</t>
        </is>
      </c>
      <c r="C13877">
        <f>ROMAN(13876)</f>
        <v/>
      </c>
      <c r="D13877">
        <f>IF(B13877=C13877, "YES", "WRONG")</f>
        <v/>
      </c>
    </row>
    <row r="13878">
      <c r="A13878" t="n">
        <v>13877</v>
      </c>
      <c r="B13878" t="inlineStr">
        <is>
          <t>x̄MMMDCCCLXXVII</t>
        </is>
      </c>
      <c r="C13878">
        <f>ROMAN(13877)</f>
        <v/>
      </c>
      <c r="D13878">
        <f>IF(B13878=C13878, "YES", "WRONG")</f>
        <v/>
      </c>
    </row>
    <row r="13879">
      <c r="A13879" t="n">
        <v>13878</v>
      </c>
      <c r="B13879" t="inlineStr">
        <is>
          <t>x̄MMMDCCCLXXVIII</t>
        </is>
      </c>
      <c r="C13879">
        <f>ROMAN(13878)</f>
        <v/>
      </c>
      <c r="D13879">
        <f>IF(B13879=C13879, "YES", "WRONG")</f>
        <v/>
      </c>
    </row>
    <row r="13880">
      <c r="A13880" t="n">
        <v>13879</v>
      </c>
      <c r="B13880" t="inlineStr">
        <is>
          <t>x̄MMMDCCCLXXIX</t>
        </is>
      </c>
      <c r="C13880">
        <f>ROMAN(13879)</f>
        <v/>
      </c>
      <c r="D13880">
        <f>IF(B13880=C13880, "YES", "WRONG")</f>
        <v/>
      </c>
    </row>
    <row r="13881">
      <c r="A13881" t="n">
        <v>13880</v>
      </c>
      <c r="B13881" t="inlineStr">
        <is>
          <t>x̄MMMDCCCLXXX</t>
        </is>
      </c>
      <c r="C13881">
        <f>ROMAN(13880)</f>
        <v/>
      </c>
      <c r="D13881">
        <f>IF(B13881=C13881, "YES", "WRONG")</f>
        <v/>
      </c>
    </row>
    <row r="13882">
      <c r="A13882" t="n">
        <v>13881</v>
      </c>
      <c r="B13882" t="inlineStr">
        <is>
          <t>x̄MMMDCCCLXXXI</t>
        </is>
      </c>
      <c r="C13882">
        <f>ROMAN(13881)</f>
        <v/>
      </c>
      <c r="D13882">
        <f>IF(B13882=C13882, "YES", "WRONG")</f>
        <v/>
      </c>
    </row>
    <row r="13883">
      <c r="A13883" t="n">
        <v>13882</v>
      </c>
      <c r="B13883" t="inlineStr">
        <is>
          <t>x̄MMMDCCCLXXXII</t>
        </is>
      </c>
      <c r="C13883">
        <f>ROMAN(13882)</f>
        <v/>
      </c>
      <c r="D13883">
        <f>IF(B13883=C13883, "YES", "WRONG")</f>
        <v/>
      </c>
    </row>
    <row r="13884">
      <c r="A13884" t="n">
        <v>13883</v>
      </c>
      <c r="B13884" t="inlineStr">
        <is>
          <t>x̄MMMDCCCLXXXIII</t>
        </is>
      </c>
      <c r="C13884">
        <f>ROMAN(13883)</f>
        <v/>
      </c>
      <c r="D13884">
        <f>IF(B13884=C13884, "YES", "WRONG")</f>
        <v/>
      </c>
    </row>
    <row r="13885">
      <c r="A13885" t="n">
        <v>13884</v>
      </c>
      <c r="B13885" t="inlineStr">
        <is>
          <t>x̄MMMDCCCLXXXIV</t>
        </is>
      </c>
      <c r="C13885">
        <f>ROMAN(13884)</f>
        <v/>
      </c>
      <c r="D13885">
        <f>IF(B13885=C13885, "YES", "WRONG")</f>
        <v/>
      </c>
    </row>
    <row r="13886">
      <c r="A13886" t="n">
        <v>13885</v>
      </c>
      <c r="B13886" t="inlineStr">
        <is>
          <t>x̄MMMDCCCLXXXV</t>
        </is>
      </c>
      <c r="C13886">
        <f>ROMAN(13885)</f>
        <v/>
      </c>
      <c r="D13886">
        <f>IF(B13886=C13886, "YES", "WRONG")</f>
        <v/>
      </c>
    </row>
    <row r="13887">
      <c r="A13887" t="n">
        <v>13886</v>
      </c>
      <c r="B13887" t="inlineStr">
        <is>
          <t>x̄MMMDCCCLXXXVI</t>
        </is>
      </c>
      <c r="C13887">
        <f>ROMAN(13886)</f>
        <v/>
      </c>
      <c r="D13887">
        <f>IF(B13887=C13887, "YES", "WRONG")</f>
        <v/>
      </c>
    </row>
    <row r="13888">
      <c r="A13888" t="n">
        <v>13887</v>
      </c>
      <c r="B13888" t="inlineStr">
        <is>
          <t>x̄MMMDCCCLXXXVII</t>
        </is>
      </c>
      <c r="C13888">
        <f>ROMAN(13887)</f>
        <v/>
      </c>
      <c r="D13888">
        <f>IF(B13888=C13888, "YES", "WRONG")</f>
        <v/>
      </c>
    </row>
    <row r="13889">
      <c r="A13889" t="n">
        <v>13888</v>
      </c>
      <c r="B13889" t="inlineStr">
        <is>
          <t>x̄MMMDCCCLXXXVIII</t>
        </is>
      </c>
      <c r="C13889">
        <f>ROMAN(13888)</f>
        <v/>
      </c>
      <c r="D13889">
        <f>IF(B13889=C13889, "YES", "WRONG")</f>
        <v/>
      </c>
    </row>
    <row r="13890">
      <c r="A13890" t="n">
        <v>13889</v>
      </c>
      <c r="B13890" t="inlineStr">
        <is>
          <t>x̄MMMDCCCLXXXIX</t>
        </is>
      </c>
      <c r="C13890">
        <f>ROMAN(13889)</f>
        <v/>
      </c>
      <c r="D13890">
        <f>IF(B13890=C13890, "YES", "WRONG")</f>
        <v/>
      </c>
    </row>
    <row r="13891">
      <c r="A13891" t="n">
        <v>13890</v>
      </c>
      <c r="B13891" t="inlineStr">
        <is>
          <t>x̄MMMDCCCXC</t>
        </is>
      </c>
      <c r="C13891">
        <f>ROMAN(13890)</f>
        <v/>
      </c>
      <c r="D13891">
        <f>IF(B13891=C13891, "YES", "WRONG")</f>
        <v/>
      </c>
    </row>
    <row r="13892">
      <c r="A13892" t="n">
        <v>13891</v>
      </c>
      <c r="B13892" t="inlineStr">
        <is>
          <t>x̄MMMDCCCXCI</t>
        </is>
      </c>
      <c r="C13892">
        <f>ROMAN(13891)</f>
        <v/>
      </c>
      <c r="D13892">
        <f>IF(B13892=C13892, "YES", "WRONG")</f>
        <v/>
      </c>
    </row>
    <row r="13893">
      <c r="A13893" t="n">
        <v>13892</v>
      </c>
      <c r="B13893" t="inlineStr">
        <is>
          <t>x̄MMMDCCCXCII</t>
        </is>
      </c>
      <c r="C13893">
        <f>ROMAN(13892)</f>
        <v/>
      </c>
      <c r="D13893">
        <f>IF(B13893=C13893, "YES", "WRONG")</f>
        <v/>
      </c>
    </row>
    <row r="13894">
      <c r="A13894" t="n">
        <v>13893</v>
      </c>
      <c r="B13894" t="inlineStr">
        <is>
          <t>x̄MMMDCCCXCIII</t>
        </is>
      </c>
      <c r="C13894">
        <f>ROMAN(13893)</f>
        <v/>
      </c>
      <c r="D13894">
        <f>IF(B13894=C13894, "YES", "WRONG")</f>
        <v/>
      </c>
    </row>
    <row r="13895">
      <c r="A13895" t="n">
        <v>13894</v>
      </c>
      <c r="B13895" t="inlineStr">
        <is>
          <t>x̄MMMDCCCXCIV</t>
        </is>
      </c>
      <c r="C13895">
        <f>ROMAN(13894)</f>
        <v/>
      </c>
      <c r="D13895">
        <f>IF(B13895=C13895, "YES", "WRONG")</f>
        <v/>
      </c>
    </row>
    <row r="13896">
      <c r="A13896" t="n">
        <v>13895</v>
      </c>
      <c r="B13896" t="inlineStr">
        <is>
          <t>x̄MMMDCCCXCV</t>
        </is>
      </c>
      <c r="C13896">
        <f>ROMAN(13895)</f>
        <v/>
      </c>
      <c r="D13896">
        <f>IF(B13896=C13896, "YES", "WRONG")</f>
        <v/>
      </c>
    </row>
    <row r="13897">
      <c r="A13897" t="n">
        <v>13896</v>
      </c>
      <c r="B13897" t="inlineStr">
        <is>
          <t>x̄MMMDCCCXCVI</t>
        </is>
      </c>
      <c r="C13897">
        <f>ROMAN(13896)</f>
        <v/>
      </c>
      <c r="D13897">
        <f>IF(B13897=C13897, "YES", "WRONG")</f>
        <v/>
      </c>
    </row>
    <row r="13898">
      <c r="A13898" t="n">
        <v>13897</v>
      </c>
      <c r="B13898" t="inlineStr">
        <is>
          <t>x̄MMMDCCCXCVII</t>
        </is>
      </c>
      <c r="C13898">
        <f>ROMAN(13897)</f>
        <v/>
      </c>
      <c r="D13898">
        <f>IF(B13898=C13898, "YES", "WRONG")</f>
        <v/>
      </c>
    </row>
    <row r="13899">
      <c r="A13899" t="n">
        <v>13898</v>
      </c>
      <c r="B13899" t="inlineStr">
        <is>
          <t>x̄MMMDCCCXCVIII</t>
        </is>
      </c>
      <c r="C13899">
        <f>ROMAN(13898)</f>
        <v/>
      </c>
      <c r="D13899">
        <f>IF(B13899=C13899, "YES", "WRONG")</f>
        <v/>
      </c>
    </row>
    <row r="13900">
      <c r="A13900" t="n">
        <v>13899</v>
      </c>
      <c r="B13900" t="inlineStr">
        <is>
          <t>x̄MMMDCCCXCIX</t>
        </is>
      </c>
      <c r="C13900">
        <f>ROMAN(13899)</f>
        <v/>
      </c>
      <c r="D13900">
        <f>IF(B13900=C13900, "YES", "WRONG")</f>
        <v/>
      </c>
    </row>
    <row r="13901">
      <c r="A13901" t="n">
        <v>13900</v>
      </c>
      <c r="B13901" t="inlineStr">
        <is>
          <t>x̄MMMCM</t>
        </is>
      </c>
      <c r="C13901">
        <f>ROMAN(13900)</f>
        <v/>
      </c>
      <c r="D13901">
        <f>IF(B13901=C13901, "YES", "WRONG")</f>
        <v/>
      </c>
    </row>
    <row r="13902">
      <c r="A13902" t="n">
        <v>13901</v>
      </c>
      <c r="B13902" t="inlineStr">
        <is>
          <t>x̄MMMCMI</t>
        </is>
      </c>
      <c r="C13902">
        <f>ROMAN(13901)</f>
        <v/>
      </c>
      <c r="D13902">
        <f>IF(B13902=C13902, "YES", "WRONG")</f>
        <v/>
      </c>
    </row>
    <row r="13903">
      <c r="A13903" t="n">
        <v>13902</v>
      </c>
      <c r="B13903" t="inlineStr">
        <is>
          <t>x̄MMMCMII</t>
        </is>
      </c>
      <c r="C13903">
        <f>ROMAN(13902)</f>
        <v/>
      </c>
      <c r="D13903">
        <f>IF(B13903=C13903, "YES", "WRONG")</f>
        <v/>
      </c>
    </row>
    <row r="13904">
      <c r="A13904" t="n">
        <v>13903</v>
      </c>
      <c r="B13904" t="inlineStr">
        <is>
          <t>x̄MMMCMIII</t>
        </is>
      </c>
      <c r="C13904">
        <f>ROMAN(13903)</f>
        <v/>
      </c>
      <c r="D13904">
        <f>IF(B13904=C13904, "YES", "WRONG")</f>
        <v/>
      </c>
    </row>
    <row r="13905">
      <c r="A13905" t="n">
        <v>13904</v>
      </c>
      <c r="B13905" t="inlineStr">
        <is>
          <t>x̄MMMCMIV</t>
        </is>
      </c>
      <c r="C13905">
        <f>ROMAN(13904)</f>
        <v/>
      </c>
      <c r="D13905">
        <f>IF(B13905=C13905, "YES", "WRONG")</f>
        <v/>
      </c>
    </row>
    <row r="13906">
      <c r="A13906" t="n">
        <v>13905</v>
      </c>
      <c r="B13906" t="inlineStr">
        <is>
          <t>x̄MMMCMV</t>
        </is>
      </c>
      <c r="C13906">
        <f>ROMAN(13905)</f>
        <v/>
      </c>
      <c r="D13906">
        <f>IF(B13906=C13906, "YES", "WRONG")</f>
        <v/>
      </c>
    </row>
    <row r="13907">
      <c r="A13907" t="n">
        <v>13906</v>
      </c>
      <c r="B13907" t="inlineStr">
        <is>
          <t>x̄MMMCMVI</t>
        </is>
      </c>
      <c r="C13907">
        <f>ROMAN(13906)</f>
        <v/>
      </c>
      <c r="D13907">
        <f>IF(B13907=C13907, "YES", "WRONG")</f>
        <v/>
      </c>
    </row>
    <row r="13908">
      <c r="A13908" t="n">
        <v>13907</v>
      </c>
      <c r="B13908" t="inlineStr">
        <is>
          <t>x̄MMMCMVII</t>
        </is>
      </c>
      <c r="C13908">
        <f>ROMAN(13907)</f>
        <v/>
      </c>
      <c r="D13908">
        <f>IF(B13908=C13908, "YES", "WRONG")</f>
        <v/>
      </c>
    </row>
    <row r="13909">
      <c r="A13909" t="n">
        <v>13908</v>
      </c>
      <c r="B13909" t="inlineStr">
        <is>
          <t>x̄MMMCMVIII</t>
        </is>
      </c>
      <c r="C13909">
        <f>ROMAN(13908)</f>
        <v/>
      </c>
      <c r="D13909">
        <f>IF(B13909=C13909, "YES", "WRONG")</f>
        <v/>
      </c>
    </row>
    <row r="13910">
      <c r="A13910" t="n">
        <v>13909</v>
      </c>
      <c r="B13910" t="inlineStr">
        <is>
          <t>x̄MMMCMIX</t>
        </is>
      </c>
      <c r="C13910">
        <f>ROMAN(13909)</f>
        <v/>
      </c>
      <c r="D13910">
        <f>IF(B13910=C13910, "YES", "WRONG")</f>
        <v/>
      </c>
    </row>
    <row r="13911">
      <c r="A13911" t="n">
        <v>13910</v>
      </c>
      <c r="B13911" t="inlineStr">
        <is>
          <t>x̄MMMCMX</t>
        </is>
      </c>
      <c r="C13911">
        <f>ROMAN(13910)</f>
        <v/>
      </c>
      <c r="D13911">
        <f>IF(B13911=C13911, "YES", "WRONG")</f>
        <v/>
      </c>
    </row>
    <row r="13912">
      <c r="A13912" t="n">
        <v>13911</v>
      </c>
      <c r="B13912" t="inlineStr">
        <is>
          <t>x̄MMMCMXI</t>
        </is>
      </c>
      <c r="C13912">
        <f>ROMAN(13911)</f>
        <v/>
      </c>
      <c r="D13912">
        <f>IF(B13912=C13912, "YES", "WRONG")</f>
        <v/>
      </c>
    </row>
    <row r="13913">
      <c r="A13913" t="n">
        <v>13912</v>
      </c>
      <c r="B13913" t="inlineStr">
        <is>
          <t>x̄MMMCMXII</t>
        </is>
      </c>
      <c r="C13913">
        <f>ROMAN(13912)</f>
        <v/>
      </c>
      <c r="D13913">
        <f>IF(B13913=C13913, "YES", "WRONG")</f>
        <v/>
      </c>
    </row>
    <row r="13914">
      <c r="A13914" t="n">
        <v>13913</v>
      </c>
      <c r="B13914" t="inlineStr">
        <is>
          <t>x̄MMMCMXIII</t>
        </is>
      </c>
      <c r="C13914">
        <f>ROMAN(13913)</f>
        <v/>
      </c>
      <c r="D13914">
        <f>IF(B13914=C13914, "YES", "WRONG")</f>
        <v/>
      </c>
    </row>
    <row r="13915">
      <c r="A13915" t="n">
        <v>13914</v>
      </c>
      <c r="B13915" t="inlineStr">
        <is>
          <t>x̄MMMCMXIV</t>
        </is>
      </c>
      <c r="C13915">
        <f>ROMAN(13914)</f>
        <v/>
      </c>
      <c r="D13915">
        <f>IF(B13915=C13915, "YES", "WRONG")</f>
        <v/>
      </c>
    </row>
    <row r="13916">
      <c r="A13916" t="n">
        <v>13915</v>
      </c>
      <c r="B13916" t="inlineStr">
        <is>
          <t>x̄MMMCMXV</t>
        </is>
      </c>
      <c r="C13916">
        <f>ROMAN(13915)</f>
        <v/>
      </c>
      <c r="D13916">
        <f>IF(B13916=C13916, "YES", "WRONG")</f>
        <v/>
      </c>
    </row>
    <row r="13917">
      <c r="A13917" t="n">
        <v>13916</v>
      </c>
      <c r="B13917" t="inlineStr">
        <is>
          <t>x̄MMMCMXVI</t>
        </is>
      </c>
      <c r="C13917">
        <f>ROMAN(13916)</f>
        <v/>
      </c>
      <c r="D13917">
        <f>IF(B13917=C13917, "YES", "WRONG")</f>
        <v/>
      </c>
    </row>
    <row r="13918">
      <c r="A13918" t="n">
        <v>13917</v>
      </c>
      <c r="B13918" t="inlineStr">
        <is>
          <t>x̄MMMCMXVII</t>
        </is>
      </c>
      <c r="C13918">
        <f>ROMAN(13917)</f>
        <v/>
      </c>
      <c r="D13918">
        <f>IF(B13918=C13918, "YES", "WRONG")</f>
        <v/>
      </c>
    </row>
    <row r="13919">
      <c r="A13919" t="n">
        <v>13918</v>
      </c>
      <c r="B13919" t="inlineStr">
        <is>
          <t>x̄MMMCMXVIII</t>
        </is>
      </c>
      <c r="C13919">
        <f>ROMAN(13918)</f>
        <v/>
      </c>
      <c r="D13919">
        <f>IF(B13919=C13919, "YES", "WRONG")</f>
        <v/>
      </c>
    </row>
    <row r="13920">
      <c r="A13920" t="n">
        <v>13919</v>
      </c>
      <c r="B13920" t="inlineStr">
        <is>
          <t>x̄MMMCMXIX</t>
        </is>
      </c>
      <c r="C13920">
        <f>ROMAN(13919)</f>
        <v/>
      </c>
      <c r="D13920">
        <f>IF(B13920=C13920, "YES", "WRONG")</f>
        <v/>
      </c>
    </row>
    <row r="13921">
      <c r="A13921" t="n">
        <v>13920</v>
      </c>
      <c r="B13921" t="inlineStr">
        <is>
          <t>x̄MMMCMXX</t>
        </is>
      </c>
      <c r="C13921">
        <f>ROMAN(13920)</f>
        <v/>
      </c>
      <c r="D13921">
        <f>IF(B13921=C13921, "YES", "WRONG")</f>
        <v/>
      </c>
    </row>
    <row r="13922">
      <c r="A13922" t="n">
        <v>13921</v>
      </c>
      <c r="B13922" t="inlineStr">
        <is>
          <t>x̄MMMCMXXI</t>
        </is>
      </c>
      <c r="C13922">
        <f>ROMAN(13921)</f>
        <v/>
      </c>
      <c r="D13922">
        <f>IF(B13922=C13922, "YES", "WRONG")</f>
        <v/>
      </c>
    </row>
    <row r="13923">
      <c r="A13923" t="n">
        <v>13922</v>
      </c>
      <c r="B13923" t="inlineStr">
        <is>
          <t>x̄MMMCMXXII</t>
        </is>
      </c>
      <c r="C13923">
        <f>ROMAN(13922)</f>
        <v/>
      </c>
      <c r="D13923">
        <f>IF(B13923=C13923, "YES", "WRONG")</f>
        <v/>
      </c>
    </row>
    <row r="13924">
      <c r="A13924" t="n">
        <v>13923</v>
      </c>
      <c r="B13924" t="inlineStr">
        <is>
          <t>x̄MMMCMXXIII</t>
        </is>
      </c>
      <c r="C13924">
        <f>ROMAN(13923)</f>
        <v/>
      </c>
      <c r="D13924">
        <f>IF(B13924=C13924, "YES", "WRONG")</f>
        <v/>
      </c>
    </row>
    <row r="13925">
      <c r="A13925" t="n">
        <v>13924</v>
      </c>
      <c r="B13925" t="inlineStr">
        <is>
          <t>x̄MMMCMXXIV</t>
        </is>
      </c>
      <c r="C13925">
        <f>ROMAN(13924)</f>
        <v/>
      </c>
      <c r="D13925">
        <f>IF(B13925=C13925, "YES", "WRONG")</f>
        <v/>
      </c>
    </row>
    <row r="13926">
      <c r="A13926" t="n">
        <v>13925</v>
      </c>
      <c r="B13926" t="inlineStr">
        <is>
          <t>x̄MMMCMXXV</t>
        </is>
      </c>
      <c r="C13926">
        <f>ROMAN(13925)</f>
        <v/>
      </c>
      <c r="D13926">
        <f>IF(B13926=C13926, "YES", "WRONG")</f>
        <v/>
      </c>
    </row>
    <row r="13927">
      <c r="A13927" t="n">
        <v>13926</v>
      </c>
      <c r="B13927" t="inlineStr">
        <is>
          <t>x̄MMMCMXXVI</t>
        </is>
      </c>
      <c r="C13927">
        <f>ROMAN(13926)</f>
        <v/>
      </c>
      <c r="D13927">
        <f>IF(B13927=C13927, "YES", "WRONG")</f>
        <v/>
      </c>
    </row>
    <row r="13928">
      <c r="A13928" t="n">
        <v>13927</v>
      </c>
      <c r="B13928" t="inlineStr">
        <is>
          <t>x̄MMMCMXXVII</t>
        </is>
      </c>
      <c r="C13928">
        <f>ROMAN(13927)</f>
        <v/>
      </c>
      <c r="D13928">
        <f>IF(B13928=C13928, "YES", "WRONG")</f>
        <v/>
      </c>
    </row>
    <row r="13929">
      <c r="A13929" t="n">
        <v>13928</v>
      </c>
      <c r="B13929" t="inlineStr">
        <is>
          <t>x̄MMMCMXXVIII</t>
        </is>
      </c>
      <c r="C13929">
        <f>ROMAN(13928)</f>
        <v/>
      </c>
      <c r="D13929">
        <f>IF(B13929=C13929, "YES", "WRONG")</f>
        <v/>
      </c>
    </row>
    <row r="13930">
      <c r="A13930" t="n">
        <v>13929</v>
      </c>
      <c r="B13930" t="inlineStr">
        <is>
          <t>x̄MMMCMXXIX</t>
        </is>
      </c>
      <c r="C13930">
        <f>ROMAN(13929)</f>
        <v/>
      </c>
      <c r="D13930">
        <f>IF(B13930=C13930, "YES", "WRONG")</f>
        <v/>
      </c>
    </row>
    <row r="13931">
      <c r="A13931" t="n">
        <v>13930</v>
      </c>
      <c r="B13931" t="inlineStr">
        <is>
          <t>x̄MMMCMXXX</t>
        </is>
      </c>
      <c r="C13931">
        <f>ROMAN(13930)</f>
        <v/>
      </c>
      <c r="D13931">
        <f>IF(B13931=C13931, "YES", "WRONG")</f>
        <v/>
      </c>
    </row>
    <row r="13932">
      <c r="A13932" t="n">
        <v>13931</v>
      </c>
      <c r="B13932" t="inlineStr">
        <is>
          <t>x̄MMMCMXXXI</t>
        </is>
      </c>
      <c r="C13932">
        <f>ROMAN(13931)</f>
        <v/>
      </c>
      <c r="D13932">
        <f>IF(B13932=C13932, "YES", "WRONG")</f>
        <v/>
      </c>
    </row>
    <row r="13933">
      <c r="A13933" t="n">
        <v>13932</v>
      </c>
      <c r="B13933" t="inlineStr">
        <is>
          <t>x̄MMMCMXXXII</t>
        </is>
      </c>
      <c r="C13933">
        <f>ROMAN(13932)</f>
        <v/>
      </c>
      <c r="D13933">
        <f>IF(B13933=C13933, "YES", "WRONG")</f>
        <v/>
      </c>
    </row>
    <row r="13934">
      <c r="A13934" t="n">
        <v>13933</v>
      </c>
      <c r="B13934" t="inlineStr">
        <is>
          <t>x̄MMMCMXXXIII</t>
        </is>
      </c>
      <c r="C13934">
        <f>ROMAN(13933)</f>
        <v/>
      </c>
      <c r="D13934">
        <f>IF(B13934=C13934, "YES", "WRONG")</f>
        <v/>
      </c>
    </row>
    <row r="13935">
      <c r="A13935" t="n">
        <v>13934</v>
      </c>
      <c r="B13935" t="inlineStr">
        <is>
          <t>x̄MMMCMXXXIV</t>
        </is>
      </c>
      <c r="C13935">
        <f>ROMAN(13934)</f>
        <v/>
      </c>
      <c r="D13935">
        <f>IF(B13935=C13935, "YES", "WRONG")</f>
        <v/>
      </c>
    </row>
    <row r="13936">
      <c r="A13936" t="n">
        <v>13935</v>
      </c>
      <c r="B13936" t="inlineStr">
        <is>
          <t>x̄MMMCMXXXV</t>
        </is>
      </c>
      <c r="C13936">
        <f>ROMAN(13935)</f>
        <v/>
      </c>
      <c r="D13936">
        <f>IF(B13936=C13936, "YES", "WRONG")</f>
        <v/>
      </c>
    </row>
    <row r="13937">
      <c r="A13937" t="n">
        <v>13936</v>
      </c>
      <c r="B13937" t="inlineStr">
        <is>
          <t>x̄MMMCMXXXVI</t>
        </is>
      </c>
      <c r="C13937">
        <f>ROMAN(13936)</f>
        <v/>
      </c>
      <c r="D13937">
        <f>IF(B13937=C13937, "YES", "WRONG")</f>
        <v/>
      </c>
    </row>
    <row r="13938">
      <c r="A13938" t="n">
        <v>13937</v>
      </c>
      <c r="B13938" t="inlineStr">
        <is>
          <t>x̄MMMCMXXXVII</t>
        </is>
      </c>
      <c r="C13938">
        <f>ROMAN(13937)</f>
        <v/>
      </c>
      <c r="D13938">
        <f>IF(B13938=C13938, "YES", "WRONG")</f>
        <v/>
      </c>
    </row>
    <row r="13939">
      <c r="A13939" t="n">
        <v>13938</v>
      </c>
      <c r="B13939" t="inlineStr">
        <is>
          <t>x̄MMMCMXXXVIII</t>
        </is>
      </c>
      <c r="C13939">
        <f>ROMAN(13938)</f>
        <v/>
      </c>
      <c r="D13939">
        <f>IF(B13939=C13939, "YES", "WRONG")</f>
        <v/>
      </c>
    </row>
    <row r="13940">
      <c r="A13940" t="n">
        <v>13939</v>
      </c>
      <c r="B13940" t="inlineStr">
        <is>
          <t>x̄MMMCMXXXIX</t>
        </is>
      </c>
      <c r="C13940">
        <f>ROMAN(13939)</f>
        <v/>
      </c>
      <c r="D13940">
        <f>IF(B13940=C13940, "YES", "WRONG")</f>
        <v/>
      </c>
    </row>
    <row r="13941">
      <c r="A13941" t="n">
        <v>13940</v>
      </c>
      <c r="B13941" t="inlineStr">
        <is>
          <t>x̄MMMCMXL</t>
        </is>
      </c>
      <c r="C13941">
        <f>ROMAN(13940)</f>
        <v/>
      </c>
      <c r="D13941">
        <f>IF(B13941=C13941, "YES", "WRONG")</f>
        <v/>
      </c>
    </row>
    <row r="13942">
      <c r="A13942" t="n">
        <v>13941</v>
      </c>
      <c r="B13942" t="inlineStr">
        <is>
          <t>x̄MMMCMXLI</t>
        </is>
      </c>
      <c r="C13942">
        <f>ROMAN(13941)</f>
        <v/>
      </c>
      <c r="D13942">
        <f>IF(B13942=C13942, "YES", "WRONG")</f>
        <v/>
      </c>
    </row>
    <row r="13943">
      <c r="A13943" t="n">
        <v>13942</v>
      </c>
      <c r="B13943" t="inlineStr">
        <is>
          <t>x̄MMMCMXLII</t>
        </is>
      </c>
      <c r="C13943">
        <f>ROMAN(13942)</f>
        <v/>
      </c>
      <c r="D13943">
        <f>IF(B13943=C13943, "YES", "WRONG")</f>
        <v/>
      </c>
    </row>
    <row r="13944">
      <c r="A13944" t="n">
        <v>13943</v>
      </c>
      <c r="B13944" t="inlineStr">
        <is>
          <t>x̄MMMCMXLIII</t>
        </is>
      </c>
      <c r="C13944">
        <f>ROMAN(13943)</f>
        <v/>
      </c>
      <c r="D13944">
        <f>IF(B13944=C13944, "YES", "WRONG")</f>
        <v/>
      </c>
    </row>
    <row r="13945">
      <c r="A13945" t="n">
        <v>13944</v>
      </c>
      <c r="B13945" t="inlineStr">
        <is>
          <t>x̄MMMCMXLIV</t>
        </is>
      </c>
      <c r="C13945">
        <f>ROMAN(13944)</f>
        <v/>
      </c>
      <c r="D13945">
        <f>IF(B13945=C13945, "YES", "WRONG")</f>
        <v/>
      </c>
    </row>
    <row r="13946">
      <c r="A13946" t="n">
        <v>13945</v>
      </c>
      <c r="B13946" t="inlineStr">
        <is>
          <t>x̄MMMCMXLV</t>
        </is>
      </c>
      <c r="C13946">
        <f>ROMAN(13945)</f>
        <v/>
      </c>
      <c r="D13946">
        <f>IF(B13946=C13946, "YES", "WRONG")</f>
        <v/>
      </c>
    </row>
    <row r="13947">
      <c r="A13947" t="n">
        <v>13946</v>
      </c>
      <c r="B13947" t="inlineStr">
        <is>
          <t>x̄MMMCMXLVI</t>
        </is>
      </c>
      <c r="C13947">
        <f>ROMAN(13946)</f>
        <v/>
      </c>
      <c r="D13947">
        <f>IF(B13947=C13947, "YES", "WRONG")</f>
        <v/>
      </c>
    </row>
    <row r="13948">
      <c r="A13948" t="n">
        <v>13947</v>
      </c>
      <c r="B13948" t="inlineStr">
        <is>
          <t>x̄MMMCMXLVII</t>
        </is>
      </c>
      <c r="C13948">
        <f>ROMAN(13947)</f>
        <v/>
      </c>
      <c r="D13948">
        <f>IF(B13948=C13948, "YES", "WRONG")</f>
        <v/>
      </c>
    </row>
    <row r="13949">
      <c r="A13949" t="n">
        <v>13948</v>
      </c>
      <c r="B13949" t="inlineStr">
        <is>
          <t>x̄MMMCMXLVIII</t>
        </is>
      </c>
      <c r="C13949">
        <f>ROMAN(13948)</f>
        <v/>
      </c>
      <c r="D13949">
        <f>IF(B13949=C13949, "YES", "WRONG")</f>
        <v/>
      </c>
    </row>
    <row r="13950">
      <c r="A13950" t="n">
        <v>13949</v>
      </c>
      <c r="B13950" t="inlineStr">
        <is>
          <t>x̄MMMCMXLIX</t>
        </is>
      </c>
      <c r="C13950">
        <f>ROMAN(13949)</f>
        <v/>
      </c>
      <c r="D13950">
        <f>IF(B13950=C13950, "YES", "WRONG")</f>
        <v/>
      </c>
    </row>
    <row r="13951">
      <c r="A13951" t="n">
        <v>13950</v>
      </c>
      <c r="B13951" t="inlineStr">
        <is>
          <t>x̄MMMCML</t>
        </is>
      </c>
      <c r="C13951">
        <f>ROMAN(13950)</f>
        <v/>
      </c>
      <c r="D13951">
        <f>IF(B13951=C13951, "YES", "WRONG")</f>
        <v/>
      </c>
    </row>
    <row r="13952">
      <c r="A13952" t="n">
        <v>13951</v>
      </c>
      <c r="B13952" t="inlineStr">
        <is>
          <t>x̄MMMCMLI</t>
        </is>
      </c>
      <c r="C13952">
        <f>ROMAN(13951)</f>
        <v/>
      </c>
      <c r="D13952">
        <f>IF(B13952=C13952, "YES", "WRONG")</f>
        <v/>
      </c>
    </row>
    <row r="13953">
      <c r="A13953" t="n">
        <v>13952</v>
      </c>
      <c r="B13953" t="inlineStr">
        <is>
          <t>x̄MMMCMLII</t>
        </is>
      </c>
      <c r="C13953">
        <f>ROMAN(13952)</f>
        <v/>
      </c>
      <c r="D13953">
        <f>IF(B13953=C13953, "YES", "WRONG")</f>
        <v/>
      </c>
    </row>
    <row r="13954">
      <c r="A13954" t="n">
        <v>13953</v>
      </c>
      <c r="B13954" t="inlineStr">
        <is>
          <t>x̄MMMCMLIII</t>
        </is>
      </c>
      <c r="C13954">
        <f>ROMAN(13953)</f>
        <v/>
      </c>
      <c r="D13954">
        <f>IF(B13954=C13954, "YES", "WRONG")</f>
        <v/>
      </c>
    </row>
    <row r="13955">
      <c r="A13955" t="n">
        <v>13954</v>
      </c>
      <c r="B13955" t="inlineStr">
        <is>
          <t>x̄MMMCMLIV</t>
        </is>
      </c>
      <c r="C13955">
        <f>ROMAN(13954)</f>
        <v/>
      </c>
      <c r="D13955">
        <f>IF(B13955=C13955, "YES", "WRONG")</f>
        <v/>
      </c>
    </row>
    <row r="13956">
      <c r="A13956" t="n">
        <v>13955</v>
      </c>
      <c r="B13956" t="inlineStr">
        <is>
          <t>x̄MMMCMLV</t>
        </is>
      </c>
      <c r="C13956">
        <f>ROMAN(13955)</f>
        <v/>
      </c>
      <c r="D13956">
        <f>IF(B13956=C13956, "YES", "WRONG")</f>
        <v/>
      </c>
    </row>
    <row r="13957">
      <c r="A13957" t="n">
        <v>13956</v>
      </c>
      <c r="B13957" t="inlineStr">
        <is>
          <t>x̄MMMCMLVI</t>
        </is>
      </c>
      <c r="C13957">
        <f>ROMAN(13956)</f>
        <v/>
      </c>
      <c r="D13957">
        <f>IF(B13957=C13957, "YES", "WRONG")</f>
        <v/>
      </c>
    </row>
    <row r="13958">
      <c r="A13958" t="n">
        <v>13957</v>
      </c>
      <c r="B13958" t="inlineStr">
        <is>
          <t>x̄MMMCMLVII</t>
        </is>
      </c>
      <c r="C13958">
        <f>ROMAN(13957)</f>
        <v/>
      </c>
      <c r="D13958">
        <f>IF(B13958=C13958, "YES", "WRONG")</f>
        <v/>
      </c>
    </row>
    <row r="13959">
      <c r="A13959" t="n">
        <v>13958</v>
      </c>
      <c r="B13959" t="inlineStr">
        <is>
          <t>x̄MMMCMLVIII</t>
        </is>
      </c>
      <c r="C13959">
        <f>ROMAN(13958)</f>
        <v/>
      </c>
      <c r="D13959">
        <f>IF(B13959=C13959, "YES", "WRONG")</f>
        <v/>
      </c>
    </row>
    <row r="13960">
      <c r="A13960" t="n">
        <v>13959</v>
      </c>
      <c r="B13960" t="inlineStr">
        <is>
          <t>x̄MMMCMLIX</t>
        </is>
      </c>
      <c r="C13960">
        <f>ROMAN(13959)</f>
        <v/>
      </c>
      <c r="D13960">
        <f>IF(B13960=C13960, "YES", "WRONG")</f>
        <v/>
      </c>
    </row>
    <row r="13961">
      <c r="A13961" t="n">
        <v>13960</v>
      </c>
      <c r="B13961" t="inlineStr">
        <is>
          <t>x̄MMMCMLX</t>
        </is>
      </c>
      <c r="C13961">
        <f>ROMAN(13960)</f>
        <v/>
      </c>
      <c r="D13961">
        <f>IF(B13961=C13961, "YES", "WRONG")</f>
        <v/>
      </c>
    </row>
    <row r="13962">
      <c r="A13962" t="n">
        <v>13961</v>
      </c>
      <c r="B13962" t="inlineStr">
        <is>
          <t>x̄MMMCMLXI</t>
        </is>
      </c>
      <c r="C13962">
        <f>ROMAN(13961)</f>
        <v/>
      </c>
      <c r="D13962">
        <f>IF(B13962=C13962, "YES", "WRONG")</f>
        <v/>
      </c>
    </row>
    <row r="13963">
      <c r="A13963" t="n">
        <v>13962</v>
      </c>
      <c r="B13963" t="inlineStr">
        <is>
          <t>x̄MMMCMLXII</t>
        </is>
      </c>
      <c r="C13963">
        <f>ROMAN(13962)</f>
        <v/>
      </c>
      <c r="D13963">
        <f>IF(B13963=C13963, "YES", "WRONG")</f>
        <v/>
      </c>
    </row>
    <row r="13964">
      <c r="A13964" t="n">
        <v>13963</v>
      </c>
      <c r="B13964" t="inlineStr">
        <is>
          <t>x̄MMMCMLXIII</t>
        </is>
      </c>
      <c r="C13964">
        <f>ROMAN(13963)</f>
        <v/>
      </c>
      <c r="D13964">
        <f>IF(B13964=C13964, "YES", "WRONG")</f>
        <v/>
      </c>
    </row>
    <row r="13965">
      <c r="A13965" t="n">
        <v>13964</v>
      </c>
      <c r="B13965" t="inlineStr">
        <is>
          <t>x̄MMMCMLXIV</t>
        </is>
      </c>
      <c r="C13965">
        <f>ROMAN(13964)</f>
        <v/>
      </c>
      <c r="D13965">
        <f>IF(B13965=C13965, "YES", "WRONG")</f>
        <v/>
      </c>
    </row>
    <row r="13966">
      <c r="A13966" t="n">
        <v>13965</v>
      </c>
      <c r="B13966" t="inlineStr">
        <is>
          <t>x̄MMMCMLXV</t>
        </is>
      </c>
      <c r="C13966">
        <f>ROMAN(13965)</f>
        <v/>
      </c>
      <c r="D13966">
        <f>IF(B13966=C13966, "YES", "WRONG")</f>
        <v/>
      </c>
    </row>
    <row r="13967">
      <c r="A13967" t="n">
        <v>13966</v>
      </c>
      <c r="B13967" t="inlineStr">
        <is>
          <t>x̄MMMCMLXVI</t>
        </is>
      </c>
      <c r="C13967">
        <f>ROMAN(13966)</f>
        <v/>
      </c>
      <c r="D13967">
        <f>IF(B13967=C13967, "YES", "WRONG")</f>
        <v/>
      </c>
    </row>
    <row r="13968">
      <c r="A13968" t="n">
        <v>13967</v>
      </c>
      <c r="B13968" t="inlineStr">
        <is>
          <t>x̄MMMCMLXVII</t>
        </is>
      </c>
      <c r="C13968">
        <f>ROMAN(13967)</f>
        <v/>
      </c>
      <c r="D13968">
        <f>IF(B13968=C13968, "YES", "WRONG")</f>
        <v/>
      </c>
    </row>
    <row r="13969">
      <c r="A13969" t="n">
        <v>13968</v>
      </c>
      <c r="B13969" t="inlineStr">
        <is>
          <t>x̄MMMCMLXVIII</t>
        </is>
      </c>
      <c r="C13969">
        <f>ROMAN(13968)</f>
        <v/>
      </c>
      <c r="D13969">
        <f>IF(B13969=C13969, "YES", "WRONG")</f>
        <v/>
      </c>
    </row>
    <row r="13970">
      <c r="A13970" t="n">
        <v>13969</v>
      </c>
      <c r="B13970" t="inlineStr">
        <is>
          <t>x̄MMMCMLXIX</t>
        </is>
      </c>
      <c r="C13970">
        <f>ROMAN(13969)</f>
        <v/>
      </c>
      <c r="D13970">
        <f>IF(B13970=C13970, "YES", "WRONG")</f>
        <v/>
      </c>
    </row>
    <row r="13971">
      <c r="A13971" t="n">
        <v>13970</v>
      </c>
      <c r="B13971" t="inlineStr">
        <is>
          <t>x̄MMMCMLXX</t>
        </is>
      </c>
      <c r="C13971">
        <f>ROMAN(13970)</f>
        <v/>
      </c>
      <c r="D13971">
        <f>IF(B13971=C13971, "YES", "WRONG")</f>
        <v/>
      </c>
    </row>
    <row r="13972">
      <c r="A13972" t="n">
        <v>13971</v>
      </c>
      <c r="B13972" t="inlineStr">
        <is>
          <t>x̄MMMCMLXXI</t>
        </is>
      </c>
      <c r="C13972">
        <f>ROMAN(13971)</f>
        <v/>
      </c>
      <c r="D13972">
        <f>IF(B13972=C13972, "YES", "WRONG")</f>
        <v/>
      </c>
    </row>
    <row r="13973">
      <c r="A13973" t="n">
        <v>13972</v>
      </c>
      <c r="B13973" t="inlineStr">
        <is>
          <t>x̄MMMCMLXXII</t>
        </is>
      </c>
      <c r="C13973">
        <f>ROMAN(13972)</f>
        <v/>
      </c>
      <c r="D13973">
        <f>IF(B13973=C13973, "YES", "WRONG")</f>
        <v/>
      </c>
    </row>
    <row r="13974">
      <c r="A13974" t="n">
        <v>13973</v>
      </c>
      <c r="B13974" t="inlineStr">
        <is>
          <t>x̄MMMCMLXXIII</t>
        </is>
      </c>
      <c r="C13974">
        <f>ROMAN(13973)</f>
        <v/>
      </c>
      <c r="D13974">
        <f>IF(B13974=C13974, "YES", "WRONG")</f>
        <v/>
      </c>
    </row>
    <row r="13975">
      <c r="A13975" t="n">
        <v>13974</v>
      </c>
      <c r="B13975" t="inlineStr">
        <is>
          <t>x̄MMMCMLXXIV</t>
        </is>
      </c>
      <c r="C13975">
        <f>ROMAN(13974)</f>
        <v/>
      </c>
      <c r="D13975">
        <f>IF(B13975=C13975, "YES", "WRONG")</f>
        <v/>
      </c>
    </row>
    <row r="13976">
      <c r="A13976" t="n">
        <v>13975</v>
      </c>
      <c r="B13976" t="inlineStr">
        <is>
          <t>x̄MMMCMLXXV</t>
        </is>
      </c>
      <c r="C13976">
        <f>ROMAN(13975)</f>
        <v/>
      </c>
      <c r="D13976">
        <f>IF(B13976=C13976, "YES", "WRONG")</f>
        <v/>
      </c>
    </row>
    <row r="13977">
      <c r="A13977" t="n">
        <v>13976</v>
      </c>
      <c r="B13977" t="inlineStr">
        <is>
          <t>x̄MMMCMLXXVI</t>
        </is>
      </c>
      <c r="C13977">
        <f>ROMAN(13976)</f>
        <v/>
      </c>
      <c r="D13977">
        <f>IF(B13977=C13977, "YES", "WRONG")</f>
        <v/>
      </c>
    </row>
    <row r="13978">
      <c r="A13978" t="n">
        <v>13977</v>
      </c>
      <c r="B13978" t="inlineStr">
        <is>
          <t>x̄MMMCMLXXVII</t>
        </is>
      </c>
      <c r="C13978">
        <f>ROMAN(13977)</f>
        <v/>
      </c>
      <c r="D13978">
        <f>IF(B13978=C13978, "YES", "WRONG")</f>
        <v/>
      </c>
    </row>
    <row r="13979">
      <c r="A13979" t="n">
        <v>13978</v>
      </c>
      <c r="B13979" t="inlineStr">
        <is>
          <t>x̄MMMCMLXXVIII</t>
        </is>
      </c>
      <c r="C13979">
        <f>ROMAN(13978)</f>
        <v/>
      </c>
      <c r="D13979">
        <f>IF(B13979=C13979, "YES", "WRONG")</f>
        <v/>
      </c>
    </row>
    <row r="13980">
      <c r="A13980" t="n">
        <v>13979</v>
      </c>
      <c r="B13980" t="inlineStr">
        <is>
          <t>x̄MMMCMLXXIX</t>
        </is>
      </c>
      <c r="C13980">
        <f>ROMAN(13979)</f>
        <v/>
      </c>
      <c r="D13980">
        <f>IF(B13980=C13980, "YES", "WRONG")</f>
        <v/>
      </c>
    </row>
    <row r="13981">
      <c r="A13981" t="n">
        <v>13980</v>
      </c>
      <c r="B13981" t="inlineStr">
        <is>
          <t>x̄MMMCMLXXX</t>
        </is>
      </c>
      <c r="C13981">
        <f>ROMAN(13980)</f>
        <v/>
      </c>
      <c r="D13981">
        <f>IF(B13981=C13981, "YES", "WRONG")</f>
        <v/>
      </c>
    </row>
    <row r="13982">
      <c r="A13982" t="n">
        <v>13981</v>
      </c>
      <c r="B13982" t="inlineStr">
        <is>
          <t>x̄MMMCMLXXXI</t>
        </is>
      </c>
      <c r="C13982">
        <f>ROMAN(13981)</f>
        <v/>
      </c>
      <c r="D13982">
        <f>IF(B13982=C13982, "YES", "WRONG")</f>
        <v/>
      </c>
    </row>
    <row r="13983">
      <c r="A13983" t="n">
        <v>13982</v>
      </c>
      <c r="B13983" t="inlineStr">
        <is>
          <t>x̄MMMCMLXXXII</t>
        </is>
      </c>
      <c r="C13983">
        <f>ROMAN(13982)</f>
        <v/>
      </c>
      <c r="D13983">
        <f>IF(B13983=C13983, "YES", "WRONG")</f>
        <v/>
      </c>
    </row>
    <row r="13984">
      <c r="A13984" t="n">
        <v>13983</v>
      </c>
      <c r="B13984" t="inlineStr">
        <is>
          <t>x̄MMMCMLXXXIII</t>
        </is>
      </c>
      <c r="C13984">
        <f>ROMAN(13983)</f>
        <v/>
      </c>
      <c r="D13984">
        <f>IF(B13984=C13984, "YES", "WRONG")</f>
        <v/>
      </c>
    </row>
    <row r="13985">
      <c r="A13985" t="n">
        <v>13984</v>
      </c>
      <c r="B13985" t="inlineStr">
        <is>
          <t>x̄MMMCMLXXXIV</t>
        </is>
      </c>
      <c r="C13985">
        <f>ROMAN(13984)</f>
        <v/>
      </c>
      <c r="D13985">
        <f>IF(B13985=C13985, "YES", "WRONG")</f>
        <v/>
      </c>
    </row>
    <row r="13986">
      <c r="A13986" t="n">
        <v>13985</v>
      </c>
      <c r="B13986" t="inlineStr">
        <is>
          <t>x̄MMMCMLXXXV</t>
        </is>
      </c>
      <c r="C13986">
        <f>ROMAN(13985)</f>
        <v/>
      </c>
      <c r="D13986">
        <f>IF(B13986=C13986, "YES", "WRONG")</f>
        <v/>
      </c>
    </row>
    <row r="13987">
      <c r="A13987" t="n">
        <v>13986</v>
      </c>
      <c r="B13987" t="inlineStr">
        <is>
          <t>x̄MMMCMLXXXVI</t>
        </is>
      </c>
      <c r="C13987">
        <f>ROMAN(13986)</f>
        <v/>
      </c>
      <c r="D13987">
        <f>IF(B13987=C13987, "YES", "WRONG")</f>
        <v/>
      </c>
    </row>
    <row r="13988">
      <c r="A13988" t="n">
        <v>13987</v>
      </c>
      <c r="B13988" t="inlineStr">
        <is>
          <t>x̄MMMCMLXXXVII</t>
        </is>
      </c>
      <c r="C13988">
        <f>ROMAN(13987)</f>
        <v/>
      </c>
      <c r="D13988">
        <f>IF(B13988=C13988, "YES", "WRONG")</f>
        <v/>
      </c>
    </row>
    <row r="13989">
      <c r="A13989" t="n">
        <v>13988</v>
      </c>
      <c r="B13989" t="inlineStr">
        <is>
          <t>x̄MMMCMLXXXVIII</t>
        </is>
      </c>
      <c r="C13989">
        <f>ROMAN(13988)</f>
        <v/>
      </c>
      <c r="D13989">
        <f>IF(B13989=C13989, "YES", "WRONG")</f>
        <v/>
      </c>
    </row>
    <row r="13990">
      <c r="A13990" t="n">
        <v>13989</v>
      </c>
      <c r="B13990" t="inlineStr">
        <is>
          <t>x̄MMMCMLXXXIX</t>
        </is>
      </c>
      <c r="C13990">
        <f>ROMAN(13989)</f>
        <v/>
      </c>
      <c r="D13990">
        <f>IF(B13990=C13990, "YES", "WRONG")</f>
        <v/>
      </c>
    </row>
    <row r="13991">
      <c r="A13991" t="n">
        <v>13990</v>
      </c>
      <c r="B13991" t="inlineStr">
        <is>
          <t>x̄MMMCMXC</t>
        </is>
      </c>
      <c r="C13991">
        <f>ROMAN(13990)</f>
        <v/>
      </c>
      <c r="D13991">
        <f>IF(B13991=C13991, "YES", "WRONG")</f>
        <v/>
      </c>
    </row>
    <row r="13992">
      <c r="A13992" t="n">
        <v>13991</v>
      </c>
      <c r="B13992" t="inlineStr">
        <is>
          <t>x̄MMMCMXCI</t>
        </is>
      </c>
      <c r="C13992">
        <f>ROMAN(13991)</f>
        <v/>
      </c>
      <c r="D13992">
        <f>IF(B13992=C13992, "YES", "WRONG")</f>
        <v/>
      </c>
    </row>
    <row r="13993">
      <c r="A13993" t="n">
        <v>13992</v>
      </c>
      <c r="B13993" t="inlineStr">
        <is>
          <t>x̄MMMCMXCII</t>
        </is>
      </c>
      <c r="C13993">
        <f>ROMAN(13992)</f>
        <v/>
      </c>
      <c r="D13993">
        <f>IF(B13993=C13993, "YES", "WRONG")</f>
        <v/>
      </c>
    </row>
    <row r="13994">
      <c r="A13994" t="n">
        <v>13993</v>
      </c>
      <c r="B13994" t="inlineStr">
        <is>
          <t>x̄MMMCMXCIII</t>
        </is>
      </c>
      <c r="C13994">
        <f>ROMAN(13993)</f>
        <v/>
      </c>
      <c r="D13994">
        <f>IF(B13994=C13994, "YES", "WRONG")</f>
        <v/>
      </c>
    </row>
    <row r="13995">
      <c r="A13995" t="n">
        <v>13994</v>
      </c>
      <c r="B13995" t="inlineStr">
        <is>
          <t>x̄MMMCMXCIV</t>
        </is>
      </c>
      <c r="C13995">
        <f>ROMAN(13994)</f>
        <v/>
      </c>
      <c r="D13995">
        <f>IF(B13995=C13995, "YES", "WRONG")</f>
        <v/>
      </c>
    </row>
    <row r="13996">
      <c r="A13996" t="n">
        <v>13995</v>
      </c>
      <c r="B13996" t="inlineStr">
        <is>
          <t>x̄MMMCMXCV</t>
        </is>
      </c>
      <c r="C13996">
        <f>ROMAN(13995)</f>
        <v/>
      </c>
      <c r="D13996">
        <f>IF(B13996=C13996, "YES", "WRONG")</f>
        <v/>
      </c>
    </row>
    <row r="13997">
      <c r="A13997" t="n">
        <v>13996</v>
      </c>
      <c r="B13997" t="inlineStr">
        <is>
          <t>x̄MMMCMXCVI</t>
        </is>
      </c>
      <c r="C13997">
        <f>ROMAN(13996)</f>
        <v/>
      </c>
      <c r="D13997">
        <f>IF(B13997=C13997, "YES", "WRONG")</f>
        <v/>
      </c>
    </row>
    <row r="13998">
      <c r="A13998" t="n">
        <v>13997</v>
      </c>
      <c r="B13998" t="inlineStr">
        <is>
          <t>x̄MMMCMXCVII</t>
        </is>
      </c>
      <c r="C13998">
        <f>ROMAN(13997)</f>
        <v/>
      </c>
      <c r="D13998">
        <f>IF(B13998=C13998, "YES", "WRONG")</f>
        <v/>
      </c>
    </row>
    <row r="13999">
      <c r="A13999" t="n">
        <v>13998</v>
      </c>
      <c r="B13999" t="inlineStr">
        <is>
          <t>x̄MMMCMXCVIII</t>
        </is>
      </c>
      <c r="C13999">
        <f>ROMAN(13998)</f>
        <v/>
      </c>
      <c r="D13999">
        <f>IF(B13999=C13999, "YES", "WRONG")</f>
        <v/>
      </c>
    </row>
    <row r="14000">
      <c r="A14000" t="n">
        <v>13999</v>
      </c>
      <c r="B14000" t="inlineStr">
        <is>
          <t>x̄MMMCMXCIX</t>
        </is>
      </c>
      <c r="C14000">
        <f>ROMAN(13999)</f>
        <v/>
      </c>
      <c r="D14000">
        <f>IF(B14000=C14000, "YES", "WRONG")</f>
        <v/>
      </c>
    </row>
    <row r="14001">
      <c r="A14001" t="n">
        <v>14000</v>
      </c>
      <c r="B14001" t="inlineStr">
        <is>
          <t>x̄MV̅</t>
        </is>
      </c>
      <c r="C14001">
        <f>ROMAN(14000)</f>
        <v/>
      </c>
      <c r="D14001">
        <f>IF(B14001=C14001, "YES", "WRONG")</f>
        <v/>
      </c>
    </row>
    <row r="14002">
      <c r="A14002" t="n">
        <v>14001</v>
      </c>
      <c r="B14002" t="inlineStr">
        <is>
          <t>x̄MV̅I</t>
        </is>
      </c>
      <c r="C14002">
        <f>ROMAN(14001)</f>
        <v/>
      </c>
      <c r="D14002">
        <f>IF(B14002=C14002, "YES", "WRONG")</f>
        <v/>
      </c>
    </row>
    <row r="14003">
      <c r="A14003" t="n">
        <v>14002</v>
      </c>
      <c r="B14003" t="inlineStr">
        <is>
          <t>x̄MV̅II</t>
        </is>
      </c>
      <c r="C14003">
        <f>ROMAN(14002)</f>
        <v/>
      </c>
      <c r="D14003">
        <f>IF(B14003=C14003, "YES", "WRONG")</f>
        <v/>
      </c>
    </row>
    <row r="14004">
      <c r="A14004" t="n">
        <v>14003</v>
      </c>
      <c r="B14004" t="inlineStr">
        <is>
          <t>x̄MV̅III</t>
        </is>
      </c>
      <c r="C14004">
        <f>ROMAN(14003)</f>
        <v/>
      </c>
      <c r="D14004">
        <f>IF(B14004=C14004, "YES", "WRONG")</f>
        <v/>
      </c>
    </row>
    <row r="14005">
      <c r="A14005" t="n">
        <v>14004</v>
      </c>
      <c r="B14005" t="inlineStr">
        <is>
          <t>x̄MV̅IV</t>
        </is>
      </c>
      <c r="C14005">
        <f>ROMAN(14004)</f>
        <v/>
      </c>
      <c r="D14005">
        <f>IF(B14005=C14005, "YES", "WRONG")</f>
        <v/>
      </c>
    </row>
    <row r="14006">
      <c r="A14006" t="n">
        <v>14005</v>
      </c>
      <c r="B14006" t="inlineStr">
        <is>
          <t>x̄MV̅V</t>
        </is>
      </c>
      <c r="C14006">
        <f>ROMAN(14005)</f>
        <v/>
      </c>
      <c r="D14006">
        <f>IF(B14006=C14006, "YES", "WRONG")</f>
        <v/>
      </c>
    </row>
    <row r="14007">
      <c r="A14007" t="n">
        <v>14006</v>
      </c>
      <c r="B14007" t="inlineStr">
        <is>
          <t>x̄MV̅VI</t>
        </is>
      </c>
      <c r="C14007">
        <f>ROMAN(14006)</f>
        <v/>
      </c>
      <c r="D14007">
        <f>IF(B14007=C14007, "YES", "WRONG")</f>
        <v/>
      </c>
    </row>
    <row r="14008">
      <c r="A14008" t="n">
        <v>14007</v>
      </c>
      <c r="B14008" t="inlineStr">
        <is>
          <t>x̄MV̅VII</t>
        </is>
      </c>
      <c r="C14008">
        <f>ROMAN(14007)</f>
        <v/>
      </c>
      <c r="D14008">
        <f>IF(B14008=C14008, "YES", "WRONG")</f>
        <v/>
      </c>
    </row>
    <row r="14009">
      <c r="A14009" t="n">
        <v>14008</v>
      </c>
      <c r="B14009" t="inlineStr">
        <is>
          <t>x̄MV̅VIII</t>
        </is>
      </c>
      <c r="C14009">
        <f>ROMAN(14008)</f>
        <v/>
      </c>
      <c r="D14009">
        <f>IF(B14009=C14009, "YES", "WRONG")</f>
        <v/>
      </c>
    </row>
    <row r="14010">
      <c r="A14010" t="n">
        <v>14009</v>
      </c>
      <c r="B14010" t="inlineStr">
        <is>
          <t>x̄MV̅IX</t>
        </is>
      </c>
      <c r="C14010">
        <f>ROMAN(14009)</f>
        <v/>
      </c>
      <c r="D14010">
        <f>IF(B14010=C14010, "YES", "WRONG")</f>
        <v/>
      </c>
    </row>
    <row r="14011">
      <c r="A14011" t="n">
        <v>14010</v>
      </c>
      <c r="B14011" t="inlineStr">
        <is>
          <t>x̄MV̅X</t>
        </is>
      </c>
      <c r="C14011">
        <f>ROMAN(14010)</f>
        <v/>
      </c>
      <c r="D14011">
        <f>IF(B14011=C14011, "YES", "WRONG")</f>
        <v/>
      </c>
    </row>
    <row r="14012">
      <c r="A14012" t="n">
        <v>14011</v>
      </c>
      <c r="B14012" t="inlineStr">
        <is>
          <t>x̄MV̅XI</t>
        </is>
      </c>
      <c r="C14012">
        <f>ROMAN(14011)</f>
        <v/>
      </c>
      <c r="D14012">
        <f>IF(B14012=C14012, "YES", "WRONG")</f>
        <v/>
      </c>
    </row>
    <row r="14013">
      <c r="A14013" t="n">
        <v>14012</v>
      </c>
      <c r="B14013" t="inlineStr">
        <is>
          <t>x̄MV̅XII</t>
        </is>
      </c>
      <c r="C14013">
        <f>ROMAN(14012)</f>
        <v/>
      </c>
      <c r="D14013">
        <f>IF(B14013=C14013, "YES", "WRONG")</f>
        <v/>
      </c>
    </row>
    <row r="14014">
      <c r="A14014" t="n">
        <v>14013</v>
      </c>
      <c r="B14014" t="inlineStr">
        <is>
          <t>x̄MV̅XIII</t>
        </is>
      </c>
      <c r="C14014">
        <f>ROMAN(14013)</f>
        <v/>
      </c>
      <c r="D14014">
        <f>IF(B14014=C14014, "YES", "WRONG")</f>
        <v/>
      </c>
    </row>
    <row r="14015">
      <c r="A14015" t="n">
        <v>14014</v>
      </c>
      <c r="B14015" t="inlineStr">
        <is>
          <t>x̄MV̅XIV</t>
        </is>
      </c>
      <c r="C14015">
        <f>ROMAN(14014)</f>
        <v/>
      </c>
      <c r="D14015">
        <f>IF(B14015=C14015, "YES", "WRONG")</f>
        <v/>
      </c>
    </row>
    <row r="14016">
      <c r="A14016" t="n">
        <v>14015</v>
      </c>
      <c r="B14016" t="inlineStr">
        <is>
          <t>x̄MV̅XV</t>
        </is>
      </c>
      <c r="C14016">
        <f>ROMAN(14015)</f>
        <v/>
      </c>
      <c r="D14016">
        <f>IF(B14016=C14016, "YES", "WRONG")</f>
        <v/>
      </c>
    </row>
    <row r="14017">
      <c r="A14017" t="n">
        <v>14016</v>
      </c>
      <c r="B14017" t="inlineStr">
        <is>
          <t>x̄MV̅XVI</t>
        </is>
      </c>
      <c r="C14017">
        <f>ROMAN(14016)</f>
        <v/>
      </c>
      <c r="D14017">
        <f>IF(B14017=C14017, "YES", "WRONG")</f>
        <v/>
      </c>
    </row>
    <row r="14018">
      <c r="A14018" t="n">
        <v>14017</v>
      </c>
      <c r="B14018" t="inlineStr">
        <is>
          <t>x̄MV̅XVII</t>
        </is>
      </c>
      <c r="C14018">
        <f>ROMAN(14017)</f>
        <v/>
      </c>
      <c r="D14018">
        <f>IF(B14018=C14018, "YES", "WRONG")</f>
        <v/>
      </c>
    </row>
    <row r="14019">
      <c r="A14019" t="n">
        <v>14018</v>
      </c>
      <c r="B14019" t="inlineStr">
        <is>
          <t>x̄MV̅XVIII</t>
        </is>
      </c>
      <c r="C14019">
        <f>ROMAN(14018)</f>
        <v/>
      </c>
      <c r="D14019">
        <f>IF(B14019=C14019, "YES", "WRONG")</f>
        <v/>
      </c>
    </row>
    <row r="14020">
      <c r="A14020" t="n">
        <v>14019</v>
      </c>
      <c r="B14020" t="inlineStr">
        <is>
          <t>x̄MV̅XIX</t>
        </is>
      </c>
      <c r="C14020">
        <f>ROMAN(14019)</f>
        <v/>
      </c>
      <c r="D14020">
        <f>IF(B14020=C14020, "YES", "WRONG")</f>
        <v/>
      </c>
    </row>
    <row r="14021">
      <c r="A14021" t="n">
        <v>14020</v>
      </c>
      <c r="B14021" t="inlineStr">
        <is>
          <t>x̄MV̅XX</t>
        </is>
      </c>
      <c r="C14021">
        <f>ROMAN(14020)</f>
        <v/>
      </c>
      <c r="D14021">
        <f>IF(B14021=C14021, "YES", "WRONG")</f>
        <v/>
      </c>
    </row>
    <row r="14022">
      <c r="A14022" t="n">
        <v>14021</v>
      </c>
      <c r="B14022" t="inlineStr">
        <is>
          <t>x̄MV̅XXI</t>
        </is>
      </c>
      <c r="C14022">
        <f>ROMAN(14021)</f>
        <v/>
      </c>
      <c r="D14022">
        <f>IF(B14022=C14022, "YES", "WRONG")</f>
        <v/>
      </c>
    </row>
    <row r="14023">
      <c r="A14023" t="n">
        <v>14022</v>
      </c>
      <c r="B14023" t="inlineStr">
        <is>
          <t>x̄MV̅XXII</t>
        </is>
      </c>
      <c r="C14023">
        <f>ROMAN(14022)</f>
        <v/>
      </c>
      <c r="D14023">
        <f>IF(B14023=C14023, "YES", "WRONG")</f>
        <v/>
      </c>
    </row>
    <row r="14024">
      <c r="A14024" t="n">
        <v>14023</v>
      </c>
      <c r="B14024" t="inlineStr">
        <is>
          <t>x̄MV̅XXIII</t>
        </is>
      </c>
      <c r="C14024">
        <f>ROMAN(14023)</f>
        <v/>
      </c>
      <c r="D14024">
        <f>IF(B14024=C14024, "YES", "WRONG")</f>
        <v/>
      </c>
    </row>
    <row r="14025">
      <c r="A14025" t="n">
        <v>14024</v>
      </c>
      <c r="B14025" t="inlineStr">
        <is>
          <t>x̄MV̅XXIV</t>
        </is>
      </c>
      <c r="C14025">
        <f>ROMAN(14024)</f>
        <v/>
      </c>
      <c r="D14025">
        <f>IF(B14025=C14025, "YES", "WRONG")</f>
        <v/>
      </c>
    </row>
    <row r="14026">
      <c r="A14026" t="n">
        <v>14025</v>
      </c>
      <c r="B14026" t="inlineStr">
        <is>
          <t>x̄MV̅XXV</t>
        </is>
      </c>
      <c r="C14026">
        <f>ROMAN(14025)</f>
        <v/>
      </c>
      <c r="D14026">
        <f>IF(B14026=C14026, "YES", "WRONG")</f>
        <v/>
      </c>
    </row>
    <row r="14027">
      <c r="A14027" t="n">
        <v>14026</v>
      </c>
      <c r="B14027" t="inlineStr">
        <is>
          <t>x̄MV̅XXVI</t>
        </is>
      </c>
      <c r="C14027">
        <f>ROMAN(14026)</f>
        <v/>
      </c>
      <c r="D14027">
        <f>IF(B14027=C14027, "YES", "WRONG")</f>
        <v/>
      </c>
    </row>
    <row r="14028">
      <c r="A14028" t="n">
        <v>14027</v>
      </c>
      <c r="B14028" t="inlineStr">
        <is>
          <t>x̄MV̅XXVII</t>
        </is>
      </c>
      <c r="C14028">
        <f>ROMAN(14027)</f>
        <v/>
      </c>
      <c r="D14028">
        <f>IF(B14028=C14028, "YES", "WRONG")</f>
        <v/>
      </c>
    </row>
    <row r="14029">
      <c r="A14029" t="n">
        <v>14028</v>
      </c>
      <c r="B14029" t="inlineStr">
        <is>
          <t>x̄MV̅XXVIII</t>
        </is>
      </c>
      <c r="C14029">
        <f>ROMAN(14028)</f>
        <v/>
      </c>
      <c r="D14029">
        <f>IF(B14029=C14029, "YES", "WRONG")</f>
        <v/>
      </c>
    </row>
    <row r="14030">
      <c r="A14030" t="n">
        <v>14029</v>
      </c>
      <c r="B14030" t="inlineStr">
        <is>
          <t>x̄MV̅XXIX</t>
        </is>
      </c>
      <c r="C14030">
        <f>ROMAN(14029)</f>
        <v/>
      </c>
      <c r="D14030">
        <f>IF(B14030=C14030, "YES", "WRONG")</f>
        <v/>
      </c>
    </row>
    <row r="14031">
      <c r="A14031" t="n">
        <v>14030</v>
      </c>
      <c r="B14031" t="inlineStr">
        <is>
          <t>x̄MV̅XXX</t>
        </is>
      </c>
      <c r="C14031">
        <f>ROMAN(14030)</f>
        <v/>
      </c>
      <c r="D14031">
        <f>IF(B14031=C14031, "YES", "WRONG")</f>
        <v/>
      </c>
    </row>
    <row r="14032">
      <c r="A14032" t="n">
        <v>14031</v>
      </c>
      <c r="B14032" t="inlineStr">
        <is>
          <t>x̄MV̅XXXI</t>
        </is>
      </c>
      <c r="C14032">
        <f>ROMAN(14031)</f>
        <v/>
      </c>
      <c r="D14032">
        <f>IF(B14032=C14032, "YES", "WRONG")</f>
        <v/>
      </c>
    </row>
    <row r="14033">
      <c r="A14033" t="n">
        <v>14032</v>
      </c>
      <c r="B14033" t="inlineStr">
        <is>
          <t>x̄MV̅XXXII</t>
        </is>
      </c>
      <c r="C14033">
        <f>ROMAN(14032)</f>
        <v/>
      </c>
      <c r="D14033">
        <f>IF(B14033=C14033, "YES", "WRONG")</f>
        <v/>
      </c>
    </row>
    <row r="14034">
      <c r="A14034" t="n">
        <v>14033</v>
      </c>
      <c r="B14034" t="inlineStr">
        <is>
          <t>x̄MV̅XXXIII</t>
        </is>
      </c>
      <c r="C14034">
        <f>ROMAN(14033)</f>
        <v/>
      </c>
      <c r="D14034">
        <f>IF(B14034=C14034, "YES", "WRONG")</f>
        <v/>
      </c>
    </row>
    <row r="14035">
      <c r="A14035" t="n">
        <v>14034</v>
      </c>
      <c r="B14035" t="inlineStr">
        <is>
          <t>x̄MV̅XXXIV</t>
        </is>
      </c>
      <c r="C14035">
        <f>ROMAN(14034)</f>
        <v/>
      </c>
      <c r="D14035">
        <f>IF(B14035=C14035, "YES", "WRONG")</f>
        <v/>
      </c>
    </row>
    <row r="14036">
      <c r="A14036" t="n">
        <v>14035</v>
      </c>
      <c r="B14036" t="inlineStr">
        <is>
          <t>x̄MV̅XXXV</t>
        </is>
      </c>
      <c r="C14036">
        <f>ROMAN(14035)</f>
        <v/>
      </c>
      <c r="D14036">
        <f>IF(B14036=C14036, "YES", "WRONG")</f>
        <v/>
      </c>
    </row>
    <row r="14037">
      <c r="A14037" t="n">
        <v>14036</v>
      </c>
      <c r="B14037" t="inlineStr">
        <is>
          <t>x̄MV̅XXXVI</t>
        </is>
      </c>
      <c r="C14037">
        <f>ROMAN(14036)</f>
        <v/>
      </c>
      <c r="D14037">
        <f>IF(B14037=C14037, "YES", "WRONG")</f>
        <v/>
      </c>
    </row>
    <row r="14038">
      <c r="A14038" t="n">
        <v>14037</v>
      </c>
      <c r="B14038" t="inlineStr">
        <is>
          <t>x̄MV̅XXXVII</t>
        </is>
      </c>
      <c r="C14038">
        <f>ROMAN(14037)</f>
        <v/>
      </c>
      <c r="D14038">
        <f>IF(B14038=C14038, "YES", "WRONG")</f>
        <v/>
      </c>
    </row>
    <row r="14039">
      <c r="A14039" t="n">
        <v>14038</v>
      </c>
      <c r="B14039" t="inlineStr">
        <is>
          <t>x̄MV̅XXXVIII</t>
        </is>
      </c>
      <c r="C14039">
        <f>ROMAN(14038)</f>
        <v/>
      </c>
      <c r="D14039">
        <f>IF(B14039=C14039, "YES", "WRONG")</f>
        <v/>
      </c>
    </row>
    <row r="14040">
      <c r="A14040" t="n">
        <v>14039</v>
      </c>
      <c r="B14040" t="inlineStr">
        <is>
          <t>x̄MV̅XXXIX</t>
        </is>
      </c>
      <c r="C14040">
        <f>ROMAN(14039)</f>
        <v/>
      </c>
      <c r="D14040">
        <f>IF(B14040=C14040, "YES", "WRONG")</f>
        <v/>
      </c>
    </row>
    <row r="14041">
      <c r="A14041" t="n">
        <v>14040</v>
      </c>
      <c r="B14041" t="inlineStr">
        <is>
          <t>x̄MV̅XL</t>
        </is>
      </c>
      <c r="C14041">
        <f>ROMAN(14040)</f>
        <v/>
      </c>
      <c r="D14041">
        <f>IF(B14041=C14041, "YES", "WRONG")</f>
        <v/>
      </c>
    </row>
    <row r="14042">
      <c r="A14042" t="n">
        <v>14041</v>
      </c>
      <c r="B14042" t="inlineStr">
        <is>
          <t>x̄MV̅XLI</t>
        </is>
      </c>
      <c r="C14042">
        <f>ROMAN(14041)</f>
        <v/>
      </c>
      <c r="D14042">
        <f>IF(B14042=C14042, "YES", "WRONG")</f>
        <v/>
      </c>
    </row>
    <row r="14043">
      <c r="A14043" t="n">
        <v>14042</v>
      </c>
      <c r="B14043" t="inlineStr">
        <is>
          <t>x̄MV̅XLII</t>
        </is>
      </c>
      <c r="C14043">
        <f>ROMAN(14042)</f>
        <v/>
      </c>
      <c r="D14043">
        <f>IF(B14043=C14043, "YES", "WRONG")</f>
        <v/>
      </c>
    </row>
    <row r="14044">
      <c r="A14044" t="n">
        <v>14043</v>
      </c>
      <c r="B14044" t="inlineStr">
        <is>
          <t>x̄MV̅XLIII</t>
        </is>
      </c>
      <c r="C14044">
        <f>ROMAN(14043)</f>
        <v/>
      </c>
      <c r="D14044">
        <f>IF(B14044=C14044, "YES", "WRONG")</f>
        <v/>
      </c>
    </row>
    <row r="14045">
      <c r="A14045" t="n">
        <v>14044</v>
      </c>
      <c r="B14045" t="inlineStr">
        <is>
          <t>x̄MV̅XLIV</t>
        </is>
      </c>
      <c r="C14045">
        <f>ROMAN(14044)</f>
        <v/>
      </c>
      <c r="D14045">
        <f>IF(B14045=C14045, "YES", "WRONG")</f>
        <v/>
      </c>
    </row>
    <row r="14046">
      <c r="A14046" t="n">
        <v>14045</v>
      </c>
      <c r="B14046" t="inlineStr">
        <is>
          <t>x̄MV̅XLV</t>
        </is>
      </c>
      <c r="C14046">
        <f>ROMAN(14045)</f>
        <v/>
      </c>
      <c r="D14046">
        <f>IF(B14046=C14046, "YES", "WRONG")</f>
        <v/>
      </c>
    </row>
    <row r="14047">
      <c r="A14047" t="n">
        <v>14046</v>
      </c>
      <c r="B14047" t="inlineStr">
        <is>
          <t>x̄MV̅XLVI</t>
        </is>
      </c>
      <c r="C14047">
        <f>ROMAN(14046)</f>
        <v/>
      </c>
      <c r="D14047">
        <f>IF(B14047=C14047, "YES", "WRONG")</f>
        <v/>
      </c>
    </row>
    <row r="14048">
      <c r="A14048" t="n">
        <v>14047</v>
      </c>
      <c r="B14048" t="inlineStr">
        <is>
          <t>x̄MV̅XLVII</t>
        </is>
      </c>
      <c r="C14048">
        <f>ROMAN(14047)</f>
        <v/>
      </c>
      <c r="D14048">
        <f>IF(B14048=C14048, "YES", "WRONG")</f>
        <v/>
      </c>
    </row>
    <row r="14049">
      <c r="A14049" t="n">
        <v>14048</v>
      </c>
      <c r="B14049" t="inlineStr">
        <is>
          <t>x̄MV̅XLVIII</t>
        </is>
      </c>
      <c r="C14049">
        <f>ROMAN(14048)</f>
        <v/>
      </c>
      <c r="D14049">
        <f>IF(B14049=C14049, "YES", "WRONG")</f>
        <v/>
      </c>
    </row>
    <row r="14050">
      <c r="A14050" t="n">
        <v>14049</v>
      </c>
      <c r="B14050" t="inlineStr">
        <is>
          <t>x̄MV̅XLIX</t>
        </is>
      </c>
      <c r="C14050">
        <f>ROMAN(14049)</f>
        <v/>
      </c>
      <c r="D14050">
        <f>IF(B14050=C14050, "YES", "WRONG")</f>
        <v/>
      </c>
    </row>
    <row r="14051">
      <c r="A14051" t="n">
        <v>14050</v>
      </c>
      <c r="B14051" t="inlineStr">
        <is>
          <t>x̄MV̅L</t>
        </is>
      </c>
      <c r="C14051">
        <f>ROMAN(14050)</f>
        <v/>
      </c>
      <c r="D14051">
        <f>IF(B14051=C14051, "YES", "WRONG")</f>
        <v/>
      </c>
    </row>
    <row r="14052">
      <c r="A14052" t="n">
        <v>14051</v>
      </c>
      <c r="B14052" t="inlineStr">
        <is>
          <t>x̄MV̅LI</t>
        </is>
      </c>
      <c r="C14052">
        <f>ROMAN(14051)</f>
        <v/>
      </c>
      <c r="D14052">
        <f>IF(B14052=C14052, "YES", "WRONG")</f>
        <v/>
      </c>
    </row>
    <row r="14053">
      <c r="A14053" t="n">
        <v>14052</v>
      </c>
      <c r="B14053" t="inlineStr">
        <is>
          <t>x̄MV̅LII</t>
        </is>
      </c>
      <c r="C14053">
        <f>ROMAN(14052)</f>
        <v/>
      </c>
      <c r="D14053">
        <f>IF(B14053=C14053, "YES", "WRONG")</f>
        <v/>
      </c>
    </row>
    <row r="14054">
      <c r="A14054" t="n">
        <v>14053</v>
      </c>
      <c r="B14054" t="inlineStr">
        <is>
          <t>x̄MV̅LIII</t>
        </is>
      </c>
      <c r="C14054">
        <f>ROMAN(14053)</f>
        <v/>
      </c>
      <c r="D14054">
        <f>IF(B14054=C14054, "YES", "WRONG")</f>
        <v/>
      </c>
    </row>
    <row r="14055">
      <c r="A14055" t="n">
        <v>14054</v>
      </c>
      <c r="B14055" t="inlineStr">
        <is>
          <t>x̄MV̅LIV</t>
        </is>
      </c>
      <c r="C14055">
        <f>ROMAN(14054)</f>
        <v/>
      </c>
      <c r="D14055">
        <f>IF(B14055=C14055, "YES", "WRONG")</f>
        <v/>
      </c>
    </row>
    <row r="14056">
      <c r="A14056" t="n">
        <v>14055</v>
      </c>
      <c r="B14056" t="inlineStr">
        <is>
          <t>x̄MV̅LV</t>
        </is>
      </c>
      <c r="C14056">
        <f>ROMAN(14055)</f>
        <v/>
      </c>
      <c r="D14056">
        <f>IF(B14056=C14056, "YES", "WRONG")</f>
        <v/>
      </c>
    </row>
    <row r="14057">
      <c r="A14057" t="n">
        <v>14056</v>
      </c>
      <c r="B14057" t="inlineStr">
        <is>
          <t>x̄MV̅LVI</t>
        </is>
      </c>
      <c r="C14057">
        <f>ROMAN(14056)</f>
        <v/>
      </c>
      <c r="D14057">
        <f>IF(B14057=C14057, "YES", "WRONG")</f>
        <v/>
      </c>
    </row>
    <row r="14058">
      <c r="A14058" t="n">
        <v>14057</v>
      </c>
      <c r="B14058" t="inlineStr">
        <is>
          <t>x̄MV̅LVII</t>
        </is>
      </c>
      <c r="C14058">
        <f>ROMAN(14057)</f>
        <v/>
      </c>
      <c r="D14058">
        <f>IF(B14058=C14058, "YES", "WRONG")</f>
        <v/>
      </c>
    </row>
    <row r="14059">
      <c r="A14059" t="n">
        <v>14058</v>
      </c>
      <c r="B14059" t="inlineStr">
        <is>
          <t>x̄MV̅LVIII</t>
        </is>
      </c>
      <c r="C14059">
        <f>ROMAN(14058)</f>
        <v/>
      </c>
      <c r="D14059">
        <f>IF(B14059=C14059, "YES", "WRONG")</f>
        <v/>
      </c>
    </row>
    <row r="14060">
      <c r="A14060" t="n">
        <v>14059</v>
      </c>
      <c r="B14060" t="inlineStr">
        <is>
          <t>x̄MV̅LIX</t>
        </is>
      </c>
      <c r="C14060">
        <f>ROMAN(14059)</f>
        <v/>
      </c>
      <c r="D14060">
        <f>IF(B14060=C14060, "YES", "WRONG")</f>
        <v/>
      </c>
    </row>
    <row r="14061">
      <c r="A14061" t="n">
        <v>14060</v>
      </c>
      <c r="B14061" t="inlineStr">
        <is>
          <t>x̄MV̅LX</t>
        </is>
      </c>
      <c r="C14061">
        <f>ROMAN(14060)</f>
        <v/>
      </c>
      <c r="D14061">
        <f>IF(B14061=C14061, "YES", "WRONG")</f>
        <v/>
      </c>
    </row>
    <row r="14062">
      <c r="A14062" t="n">
        <v>14061</v>
      </c>
      <c r="B14062" t="inlineStr">
        <is>
          <t>x̄MV̅LXI</t>
        </is>
      </c>
      <c r="C14062">
        <f>ROMAN(14061)</f>
        <v/>
      </c>
      <c r="D14062">
        <f>IF(B14062=C14062, "YES", "WRONG")</f>
        <v/>
      </c>
    </row>
    <row r="14063">
      <c r="A14063" t="n">
        <v>14062</v>
      </c>
      <c r="B14063" t="inlineStr">
        <is>
          <t>x̄MV̅LXII</t>
        </is>
      </c>
      <c r="C14063">
        <f>ROMAN(14062)</f>
        <v/>
      </c>
      <c r="D14063">
        <f>IF(B14063=C14063, "YES", "WRONG")</f>
        <v/>
      </c>
    </row>
    <row r="14064">
      <c r="A14064" t="n">
        <v>14063</v>
      </c>
      <c r="B14064" t="inlineStr">
        <is>
          <t>x̄MV̅LXIII</t>
        </is>
      </c>
      <c r="C14064">
        <f>ROMAN(14063)</f>
        <v/>
      </c>
      <c r="D14064">
        <f>IF(B14064=C14064, "YES", "WRONG")</f>
        <v/>
      </c>
    </row>
    <row r="14065">
      <c r="A14065" t="n">
        <v>14064</v>
      </c>
      <c r="B14065" t="inlineStr">
        <is>
          <t>x̄MV̅LXIV</t>
        </is>
      </c>
      <c r="C14065">
        <f>ROMAN(14064)</f>
        <v/>
      </c>
      <c r="D14065">
        <f>IF(B14065=C14065, "YES", "WRONG")</f>
        <v/>
      </c>
    </row>
    <row r="14066">
      <c r="A14066" t="n">
        <v>14065</v>
      </c>
      <c r="B14066" t="inlineStr">
        <is>
          <t>x̄MV̅LXV</t>
        </is>
      </c>
      <c r="C14066">
        <f>ROMAN(14065)</f>
        <v/>
      </c>
      <c r="D14066">
        <f>IF(B14066=C14066, "YES", "WRONG")</f>
        <v/>
      </c>
    </row>
    <row r="14067">
      <c r="A14067" t="n">
        <v>14066</v>
      </c>
      <c r="B14067" t="inlineStr">
        <is>
          <t>x̄MV̅LXVI</t>
        </is>
      </c>
      <c r="C14067">
        <f>ROMAN(14066)</f>
        <v/>
      </c>
      <c r="D14067">
        <f>IF(B14067=C14067, "YES", "WRONG")</f>
        <v/>
      </c>
    </row>
    <row r="14068">
      <c r="A14068" t="n">
        <v>14067</v>
      </c>
      <c r="B14068" t="inlineStr">
        <is>
          <t>x̄MV̅LXVII</t>
        </is>
      </c>
      <c r="C14068">
        <f>ROMAN(14067)</f>
        <v/>
      </c>
      <c r="D14068">
        <f>IF(B14068=C14068, "YES", "WRONG")</f>
        <v/>
      </c>
    </row>
    <row r="14069">
      <c r="A14069" t="n">
        <v>14068</v>
      </c>
      <c r="B14069" t="inlineStr">
        <is>
          <t>x̄MV̅LXVIII</t>
        </is>
      </c>
      <c r="C14069">
        <f>ROMAN(14068)</f>
        <v/>
      </c>
      <c r="D14069">
        <f>IF(B14069=C14069, "YES", "WRONG")</f>
        <v/>
      </c>
    </row>
    <row r="14070">
      <c r="A14070" t="n">
        <v>14069</v>
      </c>
      <c r="B14070" t="inlineStr">
        <is>
          <t>x̄MV̅LXIX</t>
        </is>
      </c>
      <c r="C14070">
        <f>ROMAN(14069)</f>
        <v/>
      </c>
      <c r="D14070">
        <f>IF(B14070=C14070, "YES", "WRONG")</f>
        <v/>
      </c>
    </row>
    <row r="14071">
      <c r="A14071" t="n">
        <v>14070</v>
      </c>
      <c r="B14071" t="inlineStr">
        <is>
          <t>x̄MV̅LXX</t>
        </is>
      </c>
      <c r="C14071">
        <f>ROMAN(14070)</f>
        <v/>
      </c>
      <c r="D14071">
        <f>IF(B14071=C14071, "YES", "WRONG")</f>
        <v/>
      </c>
    </row>
    <row r="14072">
      <c r="A14072" t="n">
        <v>14071</v>
      </c>
      <c r="B14072" t="inlineStr">
        <is>
          <t>x̄MV̅LXXI</t>
        </is>
      </c>
      <c r="C14072">
        <f>ROMAN(14071)</f>
        <v/>
      </c>
      <c r="D14072">
        <f>IF(B14072=C14072, "YES", "WRONG")</f>
        <v/>
      </c>
    </row>
    <row r="14073">
      <c r="A14073" t="n">
        <v>14072</v>
      </c>
      <c r="B14073" t="inlineStr">
        <is>
          <t>x̄MV̅LXXII</t>
        </is>
      </c>
      <c r="C14073">
        <f>ROMAN(14072)</f>
        <v/>
      </c>
      <c r="D14073">
        <f>IF(B14073=C14073, "YES", "WRONG")</f>
        <v/>
      </c>
    </row>
    <row r="14074">
      <c r="A14074" t="n">
        <v>14073</v>
      </c>
      <c r="B14074" t="inlineStr">
        <is>
          <t>x̄MV̅LXXIII</t>
        </is>
      </c>
      <c r="C14074">
        <f>ROMAN(14073)</f>
        <v/>
      </c>
      <c r="D14074">
        <f>IF(B14074=C14074, "YES", "WRONG")</f>
        <v/>
      </c>
    </row>
    <row r="14075">
      <c r="A14075" t="n">
        <v>14074</v>
      </c>
      <c r="B14075" t="inlineStr">
        <is>
          <t>x̄MV̅LXXIV</t>
        </is>
      </c>
      <c r="C14075">
        <f>ROMAN(14074)</f>
        <v/>
      </c>
      <c r="D14075">
        <f>IF(B14075=C14075, "YES", "WRONG")</f>
        <v/>
      </c>
    </row>
    <row r="14076">
      <c r="A14076" t="n">
        <v>14075</v>
      </c>
      <c r="B14076" t="inlineStr">
        <is>
          <t>x̄MV̅LXXV</t>
        </is>
      </c>
      <c r="C14076">
        <f>ROMAN(14075)</f>
        <v/>
      </c>
      <c r="D14076">
        <f>IF(B14076=C14076, "YES", "WRONG")</f>
        <v/>
      </c>
    </row>
    <row r="14077">
      <c r="A14077" t="n">
        <v>14076</v>
      </c>
      <c r="B14077" t="inlineStr">
        <is>
          <t>x̄MV̅LXXVI</t>
        </is>
      </c>
      <c r="C14077">
        <f>ROMAN(14076)</f>
        <v/>
      </c>
      <c r="D14077">
        <f>IF(B14077=C14077, "YES", "WRONG")</f>
        <v/>
      </c>
    </row>
    <row r="14078">
      <c r="A14078" t="n">
        <v>14077</v>
      </c>
      <c r="B14078" t="inlineStr">
        <is>
          <t>x̄MV̅LXXVII</t>
        </is>
      </c>
      <c r="C14078">
        <f>ROMAN(14077)</f>
        <v/>
      </c>
      <c r="D14078">
        <f>IF(B14078=C14078, "YES", "WRONG")</f>
        <v/>
      </c>
    </row>
    <row r="14079">
      <c r="A14079" t="n">
        <v>14078</v>
      </c>
      <c r="B14079" t="inlineStr">
        <is>
          <t>x̄MV̅LXXVIII</t>
        </is>
      </c>
      <c r="C14079">
        <f>ROMAN(14078)</f>
        <v/>
      </c>
      <c r="D14079">
        <f>IF(B14079=C14079, "YES", "WRONG")</f>
        <v/>
      </c>
    </row>
    <row r="14080">
      <c r="A14080" t="n">
        <v>14079</v>
      </c>
      <c r="B14080" t="inlineStr">
        <is>
          <t>x̄MV̅LXXIX</t>
        </is>
      </c>
      <c r="C14080">
        <f>ROMAN(14079)</f>
        <v/>
      </c>
      <c r="D14080">
        <f>IF(B14080=C14080, "YES", "WRONG")</f>
        <v/>
      </c>
    </row>
    <row r="14081">
      <c r="A14081" t="n">
        <v>14080</v>
      </c>
      <c r="B14081" t="inlineStr">
        <is>
          <t>x̄MV̅LXXX</t>
        </is>
      </c>
      <c r="C14081">
        <f>ROMAN(14080)</f>
        <v/>
      </c>
      <c r="D14081">
        <f>IF(B14081=C14081, "YES", "WRONG")</f>
        <v/>
      </c>
    </row>
    <row r="14082">
      <c r="A14082" t="n">
        <v>14081</v>
      </c>
      <c r="B14082" t="inlineStr">
        <is>
          <t>x̄MV̅LXXXI</t>
        </is>
      </c>
      <c r="C14082">
        <f>ROMAN(14081)</f>
        <v/>
      </c>
      <c r="D14082">
        <f>IF(B14082=C14082, "YES", "WRONG")</f>
        <v/>
      </c>
    </row>
    <row r="14083">
      <c r="A14083" t="n">
        <v>14082</v>
      </c>
      <c r="B14083" t="inlineStr">
        <is>
          <t>x̄MV̅LXXXII</t>
        </is>
      </c>
      <c r="C14083">
        <f>ROMAN(14082)</f>
        <v/>
      </c>
      <c r="D14083">
        <f>IF(B14083=C14083, "YES", "WRONG")</f>
        <v/>
      </c>
    </row>
    <row r="14084">
      <c r="A14084" t="n">
        <v>14083</v>
      </c>
      <c r="B14084" t="inlineStr">
        <is>
          <t>x̄MV̅LXXXIII</t>
        </is>
      </c>
      <c r="C14084">
        <f>ROMAN(14083)</f>
        <v/>
      </c>
      <c r="D14084">
        <f>IF(B14084=C14084, "YES", "WRONG")</f>
        <v/>
      </c>
    </row>
    <row r="14085">
      <c r="A14085" t="n">
        <v>14084</v>
      </c>
      <c r="B14085" t="inlineStr">
        <is>
          <t>x̄MV̅LXXXIV</t>
        </is>
      </c>
      <c r="C14085">
        <f>ROMAN(14084)</f>
        <v/>
      </c>
      <c r="D14085">
        <f>IF(B14085=C14085, "YES", "WRONG")</f>
        <v/>
      </c>
    </row>
    <row r="14086">
      <c r="A14086" t="n">
        <v>14085</v>
      </c>
      <c r="B14086" t="inlineStr">
        <is>
          <t>x̄MV̅LXXXV</t>
        </is>
      </c>
      <c r="C14086">
        <f>ROMAN(14085)</f>
        <v/>
      </c>
      <c r="D14086">
        <f>IF(B14086=C14086, "YES", "WRONG")</f>
        <v/>
      </c>
    </row>
    <row r="14087">
      <c r="A14087" t="n">
        <v>14086</v>
      </c>
      <c r="B14087" t="inlineStr">
        <is>
          <t>x̄MV̅LXXXVI</t>
        </is>
      </c>
      <c r="C14087">
        <f>ROMAN(14086)</f>
        <v/>
      </c>
      <c r="D14087">
        <f>IF(B14087=C14087, "YES", "WRONG")</f>
        <v/>
      </c>
    </row>
    <row r="14088">
      <c r="A14088" t="n">
        <v>14087</v>
      </c>
      <c r="B14088" t="inlineStr">
        <is>
          <t>x̄MV̅LXXXVII</t>
        </is>
      </c>
      <c r="C14088">
        <f>ROMAN(14087)</f>
        <v/>
      </c>
      <c r="D14088">
        <f>IF(B14088=C14088, "YES", "WRONG")</f>
        <v/>
      </c>
    </row>
    <row r="14089">
      <c r="A14089" t="n">
        <v>14088</v>
      </c>
      <c r="B14089" t="inlineStr">
        <is>
          <t>x̄MV̅LXXXVIII</t>
        </is>
      </c>
      <c r="C14089">
        <f>ROMAN(14088)</f>
        <v/>
      </c>
      <c r="D14089">
        <f>IF(B14089=C14089, "YES", "WRONG")</f>
        <v/>
      </c>
    </row>
    <row r="14090">
      <c r="A14090" t="n">
        <v>14089</v>
      </c>
      <c r="B14090" t="inlineStr">
        <is>
          <t>x̄MV̅LXXXIX</t>
        </is>
      </c>
      <c r="C14090">
        <f>ROMAN(14089)</f>
        <v/>
      </c>
      <c r="D14090">
        <f>IF(B14090=C14090, "YES", "WRONG")</f>
        <v/>
      </c>
    </row>
    <row r="14091">
      <c r="A14091" t="n">
        <v>14090</v>
      </c>
      <c r="B14091" t="inlineStr">
        <is>
          <t>x̄MV̅XC</t>
        </is>
      </c>
      <c r="C14091">
        <f>ROMAN(14090)</f>
        <v/>
      </c>
      <c r="D14091">
        <f>IF(B14091=C14091, "YES", "WRONG")</f>
        <v/>
      </c>
    </row>
    <row r="14092">
      <c r="A14092" t="n">
        <v>14091</v>
      </c>
      <c r="B14092" t="inlineStr">
        <is>
          <t>x̄MV̅XCI</t>
        </is>
      </c>
      <c r="C14092">
        <f>ROMAN(14091)</f>
        <v/>
      </c>
      <c r="D14092">
        <f>IF(B14092=C14092, "YES", "WRONG")</f>
        <v/>
      </c>
    </row>
    <row r="14093">
      <c r="A14093" t="n">
        <v>14092</v>
      </c>
      <c r="B14093" t="inlineStr">
        <is>
          <t>x̄MV̅XCII</t>
        </is>
      </c>
      <c r="C14093">
        <f>ROMAN(14092)</f>
        <v/>
      </c>
      <c r="D14093">
        <f>IF(B14093=C14093, "YES", "WRONG")</f>
        <v/>
      </c>
    </row>
    <row r="14094">
      <c r="A14094" t="n">
        <v>14093</v>
      </c>
      <c r="B14094" t="inlineStr">
        <is>
          <t>x̄MV̅XCIII</t>
        </is>
      </c>
      <c r="C14094">
        <f>ROMAN(14093)</f>
        <v/>
      </c>
      <c r="D14094">
        <f>IF(B14094=C14094, "YES", "WRONG")</f>
        <v/>
      </c>
    </row>
    <row r="14095">
      <c r="A14095" t="n">
        <v>14094</v>
      </c>
      <c r="B14095" t="inlineStr">
        <is>
          <t>x̄MV̅XCIV</t>
        </is>
      </c>
      <c r="C14095">
        <f>ROMAN(14094)</f>
        <v/>
      </c>
      <c r="D14095">
        <f>IF(B14095=C14095, "YES", "WRONG")</f>
        <v/>
      </c>
    </row>
    <row r="14096">
      <c r="A14096" t="n">
        <v>14095</v>
      </c>
      <c r="B14096" t="inlineStr">
        <is>
          <t>x̄MV̅XCV</t>
        </is>
      </c>
      <c r="C14096">
        <f>ROMAN(14095)</f>
        <v/>
      </c>
      <c r="D14096">
        <f>IF(B14096=C14096, "YES", "WRONG")</f>
        <v/>
      </c>
    </row>
    <row r="14097">
      <c r="A14097" t="n">
        <v>14096</v>
      </c>
      <c r="B14097" t="inlineStr">
        <is>
          <t>x̄MV̅XCVI</t>
        </is>
      </c>
      <c r="C14097">
        <f>ROMAN(14096)</f>
        <v/>
      </c>
      <c r="D14097">
        <f>IF(B14097=C14097, "YES", "WRONG")</f>
        <v/>
      </c>
    </row>
    <row r="14098">
      <c r="A14098" t="n">
        <v>14097</v>
      </c>
      <c r="B14098" t="inlineStr">
        <is>
          <t>x̄MV̅XCVII</t>
        </is>
      </c>
      <c r="C14098">
        <f>ROMAN(14097)</f>
        <v/>
      </c>
      <c r="D14098">
        <f>IF(B14098=C14098, "YES", "WRONG")</f>
        <v/>
      </c>
    </row>
    <row r="14099">
      <c r="A14099" t="n">
        <v>14098</v>
      </c>
      <c r="B14099" t="inlineStr">
        <is>
          <t>x̄MV̅XCVIII</t>
        </is>
      </c>
      <c r="C14099">
        <f>ROMAN(14098)</f>
        <v/>
      </c>
      <c r="D14099">
        <f>IF(B14099=C14099, "YES", "WRONG")</f>
        <v/>
      </c>
    </row>
    <row r="14100">
      <c r="A14100" t="n">
        <v>14099</v>
      </c>
      <c r="B14100" t="inlineStr">
        <is>
          <t>x̄MV̅XCIX</t>
        </is>
      </c>
      <c r="C14100">
        <f>ROMAN(14099)</f>
        <v/>
      </c>
      <c r="D14100">
        <f>IF(B14100=C14100, "YES", "WRONG")</f>
        <v/>
      </c>
    </row>
    <row r="14101">
      <c r="A14101" t="n">
        <v>14100</v>
      </c>
      <c r="B14101" t="inlineStr">
        <is>
          <t>x̄MV̅C</t>
        </is>
      </c>
      <c r="C14101">
        <f>ROMAN(14100)</f>
        <v/>
      </c>
      <c r="D14101">
        <f>IF(B14101=C14101, "YES", "WRONG")</f>
        <v/>
      </c>
    </row>
    <row r="14102">
      <c r="A14102" t="n">
        <v>14101</v>
      </c>
      <c r="B14102" t="inlineStr">
        <is>
          <t>x̄MV̅CI</t>
        </is>
      </c>
      <c r="C14102">
        <f>ROMAN(14101)</f>
        <v/>
      </c>
      <c r="D14102">
        <f>IF(B14102=C14102, "YES", "WRONG")</f>
        <v/>
      </c>
    </row>
    <row r="14103">
      <c r="A14103" t="n">
        <v>14102</v>
      </c>
      <c r="B14103" t="inlineStr">
        <is>
          <t>x̄MV̅CII</t>
        </is>
      </c>
      <c r="C14103">
        <f>ROMAN(14102)</f>
        <v/>
      </c>
      <c r="D14103">
        <f>IF(B14103=C14103, "YES", "WRONG")</f>
        <v/>
      </c>
    </row>
    <row r="14104">
      <c r="A14104" t="n">
        <v>14103</v>
      </c>
      <c r="B14104" t="inlineStr">
        <is>
          <t>x̄MV̅CIII</t>
        </is>
      </c>
      <c r="C14104">
        <f>ROMAN(14103)</f>
        <v/>
      </c>
      <c r="D14104">
        <f>IF(B14104=C14104, "YES", "WRONG")</f>
        <v/>
      </c>
    </row>
    <row r="14105">
      <c r="A14105" t="n">
        <v>14104</v>
      </c>
      <c r="B14105" t="inlineStr">
        <is>
          <t>x̄MV̅CIV</t>
        </is>
      </c>
      <c r="C14105">
        <f>ROMAN(14104)</f>
        <v/>
      </c>
      <c r="D14105">
        <f>IF(B14105=C14105, "YES", "WRONG")</f>
        <v/>
      </c>
    </row>
    <row r="14106">
      <c r="A14106" t="n">
        <v>14105</v>
      </c>
      <c r="B14106" t="inlineStr">
        <is>
          <t>x̄MV̅CV</t>
        </is>
      </c>
      <c r="C14106">
        <f>ROMAN(14105)</f>
        <v/>
      </c>
      <c r="D14106">
        <f>IF(B14106=C14106, "YES", "WRONG")</f>
        <v/>
      </c>
    </row>
    <row r="14107">
      <c r="A14107" t="n">
        <v>14106</v>
      </c>
      <c r="B14107" t="inlineStr">
        <is>
          <t>x̄MV̅CVI</t>
        </is>
      </c>
      <c r="C14107">
        <f>ROMAN(14106)</f>
        <v/>
      </c>
      <c r="D14107">
        <f>IF(B14107=C14107, "YES", "WRONG")</f>
        <v/>
      </c>
    </row>
    <row r="14108">
      <c r="A14108" t="n">
        <v>14107</v>
      </c>
      <c r="B14108" t="inlineStr">
        <is>
          <t>x̄MV̅CVII</t>
        </is>
      </c>
      <c r="C14108">
        <f>ROMAN(14107)</f>
        <v/>
      </c>
      <c r="D14108">
        <f>IF(B14108=C14108, "YES", "WRONG")</f>
        <v/>
      </c>
    </row>
    <row r="14109">
      <c r="A14109" t="n">
        <v>14108</v>
      </c>
      <c r="B14109" t="inlineStr">
        <is>
          <t>x̄MV̅CVIII</t>
        </is>
      </c>
      <c r="C14109">
        <f>ROMAN(14108)</f>
        <v/>
      </c>
      <c r="D14109">
        <f>IF(B14109=C14109, "YES", "WRONG")</f>
        <v/>
      </c>
    </row>
    <row r="14110">
      <c r="A14110" t="n">
        <v>14109</v>
      </c>
      <c r="B14110" t="inlineStr">
        <is>
          <t>x̄MV̅CIX</t>
        </is>
      </c>
      <c r="C14110">
        <f>ROMAN(14109)</f>
        <v/>
      </c>
      <c r="D14110">
        <f>IF(B14110=C14110, "YES", "WRONG")</f>
        <v/>
      </c>
    </row>
    <row r="14111">
      <c r="A14111" t="n">
        <v>14110</v>
      </c>
      <c r="B14111" t="inlineStr">
        <is>
          <t>x̄MV̅CX</t>
        </is>
      </c>
      <c r="C14111">
        <f>ROMAN(14110)</f>
        <v/>
      </c>
      <c r="D14111">
        <f>IF(B14111=C14111, "YES", "WRONG")</f>
        <v/>
      </c>
    </row>
    <row r="14112">
      <c r="A14112" t="n">
        <v>14111</v>
      </c>
      <c r="B14112" t="inlineStr">
        <is>
          <t>x̄MV̅CXI</t>
        </is>
      </c>
      <c r="C14112">
        <f>ROMAN(14111)</f>
        <v/>
      </c>
      <c r="D14112">
        <f>IF(B14112=C14112, "YES", "WRONG")</f>
        <v/>
      </c>
    </row>
    <row r="14113">
      <c r="A14113" t="n">
        <v>14112</v>
      </c>
      <c r="B14113" t="inlineStr">
        <is>
          <t>x̄MV̅CXII</t>
        </is>
      </c>
      <c r="C14113">
        <f>ROMAN(14112)</f>
        <v/>
      </c>
      <c r="D14113">
        <f>IF(B14113=C14113, "YES", "WRONG")</f>
        <v/>
      </c>
    </row>
    <row r="14114">
      <c r="A14114" t="n">
        <v>14113</v>
      </c>
      <c r="B14114" t="inlineStr">
        <is>
          <t>x̄MV̅CXIII</t>
        </is>
      </c>
      <c r="C14114">
        <f>ROMAN(14113)</f>
        <v/>
      </c>
      <c r="D14114">
        <f>IF(B14114=C14114, "YES", "WRONG")</f>
        <v/>
      </c>
    </row>
    <row r="14115">
      <c r="A14115" t="n">
        <v>14114</v>
      </c>
      <c r="B14115" t="inlineStr">
        <is>
          <t>x̄MV̅CXIV</t>
        </is>
      </c>
      <c r="C14115">
        <f>ROMAN(14114)</f>
        <v/>
      </c>
      <c r="D14115">
        <f>IF(B14115=C14115, "YES", "WRONG")</f>
        <v/>
      </c>
    </row>
    <row r="14116">
      <c r="A14116" t="n">
        <v>14115</v>
      </c>
      <c r="B14116" t="inlineStr">
        <is>
          <t>x̄MV̅CXV</t>
        </is>
      </c>
      <c r="C14116">
        <f>ROMAN(14115)</f>
        <v/>
      </c>
      <c r="D14116">
        <f>IF(B14116=C14116, "YES", "WRONG")</f>
        <v/>
      </c>
    </row>
    <row r="14117">
      <c r="A14117" t="n">
        <v>14116</v>
      </c>
      <c r="B14117" t="inlineStr">
        <is>
          <t>x̄MV̅CXVI</t>
        </is>
      </c>
      <c r="C14117">
        <f>ROMAN(14116)</f>
        <v/>
      </c>
      <c r="D14117">
        <f>IF(B14117=C14117, "YES", "WRONG")</f>
        <v/>
      </c>
    </row>
    <row r="14118">
      <c r="A14118" t="n">
        <v>14117</v>
      </c>
      <c r="B14118" t="inlineStr">
        <is>
          <t>x̄MV̅CXVII</t>
        </is>
      </c>
      <c r="C14118">
        <f>ROMAN(14117)</f>
        <v/>
      </c>
      <c r="D14118">
        <f>IF(B14118=C14118, "YES", "WRONG")</f>
        <v/>
      </c>
    </row>
    <row r="14119">
      <c r="A14119" t="n">
        <v>14118</v>
      </c>
      <c r="B14119" t="inlineStr">
        <is>
          <t>x̄MV̅CXVIII</t>
        </is>
      </c>
      <c r="C14119">
        <f>ROMAN(14118)</f>
        <v/>
      </c>
      <c r="D14119">
        <f>IF(B14119=C14119, "YES", "WRONG")</f>
        <v/>
      </c>
    </row>
    <row r="14120">
      <c r="A14120" t="n">
        <v>14119</v>
      </c>
      <c r="B14120" t="inlineStr">
        <is>
          <t>x̄MV̅CXIX</t>
        </is>
      </c>
      <c r="C14120">
        <f>ROMAN(14119)</f>
        <v/>
      </c>
      <c r="D14120">
        <f>IF(B14120=C14120, "YES", "WRONG")</f>
        <v/>
      </c>
    </row>
    <row r="14121">
      <c r="A14121" t="n">
        <v>14120</v>
      </c>
      <c r="B14121" t="inlineStr">
        <is>
          <t>x̄MV̅CXX</t>
        </is>
      </c>
      <c r="C14121">
        <f>ROMAN(14120)</f>
        <v/>
      </c>
      <c r="D14121">
        <f>IF(B14121=C14121, "YES", "WRONG")</f>
        <v/>
      </c>
    </row>
    <row r="14122">
      <c r="A14122" t="n">
        <v>14121</v>
      </c>
      <c r="B14122" t="inlineStr">
        <is>
          <t>x̄MV̅CXXI</t>
        </is>
      </c>
      <c r="C14122">
        <f>ROMAN(14121)</f>
        <v/>
      </c>
      <c r="D14122">
        <f>IF(B14122=C14122, "YES", "WRONG")</f>
        <v/>
      </c>
    </row>
    <row r="14123">
      <c r="A14123" t="n">
        <v>14122</v>
      </c>
      <c r="B14123" t="inlineStr">
        <is>
          <t>x̄MV̅CXXII</t>
        </is>
      </c>
      <c r="C14123">
        <f>ROMAN(14122)</f>
        <v/>
      </c>
      <c r="D14123">
        <f>IF(B14123=C14123, "YES", "WRONG")</f>
        <v/>
      </c>
    </row>
    <row r="14124">
      <c r="A14124" t="n">
        <v>14123</v>
      </c>
      <c r="B14124" t="inlineStr">
        <is>
          <t>x̄MV̅CXXIII</t>
        </is>
      </c>
      <c r="C14124">
        <f>ROMAN(14123)</f>
        <v/>
      </c>
      <c r="D14124">
        <f>IF(B14124=C14124, "YES", "WRONG")</f>
        <v/>
      </c>
    </row>
    <row r="14125">
      <c r="A14125" t="n">
        <v>14124</v>
      </c>
      <c r="B14125" t="inlineStr">
        <is>
          <t>x̄MV̅CXXIV</t>
        </is>
      </c>
      <c r="C14125">
        <f>ROMAN(14124)</f>
        <v/>
      </c>
      <c r="D14125">
        <f>IF(B14125=C14125, "YES", "WRONG")</f>
        <v/>
      </c>
    </row>
    <row r="14126">
      <c r="A14126" t="n">
        <v>14125</v>
      </c>
      <c r="B14126" t="inlineStr">
        <is>
          <t>x̄MV̅CXXV</t>
        </is>
      </c>
      <c r="C14126">
        <f>ROMAN(14125)</f>
        <v/>
      </c>
      <c r="D14126">
        <f>IF(B14126=C14126, "YES", "WRONG")</f>
        <v/>
      </c>
    </row>
    <row r="14127">
      <c r="A14127" t="n">
        <v>14126</v>
      </c>
      <c r="B14127" t="inlineStr">
        <is>
          <t>x̄MV̅CXXVI</t>
        </is>
      </c>
      <c r="C14127">
        <f>ROMAN(14126)</f>
        <v/>
      </c>
      <c r="D14127">
        <f>IF(B14127=C14127, "YES", "WRONG")</f>
        <v/>
      </c>
    </row>
    <row r="14128">
      <c r="A14128" t="n">
        <v>14127</v>
      </c>
      <c r="B14128" t="inlineStr">
        <is>
          <t>x̄MV̅CXXVII</t>
        </is>
      </c>
      <c r="C14128">
        <f>ROMAN(14127)</f>
        <v/>
      </c>
      <c r="D14128">
        <f>IF(B14128=C14128, "YES", "WRONG")</f>
        <v/>
      </c>
    </row>
    <row r="14129">
      <c r="A14129" t="n">
        <v>14128</v>
      </c>
      <c r="B14129" t="inlineStr">
        <is>
          <t>x̄MV̅CXXVIII</t>
        </is>
      </c>
      <c r="C14129">
        <f>ROMAN(14128)</f>
        <v/>
      </c>
      <c r="D14129">
        <f>IF(B14129=C14129, "YES", "WRONG")</f>
        <v/>
      </c>
    </row>
    <row r="14130">
      <c r="A14130" t="n">
        <v>14129</v>
      </c>
      <c r="B14130" t="inlineStr">
        <is>
          <t>x̄MV̅CXXIX</t>
        </is>
      </c>
      <c r="C14130">
        <f>ROMAN(14129)</f>
        <v/>
      </c>
      <c r="D14130">
        <f>IF(B14130=C14130, "YES", "WRONG")</f>
        <v/>
      </c>
    </row>
    <row r="14131">
      <c r="A14131" t="n">
        <v>14130</v>
      </c>
      <c r="B14131" t="inlineStr">
        <is>
          <t>x̄MV̅CXXX</t>
        </is>
      </c>
      <c r="C14131">
        <f>ROMAN(14130)</f>
        <v/>
      </c>
      <c r="D14131">
        <f>IF(B14131=C14131, "YES", "WRONG")</f>
        <v/>
      </c>
    </row>
    <row r="14132">
      <c r="A14132" t="n">
        <v>14131</v>
      </c>
      <c r="B14132" t="inlineStr">
        <is>
          <t>x̄MV̅CXXXI</t>
        </is>
      </c>
      <c r="C14132">
        <f>ROMAN(14131)</f>
        <v/>
      </c>
      <c r="D14132">
        <f>IF(B14132=C14132, "YES", "WRONG")</f>
        <v/>
      </c>
    </row>
    <row r="14133">
      <c r="A14133" t="n">
        <v>14132</v>
      </c>
      <c r="B14133" t="inlineStr">
        <is>
          <t>x̄MV̅CXXXII</t>
        </is>
      </c>
      <c r="C14133">
        <f>ROMAN(14132)</f>
        <v/>
      </c>
      <c r="D14133">
        <f>IF(B14133=C14133, "YES", "WRONG")</f>
        <v/>
      </c>
    </row>
    <row r="14134">
      <c r="A14134" t="n">
        <v>14133</v>
      </c>
      <c r="B14134" t="inlineStr">
        <is>
          <t>x̄MV̅CXXXIII</t>
        </is>
      </c>
      <c r="C14134">
        <f>ROMAN(14133)</f>
        <v/>
      </c>
      <c r="D14134">
        <f>IF(B14134=C14134, "YES", "WRONG")</f>
        <v/>
      </c>
    </row>
    <row r="14135">
      <c r="A14135" t="n">
        <v>14134</v>
      </c>
      <c r="B14135" t="inlineStr">
        <is>
          <t>x̄MV̅CXXXIV</t>
        </is>
      </c>
      <c r="C14135">
        <f>ROMAN(14134)</f>
        <v/>
      </c>
      <c r="D14135">
        <f>IF(B14135=C14135, "YES", "WRONG")</f>
        <v/>
      </c>
    </row>
    <row r="14136">
      <c r="A14136" t="n">
        <v>14135</v>
      </c>
      <c r="B14136" t="inlineStr">
        <is>
          <t>x̄MV̅CXXXV</t>
        </is>
      </c>
      <c r="C14136">
        <f>ROMAN(14135)</f>
        <v/>
      </c>
      <c r="D14136">
        <f>IF(B14136=C14136, "YES", "WRONG")</f>
        <v/>
      </c>
    </row>
    <row r="14137">
      <c r="A14137" t="n">
        <v>14136</v>
      </c>
      <c r="B14137" t="inlineStr">
        <is>
          <t>x̄MV̅CXXXVI</t>
        </is>
      </c>
      <c r="C14137">
        <f>ROMAN(14136)</f>
        <v/>
      </c>
      <c r="D14137">
        <f>IF(B14137=C14137, "YES", "WRONG")</f>
        <v/>
      </c>
    </row>
    <row r="14138">
      <c r="A14138" t="n">
        <v>14137</v>
      </c>
      <c r="B14138" t="inlineStr">
        <is>
          <t>x̄MV̅CXXXVII</t>
        </is>
      </c>
      <c r="C14138">
        <f>ROMAN(14137)</f>
        <v/>
      </c>
      <c r="D14138">
        <f>IF(B14138=C14138, "YES", "WRONG")</f>
        <v/>
      </c>
    </row>
    <row r="14139">
      <c r="A14139" t="n">
        <v>14138</v>
      </c>
      <c r="B14139" t="inlineStr">
        <is>
          <t>x̄MV̅CXXXVIII</t>
        </is>
      </c>
      <c r="C14139">
        <f>ROMAN(14138)</f>
        <v/>
      </c>
      <c r="D14139">
        <f>IF(B14139=C14139, "YES", "WRONG")</f>
        <v/>
      </c>
    </row>
    <row r="14140">
      <c r="A14140" t="n">
        <v>14139</v>
      </c>
      <c r="B14140" t="inlineStr">
        <is>
          <t>x̄MV̅CXXXIX</t>
        </is>
      </c>
      <c r="C14140">
        <f>ROMAN(14139)</f>
        <v/>
      </c>
      <c r="D14140">
        <f>IF(B14140=C14140, "YES", "WRONG")</f>
        <v/>
      </c>
    </row>
    <row r="14141">
      <c r="A14141" t="n">
        <v>14140</v>
      </c>
      <c r="B14141" t="inlineStr">
        <is>
          <t>x̄MV̅CXL</t>
        </is>
      </c>
      <c r="C14141">
        <f>ROMAN(14140)</f>
        <v/>
      </c>
      <c r="D14141">
        <f>IF(B14141=C14141, "YES", "WRONG")</f>
        <v/>
      </c>
    </row>
    <row r="14142">
      <c r="A14142" t="n">
        <v>14141</v>
      </c>
      <c r="B14142" t="inlineStr">
        <is>
          <t>x̄MV̅CXLI</t>
        </is>
      </c>
      <c r="C14142">
        <f>ROMAN(14141)</f>
        <v/>
      </c>
      <c r="D14142">
        <f>IF(B14142=C14142, "YES", "WRONG")</f>
        <v/>
      </c>
    </row>
    <row r="14143">
      <c r="A14143" t="n">
        <v>14142</v>
      </c>
      <c r="B14143" t="inlineStr">
        <is>
          <t>x̄MV̅CXLII</t>
        </is>
      </c>
      <c r="C14143">
        <f>ROMAN(14142)</f>
        <v/>
      </c>
      <c r="D14143">
        <f>IF(B14143=C14143, "YES", "WRONG")</f>
        <v/>
      </c>
    </row>
    <row r="14144">
      <c r="A14144" t="n">
        <v>14143</v>
      </c>
      <c r="B14144" t="inlineStr">
        <is>
          <t>x̄MV̅CXLIII</t>
        </is>
      </c>
      <c r="C14144">
        <f>ROMAN(14143)</f>
        <v/>
      </c>
      <c r="D14144">
        <f>IF(B14144=C14144, "YES", "WRONG")</f>
        <v/>
      </c>
    </row>
    <row r="14145">
      <c r="A14145" t="n">
        <v>14144</v>
      </c>
      <c r="B14145" t="inlineStr">
        <is>
          <t>x̄MV̅CXLIV</t>
        </is>
      </c>
      <c r="C14145">
        <f>ROMAN(14144)</f>
        <v/>
      </c>
      <c r="D14145">
        <f>IF(B14145=C14145, "YES", "WRONG")</f>
        <v/>
      </c>
    </row>
    <row r="14146">
      <c r="A14146" t="n">
        <v>14145</v>
      </c>
      <c r="B14146" t="inlineStr">
        <is>
          <t>x̄MV̅CXLV</t>
        </is>
      </c>
      <c r="C14146">
        <f>ROMAN(14145)</f>
        <v/>
      </c>
      <c r="D14146">
        <f>IF(B14146=C14146, "YES", "WRONG")</f>
        <v/>
      </c>
    </row>
    <row r="14147">
      <c r="A14147" t="n">
        <v>14146</v>
      </c>
      <c r="B14147" t="inlineStr">
        <is>
          <t>x̄MV̅CXLVI</t>
        </is>
      </c>
      <c r="C14147">
        <f>ROMAN(14146)</f>
        <v/>
      </c>
      <c r="D14147">
        <f>IF(B14147=C14147, "YES", "WRONG")</f>
        <v/>
      </c>
    </row>
    <row r="14148">
      <c r="A14148" t="n">
        <v>14147</v>
      </c>
      <c r="B14148" t="inlineStr">
        <is>
          <t>x̄MV̅CXLVII</t>
        </is>
      </c>
      <c r="C14148">
        <f>ROMAN(14147)</f>
        <v/>
      </c>
      <c r="D14148">
        <f>IF(B14148=C14148, "YES", "WRONG")</f>
        <v/>
      </c>
    </row>
    <row r="14149">
      <c r="A14149" t="n">
        <v>14148</v>
      </c>
      <c r="B14149" t="inlineStr">
        <is>
          <t>x̄MV̅CXLVIII</t>
        </is>
      </c>
      <c r="C14149">
        <f>ROMAN(14148)</f>
        <v/>
      </c>
      <c r="D14149">
        <f>IF(B14149=C14149, "YES", "WRONG")</f>
        <v/>
      </c>
    </row>
    <row r="14150">
      <c r="A14150" t="n">
        <v>14149</v>
      </c>
      <c r="B14150" t="inlineStr">
        <is>
          <t>x̄MV̅CXLIX</t>
        </is>
      </c>
      <c r="C14150">
        <f>ROMAN(14149)</f>
        <v/>
      </c>
      <c r="D14150">
        <f>IF(B14150=C14150, "YES", "WRONG")</f>
        <v/>
      </c>
    </row>
    <row r="14151">
      <c r="A14151" t="n">
        <v>14150</v>
      </c>
      <c r="B14151" t="inlineStr">
        <is>
          <t>x̄MV̅CL</t>
        </is>
      </c>
      <c r="C14151">
        <f>ROMAN(14150)</f>
        <v/>
      </c>
      <c r="D14151">
        <f>IF(B14151=C14151, "YES", "WRONG")</f>
        <v/>
      </c>
    </row>
    <row r="14152">
      <c r="A14152" t="n">
        <v>14151</v>
      </c>
      <c r="B14152" t="inlineStr">
        <is>
          <t>x̄MV̅CLI</t>
        </is>
      </c>
      <c r="C14152">
        <f>ROMAN(14151)</f>
        <v/>
      </c>
      <c r="D14152">
        <f>IF(B14152=C14152, "YES", "WRONG")</f>
        <v/>
      </c>
    </row>
    <row r="14153">
      <c r="A14153" t="n">
        <v>14152</v>
      </c>
      <c r="B14153" t="inlineStr">
        <is>
          <t>x̄MV̅CLII</t>
        </is>
      </c>
      <c r="C14153">
        <f>ROMAN(14152)</f>
        <v/>
      </c>
      <c r="D14153">
        <f>IF(B14153=C14153, "YES", "WRONG")</f>
        <v/>
      </c>
    </row>
    <row r="14154">
      <c r="A14154" t="n">
        <v>14153</v>
      </c>
      <c r="B14154" t="inlineStr">
        <is>
          <t>x̄MV̅CLIII</t>
        </is>
      </c>
      <c r="C14154">
        <f>ROMAN(14153)</f>
        <v/>
      </c>
      <c r="D14154">
        <f>IF(B14154=C14154, "YES", "WRONG")</f>
        <v/>
      </c>
    </row>
    <row r="14155">
      <c r="A14155" t="n">
        <v>14154</v>
      </c>
      <c r="B14155" t="inlineStr">
        <is>
          <t>x̄MV̅CLIV</t>
        </is>
      </c>
      <c r="C14155">
        <f>ROMAN(14154)</f>
        <v/>
      </c>
      <c r="D14155">
        <f>IF(B14155=C14155, "YES", "WRONG")</f>
        <v/>
      </c>
    </row>
    <row r="14156">
      <c r="A14156" t="n">
        <v>14155</v>
      </c>
      <c r="B14156" t="inlineStr">
        <is>
          <t>x̄MV̅CLV</t>
        </is>
      </c>
      <c r="C14156">
        <f>ROMAN(14155)</f>
        <v/>
      </c>
      <c r="D14156">
        <f>IF(B14156=C14156, "YES", "WRONG")</f>
        <v/>
      </c>
    </row>
    <row r="14157">
      <c r="A14157" t="n">
        <v>14156</v>
      </c>
      <c r="B14157" t="inlineStr">
        <is>
          <t>x̄MV̅CLVI</t>
        </is>
      </c>
      <c r="C14157">
        <f>ROMAN(14156)</f>
        <v/>
      </c>
      <c r="D14157">
        <f>IF(B14157=C14157, "YES", "WRONG")</f>
        <v/>
      </c>
    </row>
    <row r="14158">
      <c r="A14158" t="n">
        <v>14157</v>
      </c>
      <c r="B14158" t="inlineStr">
        <is>
          <t>x̄MV̅CLVII</t>
        </is>
      </c>
      <c r="C14158">
        <f>ROMAN(14157)</f>
        <v/>
      </c>
      <c r="D14158">
        <f>IF(B14158=C14158, "YES", "WRONG")</f>
        <v/>
      </c>
    </row>
    <row r="14159">
      <c r="A14159" t="n">
        <v>14158</v>
      </c>
      <c r="B14159" t="inlineStr">
        <is>
          <t>x̄MV̅CLVIII</t>
        </is>
      </c>
      <c r="C14159">
        <f>ROMAN(14158)</f>
        <v/>
      </c>
      <c r="D14159">
        <f>IF(B14159=C14159, "YES", "WRONG")</f>
        <v/>
      </c>
    </row>
    <row r="14160">
      <c r="A14160" t="n">
        <v>14159</v>
      </c>
      <c r="B14160" t="inlineStr">
        <is>
          <t>x̄MV̅CLIX</t>
        </is>
      </c>
      <c r="C14160">
        <f>ROMAN(14159)</f>
        <v/>
      </c>
      <c r="D14160">
        <f>IF(B14160=C14160, "YES", "WRONG")</f>
        <v/>
      </c>
    </row>
    <row r="14161">
      <c r="A14161" t="n">
        <v>14160</v>
      </c>
      <c r="B14161" t="inlineStr">
        <is>
          <t>x̄MV̅CLX</t>
        </is>
      </c>
      <c r="C14161">
        <f>ROMAN(14160)</f>
        <v/>
      </c>
      <c r="D14161">
        <f>IF(B14161=C14161, "YES", "WRONG")</f>
        <v/>
      </c>
    </row>
    <row r="14162">
      <c r="A14162" t="n">
        <v>14161</v>
      </c>
      <c r="B14162" t="inlineStr">
        <is>
          <t>x̄MV̅CLXI</t>
        </is>
      </c>
      <c r="C14162">
        <f>ROMAN(14161)</f>
        <v/>
      </c>
      <c r="D14162">
        <f>IF(B14162=C14162, "YES", "WRONG")</f>
        <v/>
      </c>
    </row>
    <row r="14163">
      <c r="A14163" t="n">
        <v>14162</v>
      </c>
      <c r="B14163" t="inlineStr">
        <is>
          <t>x̄MV̅CLXII</t>
        </is>
      </c>
      <c r="C14163">
        <f>ROMAN(14162)</f>
        <v/>
      </c>
      <c r="D14163">
        <f>IF(B14163=C14163, "YES", "WRONG")</f>
        <v/>
      </c>
    </row>
    <row r="14164">
      <c r="A14164" t="n">
        <v>14163</v>
      </c>
      <c r="B14164" t="inlineStr">
        <is>
          <t>x̄MV̅CLXIII</t>
        </is>
      </c>
      <c r="C14164">
        <f>ROMAN(14163)</f>
        <v/>
      </c>
      <c r="D14164">
        <f>IF(B14164=C14164, "YES", "WRONG")</f>
        <v/>
      </c>
    </row>
    <row r="14165">
      <c r="A14165" t="n">
        <v>14164</v>
      </c>
      <c r="B14165" t="inlineStr">
        <is>
          <t>x̄MV̅CLXIV</t>
        </is>
      </c>
      <c r="C14165">
        <f>ROMAN(14164)</f>
        <v/>
      </c>
      <c r="D14165">
        <f>IF(B14165=C14165, "YES", "WRONG")</f>
        <v/>
      </c>
    </row>
    <row r="14166">
      <c r="A14166" t="n">
        <v>14165</v>
      </c>
      <c r="B14166" t="inlineStr">
        <is>
          <t>x̄MV̅CLXV</t>
        </is>
      </c>
      <c r="C14166">
        <f>ROMAN(14165)</f>
        <v/>
      </c>
      <c r="D14166">
        <f>IF(B14166=C14166, "YES", "WRONG")</f>
        <v/>
      </c>
    </row>
    <row r="14167">
      <c r="A14167" t="n">
        <v>14166</v>
      </c>
      <c r="B14167" t="inlineStr">
        <is>
          <t>x̄MV̅CLXVI</t>
        </is>
      </c>
      <c r="C14167">
        <f>ROMAN(14166)</f>
        <v/>
      </c>
      <c r="D14167">
        <f>IF(B14167=C14167, "YES", "WRONG")</f>
        <v/>
      </c>
    </row>
    <row r="14168">
      <c r="A14168" t="n">
        <v>14167</v>
      </c>
      <c r="B14168" t="inlineStr">
        <is>
          <t>x̄MV̅CLXVII</t>
        </is>
      </c>
      <c r="C14168">
        <f>ROMAN(14167)</f>
        <v/>
      </c>
      <c r="D14168">
        <f>IF(B14168=C14168, "YES", "WRONG")</f>
        <v/>
      </c>
    </row>
    <row r="14169">
      <c r="A14169" t="n">
        <v>14168</v>
      </c>
      <c r="B14169" t="inlineStr">
        <is>
          <t>x̄MV̅CLXVIII</t>
        </is>
      </c>
      <c r="C14169">
        <f>ROMAN(14168)</f>
        <v/>
      </c>
      <c r="D14169">
        <f>IF(B14169=C14169, "YES", "WRONG")</f>
        <v/>
      </c>
    </row>
    <row r="14170">
      <c r="A14170" t="n">
        <v>14169</v>
      </c>
      <c r="B14170" t="inlineStr">
        <is>
          <t>x̄MV̅CLXIX</t>
        </is>
      </c>
      <c r="C14170">
        <f>ROMAN(14169)</f>
        <v/>
      </c>
      <c r="D14170">
        <f>IF(B14170=C14170, "YES", "WRONG")</f>
        <v/>
      </c>
    </row>
    <row r="14171">
      <c r="A14171" t="n">
        <v>14170</v>
      </c>
      <c r="B14171" t="inlineStr">
        <is>
          <t>x̄MV̅CLXX</t>
        </is>
      </c>
      <c r="C14171">
        <f>ROMAN(14170)</f>
        <v/>
      </c>
      <c r="D14171">
        <f>IF(B14171=C14171, "YES", "WRONG")</f>
        <v/>
      </c>
    </row>
    <row r="14172">
      <c r="A14172" t="n">
        <v>14171</v>
      </c>
      <c r="B14172" t="inlineStr">
        <is>
          <t>x̄MV̅CLXXI</t>
        </is>
      </c>
      <c r="C14172">
        <f>ROMAN(14171)</f>
        <v/>
      </c>
      <c r="D14172">
        <f>IF(B14172=C14172, "YES", "WRONG")</f>
        <v/>
      </c>
    </row>
    <row r="14173">
      <c r="A14173" t="n">
        <v>14172</v>
      </c>
      <c r="B14173" t="inlineStr">
        <is>
          <t>x̄MV̅CLXXII</t>
        </is>
      </c>
      <c r="C14173">
        <f>ROMAN(14172)</f>
        <v/>
      </c>
      <c r="D14173">
        <f>IF(B14173=C14173, "YES", "WRONG")</f>
        <v/>
      </c>
    </row>
    <row r="14174">
      <c r="A14174" t="n">
        <v>14173</v>
      </c>
      <c r="B14174" t="inlineStr">
        <is>
          <t>x̄MV̅CLXXIII</t>
        </is>
      </c>
      <c r="C14174">
        <f>ROMAN(14173)</f>
        <v/>
      </c>
      <c r="D14174">
        <f>IF(B14174=C14174, "YES", "WRONG")</f>
        <v/>
      </c>
    </row>
    <row r="14175">
      <c r="A14175" t="n">
        <v>14174</v>
      </c>
      <c r="B14175" t="inlineStr">
        <is>
          <t>x̄MV̅CLXXIV</t>
        </is>
      </c>
      <c r="C14175">
        <f>ROMAN(14174)</f>
        <v/>
      </c>
      <c r="D14175">
        <f>IF(B14175=C14175, "YES", "WRONG")</f>
        <v/>
      </c>
    </row>
    <row r="14176">
      <c r="A14176" t="n">
        <v>14175</v>
      </c>
      <c r="B14176" t="inlineStr">
        <is>
          <t>x̄MV̅CLXXV</t>
        </is>
      </c>
      <c r="C14176">
        <f>ROMAN(14175)</f>
        <v/>
      </c>
      <c r="D14176">
        <f>IF(B14176=C14176, "YES", "WRONG")</f>
        <v/>
      </c>
    </row>
    <row r="14177">
      <c r="A14177" t="n">
        <v>14176</v>
      </c>
      <c r="B14177" t="inlineStr">
        <is>
          <t>x̄MV̅CLXXVI</t>
        </is>
      </c>
      <c r="C14177">
        <f>ROMAN(14176)</f>
        <v/>
      </c>
      <c r="D14177">
        <f>IF(B14177=C14177, "YES", "WRONG")</f>
        <v/>
      </c>
    </row>
    <row r="14178">
      <c r="A14178" t="n">
        <v>14177</v>
      </c>
      <c r="B14178" t="inlineStr">
        <is>
          <t>x̄MV̅CLXXVII</t>
        </is>
      </c>
      <c r="C14178">
        <f>ROMAN(14177)</f>
        <v/>
      </c>
      <c r="D14178">
        <f>IF(B14178=C14178, "YES", "WRONG")</f>
        <v/>
      </c>
    </row>
    <row r="14179">
      <c r="A14179" t="n">
        <v>14178</v>
      </c>
      <c r="B14179" t="inlineStr">
        <is>
          <t>x̄MV̅CLXXVIII</t>
        </is>
      </c>
      <c r="C14179">
        <f>ROMAN(14178)</f>
        <v/>
      </c>
      <c r="D14179">
        <f>IF(B14179=C14179, "YES", "WRONG")</f>
        <v/>
      </c>
    </row>
    <row r="14180">
      <c r="A14180" t="n">
        <v>14179</v>
      </c>
      <c r="B14180" t="inlineStr">
        <is>
          <t>x̄MV̅CLXXIX</t>
        </is>
      </c>
      <c r="C14180">
        <f>ROMAN(14179)</f>
        <v/>
      </c>
      <c r="D14180">
        <f>IF(B14180=C14180, "YES", "WRONG")</f>
        <v/>
      </c>
    </row>
    <row r="14181">
      <c r="A14181" t="n">
        <v>14180</v>
      </c>
      <c r="B14181" t="inlineStr">
        <is>
          <t>x̄MV̅CLXXX</t>
        </is>
      </c>
      <c r="C14181">
        <f>ROMAN(14180)</f>
        <v/>
      </c>
      <c r="D14181">
        <f>IF(B14181=C14181, "YES", "WRONG")</f>
        <v/>
      </c>
    </row>
    <row r="14182">
      <c r="A14182" t="n">
        <v>14181</v>
      </c>
      <c r="B14182" t="inlineStr">
        <is>
          <t>x̄MV̅CLXXXI</t>
        </is>
      </c>
      <c r="C14182">
        <f>ROMAN(14181)</f>
        <v/>
      </c>
      <c r="D14182">
        <f>IF(B14182=C14182, "YES", "WRONG")</f>
        <v/>
      </c>
    </row>
    <row r="14183">
      <c r="A14183" t="n">
        <v>14182</v>
      </c>
      <c r="B14183" t="inlineStr">
        <is>
          <t>x̄MV̅CLXXXII</t>
        </is>
      </c>
      <c r="C14183">
        <f>ROMAN(14182)</f>
        <v/>
      </c>
      <c r="D14183">
        <f>IF(B14183=C14183, "YES", "WRONG")</f>
        <v/>
      </c>
    </row>
    <row r="14184">
      <c r="A14184" t="n">
        <v>14183</v>
      </c>
      <c r="B14184" t="inlineStr">
        <is>
          <t>x̄MV̅CLXXXIII</t>
        </is>
      </c>
      <c r="C14184">
        <f>ROMAN(14183)</f>
        <v/>
      </c>
      <c r="D14184">
        <f>IF(B14184=C14184, "YES", "WRONG")</f>
        <v/>
      </c>
    </row>
    <row r="14185">
      <c r="A14185" t="n">
        <v>14184</v>
      </c>
      <c r="B14185" t="inlineStr">
        <is>
          <t>x̄MV̅CLXXXIV</t>
        </is>
      </c>
      <c r="C14185">
        <f>ROMAN(14184)</f>
        <v/>
      </c>
      <c r="D14185">
        <f>IF(B14185=C14185, "YES", "WRONG")</f>
        <v/>
      </c>
    </row>
    <row r="14186">
      <c r="A14186" t="n">
        <v>14185</v>
      </c>
      <c r="B14186" t="inlineStr">
        <is>
          <t>x̄MV̅CLXXXV</t>
        </is>
      </c>
      <c r="C14186">
        <f>ROMAN(14185)</f>
        <v/>
      </c>
      <c r="D14186">
        <f>IF(B14186=C14186, "YES", "WRONG")</f>
        <v/>
      </c>
    </row>
    <row r="14187">
      <c r="A14187" t="n">
        <v>14186</v>
      </c>
      <c r="B14187" t="inlineStr">
        <is>
          <t>x̄MV̅CLXXXVI</t>
        </is>
      </c>
      <c r="C14187">
        <f>ROMAN(14186)</f>
        <v/>
      </c>
      <c r="D14187">
        <f>IF(B14187=C14187, "YES", "WRONG")</f>
        <v/>
      </c>
    </row>
    <row r="14188">
      <c r="A14188" t="n">
        <v>14187</v>
      </c>
      <c r="B14188" t="inlineStr">
        <is>
          <t>x̄MV̅CLXXXVII</t>
        </is>
      </c>
      <c r="C14188">
        <f>ROMAN(14187)</f>
        <v/>
      </c>
      <c r="D14188">
        <f>IF(B14188=C14188, "YES", "WRONG")</f>
        <v/>
      </c>
    </row>
    <row r="14189">
      <c r="A14189" t="n">
        <v>14188</v>
      </c>
      <c r="B14189" t="inlineStr">
        <is>
          <t>x̄MV̅CLXXXVIII</t>
        </is>
      </c>
      <c r="C14189">
        <f>ROMAN(14188)</f>
        <v/>
      </c>
      <c r="D14189">
        <f>IF(B14189=C14189, "YES", "WRONG")</f>
        <v/>
      </c>
    </row>
    <row r="14190">
      <c r="A14190" t="n">
        <v>14189</v>
      </c>
      <c r="B14190" t="inlineStr">
        <is>
          <t>x̄MV̅CLXXXIX</t>
        </is>
      </c>
      <c r="C14190">
        <f>ROMAN(14189)</f>
        <v/>
      </c>
      <c r="D14190">
        <f>IF(B14190=C14190, "YES", "WRONG")</f>
        <v/>
      </c>
    </row>
    <row r="14191">
      <c r="A14191" t="n">
        <v>14190</v>
      </c>
      <c r="B14191" t="inlineStr">
        <is>
          <t>x̄MV̅CXC</t>
        </is>
      </c>
      <c r="C14191">
        <f>ROMAN(14190)</f>
        <v/>
      </c>
      <c r="D14191">
        <f>IF(B14191=C14191, "YES", "WRONG")</f>
        <v/>
      </c>
    </row>
    <row r="14192">
      <c r="A14192" t="n">
        <v>14191</v>
      </c>
      <c r="B14192" t="inlineStr">
        <is>
          <t>x̄MV̅CXCI</t>
        </is>
      </c>
      <c r="C14192">
        <f>ROMAN(14191)</f>
        <v/>
      </c>
      <c r="D14192">
        <f>IF(B14192=C14192, "YES", "WRONG")</f>
        <v/>
      </c>
    </row>
    <row r="14193">
      <c r="A14193" t="n">
        <v>14192</v>
      </c>
      <c r="B14193" t="inlineStr">
        <is>
          <t>x̄MV̅CXCII</t>
        </is>
      </c>
      <c r="C14193">
        <f>ROMAN(14192)</f>
        <v/>
      </c>
      <c r="D14193">
        <f>IF(B14193=C14193, "YES", "WRONG")</f>
        <v/>
      </c>
    </row>
    <row r="14194">
      <c r="A14194" t="n">
        <v>14193</v>
      </c>
      <c r="B14194" t="inlineStr">
        <is>
          <t>x̄MV̅CXCIII</t>
        </is>
      </c>
      <c r="C14194">
        <f>ROMAN(14193)</f>
        <v/>
      </c>
      <c r="D14194">
        <f>IF(B14194=C14194, "YES", "WRONG")</f>
        <v/>
      </c>
    </row>
    <row r="14195">
      <c r="A14195" t="n">
        <v>14194</v>
      </c>
      <c r="B14195" t="inlineStr">
        <is>
          <t>x̄MV̅CXCIV</t>
        </is>
      </c>
      <c r="C14195">
        <f>ROMAN(14194)</f>
        <v/>
      </c>
      <c r="D14195">
        <f>IF(B14195=C14195, "YES", "WRONG")</f>
        <v/>
      </c>
    </row>
    <row r="14196">
      <c r="A14196" t="n">
        <v>14195</v>
      </c>
      <c r="B14196" t="inlineStr">
        <is>
          <t>x̄MV̅CXCV</t>
        </is>
      </c>
      <c r="C14196">
        <f>ROMAN(14195)</f>
        <v/>
      </c>
      <c r="D14196">
        <f>IF(B14196=C14196, "YES", "WRONG")</f>
        <v/>
      </c>
    </row>
    <row r="14197">
      <c r="A14197" t="n">
        <v>14196</v>
      </c>
      <c r="B14197" t="inlineStr">
        <is>
          <t>x̄MV̅CXCVI</t>
        </is>
      </c>
      <c r="C14197">
        <f>ROMAN(14196)</f>
        <v/>
      </c>
      <c r="D14197">
        <f>IF(B14197=C14197, "YES", "WRONG")</f>
        <v/>
      </c>
    </row>
    <row r="14198">
      <c r="A14198" t="n">
        <v>14197</v>
      </c>
      <c r="B14198" t="inlineStr">
        <is>
          <t>x̄MV̅CXCVII</t>
        </is>
      </c>
      <c r="C14198">
        <f>ROMAN(14197)</f>
        <v/>
      </c>
      <c r="D14198">
        <f>IF(B14198=C14198, "YES", "WRONG")</f>
        <v/>
      </c>
    </row>
    <row r="14199">
      <c r="A14199" t="n">
        <v>14198</v>
      </c>
      <c r="B14199" t="inlineStr">
        <is>
          <t>x̄MV̅CXCVIII</t>
        </is>
      </c>
      <c r="C14199">
        <f>ROMAN(14198)</f>
        <v/>
      </c>
      <c r="D14199">
        <f>IF(B14199=C14199, "YES", "WRONG")</f>
        <v/>
      </c>
    </row>
    <row r="14200">
      <c r="A14200" t="n">
        <v>14199</v>
      </c>
      <c r="B14200" t="inlineStr">
        <is>
          <t>x̄MV̅CXCIX</t>
        </is>
      </c>
      <c r="C14200">
        <f>ROMAN(14199)</f>
        <v/>
      </c>
      <c r="D14200">
        <f>IF(B14200=C14200, "YES", "WRONG")</f>
        <v/>
      </c>
    </row>
    <row r="14201">
      <c r="A14201" t="n">
        <v>14200</v>
      </c>
      <c r="B14201" t="inlineStr">
        <is>
          <t>x̄MV̅CC</t>
        </is>
      </c>
      <c r="C14201">
        <f>ROMAN(14200)</f>
        <v/>
      </c>
      <c r="D14201">
        <f>IF(B14201=C14201, "YES", "WRONG")</f>
        <v/>
      </c>
    </row>
    <row r="14202">
      <c r="A14202" t="n">
        <v>14201</v>
      </c>
      <c r="B14202" t="inlineStr">
        <is>
          <t>x̄MV̅CCI</t>
        </is>
      </c>
      <c r="C14202">
        <f>ROMAN(14201)</f>
        <v/>
      </c>
      <c r="D14202">
        <f>IF(B14202=C14202, "YES", "WRONG")</f>
        <v/>
      </c>
    </row>
    <row r="14203">
      <c r="A14203" t="n">
        <v>14202</v>
      </c>
      <c r="B14203" t="inlineStr">
        <is>
          <t>x̄MV̅CCII</t>
        </is>
      </c>
      <c r="C14203">
        <f>ROMAN(14202)</f>
        <v/>
      </c>
      <c r="D14203">
        <f>IF(B14203=C14203, "YES", "WRONG")</f>
        <v/>
      </c>
    </row>
    <row r="14204">
      <c r="A14204" t="n">
        <v>14203</v>
      </c>
      <c r="B14204" t="inlineStr">
        <is>
          <t>x̄MV̅CCIII</t>
        </is>
      </c>
      <c r="C14204">
        <f>ROMAN(14203)</f>
        <v/>
      </c>
      <c r="D14204">
        <f>IF(B14204=C14204, "YES", "WRONG")</f>
        <v/>
      </c>
    </row>
    <row r="14205">
      <c r="A14205" t="n">
        <v>14204</v>
      </c>
      <c r="B14205" t="inlineStr">
        <is>
          <t>x̄MV̅CCIV</t>
        </is>
      </c>
      <c r="C14205">
        <f>ROMAN(14204)</f>
        <v/>
      </c>
      <c r="D14205">
        <f>IF(B14205=C14205, "YES", "WRONG")</f>
        <v/>
      </c>
    </row>
    <row r="14206">
      <c r="A14206" t="n">
        <v>14205</v>
      </c>
      <c r="B14206" t="inlineStr">
        <is>
          <t>x̄MV̅CCV</t>
        </is>
      </c>
      <c r="C14206">
        <f>ROMAN(14205)</f>
        <v/>
      </c>
      <c r="D14206">
        <f>IF(B14206=C14206, "YES", "WRONG")</f>
        <v/>
      </c>
    </row>
    <row r="14207">
      <c r="A14207" t="n">
        <v>14206</v>
      </c>
      <c r="B14207" t="inlineStr">
        <is>
          <t>x̄MV̅CCVI</t>
        </is>
      </c>
      <c r="C14207">
        <f>ROMAN(14206)</f>
        <v/>
      </c>
      <c r="D14207">
        <f>IF(B14207=C14207, "YES", "WRONG")</f>
        <v/>
      </c>
    </row>
    <row r="14208">
      <c r="A14208" t="n">
        <v>14207</v>
      </c>
      <c r="B14208" t="inlineStr">
        <is>
          <t>x̄MV̅CCVII</t>
        </is>
      </c>
      <c r="C14208">
        <f>ROMAN(14207)</f>
        <v/>
      </c>
      <c r="D14208">
        <f>IF(B14208=C14208, "YES", "WRONG")</f>
        <v/>
      </c>
    </row>
    <row r="14209">
      <c r="A14209" t="n">
        <v>14208</v>
      </c>
      <c r="B14209" t="inlineStr">
        <is>
          <t>x̄MV̅CCVIII</t>
        </is>
      </c>
      <c r="C14209">
        <f>ROMAN(14208)</f>
        <v/>
      </c>
      <c r="D14209">
        <f>IF(B14209=C14209, "YES", "WRONG")</f>
        <v/>
      </c>
    </row>
    <row r="14210">
      <c r="A14210" t="n">
        <v>14209</v>
      </c>
      <c r="B14210" t="inlineStr">
        <is>
          <t>x̄MV̅CCIX</t>
        </is>
      </c>
      <c r="C14210">
        <f>ROMAN(14209)</f>
        <v/>
      </c>
      <c r="D14210">
        <f>IF(B14210=C14210, "YES", "WRONG")</f>
        <v/>
      </c>
    </row>
    <row r="14211">
      <c r="A14211" t="n">
        <v>14210</v>
      </c>
      <c r="B14211" t="inlineStr">
        <is>
          <t>x̄MV̅CCX</t>
        </is>
      </c>
      <c r="C14211">
        <f>ROMAN(14210)</f>
        <v/>
      </c>
      <c r="D14211">
        <f>IF(B14211=C14211, "YES", "WRONG")</f>
        <v/>
      </c>
    </row>
    <row r="14212">
      <c r="A14212" t="n">
        <v>14211</v>
      </c>
      <c r="B14212" t="inlineStr">
        <is>
          <t>x̄MV̅CCXI</t>
        </is>
      </c>
      <c r="C14212">
        <f>ROMAN(14211)</f>
        <v/>
      </c>
      <c r="D14212">
        <f>IF(B14212=C14212, "YES", "WRONG")</f>
        <v/>
      </c>
    </row>
    <row r="14213">
      <c r="A14213" t="n">
        <v>14212</v>
      </c>
      <c r="B14213" t="inlineStr">
        <is>
          <t>x̄MV̅CCXII</t>
        </is>
      </c>
      <c r="C14213">
        <f>ROMAN(14212)</f>
        <v/>
      </c>
      <c r="D14213">
        <f>IF(B14213=C14213, "YES", "WRONG")</f>
        <v/>
      </c>
    </row>
    <row r="14214">
      <c r="A14214" t="n">
        <v>14213</v>
      </c>
      <c r="B14214" t="inlineStr">
        <is>
          <t>x̄MV̅CCXIII</t>
        </is>
      </c>
      <c r="C14214">
        <f>ROMAN(14213)</f>
        <v/>
      </c>
      <c r="D14214">
        <f>IF(B14214=C14214, "YES", "WRONG")</f>
        <v/>
      </c>
    </row>
    <row r="14215">
      <c r="A14215" t="n">
        <v>14214</v>
      </c>
      <c r="B14215" t="inlineStr">
        <is>
          <t>x̄MV̅CCXIV</t>
        </is>
      </c>
      <c r="C14215">
        <f>ROMAN(14214)</f>
        <v/>
      </c>
      <c r="D14215">
        <f>IF(B14215=C14215, "YES", "WRONG")</f>
        <v/>
      </c>
    </row>
    <row r="14216">
      <c r="A14216" t="n">
        <v>14215</v>
      </c>
      <c r="B14216" t="inlineStr">
        <is>
          <t>x̄MV̅CCXV</t>
        </is>
      </c>
      <c r="C14216">
        <f>ROMAN(14215)</f>
        <v/>
      </c>
      <c r="D14216">
        <f>IF(B14216=C14216, "YES", "WRONG")</f>
        <v/>
      </c>
    </row>
    <row r="14217">
      <c r="A14217" t="n">
        <v>14216</v>
      </c>
      <c r="B14217" t="inlineStr">
        <is>
          <t>x̄MV̅CCXVI</t>
        </is>
      </c>
      <c r="C14217">
        <f>ROMAN(14216)</f>
        <v/>
      </c>
      <c r="D14217">
        <f>IF(B14217=C14217, "YES", "WRONG")</f>
        <v/>
      </c>
    </row>
    <row r="14218">
      <c r="A14218" t="n">
        <v>14217</v>
      </c>
      <c r="B14218" t="inlineStr">
        <is>
          <t>x̄MV̅CCXVII</t>
        </is>
      </c>
      <c r="C14218">
        <f>ROMAN(14217)</f>
        <v/>
      </c>
      <c r="D14218">
        <f>IF(B14218=C14218, "YES", "WRONG")</f>
        <v/>
      </c>
    </row>
    <row r="14219">
      <c r="A14219" t="n">
        <v>14218</v>
      </c>
      <c r="B14219" t="inlineStr">
        <is>
          <t>x̄MV̅CCXVIII</t>
        </is>
      </c>
      <c r="C14219">
        <f>ROMAN(14218)</f>
        <v/>
      </c>
      <c r="D14219">
        <f>IF(B14219=C14219, "YES", "WRONG")</f>
        <v/>
      </c>
    </row>
    <row r="14220">
      <c r="A14220" t="n">
        <v>14219</v>
      </c>
      <c r="B14220" t="inlineStr">
        <is>
          <t>x̄MV̅CCXIX</t>
        </is>
      </c>
      <c r="C14220">
        <f>ROMAN(14219)</f>
        <v/>
      </c>
      <c r="D14220">
        <f>IF(B14220=C14220, "YES", "WRONG")</f>
        <v/>
      </c>
    </row>
    <row r="14221">
      <c r="A14221" t="n">
        <v>14220</v>
      </c>
      <c r="B14221" t="inlineStr">
        <is>
          <t>x̄MV̅CCXX</t>
        </is>
      </c>
      <c r="C14221">
        <f>ROMAN(14220)</f>
        <v/>
      </c>
      <c r="D14221">
        <f>IF(B14221=C14221, "YES", "WRONG")</f>
        <v/>
      </c>
    </row>
    <row r="14222">
      <c r="A14222" t="n">
        <v>14221</v>
      </c>
      <c r="B14222" t="inlineStr">
        <is>
          <t>x̄MV̅CCXXI</t>
        </is>
      </c>
      <c r="C14222">
        <f>ROMAN(14221)</f>
        <v/>
      </c>
      <c r="D14222">
        <f>IF(B14222=C14222, "YES", "WRONG")</f>
        <v/>
      </c>
    </row>
    <row r="14223">
      <c r="A14223" t="n">
        <v>14222</v>
      </c>
      <c r="B14223" t="inlineStr">
        <is>
          <t>x̄MV̅CCXXII</t>
        </is>
      </c>
      <c r="C14223">
        <f>ROMAN(14222)</f>
        <v/>
      </c>
      <c r="D14223">
        <f>IF(B14223=C14223, "YES", "WRONG")</f>
        <v/>
      </c>
    </row>
    <row r="14224">
      <c r="A14224" t="n">
        <v>14223</v>
      </c>
      <c r="B14224" t="inlineStr">
        <is>
          <t>x̄MV̅CCXXIII</t>
        </is>
      </c>
      <c r="C14224">
        <f>ROMAN(14223)</f>
        <v/>
      </c>
      <c r="D14224">
        <f>IF(B14224=C14224, "YES", "WRONG")</f>
        <v/>
      </c>
    </row>
    <row r="14225">
      <c r="A14225" t="n">
        <v>14224</v>
      </c>
      <c r="B14225" t="inlineStr">
        <is>
          <t>x̄MV̅CCXXIV</t>
        </is>
      </c>
      <c r="C14225">
        <f>ROMAN(14224)</f>
        <v/>
      </c>
      <c r="D14225">
        <f>IF(B14225=C14225, "YES", "WRONG")</f>
        <v/>
      </c>
    </row>
    <row r="14226">
      <c r="A14226" t="n">
        <v>14225</v>
      </c>
      <c r="B14226" t="inlineStr">
        <is>
          <t>x̄MV̅CCXXV</t>
        </is>
      </c>
      <c r="C14226">
        <f>ROMAN(14225)</f>
        <v/>
      </c>
      <c r="D14226">
        <f>IF(B14226=C14226, "YES", "WRONG")</f>
        <v/>
      </c>
    </row>
    <row r="14227">
      <c r="A14227" t="n">
        <v>14226</v>
      </c>
      <c r="B14227" t="inlineStr">
        <is>
          <t>x̄MV̅CCXXVI</t>
        </is>
      </c>
      <c r="C14227">
        <f>ROMAN(14226)</f>
        <v/>
      </c>
      <c r="D14227">
        <f>IF(B14227=C14227, "YES", "WRONG")</f>
        <v/>
      </c>
    </row>
    <row r="14228">
      <c r="A14228" t="n">
        <v>14227</v>
      </c>
      <c r="B14228" t="inlineStr">
        <is>
          <t>x̄MV̅CCXXVII</t>
        </is>
      </c>
      <c r="C14228">
        <f>ROMAN(14227)</f>
        <v/>
      </c>
      <c r="D14228">
        <f>IF(B14228=C14228, "YES", "WRONG")</f>
        <v/>
      </c>
    </row>
    <row r="14229">
      <c r="A14229" t="n">
        <v>14228</v>
      </c>
      <c r="B14229" t="inlineStr">
        <is>
          <t>x̄MV̅CCXXVIII</t>
        </is>
      </c>
      <c r="C14229">
        <f>ROMAN(14228)</f>
        <v/>
      </c>
      <c r="D14229">
        <f>IF(B14229=C14229, "YES", "WRONG")</f>
        <v/>
      </c>
    </row>
    <row r="14230">
      <c r="A14230" t="n">
        <v>14229</v>
      </c>
      <c r="B14230" t="inlineStr">
        <is>
          <t>x̄MV̅CCXXIX</t>
        </is>
      </c>
      <c r="C14230">
        <f>ROMAN(14229)</f>
        <v/>
      </c>
      <c r="D14230">
        <f>IF(B14230=C14230, "YES", "WRONG")</f>
        <v/>
      </c>
    </row>
    <row r="14231">
      <c r="A14231" t="n">
        <v>14230</v>
      </c>
      <c r="B14231" t="inlineStr">
        <is>
          <t>x̄MV̅CCXXX</t>
        </is>
      </c>
      <c r="C14231">
        <f>ROMAN(14230)</f>
        <v/>
      </c>
      <c r="D14231">
        <f>IF(B14231=C14231, "YES", "WRONG")</f>
        <v/>
      </c>
    </row>
    <row r="14232">
      <c r="A14232" t="n">
        <v>14231</v>
      </c>
      <c r="B14232" t="inlineStr">
        <is>
          <t>x̄MV̅CCXXXI</t>
        </is>
      </c>
      <c r="C14232">
        <f>ROMAN(14231)</f>
        <v/>
      </c>
      <c r="D14232">
        <f>IF(B14232=C14232, "YES", "WRONG")</f>
        <v/>
      </c>
    </row>
    <row r="14233">
      <c r="A14233" t="n">
        <v>14232</v>
      </c>
      <c r="B14233" t="inlineStr">
        <is>
          <t>x̄MV̅CCXXXII</t>
        </is>
      </c>
      <c r="C14233">
        <f>ROMAN(14232)</f>
        <v/>
      </c>
      <c r="D14233">
        <f>IF(B14233=C14233, "YES", "WRONG")</f>
        <v/>
      </c>
    </row>
    <row r="14234">
      <c r="A14234" t="n">
        <v>14233</v>
      </c>
      <c r="B14234" t="inlineStr">
        <is>
          <t>x̄MV̅CCXXXIII</t>
        </is>
      </c>
      <c r="C14234">
        <f>ROMAN(14233)</f>
        <v/>
      </c>
      <c r="D14234">
        <f>IF(B14234=C14234, "YES", "WRONG")</f>
        <v/>
      </c>
    </row>
    <row r="14235">
      <c r="A14235" t="n">
        <v>14234</v>
      </c>
      <c r="B14235" t="inlineStr">
        <is>
          <t>x̄MV̅CCXXXIV</t>
        </is>
      </c>
      <c r="C14235">
        <f>ROMAN(14234)</f>
        <v/>
      </c>
      <c r="D14235">
        <f>IF(B14235=C14235, "YES", "WRONG")</f>
        <v/>
      </c>
    </row>
    <row r="14236">
      <c r="A14236" t="n">
        <v>14235</v>
      </c>
      <c r="B14236" t="inlineStr">
        <is>
          <t>x̄MV̅CCXXXV</t>
        </is>
      </c>
      <c r="C14236">
        <f>ROMAN(14235)</f>
        <v/>
      </c>
      <c r="D14236">
        <f>IF(B14236=C14236, "YES", "WRONG")</f>
        <v/>
      </c>
    </row>
    <row r="14237">
      <c r="A14237" t="n">
        <v>14236</v>
      </c>
      <c r="B14237" t="inlineStr">
        <is>
          <t>x̄MV̅CCXXXVI</t>
        </is>
      </c>
      <c r="C14237">
        <f>ROMAN(14236)</f>
        <v/>
      </c>
      <c r="D14237">
        <f>IF(B14237=C14237, "YES", "WRONG")</f>
        <v/>
      </c>
    </row>
    <row r="14238">
      <c r="A14238" t="n">
        <v>14237</v>
      </c>
      <c r="B14238" t="inlineStr">
        <is>
          <t>x̄MV̅CCXXXVII</t>
        </is>
      </c>
      <c r="C14238">
        <f>ROMAN(14237)</f>
        <v/>
      </c>
      <c r="D14238">
        <f>IF(B14238=C14238, "YES", "WRONG")</f>
        <v/>
      </c>
    </row>
    <row r="14239">
      <c r="A14239" t="n">
        <v>14238</v>
      </c>
      <c r="B14239" t="inlineStr">
        <is>
          <t>x̄MV̅CCXXXVIII</t>
        </is>
      </c>
      <c r="C14239">
        <f>ROMAN(14238)</f>
        <v/>
      </c>
      <c r="D14239">
        <f>IF(B14239=C14239, "YES", "WRONG")</f>
        <v/>
      </c>
    </row>
    <row r="14240">
      <c r="A14240" t="n">
        <v>14239</v>
      </c>
      <c r="B14240" t="inlineStr">
        <is>
          <t>x̄MV̅CCXXXIX</t>
        </is>
      </c>
      <c r="C14240">
        <f>ROMAN(14239)</f>
        <v/>
      </c>
      <c r="D14240">
        <f>IF(B14240=C14240, "YES", "WRONG")</f>
        <v/>
      </c>
    </row>
    <row r="14241">
      <c r="A14241" t="n">
        <v>14240</v>
      </c>
      <c r="B14241" t="inlineStr">
        <is>
          <t>x̄MV̅CCXL</t>
        </is>
      </c>
      <c r="C14241">
        <f>ROMAN(14240)</f>
        <v/>
      </c>
      <c r="D14241">
        <f>IF(B14241=C14241, "YES", "WRONG")</f>
        <v/>
      </c>
    </row>
    <row r="14242">
      <c r="A14242" t="n">
        <v>14241</v>
      </c>
      <c r="B14242" t="inlineStr">
        <is>
          <t>x̄MV̅CCXLI</t>
        </is>
      </c>
      <c r="C14242">
        <f>ROMAN(14241)</f>
        <v/>
      </c>
      <c r="D14242">
        <f>IF(B14242=C14242, "YES", "WRONG")</f>
        <v/>
      </c>
    </row>
    <row r="14243">
      <c r="A14243" t="n">
        <v>14242</v>
      </c>
      <c r="B14243" t="inlineStr">
        <is>
          <t>x̄MV̅CCXLII</t>
        </is>
      </c>
      <c r="C14243">
        <f>ROMAN(14242)</f>
        <v/>
      </c>
      <c r="D14243">
        <f>IF(B14243=C14243, "YES", "WRONG")</f>
        <v/>
      </c>
    </row>
    <row r="14244">
      <c r="A14244" t="n">
        <v>14243</v>
      </c>
      <c r="B14244" t="inlineStr">
        <is>
          <t>x̄MV̅CCXLIII</t>
        </is>
      </c>
      <c r="C14244">
        <f>ROMAN(14243)</f>
        <v/>
      </c>
      <c r="D14244">
        <f>IF(B14244=C14244, "YES", "WRONG")</f>
        <v/>
      </c>
    </row>
    <row r="14245">
      <c r="A14245" t="n">
        <v>14244</v>
      </c>
      <c r="B14245" t="inlineStr">
        <is>
          <t>x̄MV̅CCXLIV</t>
        </is>
      </c>
      <c r="C14245">
        <f>ROMAN(14244)</f>
        <v/>
      </c>
      <c r="D14245">
        <f>IF(B14245=C14245, "YES", "WRONG")</f>
        <v/>
      </c>
    </row>
    <row r="14246">
      <c r="A14246" t="n">
        <v>14245</v>
      </c>
      <c r="B14246" t="inlineStr">
        <is>
          <t>x̄MV̅CCXLV</t>
        </is>
      </c>
      <c r="C14246">
        <f>ROMAN(14245)</f>
        <v/>
      </c>
      <c r="D14246">
        <f>IF(B14246=C14246, "YES", "WRONG")</f>
        <v/>
      </c>
    </row>
    <row r="14247">
      <c r="A14247" t="n">
        <v>14246</v>
      </c>
      <c r="B14247" t="inlineStr">
        <is>
          <t>x̄MV̅CCXLVI</t>
        </is>
      </c>
      <c r="C14247">
        <f>ROMAN(14246)</f>
        <v/>
      </c>
      <c r="D14247">
        <f>IF(B14247=C14247, "YES", "WRONG")</f>
        <v/>
      </c>
    </row>
    <row r="14248">
      <c r="A14248" t="n">
        <v>14247</v>
      </c>
      <c r="B14248" t="inlineStr">
        <is>
          <t>x̄MV̅CCXLVII</t>
        </is>
      </c>
      <c r="C14248">
        <f>ROMAN(14247)</f>
        <v/>
      </c>
      <c r="D14248">
        <f>IF(B14248=C14248, "YES", "WRONG")</f>
        <v/>
      </c>
    </row>
    <row r="14249">
      <c r="A14249" t="n">
        <v>14248</v>
      </c>
      <c r="B14249" t="inlineStr">
        <is>
          <t>x̄MV̅CCXLVIII</t>
        </is>
      </c>
      <c r="C14249">
        <f>ROMAN(14248)</f>
        <v/>
      </c>
      <c r="D14249">
        <f>IF(B14249=C14249, "YES", "WRONG")</f>
        <v/>
      </c>
    </row>
    <row r="14250">
      <c r="A14250" t="n">
        <v>14249</v>
      </c>
      <c r="B14250" t="inlineStr">
        <is>
          <t>x̄MV̅CCXLIX</t>
        </is>
      </c>
      <c r="C14250">
        <f>ROMAN(14249)</f>
        <v/>
      </c>
      <c r="D14250">
        <f>IF(B14250=C14250, "YES", "WRONG")</f>
        <v/>
      </c>
    </row>
    <row r="14251">
      <c r="A14251" t="n">
        <v>14250</v>
      </c>
      <c r="B14251" t="inlineStr">
        <is>
          <t>x̄MV̅CCL</t>
        </is>
      </c>
      <c r="C14251">
        <f>ROMAN(14250)</f>
        <v/>
      </c>
      <c r="D14251">
        <f>IF(B14251=C14251, "YES", "WRONG")</f>
        <v/>
      </c>
    </row>
    <row r="14252">
      <c r="A14252" t="n">
        <v>14251</v>
      </c>
      <c r="B14252" t="inlineStr">
        <is>
          <t>x̄MV̅CCLI</t>
        </is>
      </c>
      <c r="C14252">
        <f>ROMAN(14251)</f>
        <v/>
      </c>
      <c r="D14252">
        <f>IF(B14252=C14252, "YES", "WRONG")</f>
        <v/>
      </c>
    </row>
    <row r="14253">
      <c r="A14253" t="n">
        <v>14252</v>
      </c>
      <c r="B14253" t="inlineStr">
        <is>
          <t>x̄MV̅CCLII</t>
        </is>
      </c>
      <c r="C14253">
        <f>ROMAN(14252)</f>
        <v/>
      </c>
      <c r="D14253">
        <f>IF(B14253=C14253, "YES", "WRONG")</f>
        <v/>
      </c>
    </row>
    <row r="14254">
      <c r="A14254" t="n">
        <v>14253</v>
      </c>
      <c r="B14254" t="inlineStr">
        <is>
          <t>x̄MV̅CCLIII</t>
        </is>
      </c>
      <c r="C14254">
        <f>ROMAN(14253)</f>
        <v/>
      </c>
      <c r="D14254">
        <f>IF(B14254=C14254, "YES", "WRONG")</f>
        <v/>
      </c>
    </row>
    <row r="14255">
      <c r="A14255" t="n">
        <v>14254</v>
      </c>
      <c r="B14255" t="inlineStr">
        <is>
          <t>x̄MV̅CCLIV</t>
        </is>
      </c>
      <c r="C14255">
        <f>ROMAN(14254)</f>
        <v/>
      </c>
      <c r="D14255">
        <f>IF(B14255=C14255, "YES", "WRONG")</f>
        <v/>
      </c>
    </row>
    <row r="14256">
      <c r="A14256" t="n">
        <v>14255</v>
      </c>
      <c r="B14256" t="inlineStr">
        <is>
          <t>x̄MV̅CCLV</t>
        </is>
      </c>
      <c r="C14256">
        <f>ROMAN(14255)</f>
        <v/>
      </c>
      <c r="D14256">
        <f>IF(B14256=C14256, "YES", "WRONG")</f>
        <v/>
      </c>
    </row>
    <row r="14257">
      <c r="A14257" t="n">
        <v>14256</v>
      </c>
      <c r="B14257" t="inlineStr">
        <is>
          <t>x̄MV̅CCLVI</t>
        </is>
      </c>
      <c r="C14257">
        <f>ROMAN(14256)</f>
        <v/>
      </c>
      <c r="D14257">
        <f>IF(B14257=C14257, "YES", "WRONG")</f>
        <v/>
      </c>
    </row>
    <row r="14258">
      <c r="A14258" t="n">
        <v>14257</v>
      </c>
      <c r="B14258" t="inlineStr">
        <is>
          <t>x̄MV̅CCLVII</t>
        </is>
      </c>
      <c r="C14258">
        <f>ROMAN(14257)</f>
        <v/>
      </c>
      <c r="D14258">
        <f>IF(B14258=C14258, "YES", "WRONG")</f>
        <v/>
      </c>
    </row>
    <row r="14259">
      <c r="A14259" t="n">
        <v>14258</v>
      </c>
      <c r="B14259" t="inlineStr">
        <is>
          <t>x̄MV̅CCLVIII</t>
        </is>
      </c>
      <c r="C14259">
        <f>ROMAN(14258)</f>
        <v/>
      </c>
      <c r="D14259">
        <f>IF(B14259=C14259, "YES", "WRONG")</f>
        <v/>
      </c>
    </row>
    <row r="14260">
      <c r="A14260" t="n">
        <v>14259</v>
      </c>
      <c r="B14260" t="inlineStr">
        <is>
          <t>x̄MV̅CCLIX</t>
        </is>
      </c>
      <c r="C14260">
        <f>ROMAN(14259)</f>
        <v/>
      </c>
      <c r="D14260">
        <f>IF(B14260=C14260, "YES", "WRONG")</f>
        <v/>
      </c>
    </row>
    <row r="14261">
      <c r="A14261" t="n">
        <v>14260</v>
      </c>
      <c r="B14261" t="inlineStr">
        <is>
          <t>x̄MV̅CCLX</t>
        </is>
      </c>
      <c r="C14261">
        <f>ROMAN(14260)</f>
        <v/>
      </c>
      <c r="D14261">
        <f>IF(B14261=C14261, "YES", "WRONG")</f>
        <v/>
      </c>
    </row>
    <row r="14262">
      <c r="A14262" t="n">
        <v>14261</v>
      </c>
      <c r="B14262" t="inlineStr">
        <is>
          <t>x̄MV̅CCLXI</t>
        </is>
      </c>
      <c r="C14262">
        <f>ROMAN(14261)</f>
        <v/>
      </c>
      <c r="D14262">
        <f>IF(B14262=C14262, "YES", "WRONG")</f>
        <v/>
      </c>
    </row>
    <row r="14263">
      <c r="A14263" t="n">
        <v>14262</v>
      </c>
      <c r="B14263" t="inlineStr">
        <is>
          <t>x̄MV̅CCLXII</t>
        </is>
      </c>
      <c r="C14263">
        <f>ROMAN(14262)</f>
        <v/>
      </c>
      <c r="D14263">
        <f>IF(B14263=C14263, "YES", "WRONG")</f>
        <v/>
      </c>
    </row>
    <row r="14264">
      <c r="A14264" t="n">
        <v>14263</v>
      </c>
      <c r="B14264" t="inlineStr">
        <is>
          <t>x̄MV̅CCLXIII</t>
        </is>
      </c>
      <c r="C14264">
        <f>ROMAN(14263)</f>
        <v/>
      </c>
      <c r="D14264">
        <f>IF(B14264=C14264, "YES", "WRONG")</f>
        <v/>
      </c>
    </row>
    <row r="14265">
      <c r="A14265" t="n">
        <v>14264</v>
      </c>
      <c r="B14265" t="inlineStr">
        <is>
          <t>x̄MV̅CCLXIV</t>
        </is>
      </c>
      <c r="C14265">
        <f>ROMAN(14264)</f>
        <v/>
      </c>
      <c r="D14265">
        <f>IF(B14265=C14265, "YES", "WRONG")</f>
        <v/>
      </c>
    </row>
    <row r="14266">
      <c r="A14266" t="n">
        <v>14265</v>
      </c>
      <c r="B14266" t="inlineStr">
        <is>
          <t>x̄MV̅CCLXV</t>
        </is>
      </c>
      <c r="C14266">
        <f>ROMAN(14265)</f>
        <v/>
      </c>
      <c r="D14266">
        <f>IF(B14266=C14266, "YES", "WRONG")</f>
        <v/>
      </c>
    </row>
    <row r="14267">
      <c r="A14267" t="n">
        <v>14266</v>
      </c>
      <c r="B14267" t="inlineStr">
        <is>
          <t>x̄MV̅CCLXVI</t>
        </is>
      </c>
      <c r="C14267">
        <f>ROMAN(14266)</f>
        <v/>
      </c>
      <c r="D14267">
        <f>IF(B14267=C14267, "YES", "WRONG")</f>
        <v/>
      </c>
    </row>
    <row r="14268">
      <c r="A14268" t="n">
        <v>14267</v>
      </c>
      <c r="B14268" t="inlineStr">
        <is>
          <t>x̄MV̅CCLXVII</t>
        </is>
      </c>
      <c r="C14268">
        <f>ROMAN(14267)</f>
        <v/>
      </c>
      <c r="D14268">
        <f>IF(B14268=C14268, "YES", "WRONG")</f>
        <v/>
      </c>
    </row>
    <row r="14269">
      <c r="A14269" t="n">
        <v>14268</v>
      </c>
      <c r="B14269" t="inlineStr">
        <is>
          <t>x̄MV̅CCLXVIII</t>
        </is>
      </c>
      <c r="C14269">
        <f>ROMAN(14268)</f>
        <v/>
      </c>
      <c r="D14269">
        <f>IF(B14269=C14269, "YES", "WRONG")</f>
        <v/>
      </c>
    </row>
    <row r="14270">
      <c r="A14270" t="n">
        <v>14269</v>
      </c>
      <c r="B14270" t="inlineStr">
        <is>
          <t>x̄MV̅CCLXIX</t>
        </is>
      </c>
      <c r="C14270">
        <f>ROMAN(14269)</f>
        <v/>
      </c>
      <c r="D14270">
        <f>IF(B14270=C14270, "YES", "WRONG")</f>
        <v/>
      </c>
    </row>
    <row r="14271">
      <c r="A14271" t="n">
        <v>14270</v>
      </c>
      <c r="B14271" t="inlineStr">
        <is>
          <t>x̄MV̅CCLXX</t>
        </is>
      </c>
      <c r="C14271">
        <f>ROMAN(14270)</f>
        <v/>
      </c>
      <c r="D14271">
        <f>IF(B14271=C14271, "YES", "WRONG")</f>
        <v/>
      </c>
    </row>
    <row r="14272">
      <c r="A14272" t="n">
        <v>14271</v>
      </c>
      <c r="B14272" t="inlineStr">
        <is>
          <t>x̄MV̅CCLXXI</t>
        </is>
      </c>
      <c r="C14272">
        <f>ROMAN(14271)</f>
        <v/>
      </c>
      <c r="D14272">
        <f>IF(B14272=C14272, "YES", "WRONG")</f>
        <v/>
      </c>
    </row>
    <row r="14273">
      <c r="A14273" t="n">
        <v>14272</v>
      </c>
      <c r="B14273" t="inlineStr">
        <is>
          <t>x̄MV̅CCLXXII</t>
        </is>
      </c>
      <c r="C14273">
        <f>ROMAN(14272)</f>
        <v/>
      </c>
      <c r="D14273">
        <f>IF(B14273=C14273, "YES", "WRONG")</f>
        <v/>
      </c>
    </row>
    <row r="14274">
      <c r="A14274" t="n">
        <v>14273</v>
      </c>
      <c r="B14274" t="inlineStr">
        <is>
          <t>x̄MV̅CCLXXIII</t>
        </is>
      </c>
      <c r="C14274">
        <f>ROMAN(14273)</f>
        <v/>
      </c>
      <c r="D14274">
        <f>IF(B14274=C14274, "YES", "WRONG")</f>
        <v/>
      </c>
    </row>
    <row r="14275">
      <c r="A14275" t="n">
        <v>14274</v>
      </c>
      <c r="B14275" t="inlineStr">
        <is>
          <t>x̄MV̅CCLXXIV</t>
        </is>
      </c>
      <c r="C14275">
        <f>ROMAN(14274)</f>
        <v/>
      </c>
      <c r="D14275">
        <f>IF(B14275=C14275, "YES", "WRONG")</f>
        <v/>
      </c>
    </row>
    <row r="14276">
      <c r="A14276" t="n">
        <v>14275</v>
      </c>
      <c r="B14276" t="inlineStr">
        <is>
          <t>x̄MV̅CCLXXV</t>
        </is>
      </c>
      <c r="C14276">
        <f>ROMAN(14275)</f>
        <v/>
      </c>
      <c r="D14276">
        <f>IF(B14276=C14276, "YES", "WRONG")</f>
        <v/>
      </c>
    </row>
    <row r="14277">
      <c r="A14277" t="n">
        <v>14276</v>
      </c>
      <c r="B14277" t="inlineStr">
        <is>
          <t>x̄MV̅CCLXXVI</t>
        </is>
      </c>
      <c r="C14277">
        <f>ROMAN(14276)</f>
        <v/>
      </c>
      <c r="D14277">
        <f>IF(B14277=C14277, "YES", "WRONG")</f>
        <v/>
      </c>
    </row>
    <row r="14278">
      <c r="A14278" t="n">
        <v>14277</v>
      </c>
      <c r="B14278" t="inlineStr">
        <is>
          <t>x̄MV̅CCLXXVII</t>
        </is>
      </c>
      <c r="C14278">
        <f>ROMAN(14277)</f>
        <v/>
      </c>
      <c r="D14278">
        <f>IF(B14278=C14278, "YES", "WRONG")</f>
        <v/>
      </c>
    </row>
    <row r="14279">
      <c r="A14279" t="n">
        <v>14278</v>
      </c>
      <c r="B14279" t="inlineStr">
        <is>
          <t>x̄MV̅CCLXXVIII</t>
        </is>
      </c>
      <c r="C14279">
        <f>ROMAN(14278)</f>
        <v/>
      </c>
      <c r="D14279">
        <f>IF(B14279=C14279, "YES", "WRONG")</f>
        <v/>
      </c>
    </row>
    <row r="14280">
      <c r="A14280" t="n">
        <v>14279</v>
      </c>
      <c r="B14280" t="inlineStr">
        <is>
          <t>x̄MV̅CCLXXIX</t>
        </is>
      </c>
      <c r="C14280">
        <f>ROMAN(14279)</f>
        <v/>
      </c>
      <c r="D14280">
        <f>IF(B14280=C14280, "YES", "WRONG")</f>
        <v/>
      </c>
    </row>
    <row r="14281">
      <c r="A14281" t="n">
        <v>14280</v>
      </c>
      <c r="B14281" t="inlineStr">
        <is>
          <t>x̄MV̅CCLXXX</t>
        </is>
      </c>
      <c r="C14281">
        <f>ROMAN(14280)</f>
        <v/>
      </c>
      <c r="D14281">
        <f>IF(B14281=C14281, "YES", "WRONG")</f>
        <v/>
      </c>
    </row>
    <row r="14282">
      <c r="A14282" t="n">
        <v>14281</v>
      </c>
      <c r="B14282" t="inlineStr">
        <is>
          <t>x̄MV̅CCLXXXI</t>
        </is>
      </c>
      <c r="C14282">
        <f>ROMAN(14281)</f>
        <v/>
      </c>
      <c r="D14282">
        <f>IF(B14282=C14282, "YES", "WRONG")</f>
        <v/>
      </c>
    </row>
    <row r="14283">
      <c r="A14283" t="n">
        <v>14282</v>
      </c>
      <c r="B14283" t="inlineStr">
        <is>
          <t>x̄MV̅CCLXXXII</t>
        </is>
      </c>
      <c r="C14283">
        <f>ROMAN(14282)</f>
        <v/>
      </c>
      <c r="D14283">
        <f>IF(B14283=C14283, "YES", "WRONG")</f>
        <v/>
      </c>
    </row>
    <row r="14284">
      <c r="A14284" t="n">
        <v>14283</v>
      </c>
      <c r="B14284" t="inlineStr">
        <is>
          <t>x̄MV̅CCLXXXIII</t>
        </is>
      </c>
      <c r="C14284">
        <f>ROMAN(14283)</f>
        <v/>
      </c>
      <c r="D14284">
        <f>IF(B14284=C14284, "YES", "WRONG")</f>
        <v/>
      </c>
    </row>
    <row r="14285">
      <c r="A14285" t="n">
        <v>14284</v>
      </c>
      <c r="B14285" t="inlineStr">
        <is>
          <t>x̄MV̅CCLXXXIV</t>
        </is>
      </c>
      <c r="C14285">
        <f>ROMAN(14284)</f>
        <v/>
      </c>
      <c r="D14285">
        <f>IF(B14285=C14285, "YES", "WRONG")</f>
        <v/>
      </c>
    </row>
    <row r="14286">
      <c r="A14286" t="n">
        <v>14285</v>
      </c>
      <c r="B14286" t="inlineStr">
        <is>
          <t>x̄MV̅CCLXXXV</t>
        </is>
      </c>
      <c r="C14286">
        <f>ROMAN(14285)</f>
        <v/>
      </c>
      <c r="D14286">
        <f>IF(B14286=C14286, "YES", "WRONG")</f>
        <v/>
      </c>
    </row>
    <row r="14287">
      <c r="A14287" t="n">
        <v>14286</v>
      </c>
      <c r="B14287" t="inlineStr">
        <is>
          <t>x̄MV̅CCLXXXVI</t>
        </is>
      </c>
      <c r="C14287">
        <f>ROMAN(14286)</f>
        <v/>
      </c>
      <c r="D14287">
        <f>IF(B14287=C14287, "YES", "WRONG")</f>
        <v/>
      </c>
    </row>
    <row r="14288">
      <c r="A14288" t="n">
        <v>14287</v>
      </c>
      <c r="B14288" t="inlineStr">
        <is>
          <t>x̄MV̅CCLXXXVII</t>
        </is>
      </c>
      <c r="C14288">
        <f>ROMAN(14287)</f>
        <v/>
      </c>
      <c r="D14288">
        <f>IF(B14288=C14288, "YES", "WRONG")</f>
        <v/>
      </c>
    </row>
    <row r="14289">
      <c r="A14289" t="n">
        <v>14288</v>
      </c>
      <c r="B14289" t="inlineStr">
        <is>
          <t>x̄MV̅CCLXXXVIII</t>
        </is>
      </c>
      <c r="C14289">
        <f>ROMAN(14288)</f>
        <v/>
      </c>
      <c r="D14289">
        <f>IF(B14289=C14289, "YES", "WRONG")</f>
        <v/>
      </c>
    </row>
    <row r="14290">
      <c r="A14290" t="n">
        <v>14289</v>
      </c>
      <c r="B14290" t="inlineStr">
        <is>
          <t>x̄MV̅CCLXXXIX</t>
        </is>
      </c>
      <c r="C14290">
        <f>ROMAN(14289)</f>
        <v/>
      </c>
      <c r="D14290">
        <f>IF(B14290=C14290, "YES", "WRONG")</f>
        <v/>
      </c>
    </row>
    <row r="14291">
      <c r="A14291" t="n">
        <v>14290</v>
      </c>
      <c r="B14291" t="inlineStr">
        <is>
          <t>x̄MV̅CCXC</t>
        </is>
      </c>
      <c r="C14291">
        <f>ROMAN(14290)</f>
        <v/>
      </c>
      <c r="D14291">
        <f>IF(B14291=C14291, "YES", "WRONG")</f>
        <v/>
      </c>
    </row>
    <row r="14292">
      <c r="A14292" t="n">
        <v>14291</v>
      </c>
      <c r="B14292" t="inlineStr">
        <is>
          <t>x̄MV̅CCXCI</t>
        </is>
      </c>
      <c r="C14292">
        <f>ROMAN(14291)</f>
        <v/>
      </c>
      <c r="D14292">
        <f>IF(B14292=C14292, "YES", "WRONG")</f>
        <v/>
      </c>
    </row>
    <row r="14293">
      <c r="A14293" t="n">
        <v>14292</v>
      </c>
      <c r="B14293" t="inlineStr">
        <is>
          <t>x̄MV̅CCXCII</t>
        </is>
      </c>
      <c r="C14293">
        <f>ROMAN(14292)</f>
        <v/>
      </c>
      <c r="D14293">
        <f>IF(B14293=C14293, "YES", "WRONG")</f>
        <v/>
      </c>
    </row>
    <row r="14294">
      <c r="A14294" t="n">
        <v>14293</v>
      </c>
      <c r="B14294" t="inlineStr">
        <is>
          <t>x̄MV̅CCXCIII</t>
        </is>
      </c>
      <c r="C14294">
        <f>ROMAN(14293)</f>
        <v/>
      </c>
      <c r="D14294">
        <f>IF(B14294=C14294, "YES", "WRONG")</f>
        <v/>
      </c>
    </row>
    <row r="14295">
      <c r="A14295" t="n">
        <v>14294</v>
      </c>
      <c r="B14295" t="inlineStr">
        <is>
          <t>x̄MV̅CCXCIV</t>
        </is>
      </c>
      <c r="C14295">
        <f>ROMAN(14294)</f>
        <v/>
      </c>
      <c r="D14295">
        <f>IF(B14295=C14295, "YES", "WRONG")</f>
        <v/>
      </c>
    </row>
    <row r="14296">
      <c r="A14296" t="n">
        <v>14295</v>
      </c>
      <c r="B14296" t="inlineStr">
        <is>
          <t>x̄MV̅CCXCV</t>
        </is>
      </c>
      <c r="C14296">
        <f>ROMAN(14295)</f>
        <v/>
      </c>
      <c r="D14296">
        <f>IF(B14296=C14296, "YES", "WRONG")</f>
        <v/>
      </c>
    </row>
    <row r="14297">
      <c r="A14297" t="n">
        <v>14296</v>
      </c>
      <c r="B14297" t="inlineStr">
        <is>
          <t>x̄MV̅CCXCVI</t>
        </is>
      </c>
      <c r="C14297">
        <f>ROMAN(14296)</f>
        <v/>
      </c>
      <c r="D14297">
        <f>IF(B14297=C14297, "YES", "WRONG")</f>
        <v/>
      </c>
    </row>
    <row r="14298">
      <c r="A14298" t="n">
        <v>14297</v>
      </c>
      <c r="B14298" t="inlineStr">
        <is>
          <t>x̄MV̅CCXCVII</t>
        </is>
      </c>
      <c r="C14298">
        <f>ROMAN(14297)</f>
        <v/>
      </c>
      <c r="D14298">
        <f>IF(B14298=C14298, "YES", "WRONG")</f>
        <v/>
      </c>
    </row>
    <row r="14299">
      <c r="A14299" t="n">
        <v>14298</v>
      </c>
      <c r="B14299" t="inlineStr">
        <is>
          <t>x̄MV̅CCXCVIII</t>
        </is>
      </c>
      <c r="C14299">
        <f>ROMAN(14298)</f>
        <v/>
      </c>
      <c r="D14299">
        <f>IF(B14299=C14299, "YES", "WRONG")</f>
        <v/>
      </c>
    </row>
    <row r="14300">
      <c r="A14300" t="n">
        <v>14299</v>
      </c>
      <c r="B14300" t="inlineStr">
        <is>
          <t>x̄MV̅CCXCIX</t>
        </is>
      </c>
      <c r="C14300">
        <f>ROMAN(14299)</f>
        <v/>
      </c>
      <c r="D14300">
        <f>IF(B14300=C14300, "YES", "WRONG")</f>
        <v/>
      </c>
    </row>
    <row r="14301">
      <c r="A14301" t="n">
        <v>14300</v>
      </c>
      <c r="B14301" t="inlineStr">
        <is>
          <t>x̄MV̅CCC</t>
        </is>
      </c>
      <c r="C14301">
        <f>ROMAN(14300)</f>
        <v/>
      </c>
      <c r="D14301">
        <f>IF(B14301=C14301, "YES", "WRONG")</f>
        <v/>
      </c>
    </row>
    <row r="14302">
      <c r="A14302" t="n">
        <v>14301</v>
      </c>
      <c r="B14302" t="inlineStr">
        <is>
          <t>x̄MV̅CCCI</t>
        </is>
      </c>
      <c r="C14302">
        <f>ROMAN(14301)</f>
        <v/>
      </c>
      <c r="D14302">
        <f>IF(B14302=C14302, "YES", "WRONG")</f>
        <v/>
      </c>
    </row>
    <row r="14303">
      <c r="A14303" t="n">
        <v>14302</v>
      </c>
      <c r="B14303" t="inlineStr">
        <is>
          <t>x̄MV̅CCCII</t>
        </is>
      </c>
      <c r="C14303">
        <f>ROMAN(14302)</f>
        <v/>
      </c>
      <c r="D14303">
        <f>IF(B14303=C14303, "YES", "WRONG")</f>
        <v/>
      </c>
    </row>
    <row r="14304">
      <c r="A14304" t="n">
        <v>14303</v>
      </c>
      <c r="B14304" t="inlineStr">
        <is>
          <t>x̄MV̅CCCIII</t>
        </is>
      </c>
      <c r="C14304">
        <f>ROMAN(14303)</f>
        <v/>
      </c>
      <c r="D14304">
        <f>IF(B14304=C14304, "YES", "WRONG")</f>
        <v/>
      </c>
    </row>
    <row r="14305">
      <c r="A14305" t="n">
        <v>14304</v>
      </c>
      <c r="B14305" t="inlineStr">
        <is>
          <t>x̄MV̅CCCIV</t>
        </is>
      </c>
      <c r="C14305">
        <f>ROMAN(14304)</f>
        <v/>
      </c>
      <c r="D14305">
        <f>IF(B14305=C14305, "YES", "WRONG")</f>
        <v/>
      </c>
    </row>
    <row r="14306">
      <c r="A14306" t="n">
        <v>14305</v>
      </c>
      <c r="B14306" t="inlineStr">
        <is>
          <t>x̄MV̅CCCV</t>
        </is>
      </c>
      <c r="C14306">
        <f>ROMAN(14305)</f>
        <v/>
      </c>
      <c r="D14306">
        <f>IF(B14306=C14306, "YES", "WRONG")</f>
        <v/>
      </c>
    </row>
    <row r="14307">
      <c r="A14307" t="n">
        <v>14306</v>
      </c>
      <c r="B14307" t="inlineStr">
        <is>
          <t>x̄MV̅CCCVI</t>
        </is>
      </c>
      <c r="C14307">
        <f>ROMAN(14306)</f>
        <v/>
      </c>
      <c r="D14307">
        <f>IF(B14307=C14307, "YES", "WRONG")</f>
        <v/>
      </c>
    </row>
    <row r="14308">
      <c r="A14308" t="n">
        <v>14307</v>
      </c>
      <c r="B14308" t="inlineStr">
        <is>
          <t>x̄MV̅CCCVII</t>
        </is>
      </c>
      <c r="C14308">
        <f>ROMAN(14307)</f>
        <v/>
      </c>
      <c r="D14308">
        <f>IF(B14308=C14308, "YES", "WRONG")</f>
        <v/>
      </c>
    </row>
    <row r="14309">
      <c r="A14309" t="n">
        <v>14308</v>
      </c>
      <c r="B14309" t="inlineStr">
        <is>
          <t>x̄MV̅CCCVIII</t>
        </is>
      </c>
      <c r="C14309">
        <f>ROMAN(14308)</f>
        <v/>
      </c>
      <c r="D14309">
        <f>IF(B14309=C14309, "YES", "WRONG")</f>
        <v/>
      </c>
    </row>
    <row r="14310">
      <c r="A14310" t="n">
        <v>14309</v>
      </c>
      <c r="B14310" t="inlineStr">
        <is>
          <t>x̄MV̅CCCIX</t>
        </is>
      </c>
      <c r="C14310">
        <f>ROMAN(14309)</f>
        <v/>
      </c>
      <c r="D14310">
        <f>IF(B14310=C14310, "YES", "WRONG")</f>
        <v/>
      </c>
    </row>
    <row r="14311">
      <c r="A14311" t="n">
        <v>14310</v>
      </c>
      <c r="B14311" t="inlineStr">
        <is>
          <t>x̄MV̅CCCX</t>
        </is>
      </c>
      <c r="C14311">
        <f>ROMAN(14310)</f>
        <v/>
      </c>
      <c r="D14311">
        <f>IF(B14311=C14311, "YES", "WRONG")</f>
        <v/>
      </c>
    </row>
    <row r="14312">
      <c r="A14312" t="n">
        <v>14311</v>
      </c>
      <c r="B14312" t="inlineStr">
        <is>
          <t>x̄MV̅CCCXI</t>
        </is>
      </c>
      <c r="C14312">
        <f>ROMAN(14311)</f>
        <v/>
      </c>
      <c r="D14312">
        <f>IF(B14312=C14312, "YES", "WRONG")</f>
        <v/>
      </c>
    </row>
    <row r="14313">
      <c r="A14313" t="n">
        <v>14312</v>
      </c>
      <c r="B14313" t="inlineStr">
        <is>
          <t>x̄MV̅CCCXII</t>
        </is>
      </c>
      <c r="C14313">
        <f>ROMAN(14312)</f>
        <v/>
      </c>
      <c r="D14313">
        <f>IF(B14313=C14313, "YES", "WRONG")</f>
        <v/>
      </c>
    </row>
    <row r="14314">
      <c r="A14314" t="n">
        <v>14313</v>
      </c>
      <c r="B14314" t="inlineStr">
        <is>
          <t>x̄MV̅CCCXIII</t>
        </is>
      </c>
      <c r="C14314">
        <f>ROMAN(14313)</f>
        <v/>
      </c>
      <c r="D14314">
        <f>IF(B14314=C14314, "YES", "WRONG")</f>
        <v/>
      </c>
    </row>
    <row r="14315">
      <c r="A14315" t="n">
        <v>14314</v>
      </c>
      <c r="B14315" t="inlineStr">
        <is>
          <t>x̄MV̅CCCXIV</t>
        </is>
      </c>
      <c r="C14315">
        <f>ROMAN(14314)</f>
        <v/>
      </c>
      <c r="D14315">
        <f>IF(B14315=C14315, "YES", "WRONG")</f>
        <v/>
      </c>
    </row>
    <row r="14316">
      <c r="A14316" t="n">
        <v>14315</v>
      </c>
      <c r="B14316" t="inlineStr">
        <is>
          <t>x̄MV̅CCCXV</t>
        </is>
      </c>
      <c r="C14316">
        <f>ROMAN(14315)</f>
        <v/>
      </c>
      <c r="D14316">
        <f>IF(B14316=C14316, "YES", "WRONG")</f>
        <v/>
      </c>
    </row>
    <row r="14317">
      <c r="A14317" t="n">
        <v>14316</v>
      </c>
      <c r="B14317" t="inlineStr">
        <is>
          <t>x̄MV̅CCCXVI</t>
        </is>
      </c>
      <c r="C14317">
        <f>ROMAN(14316)</f>
        <v/>
      </c>
      <c r="D14317">
        <f>IF(B14317=C14317, "YES", "WRONG")</f>
        <v/>
      </c>
    </row>
    <row r="14318">
      <c r="A14318" t="n">
        <v>14317</v>
      </c>
      <c r="B14318" t="inlineStr">
        <is>
          <t>x̄MV̅CCCXVII</t>
        </is>
      </c>
      <c r="C14318">
        <f>ROMAN(14317)</f>
        <v/>
      </c>
      <c r="D14318">
        <f>IF(B14318=C14318, "YES", "WRONG")</f>
        <v/>
      </c>
    </row>
    <row r="14319">
      <c r="A14319" t="n">
        <v>14318</v>
      </c>
      <c r="B14319" t="inlineStr">
        <is>
          <t>x̄MV̅CCCXVIII</t>
        </is>
      </c>
      <c r="C14319">
        <f>ROMAN(14318)</f>
        <v/>
      </c>
      <c r="D14319">
        <f>IF(B14319=C14319, "YES", "WRONG")</f>
        <v/>
      </c>
    </row>
    <row r="14320">
      <c r="A14320" t="n">
        <v>14319</v>
      </c>
      <c r="B14320" t="inlineStr">
        <is>
          <t>x̄MV̅CCCXIX</t>
        </is>
      </c>
      <c r="C14320">
        <f>ROMAN(14319)</f>
        <v/>
      </c>
      <c r="D14320">
        <f>IF(B14320=C14320, "YES", "WRONG")</f>
        <v/>
      </c>
    </row>
    <row r="14321">
      <c r="A14321" t="n">
        <v>14320</v>
      </c>
      <c r="B14321" t="inlineStr">
        <is>
          <t>x̄MV̅CCCXX</t>
        </is>
      </c>
      <c r="C14321">
        <f>ROMAN(14320)</f>
        <v/>
      </c>
      <c r="D14321">
        <f>IF(B14321=C14321, "YES", "WRONG")</f>
        <v/>
      </c>
    </row>
    <row r="14322">
      <c r="A14322" t="n">
        <v>14321</v>
      </c>
      <c r="B14322" t="inlineStr">
        <is>
          <t>x̄MV̅CCCXXI</t>
        </is>
      </c>
      <c r="C14322">
        <f>ROMAN(14321)</f>
        <v/>
      </c>
      <c r="D14322">
        <f>IF(B14322=C14322, "YES", "WRONG")</f>
        <v/>
      </c>
    </row>
    <row r="14323">
      <c r="A14323" t="n">
        <v>14322</v>
      </c>
      <c r="B14323" t="inlineStr">
        <is>
          <t>x̄MV̅CCCXXII</t>
        </is>
      </c>
      <c r="C14323">
        <f>ROMAN(14322)</f>
        <v/>
      </c>
      <c r="D14323">
        <f>IF(B14323=C14323, "YES", "WRONG")</f>
        <v/>
      </c>
    </row>
    <row r="14324">
      <c r="A14324" t="n">
        <v>14323</v>
      </c>
      <c r="B14324" t="inlineStr">
        <is>
          <t>x̄MV̅CCCXXIII</t>
        </is>
      </c>
      <c r="C14324">
        <f>ROMAN(14323)</f>
        <v/>
      </c>
      <c r="D14324">
        <f>IF(B14324=C14324, "YES", "WRONG")</f>
        <v/>
      </c>
    </row>
    <row r="14325">
      <c r="A14325" t="n">
        <v>14324</v>
      </c>
      <c r="B14325" t="inlineStr">
        <is>
          <t>x̄MV̅CCCXXIV</t>
        </is>
      </c>
      <c r="C14325">
        <f>ROMAN(14324)</f>
        <v/>
      </c>
      <c r="D14325">
        <f>IF(B14325=C14325, "YES", "WRONG")</f>
        <v/>
      </c>
    </row>
    <row r="14326">
      <c r="A14326" t="n">
        <v>14325</v>
      </c>
      <c r="B14326" t="inlineStr">
        <is>
          <t>x̄MV̅CCCXXV</t>
        </is>
      </c>
      <c r="C14326">
        <f>ROMAN(14325)</f>
        <v/>
      </c>
      <c r="D14326">
        <f>IF(B14326=C14326, "YES", "WRONG")</f>
        <v/>
      </c>
    </row>
    <row r="14327">
      <c r="A14327" t="n">
        <v>14326</v>
      </c>
      <c r="B14327" t="inlineStr">
        <is>
          <t>x̄MV̅CCCXXVI</t>
        </is>
      </c>
      <c r="C14327">
        <f>ROMAN(14326)</f>
        <v/>
      </c>
      <c r="D14327">
        <f>IF(B14327=C14327, "YES", "WRONG")</f>
        <v/>
      </c>
    </row>
    <row r="14328">
      <c r="A14328" t="n">
        <v>14327</v>
      </c>
      <c r="B14328" t="inlineStr">
        <is>
          <t>x̄MV̅CCCXXVII</t>
        </is>
      </c>
      <c r="C14328">
        <f>ROMAN(14327)</f>
        <v/>
      </c>
      <c r="D14328">
        <f>IF(B14328=C14328, "YES", "WRONG")</f>
        <v/>
      </c>
    </row>
    <row r="14329">
      <c r="A14329" t="n">
        <v>14328</v>
      </c>
      <c r="B14329" t="inlineStr">
        <is>
          <t>x̄MV̅CCCXXVIII</t>
        </is>
      </c>
      <c r="C14329">
        <f>ROMAN(14328)</f>
        <v/>
      </c>
      <c r="D14329">
        <f>IF(B14329=C14329, "YES", "WRONG")</f>
        <v/>
      </c>
    </row>
    <row r="14330">
      <c r="A14330" t="n">
        <v>14329</v>
      </c>
      <c r="B14330" t="inlineStr">
        <is>
          <t>x̄MV̅CCCXXIX</t>
        </is>
      </c>
      <c r="C14330">
        <f>ROMAN(14329)</f>
        <v/>
      </c>
      <c r="D14330">
        <f>IF(B14330=C14330, "YES", "WRONG")</f>
        <v/>
      </c>
    </row>
    <row r="14331">
      <c r="A14331" t="n">
        <v>14330</v>
      </c>
      <c r="B14331" t="inlineStr">
        <is>
          <t>x̄MV̅CCCXXX</t>
        </is>
      </c>
      <c r="C14331">
        <f>ROMAN(14330)</f>
        <v/>
      </c>
      <c r="D14331">
        <f>IF(B14331=C14331, "YES", "WRONG")</f>
        <v/>
      </c>
    </row>
    <row r="14332">
      <c r="A14332" t="n">
        <v>14331</v>
      </c>
      <c r="B14332" t="inlineStr">
        <is>
          <t>x̄MV̅CCCXXXI</t>
        </is>
      </c>
      <c r="C14332">
        <f>ROMAN(14331)</f>
        <v/>
      </c>
      <c r="D14332">
        <f>IF(B14332=C14332, "YES", "WRONG")</f>
        <v/>
      </c>
    </row>
    <row r="14333">
      <c r="A14333" t="n">
        <v>14332</v>
      </c>
      <c r="B14333" t="inlineStr">
        <is>
          <t>x̄MV̅CCCXXXII</t>
        </is>
      </c>
      <c r="C14333">
        <f>ROMAN(14332)</f>
        <v/>
      </c>
      <c r="D14333">
        <f>IF(B14333=C14333, "YES", "WRONG")</f>
        <v/>
      </c>
    </row>
    <row r="14334">
      <c r="A14334" t="n">
        <v>14333</v>
      </c>
      <c r="B14334" t="inlineStr">
        <is>
          <t>x̄MV̅CCCXXXIII</t>
        </is>
      </c>
      <c r="C14334">
        <f>ROMAN(14333)</f>
        <v/>
      </c>
      <c r="D14334">
        <f>IF(B14334=C14334, "YES", "WRONG")</f>
        <v/>
      </c>
    </row>
    <row r="14335">
      <c r="A14335" t="n">
        <v>14334</v>
      </c>
      <c r="B14335" t="inlineStr">
        <is>
          <t>x̄MV̅CCCXXXIV</t>
        </is>
      </c>
      <c r="C14335">
        <f>ROMAN(14334)</f>
        <v/>
      </c>
      <c r="D14335">
        <f>IF(B14335=C14335, "YES", "WRONG")</f>
        <v/>
      </c>
    </row>
    <row r="14336">
      <c r="A14336" t="n">
        <v>14335</v>
      </c>
      <c r="B14336" t="inlineStr">
        <is>
          <t>x̄MV̅CCCXXXV</t>
        </is>
      </c>
      <c r="C14336">
        <f>ROMAN(14335)</f>
        <v/>
      </c>
      <c r="D14336">
        <f>IF(B14336=C14336, "YES", "WRONG")</f>
        <v/>
      </c>
    </row>
    <row r="14337">
      <c r="A14337" t="n">
        <v>14336</v>
      </c>
      <c r="B14337" t="inlineStr">
        <is>
          <t>x̄MV̅CCCXXXVI</t>
        </is>
      </c>
      <c r="C14337">
        <f>ROMAN(14336)</f>
        <v/>
      </c>
      <c r="D14337">
        <f>IF(B14337=C14337, "YES", "WRONG")</f>
        <v/>
      </c>
    </row>
    <row r="14338">
      <c r="A14338" t="n">
        <v>14337</v>
      </c>
      <c r="B14338" t="inlineStr">
        <is>
          <t>x̄MV̅CCCXXXVII</t>
        </is>
      </c>
      <c r="C14338">
        <f>ROMAN(14337)</f>
        <v/>
      </c>
      <c r="D14338">
        <f>IF(B14338=C14338, "YES", "WRONG")</f>
        <v/>
      </c>
    </row>
    <row r="14339">
      <c r="A14339" t="n">
        <v>14338</v>
      </c>
      <c r="B14339" t="inlineStr">
        <is>
          <t>x̄MV̅CCCXXXVIII</t>
        </is>
      </c>
      <c r="C14339">
        <f>ROMAN(14338)</f>
        <v/>
      </c>
      <c r="D14339">
        <f>IF(B14339=C14339, "YES", "WRONG")</f>
        <v/>
      </c>
    </row>
    <row r="14340">
      <c r="A14340" t="n">
        <v>14339</v>
      </c>
      <c r="B14340" t="inlineStr">
        <is>
          <t>x̄MV̅CCCXXXIX</t>
        </is>
      </c>
      <c r="C14340">
        <f>ROMAN(14339)</f>
        <v/>
      </c>
      <c r="D14340">
        <f>IF(B14340=C14340, "YES", "WRONG")</f>
        <v/>
      </c>
    </row>
    <row r="14341">
      <c r="A14341" t="n">
        <v>14340</v>
      </c>
      <c r="B14341" t="inlineStr">
        <is>
          <t>x̄MV̅CCCXL</t>
        </is>
      </c>
      <c r="C14341">
        <f>ROMAN(14340)</f>
        <v/>
      </c>
      <c r="D14341">
        <f>IF(B14341=C14341, "YES", "WRONG")</f>
        <v/>
      </c>
    </row>
    <row r="14342">
      <c r="A14342" t="n">
        <v>14341</v>
      </c>
      <c r="B14342" t="inlineStr">
        <is>
          <t>x̄MV̅CCCXLI</t>
        </is>
      </c>
      <c r="C14342">
        <f>ROMAN(14341)</f>
        <v/>
      </c>
      <c r="D14342">
        <f>IF(B14342=C14342, "YES", "WRONG")</f>
        <v/>
      </c>
    </row>
    <row r="14343">
      <c r="A14343" t="n">
        <v>14342</v>
      </c>
      <c r="B14343" t="inlineStr">
        <is>
          <t>x̄MV̅CCCXLII</t>
        </is>
      </c>
      <c r="C14343">
        <f>ROMAN(14342)</f>
        <v/>
      </c>
      <c r="D14343">
        <f>IF(B14343=C14343, "YES", "WRONG")</f>
        <v/>
      </c>
    </row>
    <row r="14344">
      <c r="A14344" t="n">
        <v>14343</v>
      </c>
      <c r="B14344" t="inlineStr">
        <is>
          <t>x̄MV̅CCCXLIII</t>
        </is>
      </c>
      <c r="C14344">
        <f>ROMAN(14343)</f>
        <v/>
      </c>
      <c r="D14344">
        <f>IF(B14344=C14344, "YES", "WRONG")</f>
        <v/>
      </c>
    </row>
    <row r="14345">
      <c r="A14345" t="n">
        <v>14344</v>
      </c>
      <c r="B14345" t="inlineStr">
        <is>
          <t>x̄MV̅CCCXLIV</t>
        </is>
      </c>
      <c r="C14345">
        <f>ROMAN(14344)</f>
        <v/>
      </c>
      <c r="D14345">
        <f>IF(B14345=C14345, "YES", "WRONG")</f>
        <v/>
      </c>
    </row>
    <row r="14346">
      <c r="A14346" t="n">
        <v>14345</v>
      </c>
      <c r="B14346" t="inlineStr">
        <is>
          <t>x̄MV̅CCCXLV</t>
        </is>
      </c>
      <c r="C14346">
        <f>ROMAN(14345)</f>
        <v/>
      </c>
      <c r="D14346">
        <f>IF(B14346=C14346, "YES", "WRONG")</f>
        <v/>
      </c>
    </row>
    <row r="14347">
      <c r="A14347" t="n">
        <v>14346</v>
      </c>
      <c r="B14347" t="inlineStr">
        <is>
          <t>x̄MV̅CCCXLVI</t>
        </is>
      </c>
      <c r="C14347">
        <f>ROMAN(14346)</f>
        <v/>
      </c>
      <c r="D14347">
        <f>IF(B14347=C14347, "YES", "WRONG")</f>
        <v/>
      </c>
    </row>
    <row r="14348">
      <c r="A14348" t="n">
        <v>14347</v>
      </c>
      <c r="B14348" t="inlineStr">
        <is>
          <t>x̄MV̅CCCXLVII</t>
        </is>
      </c>
      <c r="C14348">
        <f>ROMAN(14347)</f>
        <v/>
      </c>
      <c r="D14348">
        <f>IF(B14348=C14348, "YES", "WRONG")</f>
        <v/>
      </c>
    </row>
    <row r="14349">
      <c r="A14349" t="n">
        <v>14348</v>
      </c>
      <c r="B14349" t="inlineStr">
        <is>
          <t>x̄MV̅CCCXLVIII</t>
        </is>
      </c>
      <c r="C14349">
        <f>ROMAN(14348)</f>
        <v/>
      </c>
      <c r="D14349">
        <f>IF(B14349=C14349, "YES", "WRONG")</f>
        <v/>
      </c>
    </row>
    <row r="14350">
      <c r="A14350" t="n">
        <v>14349</v>
      </c>
      <c r="B14350" t="inlineStr">
        <is>
          <t>x̄MV̅CCCXLIX</t>
        </is>
      </c>
      <c r="C14350">
        <f>ROMAN(14349)</f>
        <v/>
      </c>
      <c r="D14350">
        <f>IF(B14350=C14350, "YES", "WRONG")</f>
        <v/>
      </c>
    </row>
    <row r="14351">
      <c r="A14351" t="n">
        <v>14350</v>
      </c>
      <c r="B14351" t="inlineStr">
        <is>
          <t>x̄MV̅CCCL</t>
        </is>
      </c>
      <c r="C14351">
        <f>ROMAN(14350)</f>
        <v/>
      </c>
      <c r="D14351">
        <f>IF(B14351=C14351, "YES", "WRONG")</f>
        <v/>
      </c>
    </row>
    <row r="14352">
      <c r="A14352" t="n">
        <v>14351</v>
      </c>
      <c r="B14352" t="inlineStr">
        <is>
          <t>x̄MV̅CCCLI</t>
        </is>
      </c>
      <c r="C14352">
        <f>ROMAN(14351)</f>
        <v/>
      </c>
      <c r="D14352">
        <f>IF(B14352=C14352, "YES", "WRONG")</f>
        <v/>
      </c>
    </row>
    <row r="14353">
      <c r="A14353" t="n">
        <v>14352</v>
      </c>
      <c r="B14353" t="inlineStr">
        <is>
          <t>x̄MV̅CCCLII</t>
        </is>
      </c>
      <c r="C14353">
        <f>ROMAN(14352)</f>
        <v/>
      </c>
      <c r="D14353">
        <f>IF(B14353=C14353, "YES", "WRONG")</f>
        <v/>
      </c>
    </row>
    <row r="14354">
      <c r="A14354" t="n">
        <v>14353</v>
      </c>
      <c r="B14354" t="inlineStr">
        <is>
          <t>x̄MV̅CCCLIII</t>
        </is>
      </c>
      <c r="C14354">
        <f>ROMAN(14353)</f>
        <v/>
      </c>
      <c r="D14354">
        <f>IF(B14354=C14354, "YES", "WRONG")</f>
        <v/>
      </c>
    </row>
    <row r="14355">
      <c r="A14355" t="n">
        <v>14354</v>
      </c>
      <c r="B14355" t="inlineStr">
        <is>
          <t>x̄MV̅CCCLIV</t>
        </is>
      </c>
      <c r="C14355">
        <f>ROMAN(14354)</f>
        <v/>
      </c>
      <c r="D14355">
        <f>IF(B14355=C14355, "YES", "WRONG")</f>
        <v/>
      </c>
    </row>
    <row r="14356">
      <c r="A14356" t="n">
        <v>14355</v>
      </c>
      <c r="B14356" t="inlineStr">
        <is>
          <t>x̄MV̅CCCLV</t>
        </is>
      </c>
      <c r="C14356">
        <f>ROMAN(14355)</f>
        <v/>
      </c>
      <c r="D14356">
        <f>IF(B14356=C14356, "YES", "WRONG")</f>
        <v/>
      </c>
    </row>
    <row r="14357">
      <c r="A14357" t="n">
        <v>14356</v>
      </c>
      <c r="B14357" t="inlineStr">
        <is>
          <t>x̄MV̅CCCLVI</t>
        </is>
      </c>
      <c r="C14357">
        <f>ROMAN(14356)</f>
        <v/>
      </c>
      <c r="D14357">
        <f>IF(B14357=C14357, "YES", "WRONG")</f>
        <v/>
      </c>
    </row>
    <row r="14358">
      <c r="A14358" t="n">
        <v>14357</v>
      </c>
      <c r="B14358" t="inlineStr">
        <is>
          <t>x̄MV̅CCCLVII</t>
        </is>
      </c>
      <c r="C14358">
        <f>ROMAN(14357)</f>
        <v/>
      </c>
      <c r="D14358">
        <f>IF(B14358=C14358, "YES", "WRONG")</f>
        <v/>
      </c>
    </row>
    <row r="14359">
      <c r="A14359" t="n">
        <v>14358</v>
      </c>
      <c r="B14359" t="inlineStr">
        <is>
          <t>x̄MV̅CCCLVIII</t>
        </is>
      </c>
      <c r="C14359">
        <f>ROMAN(14358)</f>
        <v/>
      </c>
      <c r="D14359">
        <f>IF(B14359=C14359, "YES", "WRONG")</f>
        <v/>
      </c>
    </row>
    <row r="14360">
      <c r="A14360" t="n">
        <v>14359</v>
      </c>
      <c r="B14360" t="inlineStr">
        <is>
          <t>x̄MV̅CCCLIX</t>
        </is>
      </c>
      <c r="C14360">
        <f>ROMAN(14359)</f>
        <v/>
      </c>
      <c r="D14360">
        <f>IF(B14360=C14360, "YES", "WRONG")</f>
        <v/>
      </c>
    </row>
    <row r="14361">
      <c r="A14361" t="n">
        <v>14360</v>
      </c>
      <c r="B14361" t="inlineStr">
        <is>
          <t>x̄MV̅CCCLX</t>
        </is>
      </c>
      <c r="C14361">
        <f>ROMAN(14360)</f>
        <v/>
      </c>
      <c r="D14361">
        <f>IF(B14361=C14361, "YES", "WRONG")</f>
        <v/>
      </c>
    </row>
    <row r="14362">
      <c r="A14362" t="n">
        <v>14361</v>
      </c>
      <c r="B14362" t="inlineStr">
        <is>
          <t>x̄MV̅CCCLXI</t>
        </is>
      </c>
      <c r="C14362">
        <f>ROMAN(14361)</f>
        <v/>
      </c>
      <c r="D14362">
        <f>IF(B14362=C14362, "YES", "WRONG")</f>
        <v/>
      </c>
    </row>
    <row r="14363">
      <c r="A14363" t="n">
        <v>14362</v>
      </c>
      <c r="B14363" t="inlineStr">
        <is>
          <t>x̄MV̅CCCLXII</t>
        </is>
      </c>
      <c r="C14363">
        <f>ROMAN(14362)</f>
        <v/>
      </c>
      <c r="D14363">
        <f>IF(B14363=C14363, "YES", "WRONG")</f>
        <v/>
      </c>
    </row>
    <row r="14364">
      <c r="A14364" t="n">
        <v>14363</v>
      </c>
      <c r="B14364" t="inlineStr">
        <is>
          <t>x̄MV̅CCCLXIII</t>
        </is>
      </c>
      <c r="C14364">
        <f>ROMAN(14363)</f>
        <v/>
      </c>
      <c r="D14364">
        <f>IF(B14364=C14364, "YES", "WRONG")</f>
        <v/>
      </c>
    </row>
    <row r="14365">
      <c r="A14365" t="n">
        <v>14364</v>
      </c>
      <c r="B14365" t="inlineStr">
        <is>
          <t>x̄MV̅CCCLXIV</t>
        </is>
      </c>
      <c r="C14365">
        <f>ROMAN(14364)</f>
        <v/>
      </c>
      <c r="D14365">
        <f>IF(B14365=C14365, "YES", "WRONG")</f>
        <v/>
      </c>
    </row>
    <row r="14366">
      <c r="A14366" t="n">
        <v>14365</v>
      </c>
      <c r="B14366" t="inlineStr">
        <is>
          <t>x̄MV̅CCCLXV</t>
        </is>
      </c>
      <c r="C14366">
        <f>ROMAN(14365)</f>
        <v/>
      </c>
      <c r="D14366">
        <f>IF(B14366=C14366, "YES", "WRONG")</f>
        <v/>
      </c>
    </row>
    <row r="14367">
      <c r="A14367" t="n">
        <v>14366</v>
      </c>
      <c r="B14367" t="inlineStr">
        <is>
          <t>x̄MV̅CCCLXVI</t>
        </is>
      </c>
      <c r="C14367">
        <f>ROMAN(14366)</f>
        <v/>
      </c>
      <c r="D14367">
        <f>IF(B14367=C14367, "YES", "WRONG")</f>
        <v/>
      </c>
    </row>
    <row r="14368">
      <c r="A14368" t="n">
        <v>14367</v>
      </c>
      <c r="B14368" t="inlineStr">
        <is>
          <t>x̄MV̅CCCLXVII</t>
        </is>
      </c>
      <c r="C14368">
        <f>ROMAN(14367)</f>
        <v/>
      </c>
      <c r="D14368">
        <f>IF(B14368=C14368, "YES", "WRONG")</f>
        <v/>
      </c>
    </row>
    <row r="14369">
      <c r="A14369" t="n">
        <v>14368</v>
      </c>
      <c r="B14369" t="inlineStr">
        <is>
          <t>x̄MV̅CCCLXVIII</t>
        </is>
      </c>
      <c r="C14369">
        <f>ROMAN(14368)</f>
        <v/>
      </c>
      <c r="D14369">
        <f>IF(B14369=C14369, "YES", "WRONG")</f>
        <v/>
      </c>
    </row>
    <row r="14370">
      <c r="A14370" t="n">
        <v>14369</v>
      </c>
      <c r="B14370" t="inlineStr">
        <is>
          <t>x̄MV̅CCCLXIX</t>
        </is>
      </c>
      <c r="C14370">
        <f>ROMAN(14369)</f>
        <v/>
      </c>
      <c r="D14370">
        <f>IF(B14370=C14370, "YES", "WRONG")</f>
        <v/>
      </c>
    </row>
    <row r="14371">
      <c r="A14371" t="n">
        <v>14370</v>
      </c>
      <c r="B14371" t="inlineStr">
        <is>
          <t>x̄MV̅CCCLXX</t>
        </is>
      </c>
      <c r="C14371">
        <f>ROMAN(14370)</f>
        <v/>
      </c>
      <c r="D14371">
        <f>IF(B14371=C14371, "YES", "WRONG")</f>
        <v/>
      </c>
    </row>
    <row r="14372">
      <c r="A14372" t="n">
        <v>14371</v>
      </c>
      <c r="B14372" t="inlineStr">
        <is>
          <t>x̄MV̅CCCLXXI</t>
        </is>
      </c>
      <c r="C14372">
        <f>ROMAN(14371)</f>
        <v/>
      </c>
      <c r="D14372">
        <f>IF(B14372=C14372, "YES", "WRONG")</f>
        <v/>
      </c>
    </row>
    <row r="14373">
      <c r="A14373" t="n">
        <v>14372</v>
      </c>
      <c r="B14373" t="inlineStr">
        <is>
          <t>x̄MV̅CCCLXXII</t>
        </is>
      </c>
      <c r="C14373">
        <f>ROMAN(14372)</f>
        <v/>
      </c>
      <c r="D14373">
        <f>IF(B14373=C14373, "YES", "WRONG")</f>
        <v/>
      </c>
    </row>
    <row r="14374">
      <c r="A14374" t="n">
        <v>14373</v>
      </c>
      <c r="B14374" t="inlineStr">
        <is>
          <t>x̄MV̅CCCLXXIII</t>
        </is>
      </c>
      <c r="C14374">
        <f>ROMAN(14373)</f>
        <v/>
      </c>
      <c r="D14374">
        <f>IF(B14374=C14374, "YES", "WRONG")</f>
        <v/>
      </c>
    </row>
    <row r="14375">
      <c r="A14375" t="n">
        <v>14374</v>
      </c>
      <c r="B14375" t="inlineStr">
        <is>
          <t>x̄MV̅CCCLXXIV</t>
        </is>
      </c>
      <c r="C14375">
        <f>ROMAN(14374)</f>
        <v/>
      </c>
      <c r="D14375">
        <f>IF(B14375=C14375, "YES", "WRONG")</f>
        <v/>
      </c>
    </row>
    <row r="14376">
      <c r="A14376" t="n">
        <v>14375</v>
      </c>
      <c r="B14376" t="inlineStr">
        <is>
          <t>x̄MV̅CCCLXXV</t>
        </is>
      </c>
      <c r="C14376">
        <f>ROMAN(14375)</f>
        <v/>
      </c>
      <c r="D14376">
        <f>IF(B14376=C14376, "YES", "WRONG")</f>
        <v/>
      </c>
    </row>
    <row r="14377">
      <c r="A14377" t="n">
        <v>14376</v>
      </c>
      <c r="B14377" t="inlineStr">
        <is>
          <t>x̄MV̅CCCLXXVI</t>
        </is>
      </c>
      <c r="C14377">
        <f>ROMAN(14376)</f>
        <v/>
      </c>
      <c r="D14377">
        <f>IF(B14377=C14377, "YES", "WRONG")</f>
        <v/>
      </c>
    </row>
    <row r="14378">
      <c r="A14378" t="n">
        <v>14377</v>
      </c>
      <c r="B14378" t="inlineStr">
        <is>
          <t>x̄MV̅CCCLXXVII</t>
        </is>
      </c>
      <c r="C14378">
        <f>ROMAN(14377)</f>
        <v/>
      </c>
      <c r="D14378">
        <f>IF(B14378=C14378, "YES", "WRONG")</f>
        <v/>
      </c>
    </row>
    <row r="14379">
      <c r="A14379" t="n">
        <v>14378</v>
      </c>
      <c r="B14379" t="inlineStr">
        <is>
          <t>x̄MV̅CCCLXXVIII</t>
        </is>
      </c>
      <c r="C14379">
        <f>ROMAN(14378)</f>
        <v/>
      </c>
      <c r="D14379">
        <f>IF(B14379=C14379, "YES", "WRONG")</f>
        <v/>
      </c>
    </row>
    <row r="14380">
      <c r="A14380" t="n">
        <v>14379</v>
      </c>
      <c r="B14380" t="inlineStr">
        <is>
          <t>x̄MV̅CCCLXXIX</t>
        </is>
      </c>
      <c r="C14380">
        <f>ROMAN(14379)</f>
        <v/>
      </c>
      <c r="D14380">
        <f>IF(B14380=C14380, "YES", "WRONG")</f>
        <v/>
      </c>
    </row>
    <row r="14381">
      <c r="A14381" t="n">
        <v>14380</v>
      </c>
      <c r="B14381" t="inlineStr">
        <is>
          <t>x̄MV̅CCCLXXX</t>
        </is>
      </c>
      <c r="C14381">
        <f>ROMAN(14380)</f>
        <v/>
      </c>
      <c r="D14381">
        <f>IF(B14381=C14381, "YES", "WRONG")</f>
        <v/>
      </c>
    </row>
    <row r="14382">
      <c r="A14382" t="n">
        <v>14381</v>
      </c>
      <c r="B14382" t="inlineStr">
        <is>
          <t>x̄MV̅CCCLXXXI</t>
        </is>
      </c>
      <c r="C14382">
        <f>ROMAN(14381)</f>
        <v/>
      </c>
      <c r="D14382">
        <f>IF(B14382=C14382, "YES", "WRONG")</f>
        <v/>
      </c>
    </row>
    <row r="14383">
      <c r="A14383" t="n">
        <v>14382</v>
      </c>
      <c r="B14383" t="inlineStr">
        <is>
          <t>x̄MV̅CCCLXXXII</t>
        </is>
      </c>
      <c r="C14383">
        <f>ROMAN(14382)</f>
        <v/>
      </c>
      <c r="D14383">
        <f>IF(B14383=C14383, "YES", "WRONG")</f>
        <v/>
      </c>
    </row>
    <row r="14384">
      <c r="A14384" t="n">
        <v>14383</v>
      </c>
      <c r="B14384" t="inlineStr">
        <is>
          <t>x̄MV̅CCCLXXXIII</t>
        </is>
      </c>
      <c r="C14384">
        <f>ROMAN(14383)</f>
        <v/>
      </c>
      <c r="D14384">
        <f>IF(B14384=C14384, "YES", "WRONG")</f>
        <v/>
      </c>
    </row>
    <row r="14385">
      <c r="A14385" t="n">
        <v>14384</v>
      </c>
      <c r="B14385" t="inlineStr">
        <is>
          <t>x̄MV̅CCCLXXXIV</t>
        </is>
      </c>
      <c r="C14385">
        <f>ROMAN(14384)</f>
        <v/>
      </c>
      <c r="D14385">
        <f>IF(B14385=C14385, "YES", "WRONG")</f>
        <v/>
      </c>
    </row>
    <row r="14386">
      <c r="A14386" t="n">
        <v>14385</v>
      </c>
      <c r="B14386" t="inlineStr">
        <is>
          <t>x̄MV̅CCCLXXXV</t>
        </is>
      </c>
      <c r="C14386">
        <f>ROMAN(14385)</f>
        <v/>
      </c>
      <c r="D14386">
        <f>IF(B14386=C14386, "YES", "WRONG")</f>
        <v/>
      </c>
    </row>
    <row r="14387">
      <c r="A14387" t="n">
        <v>14386</v>
      </c>
      <c r="B14387" t="inlineStr">
        <is>
          <t>x̄MV̅CCCLXXXVI</t>
        </is>
      </c>
      <c r="C14387">
        <f>ROMAN(14386)</f>
        <v/>
      </c>
      <c r="D14387">
        <f>IF(B14387=C14387, "YES", "WRONG")</f>
        <v/>
      </c>
    </row>
    <row r="14388">
      <c r="A14388" t="n">
        <v>14387</v>
      </c>
      <c r="B14388" t="inlineStr">
        <is>
          <t>x̄MV̅CCCLXXXVII</t>
        </is>
      </c>
      <c r="C14388">
        <f>ROMAN(14387)</f>
        <v/>
      </c>
      <c r="D14388">
        <f>IF(B14388=C14388, "YES", "WRONG")</f>
        <v/>
      </c>
    </row>
    <row r="14389">
      <c r="A14389" t="n">
        <v>14388</v>
      </c>
      <c r="B14389" t="inlineStr">
        <is>
          <t>x̄MV̅CCCLXXXVIII</t>
        </is>
      </c>
      <c r="C14389">
        <f>ROMAN(14388)</f>
        <v/>
      </c>
      <c r="D14389">
        <f>IF(B14389=C14389, "YES", "WRONG")</f>
        <v/>
      </c>
    </row>
    <row r="14390">
      <c r="A14390" t="n">
        <v>14389</v>
      </c>
      <c r="B14390" t="inlineStr">
        <is>
          <t>x̄MV̅CCCLXXXIX</t>
        </is>
      </c>
      <c r="C14390">
        <f>ROMAN(14389)</f>
        <v/>
      </c>
      <c r="D14390">
        <f>IF(B14390=C14390, "YES", "WRONG")</f>
        <v/>
      </c>
    </row>
    <row r="14391">
      <c r="A14391" t="n">
        <v>14390</v>
      </c>
      <c r="B14391" t="inlineStr">
        <is>
          <t>x̄MV̅CCCXC</t>
        </is>
      </c>
      <c r="C14391">
        <f>ROMAN(14390)</f>
        <v/>
      </c>
      <c r="D14391">
        <f>IF(B14391=C14391, "YES", "WRONG")</f>
        <v/>
      </c>
    </row>
    <row r="14392">
      <c r="A14392" t="n">
        <v>14391</v>
      </c>
      <c r="B14392" t="inlineStr">
        <is>
          <t>x̄MV̅CCCXCI</t>
        </is>
      </c>
      <c r="C14392">
        <f>ROMAN(14391)</f>
        <v/>
      </c>
      <c r="D14392">
        <f>IF(B14392=C14392, "YES", "WRONG")</f>
        <v/>
      </c>
    </row>
    <row r="14393">
      <c r="A14393" t="n">
        <v>14392</v>
      </c>
      <c r="B14393" t="inlineStr">
        <is>
          <t>x̄MV̅CCCXCII</t>
        </is>
      </c>
      <c r="C14393">
        <f>ROMAN(14392)</f>
        <v/>
      </c>
      <c r="D14393">
        <f>IF(B14393=C14393, "YES", "WRONG")</f>
        <v/>
      </c>
    </row>
    <row r="14394">
      <c r="A14394" t="n">
        <v>14393</v>
      </c>
      <c r="B14394" t="inlineStr">
        <is>
          <t>x̄MV̅CCCXCIII</t>
        </is>
      </c>
      <c r="C14394">
        <f>ROMAN(14393)</f>
        <v/>
      </c>
      <c r="D14394">
        <f>IF(B14394=C14394, "YES", "WRONG")</f>
        <v/>
      </c>
    </row>
    <row r="14395">
      <c r="A14395" t="n">
        <v>14394</v>
      </c>
      <c r="B14395" t="inlineStr">
        <is>
          <t>x̄MV̅CCCXCIV</t>
        </is>
      </c>
      <c r="C14395">
        <f>ROMAN(14394)</f>
        <v/>
      </c>
      <c r="D14395">
        <f>IF(B14395=C14395, "YES", "WRONG")</f>
        <v/>
      </c>
    </row>
    <row r="14396">
      <c r="A14396" t="n">
        <v>14395</v>
      </c>
      <c r="B14396" t="inlineStr">
        <is>
          <t>x̄MV̅CCCXCV</t>
        </is>
      </c>
      <c r="C14396">
        <f>ROMAN(14395)</f>
        <v/>
      </c>
      <c r="D14396">
        <f>IF(B14396=C14396, "YES", "WRONG")</f>
        <v/>
      </c>
    </row>
    <row r="14397">
      <c r="A14397" t="n">
        <v>14396</v>
      </c>
      <c r="B14397" t="inlineStr">
        <is>
          <t>x̄MV̅CCCXCVI</t>
        </is>
      </c>
      <c r="C14397">
        <f>ROMAN(14396)</f>
        <v/>
      </c>
      <c r="D14397">
        <f>IF(B14397=C14397, "YES", "WRONG")</f>
        <v/>
      </c>
    </row>
    <row r="14398">
      <c r="A14398" t="n">
        <v>14397</v>
      </c>
      <c r="B14398" t="inlineStr">
        <is>
          <t>x̄MV̅CCCXCVII</t>
        </is>
      </c>
      <c r="C14398">
        <f>ROMAN(14397)</f>
        <v/>
      </c>
      <c r="D14398">
        <f>IF(B14398=C14398, "YES", "WRONG")</f>
        <v/>
      </c>
    </row>
    <row r="14399">
      <c r="A14399" t="n">
        <v>14398</v>
      </c>
      <c r="B14399" t="inlineStr">
        <is>
          <t>x̄MV̅CCCXCVIII</t>
        </is>
      </c>
      <c r="C14399">
        <f>ROMAN(14398)</f>
        <v/>
      </c>
      <c r="D14399">
        <f>IF(B14399=C14399, "YES", "WRONG")</f>
        <v/>
      </c>
    </row>
    <row r="14400">
      <c r="A14400" t="n">
        <v>14399</v>
      </c>
      <c r="B14400" t="inlineStr">
        <is>
          <t>x̄MV̅CCCXCIX</t>
        </is>
      </c>
      <c r="C14400">
        <f>ROMAN(14399)</f>
        <v/>
      </c>
      <c r="D14400">
        <f>IF(B14400=C14400, "YES", "WRONG")</f>
        <v/>
      </c>
    </row>
    <row r="14401">
      <c r="A14401" t="n">
        <v>14400</v>
      </c>
      <c r="B14401" t="inlineStr">
        <is>
          <t>x̄MV̅CD</t>
        </is>
      </c>
      <c r="C14401">
        <f>ROMAN(14400)</f>
        <v/>
      </c>
      <c r="D14401">
        <f>IF(B14401=C14401, "YES", "WRONG")</f>
        <v/>
      </c>
    </row>
    <row r="14402">
      <c r="A14402" t="n">
        <v>14401</v>
      </c>
      <c r="B14402" t="inlineStr">
        <is>
          <t>x̄MV̅CDI</t>
        </is>
      </c>
      <c r="C14402">
        <f>ROMAN(14401)</f>
        <v/>
      </c>
      <c r="D14402">
        <f>IF(B14402=C14402, "YES", "WRONG")</f>
        <v/>
      </c>
    </row>
    <row r="14403">
      <c r="A14403" t="n">
        <v>14402</v>
      </c>
      <c r="B14403" t="inlineStr">
        <is>
          <t>x̄MV̅CDII</t>
        </is>
      </c>
      <c r="C14403">
        <f>ROMAN(14402)</f>
        <v/>
      </c>
      <c r="D14403">
        <f>IF(B14403=C14403, "YES", "WRONG")</f>
        <v/>
      </c>
    </row>
    <row r="14404">
      <c r="A14404" t="n">
        <v>14403</v>
      </c>
      <c r="B14404" t="inlineStr">
        <is>
          <t>x̄MV̅CDIII</t>
        </is>
      </c>
      <c r="C14404">
        <f>ROMAN(14403)</f>
        <v/>
      </c>
      <c r="D14404">
        <f>IF(B14404=C14404, "YES", "WRONG")</f>
        <v/>
      </c>
    </row>
    <row r="14405">
      <c r="A14405" t="n">
        <v>14404</v>
      </c>
      <c r="B14405" t="inlineStr">
        <is>
          <t>x̄MV̅CDIV</t>
        </is>
      </c>
      <c r="C14405">
        <f>ROMAN(14404)</f>
        <v/>
      </c>
      <c r="D14405">
        <f>IF(B14405=C14405, "YES", "WRONG")</f>
        <v/>
      </c>
    </row>
    <row r="14406">
      <c r="A14406" t="n">
        <v>14405</v>
      </c>
      <c r="B14406" t="inlineStr">
        <is>
          <t>x̄MV̅CDV</t>
        </is>
      </c>
      <c r="C14406">
        <f>ROMAN(14405)</f>
        <v/>
      </c>
      <c r="D14406">
        <f>IF(B14406=C14406, "YES", "WRONG")</f>
        <v/>
      </c>
    </row>
    <row r="14407">
      <c r="A14407" t="n">
        <v>14406</v>
      </c>
      <c r="B14407" t="inlineStr">
        <is>
          <t>x̄MV̅CDVI</t>
        </is>
      </c>
      <c r="C14407">
        <f>ROMAN(14406)</f>
        <v/>
      </c>
      <c r="D14407">
        <f>IF(B14407=C14407, "YES", "WRONG")</f>
        <v/>
      </c>
    </row>
    <row r="14408">
      <c r="A14408" t="n">
        <v>14407</v>
      </c>
      <c r="B14408" t="inlineStr">
        <is>
          <t>x̄MV̅CDVII</t>
        </is>
      </c>
      <c r="C14408">
        <f>ROMAN(14407)</f>
        <v/>
      </c>
      <c r="D14408">
        <f>IF(B14408=C14408, "YES", "WRONG")</f>
        <v/>
      </c>
    </row>
    <row r="14409">
      <c r="A14409" t="n">
        <v>14408</v>
      </c>
      <c r="B14409" t="inlineStr">
        <is>
          <t>x̄MV̅CDVIII</t>
        </is>
      </c>
      <c r="C14409">
        <f>ROMAN(14408)</f>
        <v/>
      </c>
      <c r="D14409">
        <f>IF(B14409=C14409, "YES", "WRONG")</f>
        <v/>
      </c>
    </row>
    <row r="14410">
      <c r="A14410" t="n">
        <v>14409</v>
      </c>
      <c r="B14410" t="inlineStr">
        <is>
          <t>x̄MV̅CDIX</t>
        </is>
      </c>
      <c r="C14410">
        <f>ROMAN(14409)</f>
        <v/>
      </c>
      <c r="D14410">
        <f>IF(B14410=C14410, "YES", "WRONG")</f>
        <v/>
      </c>
    </row>
    <row r="14411">
      <c r="A14411" t="n">
        <v>14410</v>
      </c>
      <c r="B14411" t="inlineStr">
        <is>
          <t>x̄MV̅CDX</t>
        </is>
      </c>
      <c r="C14411">
        <f>ROMAN(14410)</f>
        <v/>
      </c>
      <c r="D14411">
        <f>IF(B14411=C14411, "YES", "WRONG")</f>
        <v/>
      </c>
    </row>
    <row r="14412">
      <c r="A14412" t="n">
        <v>14411</v>
      </c>
      <c r="B14412" t="inlineStr">
        <is>
          <t>x̄MV̅CDXI</t>
        </is>
      </c>
      <c r="C14412">
        <f>ROMAN(14411)</f>
        <v/>
      </c>
      <c r="D14412">
        <f>IF(B14412=C14412, "YES", "WRONG")</f>
        <v/>
      </c>
    </row>
    <row r="14413">
      <c r="A14413" t="n">
        <v>14412</v>
      </c>
      <c r="B14413" t="inlineStr">
        <is>
          <t>x̄MV̅CDXII</t>
        </is>
      </c>
      <c r="C14413">
        <f>ROMAN(14412)</f>
        <v/>
      </c>
      <c r="D14413">
        <f>IF(B14413=C14413, "YES", "WRONG")</f>
        <v/>
      </c>
    </row>
    <row r="14414">
      <c r="A14414" t="n">
        <v>14413</v>
      </c>
      <c r="B14414" t="inlineStr">
        <is>
          <t>x̄MV̅CDXIII</t>
        </is>
      </c>
      <c r="C14414">
        <f>ROMAN(14413)</f>
        <v/>
      </c>
      <c r="D14414">
        <f>IF(B14414=C14414, "YES", "WRONG")</f>
        <v/>
      </c>
    </row>
    <row r="14415">
      <c r="A14415" t="n">
        <v>14414</v>
      </c>
      <c r="B14415" t="inlineStr">
        <is>
          <t>x̄MV̅CDXIV</t>
        </is>
      </c>
      <c r="C14415">
        <f>ROMAN(14414)</f>
        <v/>
      </c>
      <c r="D14415">
        <f>IF(B14415=C14415, "YES", "WRONG")</f>
        <v/>
      </c>
    </row>
    <row r="14416">
      <c r="A14416" t="n">
        <v>14415</v>
      </c>
      <c r="B14416" t="inlineStr">
        <is>
          <t>x̄MV̅CDXV</t>
        </is>
      </c>
      <c r="C14416">
        <f>ROMAN(14415)</f>
        <v/>
      </c>
      <c r="D14416">
        <f>IF(B14416=C14416, "YES", "WRONG")</f>
        <v/>
      </c>
    </row>
    <row r="14417">
      <c r="A14417" t="n">
        <v>14416</v>
      </c>
      <c r="B14417" t="inlineStr">
        <is>
          <t>x̄MV̅CDXVI</t>
        </is>
      </c>
      <c r="C14417">
        <f>ROMAN(14416)</f>
        <v/>
      </c>
      <c r="D14417">
        <f>IF(B14417=C14417, "YES", "WRONG")</f>
        <v/>
      </c>
    </row>
    <row r="14418">
      <c r="A14418" t="n">
        <v>14417</v>
      </c>
      <c r="B14418" t="inlineStr">
        <is>
          <t>x̄MV̅CDXVII</t>
        </is>
      </c>
      <c r="C14418">
        <f>ROMAN(14417)</f>
        <v/>
      </c>
      <c r="D14418">
        <f>IF(B14418=C14418, "YES", "WRONG")</f>
        <v/>
      </c>
    </row>
    <row r="14419">
      <c r="A14419" t="n">
        <v>14418</v>
      </c>
      <c r="B14419" t="inlineStr">
        <is>
          <t>x̄MV̅CDXVIII</t>
        </is>
      </c>
      <c r="C14419">
        <f>ROMAN(14418)</f>
        <v/>
      </c>
      <c r="D14419">
        <f>IF(B14419=C14419, "YES", "WRONG")</f>
        <v/>
      </c>
    </row>
    <row r="14420">
      <c r="A14420" t="n">
        <v>14419</v>
      </c>
      <c r="B14420" t="inlineStr">
        <is>
          <t>x̄MV̅CDXIX</t>
        </is>
      </c>
      <c r="C14420">
        <f>ROMAN(14419)</f>
        <v/>
      </c>
      <c r="D14420">
        <f>IF(B14420=C14420, "YES", "WRONG")</f>
        <v/>
      </c>
    </row>
    <row r="14421">
      <c r="A14421" t="n">
        <v>14420</v>
      </c>
      <c r="B14421" t="inlineStr">
        <is>
          <t>x̄MV̅CDXX</t>
        </is>
      </c>
      <c r="C14421">
        <f>ROMAN(14420)</f>
        <v/>
      </c>
      <c r="D14421">
        <f>IF(B14421=C14421, "YES", "WRONG")</f>
        <v/>
      </c>
    </row>
    <row r="14422">
      <c r="A14422" t="n">
        <v>14421</v>
      </c>
      <c r="B14422" t="inlineStr">
        <is>
          <t>x̄MV̅CDXXI</t>
        </is>
      </c>
      <c r="C14422">
        <f>ROMAN(14421)</f>
        <v/>
      </c>
      <c r="D14422">
        <f>IF(B14422=C14422, "YES", "WRONG")</f>
        <v/>
      </c>
    </row>
    <row r="14423">
      <c r="A14423" t="n">
        <v>14422</v>
      </c>
      <c r="B14423" t="inlineStr">
        <is>
          <t>x̄MV̅CDXXII</t>
        </is>
      </c>
      <c r="C14423">
        <f>ROMAN(14422)</f>
        <v/>
      </c>
      <c r="D14423">
        <f>IF(B14423=C14423, "YES", "WRONG")</f>
        <v/>
      </c>
    </row>
    <row r="14424">
      <c r="A14424" t="n">
        <v>14423</v>
      </c>
      <c r="B14424" t="inlineStr">
        <is>
          <t>x̄MV̅CDXXIII</t>
        </is>
      </c>
      <c r="C14424">
        <f>ROMAN(14423)</f>
        <v/>
      </c>
      <c r="D14424">
        <f>IF(B14424=C14424, "YES", "WRONG")</f>
        <v/>
      </c>
    </row>
    <row r="14425">
      <c r="A14425" t="n">
        <v>14424</v>
      </c>
      <c r="B14425" t="inlineStr">
        <is>
          <t>x̄MV̅CDXXIV</t>
        </is>
      </c>
      <c r="C14425">
        <f>ROMAN(14424)</f>
        <v/>
      </c>
      <c r="D14425">
        <f>IF(B14425=C14425, "YES", "WRONG")</f>
        <v/>
      </c>
    </row>
    <row r="14426">
      <c r="A14426" t="n">
        <v>14425</v>
      </c>
      <c r="B14426" t="inlineStr">
        <is>
          <t>x̄MV̅CDXXV</t>
        </is>
      </c>
      <c r="C14426">
        <f>ROMAN(14425)</f>
        <v/>
      </c>
      <c r="D14426">
        <f>IF(B14426=C14426, "YES", "WRONG")</f>
        <v/>
      </c>
    </row>
    <row r="14427">
      <c r="A14427" t="n">
        <v>14426</v>
      </c>
      <c r="B14427" t="inlineStr">
        <is>
          <t>x̄MV̅CDXXVI</t>
        </is>
      </c>
      <c r="C14427">
        <f>ROMAN(14426)</f>
        <v/>
      </c>
      <c r="D14427">
        <f>IF(B14427=C14427, "YES", "WRONG")</f>
        <v/>
      </c>
    </row>
    <row r="14428">
      <c r="A14428" t="n">
        <v>14427</v>
      </c>
      <c r="B14428" t="inlineStr">
        <is>
          <t>x̄MV̅CDXXVII</t>
        </is>
      </c>
      <c r="C14428">
        <f>ROMAN(14427)</f>
        <v/>
      </c>
      <c r="D14428">
        <f>IF(B14428=C14428, "YES", "WRONG")</f>
        <v/>
      </c>
    </row>
    <row r="14429">
      <c r="A14429" t="n">
        <v>14428</v>
      </c>
      <c r="B14429" t="inlineStr">
        <is>
          <t>x̄MV̅CDXXVIII</t>
        </is>
      </c>
      <c r="C14429">
        <f>ROMAN(14428)</f>
        <v/>
      </c>
      <c r="D14429">
        <f>IF(B14429=C14429, "YES", "WRONG")</f>
        <v/>
      </c>
    </row>
    <row r="14430">
      <c r="A14430" t="n">
        <v>14429</v>
      </c>
      <c r="B14430" t="inlineStr">
        <is>
          <t>x̄MV̅CDXXIX</t>
        </is>
      </c>
      <c r="C14430">
        <f>ROMAN(14429)</f>
        <v/>
      </c>
      <c r="D14430">
        <f>IF(B14430=C14430, "YES", "WRONG")</f>
        <v/>
      </c>
    </row>
    <row r="14431">
      <c r="A14431" t="n">
        <v>14430</v>
      </c>
      <c r="B14431" t="inlineStr">
        <is>
          <t>x̄MV̅CDXXX</t>
        </is>
      </c>
      <c r="C14431">
        <f>ROMAN(14430)</f>
        <v/>
      </c>
      <c r="D14431">
        <f>IF(B14431=C14431, "YES", "WRONG")</f>
        <v/>
      </c>
    </row>
    <row r="14432">
      <c r="A14432" t="n">
        <v>14431</v>
      </c>
      <c r="B14432" t="inlineStr">
        <is>
          <t>x̄MV̅CDXXXI</t>
        </is>
      </c>
      <c r="C14432">
        <f>ROMAN(14431)</f>
        <v/>
      </c>
      <c r="D14432">
        <f>IF(B14432=C14432, "YES", "WRONG")</f>
        <v/>
      </c>
    </row>
    <row r="14433">
      <c r="A14433" t="n">
        <v>14432</v>
      </c>
      <c r="B14433" t="inlineStr">
        <is>
          <t>x̄MV̅CDXXXII</t>
        </is>
      </c>
      <c r="C14433">
        <f>ROMAN(14432)</f>
        <v/>
      </c>
      <c r="D14433">
        <f>IF(B14433=C14433, "YES", "WRONG")</f>
        <v/>
      </c>
    </row>
    <row r="14434">
      <c r="A14434" t="n">
        <v>14433</v>
      </c>
      <c r="B14434" t="inlineStr">
        <is>
          <t>x̄MV̅CDXXXIII</t>
        </is>
      </c>
      <c r="C14434">
        <f>ROMAN(14433)</f>
        <v/>
      </c>
      <c r="D14434">
        <f>IF(B14434=C14434, "YES", "WRONG")</f>
        <v/>
      </c>
    </row>
    <row r="14435">
      <c r="A14435" t="n">
        <v>14434</v>
      </c>
      <c r="B14435" t="inlineStr">
        <is>
          <t>x̄MV̅CDXXXIV</t>
        </is>
      </c>
      <c r="C14435">
        <f>ROMAN(14434)</f>
        <v/>
      </c>
      <c r="D14435">
        <f>IF(B14435=C14435, "YES", "WRONG")</f>
        <v/>
      </c>
    </row>
    <row r="14436">
      <c r="A14436" t="n">
        <v>14435</v>
      </c>
      <c r="B14436" t="inlineStr">
        <is>
          <t>x̄MV̅CDXXXV</t>
        </is>
      </c>
      <c r="C14436">
        <f>ROMAN(14435)</f>
        <v/>
      </c>
      <c r="D14436">
        <f>IF(B14436=C14436, "YES", "WRONG")</f>
        <v/>
      </c>
    </row>
    <row r="14437">
      <c r="A14437" t="n">
        <v>14436</v>
      </c>
      <c r="B14437" t="inlineStr">
        <is>
          <t>x̄MV̅CDXXXVI</t>
        </is>
      </c>
      <c r="C14437">
        <f>ROMAN(14436)</f>
        <v/>
      </c>
      <c r="D14437">
        <f>IF(B14437=C14437, "YES", "WRONG")</f>
        <v/>
      </c>
    </row>
    <row r="14438">
      <c r="A14438" t="n">
        <v>14437</v>
      </c>
      <c r="B14438" t="inlineStr">
        <is>
          <t>x̄MV̅CDXXXVII</t>
        </is>
      </c>
      <c r="C14438">
        <f>ROMAN(14437)</f>
        <v/>
      </c>
      <c r="D14438">
        <f>IF(B14438=C14438, "YES", "WRONG")</f>
        <v/>
      </c>
    </row>
    <row r="14439">
      <c r="A14439" t="n">
        <v>14438</v>
      </c>
      <c r="B14439" t="inlineStr">
        <is>
          <t>x̄MV̅CDXXXVIII</t>
        </is>
      </c>
      <c r="C14439">
        <f>ROMAN(14438)</f>
        <v/>
      </c>
      <c r="D14439">
        <f>IF(B14439=C14439, "YES", "WRONG")</f>
        <v/>
      </c>
    </row>
    <row r="14440">
      <c r="A14440" t="n">
        <v>14439</v>
      </c>
      <c r="B14440" t="inlineStr">
        <is>
          <t>x̄MV̅CDXXXIX</t>
        </is>
      </c>
      <c r="C14440">
        <f>ROMAN(14439)</f>
        <v/>
      </c>
      <c r="D14440">
        <f>IF(B14440=C14440, "YES", "WRONG")</f>
        <v/>
      </c>
    </row>
    <row r="14441">
      <c r="A14441" t="n">
        <v>14440</v>
      </c>
      <c r="B14441" t="inlineStr">
        <is>
          <t>x̄MV̅CDXL</t>
        </is>
      </c>
      <c r="C14441">
        <f>ROMAN(14440)</f>
        <v/>
      </c>
      <c r="D14441">
        <f>IF(B14441=C14441, "YES", "WRONG")</f>
        <v/>
      </c>
    </row>
    <row r="14442">
      <c r="A14442" t="n">
        <v>14441</v>
      </c>
      <c r="B14442" t="inlineStr">
        <is>
          <t>x̄MV̅CDXLI</t>
        </is>
      </c>
      <c r="C14442">
        <f>ROMAN(14441)</f>
        <v/>
      </c>
      <c r="D14442">
        <f>IF(B14442=C14442, "YES", "WRONG")</f>
        <v/>
      </c>
    </row>
    <row r="14443">
      <c r="A14443" t="n">
        <v>14442</v>
      </c>
      <c r="B14443" t="inlineStr">
        <is>
          <t>x̄MV̅CDXLII</t>
        </is>
      </c>
      <c r="C14443">
        <f>ROMAN(14442)</f>
        <v/>
      </c>
      <c r="D14443">
        <f>IF(B14443=C14443, "YES", "WRONG")</f>
        <v/>
      </c>
    </row>
    <row r="14444">
      <c r="A14444" t="n">
        <v>14443</v>
      </c>
      <c r="B14444" t="inlineStr">
        <is>
          <t>x̄MV̅CDXLIII</t>
        </is>
      </c>
      <c r="C14444">
        <f>ROMAN(14443)</f>
        <v/>
      </c>
      <c r="D14444">
        <f>IF(B14444=C14444, "YES", "WRONG")</f>
        <v/>
      </c>
    </row>
    <row r="14445">
      <c r="A14445" t="n">
        <v>14444</v>
      </c>
      <c r="B14445" t="inlineStr">
        <is>
          <t>x̄MV̅CDXLIV</t>
        </is>
      </c>
      <c r="C14445">
        <f>ROMAN(14444)</f>
        <v/>
      </c>
      <c r="D14445">
        <f>IF(B14445=C14445, "YES", "WRONG")</f>
        <v/>
      </c>
    </row>
    <row r="14446">
      <c r="A14446" t="n">
        <v>14445</v>
      </c>
      <c r="B14446" t="inlineStr">
        <is>
          <t>x̄MV̅CDXLV</t>
        </is>
      </c>
      <c r="C14446">
        <f>ROMAN(14445)</f>
        <v/>
      </c>
      <c r="D14446">
        <f>IF(B14446=C14446, "YES", "WRONG")</f>
        <v/>
      </c>
    </row>
    <row r="14447">
      <c r="A14447" t="n">
        <v>14446</v>
      </c>
      <c r="B14447" t="inlineStr">
        <is>
          <t>x̄MV̅CDXLVI</t>
        </is>
      </c>
      <c r="C14447">
        <f>ROMAN(14446)</f>
        <v/>
      </c>
      <c r="D14447">
        <f>IF(B14447=C14447, "YES", "WRONG")</f>
        <v/>
      </c>
    </row>
    <row r="14448">
      <c r="A14448" t="n">
        <v>14447</v>
      </c>
      <c r="B14448" t="inlineStr">
        <is>
          <t>x̄MV̅CDXLVII</t>
        </is>
      </c>
      <c r="C14448">
        <f>ROMAN(14447)</f>
        <v/>
      </c>
      <c r="D14448">
        <f>IF(B14448=C14448, "YES", "WRONG")</f>
        <v/>
      </c>
    </row>
    <row r="14449">
      <c r="A14449" t="n">
        <v>14448</v>
      </c>
      <c r="B14449" t="inlineStr">
        <is>
          <t>x̄MV̅CDXLVIII</t>
        </is>
      </c>
      <c r="C14449">
        <f>ROMAN(14448)</f>
        <v/>
      </c>
      <c r="D14449">
        <f>IF(B14449=C14449, "YES", "WRONG")</f>
        <v/>
      </c>
    </row>
    <row r="14450">
      <c r="A14450" t="n">
        <v>14449</v>
      </c>
      <c r="B14450" t="inlineStr">
        <is>
          <t>x̄MV̅CDXLIX</t>
        </is>
      </c>
      <c r="C14450">
        <f>ROMAN(14449)</f>
        <v/>
      </c>
      <c r="D14450">
        <f>IF(B14450=C14450, "YES", "WRONG")</f>
        <v/>
      </c>
    </row>
    <row r="14451">
      <c r="A14451" t="n">
        <v>14450</v>
      </c>
      <c r="B14451" t="inlineStr">
        <is>
          <t>x̄MV̅CDL</t>
        </is>
      </c>
      <c r="C14451">
        <f>ROMAN(14450)</f>
        <v/>
      </c>
      <c r="D14451">
        <f>IF(B14451=C14451, "YES", "WRONG")</f>
        <v/>
      </c>
    </row>
    <row r="14452">
      <c r="A14452" t="n">
        <v>14451</v>
      </c>
      <c r="B14452" t="inlineStr">
        <is>
          <t>x̄MV̅CDLI</t>
        </is>
      </c>
      <c r="C14452">
        <f>ROMAN(14451)</f>
        <v/>
      </c>
      <c r="D14452">
        <f>IF(B14452=C14452, "YES", "WRONG")</f>
        <v/>
      </c>
    </row>
    <row r="14453">
      <c r="A14453" t="n">
        <v>14452</v>
      </c>
      <c r="B14453" t="inlineStr">
        <is>
          <t>x̄MV̅CDLII</t>
        </is>
      </c>
      <c r="C14453">
        <f>ROMAN(14452)</f>
        <v/>
      </c>
      <c r="D14453">
        <f>IF(B14453=C14453, "YES", "WRONG")</f>
        <v/>
      </c>
    </row>
    <row r="14454">
      <c r="A14454" t="n">
        <v>14453</v>
      </c>
      <c r="B14454" t="inlineStr">
        <is>
          <t>x̄MV̅CDLIII</t>
        </is>
      </c>
      <c r="C14454">
        <f>ROMAN(14453)</f>
        <v/>
      </c>
      <c r="D14454">
        <f>IF(B14454=C14454, "YES", "WRONG")</f>
        <v/>
      </c>
    </row>
    <row r="14455">
      <c r="A14455" t="n">
        <v>14454</v>
      </c>
      <c r="B14455" t="inlineStr">
        <is>
          <t>x̄MV̅CDLIV</t>
        </is>
      </c>
      <c r="C14455">
        <f>ROMAN(14454)</f>
        <v/>
      </c>
      <c r="D14455">
        <f>IF(B14455=C14455, "YES", "WRONG")</f>
        <v/>
      </c>
    </row>
    <row r="14456">
      <c r="A14456" t="n">
        <v>14455</v>
      </c>
      <c r="B14456" t="inlineStr">
        <is>
          <t>x̄MV̅CDLV</t>
        </is>
      </c>
      <c r="C14456">
        <f>ROMAN(14455)</f>
        <v/>
      </c>
      <c r="D14456">
        <f>IF(B14456=C14456, "YES", "WRONG")</f>
        <v/>
      </c>
    </row>
    <row r="14457">
      <c r="A14457" t="n">
        <v>14456</v>
      </c>
      <c r="B14457" t="inlineStr">
        <is>
          <t>x̄MV̅CDLVI</t>
        </is>
      </c>
      <c r="C14457">
        <f>ROMAN(14456)</f>
        <v/>
      </c>
      <c r="D14457">
        <f>IF(B14457=C14457, "YES", "WRONG")</f>
        <v/>
      </c>
    </row>
    <row r="14458">
      <c r="A14458" t="n">
        <v>14457</v>
      </c>
      <c r="B14458" t="inlineStr">
        <is>
          <t>x̄MV̅CDLVII</t>
        </is>
      </c>
      <c r="C14458">
        <f>ROMAN(14457)</f>
        <v/>
      </c>
      <c r="D14458">
        <f>IF(B14458=C14458, "YES", "WRONG")</f>
        <v/>
      </c>
    </row>
    <row r="14459">
      <c r="A14459" t="n">
        <v>14458</v>
      </c>
      <c r="B14459" t="inlineStr">
        <is>
          <t>x̄MV̅CDLVIII</t>
        </is>
      </c>
      <c r="C14459">
        <f>ROMAN(14458)</f>
        <v/>
      </c>
      <c r="D14459">
        <f>IF(B14459=C14459, "YES", "WRONG")</f>
        <v/>
      </c>
    </row>
    <row r="14460">
      <c r="A14460" t="n">
        <v>14459</v>
      </c>
      <c r="B14460" t="inlineStr">
        <is>
          <t>x̄MV̅CDLIX</t>
        </is>
      </c>
      <c r="C14460">
        <f>ROMAN(14459)</f>
        <v/>
      </c>
      <c r="D14460">
        <f>IF(B14460=C14460, "YES", "WRONG")</f>
        <v/>
      </c>
    </row>
    <row r="14461">
      <c r="A14461" t="n">
        <v>14460</v>
      </c>
      <c r="B14461" t="inlineStr">
        <is>
          <t>x̄MV̅CDLX</t>
        </is>
      </c>
      <c r="C14461">
        <f>ROMAN(14460)</f>
        <v/>
      </c>
      <c r="D14461">
        <f>IF(B14461=C14461, "YES", "WRONG")</f>
        <v/>
      </c>
    </row>
    <row r="14462">
      <c r="A14462" t="n">
        <v>14461</v>
      </c>
      <c r="B14462" t="inlineStr">
        <is>
          <t>x̄MV̅CDLXI</t>
        </is>
      </c>
      <c r="C14462">
        <f>ROMAN(14461)</f>
        <v/>
      </c>
      <c r="D14462">
        <f>IF(B14462=C14462, "YES", "WRONG")</f>
        <v/>
      </c>
    </row>
    <row r="14463">
      <c r="A14463" t="n">
        <v>14462</v>
      </c>
      <c r="B14463" t="inlineStr">
        <is>
          <t>x̄MV̅CDLXII</t>
        </is>
      </c>
      <c r="C14463">
        <f>ROMAN(14462)</f>
        <v/>
      </c>
      <c r="D14463">
        <f>IF(B14463=C14463, "YES", "WRONG")</f>
        <v/>
      </c>
    </row>
    <row r="14464">
      <c r="A14464" t="n">
        <v>14463</v>
      </c>
      <c r="B14464" t="inlineStr">
        <is>
          <t>x̄MV̅CDLXIII</t>
        </is>
      </c>
      <c r="C14464">
        <f>ROMAN(14463)</f>
        <v/>
      </c>
      <c r="D14464">
        <f>IF(B14464=C14464, "YES", "WRONG")</f>
        <v/>
      </c>
    </row>
    <row r="14465">
      <c r="A14465" t="n">
        <v>14464</v>
      </c>
      <c r="B14465" t="inlineStr">
        <is>
          <t>x̄MV̅CDLXIV</t>
        </is>
      </c>
      <c r="C14465">
        <f>ROMAN(14464)</f>
        <v/>
      </c>
      <c r="D14465">
        <f>IF(B14465=C14465, "YES", "WRONG")</f>
        <v/>
      </c>
    </row>
    <row r="14466">
      <c r="A14466" t="n">
        <v>14465</v>
      </c>
      <c r="B14466" t="inlineStr">
        <is>
          <t>x̄MV̅CDLXV</t>
        </is>
      </c>
      <c r="C14466">
        <f>ROMAN(14465)</f>
        <v/>
      </c>
      <c r="D14466">
        <f>IF(B14466=C14466, "YES", "WRONG")</f>
        <v/>
      </c>
    </row>
    <row r="14467">
      <c r="A14467" t="n">
        <v>14466</v>
      </c>
      <c r="B14467" t="inlineStr">
        <is>
          <t>x̄MV̅CDLXVI</t>
        </is>
      </c>
      <c r="C14467">
        <f>ROMAN(14466)</f>
        <v/>
      </c>
      <c r="D14467">
        <f>IF(B14467=C14467, "YES", "WRONG")</f>
        <v/>
      </c>
    </row>
    <row r="14468">
      <c r="A14468" t="n">
        <v>14467</v>
      </c>
      <c r="B14468" t="inlineStr">
        <is>
          <t>x̄MV̅CDLXVII</t>
        </is>
      </c>
      <c r="C14468">
        <f>ROMAN(14467)</f>
        <v/>
      </c>
      <c r="D14468">
        <f>IF(B14468=C14468, "YES", "WRONG")</f>
        <v/>
      </c>
    </row>
    <row r="14469">
      <c r="A14469" t="n">
        <v>14468</v>
      </c>
      <c r="B14469" t="inlineStr">
        <is>
          <t>x̄MV̅CDLXVIII</t>
        </is>
      </c>
      <c r="C14469">
        <f>ROMAN(14468)</f>
        <v/>
      </c>
      <c r="D14469">
        <f>IF(B14469=C14469, "YES", "WRONG")</f>
        <v/>
      </c>
    </row>
    <row r="14470">
      <c r="A14470" t="n">
        <v>14469</v>
      </c>
      <c r="B14470" t="inlineStr">
        <is>
          <t>x̄MV̅CDLXIX</t>
        </is>
      </c>
      <c r="C14470">
        <f>ROMAN(14469)</f>
        <v/>
      </c>
      <c r="D14470">
        <f>IF(B14470=C14470, "YES", "WRONG")</f>
        <v/>
      </c>
    </row>
    <row r="14471">
      <c r="A14471" t="n">
        <v>14470</v>
      </c>
      <c r="B14471" t="inlineStr">
        <is>
          <t>x̄MV̅CDLXX</t>
        </is>
      </c>
      <c r="C14471">
        <f>ROMAN(14470)</f>
        <v/>
      </c>
      <c r="D14471">
        <f>IF(B14471=C14471, "YES", "WRONG")</f>
        <v/>
      </c>
    </row>
    <row r="14472">
      <c r="A14472" t="n">
        <v>14471</v>
      </c>
      <c r="B14472" t="inlineStr">
        <is>
          <t>x̄MV̅CDLXXI</t>
        </is>
      </c>
      <c r="C14472">
        <f>ROMAN(14471)</f>
        <v/>
      </c>
      <c r="D14472">
        <f>IF(B14472=C14472, "YES", "WRONG")</f>
        <v/>
      </c>
    </row>
    <row r="14473">
      <c r="A14473" t="n">
        <v>14472</v>
      </c>
      <c r="B14473" t="inlineStr">
        <is>
          <t>x̄MV̅CDLXXII</t>
        </is>
      </c>
      <c r="C14473">
        <f>ROMAN(14472)</f>
        <v/>
      </c>
      <c r="D14473">
        <f>IF(B14473=C14473, "YES", "WRONG")</f>
        <v/>
      </c>
    </row>
    <row r="14474">
      <c r="A14474" t="n">
        <v>14473</v>
      </c>
      <c r="B14474" t="inlineStr">
        <is>
          <t>x̄MV̅CDLXXIII</t>
        </is>
      </c>
      <c r="C14474">
        <f>ROMAN(14473)</f>
        <v/>
      </c>
      <c r="D14474">
        <f>IF(B14474=C14474, "YES", "WRONG")</f>
        <v/>
      </c>
    </row>
    <row r="14475">
      <c r="A14475" t="n">
        <v>14474</v>
      </c>
      <c r="B14475" t="inlineStr">
        <is>
          <t>x̄MV̅CDLXXIV</t>
        </is>
      </c>
      <c r="C14475">
        <f>ROMAN(14474)</f>
        <v/>
      </c>
      <c r="D14475">
        <f>IF(B14475=C14475, "YES", "WRONG")</f>
        <v/>
      </c>
    </row>
    <row r="14476">
      <c r="A14476" t="n">
        <v>14475</v>
      </c>
      <c r="B14476" t="inlineStr">
        <is>
          <t>x̄MV̅CDLXXV</t>
        </is>
      </c>
      <c r="C14476">
        <f>ROMAN(14475)</f>
        <v/>
      </c>
      <c r="D14476">
        <f>IF(B14476=C14476, "YES", "WRONG")</f>
        <v/>
      </c>
    </row>
    <row r="14477">
      <c r="A14477" t="n">
        <v>14476</v>
      </c>
      <c r="B14477" t="inlineStr">
        <is>
          <t>x̄MV̅CDLXXVI</t>
        </is>
      </c>
      <c r="C14477">
        <f>ROMAN(14476)</f>
        <v/>
      </c>
      <c r="D14477">
        <f>IF(B14477=C14477, "YES", "WRONG")</f>
        <v/>
      </c>
    </row>
    <row r="14478">
      <c r="A14478" t="n">
        <v>14477</v>
      </c>
      <c r="B14478" t="inlineStr">
        <is>
          <t>x̄MV̅CDLXXVII</t>
        </is>
      </c>
      <c r="C14478">
        <f>ROMAN(14477)</f>
        <v/>
      </c>
      <c r="D14478">
        <f>IF(B14478=C14478, "YES", "WRONG")</f>
        <v/>
      </c>
    </row>
    <row r="14479">
      <c r="A14479" t="n">
        <v>14478</v>
      </c>
      <c r="B14479" t="inlineStr">
        <is>
          <t>x̄MV̅CDLXXVIII</t>
        </is>
      </c>
      <c r="C14479">
        <f>ROMAN(14478)</f>
        <v/>
      </c>
      <c r="D14479">
        <f>IF(B14479=C14479, "YES", "WRONG")</f>
        <v/>
      </c>
    </row>
    <row r="14480">
      <c r="A14480" t="n">
        <v>14479</v>
      </c>
      <c r="B14480" t="inlineStr">
        <is>
          <t>x̄MV̅CDLXXIX</t>
        </is>
      </c>
      <c r="C14480">
        <f>ROMAN(14479)</f>
        <v/>
      </c>
      <c r="D14480">
        <f>IF(B14480=C14480, "YES", "WRONG")</f>
        <v/>
      </c>
    </row>
    <row r="14481">
      <c r="A14481" t="n">
        <v>14480</v>
      </c>
      <c r="B14481" t="inlineStr">
        <is>
          <t>x̄MV̅CDLXXX</t>
        </is>
      </c>
      <c r="C14481">
        <f>ROMAN(14480)</f>
        <v/>
      </c>
      <c r="D14481">
        <f>IF(B14481=C14481, "YES", "WRONG")</f>
        <v/>
      </c>
    </row>
    <row r="14482">
      <c r="A14482" t="n">
        <v>14481</v>
      </c>
      <c r="B14482" t="inlineStr">
        <is>
          <t>x̄MV̅CDLXXXI</t>
        </is>
      </c>
      <c r="C14482">
        <f>ROMAN(14481)</f>
        <v/>
      </c>
      <c r="D14482">
        <f>IF(B14482=C14482, "YES", "WRONG")</f>
        <v/>
      </c>
    </row>
    <row r="14483">
      <c r="A14483" t="n">
        <v>14482</v>
      </c>
      <c r="B14483" t="inlineStr">
        <is>
          <t>x̄MV̅CDLXXXII</t>
        </is>
      </c>
      <c r="C14483">
        <f>ROMAN(14482)</f>
        <v/>
      </c>
      <c r="D14483">
        <f>IF(B14483=C14483, "YES", "WRONG")</f>
        <v/>
      </c>
    </row>
    <row r="14484">
      <c r="A14484" t="n">
        <v>14483</v>
      </c>
      <c r="B14484" t="inlineStr">
        <is>
          <t>x̄MV̅CDLXXXIII</t>
        </is>
      </c>
      <c r="C14484">
        <f>ROMAN(14483)</f>
        <v/>
      </c>
      <c r="D14484">
        <f>IF(B14484=C14484, "YES", "WRONG")</f>
        <v/>
      </c>
    </row>
    <row r="14485">
      <c r="A14485" t="n">
        <v>14484</v>
      </c>
      <c r="B14485" t="inlineStr">
        <is>
          <t>x̄MV̅CDLXXXIV</t>
        </is>
      </c>
      <c r="C14485">
        <f>ROMAN(14484)</f>
        <v/>
      </c>
      <c r="D14485">
        <f>IF(B14485=C14485, "YES", "WRONG")</f>
        <v/>
      </c>
    </row>
    <row r="14486">
      <c r="A14486" t="n">
        <v>14485</v>
      </c>
      <c r="B14486" t="inlineStr">
        <is>
          <t>x̄MV̅CDLXXXV</t>
        </is>
      </c>
      <c r="C14486">
        <f>ROMAN(14485)</f>
        <v/>
      </c>
      <c r="D14486">
        <f>IF(B14486=C14486, "YES", "WRONG")</f>
        <v/>
      </c>
    </row>
    <row r="14487">
      <c r="A14487" t="n">
        <v>14486</v>
      </c>
      <c r="B14487" t="inlineStr">
        <is>
          <t>x̄MV̅CDLXXXVI</t>
        </is>
      </c>
      <c r="C14487">
        <f>ROMAN(14486)</f>
        <v/>
      </c>
      <c r="D14487">
        <f>IF(B14487=C14487, "YES", "WRONG")</f>
        <v/>
      </c>
    </row>
    <row r="14488">
      <c r="A14488" t="n">
        <v>14487</v>
      </c>
      <c r="B14488" t="inlineStr">
        <is>
          <t>x̄MV̅CDLXXXVII</t>
        </is>
      </c>
      <c r="C14488">
        <f>ROMAN(14487)</f>
        <v/>
      </c>
      <c r="D14488">
        <f>IF(B14488=C14488, "YES", "WRONG")</f>
        <v/>
      </c>
    </row>
    <row r="14489">
      <c r="A14489" t="n">
        <v>14488</v>
      </c>
      <c r="B14489" t="inlineStr">
        <is>
          <t>x̄MV̅CDLXXXVIII</t>
        </is>
      </c>
      <c r="C14489">
        <f>ROMAN(14488)</f>
        <v/>
      </c>
      <c r="D14489">
        <f>IF(B14489=C14489, "YES", "WRONG")</f>
        <v/>
      </c>
    </row>
    <row r="14490">
      <c r="A14490" t="n">
        <v>14489</v>
      </c>
      <c r="B14490" t="inlineStr">
        <is>
          <t>x̄MV̅CDLXXXIX</t>
        </is>
      </c>
      <c r="C14490">
        <f>ROMAN(14489)</f>
        <v/>
      </c>
      <c r="D14490">
        <f>IF(B14490=C14490, "YES", "WRONG")</f>
        <v/>
      </c>
    </row>
    <row r="14491">
      <c r="A14491" t="n">
        <v>14490</v>
      </c>
      <c r="B14491" t="inlineStr">
        <is>
          <t>x̄MV̅CDXC</t>
        </is>
      </c>
      <c r="C14491">
        <f>ROMAN(14490)</f>
        <v/>
      </c>
      <c r="D14491">
        <f>IF(B14491=C14491, "YES", "WRONG")</f>
        <v/>
      </c>
    </row>
    <row r="14492">
      <c r="A14492" t="n">
        <v>14491</v>
      </c>
      <c r="B14492" t="inlineStr">
        <is>
          <t>x̄MV̅CDXCI</t>
        </is>
      </c>
      <c r="C14492">
        <f>ROMAN(14491)</f>
        <v/>
      </c>
      <c r="D14492">
        <f>IF(B14492=C14492, "YES", "WRONG")</f>
        <v/>
      </c>
    </row>
    <row r="14493">
      <c r="A14493" t="n">
        <v>14492</v>
      </c>
      <c r="B14493" t="inlineStr">
        <is>
          <t>x̄MV̅CDXCII</t>
        </is>
      </c>
      <c r="C14493">
        <f>ROMAN(14492)</f>
        <v/>
      </c>
      <c r="D14493">
        <f>IF(B14493=C14493, "YES", "WRONG")</f>
        <v/>
      </c>
    </row>
    <row r="14494">
      <c r="A14494" t="n">
        <v>14493</v>
      </c>
      <c r="B14494" t="inlineStr">
        <is>
          <t>x̄MV̅CDXCIII</t>
        </is>
      </c>
      <c r="C14494">
        <f>ROMAN(14493)</f>
        <v/>
      </c>
      <c r="D14494">
        <f>IF(B14494=C14494, "YES", "WRONG")</f>
        <v/>
      </c>
    </row>
    <row r="14495">
      <c r="A14495" t="n">
        <v>14494</v>
      </c>
      <c r="B14495" t="inlineStr">
        <is>
          <t>x̄MV̅CDXCIV</t>
        </is>
      </c>
      <c r="C14495">
        <f>ROMAN(14494)</f>
        <v/>
      </c>
      <c r="D14495">
        <f>IF(B14495=C14495, "YES", "WRONG")</f>
        <v/>
      </c>
    </row>
    <row r="14496">
      <c r="A14496" t="n">
        <v>14495</v>
      </c>
      <c r="B14496" t="inlineStr">
        <is>
          <t>x̄MV̅CDXCV</t>
        </is>
      </c>
      <c r="C14496">
        <f>ROMAN(14495)</f>
        <v/>
      </c>
      <c r="D14496">
        <f>IF(B14496=C14496, "YES", "WRONG")</f>
        <v/>
      </c>
    </row>
    <row r="14497">
      <c r="A14497" t="n">
        <v>14496</v>
      </c>
      <c r="B14497" t="inlineStr">
        <is>
          <t>x̄MV̅CDXCVI</t>
        </is>
      </c>
      <c r="C14497">
        <f>ROMAN(14496)</f>
        <v/>
      </c>
      <c r="D14497">
        <f>IF(B14497=C14497, "YES", "WRONG")</f>
        <v/>
      </c>
    </row>
    <row r="14498">
      <c r="A14498" t="n">
        <v>14497</v>
      </c>
      <c r="B14498" t="inlineStr">
        <is>
          <t>x̄MV̅CDXCVII</t>
        </is>
      </c>
      <c r="C14498">
        <f>ROMAN(14497)</f>
        <v/>
      </c>
      <c r="D14498">
        <f>IF(B14498=C14498, "YES", "WRONG")</f>
        <v/>
      </c>
    </row>
    <row r="14499">
      <c r="A14499" t="n">
        <v>14498</v>
      </c>
      <c r="B14499" t="inlineStr">
        <is>
          <t>x̄MV̅CDXCVIII</t>
        </is>
      </c>
      <c r="C14499">
        <f>ROMAN(14498)</f>
        <v/>
      </c>
      <c r="D14499">
        <f>IF(B14499=C14499, "YES", "WRONG")</f>
        <v/>
      </c>
    </row>
    <row r="14500">
      <c r="A14500" t="n">
        <v>14499</v>
      </c>
      <c r="B14500" t="inlineStr">
        <is>
          <t>x̄MV̅CDXCIX</t>
        </is>
      </c>
      <c r="C14500">
        <f>ROMAN(14499)</f>
        <v/>
      </c>
      <c r="D14500">
        <f>IF(B14500=C14500, "YES", "WRONG")</f>
        <v/>
      </c>
    </row>
    <row r="14501">
      <c r="A14501" t="n">
        <v>14500</v>
      </c>
      <c r="B14501" t="inlineStr">
        <is>
          <t>x̄MV̅D</t>
        </is>
      </c>
      <c r="C14501">
        <f>ROMAN(14500)</f>
        <v/>
      </c>
      <c r="D14501">
        <f>IF(B14501=C14501, "YES", "WRONG")</f>
        <v/>
      </c>
    </row>
    <row r="14502">
      <c r="A14502" t="n">
        <v>14501</v>
      </c>
      <c r="B14502" t="inlineStr">
        <is>
          <t>x̄MV̅DI</t>
        </is>
      </c>
      <c r="C14502">
        <f>ROMAN(14501)</f>
        <v/>
      </c>
      <c r="D14502">
        <f>IF(B14502=C14502, "YES", "WRONG")</f>
        <v/>
      </c>
    </row>
    <row r="14503">
      <c r="A14503" t="n">
        <v>14502</v>
      </c>
      <c r="B14503" t="inlineStr">
        <is>
          <t>x̄MV̅DII</t>
        </is>
      </c>
      <c r="C14503">
        <f>ROMAN(14502)</f>
        <v/>
      </c>
      <c r="D14503">
        <f>IF(B14503=C14503, "YES", "WRONG")</f>
        <v/>
      </c>
    </row>
    <row r="14504">
      <c r="A14504" t="n">
        <v>14503</v>
      </c>
      <c r="B14504" t="inlineStr">
        <is>
          <t>x̄MV̅DIII</t>
        </is>
      </c>
      <c r="C14504">
        <f>ROMAN(14503)</f>
        <v/>
      </c>
      <c r="D14504">
        <f>IF(B14504=C14504, "YES", "WRONG")</f>
        <v/>
      </c>
    </row>
    <row r="14505">
      <c r="A14505" t="n">
        <v>14504</v>
      </c>
      <c r="B14505" t="inlineStr">
        <is>
          <t>x̄MV̅DIV</t>
        </is>
      </c>
      <c r="C14505">
        <f>ROMAN(14504)</f>
        <v/>
      </c>
      <c r="D14505">
        <f>IF(B14505=C14505, "YES", "WRONG")</f>
        <v/>
      </c>
    </row>
    <row r="14506">
      <c r="A14506" t="n">
        <v>14505</v>
      </c>
      <c r="B14506" t="inlineStr">
        <is>
          <t>x̄MV̅DV</t>
        </is>
      </c>
      <c r="C14506">
        <f>ROMAN(14505)</f>
        <v/>
      </c>
      <c r="D14506">
        <f>IF(B14506=C14506, "YES", "WRONG")</f>
        <v/>
      </c>
    </row>
    <row r="14507">
      <c r="A14507" t="n">
        <v>14506</v>
      </c>
      <c r="B14507" t="inlineStr">
        <is>
          <t>x̄MV̅DVI</t>
        </is>
      </c>
      <c r="C14507">
        <f>ROMAN(14506)</f>
        <v/>
      </c>
      <c r="D14507">
        <f>IF(B14507=C14507, "YES", "WRONG")</f>
        <v/>
      </c>
    </row>
    <row r="14508">
      <c r="A14508" t="n">
        <v>14507</v>
      </c>
      <c r="B14508" t="inlineStr">
        <is>
          <t>x̄MV̅DVII</t>
        </is>
      </c>
      <c r="C14508">
        <f>ROMAN(14507)</f>
        <v/>
      </c>
      <c r="D14508">
        <f>IF(B14508=C14508, "YES", "WRONG")</f>
        <v/>
      </c>
    </row>
    <row r="14509">
      <c r="A14509" t="n">
        <v>14508</v>
      </c>
      <c r="B14509" t="inlineStr">
        <is>
          <t>x̄MV̅DVIII</t>
        </is>
      </c>
      <c r="C14509">
        <f>ROMAN(14508)</f>
        <v/>
      </c>
      <c r="D14509">
        <f>IF(B14509=C14509, "YES", "WRONG")</f>
        <v/>
      </c>
    </row>
    <row r="14510">
      <c r="A14510" t="n">
        <v>14509</v>
      </c>
      <c r="B14510" t="inlineStr">
        <is>
          <t>x̄MV̅DIX</t>
        </is>
      </c>
      <c r="C14510">
        <f>ROMAN(14509)</f>
        <v/>
      </c>
      <c r="D14510">
        <f>IF(B14510=C14510, "YES", "WRONG")</f>
        <v/>
      </c>
    </row>
    <row r="14511">
      <c r="A14511" t="n">
        <v>14510</v>
      </c>
      <c r="B14511" t="inlineStr">
        <is>
          <t>x̄MV̅DX</t>
        </is>
      </c>
      <c r="C14511">
        <f>ROMAN(14510)</f>
        <v/>
      </c>
      <c r="D14511">
        <f>IF(B14511=C14511, "YES", "WRONG")</f>
        <v/>
      </c>
    </row>
    <row r="14512">
      <c r="A14512" t="n">
        <v>14511</v>
      </c>
      <c r="B14512" t="inlineStr">
        <is>
          <t>x̄MV̅DXI</t>
        </is>
      </c>
      <c r="C14512">
        <f>ROMAN(14511)</f>
        <v/>
      </c>
      <c r="D14512">
        <f>IF(B14512=C14512, "YES", "WRONG")</f>
        <v/>
      </c>
    </row>
    <row r="14513">
      <c r="A14513" t="n">
        <v>14512</v>
      </c>
      <c r="B14513" t="inlineStr">
        <is>
          <t>x̄MV̅DXII</t>
        </is>
      </c>
      <c r="C14513">
        <f>ROMAN(14512)</f>
        <v/>
      </c>
      <c r="D14513">
        <f>IF(B14513=C14513, "YES", "WRONG")</f>
        <v/>
      </c>
    </row>
    <row r="14514">
      <c r="A14514" t="n">
        <v>14513</v>
      </c>
      <c r="B14514" t="inlineStr">
        <is>
          <t>x̄MV̅DXIII</t>
        </is>
      </c>
      <c r="C14514">
        <f>ROMAN(14513)</f>
        <v/>
      </c>
      <c r="D14514">
        <f>IF(B14514=C14514, "YES", "WRONG")</f>
        <v/>
      </c>
    </row>
    <row r="14515">
      <c r="A14515" t="n">
        <v>14514</v>
      </c>
      <c r="B14515" t="inlineStr">
        <is>
          <t>x̄MV̅DXIV</t>
        </is>
      </c>
      <c r="C14515">
        <f>ROMAN(14514)</f>
        <v/>
      </c>
      <c r="D14515">
        <f>IF(B14515=C14515, "YES", "WRONG")</f>
        <v/>
      </c>
    </row>
    <row r="14516">
      <c r="A14516" t="n">
        <v>14515</v>
      </c>
      <c r="B14516" t="inlineStr">
        <is>
          <t>x̄MV̅DXV</t>
        </is>
      </c>
      <c r="C14516">
        <f>ROMAN(14515)</f>
        <v/>
      </c>
      <c r="D14516">
        <f>IF(B14516=C14516, "YES", "WRONG")</f>
        <v/>
      </c>
    </row>
    <row r="14517">
      <c r="A14517" t="n">
        <v>14516</v>
      </c>
      <c r="B14517" t="inlineStr">
        <is>
          <t>x̄MV̅DXVI</t>
        </is>
      </c>
      <c r="C14517">
        <f>ROMAN(14516)</f>
        <v/>
      </c>
      <c r="D14517">
        <f>IF(B14517=C14517, "YES", "WRONG")</f>
        <v/>
      </c>
    </row>
    <row r="14518">
      <c r="A14518" t="n">
        <v>14517</v>
      </c>
      <c r="B14518" t="inlineStr">
        <is>
          <t>x̄MV̅DXVII</t>
        </is>
      </c>
      <c r="C14518">
        <f>ROMAN(14517)</f>
        <v/>
      </c>
      <c r="D14518">
        <f>IF(B14518=C14518, "YES", "WRONG")</f>
        <v/>
      </c>
    </row>
    <row r="14519">
      <c r="A14519" t="n">
        <v>14518</v>
      </c>
      <c r="B14519" t="inlineStr">
        <is>
          <t>x̄MV̅DXVIII</t>
        </is>
      </c>
      <c r="C14519">
        <f>ROMAN(14518)</f>
        <v/>
      </c>
      <c r="D14519">
        <f>IF(B14519=C14519, "YES", "WRONG")</f>
        <v/>
      </c>
    </row>
    <row r="14520">
      <c r="A14520" t="n">
        <v>14519</v>
      </c>
      <c r="B14520" t="inlineStr">
        <is>
          <t>x̄MV̅DXIX</t>
        </is>
      </c>
      <c r="C14520">
        <f>ROMAN(14519)</f>
        <v/>
      </c>
      <c r="D14520">
        <f>IF(B14520=C14520, "YES", "WRONG")</f>
        <v/>
      </c>
    </row>
    <row r="14521">
      <c r="A14521" t="n">
        <v>14520</v>
      </c>
      <c r="B14521" t="inlineStr">
        <is>
          <t>x̄MV̅DXX</t>
        </is>
      </c>
      <c r="C14521">
        <f>ROMAN(14520)</f>
        <v/>
      </c>
      <c r="D14521">
        <f>IF(B14521=C14521, "YES", "WRONG")</f>
        <v/>
      </c>
    </row>
    <row r="14522">
      <c r="A14522" t="n">
        <v>14521</v>
      </c>
      <c r="B14522" t="inlineStr">
        <is>
          <t>x̄MV̅DXXI</t>
        </is>
      </c>
      <c r="C14522">
        <f>ROMAN(14521)</f>
        <v/>
      </c>
      <c r="D14522">
        <f>IF(B14522=C14522, "YES", "WRONG")</f>
        <v/>
      </c>
    </row>
    <row r="14523">
      <c r="A14523" t="n">
        <v>14522</v>
      </c>
      <c r="B14523" t="inlineStr">
        <is>
          <t>x̄MV̅DXXII</t>
        </is>
      </c>
      <c r="C14523">
        <f>ROMAN(14522)</f>
        <v/>
      </c>
      <c r="D14523">
        <f>IF(B14523=C14523, "YES", "WRONG")</f>
        <v/>
      </c>
    </row>
    <row r="14524">
      <c r="A14524" t="n">
        <v>14523</v>
      </c>
      <c r="B14524" t="inlineStr">
        <is>
          <t>x̄MV̅DXXIII</t>
        </is>
      </c>
      <c r="C14524">
        <f>ROMAN(14523)</f>
        <v/>
      </c>
      <c r="D14524">
        <f>IF(B14524=C14524, "YES", "WRONG")</f>
        <v/>
      </c>
    </row>
    <row r="14525">
      <c r="A14525" t="n">
        <v>14524</v>
      </c>
      <c r="B14525" t="inlineStr">
        <is>
          <t>x̄MV̅DXXIV</t>
        </is>
      </c>
      <c r="C14525">
        <f>ROMAN(14524)</f>
        <v/>
      </c>
      <c r="D14525">
        <f>IF(B14525=C14525, "YES", "WRONG")</f>
        <v/>
      </c>
    </row>
    <row r="14526">
      <c r="A14526" t="n">
        <v>14525</v>
      </c>
      <c r="B14526" t="inlineStr">
        <is>
          <t>x̄MV̅DXXV</t>
        </is>
      </c>
      <c r="C14526">
        <f>ROMAN(14525)</f>
        <v/>
      </c>
      <c r="D14526">
        <f>IF(B14526=C14526, "YES", "WRONG")</f>
        <v/>
      </c>
    </row>
    <row r="14527">
      <c r="A14527" t="n">
        <v>14526</v>
      </c>
      <c r="B14527" t="inlineStr">
        <is>
          <t>x̄MV̅DXXVI</t>
        </is>
      </c>
      <c r="C14527">
        <f>ROMAN(14526)</f>
        <v/>
      </c>
      <c r="D14527">
        <f>IF(B14527=C14527, "YES", "WRONG")</f>
        <v/>
      </c>
    </row>
    <row r="14528">
      <c r="A14528" t="n">
        <v>14527</v>
      </c>
      <c r="B14528" t="inlineStr">
        <is>
          <t>x̄MV̅DXXVII</t>
        </is>
      </c>
      <c r="C14528">
        <f>ROMAN(14527)</f>
        <v/>
      </c>
      <c r="D14528">
        <f>IF(B14528=C14528, "YES", "WRONG")</f>
        <v/>
      </c>
    </row>
    <row r="14529">
      <c r="A14529" t="n">
        <v>14528</v>
      </c>
      <c r="B14529" t="inlineStr">
        <is>
          <t>x̄MV̅DXXVIII</t>
        </is>
      </c>
      <c r="C14529">
        <f>ROMAN(14528)</f>
        <v/>
      </c>
      <c r="D14529">
        <f>IF(B14529=C14529, "YES", "WRONG")</f>
        <v/>
      </c>
    </row>
    <row r="14530">
      <c r="A14530" t="n">
        <v>14529</v>
      </c>
      <c r="B14530" t="inlineStr">
        <is>
          <t>x̄MV̅DXXIX</t>
        </is>
      </c>
      <c r="C14530">
        <f>ROMAN(14529)</f>
        <v/>
      </c>
      <c r="D14530">
        <f>IF(B14530=C14530, "YES", "WRONG")</f>
        <v/>
      </c>
    </row>
    <row r="14531">
      <c r="A14531" t="n">
        <v>14530</v>
      </c>
      <c r="B14531" t="inlineStr">
        <is>
          <t>x̄MV̅DXXX</t>
        </is>
      </c>
      <c r="C14531">
        <f>ROMAN(14530)</f>
        <v/>
      </c>
      <c r="D14531">
        <f>IF(B14531=C14531, "YES", "WRONG")</f>
        <v/>
      </c>
    </row>
    <row r="14532">
      <c r="A14532" t="n">
        <v>14531</v>
      </c>
      <c r="B14532" t="inlineStr">
        <is>
          <t>x̄MV̅DXXXI</t>
        </is>
      </c>
      <c r="C14532">
        <f>ROMAN(14531)</f>
        <v/>
      </c>
      <c r="D14532">
        <f>IF(B14532=C14532, "YES", "WRONG")</f>
        <v/>
      </c>
    </row>
    <row r="14533">
      <c r="A14533" t="n">
        <v>14532</v>
      </c>
      <c r="B14533" t="inlineStr">
        <is>
          <t>x̄MV̅DXXXII</t>
        </is>
      </c>
      <c r="C14533">
        <f>ROMAN(14532)</f>
        <v/>
      </c>
      <c r="D14533">
        <f>IF(B14533=C14533, "YES", "WRONG")</f>
        <v/>
      </c>
    </row>
    <row r="14534">
      <c r="A14534" t="n">
        <v>14533</v>
      </c>
      <c r="B14534" t="inlineStr">
        <is>
          <t>x̄MV̅DXXXIII</t>
        </is>
      </c>
      <c r="C14534">
        <f>ROMAN(14533)</f>
        <v/>
      </c>
      <c r="D14534">
        <f>IF(B14534=C14534, "YES", "WRONG")</f>
        <v/>
      </c>
    </row>
    <row r="14535">
      <c r="A14535" t="n">
        <v>14534</v>
      </c>
      <c r="B14535" t="inlineStr">
        <is>
          <t>x̄MV̅DXXXIV</t>
        </is>
      </c>
      <c r="C14535">
        <f>ROMAN(14534)</f>
        <v/>
      </c>
      <c r="D14535">
        <f>IF(B14535=C14535, "YES", "WRONG")</f>
        <v/>
      </c>
    </row>
    <row r="14536">
      <c r="A14536" t="n">
        <v>14535</v>
      </c>
      <c r="B14536" t="inlineStr">
        <is>
          <t>x̄MV̅DXXXV</t>
        </is>
      </c>
      <c r="C14536">
        <f>ROMAN(14535)</f>
        <v/>
      </c>
      <c r="D14536">
        <f>IF(B14536=C14536, "YES", "WRONG")</f>
        <v/>
      </c>
    </row>
    <row r="14537">
      <c r="A14537" t="n">
        <v>14536</v>
      </c>
      <c r="B14537" t="inlineStr">
        <is>
          <t>x̄MV̅DXXXVI</t>
        </is>
      </c>
      <c r="C14537">
        <f>ROMAN(14536)</f>
        <v/>
      </c>
      <c r="D14537">
        <f>IF(B14537=C14537, "YES", "WRONG")</f>
        <v/>
      </c>
    </row>
    <row r="14538">
      <c r="A14538" t="n">
        <v>14537</v>
      </c>
      <c r="B14538" t="inlineStr">
        <is>
          <t>x̄MV̅DXXXVII</t>
        </is>
      </c>
      <c r="C14538">
        <f>ROMAN(14537)</f>
        <v/>
      </c>
      <c r="D14538">
        <f>IF(B14538=C14538, "YES", "WRONG")</f>
        <v/>
      </c>
    </row>
    <row r="14539">
      <c r="A14539" t="n">
        <v>14538</v>
      </c>
      <c r="B14539" t="inlineStr">
        <is>
          <t>x̄MV̅DXXXVIII</t>
        </is>
      </c>
      <c r="C14539">
        <f>ROMAN(14538)</f>
        <v/>
      </c>
      <c r="D14539">
        <f>IF(B14539=C14539, "YES", "WRONG")</f>
        <v/>
      </c>
    </row>
    <row r="14540">
      <c r="A14540" t="n">
        <v>14539</v>
      </c>
      <c r="B14540" t="inlineStr">
        <is>
          <t>x̄MV̅DXXXIX</t>
        </is>
      </c>
      <c r="C14540">
        <f>ROMAN(14539)</f>
        <v/>
      </c>
      <c r="D14540">
        <f>IF(B14540=C14540, "YES", "WRONG")</f>
        <v/>
      </c>
    </row>
    <row r="14541">
      <c r="A14541" t="n">
        <v>14540</v>
      </c>
      <c r="B14541" t="inlineStr">
        <is>
          <t>x̄MV̅DXL</t>
        </is>
      </c>
      <c r="C14541">
        <f>ROMAN(14540)</f>
        <v/>
      </c>
      <c r="D14541">
        <f>IF(B14541=C14541, "YES", "WRONG")</f>
        <v/>
      </c>
    </row>
    <row r="14542">
      <c r="A14542" t="n">
        <v>14541</v>
      </c>
      <c r="B14542" t="inlineStr">
        <is>
          <t>x̄MV̅DXLI</t>
        </is>
      </c>
      <c r="C14542">
        <f>ROMAN(14541)</f>
        <v/>
      </c>
      <c r="D14542">
        <f>IF(B14542=C14542, "YES", "WRONG")</f>
        <v/>
      </c>
    </row>
    <row r="14543">
      <c r="A14543" t="n">
        <v>14542</v>
      </c>
      <c r="B14543" t="inlineStr">
        <is>
          <t>x̄MV̅DXLII</t>
        </is>
      </c>
      <c r="C14543">
        <f>ROMAN(14542)</f>
        <v/>
      </c>
      <c r="D14543">
        <f>IF(B14543=C14543, "YES", "WRONG")</f>
        <v/>
      </c>
    </row>
    <row r="14544">
      <c r="A14544" t="n">
        <v>14543</v>
      </c>
      <c r="B14544" t="inlineStr">
        <is>
          <t>x̄MV̅DXLIII</t>
        </is>
      </c>
      <c r="C14544">
        <f>ROMAN(14543)</f>
        <v/>
      </c>
      <c r="D14544">
        <f>IF(B14544=C14544, "YES", "WRONG")</f>
        <v/>
      </c>
    </row>
    <row r="14545">
      <c r="A14545" t="n">
        <v>14544</v>
      </c>
      <c r="B14545" t="inlineStr">
        <is>
          <t>x̄MV̅DXLIV</t>
        </is>
      </c>
      <c r="C14545">
        <f>ROMAN(14544)</f>
        <v/>
      </c>
      <c r="D14545">
        <f>IF(B14545=C14545, "YES", "WRONG")</f>
        <v/>
      </c>
    </row>
    <row r="14546">
      <c r="A14546" t="n">
        <v>14545</v>
      </c>
      <c r="B14546" t="inlineStr">
        <is>
          <t>x̄MV̅DXLV</t>
        </is>
      </c>
      <c r="C14546">
        <f>ROMAN(14545)</f>
        <v/>
      </c>
      <c r="D14546">
        <f>IF(B14546=C14546, "YES", "WRONG")</f>
        <v/>
      </c>
    </row>
    <row r="14547">
      <c r="A14547" t="n">
        <v>14546</v>
      </c>
      <c r="B14547" t="inlineStr">
        <is>
          <t>x̄MV̅DXLVI</t>
        </is>
      </c>
      <c r="C14547">
        <f>ROMAN(14546)</f>
        <v/>
      </c>
      <c r="D14547">
        <f>IF(B14547=C14547, "YES", "WRONG")</f>
        <v/>
      </c>
    </row>
    <row r="14548">
      <c r="A14548" t="n">
        <v>14547</v>
      </c>
      <c r="B14548" t="inlineStr">
        <is>
          <t>x̄MV̅DXLVII</t>
        </is>
      </c>
      <c r="C14548">
        <f>ROMAN(14547)</f>
        <v/>
      </c>
      <c r="D14548">
        <f>IF(B14548=C14548, "YES", "WRONG")</f>
        <v/>
      </c>
    </row>
    <row r="14549">
      <c r="A14549" t="n">
        <v>14548</v>
      </c>
      <c r="B14549" t="inlineStr">
        <is>
          <t>x̄MV̅DXLVIII</t>
        </is>
      </c>
      <c r="C14549">
        <f>ROMAN(14548)</f>
        <v/>
      </c>
      <c r="D14549">
        <f>IF(B14549=C14549, "YES", "WRONG")</f>
        <v/>
      </c>
    </row>
    <row r="14550">
      <c r="A14550" t="n">
        <v>14549</v>
      </c>
      <c r="B14550" t="inlineStr">
        <is>
          <t>x̄MV̅DXLIX</t>
        </is>
      </c>
      <c r="C14550">
        <f>ROMAN(14549)</f>
        <v/>
      </c>
      <c r="D14550">
        <f>IF(B14550=C14550, "YES", "WRONG")</f>
        <v/>
      </c>
    </row>
    <row r="14551">
      <c r="A14551" t="n">
        <v>14550</v>
      </c>
      <c r="B14551" t="inlineStr">
        <is>
          <t>x̄MV̅DL</t>
        </is>
      </c>
      <c r="C14551">
        <f>ROMAN(14550)</f>
        <v/>
      </c>
      <c r="D14551">
        <f>IF(B14551=C14551, "YES", "WRONG")</f>
        <v/>
      </c>
    </row>
    <row r="14552">
      <c r="A14552" t="n">
        <v>14551</v>
      </c>
      <c r="B14552" t="inlineStr">
        <is>
          <t>x̄MV̅DLI</t>
        </is>
      </c>
      <c r="C14552">
        <f>ROMAN(14551)</f>
        <v/>
      </c>
      <c r="D14552">
        <f>IF(B14552=C14552, "YES", "WRONG")</f>
        <v/>
      </c>
    </row>
    <row r="14553">
      <c r="A14553" t="n">
        <v>14552</v>
      </c>
      <c r="B14553" t="inlineStr">
        <is>
          <t>x̄MV̅DLII</t>
        </is>
      </c>
      <c r="C14553">
        <f>ROMAN(14552)</f>
        <v/>
      </c>
      <c r="D14553">
        <f>IF(B14553=C14553, "YES", "WRONG")</f>
        <v/>
      </c>
    </row>
    <row r="14554">
      <c r="A14554" t="n">
        <v>14553</v>
      </c>
      <c r="B14554" t="inlineStr">
        <is>
          <t>x̄MV̅DLIII</t>
        </is>
      </c>
      <c r="C14554">
        <f>ROMAN(14553)</f>
        <v/>
      </c>
      <c r="D14554">
        <f>IF(B14554=C14554, "YES", "WRONG")</f>
        <v/>
      </c>
    </row>
    <row r="14555">
      <c r="A14555" t="n">
        <v>14554</v>
      </c>
      <c r="B14555" t="inlineStr">
        <is>
          <t>x̄MV̅DLIV</t>
        </is>
      </c>
      <c r="C14555">
        <f>ROMAN(14554)</f>
        <v/>
      </c>
      <c r="D14555">
        <f>IF(B14555=C14555, "YES", "WRONG")</f>
        <v/>
      </c>
    </row>
    <row r="14556">
      <c r="A14556" t="n">
        <v>14555</v>
      </c>
      <c r="B14556" t="inlineStr">
        <is>
          <t>x̄MV̅DLV</t>
        </is>
      </c>
      <c r="C14556">
        <f>ROMAN(14555)</f>
        <v/>
      </c>
      <c r="D14556">
        <f>IF(B14556=C14556, "YES", "WRONG")</f>
        <v/>
      </c>
    </row>
    <row r="14557">
      <c r="A14557" t="n">
        <v>14556</v>
      </c>
      <c r="B14557" t="inlineStr">
        <is>
          <t>x̄MV̅DLVI</t>
        </is>
      </c>
      <c r="C14557">
        <f>ROMAN(14556)</f>
        <v/>
      </c>
      <c r="D14557">
        <f>IF(B14557=C14557, "YES", "WRONG")</f>
        <v/>
      </c>
    </row>
    <row r="14558">
      <c r="A14558" t="n">
        <v>14557</v>
      </c>
      <c r="B14558" t="inlineStr">
        <is>
          <t>x̄MV̅DLVII</t>
        </is>
      </c>
      <c r="C14558">
        <f>ROMAN(14557)</f>
        <v/>
      </c>
      <c r="D14558">
        <f>IF(B14558=C14558, "YES", "WRONG")</f>
        <v/>
      </c>
    </row>
    <row r="14559">
      <c r="A14559" t="n">
        <v>14558</v>
      </c>
      <c r="B14559" t="inlineStr">
        <is>
          <t>x̄MV̅DLVIII</t>
        </is>
      </c>
      <c r="C14559">
        <f>ROMAN(14558)</f>
        <v/>
      </c>
      <c r="D14559">
        <f>IF(B14559=C14559, "YES", "WRONG")</f>
        <v/>
      </c>
    </row>
    <row r="14560">
      <c r="A14560" t="n">
        <v>14559</v>
      </c>
      <c r="B14560" t="inlineStr">
        <is>
          <t>x̄MV̅DLIX</t>
        </is>
      </c>
      <c r="C14560">
        <f>ROMAN(14559)</f>
        <v/>
      </c>
      <c r="D14560">
        <f>IF(B14560=C14560, "YES", "WRONG")</f>
        <v/>
      </c>
    </row>
    <row r="14561">
      <c r="A14561" t="n">
        <v>14560</v>
      </c>
      <c r="B14561" t="inlineStr">
        <is>
          <t>x̄MV̅DLX</t>
        </is>
      </c>
      <c r="C14561">
        <f>ROMAN(14560)</f>
        <v/>
      </c>
      <c r="D14561">
        <f>IF(B14561=C14561, "YES", "WRONG")</f>
        <v/>
      </c>
    </row>
    <row r="14562">
      <c r="A14562" t="n">
        <v>14561</v>
      </c>
      <c r="B14562" t="inlineStr">
        <is>
          <t>x̄MV̅DLXI</t>
        </is>
      </c>
      <c r="C14562">
        <f>ROMAN(14561)</f>
        <v/>
      </c>
      <c r="D14562">
        <f>IF(B14562=C14562, "YES", "WRONG")</f>
        <v/>
      </c>
    </row>
    <row r="14563">
      <c r="A14563" t="n">
        <v>14562</v>
      </c>
      <c r="B14563" t="inlineStr">
        <is>
          <t>x̄MV̅DLXII</t>
        </is>
      </c>
      <c r="C14563">
        <f>ROMAN(14562)</f>
        <v/>
      </c>
      <c r="D14563">
        <f>IF(B14563=C14563, "YES", "WRONG")</f>
        <v/>
      </c>
    </row>
    <row r="14564">
      <c r="A14564" t="n">
        <v>14563</v>
      </c>
      <c r="B14564" t="inlineStr">
        <is>
          <t>x̄MV̅DLXIII</t>
        </is>
      </c>
      <c r="C14564">
        <f>ROMAN(14563)</f>
        <v/>
      </c>
      <c r="D14564">
        <f>IF(B14564=C14564, "YES", "WRONG")</f>
        <v/>
      </c>
    </row>
    <row r="14565">
      <c r="A14565" t="n">
        <v>14564</v>
      </c>
      <c r="B14565" t="inlineStr">
        <is>
          <t>x̄MV̅DLXIV</t>
        </is>
      </c>
      <c r="C14565">
        <f>ROMAN(14564)</f>
        <v/>
      </c>
      <c r="D14565">
        <f>IF(B14565=C14565, "YES", "WRONG")</f>
        <v/>
      </c>
    </row>
    <row r="14566">
      <c r="A14566" t="n">
        <v>14565</v>
      </c>
      <c r="B14566" t="inlineStr">
        <is>
          <t>x̄MV̅DLXV</t>
        </is>
      </c>
      <c r="C14566">
        <f>ROMAN(14565)</f>
        <v/>
      </c>
      <c r="D14566">
        <f>IF(B14566=C14566, "YES", "WRONG")</f>
        <v/>
      </c>
    </row>
    <row r="14567">
      <c r="A14567" t="n">
        <v>14566</v>
      </c>
      <c r="B14567" t="inlineStr">
        <is>
          <t>x̄MV̅DLXVI</t>
        </is>
      </c>
      <c r="C14567">
        <f>ROMAN(14566)</f>
        <v/>
      </c>
      <c r="D14567">
        <f>IF(B14567=C14567, "YES", "WRONG")</f>
        <v/>
      </c>
    </row>
    <row r="14568">
      <c r="A14568" t="n">
        <v>14567</v>
      </c>
      <c r="B14568" t="inlineStr">
        <is>
          <t>x̄MV̅DLXVII</t>
        </is>
      </c>
      <c r="C14568">
        <f>ROMAN(14567)</f>
        <v/>
      </c>
      <c r="D14568">
        <f>IF(B14568=C14568, "YES", "WRONG")</f>
        <v/>
      </c>
    </row>
    <row r="14569">
      <c r="A14569" t="n">
        <v>14568</v>
      </c>
      <c r="B14569" t="inlineStr">
        <is>
          <t>x̄MV̅DLXVIII</t>
        </is>
      </c>
      <c r="C14569">
        <f>ROMAN(14568)</f>
        <v/>
      </c>
      <c r="D14569">
        <f>IF(B14569=C14569, "YES", "WRONG")</f>
        <v/>
      </c>
    </row>
    <row r="14570">
      <c r="A14570" t="n">
        <v>14569</v>
      </c>
      <c r="B14570" t="inlineStr">
        <is>
          <t>x̄MV̅DLXIX</t>
        </is>
      </c>
      <c r="C14570">
        <f>ROMAN(14569)</f>
        <v/>
      </c>
      <c r="D14570">
        <f>IF(B14570=C14570, "YES", "WRONG")</f>
        <v/>
      </c>
    </row>
    <row r="14571">
      <c r="A14571" t="n">
        <v>14570</v>
      </c>
      <c r="B14571" t="inlineStr">
        <is>
          <t>x̄MV̅DLXX</t>
        </is>
      </c>
      <c r="C14571">
        <f>ROMAN(14570)</f>
        <v/>
      </c>
      <c r="D14571">
        <f>IF(B14571=C14571, "YES", "WRONG")</f>
        <v/>
      </c>
    </row>
    <row r="14572">
      <c r="A14572" t="n">
        <v>14571</v>
      </c>
      <c r="B14572" t="inlineStr">
        <is>
          <t>x̄MV̅DLXXI</t>
        </is>
      </c>
      <c r="C14572">
        <f>ROMAN(14571)</f>
        <v/>
      </c>
      <c r="D14572">
        <f>IF(B14572=C14572, "YES", "WRONG")</f>
        <v/>
      </c>
    </row>
    <row r="14573">
      <c r="A14573" t="n">
        <v>14572</v>
      </c>
      <c r="B14573" t="inlineStr">
        <is>
          <t>x̄MV̅DLXXII</t>
        </is>
      </c>
      <c r="C14573">
        <f>ROMAN(14572)</f>
        <v/>
      </c>
      <c r="D14573">
        <f>IF(B14573=C14573, "YES", "WRONG")</f>
        <v/>
      </c>
    </row>
    <row r="14574">
      <c r="A14574" t="n">
        <v>14573</v>
      </c>
      <c r="B14574" t="inlineStr">
        <is>
          <t>x̄MV̅DLXXIII</t>
        </is>
      </c>
      <c r="C14574">
        <f>ROMAN(14573)</f>
        <v/>
      </c>
      <c r="D14574">
        <f>IF(B14574=C14574, "YES", "WRONG")</f>
        <v/>
      </c>
    </row>
    <row r="14575">
      <c r="A14575" t="n">
        <v>14574</v>
      </c>
      <c r="B14575" t="inlineStr">
        <is>
          <t>x̄MV̅DLXXIV</t>
        </is>
      </c>
      <c r="C14575">
        <f>ROMAN(14574)</f>
        <v/>
      </c>
      <c r="D14575">
        <f>IF(B14575=C14575, "YES", "WRONG")</f>
        <v/>
      </c>
    </row>
    <row r="14576">
      <c r="A14576" t="n">
        <v>14575</v>
      </c>
      <c r="B14576" t="inlineStr">
        <is>
          <t>x̄MV̅DLXXV</t>
        </is>
      </c>
      <c r="C14576">
        <f>ROMAN(14575)</f>
        <v/>
      </c>
      <c r="D14576">
        <f>IF(B14576=C14576, "YES", "WRONG")</f>
        <v/>
      </c>
    </row>
    <row r="14577">
      <c r="A14577" t="n">
        <v>14576</v>
      </c>
      <c r="B14577" t="inlineStr">
        <is>
          <t>x̄MV̅DLXXVI</t>
        </is>
      </c>
      <c r="C14577">
        <f>ROMAN(14576)</f>
        <v/>
      </c>
      <c r="D14577">
        <f>IF(B14577=C14577, "YES", "WRONG")</f>
        <v/>
      </c>
    </row>
    <row r="14578">
      <c r="A14578" t="n">
        <v>14577</v>
      </c>
      <c r="B14578" t="inlineStr">
        <is>
          <t>x̄MV̅DLXXVII</t>
        </is>
      </c>
      <c r="C14578">
        <f>ROMAN(14577)</f>
        <v/>
      </c>
      <c r="D14578">
        <f>IF(B14578=C14578, "YES", "WRONG")</f>
        <v/>
      </c>
    </row>
    <row r="14579">
      <c r="A14579" t="n">
        <v>14578</v>
      </c>
      <c r="B14579" t="inlineStr">
        <is>
          <t>x̄MV̅DLXXVIII</t>
        </is>
      </c>
      <c r="C14579">
        <f>ROMAN(14578)</f>
        <v/>
      </c>
      <c r="D14579">
        <f>IF(B14579=C14579, "YES", "WRONG")</f>
        <v/>
      </c>
    </row>
    <row r="14580">
      <c r="A14580" t="n">
        <v>14579</v>
      </c>
      <c r="B14580" t="inlineStr">
        <is>
          <t>x̄MV̅DLXXIX</t>
        </is>
      </c>
      <c r="C14580">
        <f>ROMAN(14579)</f>
        <v/>
      </c>
      <c r="D14580">
        <f>IF(B14580=C14580, "YES", "WRONG")</f>
        <v/>
      </c>
    </row>
    <row r="14581">
      <c r="A14581" t="n">
        <v>14580</v>
      </c>
      <c r="B14581" t="inlineStr">
        <is>
          <t>x̄MV̅DLXXX</t>
        </is>
      </c>
      <c r="C14581">
        <f>ROMAN(14580)</f>
        <v/>
      </c>
      <c r="D14581">
        <f>IF(B14581=C14581, "YES", "WRONG")</f>
        <v/>
      </c>
    </row>
    <row r="14582">
      <c r="A14582" t="n">
        <v>14581</v>
      </c>
      <c r="B14582" t="inlineStr">
        <is>
          <t>x̄MV̅DLXXXI</t>
        </is>
      </c>
      <c r="C14582">
        <f>ROMAN(14581)</f>
        <v/>
      </c>
      <c r="D14582">
        <f>IF(B14582=C14582, "YES", "WRONG")</f>
        <v/>
      </c>
    </row>
    <row r="14583">
      <c r="A14583" t="n">
        <v>14582</v>
      </c>
      <c r="B14583" t="inlineStr">
        <is>
          <t>x̄MV̅DLXXXII</t>
        </is>
      </c>
      <c r="C14583">
        <f>ROMAN(14582)</f>
        <v/>
      </c>
      <c r="D14583">
        <f>IF(B14583=C14583, "YES", "WRONG")</f>
        <v/>
      </c>
    </row>
    <row r="14584">
      <c r="A14584" t="n">
        <v>14583</v>
      </c>
      <c r="B14584" t="inlineStr">
        <is>
          <t>x̄MV̅DLXXXIII</t>
        </is>
      </c>
      <c r="C14584">
        <f>ROMAN(14583)</f>
        <v/>
      </c>
      <c r="D14584">
        <f>IF(B14584=C14584, "YES", "WRONG")</f>
        <v/>
      </c>
    </row>
    <row r="14585">
      <c r="A14585" t="n">
        <v>14584</v>
      </c>
      <c r="B14585" t="inlineStr">
        <is>
          <t>x̄MV̅DLXXXIV</t>
        </is>
      </c>
      <c r="C14585">
        <f>ROMAN(14584)</f>
        <v/>
      </c>
      <c r="D14585">
        <f>IF(B14585=C14585, "YES", "WRONG")</f>
        <v/>
      </c>
    </row>
    <row r="14586">
      <c r="A14586" t="n">
        <v>14585</v>
      </c>
      <c r="B14586" t="inlineStr">
        <is>
          <t>x̄MV̅DLXXXV</t>
        </is>
      </c>
      <c r="C14586">
        <f>ROMAN(14585)</f>
        <v/>
      </c>
      <c r="D14586">
        <f>IF(B14586=C14586, "YES", "WRONG")</f>
        <v/>
      </c>
    </row>
    <row r="14587">
      <c r="A14587" t="n">
        <v>14586</v>
      </c>
      <c r="B14587" t="inlineStr">
        <is>
          <t>x̄MV̅DLXXXVI</t>
        </is>
      </c>
      <c r="C14587">
        <f>ROMAN(14586)</f>
        <v/>
      </c>
      <c r="D14587">
        <f>IF(B14587=C14587, "YES", "WRONG")</f>
        <v/>
      </c>
    </row>
    <row r="14588">
      <c r="A14588" t="n">
        <v>14587</v>
      </c>
      <c r="B14588" t="inlineStr">
        <is>
          <t>x̄MV̅DLXXXVII</t>
        </is>
      </c>
      <c r="C14588">
        <f>ROMAN(14587)</f>
        <v/>
      </c>
      <c r="D14588">
        <f>IF(B14588=C14588, "YES", "WRONG")</f>
        <v/>
      </c>
    </row>
    <row r="14589">
      <c r="A14589" t="n">
        <v>14588</v>
      </c>
      <c r="B14589" t="inlineStr">
        <is>
          <t>x̄MV̅DLXXXVIII</t>
        </is>
      </c>
      <c r="C14589">
        <f>ROMAN(14588)</f>
        <v/>
      </c>
      <c r="D14589">
        <f>IF(B14589=C14589, "YES", "WRONG")</f>
        <v/>
      </c>
    </row>
    <row r="14590">
      <c r="A14590" t="n">
        <v>14589</v>
      </c>
      <c r="B14590" t="inlineStr">
        <is>
          <t>x̄MV̅DLXXXIX</t>
        </is>
      </c>
      <c r="C14590">
        <f>ROMAN(14589)</f>
        <v/>
      </c>
      <c r="D14590">
        <f>IF(B14590=C14590, "YES", "WRONG")</f>
        <v/>
      </c>
    </row>
    <row r="14591">
      <c r="A14591" t="n">
        <v>14590</v>
      </c>
      <c r="B14591" t="inlineStr">
        <is>
          <t>x̄MV̅DXC</t>
        </is>
      </c>
      <c r="C14591">
        <f>ROMAN(14590)</f>
        <v/>
      </c>
      <c r="D14591">
        <f>IF(B14591=C14591, "YES", "WRONG")</f>
        <v/>
      </c>
    </row>
    <row r="14592">
      <c r="A14592" t="n">
        <v>14591</v>
      </c>
      <c r="B14592" t="inlineStr">
        <is>
          <t>x̄MV̅DXCI</t>
        </is>
      </c>
      <c r="C14592">
        <f>ROMAN(14591)</f>
        <v/>
      </c>
      <c r="D14592">
        <f>IF(B14592=C14592, "YES", "WRONG")</f>
        <v/>
      </c>
    </row>
    <row r="14593">
      <c r="A14593" t="n">
        <v>14592</v>
      </c>
      <c r="B14593" t="inlineStr">
        <is>
          <t>x̄MV̅DXCII</t>
        </is>
      </c>
      <c r="C14593">
        <f>ROMAN(14592)</f>
        <v/>
      </c>
      <c r="D14593">
        <f>IF(B14593=C14593, "YES", "WRONG")</f>
        <v/>
      </c>
    </row>
    <row r="14594">
      <c r="A14594" t="n">
        <v>14593</v>
      </c>
      <c r="B14594" t="inlineStr">
        <is>
          <t>x̄MV̅DXCIII</t>
        </is>
      </c>
      <c r="C14594">
        <f>ROMAN(14593)</f>
        <v/>
      </c>
      <c r="D14594">
        <f>IF(B14594=C14594, "YES", "WRONG")</f>
        <v/>
      </c>
    </row>
    <row r="14595">
      <c r="A14595" t="n">
        <v>14594</v>
      </c>
      <c r="B14595" t="inlineStr">
        <is>
          <t>x̄MV̅DXCIV</t>
        </is>
      </c>
      <c r="C14595">
        <f>ROMAN(14594)</f>
        <v/>
      </c>
      <c r="D14595">
        <f>IF(B14595=C14595, "YES", "WRONG")</f>
        <v/>
      </c>
    </row>
    <row r="14596">
      <c r="A14596" t="n">
        <v>14595</v>
      </c>
      <c r="B14596" t="inlineStr">
        <is>
          <t>x̄MV̅DXCV</t>
        </is>
      </c>
      <c r="C14596">
        <f>ROMAN(14595)</f>
        <v/>
      </c>
      <c r="D14596">
        <f>IF(B14596=C14596, "YES", "WRONG")</f>
        <v/>
      </c>
    </row>
    <row r="14597">
      <c r="A14597" t="n">
        <v>14596</v>
      </c>
      <c r="B14597" t="inlineStr">
        <is>
          <t>x̄MV̅DXCVI</t>
        </is>
      </c>
      <c r="C14597">
        <f>ROMAN(14596)</f>
        <v/>
      </c>
      <c r="D14597">
        <f>IF(B14597=C14597, "YES", "WRONG")</f>
        <v/>
      </c>
    </row>
    <row r="14598">
      <c r="A14598" t="n">
        <v>14597</v>
      </c>
      <c r="B14598" t="inlineStr">
        <is>
          <t>x̄MV̅DXCVII</t>
        </is>
      </c>
      <c r="C14598">
        <f>ROMAN(14597)</f>
        <v/>
      </c>
      <c r="D14598">
        <f>IF(B14598=C14598, "YES", "WRONG")</f>
        <v/>
      </c>
    </row>
    <row r="14599">
      <c r="A14599" t="n">
        <v>14598</v>
      </c>
      <c r="B14599" t="inlineStr">
        <is>
          <t>x̄MV̅DXCVIII</t>
        </is>
      </c>
      <c r="C14599">
        <f>ROMAN(14598)</f>
        <v/>
      </c>
      <c r="D14599">
        <f>IF(B14599=C14599, "YES", "WRONG")</f>
        <v/>
      </c>
    </row>
    <row r="14600">
      <c r="A14600" t="n">
        <v>14599</v>
      </c>
      <c r="B14600" t="inlineStr">
        <is>
          <t>x̄MV̅DXCIX</t>
        </is>
      </c>
      <c r="C14600">
        <f>ROMAN(14599)</f>
        <v/>
      </c>
      <c r="D14600">
        <f>IF(B14600=C14600, "YES", "WRONG")</f>
        <v/>
      </c>
    </row>
    <row r="14601">
      <c r="A14601" t="n">
        <v>14600</v>
      </c>
      <c r="B14601" t="inlineStr">
        <is>
          <t>x̄MV̅DC</t>
        </is>
      </c>
      <c r="C14601">
        <f>ROMAN(14600)</f>
        <v/>
      </c>
      <c r="D14601">
        <f>IF(B14601=C14601, "YES", "WRONG")</f>
        <v/>
      </c>
    </row>
    <row r="14602">
      <c r="A14602" t="n">
        <v>14601</v>
      </c>
      <c r="B14602" t="inlineStr">
        <is>
          <t>x̄MV̅DCI</t>
        </is>
      </c>
      <c r="C14602">
        <f>ROMAN(14601)</f>
        <v/>
      </c>
      <c r="D14602">
        <f>IF(B14602=C14602, "YES", "WRONG")</f>
        <v/>
      </c>
    </row>
    <row r="14603">
      <c r="A14603" t="n">
        <v>14602</v>
      </c>
      <c r="B14603" t="inlineStr">
        <is>
          <t>x̄MV̅DCII</t>
        </is>
      </c>
      <c r="C14603">
        <f>ROMAN(14602)</f>
        <v/>
      </c>
      <c r="D14603">
        <f>IF(B14603=C14603, "YES", "WRONG")</f>
        <v/>
      </c>
    </row>
    <row r="14604">
      <c r="A14604" t="n">
        <v>14603</v>
      </c>
      <c r="B14604" t="inlineStr">
        <is>
          <t>x̄MV̅DCIII</t>
        </is>
      </c>
      <c r="C14604">
        <f>ROMAN(14603)</f>
        <v/>
      </c>
      <c r="D14604">
        <f>IF(B14604=C14604, "YES", "WRONG")</f>
        <v/>
      </c>
    </row>
    <row r="14605">
      <c r="A14605" t="n">
        <v>14604</v>
      </c>
      <c r="B14605" t="inlineStr">
        <is>
          <t>x̄MV̅DCIV</t>
        </is>
      </c>
      <c r="C14605">
        <f>ROMAN(14604)</f>
        <v/>
      </c>
      <c r="D14605">
        <f>IF(B14605=C14605, "YES", "WRONG")</f>
        <v/>
      </c>
    </row>
    <row r="14606">
      <c r="A14606" t="n">
        <v>14605</v>
      </c>
      <c r="B14606" t="inlineStr">
        <is>
          <t>x̄MV̅DCV</t>
        </is>
      </c>
      <c r="C14606">
        <f>ROMAN(14605)</f>
        <v/>
      </c>
      <c r="D14606">
        <f>IF(B14606=C14606, "YES", "WRONG")</f>
        <v/>
      </c>
    </row>
    <row r="14607">
      <c r="A14607" t="n">
        <v>14606</v>
      </c>
      <c r="B14607" t="inlineStr">
        <is>
          <t>x̄MV̅DCVI</t>
        </is>
      </c>
      <c r="C14607">
        <f>ROMAN(14606)</f>
        <v/>
      </c>
      <c r="D14607">
        <f>IF(B14607=C14607, "YES", "WRONG")</f>
        <v/>
      </c>
    </row>
    <row r="14608">
      <c r="A14608" t="n">
        <v>14607</v>
      </c>
      <c r="B14608" t="inlineStr">
        <is>
          <t>x̄MV̅DCVII</t>
        </is>
      </c>
      <c r="C14608">
        <f>ROMAN(14607)</f>
        <v/>
      </c>
      <c r="D14608">
        <f>IF(B14608=C14608, "YES", "WRONG")</f>
        <v/>
      </c>
    </row>
    <row r="14609">
      <c r="A14609" t="n">
        <v>14608</v>
      </c>
      <c r="B14609" t="inlineStr">
        <is>
          <t>x̄MV̅DCVIII</t>
        </is>
      </c>
      <c r="C14609">
        <f>ROMAN(14608)</f>
        <v/>
      </c>
      <c r="D14609">
        <f>IF(B14609=C14609, "YES", "WRONG")</f>
        <v/>
      </c>
    </row>
    <row r="14610">
      <c r="A14610" t="n">
        <v>14609</v>
      </c>
      <c r="B14610" t="inlineStr">
        <is>
          <t>x̄MV̅DCIX</t>
        </is>
      </c>
      <c r="C14610">
        <f>ROMAN(14609)</f>
        <v/>
      </c>
      <c r="D14610">
        <f>IF(B14610=C14610, "YES", "WRONG")</f>
        <v/>
      </c>
    </row>
    <row r="14611">
      <c r="A14611" t="n">
        <v>14610</v>
      </c>
      <c r="B14611" t="inlineStr">
        <is>
          <t>x̄MV̅DCX</t>
        </is>
      </c>
      <c r="C14611">
        <f>ROMAN(14610)</f>
        <v/>
      </c>
      <c r="D14611">
        <f>IF(B14611=C14611, "YES", "WRONG")</f>
        <v/>
      </c>
    </row>
    <row r="14612">
      <c r="A14612" t="n">
        <v>14611</v>
      </c>
      <c r="B14612" t="inlineStr">
        <is>
          <t>x̄MV̅DCXI</t>
        </is>
      </c>
      <c r="C14612">
        <f>ROMAN(14611)</f>
        <v/>
      </c>
      <c r="D14612">
        <f>IF(B14612=C14612, "YES", "WRONG")</f>
        <v/>
      </c>
    </row>
    <row r="14613">
      <c r="A14613" t="n">
        <v>14612</v>
      </c>
      <c r="B14613" t="inlineStr">
        <is>
          <t>x̄MV̅DCXII</t>
        </is>
      </c>
      <c r="C14613">
        <f>ROMAN(14612)</f>
        <v/>
      </c>
      <c r="D14613">
        <f>IF(B14613=C14613, "YES", "WRONG")</f>
        <v/>
      </c>
    </row>
    <row r="14614">
      <c r="A14614" t="n">
        <v>14613</v>
      </c>
      <c r="B14614" t="inlineStr">
        <is>
          <t>x̄MV̅DCXIII</t>
        </is>
      </c>
      <c r="C14614">
        <f>ROMAN(14613)</f>
        <v/>
      </c>
      <c r="D14614">
        <f>IF(B14614=C14614, "YES", "WRONG")</f>
        <v/>
      </c>
    </row>
    <row r="14615">
      <c r="A14615" t="n">
        <v>14614</v>
      </c>
      <c r="B14615" t="inlineStr">
        <is>
          <t>x̄MV̅DCXIV</t>
        </is>
      </c>
      <c r="C14615">
        <f>ROMAN(14614)</f>
        <v/>
      </c>
      <c r="D14615">
        <f>IF(B14615=C14615, "YES", "WRONG")</f>
        <v/>
      </c>
    </row>
    <row r="14616">
      <c r="A14616" t="n">
        <v>14615</v>
      </c>
      <c r="B14616" t="inlineStr">
        <is>
          <t>x̄MV̅DCXV</t>
        </is>
      </c>
      <c r="C14616">
        <f>ROMAN(14615)</f>
        <v/>
      </c>
      <c r="D14616">
        <f>IF(B14616=C14616, "YES", "WRONG")</f>
        <v/>
      </c>
    </row>
    <row r="14617">
      <c r="A14617" t="n">
        <v>14616</v>
      </c>
      <c r="B14617" t="inlineStr">
        <is>
          <t>x̄MV̅DCXVI</t>
        </is>
      </c>
      <c r="C14617">
        <f>ROMAN(14616)</f>
        <v/>
      </c>
      <c r="D14617">
        <f>IF(B14617=C14617, "YES", "WRONG")</f>
        <v/>
      </c>
    </row>
    <row r="14618">
      <c r="A14618" t="n">
        <v>14617</v>
      </c>
      <c r="B14618" t="inlineStr">
        <is>
          <t>x̄MV̅DCXVII</t>
        </is>
      </c>
      <c r="C14618">
        <f>ROMAN(14617)</f>
        <v/>
      </c>
      <c r="D14618">
        <f>IF(B14618=C14618, "YES", "WRONG")</f>
        <v/>
      </c>
    </row>
    <row r="14619">
      <c r="A14619" t="n">
        <v>14618</v>
      </c>
      <c r="B14619" t="inlineStr">
        <is>
          <t>x̄MV̅DCXVIII</t>
        </is>
      </c>
      <c r="C14619">
        <f>ROMAN(14618)</f>
        <v/>
      </c>
      <c r="D14619">
        <f>IF(B14619=C14619, "YES", "WRONG")</f>
        <v/>
      </c>
    </row>
    <row r="14620">
      <c r="A14620" t="n">
        <v>14619</v>
      </c>
      <c r="B14620" t="inlineStr">
        <is>
          <t>x̄MV̅DCXIX</t>
        </is>
      </c>
      <c r="C14620">
        <f>ROMAN(14619)</f>
        <v/>
      </c>
      <c r="D14620">
        <f>IF(B14620=C14620, "YES", "WRONG")</f>
        <v/>
      </c>
    </row>
    <row r="14621">
      <c r="A14621" t="n">
        <v>14620</v>
      </c>
      <c r="B14621" t="inlineStr">
        <is>
          <t>x̄MV̅DCXX</t>
        </is>
      </c>
      <c r="C14621">
        <f>ROMAN(14620)</f>
        <v/>
      </c>
      <c r="D14621">
        <f>IF(B14621=C14621, "YES", "WRONG")</f>
        <v/>
      </c>
    </row>
    <row r="14622">
      <c r="A14622" t="n">
        <v>14621</v>
      </c>
      <c r="B14622" t="inlineStr">
        <is>
          <t>x̄MV̅DCXXI</t>
        </is>
      </c>
      <c r="C14622">
        <f>ROMAN(14621)</f>
        <v/>
      </c>
      <c r="D14622">
        <f>IF(B14622=C14622, "YES", "WRONG")</f>
        <v/>
      </c>
    </row>
    <row r="14623">
      <c r="A14623" t="n">
        <v>14622</v>
      </c>
      <c r="B14623" t="inlineStr">
        <is>
          <t>x̄MV̅DCXXII</t>
        </is>
      </c>
      <c r="C14623">
        <f>ROMAN(14622)</f>
        <v/>
      </c>
      <c r="D14623">
        <f>IF(B14623=C14623, "YES", "WRONG")</f>
        <v/>
      </c>
    </row>
    <row r="14624">
      <c r="A14624" t="n">
        <v>14623</v>
      </c>
      <c r="B14624" t="inlineStr">
        <is>
          <t>x̄MV̅DCXXIII</t>
        </is>
      </c>
      <c r="C14624">
        <f>ROMAN(14623)</f>
        <v/>
      </c>
      <c r="D14624">
        <f>IF(B14624=C14624, "YES", "WRONG")</f>
        <v/>
      </c>
    </row>
    <row r="14625">
      <c r="A14625" t="n">
        <v>14624</v>
      </c>
      <c r="B14625" t="inlineStr">
        <is>
          <t>x̄MV̅DCXXIV</t>
        </is>
      </c>
      <c r="C14625">
        <f>ROMAN(14624)</f>
        <v/>
      </c>
      <c r="D14625">
        <f>IF(B14625=C14625, "YES", "WRONG")</f>
        <v/>
      </c>
    </row>
    <row r="14626">
      <c r="A14626" t="n">
        <v>14625</v>
      </c>
      <c r="B14626" t="inlineStr">
        <is>
          <t>x̄MV̅DCXXV</t>
        </is>
      </c>
      <c r="C14626">
        <f>ROMAN(14625)</f>
        <v/>
      </c>
      <c r="D14626">
        <f>IF(B14626=C14626, "YES", "WRONG")</f>
        <v/>
      </c>
    </row>
    <row r="14627">
      <c r="A14627" t="n">
        <v>14626</v>
      </c>
      <c r="B14627" t="inlineStr">
        <is>
          <t>x̄MV̅DCXXVI</t>
        </is>
      </c>
      <c r="C14627">
        <f>ROMAN(14626)</f>
        <v/>
      </c>
      <c r="D14627">
        <f>IF(B14627=C14627, "YES", "WRONG")</f>
        <v/>
      </c>
    </row>
    <row r="14628">
      <c r="A14628" t="n">
        <v>14627</v>
      </c>
      <c r="B14628" t="inlineStr">
        <is>
          <t>x̄MV̅DCXXVII</t>
        </is>
      </c>
      <c r="C14628">
        <f>ROMAN(14627)</f>
        <v/>
      </c>
      <c r="D14628">
        <f>IF(B14628=C14628, "YES", "WRONG")</f>
        <v/>
      </c>
    </row>
    <row r="14629">
      <c r="A14629" t="n">
        <v>14628</v>
      </c>
      <c r="B14629" t="inlineStr">
        <is>
          <t>x̄MV̅DCXXVIII</t>
        </is>
      </c>
      <c r="C14629">
        <f>ROMAN(14628)</f>
        <v/>
      </c>
      <c r="D14629">
        <f>IF(B14629=C14629, "YES", "WRONG")</f>
        <v/>
      </c>
    </row>
    <row r="14630">
      <c r="A14630" t="n">
        <v>14629</v>
      </c>
      <c r="B14630" t="inlineStr">
        <is>
          <t>x̄MV̅DCXXIX</t>
        </is>
      </c>
      <c r="C14630">
        <f>ROMAN(14629)</f>
        <v/>
      </c>
      <c r="D14630">
        <f>IF(B14630=C14630, "YES", "WRONG")</f>
        <v/>
      </c>
    </row>
    <row r="14631">
      <c r="A14631" t="n">
        <v>14630</v>
      </c>
      <c r="B14631" t="inlineStr">
        <is>
          <t>x̄MV̅DCXXX</t>
        </is>
      </c>
      <c r="C14631">
        <f>ROMAN(14630)</f>
        <v/>
      </c>
      <c r="D14631">
        <f>IF(B14631=C14631, "YES", "WRONG")</f>
        <v/>
      </c>
    </row>
    <row r="14632">
      <c r="A14632" t="n">
        <v>14631</v>
      </c>
      <c r="B14632" t="inlineStr">
        <is>
          <t>x̄MV̅DCXXXI</t>
        </is>
      </c>
      <c r="C14632">
        <f>ROMAN(14631)</f>
        <v/>
      </c>
      <c r="D14632">
        <f>IF(B14632=C14632, "YES", "WRONG")</f>
        <v/>
      </c>
    </row>
    <row r="14633">
      <c r="A14633" t="n">
        <v>14632</v>
      </c>
      <c r="B14633" t="inlineStr">
        <is>
          <t>x̄MV̅DCXXXII</t>
        </is>
      </c>
      <c r="C14633">
        <f>ROMAN(14632)</f>
        <v/>
      </c>
      <c r="D14633">
        <f>IF(B14633=C14633, "YES", "WRONG")</f>
        <v/>
      </c>
    </row>
    <row r="14634">
      <c r="A14634" t="n">
        <v>14633</v>
      </c>
      <c r="B14634" t="inlineStr">
        <is>
          <t>x̄MV̅DCXXXIII</t>
        </is>
      </c>
      <c r="C14634">
        <f>ROMAN(14633)</f>
        <v/>
      </c>
      <c r="D14634">
        <f>IF(B14634=C14634, "YES", "WRONG")</f>
        <v/>
      </c>
    </row>
    <row r="14635">
      <c r="A14635" t="n">
        <v>14634</v>
      </c>
      <c r="B14635" t="inlineStr">
        <is>
          <t>x̄MV̅DCXXXIV</t>
        </is>
      </c>
      <c r="C14635">
        <f>ROMAN(14634)</f>
        <v/>
      </c>
      <c r="D14635">
        <f>IF(B14635=C14635, "YES", "WRONG")</f>
        <v/>
      </c>
    </row>
    <row r="14636">
      <c r="A14636" t="n">
        <v>14635</v>
      </c>
      <c r="B14636" t="inlineStr">
        <is>
          <t>x̄MV̅DCXXXV</t>
        </is>
      </c>
      <c r="C14636">
        <f>ROMAN(14635)</f>
        <v/>
      </c>
      <c r="D14636">
        <f>IF(B14636=C14636, "YES", "WRONG")</f>
        <v/>
      </c>
    </row>
    <row r="14637">
      <c r="A14637" t="n">
        <v>14636</v>
      </c>
      <c r="B14637" t="inlineStr">
        <is>
          <t>x̄MV̅DCXXXVI</t>
        </is>
      </c>
      <c r="C14637">
        <f>ROMAN(14636)</f>
        <v/>
      </c>
      <c r="D14637">
        <f>IF(B14637=C14637, "YES", "WRONG")</f>
        <v/>
      </c>
    </row>
    <row r="14638">
      <c r="A14638" t="n">
        <v>14637</v>
      </c>
      <c r="B14638" t="inlineStr">
        <is>
          <t>x̄MV̅DCXXXVII</t>
        </is>
      </c>
      <c r="C14638">
        <f>ROMAN(14637)</f>
        <v/>
      </c>
      <c r="D14638">
        <f>IF(B14638=C14638, "YES", "WRONG")</f>
        <v/>
      </c>
    </row>
    <row r="14639">
      <c r="A14639" t="n">
        <v>14638</v>
      </c>
      <c r="B14639" t="inlineStr">
        <is>
          <t>x̄MV̅DCXXXVIII</t>
        </is>
      </c>
      <c r="C14639">
        <f>ROMAN(14638)</f>
        <v/>
      </c>
      <c r="D14639">
        <f>IF(B14639=C14639, "YES", "WRONG")</f>
        <v/>
      </c>
    </row>
    <row r="14640">
      <c r="A14640" t="n">
        <v>14639</v>
      </c>
      <c r="B14640" t="inlineStr">
        <is>
          <t>x̄MV̅DCXXXIX</t>
        </is>
      </c>
      <c r="C14640">
        <f>ROMAN(14639)</f>
        <v/>
      </c>
      <c r="D14640">
        <f>IF(B14640=C14640, "YES", "WRONG")</f>
        <v/>
      </c>
    </row>
    <row r="14641">
      <c r="A14641" t="n">
        <v>14640</v>
      </c>
      <c r="B14641" t="inlineStr">
        <is>
          <t>x̄MV̅DCXL</t>
        </is>
      </c>
      <c r="C14641">
        <f>ROMAN(14640)</f>
        <v/>
      </c>
      <c r="D14641">
        <f>IF(B14641=C14641, "YES", "WRONG")</f>
        <v/>
      </c>
    </row>
    <row r="14642">
      <c r="A14642" t="n">
        <v>14641</v>
      </c>
      <c r="B14642" t="inlineStr">
        <is>
          <t>x̄MV̅DCXLI</t>
        </is>
      </c>
      <c r="C14642">
        <f>ROMAN(14641)</f>
        <v/>
      </c>
      <c r="D14642">
        <f>IF(B14642=C14642, "YES", "WRONG")</f>
        <v/>
      </c>
    </row>
    <row r="14643">
      <c r="A14643" t="n">
        <v>14642</v>
      </c>
      <c r="B14643" t="inlineStr">
        <is>
          <t>x̄MV̅DCXLII</t>
        </is>
      </c>
      <c r="C14643">
        <f>ROMAN(14642)</f>
        <v/>
      </c>
      <c r="D14643">
        <f>IF(B14643=C14643, "YES", "WRONG")</f>
        <v/>
      </c>
    </row>
    <row r="14644">
      <c r="A14644" t="n">
        <v>14643</v>
      </c>
      <c r="B14644" t="inlineStr">
        <is>
          <t>x̄MV̅DCXLIII</t>
        </is>
      </c>
      <c r="C14644">
        <f>ROMAN(14643)</f>
        <v/>
      </c>
      <c r="D14644">
        <f>IF(B14644=C14644, "YES", "WRONG")</f>
        <v/>
      </c>
    </row>
    <row r="14645">
      <c r="A14645" t="n">
        <v>14644</v>
      </c>
      <c r="B14645" t="inlineStr">
        <is>
          <t>x̄MV̅DCXLIV</t>
        </is>
      </c>
      <c r="C14645">
        <f>ROMAN(14644)</f>
        <v/>
      </c>
      <c r="D14645">
        <f>IF(B14645=C14645, "YES", "WRONG")</f>
        <v/>
      </c>
    </row>
    <row r="14646">
      <c r="A14646" t="n">
        <v>14645</v>
      </c>
      <c r="B14646" t="inlineStr">
        <is>
          <t>x̄MV̅DCXLV</t>
        </is>
      </c>
      <c r="C14646">
        <f>ROMAN(14645)</f>
        <v/>
      </c>
      <c r="D14646">
        <f>IF(B14646=C14646, "YES", "WRONG")</f>
        <v/>
      </c>
    </row>
    <row r="14647">
      <c r="A14647" t="n">
        <v>14646</v>
      </c>
      <c r="B14647" t="inlineStr">
        <is>
          <t>x̄MV̅DCXLVI</t>
        </is>
      </c>
      <c r="C14647">
        <f>ROMAN(14646)</f>
        <v/>
      </c>
      <c r="D14647">
        <f>IF(B14647=C14647, "YES", "WRONG")</f>
        <v/>
      </c>
    </row>
    <row r="14648">
      <c r="A14648" t="n">
        <v>14647</v>
      </c>
      <c r="B14648" t="inlineStr">
        <is>
          <t>x̄MV̅DCXLVII</t>
        </is>
      </c>
      <c r="C14648">
        <f>ROMAN(14647)</f>
        <v/>
      </c>
      <c r="D14648">
        <f>IF(B14648=C14648, "YES", "WRONG")</f>
        <v/>
      </c>
    </row>
    <row r="14649">
      <c r="A14649" t="n">
        <v>14648</v>
      </c>
      <c r="B14649" t="inlineStr">
        <is>
          <t>x̄MV̅DCXLVIII</t>
        </is>
      </c>
      <c r="C14649">
        <f>ROMAN(14648)</f>
        <v/>
      </c>
      <c r="D14649">
        <f>IF(B14649=C14649, "YES", "WRONG")</f>
        <v/>
      </c>
    </row>
    <row r="14650">
      <c r="A14650" t="n">
        <v>14649</v>
      </c>
      <c r="B14650" t="inlineStr">
        <is>
          <t>x̄MV̅DCXLIX</t>
        </is>
      </c>
      <c r="C14650">
        <f>ROMAN(14649)</f>
        <v/>
      </c>
      <c r="D14650">
        <f>IF(B14650=C14650, "YES", "WRONG")</f>
        <v/>
      </c>
    </row>
    <row r="14651">
      <c r="A14651" t="n">
        <v>14650</v>
      </c>
      <c r="B14651" t="inlineStr">
        <is>
          <t>x̄MV̅DCL</t>
        </is>
      </c>
      <c r="C14651">
        <f>ROMAN(14650)</f>
        <v/>
      </c>
      <c r="D14651">
        <f>IF(B14651=C14651, "YES", "WRONG")</f>
        <v/>
      </c>
    </row>
    <row r="14652">
      <c r="A14652" t="n">
        <v>14651</v>
      </c>
      <c r="B14652" t="inlineStr">
        <is>
          <t>x̄MV̅DCLI</t>
        </is>
      </c>
      <c r="C14652">
        <f>ROMAN(14651)</f>
        <v/>
      </c>
      <c r="D14652">
        <f>IF(B14652=C14652, "YES", "WRONG")</f>
        <v/>
      </c>
    </row>
    <row r="14653">
      <c r="A14653" t="n">
        <v>14652</v>
      </c>
      <c r="B14653" t="inlineStr">
        <is>
          <t>x̄MV̅DCLII</t>
        </is>
      </c>
      <c r="C14653">
        <f>ROMAN(14652)</f>
        <v/>
      </c>
      <c r="D14653">
        <f>IF(B14653=C14653, "YES", "WRONG")</f>
        <v/>
      </c>
    </row>
    <row r="14654">
      <c r="A14654" t="n">
        <v>14653</v>
      </c>
      <c r="B14654" t="inlineStr">
        <is>
          <t>x̄MV̅DCLIII</t>
        </is>
      </c>
      <c r="C14654">
        <f>ROMAN(14653)</f>
        <v/>
      </c>
      <c r="D14654">
        <f>IF(B14654=C14654, "YES", "WRONG")</f>
        <v/>
      </c>
    </row>
    <row r="14655">
      <c r="A14655" t="n">
        <v>14654</v>
      </c>
      <c r="B14655" t="inlineStr">
        <is>
          <t>x̄MV̅DCLIV</t>
        </is>
      </c>
      <c r="C14655">
        <f>ROMAN(14654)</f>
        <v/>
      </c>
      <c r="D14655">
        <f>IF(B14655=C14655, "YES", "WRONG")</f>
        <v/>
      </c>
    </row>
    <row r="14656">
      <c r="A14656" t="n">
        <v>14655</v>
      </c>
      <c r="B14656" t="inlineStr">
        <is>
          <t>x̄MV̅DCLV</t>
        </is>
      </c>
      <c r="C14656">
        <f>ROMAN(14655)</f>
        <v/>
      </c>
      <c r="D14656">
        <f>IF(B14656=C14656, "YES", "WRONG")</f>
        <v/>
      </c>
    </row>
    <row r="14657">
      <c r="A14657" t="n">
        <v>14656</v>
      </c>
      <c r="B14657" t="inlineStr">
        <is>
          <t>x̄MV̅DCLVI</t>
        </is>
      </c>
      <c r="C14657">
        <f>ROMAN(14656)</f>
        <v/>
      </c>
      <c r="D14657">
        <f>IF(B14657=C14657, "YES", "WRONG")</f>
        <v/>
      </c>
    </row>
    <row r="14658">
      <c r="A14658" t="n">
        <v>14657</v>
      </c>
      <c r="B14658" t="inlineStr">
        <is>
          <t>x̄MV̅DCLVII</t>
        </is>
      </c>
      <c r="C14658">
        <f>ROMAN(14657)</f>
        <v/>
      </c>
      <c r="D14658">
        <f>IF(B14658=C14658, "YES", "WRONG")</f>
        <v/>
      </c>
    </row>
    <row r="14659">
      <c r="A14659" t="n">
        <v>14658</v>
      </c>
      <c r="B14659" t="inlineStr">
        <is>
          <t>x̄MV̅DCLVIII</t>
        </is>
      </c>
      <c r="C14659">
        <f>ROMAN(14658)</f>
        <v/>
      </c>
      <c r="D14659">
        <f>IF(B14659=C14659, "YES", "WRONG")</f>
        <v/>
      </c>
    </row>
    <row r="14660">
      <c r="A14660" t="n">
        <v>14659</v>
      </c>
      <c r="B14660" t="inlineStr">
        <is>
          <t>x̄MV̅DCLIX</t>
        </is>
      </c>
      <c r="C14660">
        <f>ROMAN(14659)</f>
        <v/>
      </c>
      <c r="D14660">
        <f>IF(B14660=C14660, "YES", "WRONG")</f>
        <v/>
      </c>
    </row>
    <row r="14661">
      <c r="A14661" t="n">
        <v>14660</v>
      </c>
      <c r="B14661" t="inlineStr">
        <is>
          <t>x̄MV̅DCLX</t>
        </is>
      </c>
      <c r="C14661">
        <f>ROMAN(14660)</f>
        <v/>
      </c>
      <c r="D14661">
        <f>IF(B14661=C14661, "YES", "WRONG")</f>
        <v/>
      </c>
    </row>
    <row r="14662">
      <c r="A14662" t="n">
        <v>14661</v>
      </c>
      <c r="B14662" t="inlineStr">
        <is>
          <t>x̄MV̅DCLXI</t>
        </is>
      </c>
      <c r="C14662">
        <f>ROMAN(14661)</f>
        <v/>
      </c>
      <c r="D14662">
        <f>IF(B14662=C14662, "YES", "WRONG")</f>
        <v/>
      </c>
    </row>
    <row r="14663">
      <c r="A14663" t="n">
        <v>14662</v>
      </c>
      <c r="B14663" t="inlineStr">
        <is>
          <t>x̄MV̅DCLXII</t>
        </is>
      </c>
      <c r="C14663">
        <f>ROMAN(14662)</f>
        <v/>
      </c>
      <c r="D14663">
        <f>IF(B14663=C14663, "YES", "WRONG")</f>
        <v/>
      </c>
    </row>
    <row r="14664">
      <c r="A14664" t="n">
        <v>14663</v>
      </c>
      <c r="B14664" t="inlineStr">
        <is>
          <t>x̄MV̅DCLXIII</t>
        </is>
      </c>
      <c r="C14664">
        <f>ROMAN(14663)</f>
        <v/>
      </c>
      <c r="D14664">
        <f>IF(B14664=C14664, "YES", "WRONG")</f>
        <v/>
      </c>
    </row>
    <row r="14665">
      <c r="A14665" t="n">
        <v>14664</v>
      </c>
      <c r="B14665" t="inlineStr">
        <is>
          <t>x̄MV̅DCLXIV</t>
        </is>
      </c>
      <c r="C14665">
        <f>ROMAN(14664)</f>
        <v/>
      </c>
      <c r="D14665">
        <f>IF(B14665=C14665, "YES", "WRONG")</f>
        <v/>
      </c>
    </row>
    <row r="14666">
      <c r="A14666" t="n">
        <v>14665</v>
      </c>
      <c r="B14666" t="inlineStr">
        <is>
          <t>x̄MV̅DCLXV</t>
        </is>
      </c>
      <c r="C14666">
        <f>ROMAN(14665)</f>
        <v/>
      </c>
      <c r="D14666">
        <f>IF(B14666=C14666, "YES", "WRONG")</f>
        <v/>
      </c>
    </row>
    <row r="14667">
      <c r="A14667" t="n">
        <v>14666</v>
      </c>
      <c r="B14667" t="inlineStr">
        <is>
          <t>x̄MV̅DCLXVI</t>
        </is>
      </c>
      <c r="C14667">
        <f>ROMAN(14666)</f>
        <v/>
      </c>
      <c r="D14667">
        <f>IF(B14667=C14667, "YES", "WRONG")</f>
        <v/>
      </c>
    </row>
    <row r="14668">
      <c r="A14668" t="n">
        <v>14667</v>
      </c>
      <c r="B14668" t="inlineStr">
        <is>
          <t>x̄MV̅DCLXVII</t>
        </is>
      </c>
      <c r="C14668">
        <f>ROMAN(14667)</f>
        <v/>
      </c>
      <c r="D14668">
        <f>IF(B14668=C14668, "YES", "WRONG")</f>
        <v/>
      </c>
    </row>
    <row r="14669">
      <c r="A14669" t="n">
        <v>14668</v>
      </c>
      <c r="B14669" t="inlineStr">
        <is>
          <t>x̄MV̅DCLXVIII</t>
        </is>
      </c>
      <c r="C14669">
        <f>ROMAN(14668)</f>
        <v/>
      </c>
      <c r="D14669">
        <f>IF(B14669=C14669, "YES", "WRONG")</f>
        <v/>
      </c>
    </row>
    <row r="14670">
      <c r="A14670" t="n">
        <v>14669</v>
      </c>
      <c r="B14670" t="inlineStr">
        <is>
          <t>x̄MV̅DCLXIX</t>
        </is>
      </c>
      <c r="C14670">
        <f>ROMAN(14669)</f>
        <v/>
      </c>
      <c r="D14670">
        <f>IF(B14670=C14670, "YES", "WRONG")</f>
        <v/>
      </c>
    </row>
    <row r="14671">
      <c r="A14671" t="n">
        <v>14670</v>
      </c>
      <c r="B14671" t="inlineStr">
        <is>
          <t>x̄MV̅DCLXX</t>
        </is>
      </c>
      <c r="C14671">
        <f>ROMAN(14670)</f>
        <v/>
      </c>
      <c r="D14671">
        <f>IF(B14671=C14671, "YES", "WRONG")</f>
        <v/>
      </c>
    </row>
    <row r="14672">
      <c r="A14672" t="n">
        <v>14671</v>
      </c>
      <c r="B14672" t="inlineStr">
        <is>
          <t>x̄MV̅DCLXXI</t>
        </is>
      </c>
      <c r="C14672">
        <f>ROMAN(14671)</f>
        <v/>
      </c>
      <c r="D14672">
        <f>IF(B14672=C14672, "YES", "WRONG")</f>
        <v/>
      </c>
    </row>
    <row r="14673">
      <c r="A14673" t="n">
        <v>14672</v>
      </c>
      <c r="B14673" t="inlineStr">
        <is>
          <t>x̄MV̅DCLXXII</t>
        </is>
      </c>
      <c r="C14673">
        <f>ROMAN(14672)</f>
        <v/>
      </c>
      <c r="D14673">
        <f>IF(B14673=C14673, "YES", "WRONG")</f>
        <v/>
      </c>
    </row>
    <row r="14674">
      <c r="A14674" t="n">
        <v>14673</v>
      </c>
      <c r="B14674" t="inlineStr">
        <is>
          <t>x̄MV̅DCLXXIII</t>
        </is>
      </c>
      <c r="C14674">
        <f>ROMAN(14673)</f>
        <v/>
      </c>
      <c r="D14674">
        <f>IF(B14674=C14674, "YES", "WRONG")</f>
        <v/>
      </c>
    </row>
    <row r="14675">
      <c r="A14675" t="n">
        <v>14674</v>
      </c>
      <c r="B14675" t="inlineStr">
        <is>
          <t>x̄MV̅DCLXXIV</t>
        </is>
      </c>
      <c r="C14675">
        <f>ROMAN(14674)</f>
        <v/>
      </c>
      <c r="D14675">
        <f>IF(B14675=C14675, "YES", "WRONG")</f>
        <v/>
      </c>
    </row>
    <row r="14676">
      <c r="A14676" t="n">
        <v>14675</v>
      </c>
      <c r="B14676" t="inlineStr">
        <is>
          <t>x̄MV̅DCLXXV</t>
        </is>
      </c>
      <c r="C14676">
        <f>ROMAN(14675)</f>
        <v/>
      </c>
      <c r="D14676">
        <f>IF(B14676=C14676, "YES", "WRONG")</f>
        <v/>
      </c>
    </row>
    <row r="14677">
      <c r="A14677" t="n">
        <v>14676</v>
      </c>
      <c r="B14677" t="inlineStr">
        <is>
          <t>x̄MV̅DCLXXVI</t>
        </is>
      </c>
      <c r="C14677">
        <f>ROMAN(14676)</f>
        <v/>
      </c>
      <c r="D14677">
        <f>IF(B14677=C14677, "YES", "WRONG")</f>
        <v/>
      </c>
    </row>
    <row r="14678">
      <c r="A14678" t="n">
        <v>14677</v>
      </c>
      <c r="B14678" t="inlineStr">
        <is>
          <t>x̄MV̅DCLXXVII</t>
        </is>
      </c>
      <c r="C14678">
        <f>ROMAN(14677)</f>
        <v/>
      </c>
      <c r="D14678">
        <f>IF(B14678=C14678, "YES", "WRONG")</f>
        <v/>
      </c>
    </row>
    <row r="14679">
      <c r="A14679" t="n">
        <v>14678</v>
      </c>
      <c r="B14679" t="inlineStr">
        <is>
          <t>x̄MV̅DCLXXVIII</t>
        </is>
      </c>
      <c r="C14679">
        <f>ROMAN(14678)</f>
        <v/>
      </c>
      <c r="D14679">
        <f>IF(B14679=C14679, "YES", "WRONG")</f>
        <v/>
      </c>
    </row>
    <row r="14680">
      <c r="A14680" t="n">
        <v>14679</v>
      </c>
      <c r="B14680" t="inlineStr">
        <is>
          <t>x̄MV̅DCLXXIX</t>
        </is>
      </c>
      <c r="C14680">
        <f>ROMAN(14679)</f>
        <v/>
      </c>
      <c r="D14680">
        <f>IF(B14680=C14680, "YES", "WRONG")</f>
        <v/>
      </c>
    </row>
    <row r="14681">
      <c r="A14681" t="n">
        <v>14680</v>
      </c>
      <c r="B14681" t="inlineStr">
        <is>
          <t>x̄MV̅DCLXXX</t>
        </is>
      </c>
      <c r="C14681">
        <f>ROMAN(14680)</f>
        <v/>
      </c>
      <c r="D14681">
        <f>IF(B14681=C14681, "YES", "WRONG")</f>
        <v/>
      </c>
    </row>
    <row r="14682">
      <c r="A14682" t="n">
        <v>14681</v>
      </c>
      <c r="B14682" t="inlineStr">
        <is>
          <t>x̄MV̅DCLXXXI</t>
        </is>
      </c>
      <c r="C14682">
        <f>ROMAN(14681)</f>
        <v/>
      </c>
      <c r="D14682">
        <f>IF(B14682=C14682, "YES", "WRONG")</f>
        <v/>
      </c>
    </row>
    <row r="14683">
      <c r="A14683" t="n">
        <v>14682</v>
      </c>
      <c r="B14683" t="inlineStr">
        <is>
          <t>x̄MV̅DCLXXXII</t>
        </is>
      </c>
      <c r="C14683">
        <f>ROMAN(14682)</f>
        <v/>
      </c>
      <c r="D14683">
        <f>IF(B14683=C14683, "YES", "WRONG")</f>
        <v/>
      </c>
    </row>
    <row r="14684">
      <c r="A14684" t="n">
        <v>14683</v>
      </c>
      <c r="B14684" t="inlineStr">
        <is>
          <t>x̄MV̅DCLXXXIII</t>
        </is>
      </c>
      <c r="C14684">
        <f>ROMAN(14683)</f>
        <v/>
      </c>
      <c r="D14684">
        <f>IF(B14684=C14684, "YES", "WRONG")</f>
        <v/>
      </c>
    </row>
    <row r="14685">
      <c r="A14685" t="n">
        <v>14684</v>
      </c>
      <c r="B14685" t="inlineStr">
        <is>
          <t>x̄MV̅DCLXXXIV</t>
        </is>
      </c>
      <c r="C14685">
        <f>ROMAN(14684)</f>
        <v/>
      </c>
      <c r="D14685">
        <f>IF(B14685=C14685, "YES", "WRONG")</f>
        <v/>
      </c>
    </row>
    <row r="14686">
      <c r="A14686" t="n">
        <v>14685</v>
      </c>
      <c r="B14686" t="inlineStr">
        <is>
          <t>x̄MV̅DCLXXXV</t>
        </is>
      </c>
      <c r="C14686">
        <f>ROMAN(14685)</f>
        <v/>
      </c>
      <c r="D14686">
        <f>IF(B14686=C14686, "YES", "WRONG")</f>
        <v/>
      </c>
    </row>
    <row r="14687">
      <c r="A14687" t="n">
        <v>14686</v>
      </c>
      <c r="B14687" t="inlineStr">
        <is>
          <t>x̄MV̅DCLXXXVI</t>
        </is>
      </c>
      <c r="C14687">
        <f>ROMAN(14686)</f>
        <v/>
      </c>
      <c r="D14687">
        <f>IF(B14687=C14687, "YES", "WRONG")</f>
        <v/>
      </c>
    </row>
    <row r="14688">
      <c r="A14688" t="n">
        <v>14687</v>
      </c>
      <c r="B14688" t="inlineStr">
        <is>
          <t>x̄MV̅DCLXXXVII</t>
        </is>
      </c>
      <c r="C14688">
        <f>ROMAN(14687)</f>
        <v/>
      </c>
      <c r="D14688">
        <f>IF(B14688=C14688, "YES", "WRONG")</f>
        <v/>
      </c>
    </row>
    <row r="14689">
      <c r="A14689" t="n">
        <v>14688</v>
      </c>
      <c r="B14689" t="inlineStr">
        <is>
          <t>x̄MV̅DCLXXXVIII</t>
        </is>
      </c>
      <c r="C14689">
        <f>ROMAN(14688)</f>
        <v/>
      </c>
      <c r="D14689">
        <f>IF(B14689=C14689, "YES", "WRONG")</f>
        <v/>
      </c>
    </row>
    <row r="14690">
      <c r="A14690" t="n">
        <v>14689</v>
      </c>
      <c r="B14690" t="inlineStr">
        <is>
          <t>x̄MV̅DCLXXXIX</t>
        </is>
      </c>
      <c r="C14690">
        <f>ROMAN(14689)</f>
        <v/>
      </c>
      <c r="D14690">
        <f>IF(B14690=C14690, "YES", "WRONG")</f>
        <v/>
      </c>
    </row>
    <row r="14691">
      <c r="A14691" t="n">
        <v>14690</v>
      </c>
      <c r="B14691" t="inlineStr">
        <is>
          <t>x̄MV̅DCXC</t>
        </is>
      </c>
      <c r="C14691">
        <f>ROMAN(14690)</f>
        <v/>
      </c>
      <c r="D14691">
        <f>IF(B14691=C14691, "YES", "WRONG")</f>
        <v/>
      </c>
    </row>
    <row r="14692">
      <c r="A14692" t="n">
        <v>14691</v>
      </c>
      <c r="B14692" t="inlineStr">
        <is>
          <t>x̄MV̅DCXCI</t>
        </is>
      </c>
      <c r="C14692">
        <f>ROMAN(14691)</f>
        <v/>
      </c>
      <c r="D14692">
        <f>IF(B14692=C14692, "YES", "WRONG")</f>
        <v/>
      </c>
    </row>
    <row r="14693">
      <c r="A14693" t="n">
        <v>14692</v>
      </c>
      <c r="B14693" t="inlineStr">
        <is>
          <t>x̄MV̅DCXCII</t>
        </is>
      </c>
      <c r="C14693">
        <f>ROMAN(14692)</f>
        <v/>
      </c>
      <c r="D14693">
        <f>IF(B14693=C14693, "YES", "WRONG")</f>
        <v/>
      </c>
    </row>
    <row r="14694">
      <c r="A14694" t="n">
        <v>14693</v>
      </c>
      <c r="B14694" t="inlineStr">
        <is>
          <t>x̄MV̅DCXCIII</t>
        </is>
      </c>
      <c r="C14694">
        <f>ROMAN(14693)</f>
        <v/>
      </c>
      <c r="D14694">
        <f>IF(B14694=C14694, "YES", "WRONG")</f>
        <v/>
      </c>
    </row>
    <row r="14695">
      <c r="A14695" t="n">
        <v>14694</v>
      </c>
      <c r="B14695" t="inlineStr">
        <is>
          <t>x̄MV̅DCXCIV</t>
        </is>
      </c>
      <c r="C14695">
        <f>ROMAN(14694)</f>
        <v/>
      </c>
      <c r="D14695">
        <f>IF(B14695=C14695, "YES", "WRONG")</f>
        <v/>
      </c>
    </row>
    <row r="14696">
      <c r="A14696" t="n">
        <v>14695</v>
      </c>
      <c r="B14696" t="inlineStr">
        <is>
          <t>x̄MV̅DCXCV</t>
        </is>
      </c>
      <c r="C14696">
        <f>ROMAN(14695)</f>
        <v/>
      </c>
      <c r="D14696">
        <f>IF(B14696=C14696, "YES", "WRONG")</f>
        <v/>
      </c>
    </row>
    <row r="14697">
      <c r="A14697" t="n">
        <v>14696</v>
      </c>
      <c r="B14697" t="inlineStr">
        <is>
          <t>x̄MV̅DCXCVI</t>
        </is>
      </c>
      <c r="C14697">
        <f>ROMAN(14696)</f>
        <v/>
      </c>
      <c r="D14697">
        <f>IF(B14697=C14697, "YES", "WRONG")</f>
        <v/>
      </c>
    </row>
    <row r="14698">
      <c r="A14698" t="n">
        <v>14697</v>
      </c>
      <c r="B14698" t="inlineStr">
        <is>
          <t>x̄MV̅DCXCVII</t>
        </is>
      </c>
      <c r="C14698">
        <f>ROMAN(14697)</f>
        <v/>
      </c>
      <c r="D14698">
        <f>IF(B14698=C14698, "YES", "WRONG")</f>
        <v/>
      </c>
    </row>
    <row r="14699">
      <c r="A14699" t="n">
        <v>14698</v>
      </c>
      <c r="B14699" t="inlineStr">
        <is>
          <t>x̄MV̅DCXCVIII</t>
        </is>
      </c>
      <c r="C14699">
        <f>ROMAN(14698)</f>
        <v/>
      </c>
      <c r="D14699">
        <f>IF(B14699=C14699, "YES", "WRONG")</f>
        <v/>
      </c>
    </row>
    <row r="14700">
      <c r="A14700" t="n">
        <v>14699</v>
      </c>
      <c r="B14700" t="inlineStr">
        <is>
          <t>x̄MV̅DCXCIX</t>
        </is>
      </c>
      <c r="C14700">
        <f>ROMAN(14699)</f>
        <v/>
      </c>
      <c r="D14700">
        <f>IF(B14700=C14700, "YES", "WRONG")</f>
        <v/>
      </c>
    </row>
    <row r="14701">
      <c r="A14701" t="n">
        <v>14700</v>
      </c>
      <c r="B14701" t="inlineStr">
        <is>
          <t>x̄MV̅DCC</t>
        </is>
      </c>
      <c r="C14701">
        <f>ROMAN(14700)</f>
        <v/>
      </c>
      <c r="D14701">
        <f>IF(B14701=C14701, "YES", "WRONG")</f>
        <v/>
      </c>
    </row>
    <row r="14702">
      <c r="A14702" t="n">
        <v>14701</v>
      </c>
      <c r="B14702" t="inlineStr">
        <is>
          <t>x̄MV̅DCCI</t>
        </is>
      </c>
      <c r="C14702">
        <f>ROMAN(14701)</f>
        <v/>
      </c>
      <c r="D14702">
        <f>IF(B14702=C14702, "YES", "WRONG")</f>
        <v/>
      </c>
    </row>
    <row r="14703">
      <c r="A14703" t="n">
        <v>14702</v>
      </c>
      <c r="B14703" t="inlineStr">
        <is>
          <t>x̄MV̅DCCII</t>
        </is>
      </c>
      <c r="C14703">
        <f>ROMAN(14702)</f>
        <v/>
      </c>
      <c r="D14703">
        <f>IF(B14703=C14703, "YES", "WRONG")</f>
        <v/>
      </c>
    </row>
    <row r="14704">
      <c r="A14704" t="n">
        <v>14703</v>
      </c>
      <c r="B14704" t="inlineStr">
        <is>
          <t>x̄MV̅DCCIII</t>
        </is>
      </c>
      <c r="C14704">
        <f>ROMAN(14703)</f>
        <v/>
      </c>
      <c r="D14704">
        <f>IF(B14704=C14704, "YES", "WRONG")</f>
        <v/>
      </c>
    </row>
    <row r="14705">
      <c r="A14705" t="n">
        <v>14704</v>
      </c>
      <c r="B14705" t="inlineStr">
        <is>
          <t>x̄MV̅DCCIV</t>
        </is>
      </c>
      <c r="C14705">
        <f>ROMAN(14704)</f>
        <v/>
      </c>
      <c r="D14705">
        <f>IF(B14705=C14705, "YES", "WRONG")</f>
        <v/>
      </c>
    </row>
    <row r="14706">
      <c r="A14706" t="n">
        <v>14705</v>
      </c>
      <c r="B14706" t="inlineStr">
        <is>
          <t>x̄MV̅DCCV</t>
        </is>
      </c>
      <c r="C14706">
        <f>ROMAN(14705)</f>
        <v/>
      </c>
      <c r="D14706">
        <f>IF(B14706=C14706, "YES", "WRONG")</f>
        <v/>
      </c>
    </row>
    <row r="14707">
      <c r="A14707" t="n">
        <v>14706</v>
      </c>
      <c r="B14707" t="inlineStr">
        <is>
          <t>x̄MV̅DCCVI</t>
        </is>
      </c>
      <c r="C14707">
        <f>ROMAN(14706)</f>
        <v/>
      </c>
      <c r="D14707">
        <f>IF(B14707=C14707, "YES", "WRONG")</f>
        <v/>
      </c>
    </row>
    <row r="14708">
      <c r="A14708" t="n">
        <v>14707</v>
      </c>
      <c r="B14708" t="inlineStr">
        <is>
          <t>x̄MV̅DCCVII</t>
        </is>
      </c>
      <c r="C14708">
        <f>ROMAN(14707)</f>
        <v/>
      </c>
      <c r="D14708">
        <f>IF(B14708=C14708, "YES", "WRONG")</f>
        <v/>
      </c>
    </row>
    <row r="14709">
      <c r="A14709" t="n">
        <v>14708</v>
      </c>
      <c r="B14709" t="inlineStr">
        <is>
          <t>x̄MV̅DCCVIII</t>
        </is>
      </c>
      <c r="C14709">
        <f>ROMAN(14708)</f>
        <v/>
      </c>
      <c r="D14709">
        <f>IF(B14709=C14709, "YES", "WRONG")</f>
        <v/>
      </c>
    </row>
    <row r="14710">
      <c r="A14710" t="n">
        <v>14709</v>
      </c>
      <c r="B14710" t="inlineStr">
        <is>
          <t>x̄MV̅DCCIX</t>
        </is>
      </c>
      <c r="C14710">
        <f>ROMAN(14709)</f>
        <v/>
      </c>
      <c r="D14710">
        <f>IF(B14710=C14710, "YES", "WRONG")</f>
        <v/>
      </c>
    </row>
    <row r="14711">
      <c r="A14711" t="n">
        <v>14710</v>
      </c>
      <c r="B14711" t="inlineStr">
        <is>
          <t>x̄MV̅DCCX</t>
        </is>
      </c>
      <c r="C14711">
        <f>ROMAN(14710)</f>
        <v/>
      </c>
      <c r="D14711">
        <f>IF(B14711=C14711, "YES", "WRONG")</f>
        <v/>
      </c>
    </row>
    <row r="14712">
      <c r="A14712" t="n">
        <v>14711</v>
      </c>
      <c r="B14712" t="inlineStr">
        <is>
          <t>x̄MV̅DCCXI</t>
        </is>
      </c>
      <c r="C14712">
        <f>ROMAN(14711)</f>
        <v/>
      </c>
      <c r="D14712">
        <f>IF(B14712=C14712, "YES", "WRONG")</f>
        <v/>
      </c>
    </row>
    <row r="14713">
      <c r="A14713" t="n">
        <v>14712</v>
      </c>
      <c r="B14713" t="inlineStr">
        <is>
          <t>x̄MV̅DCCXII</t>
        </is>
      </c>
      <c r="C14713">
        <f>ROMAN(14712)</f>
        <v/>
      </c>
      <c r="D14713">
        <f>IF(B14713=C14713, "YES", "WRONG")</f>
        <v/>
      </c>
    </row>
    <row r="14714">
      <c r="A14714" t="n">
        <v>14713</v>
      </c>
      <c r="B14714" t="inlineStr">
        <is>
          <t>x̄MV̅DCCXIII</t>
        </is>
      </c>
      <c r="C14714">
        <f>ROMAN(14713)</f>
        <v/>
      </c>
      <c r="D14714">
        <f>IF(B14714=C14714, "YES", "WRONG")</f>
        <v/>
      </c>
    </row>
    <row r="14715">
      <c r="A14715" t="n">
        <v>14714</v>
      </c>
      <c r="B14715" t="inlineStr">
        <is>
          <t>x̄MV̅DCCXIV</t>
        </is>
      </c>
      <c r="C14715">
        <f>ROMAN(14714)</f>
        <v/>
      </c>
      <c r="D14715">
        <f>IF(B14715=C14715, "YES", "WRONG")</f>
        <v/>
      </c>
    </row>
    <row r="14716">
      <c r="A14716" t="n">
        <v>14715</v>
      </c>
      <c r="B14716" t="inlineStr">
        <is>
          <t>x̄MV̅DCCXV</t>
        </is>
      </c>
      <c r="C14716">
        <f>ROMAN(14715)</f>
        <v/>
      </c>
      <c r="D14716">
        <f>IF(B14716=C14716, "YES", "WRONG")</f>
        <v/>
      </c>
    </row>
    <row r="14717">
      <c r="A14717" t="n">
        <v>14716</v>
      </c>
      <c r="B14717" t="inlineStr">
        <is>
          <t>x̄MV̅DCCXVI</t>
        </is>
      </c>
      <c r="C14717">
        <f>ROMAN(14716)</f>
        <v/>
      </c>
      <c r="D14717">
        <f>IF(B14717=C14717, "YES", "WRONG")</f>
        <v/>
      </c>
    </row>
    <row r="14718">
      <c r="A14718" t="n">
        <v>14717</v>
      </c>
      <c r="B14718" t="inlineStr">
        <is>
          <t>x̄MV̅DCCXVII</t>
        </is>
      </c>
      <c r="C14718">
        <f>ROMAN(14717)</f>
        <v/>
      </c>
      <c r="D14718">
        <f>IF(B14718=C14718, "YES", "WRONG")</f>
        <v/>
      </c>
    </row>
    <row r="14719">
      <c r="A14719" t="n">
        <v>14718</v>
      </c>
      <c r="B14719" t="inlineStr">
        <is>
          <t>x̄MV̅DCCXVIII</t>
        </is>
      </c>
      <c r="C14719">
        <f>ROMAN(14718)</f>
        <v/>
      </c>
      <c r="D14719">
        <f>IF(B14719=C14719, "YES", "WRONG")</f>
        <v/>
      </c>
    </row>
    <row r="14720">
      <c r="A14720" t="n">
        <v>14719</v>
      </c>
      <c r="B14720" t="inlineStr">
        <is>
          <t>x̄MV̅DCCXIX</t>
        </is>
      </c>
      <c r="C14720">
        <f>ROMAN(14719)</f>
        <v/>
      </c>
      <c r="D14720">
        <f>IF(B14720=C14720, "YES", "WRONG")</f>
        <v/>
      </c>
    </row>
    <row r="14721">
      <c r="A14721" t="n">
        <v>14720</v>
      </c>
      <c r="B14721" t="inlineStr">
        <is>
          <t>x̄MV̅DCCXX</t>
        </is>
      </c>
      <c r="C14721">
        <f>ROMAN(14720)</f>
        <v/>
      </c>
      <c r="D14721">
        <f>IF(B14721=C14721, "YES", "WRONG")</f>
        <v/>
      </c>
    </row>
    <row r="14722">
      <c r="A14722" t="n">
        <v>14721</v>
      </c>
      <c r="B14722" t="inlineStr">
        <is>
          <t>x̄MV̅DCCXXI</t>
        </is>
      </c>
      <c r="C14722">
        <f>ROMAN(14721)</f>
        <v/>
      </c>
      <c r="D14722">
        <f>IF(B14722=C14722, "YES", "WRONG")</f>
        <v/>
      </c>
    </row>
    <row r="14723">
      <c r="A14723" t="n">
        <v>14722</v>
      </c>
      <c r="B14723" t="inlineStr">
        <is>
          <t>x̄MV̅DCCXXII</t>
        </is>
      </c>
      <c r="C14723">
        <f>ROMAN(14722)</f>
        <v/>
      </c>
      <c r="D14723">
        <f>IF(B14723=C14723, "YES", "WRONG")</f>
        <v/>
      </c>
    </row>
    <row r="14724">
      <c r="A14724" t="n">
        <v>14723</v>
      </c>
      <c r="B14724" t="inlineStr">
        <is>
          <t>x̄MV̅DCCXXIII</t>
        </is>
      </c>
      <c r="C14724">
        <f>ROMAN(14723)</f>
        <v/>
      </c>
      <c r="D14724">
        <f>IF(B14724=C14724, "YES", "WRONG")</f>
        <v/>
      </c>
    </row>
    <row r="14725">
      <c r="A14725" t="n">
        <v>14724</v>
      </c>
      <c r="B14725" t="inlineStr">
        <is>
          <t>x̄MV̅DCCXXIV</t>
        </is>
      </c>
      <c r="C14725">
        <f>ROMAN(14724)</f>
        <v/>
      </c>
      <c r="D14725">
        <f>IF(B14725=C14725, "YES", "WRONG")</f>
        <v/>
      </c>
    </row>
    <row r="14726">
      <c r="A14726" t="n">
        <v>14725</v>
      </c>
      <c r="B14726" t="inlineStr">
        <is>
          <t>x̄MV̅DCCXXV</t>
        </is>
      </c>
      <c r="C14726">
        <f>ROMAN(14725)</f>
        <v/>
      </c>
      <c r="D14726">
        <f>IF(B14726=C14726, "YES", "WRONG")</f>
        <v/>
      </c>
    </row>
    <row r="14727">
      <c r="A14727" t="n">
        <v>14726</v>
      </c>
      <c r="B14727" t="inlineStr">
        <is>
          <t>x̄MV̅DCCXXVI</t>
        </is>
      </c>
      <c r="C14727">
        <f>ROMAN(14726)</f>
        <v/>
      </c>
      <c r="D14727">
        <f>IF(B14727=C14727, "YES", "WRONG")</f>
        <v/>
      </c>
    </row>
    <row r="14728">
      <c r="A14728" t="n">
        <v>14727</v>
      </c>
      <c r="B14728" t="inlineStr">
        <is>
          <t>x̄MV̅DCCXXVII</t>
        </is>
      </c>
      <c r="C14728">
        <f>ROMAN(14727)</f>
        <v/>
      </c>
      <c r="D14728">
        <f>IF(B14728=C14728, "YES", "WRONG")</f>
        <v/>
      </c>
    </row>
    <row r="14729">
      <c r="A14729" t="n">
        <v>14728</v>
      </c>
      <c r="B14729" t="inlineStr">
        <is>
          <t>x̄MV̅DCCXXVIII</t>
        </is>
      </c>
      <c r="C14729">
        <f>ROMAN(14728)</f>
        <v/>
      </c>
      <c r="D14729">
        <f>IF(B14729=C14729, "YES", "WRONG")</f>
        <v/>
      </c>
    </row>
    <row r="14730">
      <c r="A14730" t="n">
        <v>14729</v>
      </c>
      <c r="B14730" t="inlineStr">
        <is>
          <t>x̄MV̅DCCXXIX</t>
        </is>
      </c>
      <c r="C14730">
        <f>ROMAN(14729)</f>
        <v/>
      </c>
      <c r="D14730">
        <f>IF(B14730=C14730, "YES", "WRONG")</f>
        <v/>
      </c>
    </row>
    <row r="14731">
      <c r="A14731" t="n">
        <v>14730</v>
      </c>
      <c r="B14731" t="inlineStr">
        <is>
          <t>x̄MV̅DCCXXX</t>
        </is>
      </c>
      <c r="C14731">
        <f>ROMAN(14730)</f>
        <v/>
      </c>
      <c r="D14731">
        <f>IF(B14731=C14731, "YES", "WRONG")</f>
        <v/>
      </c>
    </row>
    <row r="14732">
      <c r="A14732" t="n">
        <v>14731</v>
      </c>
      <c r="B14732" t="inlineStr">
        <is>
          <t>x̄MV̅DCCXXXI</t>
        </is>
      </c>
      <c r="C14732">
        <f>ROMAN(14731)</f>
        <v/>
      </c>
      <c r="D14732">
        <f>IF(B14732=C14732, "YES", "WRONG")</f>
        <v/>
      </c>
    </row>
    <row r="14733">
      <c r="A14733" t="n">
        <v>14732</v>
      </c>
      <c r="B14733" t="inlineStr">
        <is>
          <t>x̄MV̅DCCXXXII</t>
        </is>
      </c>
      <c r="C14733">
        <f>ROMAN(14732)</f>
        <v/>
      </c>
      <c r="D14733">
        <f>IF(B14733=C14733, "YES", "WRONG")</f>
        <v/>
      </c>
    </row>
    <row r="14734">
      <c r="A14734" t="n">
        <v>14733</v>
      </c>
      <c r="B14734" t="inlineStr">
        <is>
          <t>x̄MV̅DCCXXXIII</t>
        </is>
      </c>
      <c r="C14734">
        <f>ROMAN(14733)</f>
        <v/>
      </c>
      <c r="D14734">
        <f>IF(B14734=C14734, "YES", "WRONG")</f>
        <v/>
      </c>
    </row>
    <row r="14735">
      <c r="A14735" t="n">
        <v>14734</v>
      </c>
      <c r="B14735" t="inlineStr">
        <is>
          <t>x̄MV̅DCCXXXIV</t>
        </is>
      </c>
      <c r="C14735">
        <f>ROMAN(14734)</f>
        <v/>
      </c>
      <c r="D14735">
        <f>IF(B14735=C14735, "YES", "WRONG")</f>
        <v/>
      </c>
    </row>
    <row r="14736">
      <c r="A14736" t="n">
        <v>14735</v>
      </c>
      <c r="B14736" t="inlineStr">
        <is>
          <t>x̄MV̅DCCXXXV</t>
        </is>
      </c>
      <c r="C14736">
        <f>ROMAN(14735)</f>
        <v/>
      </c>
      <c r="D14736">
        <f>IF(B14736=C14736, "YES", "WRONG")</f>
        <v/>
      </c>
    </row>
    <row r="14737">
      <c r="A14737" t="n">
        <v>14736</v>
      </c>
      <c r="B14737" t="inlineStr">
        <is>
          <t>x̄MV̅DCCXXXVI</t>
        </is>
      </c>
      <c r="C14737">
        <f>ROMAN(14736)</f>
        <v/>
      </c>
      <c r="D14737">
        <f>IF(B14737=C14737, "YES", "WRONG")</f>
        <v/>
      </c>
    </row>
    <row r="14738">
      <c r="A14738" t="n">
        <v>14737</v>
      </c>
      <c r="B14738" t="inlineStr">
        <is>
          <t>x̄MV̅DCCXXXVII</t>
        </is>
      </c>
      <c r="C14738">
        <f>ROMAN(14737)</f>
        <v/>
      </c>
      <c r="D14738">
        <f>IF(B14738=C14738, "YES", "WRONG")</f>
        <v/>
      </c>
    </row>
    <row r="14739">
      <c r="A14739" t="n">
        <v>14738</v>
      </c>
      <c r="B14739" t="inlineStr">
        <is>
          <t>x̄MV̅DCCXXXVIII</t>
        </is>
      </c>
      <c r="C14739">
        <f>ROMAN(14738)</f>
        <v/>
      </c>
      <c r="D14739">
        <f>IF(B14739=C14739, "YES", "WRONG")</f>
        <v/>
      </c>
    </row>
    <row r="14740">
      <c r="A14740" t="n">
        <v>14739</v>
      </c>
      <c r="B14740" t="inlineStr">
        <is>
          <t>x̄MV̅DCCXXXIX</t>
        </is>
      </c>
      <c r="C14740">
        <f>ROMAN(14739)</f>
        <v/>
      </c>
      <c r="D14740">
        <f>IF(B14740=C14740, "YES", "WRONG")</f>
        <v/>
      </c>
    </row>
    <row r="14741">
      <c r="A14741" t="n">
        <v>14740</v>
      </c>
      <c r="B14741" t="inlineStr">
        <is>
          <t>x̄MV̅DCCXL</t>
        </is>
      </c>
      <c r="C14741">
        <f>ROMAN(14740)</f>
        <v/>
      </c>
      <c r="D14741">
        <f>IF(B14741=C14741, "YES", "WRONG")</f>
        <v/>
      </c>
    </row>
    <row r="14742">
      <c r="A14742" t="n">
        <v>14741</v>
      </c>
      <c r="B14742" t="inlineStr">
        <is>
          <t>x̄MV̅DCCXLI</t>
        </is>
      </c>
      <c r="C14742">
        <f>ROMAN(14741)</f>
        <v/>
      </c>
      <c r="D14742">
        <f>IF(B14742=C14742, "YES", "WRONG")</f>
        <v/>
      </c>
    </row>
    <row r="14743">
      <c r="A14743" t="n">
        <v>14742</v>
      </c>
      <c r="B14743" t="inlineStr">
        <is>
          <t>x̄MV̅DCCXLII</t>
        </is>
      </c>
      <c r="C14743">
        <f>ROMAN(14742)</f>
        <v/>
      </c>
      <c r="D14743">
        <f>IF(B14743=C14743, "YES", "WRONG")</f>
        <v/>
      </c>
    </row>
    <row r="14744">
      <c r="A14744" t="n">
        <v>14743</v>
      </c>
      <c r="B14744" t="inlineStr">
        <is>
          <t>x̄MV̅DCCXLIII</t>
        </is>
      </c>
      <c r="C14744">
        <f>ROMAN(14743)</f>
        <v/>
      </c>
      <c r="D14744">
        <f>IF(B14744=C14744, "YES", "WRONG")</f>
        <v/>
      </c>
    </row>
    <row r="14745">
      <c r="A14745" t="n">
        <v>14744</v>
      </c>
      <c r="B14745" t="inlineStr">
        <is>
          <t>x̄MV̅DCCXLIV</t>
        </is>
      </c>
      <c r="C14745">
        <f>ROMAN(14744)</f>
        <v/>
      </c>
      <c r="D14745">
        <f>IF(B14745=C14745, "YES", "WRONG")</f>
        <v/>
      </c>
    </row>
    <row r="14746">
      <c r="A14746" t="n">
        <v>14745</v>
      </c>
      <c r="B14746" t="inlineStr">
        <is>
          <t>x̄MV̅DCCXLV</t>
        </is>
      </c>
      <c r="C14746">
        <f>ROMAN(14745)</f>
        <v/>
      </c>
      <c r="D14746">
        <f>IF(B14746=C14746, "YES", "WRONG")</f>
        <v/>
      </c>
    </row>
    <row r="14747">
      <c r="A14747" t="n">
        <v>14746</v>
      </c>
      <c r="B14747" t="inlineStr">
        <is>
          <t>x̄MV̅DCCXLVI</t>
        </is>
      </c>
      <c r="C14747">
        <f>ROMAN(14746)</f>
        <v/>
      </c>
      <c r="D14747">
        <f>IF(B14747=C14747, "YES", "WRONG")</f>
        <v/>
      </c>
    </row>
    <row r="14748">
      <c r="A14748" t="n">
        <v>14747</v>
      </c>
      <c r="B14748" t="inlineStr">
        <is>
          <t>x̄MV̅DCCXLVII</t>
        </is>
      </c>
      <c r="C14748">
        <f>ROMAN(14747)</f>
        <v/>
      </c>
      <c r="D14748">
        <f>IF(B14748=C14748, "YES", "WRONG")</f>
        <v/>
      </c>
    </row>
    <row r="14749">
      <c r="A14749" t="n">
        <v>14748</v>
      </c>
      <c r="B14749" t="inlineStr">
        <is>
          <t>x̄MV̅DCCXLVIII</t>
        </is>
      </c>
      <c r="C14749">
        <f>ROMAN(14748)</f>
        <v/>
      </c>
      <c r="D14749">
        <f>IF(B14749=C14749, "YES", "WRONG")</f>
        <v/>
      </c>
    </row>
    <row r="14750">
      <c r="A14750" t="n">
        <v>14749</v>
      </c>
      <c r="B14750" t="inlineStr">
        <is>
          <t>x̄MV̅DCCXLIX</t>
        </is>
      </c>
      <c r="C14750">
        <f>ROMAN(14749)</f>
        <v/>
      </c>
      <c r="D14750">
        <f>IF(B14750=C14750, "YES", "WRONG")</f>
        <v/>
      </c>
    </row>
    <row r="14751">
      <c r="A14751" t="n">
        <v>14750</v>
      </c>
      <c r="B14751" t="inlineStr">
        <is>
          <t>x̄MV̅DCCL</t>
        </is>
      </c>
      <c r="C14751">
        <f>ROMAN(14750)</f>
        <v/>
      </c>
      <c r="D14751">
        <f>IF(B14751=C14751, "YES", "WRONG")</f>
        <v/>
      </c>
    </row>
    <row r="14752">
      <c r="A14752" t="n">
        <v>14751</v>
      </c>
      <c r="B14752" t="inlineStr">
        <is>
          <t>x̄MV̅DCCLI</t>
        </is>
      </c>
      <c r="C14752">
        <f>ROMAN(14751)</f>
        <v/>
      </c>
      <c r="D14752">
        <f>IF(B14752=C14752, "YES", "WRONG")</f>
        <v/>
      </c>
    </row>
    <row r="14753">
      <c r="A14753" t="n">
        <v>14752</v>
      </c>
      <c r="B14753" t="inlineStr">
        <is>
          <t>x̄MV̅DCCLII</t>
        </is>
      </c>
      <c r="C14753">
        <f>ROMAN(14752)</f>
        <v/>
      </c>
      <c r="D14753">
        <f>IF(B14753=C14753, "YES", "WRONG")</f>
        <v/>
      </c>
    </row>
    <row r="14754">
      <c r="A14754" t="n">
        <v>14753</v>
      </c>
      <c r="B14754" t="inlineStr">
        <is>
          <t>x̄MV̅DCCLIII</t>
        </is>
      </c>
      <c r="C14754">
        <f>ROMAN(14753)</f>
        <v/>
      </c>
      <c r="D14754">
        <f>IF(B14754=C14754, "YES", "WRONG")</f>
        <v/>
      </c>
    </row>
    <row r="14755">
      <c r="A14755" t="n">
        <v>14754</v>
      </c>
      <c r="B14755" t="inlineStr">
        <is>
          <t>x̄MV̅DCCLIV</t>
        </is>
      </c>
      <c r="C14755">
        <f>ROMAN(14754)</f>
        <v/>
      </c>
      <c r="D14755">
        <f>IF(B14755=C14755, "YES", "WRONG")</f>
        <v/>
      </c>
    </row>
    <row r="14756">
      <c r="A14756" t="n">
        <v>14755</v>
      </c>
      <c r="B14756" t="inlineStr">
        <is>
          <t>x̄MV̅DCCLV</t>
        </is>
      </c>
      <c r="C14756">
        <f>ROMAN(14755)</f>
        <v/>
      </c>
      <c r="D14756">
        <f>IF(B14756=C14756, "YES", "WRONG")</f>
        <v/>
      </c>
    </row>
    <row r="14757">
      <c r="A14757" t="n">
        <v>14756</v>
      </c>
      <c r="B14757" t="inlineStr">
        <is>
          <t>x̄MV̅DCCLVI</t>
        </is>
      </c>
      <c r="C14757">
        <f>ROMAN(14756)</f>
        <v/>
      </c>
      <c r="D14757">
        <f>IF(B14757=C14757, "YES", "WRONG")</f>
        <v/>
      </c>
    </row>
    <row r="14758">
      <c r="A14758" t="n">
        <v>14757</v>
      </c>
      <c r="B14758" t="inlineStr">
        <is>
          <t>x̄MV̅DCCLVII</t>
        </is>
      </c>
      <c r="C14758">
        <f>ROMAN(14757)</f>
        <v/>
      </c>
      <c r="D14758">
        <f>IF(B14758=C14758, "YES", "WRONG")</f>
        <v/>
      </c>
    </row>
    <row r="14759">
      <c r="A14759" t="n">
        <v>14758</v>
      </c>
      <c r="B14759" t="inlineStr">
        <is>
          <t>x̄MV̅DCCLVIII</t>
        </is>
      </c>
      <c r="C14759">
        <f>ROMAN(14758)</f>
        <v/>
      </c>
      <c r="D14759">
        <f>IF(B14759=C14759, "YES", "WRONG")</f>
        <v/>
      </c>
    </row>
    <row r="14760">
      <c r="A14760" t="n">
        <v>14759</v>
      </c>
      <c r="B14760" t="inlineStr">
        <is>
          <t>x̄MV̅DCCLIX</t>
        </is>
      </c>
      <c r="C14760">
        <f>ROMAN(14759)</f>
        <v/>
      </c>
      <c r="D14760">
        <f>IF(B14760=C14760, "YES", "WRONG")</f>
        <v/>
      </c>
    </row>
    <row r="14761">
      <c r="A14761" t="n">
        <v>14760</v>
      </c>
      <c r="B14761" t="inlineStr">
        <is>
          <t>x̄MV̅DCCLX</t>
        </is>
      </c>
      <c r="C14761">
        <f>ROMAN(14760)</f>
        <v/>
      </c>
      <c r="D14761">
        <f>IF(B14761=C14761, "YES", "WRONG")</f>
        <v/>
      </c>
    </row>
    <row r="14762">
      <c r="A14762" t="n">
        <v>14761</v>
      </c>
      <c r="B14762" t="inlineStr">
        <is>
          <t>x̄MV̅DCCLXI</t>
        </is>
      </c>
      <c r="C14762">
        <f>ROMAN(14761)</f>
        <v/>
      </c>
      <c r="D14762">
        <f>IF(B14762=C14762, "YES", "WRONG")</f>
        <v/>
      </c>
    </row>
    <row r="14763">
      <c r="A14763" t="n">
        <v>14762</v>
      </c>
      <c r="B14763" t="inlineStr">
        <is>
          <t>x̄MV̅DCCLXII</t>
        </is>
      </c>
      <c r="C14763">
        <f>ROMAN(14762)</f>
        <v/>
      </c>
      <c r="D14763">
        <f>IF(B14763=C14763, "YES", "WRONG")</f>
        <v/>
      </c>
    </row>
    <row r="14764">
      <c r="A14764" t="n">
        <v>14763</v>
      </c>
      <c r="B14764" t="inlineStr">
        <is>
          <t>x̄MV̅DCCLXIII</t>
        </is>
      </c>
      <c r="C14764">
        <f>ROMAN(14763)</f>
        <v/>
      </c>
      <c r="D14764">
        <f>IF(B14764=C14764, "YES", "WRONG")</f>
        <v/>
      </c>
    </row>
    <row r="14765">
      <c r="A14765" t="n">
        <v>14764</v>
      </c>
      <c r="B14765" t="inlineStr">
        <is>
          <t>x̄MV̅DCCLXIV</t>
        </is>
      </c>
      <c r="C14765">
        <f>ROMAN(14764)</f>
        <v/>
      </c>
      <c r="D14765">
        <f>IF(B14765=C14765, "YES", "WRONG")</f>
        <v/>
      </c>
    </row>
    <row r="14766">
      <c r="A14766" t="n">
        <v>14765</v>
      </c>
      <c r="B14766" t="inlineStr">
        <is>
          <t>x̄MV̅DCCLXV</t>
        </is>
      </c>
      <c r="C14766">
        <f>ROMAN(14765)</f>
        <v/>
      </c>
      <c r="D14766">
        <f>IF(B14766=C14766, "YES", "WRONG")</f>
        <v/>
      </c>
    </row>
    <row r="14767">
      <c r="A14767" t="n">
        <v>14766</v>
      </c>
      <c r="B14767" t="inlineStr">
        <is>
          <t>x̄MV̅DCCLXVI</t>
        </is>
      </c>
      <c r="C14767">
        <f>ROMAN(14766)</f>
        <v/>
      </c>
      <c r="D14767">
        <f>IF(B14767=C14767, "YES", "WRONG")</f>
        <v/>
      </c>
    </row>
    <row r="14768">
      <c r="A14768" t="n">
        <v>14767</v>
      </c>
      <c r="B14768" t="inlineStr">
        <is>
          <t>x̄MV̅DCCLXVII</t>
        </is>
      </c>
      <c r="C14768">
        <f>ROMAN(14767)</f>
        <v/>
      </c>
      <c r="D14768">
        <f>IF(B14768=C14768, "YES", "WRONG")</f>
        <v/>
      </c>
    </row>
    <row r="14769">
      <c r="A14769" t="n">
        <v>14768</v>
      </c>
      <c r="B14769" t="inlineStr">
        <is>
          <t>x̄MV̅DCCLXVIII</t>
        </is>
      </c>
      <c r="C14769">
        <f>ROMAN(14768)</f>
        <v/>
      </c>
      <c r="D14769">
        <f>IF(B14769=C14769, "YES", "WRONG")</f>
        <v/>
      </c>
    </row>
    <row r="14770">
      <c r="A14770" t="n">
        <v>14769</v>
      </c>
      <c r="B14770" t="inlineStr">
        <is>
          <t>x̄MV̅DCCLXIX</t>
        </is>
      </c>
      <c r="C14770">
        <f>ROMAN(14769)</f>
        <v/>
      </c>
      <c r="D14770">
        <f>IF(B14770=C14770, "YES", "WRONG")</f>
        <v/>
      </c>
    </row>
    <row r="14771">
      <c r="A14771" t="n">
        <v>14770</v>
      </c>
      <c r="B14771" t="inlineStr">
        <is>
          <t>x̄MV̅DCCLXX</t>
        </is>
      </c>
      <c r="C14771">
        <f>ROMAN(14770)</f>
        <v/>
      </c>
      <c r="D14771">
        <f>IF(B14771=C14771, "YES", "WRONG")</f>
        <v/>
      </c>
    </row>
    <row r="14772">
      <c r="A14772" t="n">
        <v>14771</v>
      </c>
      <c r="B14772" t="inlineStr">
        <is>
          <t>x̄MV̅DCCLXXI</t>
        </is>
      </c>
      <c r="C14772">
        <f>ROMAN(14771)</f>
        <v/>
      </c>
      <c r="D14772">
        <f>IF(B14772=C14772, "YES", "WRONG")</f>
        <v/>
      </c>
    </row>
    <row r="14773">
      <c r="A14773" t="n">
        <v>14772</v>
      </c>
      <c r="B14773" t="inlineStr">
        <is>
          <t>x̄MV̅DCCLXXII</t>
        </is>
      </c>
      <c r="C14773">
        <f>ROMAN(14772)</f>
        <v/>
      </c>
      <c r="D14773">
        <f>IF(B14773=C14773, "YES", "WRONG")</f>
        <v/>
      </c>
    </row>
    <row r="14774">
      <c r="A14774" t="n">
        <v>14773</v>
      </c>
      <c r="B14774" t="inlineStr">
        <is>
          <t>x̄MV̅DCCLXXIII</t>
        </is>
      </c>
      <c r="C14774">
        <f>ROMAN(14773)</f>
        <v/>
      </c>
      <c r="D14774">
        <f>IF(B14774=C14774, "YES", "WRONG")</f>
        <v/>
      </c>
    </row>
    <row r="14775">
      <c r="A14775" t="n">
        <v>14774</v>
      </c>
      <c r="B14775" t="inlineStr">
        <is>
          <t>x̄MV̅DCCLXXIV</t>
        </is>
      </c>
      <c r="C14775">
        <f>ROMAN(14774)</f>
        <v/>
      </c>
      <c r="D14775">
        <f>IF(B14775=C14775, "YES", "WRONG")</f>
        <v/>
      </c>
    </row>
    <row r="14776">
      <c r="A14776" t="n">
        <v>14775</v>
      </c>
      <c r="B14776" t="inlineStr">
        <is>
          <t>x̄MV̅DCCLXXV</t>
        </is>
      </c>
      <c r="C14776">
        <f>ROMAN(14775)</f>
        <v/>
      </c>
      <c r="D14776">
        <f>IF(B14776=C14776, "YES", "WRONG")</f>
        <v/>
      </c>
    </row>
    <row r="14777">
      <c r="A14777" t="n">
        <v>14776</v>
      </c>
      <c r="B14777" t="inlineStr">
        <is>
          <t>x̄MV̅DCCLXXVI</t>
        </is>
      </c>
      <c r="C14777">
        <f>ROMAN(14776)</f>
        <v/>
      </c>
      <c r="D14777">
        <f>IF(B14777=C14777, "YES", "WRONG")</f>
        <v/>
      </c>
    </row>
    <row r="14778">
      <c r="A14778" t="n">
        <v>14777</v>
      </c>
      <c r="B14778" t="inlineStr">
        <is>
          <t>x̄MV̅DCCLXXVII</t>
        </is>
      </c>
      <c r="C14778">
        <f>ROMAN(14777)</f>
        <v/>
      </c>
      <c r="D14778">
        <f>IF(B14778=C14778, "YES", "WRONG")</f>
        <v/>
      </c>
    </row>
    <row r="14779">
      <c r="A14779" t="n">
        <v>14778</v>
      </c>
      <c r="B14779" t="inlineStr">
        <is>
          <t>x̄MV̅DCCLXXVIII</t>
        </is>
      </c>
      <c r="C14779">
        <f>ROMAN(14778)</f>
        <v/>
      </c>
      <c r="D14779">
        <f>IF(B14779=C14779, "YES", "WRONG")</f>
        <v/>
      </c>
    </row>
    <row r="14780">
      <c r="A14780" t="n">
        <v>14779</v>
      </c>
      <c r="B14780" t="inlineStr">
        <is>
          <t>x̄MV̅DCCLXXIX</t>
        </is>
      </c>
      <c r="C14780">
        <f>ROMAN(14779)</f>
        <v/>
      </c>
      <c r="D14780">
        <f>IF(B14780=C14780, "YES", "WRONG")</f>
        <v/>
      </c>
    </row>
    <row r="14781">
      <c r="A14781" t="n">
        <v>14780</v>
      </c>
      <c r="B14781" t="inlineStr">
        <is>
          <t>x̄MV̅DCCLXXX</t>
        </is>
      </c>
      <c r="C14781">
        <f>ROMAN(14780)</f>
        <v/>
      </c>
      <c r="D14781">
        <f>IF(B14781=C14781, "YES", "WRONG")</f>
        <v/>
      </c>
    </row>
    <row r="14782">
      <c r="A14782" t="n">
        <v>14781</v>
      </c>
      <c r="B14782" t="inlineStr">
        <is>
          <t>x̄MV̅DCCLXXXI</t>
        </is>
      </c>
      <c r="C14782">
        <f>ROMAN(14781)</f>
        <v/>
      </c>
      <c r="D14782">
        <f>IF(B14782=C14782, "YES", "WRONG")</f>
        <v/>
      </c>
    </row>
    <row r="14783">
      <c r="A14783" t="n">
        <v>14782</v>
      </c>
      <c r="B14783" t="inlineStr">
        <is>
          <t>x̄MV̅DCCLXXXII</t>
        </is>
      </c>
      <c r="C14783">
        <f>ROMAN(14782)</f>
        <v/>
      </c>
      <c r="D14783">
        <f>IF(B14783=C14783, "YES", "WRONG")</f>
        <v/>
      </c>
    </row>
    <row r="14784">
      <c r="A14784" t="n">
        <v>14783</v>
      </c>
      <c r="B14784" t="inlineStr">
        <is>
          <t>x̄MV̅DCCLXXXIII</t>
        </is>
      </c>
      <c r="C14784">
        <f>ROMAN(14783)</f>
        <v/>
      </c>
      <c r="D14784">
        <f>IF(B14784=C14784, "YES", "WRONG")</f>
        <v/>
      </c>
    </row>
    <row r="14785">
      <c r="A14785" t="n">
        <v>14784</v>
      </c>
      <c r="B14785" t="inlineStr">
        <is>
          <t>x̄MV̅DCCLXXXIV</t>
        </is>
      </c>
      <c r="C14785">
        <f>ROMAN(14784)</f>
        <v/>
      </c>
      <c r="D14785">
        <f>IF(B14785=C14785, "YES", "WRONG")</f>
        <v/>
      </c>
    </row>
    <row r="14786">
      <c r="A14786" t="n">
        <v>14785</v>
      </c>
      <c r="B14786" t="inlineStr">
        <is>
          <t>x̄MV̅DCCLXXXV</t>
        </is>
      </c>
      <c r="C14786">
        <f>ROMAN(14785)</f>
        <v/>
      </c>
      <c r="D14786">
        <f>IF(B14786=C14786, "YES", "WRONG")</f>
        <v/>
      </c>
    </row>
    <row r="14787">
      <c r="A14787" t="n">
        <v>14786</v>
      </c>
      <c r="B14787" t="inlineStr">
        <is>
          <t>x̄MV̅DCCLXXXVI</t>
        </is>
      </c>
      <c r="C14787">
        <f>ROMAN(14786)</f>
        <v/>
      </c>
      <c r="D14787">
        <f>IF(B14787=C14787, "YES", "WRONG")</f>
        <v/>
      </c>
    </row>
    <row r="14788">
      <c r="A14788" t="n">
        <v>14787</v>
      </c>
      <c r="B14788" t="inlineStr">
        <is>
          <t>x̄MV̅DCCLXXXVII</t>
        </is>
      </c>
      <c r="C14788">
        <f>ROMAN(14787)</f>
        <v/>
      </c>
      <c r="D14788">
        <f>IF(B14788=C14788, "YES", "WRONG")</f>
        <v/>
      </c>
    </row>
    <row r="14789">
      <c r="A14789" t="n">
        <v>14788</v>
      </c>
      <c r="B14789" t="inlineStr">
        <is>
          <t>x̄MV̅DCCLXXXVIII</t>
        </is>
      </c>
      <c r="C14789">
        <f>ROMAN(14788)</f>
        <v/>
      </c>
      <c r="D14789">
        <f>IF(B14789=C14789, "YES", "WRONG")</f>
        <v/>
      </c>
    </row>
    <row r="14790">
      <c r="A14790" t="n">
        <v>14789</v>
      </c>
      <c r="B14790" t="inlineStr">
        <is>
          <t>x̄MV̅DCCLXXXIX</t>
        </is>
      </c>
      <c r="C14790">
        <f>ROMAN(14789)</f>
        <v/>
      </c>
      <c r="D14790">
        <f>IF(B14790=C14790, "YES", "WRONG")</f>
        <v/>
      </c>
    </row>
    <row r="14791">
      <c r="A14791" t="n">
        <v>14790</v>
      </c>
      <c r="B14791" t="inlineStr">
        <is>
          <t>x̄MV̅DCCXC</t>
        </is>
      </c>
      <c r="C14791">
        <f>ROMAN(14790)</f>
        <v/>
      </c>
      <c r="D14791">
        <f>IF(B14791=C14791, "YES", "WRONG")</f>
        <v/>
      </c>
    </row>
    <row r="14792">
      <c r="A14792" t="n">
        <v>14791</v>
      </c>
      <c r="B14792" t="inlineStr">
        <is>
          <t>x̄MV̅DCCXCI</t>
        </is>
      </c>
      <c r="C14792">
        <f>ROMAN(14791)</f>
        <v/>
      </c>
      <c r="D14792">
        <f>IF(B14792=C14792, "YES", "WRONG")</f>
        <v/>
      </c>
    </row>
    <row r="14793">
      <c r="A14793" t="n">
        <v>14792</v>
      </c>
      <c r="B14793" t="inlineStr">
        <is>
          <t>x̄MV̅DCCXCII</t>
        </is>
      </c>
      <c r="C14793">
        <f>ROMAN(14792)</f>
        <v/>
      </c>
      <c r="D14793">
        <f>IF(B14793=C14793, "YES", "WRONG")</f>
        <v/>
      </c>
    </row>
    <row r="14794">
      <c r="A14794" t="n">
        <v>14793</v>
      </c>
      <c r="B14794" t="inlineStr">
        <is>
          <t>x̄MV̅DCCXCIII</t>
        </is>
      </c>
      <c r="C14794">
        <f>ROMAN(14793)</f>
        <v/>
      </c>
      <c r="D14794">
        <f>IF(B14794=C14794, "YES", "WRONG")</f>
        <v/>
      </c>
    </row>
    <row r="14795">
      <c r="A14795" t="n">
        <v>14794</v>
      </c>
      <c r="B14795" t="inlineStr">
        <is>
          <t>x̄MV̅DCCXCIV</t>
        </is>
      </c>
      <c r="C14795">
        <f>ROMAN(14794)</f>
        <v/>
      </c>
      <c r="D14795">
        <f>IF(B14795=C14795, "YES", "WRONG")</f>
        <v/>
      </c>
    </row>
    <row r="14796">
      <c r="A14796" t="n">
        <v>14795</v>
      </c>
      <c r="B14796" t="inlineStr">
        <is>
          <t>x̄MV̅DCCXCV</t>
        </is>
      </c>
      <c r="C14796">
        <f>ROMAN(14795)</f>
        <v/>
      </c>
      <c r="D14796">
        <f>IF(B14796=C14796, "YES", "WRONG")</f>
        <v/>
      </c>
    </row>
    <row r="14797">
      <c r="A14797" t="n">
        <v>14796</v>
      </c>
      <c r="B14797" t="inlineStr">
        <is>
          <t>x̄MV̅DCCXCVI</t>
        </is>
      </c>
      <c r="C14797">
        <f>ROMAN(14796)</f>
        <v/>
      </c>
      <c r="D14797">
        <f>IF(B14797=C14797, "YES", "WRONG")</f>
        <v/>
      </c>
    </row>
    <row r="14798">
      <c r="A14798" t="n">
        <v>14797</v>
      </c>
      <c r="B14798" t="inlineStr">
        <is>
          <t>x̄MV̅DCCXCVII</t>
        </is>
      </c>
      <c r="C14798">
        <f>ROMAN(14797)</f>
        <v/>
      </c>
      <c r="D14798">
        <f>IF(B14798=C14798, "YES", "WRONG")</f>
        <v/>
      </c>
    </row>
    <row r="14799">
      <c r="A14799" t="n">
        <v>14798</v>
      </c>
      <c r="B14799" t="inlineStr">
        <is>
          <t>x̄MV̅DCCXCVIII</t>
        </is>
      </c>
      <c r="C14799">
        <f>ROMAN(14798)</f>
        <v/>
      </c>
      <c r="D14799">
        <f>IF(B14799=C14799, "YES", "WRONG")</f>
        <v/>
      </c>
    </row>
    <row r="14800">
      <c r="A14800" t="n">
        <v>14799</v>
      </c>
      <c r="B14800" t="inlineStr">
        <is>
          <t>x̄MV̅DCCXCIX</t>
        </is>
      </c>
      <c r="C14800">
        <f>ROMAN(14799)</f>
        <v/>
      </c>
      <c r="D14800">
        <f>IF(B14800=C14800, "YES", "WRONG")</f>
        <v/>
      </c>
    </row>
    <row r="14801">
      <c r="A14801" t="n">
        <v>14800</v>
      </c>
      <c r="B14801" t="inlineStr">
        <is>
          <t>x̄MV̅DCCC</t>
        </is>
      </c>
      <c r="C14801">
        <f>ROMAN(14800)</f>
        <v/>
      </c>
      <c r="D14801">
        <f>IF(B14801=C14801, "YES", "WRONG")</f>
        <v/>
      </c>
    </row>
    <row r="14802">
      <c r="A14802" t="n">
        <v>14801</v>
      </c>
      <c r="B14802" t="inlineStr">
        <is>
          <t>x̄MV̅DCCCI</t>
        </is>
      </c>
      <c r="C14802">
        <f>ROMAN(14801)</f>
        <v/>
      </c>
      <c r="D14802">
        <f>IF(B14802=C14802, "YES", "WRONG")</f>
        <v/>
      </c>
    </row>
    <row r="14803">
      <c r="A14803" t="n">
        <v>14802</v>
      </c>
      <c r="B14803" t="inlineStr">
        <is>
          <t>x̄MV̅DCCCII</t>
        </is>
      </c>
      <c r="C14803">
        <f>ROMAN(14802)</f>
        <v/>
      </c>
      <c r="D14803">
        <f>IF(B14803=C14803, "YES", "WRONG")</f>
        <v/>
      </c>
    </row>
    <row r="14804">
      <c r="A14804" t="n">
        <v>14803</v>
      </c>
      <c r="B14804" t="inlineStr">
        <is>
          <t>x̄MV̅DCCCIII</t>
        </is>
      </c>
      <c r="C14804">
        <f>ROMAN(14803)</f>
        <v/>
      </c>
      <c r="D14804">
        <f>IF(B14804=C14804, "YES", "WRONG")</f>
        <v/>
      </c>
    </row>
    <row r="14805">
      <c r="A14805" t="n">
        <v>14804</v>
      </c>
      <c r="B14805" t="inlineStr">
        <is>
          <t>x̄MV̅DCCCIV</t>
        </is>
      </c>
      <c r="C14805">
        <f>ROMAN(14804)</f>
        <v/>
      </c>
      <c r="D14805">
        <f>IF(B14805=C14805, "YES", "WRONG")</f>
        <v/>
      </c>
    </row>
    <row r="14806">
      <c r="A14806" t="n">
        <v>14805</v>
      </c>
      <c r="B14806" t="inlineStr">
        <is>
          <t>x̄MV̅DCCCV</t>
        </is>
      </c>
      <c r="C14806">
        <f>ROMAN(14805)</f>
        <v/>
      </c>
      <c r="D14806">
        <f>IF(B14806=C14806, "YES", "WRONG")</f>
        <v/>
      </c>
    </row>
    <row r="14807">
      <c r="A14807" t="n">
        <v>14806</v>
      </c>
      <c r="B14807" t="inlineStr">
        <is>
          <t>x̄MV̅DCCCVI</t>
        </is>
      </c>
      <c r="C14807">
        <f>ROMAN(14806)</f>
        <v/>
      </c>
      <c r="D14807">
        <f>IF(B14807=C14807, "YES", "WRONG")</f>
        <v/>
      </c>
    </row>
    <row r="14808">
      <c r="A14808" t="n">
        <v>14807</v>
      </c>
      <c r="B14808" t="inlineStr">
        <is>
          <t>x̄MV̅DCCCVII</t>
        </is>
      </c>
      <c r="C14808">
        <f>ROMAN(14807)</f>
        <v/>
      </c>
      <c r="D14808">
        <f>IF(B14808=C14808, "YES", "WRONG")</f>
        <v/>
      </c>
    </row>
    <row r="14809">
      <c r="A14809" t="n">
        <v>14808</v>
      </c>
      <c r="B14809" t="inlineStr">
        <is>
          <t>x̄MV̅DCCCVIII</t>
        </is>
      </c>
      <c r="C14809">
        <f>ROMAN(14808)</f>
        <v/>
      </c>
      <c r="D14809">
        <f>IF(B14809=C14809, "YES", "WRONG")</f>
        <v/>
      </c>
    </row>
    <row r="14810">
      <c r="A14810" t="n">
        <v>14809</v>
      </c>
      <c r="B14810" t="inlineStr">
        <is>
          <t>x̄MV̅DCCCIX</t>
        </is>
      </c>
      <c r="C14810">
        <f>ROMAN(14809)</f>
        <v/>
      </c>
      <c r="D14810">
        <f>IF(B14810=C14810, "YES", "WRONG")</f>
        <v/>
      </c>
    </row>
    <row r="14811">
      <c r="A14811" t="n">
        <v>14810</v>
      </c>
      <c r="B14811" t="inlineStr">
        <is>
          <t>x̄MV̅DCCCX</t>
        </is>
      </c>
      <c r="C14811">
        <f>ROMAN(14810)</f>
        <v/>
      </c>
      <c r="D14811">
        <f>IF(B14811=C14811, "YES", "WRONG")</f>
        <v/>
      </c>
    </row>
    <row r="14812">
      <c r="A14812" t="n">
        <v>14811</v>
      </c>
      <c r="B14812" t="inlineStr">
        <is>
          <t>x̄MV̅DCCCXI</t>
        </is>
      </c>
      <c r="C14812">
        <f>ROMAN(14811)</f>
        <v/>
      </c>
      <c r="D14812">
        <f>IF(B14812=C14812, "YES", "WRONG")</f>
        <v/>
      </c>
    </row>
    <row r="14813">
      <c r="A14813" t="n">
        <v>14812</v>
      </c>
      <c r="B14813" t="inlineStr">
        <is>
          <t>x̄MV̅DCCCXII</t>
        </is>
      </c>
      <c r="C14813">
        <f>ROMAN(14812)</f>
        <v/>
      </c>
      <c r="D14813">
        <f>IF(B14813=C14813, "YES", "WRONG")</f>
        <v/>
      </c>
    </row>
    <row r="14814">
      <c r="A14814" t="n">
        <v>14813</v>
      </c>
      <c r="B14814" t="inlineStr">
        <is>
          <t>x̄MV̅DCCCXIII</t>
        </is>
      </c>
      <c r="C14814">
        <f>ROMAN(14813)</f>
        <v/>
      </c>
      <c r="D14814">
        <f>IF(B14814=C14814, "YES", "WRONG")</f>
        <v/>
      </c>
    </row>
    <row r="14815">
      <c r="A14815" t="n">
        <v>14814</v>
      </c>
      <c r="B14815" t="inlineStr">
        <is>
          <t>x̄MV̅DCCCXIV</t>
        </is>
      </c>
      <c r="C14815">
        <f>ROMAN(14814)</f>
        <v/>
      </c>
      <c r="D14815">
        <f>IF(B14815=C14815, "YES", "WRONG")</f>
        <v/>
      </c>
    </row>
    <row r="14816">
      <c r="A14816" t="n">
        <v>14815</v>
      </c>
      <c r="B14816" t="inlineStr">
        <is>
          <t>x̄MV̅DCCCXV</t>
        </is>
      </c>
      <c r="C14816">
        <f>ROMAN(14815)</f>
        <v/>
      </c>
      <c r="D14816">
        <f>IF(B14816=C14816, "YES", "WRONG")</f>
        <v/>
      </c>
    </row>
    <row r="14817">
      <c r="A14817" t="n">
        <v>14816</v>
      </c>
      <c r="B14817" t="inlineStr">
        <is>
          <t>x̄MV̅DCCCXVI</t>
        </is>
      </c>
      <c r="C14817">
        <f>ROMAN(14816)</f>
        <v/>
      </c>
      <c r="D14817">
        <f>IF(B14817=C14817, "YES", "WRONG")</f>
        <v/>
      </c>
    </row>
    <row r="14818">
      <c r="A14818" t="n">
        <v>14817</v>
      </c>
      <c r="B14818" t="inlineStr">
        <is>
          <t>x̄MV̅DCCCXVII</t>
        </is>
      </c>
      <c r="C14818">
        <f>ROMAN(14817)</f>
        <v/>
      </c>
      <c r="D14818">
        <f>IF(B14818=C14818, "YES", "WRONG")</f>
        <v/>
      </c>
    </row>
    <row r="14819">
      <c r="A14819" t="n">
        <v>14818</v>
      </c>
      <c r="B14819" t="inlineStr">
        <is>
          <t>x̄MV̅DCCCXVIII</t>
        </is>
      </c>
      <c r="C14819">
        <f>ROMAN(14818)</f>
        <v/>
      </c>
      <c r="D14819">
        <f>IF(B14819=C14819, "YES", "WRONG")</f>
        <v/>
      </c>
    </row>
    <row r="14820">
      <c r="A14820" t="n">
        <v>14819</v>
      </c>
      <c r="B14820" t="inlineStr">
        <is>
          <t>x̄MV̅DCCCXIX</t>
        </is>
      </c>
      <c r="C14820">
        <f>ROMAN(14819)</f>
        <v/>
      </c>
      <c r="D14820">
        <f>IF(B14820=C14820, "YES", "WRONG")</f>
        <v/>
      </c>
    </row>
    <row r="14821">
      <c r="A14821" t="n">
        <v>14820</v>
      </c>
      <c r="B14821" t="inlineStr">
        <is>
          <t>x̄MV̅DCCCXX</t>
        </is>
      </c>
      <c r="C14821">
        <f>ROMAN(14820)</f>
        <v/>
      </c>
      <c r="D14821">
        <f>IF(B14821=C14821, "YES", "WRONG")</f>
        <v/>
      </c>
    </row>
    <row r="14822">
      <c r="A14822" t="n">
        <v>14821</v>
      </c>
      <c r="B14822" t="inlineStr">
        <is>
          <t>x̄MV̅DCCCXXI</t>
        </is>
      </c>
      <c r="C14822">
        <f>ROMAN(14821)</f>
        <v/>
      </c>
      <c r="D14822">
        <f>IF(B14822=C14822, "YES", "WRONG")</f>
        <v/>
      </c>
    </row>
    <row r="14823">
      <c r="A14823" t="n">
        <v>14822</v>
      </c>
      <c r="B14823" t="inlineStr">
        <is>
          <t>x̄MV̅DCCCXXII</t>
        </is>
      </c>
      <c r="C14823">
        <f>ROMAN(14822)</f>
        <v/>
      </c>
      <c r="D14823">
        <f>IF(B14823=C14823, "YES", "WRONG")</f>
        <v/>
      </c>
    </row>
    <row r="14824">
      <c r="A14824" t="n">
        <v>14823</v>
      </c>
      <c r="B14824" t="inlineStr">
        <is>
          <t>x̄MV̅DCCCXXIII</t>
        </is>
      </c>
      <c r="C14824">
        <f>ROMAN(14823)</f>
        <v/>
      </c>
      <c r="D14824">
        <f>IF(B14824=C14824, "YES", "WRONG")</f>
        <v/>
      </c>
    </row>
    <row r="14825">
      <c r="A14825" t="n">
        <v>14824</v>
      </c>
      <c r="B14825" t="inlineStr">
        <is>
          <t>x̄MV̅DCCCXXIV</t>
        </is>
      </c>
      <c r="C14825">
        <f>ROMAN(14824)</f>
        <v/>
      </c>
      <c r="D14825">
        <f>IF(B14825=C14825, "YES", "WRONG")</f>
        <v/>
      </c>
    </row>
    <row r="14826">
      <c r="A14826" t="n">
        <v>14825</v>
      </c>
      <c r="B14826" t="inlineStr">
        <is>
          <t>x̄MV̅DCCCXXV</t>
        </is>
      </c>
      <c r="C14826">
        <f>ROMAN(14825)</f>
        <v/>
      </c>
      <c r="D14826">
        <f>IF(B14826=C14826, "YES", "WRONG")</f>
        <v/>
      </c>
    </row>
    <row r="14827">
      <c r="A14827" t="n">
        <v>14826</v>
      </c>
      <c r="B14827" t="inlineStr">
        <is>
          <t>x̄MV̅DCCCXXVI</t>
        </is>
      </c>
      <c r="C14827">
        <f>ROMAN(14826)</f>
        <v/>
      </c>
      <c r="D14827">
        <f>IF(B14827=C14827, "YES", "WRONG")</f>
        <v/>
      </c>
    </row>
    <row r="14828">
      <c r="A14828" t="n">
        <v>14827</v>
      </c>
      <c r="B14828" t="inlineStr">
        <is>
          <t>x̄MV̅DCCCXXVII</t>
        </is>
      </c>
      <c r="C14828">
        <f>ROMAN(14827)</f>
        <v/>
      </c>
      <c r="D14828">
        <f>IF(B14828=C14828, "YES", "WRONG")</f>
        <v/>
      </c>
    </row>
    <row r="14829">
      <c r="A14829" t="n">
        <v>14828</v>
      </c>
      <c r="B14829" t="inlineStr">
        <is>
          <t>x̄MV̅DCCCXXVIII</t>
        </is>
      </c>
      <c r="C14829">
        <f>ROMAN(14828)</f>
        <v/>
      </c>
      <c r="D14829">
        <f>IF(B14829=C14829, "YES", "WRONG")</f>
        <v/>
      </c>
    </row>
    <row r="14830">
      <c r="A14830" t="n">
        <v>14829</v>
      </c>
      <c r="B14830" t="inlineStr">
        <is>
          <t>x̄MV̅DCCCXXIX</t>
        </is>
      </c>
      <c r="C14830">
        <f>ROMAN(14829)</f>
        <v/>
      </c>
      <c r="D14830">
        <f>IF(B14830=C14830, "YES", "WRONG")</f>
        <v/>
      </c>
    </row>
    <row r="14831">
      <c r="A14831" t="n">
        <v>14830</v>
      </c>
      <c r="B14831" t="inlineStr">
        <is>
          <t>x̄MV̅DCCCXXX</t>
        </is>
      </c>
      <c r="C14831">
        <f>ROMAN(14830)</f>
        <v/>
      </c>
      <c r="D14831">
        <f>IF(B14831=C14831, "YES", "WRONG")</f>
        <v/>
      </c>
    </row>
    <row r="14832">
      <c r="A14832" t="n">
        <v>14831</v>
      </c>
      <c r="B14832" t="inlineStr">
        <is>
          <t>x̄MV̅DCCCXXXI</t>
        </is>
      </c>
      <c r="C14832">
        <f>ROMAN(14831)</f>
        <v/>
      </c>
      <c r="D14832">
        <f>IF(B14832=C14832, "YES", "WRONG")</f>
        <v/>
      </c>
    </row>
    <row r="14833">
      <c r="A14833" t="n">
        <v>14832</v>
      </c>
      <c r="B14833" t="inlineStr">
        <is>
          <t>x̄MV̅DCCCXXXII</t>
        </is>
      </c>
      <c r="C14833">
        <f>ROMAN(14832)</f>
        <v/>
      </c>
      <c r="D14833">
        <f>IF(B14833=C14833, "YES", "WRONG")</f>
        <v/>
      </c>
    </row>
    <row r="14834">
      <c r="A14834" t="n">
        <v>14833</v>
      </c>
      <c r="B14834" t="inlineStr">
        <is>
          <t>x̄MV̅DCCCXXXIII</t>
        </is>
      </c>
      <c r="C14834">
        <f>ROMAN(14833)</f>
        <v/>
      </c>
      <c r="D14834">
        <f>IF(B14834=C14834, "YES", "WRONG")</f>
        <v/>
      </c>
    </row>
    <row r="14835">
      <c r="A14835" t="n">
        <v>14834</v>
      </c>
      <c r="B14835" t="inlineStr">
        <is>
          <t>x̄MV̅DCCCXXXIV</t>
        </is>
      </c>
      <c r="C14835">
        <f>ROMAN(14834)</f>
        <v/>
      </c>
      <c r="D14835">
        <f>IF(B14835=C14835, "YES", "WRONG")</f>
        <v/>
      </c>
    </row>
    <row r="14836">
      <c r="A14836" t="n">
        <v>14835</v>
      </c>
      <c r="B14836" t="inlineStr">
        <is>
          <t>x̄MV̅DCCCXXXV</t>
        </is>
      </c>
      <c r="C14836">
        <f>ROMAN(14835)</f>
        <v/>
      </c>
      <c r="D14836">
        <f>IF(B14836=C14836, "YES", "WRONG")</f>
        <v/>
      </c>
    </row>
    <row r="14837">
      <c r="A14837" t="n">
        <v>14836</v>
      </c>
      <c r="B14837" t="inlineStr">
        <is>
          <t>x̄MV̅DCCCXXXVI</t>
        </is>
      </c>
      <c r="C14837">
        <f>ROMAN(14836)</f>
        <v/>
      </c>
      <c r="D14837">
        <f>IF(B14837=C14837, "YES", "WRONG")</f>
        <v/>
      </c>
    </row>
    <row r="14838">
      <c r="A14838" t="n">
        <v>14837</v>
      </c>
      <c r="B14838" t="inlineStr">
        <is>
          <t>x̄MV̅DCCCXXXVII</t>
        </is>
      </c>
      <c r="C14838">
        <f>ROMAN(14837)</f>
        <v/>
      </c>
      <c r="D14838">
        <f>IF(B14838=C14838, "YES", "WRONG")</f>
        <v/>
      </c>
    </row>
    <row r="14839">
      <c r="A14839" t="n">
        <v>14838</v>
      </c>
      <c r="B14839" t="inlineStr">
        <is>
          <t>x̄MV̅DCCCXXXVIII</t>
        </is>
      </c>
      <c r="C14839">
        <f>ROMAN(14838)</f>
        <v/>
      </c>
      <c r="D14839">
        <f>IF(B14839=C14839, "YES", "WRONG")</f>
        <v/>
      </c>
    </row>
    <row r="14840">
      <c r="A14840" t="n">
        <v>14839</v>
      </c>
      <c r="B14840" t="inlineStr">
        <is>
          <t>x̄MV̅DCCCXXXIX</t>
        </is>
      </c>
      <c r="C14840">
        <f>ROMAN(14839)</f>
        <v/>
      </c>
      <c r="D14840">
        <f>IF(B14840=C14840, "YES", "WRONG")</f>
        <v/>
      </c>
    </row>
    <row r="14841">
      <c r="A14841" t="n">
        <v>14840</v>
      </c>
      <c r="B14841" t="inlineStr">
        <is>
          <t>x̄MV̅DCCCXL</t>
        </is>
      </c>
      <c r="C14841">
        <f>ROMAN(14840)</f>
        <v/>
      </c>
      <c r="D14841">
        <f>IF(B14841=C14841, "YES", "WRONG")</f>
        <v/>
      </c>
    </row>
    <row r="14842">
      <c r="A14842" t="n">
        <v>14841</v>
      </c>
      <c r="B14842" t="inlineStr">
        <is>
          <t>x̄MV̅DCCCXLI</t>
        </is>
      </c>
      <c r="C14842">
        <f>ROMAN(14841)</f>
        <v/>
      </c>
      <c r="D14842">
        <f>IF(B14842=C14842, "YES", "WRONG")</f>
        <v/>
      </c>
    </row>
    <row r="14843">
      <c r="A14843" t="n">
        <v>14842</v>
      </c>
      <c r="B14843" t="inlineStr">
        <is>
          <t>x̄MV̅DCCCXLII</t>
        </is>
      </c>
      <c r="C14843">
        <f>ROMAN(14842)</f>
        <v/>
      </c>
      <c r="D14843">
        <f>IF(B14843=C14843, "YES", "WRONG")</f>
        <v/>
      </c>
    </row>
    <row r="14844">
      <c r="A14844" t="n">
        <v>14843</v>
      </c>
      <c r="B14844" t="inlineStr">
        <is>
          <t>x̄MV̅DCCCXLIII</t>
        </is>
      </c>
      <c r="C14844">
        <f>ROMAN(14843)</f>
        <v/>
      </c>
      <c r="D14844">
        <f>IF(B14844=C14844, "YES", "WRONG")</f>
        <v/>
      </c>
    </row>
    <row r="14845">
      <c r="A14845" t="n">
        <v>14844</v>
      </c>
      <c r="B14845" t="inlineStr">
        <is>
          <t>x̄MV̅DCCCXLIV</t>
        </is>
      </c>
      <c r="C14845">
        <f>ROMAN(14844)</f>
        <v/>
      </c>
      <c r="D14845">
        <f>IF(B14845=C14845, "YES", "WRONG")</f>
        <v/>
      </c>
    </row>
    <row r="14846">
      <c r="A14846" t="n">
        <v>14845</v>
      </c>
      <c r="B14846" t="inlineStr">
        <is>
          <t>x̄MV̅DCCCXLV</t>
        </is>
      </c>
      <c r="C14846">
        <f>ROMAN(14845)</f>
        <v/>
      </c>
      <c r="D14846">
        <f>IF(B14846=C14846, "YES", "WRONG")</f>
        <v/>
      </c>
    </row>
    <row r="14847">
      <c r="A14847" t="n">
        <v>14846</v>
      </c>
      <c r="B14847" t="inlineStr">
        <is>
          <t>x̄MV̅DCCCXLVI</t>
        </is>
      </c>
      <c r="C14847">
        <f>ROMAN(14846)</f>
        <v/>
      </c>
      <c r="D14847">
        <f>IF(B14847=C14847, "YES", "WRONG")</f>
        <v/>
      </c>
    </row>
    <row r="14848">
      <c r="A14848" t="n">
        <v>14847</v>
      </c>
      <c r="B14848" t="inlineStr">
        <is>
          <t>x̄MV̅DCCCXLVII</t>
        </is>
      </c>
      <c r="C14848">
        <f>ROMAN(14847)</f>
        <v/>
      </c>
      <c r="D14848">
        <f>IF(B14848=C14848, "YES", "WRONG")</f>
        <v/>
      </c>
    </row>
    <row r="14849">
      <c r="A14849" t="n">
        <v>14848</v>
      </c>
      <c r="B14849" t="inlineStr">
        <is>
          <t>x̄MV̅DCCCXLVIII</t>
        </is>
      </c>
      <c r="C14849">
        <f>ROMAN(14848)</f>
        <v/>
      </c>
      <c r="D14849">
        <f>IF(B14849=C14849, "YES", "WRONG")</f>
        <v/>
      </c>
    </row>
    <row r="14850">
      <c r="A14850" t="n">
        <v>14849</v>
      </c>
      <c r="B14850" t="inlineStr">
        <is>
          <t>x̄MV̅DCCCXLIX</t>
        </is>
      </c>
      <c r="C14850">
        <f>ROMAN(14849)</f>
        <v/>
      </c>
      <c r="D14850">
        <f>IF(B14850=C14850, "YES", "WRONG")</f>
        <v/>
      </c>
    </row>
    <row r="14851">
      <c r="A14851" t="n">
        <v>14850</v>
      </c>
      <c r="B14851" t="inlineStr">
        <is>
          <t>x̄MV̅DCCCL</t>
        </is>
      </c>
      <c r="C14851">
        <f>ROMAN(14850)</f>
        <v/>
      </c>
      <c r="D14851">
        <f>IF(B14851=C14851, "YES", "WRONG")</f>
        <v/>
      </c>
    </row>
    <row r="14852">
      <c r="A14852" t="n">
        <v>14851</v>
      </c>
      <c r="B14852" t="inlineStr">
        <is>
          <t>x̄MV̅DCCCLI</t>
        </is>
      </c>
      <c r="C14852">
        <f>ROMAN(14851)</f>
        <v/>
      </c>
      <c r="D14852">
        <f>IF(B14852=C14852, "YES", "WRONG")</f>
        <v/>
      </c>
    </row>
    <row r="14853">
      <c r="A14853" t="n">
        <v>14852</v>
      </c>
      <c r="B14853" t="inlineStr">
        <is>
          <t>x̄MV̅DCCCLII</t>
        </is>
      </c>
      <c r="C14853">
        <f>ROMAN(14852)</f>
        <v/>
      </c>
      <c r="D14853">
        <f>IF(B14853=C14853, "YES", "WRONG")</f>
        <v/>
      </c>
    </row>
    <row r="14854">
      <c r="A14854" t="n">
        <v>14853</v>
      </c>
      <c r="B14854" t="inlineStr">
        <is>
          <t>x̄MV̅DCCCLIII</t>
        </is>
      </c>
      <c r="C14854">
        <f>ROMAN(14853)</f>
        <v/>
      </c>
      <c r="D14854">
        <f>IF(B14854=C14854, "YES", "WRONG")</f>
        <v/>
      </c>
    </row>
    <row r="14855">
      <c r="A14855" t="n">
        <v>14854</v>
      </c>
      <c r="B14855" t="inlineStr">
        <is>
          <t>x̄MV̅DCCCLIV</t>
        </is>
      </c>
      <c r="C14855">
        <f>ROMAN(14854)</f>
        <v/>
      </c>
      <c r="D14855">
        <f>IF(B14855=C14855, "YES", "WRONG")</f>
        <v/>
      </c>
    </row>
    <row r="14856">
      <c r="A14856" t="n">
        <v>14855</v>
      </c>
      <c r="B14856" t="inlineStr">
        <is>
          <t>x̄MV̅DCCCLV</t>
        </is>
      </c>
      <c r="C14856">
        <f>ROMAN(14855)</f>
        <v/>
      </c>
      <c r="D14856">
        <f>IF(B14856=C14856, "YES", "WRONG")</f>
        <v/>
      </c>
    </row>
    <row r="14857">
      <c r="A14857" t="n">
        <v>14856</v>
      </c>
      <c r="B14857" t="inlineStr">
        <is>
          <t>x̄MV̅DCCCLVI</t>
        </is>
      </c>
      <c r="C14857">
        <f>ROMAN(14856)</f>
        <v/>
      </c>
      <c r="D14857">
        <f>IF(B14857=C14857, "YES", "WRONG")</f>
        <v/>
      </c>
    </row>
    <row r="14858">
      <c r="A14858" t="n">
        <v>14857</v>
      </c>
      <c r="B14858" t="inlineStr">
        <is>
          <t>x̄MV̅DCCCLVII</t>
        </is>
      </c>
      <c r="C14858">
        <f>ROMAN(14857)</f>
        <v/>
      </c>
      <c r="D14858">
        <f>IF(B14858=C14858, "YES", "WRONG")</f>
        <v/>
      </c>
    </row>
    <row r="14859">
      <c r="A14859" t="n">
        <v>14858</v>
      </c>
      <c r="B14859" t="inlineStr">
        <is>
          <t>x̄MV̅DCCCLVIII</t>
        </is>
      </c>
      <c r="C14859">
        <f>ROMAN(14858)</f>
        <v/>
      </c>
      <c r="D14859">
        <f>IF(B14859=C14859, "YES", "WRONG")</f>
        <v/>
      </c>
    </row>
    <row r="14860">
      <c r="A14860" t="n">
        <v>14859</v>
      </c>
      <c r="B14860" t="inlineStr">
        <is>
          <t>x̄MV̅DCCCLIX</t>
        </is>
      </c>
      <c r="C14860">
        <f>ROMAN(14859)</f>
        <v/>
      </c>
      <c r="D14860">
        <f>IF(B14860=C14860, "YES", "WRONG")</f>
        <v/>
      </c>
    </row>
    <row r="14861">
      <c r="A14861" t="n">
        <v>14860</v>
      </c>
      <c r="B14861" t="inlineStr">
        <is>
          <t>x̄MV̅DCCCLX</t>
        </is>
      </c>
      <c r="C14861">
        <f>ROMAN(14860)</f>
        <v/>
      </c>
      <c r="D14861">
        <f>IF(B14861=C14861, "YES", "WRONG")</f>
        <v/>
      </c>
    </row>
    <row r="14862">
      <c r="A14862" t="n">
        <v>14861</v>
      </c>
      <c r="B14862" t="inlineStr">
        <is>
          <t>x̄MV̅DCCCLXI</t>
        </is>
      </c>
      <c r="C14862">
        <f>ROMAN(14861)</f>
        <v/>
      </c>
      <c r="D14862">
        <f>IF(B14862=C14862, "YES", "WRONG")</f>
        <v/>
      </c>
    </row>
    <row r="14863">
      <c r="A14863" t="n">
        <v>14862</v>
      </c>
      <c r="B14863" t="inlineStr">
        <is>
          <t>x̄MV̅DCCCLXII</t>
        </is>
      </c>
      <c r="C14863">
        <f>ROMAN(14862)</f>
        <v/>
      </c>
      <c r="D14863">
        <f>IF(B14863=C14863, "YES", "WRONG")</f>
        <v/>
      </c>
    </row>
    <row r="14864">
      <c r="A14864" t="n">
        <v>14863</v>
      </c>
      <c r="B14864" t="inlineStr">
        <is>
          <t>x̄MV̅DCCCLXIII</t>
        </is>
      </c>
      <c r="C14864">
        <f>ROMAN(14863)</f>
        <v/>
      </c>
      <c r="D14864">
        <f>IF(B14864=C14864, "YES", "WRONG")</f>
        <v/>
      </c>
    </row>
    <row r="14865">
      <c r="A14865" t="n">
        <v>14864</v>
      </c>
      <c r="B14865" t="inlineStr">
        <is>
          <t>x̄MV̅DCCCLXIV</t>
        </is>
      </c>
      <c r="C14865">
        <f>ROMAN(14864)</f>
        <v/>
      </c>
      <c r="D14865">
        <f>IF(B14865=C14865, "YES", "WRONG")</f>
        <v/>
      </c>
    </row>
    <row r="14866">
      <c r="A14866" t="n">
        <v>14865</v>
      </c>
      <c r="B14866" t="inlineStr">
        <is>
          <t>x̄MV̅DCCCLXV</t>
        </is>
      </c>
      <c r="C14866">
        <f>ROMAN(14865)</f>
        <v/>
      </c>
      <c r="D14866">
        <f>IF(B14866=C14866, "YES", "WRONG")</f>
        <v/>
      </c>
    </row>
    <row r="14867">
      <c r="A14867" t="n">
        <v>14866</v>
      </c>
      <c r="B14867" t="inlineStr">
        <is>
          <t>x̄MV̅DCCCLXVI</t>
        </is>
      </c>
      <c r="C14867">
        <f>ROMAN(14866)</f>
        <v/>
      </c>
      <c r="D14867">
        <f>IF(B14867=C14867, "YES", "WRONG")</f>
        <v/>
      </c>
    </row>
    <row r="14868">
      <c r="A14868" t="n">
        <v>14867</v>
      </c>
      <c r="B14868" t="inlineStr">
        <is>
          <t>x̄MV̅DCCCLXVII</t>
        </is>
      </c>
      <c r="C14868">
        <f>ROMAN(14867)</f>
        <v/>
      </c>
      <c r="D14868">
        <f>IF(B14868=C14868, "YES", "WRONG")</f>
        <v/>
      </c>
    </row>
    <row r="14869">
      <c r="A14869" t="n">
        <v>14868</v>
      </c>
      <c r="B14869" t="inlineStr">
        <is>
          <t>x̄MV̅DCCCLXVIII</t>
        </is>
      </c>
      <c r="C14869">
        <f>ROMAN(14868)</f>
        <v/>
      </c>
      <c r="D14869">
        <f>IF(B14869=C14869, "YES", "WRONG")</f>
        <v/>
      </c>
    </row>
    <row r="14870">
      <c r="A14870" t="n">
        <v>14869</v>
      </c>
      <c r="B14870" t="inlineStr">
        <is>
          <t>x̄MV̅DCCCLXIX</t>
        </is>
      </c>
      <c r="C14870">
        <f>ROMAN(14869)</f>
        <v/>
      </c>
      <c r="D14870">
        <f>IF(B14870=C14870, "YES", "WRONG")</f>
        <v/>
      </c>
    </row>
    <row r="14871">
      <c r="A14871" t="n">
        <v>14870</v>
      </c>
      <c r="B14871" t="inlineStr">
        <is>
          <t>x̄MV̅DCCCLXX</t>
        </is>
      </c>
      <c r="C14871">
        <f>ROMAN(14870)</f>
        <v/>
      </c>
      <c r="D14871">
        <f>IF(B14871=C14871, "YES", "WRONG")</f>
        <v/>
      </c>
    </row>
    <row r="14872">
      <c r="A14872" t="n">
        <v>14871</v>
      </c>
      <c r="B14872" t="inlineStr">
        <is>
          <t>x̄MV̅DCCCLXXI</t>
        </is>
      </c>
      <c r="C14872">
        <f>ROMAN(14871)</f>
        <v/>
      </c>
      <c r="D14872">
        <f>IF(B14872=C14872, "YES", "WRONG")</f>
        <v/>
      </c>
    </row>
    <row r="14873">
      <c r="A14873" t="n">
        <v>14872</v>
      </c>
      <c r="B14873" t="inlineStr">
        <is>
          <t>x̄MV̅DCCCLXXII</t>
        </is>
      </c>
      <c r="C14873">
        <f>ROMAN(14872)</f>
        <v/>
      </c>
      <c r="D14873">
        <f>IF(B14873=C14873, "YES", "WRONG")</f>
        <v/>
      </c>
    </row>
    <row r="14874">
      <c r="A14874" t="n">
        <v>14873</v>
      </c>
      <c r="B14874" t="inlineStr">
        <is>
          <t>x̄MV̅DCCCLXXIII</t>
        </is>
      </c>
      <c r="C14874">
        <f>ROMAN(14873)</f>
        <v/>
      </c>
      <c r="D14874">
        <f>IF(B14874=C14874, "YES", "WRONG")</f>
        <v/>
      </c>
    </row>
    <row r="14875">
      <c r="A14875" t="n">
        <v>14874</v>
      </c>
      <c r="B14875" t="inlineStr">
        <is>
          <t>x̄MV̅DCCCLXXIV</t>
        </is>
      </c>
      <c r="C14875">
        <f>ROMAN(14874)</f>
        <v/>
      </c>
      <c r="D14875">
        <f>IF(B14875=C14875, "YES", "WRONG")</f>
        <v/>
      </c>
    </row>
    <row r="14876">
      <c r="A14876" t="n">
        <v>14875</v>
      </c>
      <c r="B14876" t="inlineStr">
        <is>
          <t>x̄MV̅DCCCLXXV</t>
        </is>
      </c>
      <c r="C14876">
        <f>ROMAN(14875)</f>
        <v/>
      </c>
      <c r="D14876">
        <f>IF(B14876=C14876, "YES", "WRONG")</f>
        <v/>
      </c>
    </row>
    <row r="14877">
      <c r="A14877" t="n">
        <v>14876</v>
      </c>
      <c r="B14877" t="inlineStr">
        <is>
          <t>x̄MV̅DCCCLXXVI</t>
        </is>
      </c>
      <c r="C14877">
        <f>ROMAN(14876)</f>
        <v/>
      </c>
      <c r="D14877">
        <f>IF(B14877=C14877, "YES", "WRONG")</f>
        <v/>
      </c>
    </row>
    <row r="14878">
      <c r="A14878" t="n">
        <v>14877</v>
      </c>
      <c r="B14878" t="inlineStr">
        <is>
          <t>x̄MV̅DCCCLXXVII</t>
        </is>
      </c>
      <c r="C14878">
        <f>ROMAN(14877)</f>
        <v/>
      </c>
      <c r="D14878">
        <f>IF(B14878=C14878, "YES", "WRONG")</f>
        <v/>
      </c>
    </row>
    <row r="14879">
      <c r="A14879" t="n">
        <v>14878</v>
      </c>
      <c r="B14879" t="inlineStr">
        <is>
          <t>x̄MV̅DCCCLXXVIII</t>
        </is>
      </c>
      <c r="C14879">
        <f>ROMAN(14878)</f>
        <v/>
      </c>
      <c r="D14879">
        <f>IF(B14879=C14879, "YES", "WRONG")</f>
        <v/>
      </c>
    </row>
    <row r="14880">
      <c r="A14880" t="n">
        <v>14879</v>
      </c>
      <c r="B14880" t="inlineStr">
        <is>
          <t>x̄MV̅DCCCLXXIX</t>
        </is>
      </c>
      <c r="C14880">
        <f>ROMAN(14879)</f>
        <v/>
      </c>
      <c r="D14880">
        <f>IF(B14880=C14880, "YES", "WRONG")</f>
        <v/>
      </c>
    </row>
    <row r="14881">
      <c r="A14881" t="n">
        <v>14880</v>
      </c>
      <c r="B14881" t="inlineStr">
        <is>
          <t>x̄MV̅DCCCLXXX</t>
        </is>
      </c>
      <c r="C14881">
        <f>ROMAN(14880)</f>
        <v/>
      </c>
      <c r="D14881">
        <f>IF(B14881=C14881, "YES", "WRONG")</f>
        <v/>
      </c>
    </row>
    <row r="14882">
      <c r="A14882" t="n">
        <v>14881</v>
      </c>
      <c r="B14882" t="inlineStr">
        <is>
          <t>x̄MV̅DCCCLXXXI</t>
        </is>
      </c>
      <c r="C14882">
        <f>ROMAN(14881)</f>
        <v/>
      </c>
      <c r="D14882">
        <f>IF(B14882=C14882, "YES", "WRONG")</f>
        <v/>
      </c>
    </row>
    <row r="14883">
      <c r="A14883" t="n">
        <v>14882</v>
      </c>
      <c r="B14883" t="inlineStr">
        <is>
          <t>x̄MV̅DCCCLXXXII</t>
        </is>
      </c>
      <c r="C14883">
        <f>ROMAN(14882)</f>
        <v/>
      </c>
      <c r="D14883">
        <f>IF(B14883=C14883, "YES", "WRONG")</f>
        <v/>
      </c>
    </row>
    <row r="14884">
      <c r="A14884" t="n">
        <v>14883</v>
      </c>
      <c r="B14884" t="inlineStr">
        <is>
          <t>x̄MV̅DCCCLXXXIII</t>
        </is>
      </c>
      <c r="C14884">
        <f>ROMAN(14883)</f>
        <v/>
      </c>
      <c r="D14884">
        <f>IF(B14884=C14884, "YES", "WRONG")</f>
        <v/>
      </c>
    </row>
    <row r="14885">
      <c r="A14885" t="n">
        <v>14884</v>
      </c>
      <c r="B14885" t="inlineStr">
        <is>
          <t>x̄MV̅DCCCLXXXIV</t>
        </is>
      </c>
      <c r="C14885">
        <f>ROMAN(14884)</f>
        <v/>
      </c>
      <c r="D14885">
        <f>IF(B14885=C14885, "YES", "WRONG")</f>
        <v/>
      </c>
    </row>
    <row r="14886">
      <c r="A14886" t="n">
        <v>14885</v>
      </c>
      <c r="B14886" t="inlineStr">
        <is>
          <t>x̄MV̅DCCCLXXXV</t>
        </is>
      </c>
      <c r="C14886">
        <f>ROMAN(14885)</f>
        <v/>
      </c>
      <c r="D14886">
        <f>IF(B14886=C14886, "YES", "WRONG")</f>
        <v/>
      </c>
    </row>
    <row r="14887">
      <c r="A14887" t="n">
        <v>14886</v>
      </c>
      <c r="B14887" t="inlineStr">
        <is>
          <t>x̄MV̅DCCCLXXXVI</t>
        </is>
      </c>
      <c r="C14887">
        <f>ROMAN(14886)</f>
        <v/>
      </c>
      <c r="D14887">
        <f>IF(B14887=C14887, "YES", "WRONG")</f>
        <v/>
      </c>
    </row>
    <row r="14888">
      <c r="A14888" t="n">
        <v>14887</v>
      </c>
      <c r="B14888" t="inlineStr">
        <is>
          <t>x̄MV̅DCCCLXXXVII</t>
        </is>
      </c>
      <c r="C14888">
        <f>ROMAN(14887)</f>
        <v/>
      </c>
      <c r="D14888">
        <f>IF(B14888=C14888, "YES", "WRONG")</f>
        <v/>
      </c>
    </row>
    <row r="14889">
      <c r="A14889" t="n">
        <v>14888</v>
      </c>
      <c r="B14889" t="inlineStr">
        <is>
          <t>x̄MV̅DCCCLXXXVIII</t>
        </is>
      </c>
      <c r="C14889">
        <f>ROMAN(14888)</f>
        <v/>
      </c>
      <c r="D14889">
        <f>IF(B14889=C14889, "YES", "WRONG")</f>
        <v/>
      </c>
    </row>
    <row r="14890">
      <c r="A14890" t="n">
        <v>14889</v>
      </c>
      <c r="B14890" t="inlineStr">
        <is>
          <t>x̄MV̅DCCCLXXXIX</t>
        </is>
      </c>
      <c r="C14890">
        <f>ROMAN(14889)</f>
        <v/>
      </c>
      <c r="D14890">
        <f>IF(B14890=C14890, "YES", "WRONG")</f>
        <v/>
      </c>
    </row>
    <row r="14891">
      <c r="A14891" t="n">
        <v>14890</v>
      </c>
      <c r="B14891" t="inlineStr">
        <is>
          <t>x̄MV̅DCCCXC</t>
        </is>
      </c>
      <c r="C14891">
        <f>ROMAN(14890)</f>
        <v/>
      </c>
      <c r="D14891">
        <f>IF(B14891=C14891, "YES", "WRONG")</f>
        <v/>
      </c>
    </row>
    <row r="14892">
      <c r="A14892" t="n">
        <v>14891</v>
      </c>
      <c r="B14892" t="inlineStr">
        <is>
          <t>x̄MV̅DCCCXCI</t>
        </is>
      </c>
      <c r="C14892">
        <f>ROMAN(14891)</f>
        <v/>
      </c>
      <c r="D14892">
        <f>IF(B14892=C14892, "YES", "WRONG")</f>
        <v/>
      </c>
    </row>
    <row r="14893">
      <c r="A14893" t="n">
        <v>14892</v>
      </c>
      <c r="B14893" t="inlineStr">
        <is>
          <t>x̄MV̅DCCCXCII</t>
        </is>
      </c>
      <c r="C14893">
        <f>ROMAN(14892)</f>
        <v/>
      </c>
      <c r="D14893">
        <f>IF(B14893=C14893, "YES", "WRONG")</f>
        <v/>
      </c>
    </row>
    <row r="14894">
      <c r="A14894" t="n">
        <v>14893</v>
      </c>
      <c r="B14894" t="inlineStr">
        <is>
          <t>x̄MV̅DCCCXCIII</t>
        </is>
      </c>
      <c r="C14894">
        <f>ROMAN(14893)</f>
        <v/>
      </c>
      <c r="D14894">
        <f>IF(B14894=C14894, "YES", "WRONG")</f>
        <v/>
      </c>
    </row>
    <row r="14895">
      <c r="A14895" t="n">
        <v>14894</v>
      </c>
      <c r="B14895" t="inlineStr">
        <is>
          <t>x̄MV̅DCCCXCIV</t>
        </is>
      </c>
      <c r="C14895">
        <f>ROMAN(14894)</f>
        <v/>
      </c>
      <c r="D14895">
        <f>IF(B14895=C14895, "YES", "WRONG")</f>
        <v/>
      </c>
    </row>
    <row r="14896">
      <c r="A14896" t="n">
        <v>14895</v>
      </c>
      <c r="B14896" t="inlineStr">
        <is>
          <t>x̄MV̅DCCCXCV</t>
        </is>
      </c>
      <c r="C14896">
        <f>ROMAN(14895)</f>
        <v/>
      </c>
      <c r="D14896">
        <f>IF(B14896=C14896, "YES", "WRONG")</f>
        <v/>
      </c>
    </row>
    <row r="14897">
      <c r="A14897" t="n">
        <v>14896</v>
      </c>
      <c r="B14897" t="inlineStr">
        <is>
          <t>x̄MV̅DCCCXCVI</t>
        </is>
      </c>
      <c r="C14897">
        <f>ROMAN(14896)</f>
        <v/>
      </c>
      <c r="D14897">
        <f>IF(B14897=C14897, "YES", "WRONG")</f>
        <v/>
      </c>
    </row>
    <row r="14898">
      <c r="A14898" t="n">
        <v>14897</v>
      </c>
      <c r="B14898" t="inlineStr">
        <is>
          <t>x̄MV̅DCCCXCVII</t>
        </is>
      </c>
      <c r="C14898">
        <f>ROMAN(14897)</f>
        <v/>
      </c>
      <c r="D14898">
        <f>IF(B14898=C14898, "YES", "WRONG")</f>
        <v/>
      </c>
    </row>
    <row r="14899">
      <c r="A14899" t="n">
        <v>14898</v>
      </c>
      <c r="B14899" t="inlineStr">
        <is>
          <t>x̄MV̅DCCCXCVIII</t>
        </is>
      </c>
      <c r="C14899">
        <f>ROMAN(14898)</f>
        <v/>
      </c>
      <c r="D14899">
        <f>IF(B14899=C14899, "YES", "WRONG")</f>
        <v/>
      </c>
    </row>
    <row r="14900">
      <c r="A14900" t="n">
        <v>14899</v>
      </c>
      <c r="B14900" t="inlineStr">
        <is>
          <t>x̄MV̅DCCCXCIX</t>
        </is>
      </c>
      <c r="C14900">
        <f>ROMAN(14899)</f>
        <v/>
      </c>
      <c r="D14900">
        <f>IF(B14900=C14900, "YES", "WRONG")</f>
        <v/>
      </c>
    </row>
    <row r="14901">
      <c r="A14901" t="n">
        <v>14900</v>
      </c>
      <c r="B14901" t="inlineStr">
        <is>
          <t>x̄MV̅CM</t>
        </is>
      </c>
      <c r="C14901">
        <f>ROMAN(14900)</f>
        <v/>
      </c>
      <c r="D14901">
        <f>IF(B14901=C14901, "YES", "WRONG")</f>
        <v/>
      </c>
    </row>
    <row r="14902">
      <c r="A14902" t="n">
        <v>14901</v>
      </c>
      <c r="B14902" t="inlineStr">
        <is>
          <t>x̄MV̅CMI</t>
        </is>
      </c>
      <c r="C14902">
        <f>ROMAN(14901)</f>
        <v/>
      </c>
      <c r="D14902">
        <f>IF(B14902=C14902, "YES", "WRONG")</f>
        <v/>
      </c>
    </row>
    <row r="14903">
      <c r="A14903" t="n">
        <v>14902</v>
      </c>
      <c r="B14903" t="inlineStr">
        <is>
          <t>x̄MV̅CMII</t>
        </is>
      </c>
      <c r="C14903">
        <f>ROMAN(14902)</f>
        <v/>
      </c>
      <c r="D14903">
        <f>IF(B14903=C14903, "YES", "WRONG")</f>
        <v/>
      </c>
    </row>
    <row r="14904">
      <c r="A14904" t="n">
        <v>14903</v>
      </c>
      <c r="B14904" t="inlineStr">
        <is>
          <t>x̄MV̅CMIII</t>
        </is>
      </c>
      <c r="C14904">
        <f>ROMAN(14903)</f>
        <v/>
      </c>
      <c r="D14904">
        <f>IF(B14904=C14904, "YES", "WRONG")</f>
        <v/>
      </c>
    </row>
    <row r="14905">
      <c r="A14905" t="n">
        <v>14904</v>
      </c>
      <c r="B14905" t="inlineStr">
        <is>
          <t>x̄MV̅CMIV</t>
        </is>
      </c>
      <c r="C14905">
        <f>ROMAN(14904)</f>
        <v/>
      </c>
      <c r="D14905">
        <f>IF(B14905=C14905, "YES", "WRONG")</f>
        <v/>
      </c>
    </row>
    <row r="14906">
      <c r="A14906" t="n">
        <v>14905</v>
      </c>
      <c r="B14906" t="inlineStr">
        <is>
          <t>x̄MV̅CMV</t>
        </is>
      </c>
      <c r="C14906">
        <f>ROMAN(14905)</f>
        <v/>
      </c>
      <c r="D14906">
        <f>IF(B14906=C14906, "YES", "WRONG")</f>
        <v/>
      </c>
    </row>
    <row r="14907">
      <c r="A14907" t="n">
        <v>14906</v>
      </c>
      <c r="B14907" t="inlineStr">
        <is>
          <t>x̄MV̅CMVI</t>
        </is>
      </c>
      <c r="C14907">
        <f>ROMAN(14906)</f>
        <v/>
      </c>
      <c r="D14907">
        <f>IF(B14907=C14907, "YES", "WRONG")</f>
        <v/>
      </c>
    </row>
    <row r="14908">
      <c r="A14908" t="n">
        <v>14907</v>
      </c>
      <c r="B14908" t="inlineStr">
        <is>
          <t>x̄MV̅CMVII</t>
        </is>
      </c>
      <c r="C14908">
        <f>ROMAN(14907)</f>
        <v/>
      </c>
      <c r="D14908">
        <f>IF(B14908=C14908, "YES", "WRONG")</f>
        <v/>
      </c>
    </row>
    <row r="14909">
      <c r="A14909" t="n">
        <v>14908</v>
      </c>
      <c r="B14909" t="inlineStr">
        <is>
          <t>x̄MV̅CMVIII</t>
        </is>
      </c>
      <c r="C14909">
        <f>ROMAN(14908)</f>
        <v/>
      </c>
      <c r="D14909">
        <f>IF(B14909=C14909, "YES", "WRONG")</f>
        <v/>
      </c>
    </row>
    <row r="14910">
      <c r="A14910" t="n">
        <v>14909</v>
      </c>
      <c r="B14910" t="inlineStr">
        <is>
          <t>x̄MV̅CMIX</t>
        </is>
      </c>
      <c r="C14910">
        <f>ROMAN(14909)</f>
        <v/>
      </c>
      <c r="D14910">
        <f>IF(B14910=C14910, "YES", "WRONG")</f>
        <v/>
      </c>
    </row>
    <row r="14911">
      <c r="A14911" t="n">
        <v>14910</v>
      </c>
      <c r="B14911" t="inlineStr">
        <is>
          <t>x̄MV̅CMX</t>
        </is>
      </c>
      <c r="C14911">
        <f>ROMAN(14910)</f>
        <v/>
      </c>
      <c r="D14911">
        <f>IF(B14911=C14911, "YES", "WRONG")</f>
        <v/>
      </c>
    </row>
    <row r="14912">
      <c r="A14912" t="n">
        <v>14911</v>
      </c>
      <c r="B14912" t="inlineStr">
        <is>
          <t>x̄MV̅CMXI</t>
        </is>
      </c>
      <c r="C14912">
        <f>ROMAN(14911)</f>
        <v/>
      </c>
      <c r="D14912">
        <f>IF(B14912=C14912, "YES", "WRONG")</f>
        <v/>
      </c>
    </row>
    <row r="14913">
      <c r="A14913" t="n">
        <v>14912</v>
      </c>
      <c r="B14913" t="inlineStr">
        <is>
          <t>x̄MV̅CMXII</t>
        </is>
      </c>
      <c r="C14913">
        <f>ROMAN(14912)</f>
        <v/>
      </c>
      <c r="D14913">
        <f>IF(B14913=C14913, "YES", "WRONG")</f>
        <v/>
      </c>
    </row>
    <row r="14914">
      <c r="A14914" t="n">
        <v>14913</v>
      </c>
      <c r="B14914" t="inlineStr">
        <is>
          <t>x̄MV̅CMXIII</t>
        </is>
      </c>
      <c r="C14914">
        <f>ROMAN(14913)</f>
        <v/>
      </c>
      <c r="D14914">
        <f>IF(B14914=C14914, "YES", "WRONG")</f>
        <v/>
      </c>
    </row>
    <row r="14915">
      <c r="A14915" t="n">
        <v>14914</v>
      </c>
      <c r="B14915" t="inlineStr">
        <is>
          <t>x̄MV̅CMXIV</t>
        </is>
      </c>
      <c r="C14915">
        <f>ROMAN(14914)</f>
        <v/>
      </c>
      <c r="D14915">
        <f>IF(B14915=C14915, "YES", "WRONG")</f>
        <v/>
      </c>
    </row>
    <row r="14916">
      <c r="A14916" t="n">
        <v>14915</v>
      </c>
      <c r="B14916" t="inlineStr">
        <is>
          <t>x̄MV̅CMXV</t>
        </is>
      </c>
      <c r="C14916">
        <f>ROMAN(14915)</f>
        <v/>
      </c>
      <c r="D14916">
        <f>IF(B14916=C14916, "YES", "WRONG")</f>
        <v/>
      </c>
    </row>
    <row r="14917">
      <c r="A14917" t="n">
        <v>14916</v>
      </c>
      <c r="B14917" t="inlineStr">
        <is>
          <t>x̄MV̅CMXVI</t>
        </is>
      </c>
      <c r="C14917">
        <f>ROMAN(14916)</f>
        <v/>
      </c>
      <c r="D14917">
        <f>IF(B14917=C14917, "YES", "WRONG")</f>
        <v/>
      </c>
    </row>
    <row r="14918">
      <c r="A14918" t="n">
        <v>14917</v>
      </c>
      <c r="B14918" t="inlineStr">
        <is>
          <t>x̄MV̅CMXVII</t>
        </is>
      </c>
      <c r="C14918">
        <f>ROMAN(14917)</f>
        <v/>
      </c>
      <c r="D14918">
        <f>IF(B14918=C14918, "YES", "WRONG")</f>
        <v/>
      </c>
    </row>
    <row r="14919">
      <c r="A14919" t="n">
        <v>14918</v>
      </c>
      <c r="B14919" t="inlineStr">
        <is>
          <t>x̄MV̅CMXVIII</t>
        </is>
      </c>
      <c r="C14919">
        <f>ROMAN(14918)</f>
        <v/>
      </c>
      <c r="D14919">
        <f>IF(B14919=C14919, "YES", "WRONG")</f>
        <v/>
      </c>
    </row>
    <row r="14920">
      <c r="A14920" t="n">
        <v>14919</v>
      </c>
      <c r="B14920" t="inlineStr">
        <is>
          <t>x̄MV̅CMXIX</t>
        </is>
      </c>
      <c r="C14920">
        <f>ROMAN(14919)</f>
        <v/>
      </c>
      <c r="D14920">
        <f>IF(B14920=C14920, "YES", "WRONG")</f>
        <v/>
      </c>
    </row>
    <row r="14921">
      <c r="A14921" t="n">
        <v>14920</v>
      </c>
      <c r="B14921" t="inlineStr">
        <is>
          <t>x̄MV̅CMXX</t>
        </is>
      </c>
      <c r="C14921">
        <f>ROMAN(14920)</f>
        <v/>
      </c>
      <c r="D14921">
        <f>IF(B14921=C14921, "YES", "WRONG")</f>
        <v/>
      </c>
    </row>
    <row r="14922">
      <c r="A14922" t="n">
        <v>14921</v>
      </c>
      <c r="B14922" t="inlineStr">
        <is>
          <t>x̄MV̅CMXXI</t>
        </is>
      </c>
      <c r="C14922">
        <f>ROMAN(14921)</f>
        <v/>
      </c>
      <c r="D14922">
        <f>IF(B14922=C14922, "YES", "WRONG")</f>
        <v/>
      </c>
    </row>
    <row r="14923">
      <c r="A14923" t="n">
        <v>14922</v>
      </c>
      <c r="B14923" t="inlineStr">
        <is>
          <t>x̄MV̅CMXXII</t>
        </is>
      </c>
      <c r="C14923">
        <f>ROMAN(14922)</f>
        <v/>
      </c>
      <c r="D14923">
        <f>IF(B14923=C14923, "YES", "WRONG")</f>
        <v/>
      </c>
    </row>
    <row r="14924">
      <c r="A14924" t="n">
        <v>14923</v>
      </c>
      <c r="B14924" t="inlineStr">
        <is>
          <t>x̄MV̅CMXXIII</t>
        </is>
      </c>
      <c r="C14924">
        <f>ROMAN(14923)</f>
        <v/>
      </c>
      <c r="D14924">
        <f>IF(B14924=C14924, "YES", "WRONG")</f>
        <v/>
      </c>
    </row>
    <row r="14925">
      <c r="A14925" t="n">
        <v>14924</v>
      </c>
      <c r="B14925" t="inlineStr">
        <is>
          <t>x̄MV̅CMXXIV</t>
        </is>
      </c>
      <c r="C14925">
        <f>ROMAN(14924)</f>
        <v/>
      </c>
      <c r="D14925">
        <f>IF(B14925=C14925, "YES", "WRONG")</f>
        <v/>
      </c>
    </row>
    <row r="14926">
      <c r="A14926" t="n">
        <v>14925</v>
      </c>
      <c r="B14926" t="inlineStr">
        <is>
          <t>x̄MV̅CMXXV</t>
        </is>
      </c>
      <c r="C14926">
        <f>ROMAN(14925)</f>
        <v/>
      </c>
      <c r="D14926">
        <f>IF(B14926=C14926, "YES", "WRONG")</f>
        <v/>
      </c>
    </row>
    <row r="14927">
      <c r="A14927" t="n">
        <v>14926</v>
      </c>
      <c r="B14927" t="inlineStr">
        <is>
          <t>x̄MV̅CMXXVI</t>
        </is>
      </c>
      <c r="C14927">
        <f>ROMAN(14926)</f>
        <v/>
      </c>
      <c r="D14927">
        <f>IF(B14927=C14927, "YES", "WRONG")</f>
        <v/>
      </c>
    </row>
    <row r="14928">
      <c r="A14928" t="n">
        <v>14927</v>
      </c>
      <c r="B14928" t="inlineStr">
        <is>
          <t>x̄MV̅CMXXVII</t>
        </is>
      </c>
      <c r="C14928">
        <f>ROMAN(14927)</f>
        <v/>
      </c>
      <c r="D14928">
        <f>IF(B14928=C14928, "YES", "WRONG")</f>
        <v/>
      </c>
    </row>
    <row r="14929">
      <c r="A14929" t="n">
        <v>14928</v>
      </c>
      <c r="B14929" t="inlineStr">
        <is>
          <t>x̄MV̅CMXXVIII</t>
        </is>
      </c>
      <c r="C14929">
        <f>ROMAN(14928)</f>
        <v/>
      </c>
      <c r="D14929">
        <f>IF(B14929=C14929, "YES", "WRONG")</f>
        <v/>
      </c>
    </row>
    <row r="14930">
      <c r="A14930" t="n">
        <v>14929</v>
      </c>
      <c r="B14930" t="inlineStr">
        <is>
          <t>x̄MV̅CMXXIX</t>
        </is>
      </c>
      <c r="C14930">
        <f>ROMAN(14929)</f>
        <v/>
      </c>
      <c r="D14930">
        <f>IF(B14930=C14930, "YES", "WRONG")</f>
        <v/>
      </c>
    </row>
    <row r="14931">
      <c r="A14931" t="n">
        <v>14930</v>
      </c>
      <c r="B14931" t="inlineStr">
        <is>
          <t>x̄MV̅CMXXX</t>
        </is>
      </c>
      <c r="C14931">
        <f>ROMAN(14930)</f>
        <v/>
      </c>
      <c r="D14931">
        <f>IF(B14931=C14931, "YES", "WRONG")</f>
        <v/>
      </c>
    </row>
    <row r="14932">
      <c r="A14932" t="n">
        <v>14931</v>
      </c>
      <c r="B14932" t="inlineStr">
        <is>
          <t>x̄MV̅CMXXXI</t>
        </is>
      </c>
      <c r="C14932">
        <f>ROMAN(14931)</f>
        <v/>
      </c>
      <c r="D14932">
        <f>IF(B14932=C14932, "YES", "WRONG")</f>
        <v/>
      </c>
    </row>
    <row r="14933">
      <c r="A14933" t="n">
        <v>14932</v>
      </c>
      <c r="B14933" t="inlineStr">
        <is>
          <t>x̄MV̅CMXXXII</t>
        </is>
      </c>
      <c r="C14933">
        <f>ROMAN(14932)</f>
        <v/>
      </c>
      <c r="D14933">
        <f>IF(B14933=C14933, "YES", "WRONG")</f>
        <v/>
      </c>
    </row>
    <row r="14934">
      <c r="A14934" t="n">
        <v>14933</v>
      </c>
      <c r="B14934" t="inlineStr">
        <is>
          <t>x̄MV̅CMXXXIII</t>
        </is>
      </c>
      <c r="C14934">
        <f>ROMAN(14933)</f>
        <v/>
      </c>
      <c r="D14934">
        <f>IF(B14934=C14934, "YES", "WRONG")</f>
        <v/>
      </c>
    </row>
    <row r="14935">
      <c r="A14935" t="n">
        <v>14934</v>
      </c>
      <c r="B14935" t="inlineStr">
        <is>
          <t>x̄MV̅CMXXXIV</t>
        </is>
      </c>
      <c r="C14935">
        <f>ROMAN(14934)</f>
        <v/>
      </c>
      <c r="D14935">
        <f>IF(B14935=C14935, "YES", "WRONG")</f>
        <v/>
      </c>
    </row>
    <row r="14936">
      <c r="A14936" t="n">
        <v>14935</v>
      </c>
      <c r="B14936" t="inlineStr">
        <is>
          <t>x̄MV̅CMXXXV</t>
        </is>
      </c>
      <c r="C14936">
        <f>ROMAN(14935)</f>
        <v/>
      </c>
      <c r="D14936">
        <f>IF(B14936=C14936, "YES", "WRONG")</f>
        <v/>
      </c>
    </row>
    <row r="14937">
      <c r="A14937" t="n">
        <v>14936</v>
      </c>
      <c r="B14937" t="inlineStr">
        <is>
          <t>x̄MV̅CMXXXVI</t>
        </is>
      </c>
      <c r="C14937">
        <f>ROMAN(14936)</f>
        <v/>
      </c>
      <c r="D14937">
        <f>IF(B14937=C14937, "YES", "WRONG")</f>
        <v/>
      </c>
    </row>
    <row r="14938">
      <c r="A14938" t="n">
        <v>14937</v>
      </c>
      <c r="B14938" t="inlineStr">
        <is>
          <t>x̄MV̅CMXXXVII</t>
        </is>
      </c>
      <c r="C14938">
        <f>ROMAN(14937)</f>
        <v/>
      </c>
      <c r="D14938">
        <f>IF(B14938=C14938, "YES", "WRONG")</f>
        <v/>
      </c>
    </row>
    <row r="14939">
      <c r="A14939" t="n">
        <v>14938</v>
      </c>
      <c r="B14939" t="inlineStr">
        <is>
          <t>x̄MV̅CMXXXVIII</t>
        </is>
      </c>
      <c r="C14939">
        <f>ROMAN(14938)</f>
        <v/>
      </c>
      <c r="D14939">
        <f>IF(B14939=C14939, "YES", "WRONG")</f>
        <v/>
      </c>
    </row>
    <row r="14940">
      <c r="A14940" t="n">
        <v>14939</v>
      </c>
      <c r="B14940" t="inlineStr">
        <is>
          <t>x̄MV̅CMXXXIX</t>
        </is>
      </c>
      <c r="C14940">
        <f>ROMAN(14939)</f>
        <v/>
      </c>
      <c r="D14940">
        <f>IF(B14940=C14940, "YES", "WRONG")</f>
        <v/>
      </c>
    </row>
    <row r="14941">
      <c r="A14941" t="n">
        <v>14940</v>
      </c>
      <c r="B14941" t="inlineStr">
        <is>
          <t>x̄MV̅CMXL</t>
        </is>
      </c>
      <c r="C14941">
        <f>ROMAN(14940)</f>
        <v/>
      </c>
      <c r="D14941">
        <f>IF(B14941=C14941, "YES", "WRONG")</f>
        <v/>
      </c>
    </row>
    <row r="14942">
      <c r="A14942" t="n">
        <v>14941</v>
      </c>
      <c r="B14942" t="inlineStr">
        <is>
          <t>x̄MV̅CMXLI</t>
        </is>
      </c>
      <c r="C14942">
        <f>ROMAN(14941)</f>
        <v/>
      </c>
      <c r="D14942">
        <f>IF(B14942=C14942, "YES", "WRONG")</f>
        <v/>
      </c>
    </row>
    <row r="14943">
      <c r="A14943" t="n">
        <v>14942</v>
      </c>
      <c r="B14943" t="inlineStr">
        <is>
          <t>x̄MV̅CMXLII</t>
        </is>
      </c>
      <c r="C14943">
        <f>ROMAN(14942)</f>
        <v/>
      </c>
      <c r="D14943">
        <f>IF(B14943=C14943, "YES", "WRONG")</f>
        <v/>
      </c>
    </row>
    <row r="14944">
      <c r="A14944" t="n">
        <v>14943</v>
      </c>
      <c r="B14944" t="inlineStr">
        <is>
          <t>x̄MV̅CMXLIII</t>
        </is>
      </c>
      <c r="C14944">
        <f>ROMAN(14943)</f>
        <v/>
      </c>
      <c r="D14944">
        <f>IF(B14944=C14944, "YES", "WRONG")</f>
        <v/>
      </c>
    </row>
    <row r="14945">
      <c r="A14945" t="n">
        <v>14944</v>
      </c>
      <c r="B14945" t="inlineStr">
        <is>
          <t>x̄MV̅CMXLIV</t>
        </is>
      </c>
      <c r="C14945">
        <f>ROMAN(14944)</f>
        <v/>
      </c>
      <c r="D14945">
        <f>IF(B14945=C14945, "YES", "WRONG")</f>
        <v/>
      </c>
    </row>
    <row r="14946">
      <c r="A14946" t="n">
        <v>14945</v>
      </c>
      <c r="B14946" t="inlineStr">
        <is>
          <t>x̄MV̅CMXLV</t>
        </is>
      </c>
      <c r="C14946">
        <f>ROMAN(14945)</f>
        <v/>
      </c>
      <c r="D14946">
        <f>IF(B14946=C14946, "YES", "WRONG")</f>
        <v/>
      </c>
    </row>
    <row r="14947">
      <c r="A14947" t="n">
        <v>14946</v>
      </c>
      <c r="B14947" t="inlineStr">
        <is>
          <t>x̄MV̅CMXLVI</t>
        </is>
      </c>
      <c r="C14947">
        <f>ROMAN(14946)</f>
        <v/>
      </c>
      <c r="D14947">
        <f>IF(B14947=C14947, "YES", "WRONG")</f>
        <v/>
      </c>
    </row>
    <row r="14948">
      <c r="A14948" t="n">
        <v>14947</v>
      </c>
      <c r="B14948" t="inlineStr">
        <is>
          <t>x̄MV̅CMXLVII</t>
        </is>
      </c>
      <c r="C14948">
        <f>ROMAN(14947)</f>
        <v/>
      </c>
      <c r="D14948">
        <f>IF(B14948=C14948, "YES", "WRONG")</f>
        <v/>
      </c>
    </row>
    <row r="14949">
      <c r="A14949" t="n">
        <v>14948</v>
      </c>
      <c r="B14949" t="inlineStr">
        <is>
          <t>x̄MV̅CMXLVIII</t>
        </is>
      </c>
      <c r="C14949">
        <f>ROMAN(14948)</f>
        <v/>
      </c>
      <c r="D14949">
        <f>IF(B14949=C14949, "YES", "WRONG")</f>
        <v/>
      </c>
    </row>
    <row r="14950">
      <c r="A14950" t="n">
        <v>14949</v>
      </c>
      <c r="B14950" t="inlineStr">
        <is>
          <t>x̄MV̅CMXLIX</t>
        </is>
      </c>
      <c r="C14950">
        <f>ROMAN(14949)</f>
        <v/>
      </c>
      <c r="D14950">
        <f>IF(B14950=C14950, "YES", "WRONG")</f>
        <v/>
      </c>
    </row>
    <row r="14951">
      <c r="A14951" t="n">
        <v>14950</v>
      </c>
      <c r="B14951" t="inlineStr">
        <is>
          <t>x̄MV̅CML</t>
        </is>
      </c>
      <c r="C14951">
        <f>ROMAN(14950)</f>
        <v/>
      </c>
      <c r="D14951">
        <f>IF(B14951=C14951, "YES", "WRONG")</f>
        <v/>
      </c>
    </row>
    <row r="14952">
      <c r="A14952" t="n">
        <v>14951</v>
      </c>
      <c r="B14952" t="inlineStr">
        <is>
          <t>x̄MV̅CMLI</t>
        </is>
      </c>
      <c r="C14952">
        <f>ROMAN(14951)</f>
        <v/>
      </c>
      <c r="D14952">
        <f>IF(B14952=C14952, "YES", "WRONG")</f>
        <v/>
      </c>
    </row>
    <row r="14953">
      <c r="A14953" t="n">
        <v>14952</v>
      </c>
      <c r="B14953" t="inlineStr">
        <is>
          <t>x̄MV̅CMLII</t>
        </is>
      </c>
      <c r="C14953">
        <f>ROMAN(14952)</f>
        <v/>
      </c>
      <c r="D14953">
        <f>IF(B14953=C14953, "YES", "WRONG")</f>
        <v/>
      </c>
    </row>
    <row r="14954">
      <c r="A14954" t="n">
        <v>14953</v>
      </c>
      <c r="B14954" t="inlineStr">
        <is>
          <t>x̄MV̅CMLIII</t>
        </is>
      </c>
      <c r="C14954">
        <f>ROMAN(14953)</f>
        <v/>
      </c>
      <c r="D14954">
        <f>IF(B14954=C14954, "YES", "WRONG")</f>
        <v/>
      </c>
    </row>
    <row r="14955">
      <c r="A14955" t="n">
        <v>14954</v>
      </c>
      <c r="B14955" t="inlineStr">
        <is>
          <t>x̄MV̅CMLIV</t>
        </is>
      </c>
      <c r="C14955">
        <f>ROMAN(14954)</f>
        <v/>
      </c>
      <c r="D14955">
        <f>IF(B14955=C14955, "YES", "WRONG")</f>
        <v/>
      </c>
    </row>
    <row r="14956">
      <c r="A14956" t="n">
        <v>14955</v>
      </c>
      <c r="B14956" t="inlineStr">
        <is>
          <t>x̄MV̅CMLV</t>
        </is>
      </c>
      <c r="C14956">
        <f>ROMAN(14955)</f>
        <v/>
      </c>
      <c r="D14956">
        <f>IF(B14956=C14956, "YES", "WRONG")</f>
        <v/>
      </c>
    </row>
    <row r="14957">
      <c r="A14957" t="n">
        <v>14956</v>
      </c>
      <c r="B14957" t="inlineStr">
        <is>
          <t>x̄MV̅CMLVI</t>
        </is>
      </c>
      <c r="C14957">
        <f>ROMAN(14956)</f>
        <v/>
      </c>
      <c r="D14957">
        <f>IF(B14957=C14957, "YES", "WRONG")</f>
        <v/>
      </c>
    </row>
    <row r="14958">
      <c r="A14958" t="n">
        <v>14957</v>
      </c>
      <c r="B14958" t="inlineStr">
        <is>
          <t>x̄MV̅CMLVII</t>
        </is>
      </c>
      <c r="C14958">
        <f>ROMAN(14957)</f>
        <v/>
      </c>
      <c r="D14958">
        <f>IF(B14958=C14958, "YES", "WRONG")</f>
        <v/>
      </c>
    </row>
    <row r="14959">
      <c r="A14959" t="n">
        <v>14958</v>
      </c>
      <c r="B14959" t="inlineStr">
        <is>
          <t>x̄MV̅CMLVIII</t>
        </is>
      </c>
      <c r="C14959">
        <f>ROMAN(14958)</f>
        <v/>
      </c>
      <c r="D14959">
        <f>IF(B14959=C14959, "YES", "WRONG")</f>
        <v/>
      </c>
    </row>
    <row r="14960">
      <c r="A14960" t="n">
        <v>14959</v>
      </c>
      <c r="B14960" t="inlineStr">
        <is>
          <t>x̄MV̅CMLIX</t>
        </is>
      </c>
      <c r="C14960">
        <f>ROMAN(14959)</f>
        <v/>
      </c>
      <c r="D14960">
        <f>IF(B14960=C14960, "YES", "WRONG")</f>
        <v/>
      </c>
    </row>
    <row r="14961">
      <c r="A14961" t="n">
        <v>14960</v>
      </c>
      <c r="B14961" t="inlineStr">
        <is>
          <t>x̄MV̅CMLX</t>
        </is>
      </c>
      <c r="C14961">
        <f>ROMAN(14960)</f>
        <v/>
      </c>
      <c r="D14961">
        <f>IF(B14961=C14961, "YES", "WRONG")</f>
        <v/>
      </c>
    </row>
    <row r="14962">
      <c r="A14962" t="n">
        <v>14961</v>
      </c>
      <c r="B14962" t="inlineStr">
        <is>
          <t>x̄MV̅CMLXI</t>
        </is>
      </c>
      <c r="C14962">
        <f>ROMAN(14961)</f>
        <v/>
      </c>
      <c r="D14962">
        <f>IF(B14962=C14962, "YES", "WRONG")</f>
        <v/>
      </c>
    </row>
    <row r="14963">
      <c r="A14963" t="n">
        <v>14962</v>
      </c>
      <c r="B14963" t="inlineStr">
        <is>
          <t>x̄MV̅CMLXII</t>
        </is>
      </c>
      <c r="C14963">
        <f>ROMAN(14962)</f>
        <v/>
      </c>
      <c r="D14963">
        <f>IF(B14963=C14963, "YES", "WRONG")</f>
        <v/>
      </c>
    </row>
    <row r="14964">
      <c r="A14964" t="n">
        <v>14963</v>
      </c>
      <c r="B14964" t="inlineStr">
        <is>
          <t>x̄MV̅CMLXIII</t>
        </is>
      </c>
      <c r="C14964">
        <f>ROMAN(14963)</f>
        <v/>
      </c>
      <c r="D14964">
        <f>IF(B14964=C14964, "YES", "WRONG")</f>
        <v/>
      </c>
    </row>
    <row r="14965">
      <c r="A14965" t="n">
        <v>14964</v>
      </c>
      <c r="B14965" t="inlineStr">
        <is>
          <t>x̄MV̅CMLXIV</t>
        </is>
      </c>
      <c r="C14965">
        <f>ROMAN(14964)</f>
        <v/>
      </c>
      <c r="D14965">
        <f>IF(B14965=C14965, "YES", "WRONG")</f>
        <v/>
      </c>
    </row>
    <row r="14966">
      <c r="A14966" t="n">
        <v>14965</v>
      </c>
      <c r="B14966" t="inlineStr">
        <is>
          <t>x̄MV̅CMLXV</t>
        </is>
      </c>
      <c r="C14966">
        <f>ROMAN(14965)</f>
        <v/>
      </c>
      <c r="D14966">
        <f>IF(B14966=C14966, "YES", "WRONG")</f>
        <v/>
      </c>
    </row>
    <row r="14967">
      <c r="A14967" t="n">
        <v>14966</v>
      </c>
      <c r="B14967" t="inlineStr">
        <is>
          <t>x̄MV̅CMLXVI</t>
        </is>
      </c>
      <c r="C14967">
        <f>ROMAN(14966)</f>
        <v/>
      </c>
      <c r="D14967">
        <f>IF(B14967=C14967, "YES", "WRONG")</f>
        <v/>
      </c>
    </row>
    <row r="14968">
      <c r="A14968" t="n">
        <v>14967</v>
      </c>
      <c r="B14968" t="inlineStr">
        <is>
          <t>x̄MV̅CMLXVII</t>
        </is>
      </c>
      <c r="C14968">
        <f>ROMAN(14967)</f>
        <v/>
      </c>
      <c r="D14968">
        <f>IF(B14968=C14968, "YES", "WRONG")</f>
        <v/>
      </c>
    </row>
    <row r="14969">
      <c r="A14969" t="n">
        <v>14968</v>
      </c>
      <c r="B14969" t="inlineStr">
        <is>
          <t>x̄MV̅CMLXVIII</t>
        </is>
      </c>
      <c r="C14969">
        <f>ROMAN(14968)</f>
        <v/>
      </c>
      <c r="D14969">
        <f>IF(B14969=C14969, "YES", "WRONG")</f>
        <v/>
      </c>
    </row>
    <row r="14970">
      <c r="A14970" t="n">
        <v>14969</v>
      </c>
      <c r="B14970" t="inlineStr">
        <is>
          <t>x̄MV̅CMLXIX</t>
        </is>
      </c>
      <c r="C14970">
        <f>ROMAN(14969)</f>
        <v/>
      </c>
      <c r="D14970">
        <f>IF(B14970=C14970, "YES", "WRONG")</f>
        <v/>
      </c>
    </row>
    <row r="14971">
      <c r="A14971" t="n">
        <v>14970</v>
      </c>
      <c r="B14971" t="inlineStr">
        <is>
          <t>x̄MV̅CMLXX</t>
        </is>
      </c>
      <c r="C14971">
        <f>ROMAN(14970)</f>
        <v/>
      </c>
      <c r="D14971">
        <f>IF(B14971=C14971, "YES", "WRONG")</f>
        <v/>
      </c>
    </row>
    <row r="14972">
      <c r="A14972" t="n">
        <v>14971</v>
      </c>
      <c r="B14972" t="inlineStr">
        <is>
          <t>x̄MV̅CMLXXI</t>
        </is>
      </c>
      <c r="C14972">
        <f>ROMAN(14971)</f>
        <v/>
      </c>
      <c r="D14972">
        <f>IF(B14972=C14972, "YES", "WRONG")</f>
        <v/>
      </c>
    </row>
    <row r="14973">
      <c r="A14973" t="n">
        <v>14972</v>
      </c>
      <c r="B14973" t="inlineStr">
        <is>
          <t>x̄MV̅CMLXXII</t>
        </is>
      </c>
      <c r="C14973">
        <f>ROMAN(14972)</f>
        <v/>
      </c>
      <c r="D14973">
        <f>IF(B14973=C14973, "YES", "WRONG")</f>
        <v/>
      </c>
    </row>
    <row r="14974">
      <c r="A14974" t="n">
        <v>14973</v>
      </c>
      <c r="B14974" t="inlineStr">
        <is>
          <t>x̄MV̅CMLXXIII</t>
        </is>
      </c>
      <c r="C14974">
        <f>ROMAN(14973)</f>
        <v/>
      </c>
      <c r="D14974">
        <f>IF(B14974=C14974, "YES", "WRONG")</f>
        <v/>
      </c>
    </row>
    <row r="14975">
      <c r="A14975" t="n">
        <v>14974</v>
      </c>
      <c r="B14975" t="inlineStr">
        <is>
          <t>x̄MV̅CMLXXIV</t>
        </is>
      </c>
      <c r="C14975">
        <f>ROMAN(14974)</f>
        <v/>
      </c>
      <c r="D14975">
        <f>IF(B14975=C14975, "YES", "WRONG")</f>
        <v/>
      </c>
    </row>
    <row r="14976">
      <c r="A14976" t="n">
        <v>14975</v>
      </c>
      <c r="B14976" t="inlineStr">
        <is>
          <t>x̄MV̅CMLXXV</t>
        </is>
      </c>
      <c r="C14976">
        <f>ROMAN(14975)</f>
        <v/>
      </c>
      <c r="D14976">
        <f>IF(B14976=C14976, "YES", "WRONG")</f>
        <v/>
      </c>
    </row>
    <row r="14977">
      <c r="A14977" t="n">
        <v>14976</v>
      </c>
      <c r="B14977" t="inlineStr">
        <is>
          <t>x̄MV̅CMLXXVI</t>
        </is>
      </c>
      <c r="C14977">
        <f>ROMAN(14976)</f>
        <v/>
      </c>
      <c r="D14977">
        <f>IF(B14977=C14977, "YES", "WRONG")</f>
        <v/>
      </c>
    </row>
    <row r="14978">
      <c r="A14978" t="n">
        <v>14977</v>
      </c>
      <c r="B14978" t="inlineStr">
        <is>
          <t>x̄MV̅CMLXXVII</t>
        </is>
      </c>
      <c r="C14978">
        <f>ROMAN(14977)</f>
        <v/>
      </c>
      <c r="D14978">
        <f>IF(B14978=C14978, "YES", "WRONG")</f>
        <v/>
      </c>
    </row>
    <row r="14979">
      <c r="A14979" t="n">
        <v>14978</v>
      </c>
      <c r="B14979" t="inlineStr">
        <is>
          <t>x̄MV̅CMLXXVIII</t>
        </is>
      </c>
      <c r="C14979">
        <f>ROMAN(14978)</f>
        <v/>
      </c>
      <c r="D14979">
        <f>IF(B14979=C14979, "YES", "WRONG")</f>
        <v/>
      </c>
    </row>
    <row r="14980">
      <c r="A14980" t="n">
        <v>14979</v>
      </c>
      <c r="B14980" t="inlineStr">
        <is>
          <t>x̄MV̅CMLXXIX</t>
        </is>
      </c>
      <c r="C14980">
        <f>ROMAN(14979)</f>
        <v/>
      </c>
      <c r="D14980">
        <f>IF(B14980=C14980, "YES", "WRONG")</f>
        <v/>
      </c>
    </row>
    <row r="14981">
      <c r="A14981" t="n">
        <v>14980</v>
      </c>
      <c r="B14981" t="inlineStr">
        <is>
          <t>x̄MV̅CMLXXX</t>
        </is>
      </c>
      <c r="C14981">
        <f>ROMAN(14980)</f>
        <v/>
      </c>
      <c r="D14981">
        <f>IF(B14981=C14981, "YES", "WRONG")</f>
        <v/>
      </c>
    </row>
    <row r="14982">
      <c r="A14982" t="n">
        <v>14981</v>
      </c>
      <c r="B14982" t="inlineStr">
        <is>
          <t>x̄MV̅CMLXXXI</t>
        </is>
      </c>
      <c r="C14982">
        <f>ROMAN(14981)</f>
        <v/>
      </c>
      <c r="D14982">
        <f>IF(B14982=C14982, "YES", "WRONG")</f>
        <v/>
      </c>
    </row>
    <row r="14983">
      <c r="A14983" t="n">
        <v>14982</v>
      </c>
      <c r="B14983" t="inlineStr">
        <is>
          <t>x̄MV̅CMLXXXII</t>
        </is>
      </c>
      <c r="C14983">
        <f>ROMAN(14982)</f>
        <v/>
      </c>
      <c r="D14983">
        <f>IF(B14983=C14983, "YES", "WRONG")</f>
        <v/>
      </c>
    </row>
    <row r="14984">
      <c r="A14984" t="n">
        <v>14983</v>
      </c>
      <c r="B14984" t="inlineStr">
        <is>
          <t>x̄MV̅CMLXXXIII</t>
        </is>
      </c>
      <c r="C14984">
        <f>ROMAN(14983)</f>
        <v/>
      </c>
      <c r="D14984">
        <f>IF(B14984=C14984, "YES", "WRONG")</f>
        <v/>
      </c>
    </row>
    <row r="14985">
      <c r="A14985" t="n">
        <v>14984</v>
      </c>
      <c r="B14985" t="inlineStr">
        <is>
          <t>x̄MV̅CMLXXXIV</t>
        </is>
      </c>
      <c r="C14985">
        <f>ROMAN(14984)</f>
        <v/>
      </c>
      <c r="D14985">
        <f>IF(B14985=C14985, "YES", "WRONG")</f>
        <v/>
      </c>
    </row>
    <row r="14986">
      <c r="A14986" t="n">
        <v>14985</v>
      </c>
      <c r="B14986" t="inlineStr">
        <is>
          <t>x̄MV̅CMLXXXV</t>
        </is>
      </c>
      <c r="C14986">
        <f>ROMAN(14985)</f>
        <v/>
      </c>
      <c r="D14986">
        <f>IF(B14986=C14986, "YES", "WRONG")</f>
        <v/>
      </c>
    </row>
    <row r="14987">
      <c r="A14987" t="n">
        <v>14986</v>
      </c>
      <c r="B14987" t="inlineStr">
        <is>
          <t>x̄MV̅CMLXXXVI</t>
        </is>
      </c>
      <c r="C14987">
        <f>ROMAN(14986)</f>
        <v/>
      </c>
      <c r="D14987">
        <f>IF(B14987=C14987, "YES", "WRONG")</f>
        <v/>
      </c>
    </row>
    <row r="14988">
      <c r="A14988" t="n">
        <v>14987</v>
      </c>
      <c r="B14988" t="inlineStr">
        <is>
          <t>x̄MV̅CMLXXXVII</t>
        </is>
      </c>
      <c r="C14988">
        <f>ROMAN(14987)</f>
        <v/>
      </c>
      <c r="D14988">
        <f>IF(B14988=C14988, "YES", "WRONG")</f>
        <v/>
      </c>
    </row>
    <row r="14989">
      <c r="A14989" t="n">
        <v>14988</v>
      </c>
      <c r="B14989" t="inlineStr">
        <is>
          <t>x̄MV̅CMLXXXVIII</t>
        </is>
      </c>
      <c r="C14989">
        <f>ROMAN(14988)</f>
        <v/>
      </c>
      <c r="D14989">
        <f>IF(B14989=C14989, "YES", "WRONG")</f>
        <v/>
      </c>
    </row>
    <row r="14990">
      <c r="A14990" t="n">
        <v>14989</v>
      </c>
      <c r="B14990" t="inlineStr">
        <is>
          <t>x̄MV̅CMLXXXIX</t>
        </is>
      </c>
      <c r="C14990">
        <f>ROMAN(14989)</f>
        <v/>
      </c>
      <c r="D14990">
        <f>IF(B14990=C14990, "YES", "WRONG")</f>
        <v/>
      </c>
    </row>
    <row r="14991">
      <c r="A14991" t="n">
        <v>14990</v>
      </c>
      <c r="B14991" t="inlineStr">
        <is>
          <t>x̄MV̅CMXC</t>
        </is>
      </c>
      <c r="C14991">
        <f>ROMAN(14990)</f>
        <v/>
      </c>
      <c r="D14991">
        <f>IF(B14991=C14991, "YES", "WRONG")</f>
        <v/>
      </c>
    </row>
    <row r="14992">
      <c r="A14992" t="n">
        <v>14991</v>
      </c>
      <c r="B14992" t="inlineStr">
        <is>
          <t>x̄MV̅CMXCI</t>
        </is>
      </c>
      <c r="C14992">
        <f>ROMAN(14991)</f>
        <v/>
      </c>
      <c r="D14992">
        <f>IF(B14992=C14992, "YES", "WRONG")</f>
        <v/>
      </c>
    </row>
    <row r="14993">
      <c r="A14993" t="n">
        <v>14992</v>
      </c>
      <c r="B14993" t="inlineStr">
        <is>
          <t>x̄MV̅CMXCII</t>
        </is>
      </c>
      <c r="C14993">
        <f>ROMAN(14992)</f>
        <v/>
      </c>
      <c r="D14993">
        <f>IF(B14993=C14993, "YES", "WRONG")</f>
        <v/>
      </c>
    </row>
    <row r="14994">
      <c r="A14994" t="n">
        <v>14993</v>
      </c>
      <c r="B14994" t="inlineStr">
        <is>
          <t>x̄MV̅CMXCIII</t>
        </is>
      </c>
      <c r="C14994">
        <f>ROMAN(14993)</f>
        <v/>
      </c>
      <c r="D14994">
        <f>IF(B14994=C14994, "YES", "WRONG")</f>
        <v/>
      </c>
    </row>
    <row r="14995">
      <c r="A14995" t="n">
        <v>14994</v>
      </c>
      <c r="B14995" t="inlineStr">
        <is>
          <t>x̄MV̅CMXCIV</t>
        </is>
      </c>
      <c r="C14995">
        <f>ROMAN(14994)</f>
        <v/>
      </c>
      <c r="D14995">
        <f>IF(B14995=C14995, "YES", "WRONG")</f>
        <v/>
      </c>
    </row>
    <row r="14996">
      <c r="A14996" t="n">
        <v>14995</v>
      </c>
      <c r="B14996" t="inlineStr">
        <is>
          <t>x̄MV̅CMXCV</t>
        </is>
      </c>
      <c r="C14996">
        <f>ROMAN(14995)</f>
        <v/>
      </c>
      <c r="D14996">
        <f>IF(B14996=C14996, "YES", "WRONG")</f>
        <v/>
      </c>
    </row>
    <row r="14997">
      <c r="A14997" t="n">
        <v>14996</v>
      </c>
      <c r="B14997" t="inlineStr">
        <is>
          <t>x̄MV̅CMXCVI</t>
        </is>
      </c>
      <c r="C14997">
        <f>ROMAN(14996)</f>
        <v/>
      </c>
      <c r="D14997">
        <f>IF(B14997=C14997, "YES", "WRONG")</f>
        <v/>
      </c>
    </row>
    <row r="14998">
      <c r="A14998" t="n">
        <v>14997</v>
      </c>
      <c r="B14998" t="inlineStr">
        <is>
          <t>x̄MV̅CMXCVII</t>
        </is>
      </c>
      <c r="C14998">
        <f>ROMAN(14997)</f>
        <v/>
      </c>
      <c r="D14998">
        <f>IF(B14998=C14998, "YES", "WRONG")</f>
        <v/>
      </c>
    </row>
    <row r="14999">
      <c r="A14999" t="n">
        <v>14998</v>
      </c>
      <c r="B14999" t="inlineStr">
        <is>
          <t>x̄MV̅CMXCVIII</t>
        </is>
      </c>
      <c r="C14999">
        <f>ROMAN(14998)</f>
        <v/>
      </c>
      <c r="D14999">
        <f>IF(B14999=C14999, "YES", "WRONG")</f>
        <v/>
      </c>
    </row>
    <row r="15000">
      <c r="A15000" t="n">
        <v>14999</v>
      </c>
      <c r="B15000" t="inlineStr">
        <is>
          <t>x̄MV̅CMXCIX</t>
        </is>
      </c>
      <c r="C15000">
        <f>ROMAN(14999)</f>
        <v/>
      </c>
      <c r="D15000">
        <f>IF(B15000=C15000, "YES", "WRONG")</f>
        <v/>
      </c>
    </row>
    <row r="15001">
      <c r="A15001" t="n">
        <v>15000</v>
      </c>
      <c r="B15001" t="inlineStr">
        <is>
          <t>x̄V̅</t>
        </is>
      </c>
      <c r="C15001">
        <f>ROMAN(15000)</f>
        <v/>
      </c>
      <c r="D15001">
        <f>IF(B15001=C15001, "YES", "WRONG")</f>
        <v/>
      </c>
    </row>
    <row r="15002">
      <c r="A15002" t="n">
        <v>15001</v>
      </c>
      <c r="B15002" t="inlineStr">
        <is>
          <t>x̄V̅I</t>
        </is>
      </c>
      <c r="C15002">
        <f>ROMAN(15001)</f>
        <v/>
      </c>
      <c r="D15002">
        <f>IF(B15002=C15002, "YES", "WRONG")</f>
        <v/>
      </c>
    </row>
    <row r="15003">
      <c r="A15003" t="n">
        <v>15002</v>
      </c>
      <c r="B15003" t="inlineStr">
        <is>
          <t>x̄V̅II</t>
        </is>
      </c>
      <c r="C15003">
        <f>ROMAN(15002)</f>
        <v/>
      </c>
      <c r="D15003">
        <f>IF(B15003=C15003, "YES", "WRONG")</f>
        <v/>
      </c>
    </row>
    <row r="15004">
      <c r="A15004" t="n">
        <v>15003</v>
      </c>
      <c r="B15004" t="inlineStr">
        <is>
          <t>x̄V̅III</t>
        </is>
      </c>
      <c r="C15004">
        <f>ROMAN(15003)</f>
        <v/>
      </c>
      <c r="D15004">
        <f>IF(B15004=C15004, "YES", "WRONG")</f>
        <v/>
      </c>
    </row>
    <row r="15005">
      <c r="A15005" t="n">
        <v>15004</v>
      </c>
      <c r="B15005" t="inlineStr">
        <is>
          <t>x̄V̅IV</t>
        </is>
      </c>
      <c r="C15005">
        <f>ROMAN(15004)</f>
        <v/>
      </c>
      <c r="D15005">
        <f>IF(B15005=C15005, "YES", "WRONG")</f>
        <v/>
      </c>
    </row>
    <row r="15006">
      <c r="A15006" t="n">
        <v>15005</v>
      </c>
      <c r="B15006" t="inlineStr">
        <is>
          <t>x̄V̅V</t>
        </is>
      </c>
      <c r="C15006">
        <f>ROMAN(15005)</f>
        <v/>
      </c>
      <c r="D15006">
        <f>IF(B15006=C15006, "YES", "WRONG")</f>
        <v/>
      </c>
    </row>
    <row r="15007">
      <c r="A15007" t="n">
        <v>15006</v>
      </c>
      <c r="B15007" t="inlineStr">
        <is>
          <t>x̄V̅VI</t>
        </is>
      </c>
      <c r="C15007">
        <f>ROMAN(15006)</f>
        <v/>
      </c>
      <c r="D15007">
        <f>IF(B15007=C15007, "YES", "WRONG")</f>
        <v/>
      </c>
    </row>
    <row r="15008">
      <c r="A15008" t="n">
        <v>15007</v>
      </c>
      <c r="B15008" t="inlineStr">
        <is>
          <t>x̄V̅VII</t>
        </is>
      </c>
      <c r="C15008">
        <f>ROMAN(15007)</f>
        <v/>
      </c>
      <c r="D15008">
        <f>IF(B15008=C15008, "YES", "WRONG")</f>
        <v/>
      </c>
    </row>
    <row r="15009">
      <c r="A15009" t="n">
        <v>15008</v>
      </c>
      <c r="B15009" t="inlineStr">
        <is>
          <t>x̄V̅VIII</t>
        </is>
      </c>
      <c r="C15009">
        <f>ROMAN(15008)</f>
        <v/>
      </c>
      <c r="D15009">
        <f>IF(B15009=C15009, "YES", "WRONG")</f>
        <v/>
      </c>
    </row>
    <row r="15010">
      <c r="A15010" t="n">
        <v>15009</v>
      </c>
      <c r="B15010" t="inlineStr">
        <is>
          <t>x̄V̅IX</t>
        </is>
      </c>
      <c r="C15010">
        <f>ROMAN(15009)</f>
        <v/>
      </c>
      <c r="D15010">
        <f>IF(B15010=C15010, "YES", "WRONG")</f>
        <v/>
      </c>
    </row>
    <row r="15011">
      <c r="A15011" t="n">
        <v>15010</v>
      </c>
      <c r="B15011" t="inlineStr">
        <is>
          <t>x̄V̅X</t>
        </is>
      </c>
      <c r="C15011">
        <f>ROMAN(15010)</f>
        <v/>
      </c>
      <c r="D15011">
        <f>IF(B15011=C15011, "YES", "WRONG")</f>
        <v/>
      </c>
    </row>
    <row r="15012">
      <c r="A15012" t="n">
        <v>15011</v>
      </c>
      <c r="B15012" t="inlineStr">
        <is>
          <t>x̄V̅XI</t>
        </is>
      </c>
      <c r="C15012">
        <f>ROMAN(15011)</f>
        <v/>
      </c>
      <c r="D15012">
        <f>IF(B15012=C15012, "YES", "WRONG")</f>
        <v/>
      </c>
    </row>
    <row r="15013">
      <c r="A15013" t="n">
        <v>15012</v>
      </c>
      <c r="B15013" t="inlineStr">
        <is>
          <t>x̄V̅XII</t>
        </is>
      </c>
      <c r="C15013">
        <f>ROMAN(15012)</f>
        <v/>
      </c>
      <c r="D15013">
        <f>IF(B15013=C15013, "YES", "WRONG")</f>
        <v/>
      </c>
    </row>
    <row r="15014">
      <c r="A15014" t="n">
        <v>15013</v>
      </c>
      <c r="B15014" t="inlineStr">
        <is>
          <t>x̄V̅XIII</t>
        </is>
      </c>
      <c r="C15014">
        <f>ROMAN(15013)</f>
        <v/>
      </c>
      <c r="D15014">
        <f>IF(B15014=C15014, "YES", "WRONG")</f>
        <v/>
      </c>
    </row>
    <row r="15015">
      <c r="A15015" t="n">
        <v>15014</v>
      </c>
      <c r="B15015" t="inlineStr">
        <is>
          <t>x̄V̅XIV</t>
        </is>
      </c>
      <c r="C15015">
        <f>ROMAN(15014)</f>
        <v/>
      </c>
      <c r="D15015">
        <f>IF(B15015=C15015, "YES", "WRONG")</f>
        <v/>
      </c>
    </row>
    <row r="15016">
      <c r="A15016" t="n">
        <v>15015</v>
      </c>
      <c r="B15016" t="inlineStr">
        <is>
          <t>x̄V̅XV</t>
        </is>
      </c>
      <c r="C15016">
        <f>ROMAN(15015)</f>
        <v/>
      </c>
      <c r="D15016">
        <f>IF(B15016=C15016, "YES", "WRONG")</f>
        <v/>
      </c>
    </row>
    <row r="15017">
      <c r="A15017" t="n">
        <v>15016</v>
      </c>
      <c r="B15017" t="inlineStr">
        <is>
          <t>x̄V̅XVI</t>
        </is>
      </c>
      <c r="C15017">
        <f>ROMAN(15016)</f>
        <v/>
      </c>
      <c r="D15017">
        <f>IF(B15017=C15017, "YES", "WRONG")</f>
        <v/>
      </c>
    </row>
    <row r="15018">
      <c r="A15018" t="n">
        <v>15017</v>
      </c>
      <c r="B15018" t="inlineStr">
        <is>
          <t>x̄V̅XVII</t>
        </is>
      </c>
      <c r="C15018">
        <f>ROMAN(15017)</f>
        <v/>
      </c>
      <c r="D15018">
        <f>IF(B15018=C15018, "YES", "WRONG")</f>
        <v/>
      </c>
    </row>
    <row r="15019">
      <c r="A15019" t="n">
        <v>15018</v>
      </c>
      <c r="B15019" t="inlineStr">
        <is>
          <t>x̄V̅XVIII</t>
        </is>
      </c>
      <c r="C15019">
        <f>ROMAN(15018)</f>
        <v/>
      </c>
      <c r="D15019">
        <f>IF(B15019=C15019, "YES", "WRONG")</f>
        <v/>
      </c>
    </row>
    <row r="15020">
      <c r="A15020" t="n">
        <v>15019</v>
      </c>
      <c r="B15020" t="inlineStr">
        <is>
          <t>x̄V̅XIX</t>
        </is>
      </c>
      <c r="C15020">
        <f>ROMAN(15019)</f>
        <v/>
      </c>
      <c r="D15020">
        <f>IF(B15020=C15020, "YES", "WRONG")</f>
        <v/>
      </c>
    </row>
    <row r="15021">
      <c r="A15021" t="n">
        <v>15020</v>
      </c>
      <c r="B15021" t="inlineStr">
        <is>
          <t>x̄V̅XX</t>
        </is>
      </c>
      <c r="C15021">
        <f>ROMAN(15020)</f>
        <v/>
      </c>
      <c r="D15021">
        <f>IF(B15021=C15021, "YES", "WRONG")</f>
        <v/>
      </c>
    </row>
    <row r="15022">
      <c r="A15022" t="n">
        <v>15021</v>
      </c>
      <c r="B15022" t="inlineStr">
        <is>
          <t>x̄V̅XXI</t>
        </is>
      </c>
      <c r="C15022">
        <f>ROMAN(15021)</f>
        <v/>
      </c>
      <c r="D15022">
        <f>IF(B15022=C15022, "YES", "WRONG")</f>
        <v/>
      </c>
    </row>
    <row r="15023">
      <c r="A15023" t="n">
        <v>15022</v>
      </c>
      <c r="B15023" t="inlineStr">
        <is>
          <t>x̄V̅XXII</t>
        </is>
      </c>
      <c r="C15023">
        <f>ROMAN(15022)</f>
        <v/>
      </c>
      <c r="D15023">
        <f>IF(B15023=C15023, "YES", "WRONG")</f>
        <v/>
      </c>
    </row>
    <row r="15024">
      <c r="A15024" t="n">
        <v>15023</v>
      </c>
      <c r="B15024" t="inlineStr">
        <is>
          <t>x̄V̅XXIII</t>
        </is>
      </c>
      <c r="C15024">
        <f>ROMAN(15023)</f>
        <v/>
      </c>
      <c r="D15024">
        <f>IF(B15024=C15024, "YES", "WRONG")</f>
        <v/>
      </c>
    </row>
    <row r="15025">
      <c r="A15025" t="n">
        <v>15024</v>
      </c>
      <c r="B15025" t="inlineStr">
        <is>
          <t>x̄V̅XXIV</t>
        </is>
      </c>
      <c r="C15025">
        <f>ROMAN(15024)</f>
        <v/>
      </c>
      <c r="D15025">
        <f>IF(B15025=C15025, "YES", "WRONG")</f>
        <v/>
      </c>
    </row>
    <row r="15026">
      <c r="A15026" t="n">
        <v>15025</v>
      </c>
      <c r="B15026" t="inlineStr">
        <is>
          <t>x̄V̅XXV</t>
        </is>
      </c>
      <c r="C15026">
        <f>ROMAN(15025)</f>
        <v/>
      </c>
      <c r="D15026">
        <f>IF(B15026=C15026, "YES", "WRONG")</f>
        <v/>
      </c>
    </row>
    <row r="15027">
      <c r="A15027" t="n">
        <v>15026</v>
      </c>
      <c r="B15027" t="inlineStr">
        <is>
          <t>x̄V̅XXVI</t>
        </is>
      </c>
      <c r="C15027">
        <f>ROMAN(15026)</f>
        <v/>
      </c>
      <c r="D15027">
        <f>IF(B15027=C15027, "YES", "WRONG")</f>
        <v/>
      </c>
    </row>
    <row r="15028">
      <c r="A15028" t="n">
        <v>15027</v>
      </c>
      <c r="B15028" t="inlineStr">
        <is>
          <t>x̄V̅XXVII</t>
        </is>
      </c>
      <c r="C15028">
        <f>ROMAN(15027)</f>
        <v/>
      </c>
      <c r="D15028">
        <f>IF(B15028=C15028, "YES", "WRONG")</f>
        <v/>
      </c>
    </row>
    <row r="15029">
      <c r="A15029" t="n">
        <v>15028</v>
      </c>
      <c r="B15029" t="inlineStr">
        <is>
          <t>x̄V̅XXVIII</t>
        </is>
      </c>
      <c r="C15029">
        <f>ROMAN(15028)</f>
        <v/>
      </c>
      <c r="D15029">
        <f>IF(B15029=C15029, "YES", "WRONG")</f>
        <v/>
      </c>
    </row>
    <row r="15030">
      <c r="A15030" t="n">
        <v>15029</v>
      </c>
      <c r="B15030" t="inlineStr">
        <is>
          <t>x̄V̅XXIX</t>
        </is>
      </c>
      <c r="C15030">
        <f>ROMAN(15029)</f>
        <v/>
      </c>
      <c r="D15030">
        <f>IF(B15030=C15030, "YES", "WRONG")</f>
        <v/>
      </c>
    </row>
    <row r="15031">
      <c r="A15031" t="n">
        <v>15030</v>
      </c>
      <c r="B15031" t="inlineStr">
        <is>
          <t>x̄V̅XXX</t>
        </is>
      </c>
      <c r="C15031">
        <f>ROMAN(15030)</f>
        <v/>
      </c>
      <c r="D15031">
        <f>IF(B15031=C15031, "YES", "WRONG")</f>
        <v/>
      </c>
    </row>
    <row r="15032">
      <c r="A15032" t="n">
        <v>15031</v>
      </c>
      <c r="B15032" t="inlineStr">
        <is>
          <t>x̄V̅XXXI</t>
        </is>
      </c>
      <c r="C15032">
        <f>ROMAN(15031)</f>
        <v/>
      </c>
      <c r="D15032">
        <f>IF(B15032=C15032, "YES", "WRONG")</f>
        <v/>
      </c>
    </row>
    <row r="15033">
      <c r="A15033" t="n">
        <v>15032</v>
      </c>
      <c r="B15033" t="inlineStr">
        <is>
          <t>x̄V̅XXXII</t>
        </is>
      </c>
      <c r="C15033">
        <f>ROMAN(15032)</f>
        <v/>
      </c>
      <c r="D15033">
        <f>IF(B15033=C15033, "YES", "WRONG")</f>
        <v/>
      </c>
    </row>
    <row r="15034">
      <c r="A15034" t="n">
        <v>15033</v>
      </c>
      <c r="B15034" t="inlineStr">
        <is>
          <t>x̄V̅XXXIII</t>
        </is>
      </c>
      <c r="C15034">
        <f>ROMAN(15033)</f>
        <v/>
      </c>
      <c r="D15034">
        <f>IF(B15034=C15034, "YES", "WRONG")</f>
        <v/>
      </c>
    </row>
    <row r="15035">
      <c r="A15035" t="n">
        <v>15034</v>
      </c>
      <c r="B15035" t="inlineStr">
        <is>
          <t>x̄V̅XXXIV</t>
        </is>
      </c>
      <c r="C15035">
        <f>ROMAN(15034)</f>
        <v/>
      </c>
      <c r="D15035">
        <f>IF(B15035=C15035, "YES", "WRONG")</f>
        <v/>
      </c>
    </row>
    <row r="15036">
      <c r="A15036" t="n">
        <v>15035</v>
      </c>
      <c r="B15036" t="inlineStr">
        <is>
          <t>x̄V̅XXXV</t>
        </is>
      </c>
      <c r="C15036">
        <f>ROMAN(15035)</f>
        <v/>
      </c>
      <c r="D15036">
        <f>IF(B15036=C15036, "YES", "WRONG")</f>
        <v/>
      </c>
    </row>
    <row r="15037">
      <c r="A15037" t="n">
        <v>15036</v>
      </c>
      <c r="B15037" t="inlineStr">
        <is>
          <t>x̄V̅XXXVI</t>
        </is>
      </c>
      <c r="C15037">
        <f>ROMAN(15036)</f>
        <v/>
      </c>
      <c r="D15037">
        <f>IF(B15037=C15037, "YES", "WRONG")</f>
        <v/>
      </c>
    </row>
    <row r="15038">
      <c r="A15038" t="n">
        <v>15037</v>
      </c>
      <c r="B15038" t="inlineStr">
        <is>
          <t>x̄V̅XXXVII</t>
        </is>
      </c>
      <c r="C15038">
        <f>ROMAN(15037)</f>
        <v/>
      </c>
      <c r="D15038">
        <f>IF(B15038=C15038, "YES", "WRONG")</f>
        <v/>
      </c>
    </row>
    <row r="15039">
      <c r="A15039" t="n">
        <v>15038</v>
      </c>
      <c r="B15039" t="inlineStr">
        <is>
          <t>x̄V̅XXXVIII</t>
        </is>
      </c>
      <c r="C15039">
        <f>ROMAN(15038)</f>
        <v/>
      </c>
      <c r="D15039">
        <f>IF(B15039=C15039, "YES", "WRONG")</f>
        <v/>
      </c>
    </row>
    <row r="15040">
      <c r="A15040" t="n">
        <v>15039</v>
      </c>
      <c r="B15040" t="inlineStr">
        <is>
          <t>x̄V̅XXXIX</t>
        </is>
      </c>
      <c r="C15040">
        <f>ROMAN(15039)</f>
        <v/>
      </c>
      <c r="D15040">
        <f>IF(B15040=C15040, "YES", "WRONG")</f>
        <v/>
      </c>
    </row>
    <row r="15041">
      <c r="A15041" t="n">
        <v>15040</v>
      </c>
      <c r="B15041" t="inlineStr">
        <is>
          <t>x̄V̅XL</t>
        </is>
      </c>
      <c r="C15041">
        <f>ROMAN(15040)</f>
        <v/>
      </c>
      <c r="D15041">
        <f>IF(B15041=C15041, "YES", "WRONG")</f>
        <v/>
      </c>
    </row>
    <row r="15042">
      <c r="A15042" t="n">
        <v>15041</v>
      </c>
      <c r="B15042" t="inlineStr">
        <is>
          <t>x̄V̅XLI</t>
        </is>
      </c>
      <c r="C15042">
        <f>ROMAN(15041)</f>
        <v/>
      </c>
      <c r="D15042">
        <f>IF(B15042=C15042, "YES", "WRONG")</f>
        <v/>
      </c>
    </row>
    <row r="15043">
      <c r="A15043" t="n">
        <v>15042</v>
      </c>
      <c r="B15043" t="inlineStr">
        <is>
          <t>x̄V̅XLII</t>
        </is>
      </c>
      <c r="C15043">
        <f>ROMAN(15042)</f>
        <v/>
      </c>
      <c r="D15043">
        <f>IF(B15043=C15043, "YES", "WRONG")</f>
        <v/>
      </c>
    </row>
    <row r="15044">
      <c r="A15044" t="n">
        <v>15043</v>
      </c>
      <c r="B15044" t="inlineStr">
        <is>
          <t>x̄V̅XLIII</t>
        </is>
      </c>
      <c r="C15044">
        <f>ROMAN(15043)</f>
        <v/>
      </c>
      <c r="D15044">
        <f>IF(B15044=C15044, "YES", "WRONG")</f>
        <v/>
      </c>
    </row>
    <row r="15045">
      <c r="A15045" t="n">
        <v>15044</v>
      </c>
      <c r="B15045" t="inlineStr">
        <is>
          <t>x̄V̅XLIV</t>
        </is>
      </c>
      <c r="C15045">
        <f>ROMAN(15044)</f>
        <v/>
      </c>
      <c r="D15045">
        <f>IF(B15045=C15045, "YES", "WRONG")</f>
        <v/>
      </c>
    </row>
    <row r="15046">
      <c r="A15046" t="n">
        <v>15045</v>
      </c>
      <c r="B15046" t="inlineStr">
        <is>
          <t>x̄V̅XLV</t>
        </is>
      </c>
      <c r="C15046">
        <f>ROMAN(15045)</f>
        <v/>
      </c>
      <c r="D15046">
        <f>IF(B15046=C15046, "YES", "WRONG")</f>
        <v/>
      </c>
    </row>
    <row r="15047">
      <c r="A15047" t="n">
        <v>15046</v>
      </c>
      <c r="B15047" t="inlineStr">
        <is>
          <t>x̄V̅XLVI</t>
        </is>
      </c>
      <c r="C15047">
        <f>ROMAN(15046)</f>
        <v/>
      </c>
      <c r="D15047">
        <f>IF(B15047=C15047, "YES", "WRONG")</f>
        <v/>
      </c>
    </row>
    <row r="15048">
      <c r="A15048" t="n">
        <v>15047</v>
      </c>
      <c r="B15048" t="inlineStr">
        <is>
          <t>x̄V̅XLVII</t>
        </is>
      </c>
      <c r="C15048">
        <f>ROMAN(15047)</f>
        <v/>
      </c>
      <c r="D15048">
        <f>IF(B15048=C15048, "YES", "WRONG")</f>
        <v/>
      </c>
    </row>
    <row r="15049">
      <c r="A15049" t="n">
        <v>15048</v>
      </c>
      <c r="B15049" t="inlineStr">
        <is>
          <t>x̄V̅XLVIII</t>
        </is>
      </c>
      <c r="C15049">
        <f>ROMAN(15048)</f>
        <v/>
      </c>
      <c r="D15049">
        <f>IF(B15049=C15049, "YES", "WRONG")</f>
        <v/>
      </c>
    </row>
    <row r="15050">
      <c r="A15050" t="n">
        <v>15049</v>
      </c>
      <c r="B15050" t="inlineStr">
        <is>
          <t>x̄V̅XLIX</t>
        </is>
      </c>
      <c r="C15050">
        <f>ROMAN(15049)</f>
        <v/>
      </c>
      <c r="D15050">
        <f>IF(B15050=C15050, "YES", "WRONG")</f>
        <v/>
      </c>
    </row>
    <row r="15051">
      <c r="A15051" t="n">
        <v>15050</v>
      </c>
      <c r="B15051" t="inlineStr">
        <is>
          <t>x̄V̅L</t>
        </is>
      </c>
      <c r="C15051">
        <f>ROMAN(15050)</f>
        <v/>
      </c>
      <c r="D15051">
        <f>IF(B15051=C15051, "YES", "WRONG")</f>
        <v/>
      </c>
    </row>
    <row r="15052">
      <c r="A15052" t="n">
        <v>15051</v>
      </c>
      <c r="B15052" t="inlineStr">
        <is>
          <t>x̄V̅LI</t>
        </is>
      </c>
      <c r="C15052">
        <f>ROMAN(15051)</f>
        <v/>
      </c>
      <c r="D15052">
        <f>IF(B15052=C15052, "YES", "WRONG")</f>
        <v/>
      </c>
    </row>
    <row r="15053">
      <c r="A15053" t="n">
        <v>15052</v>
      </c>
      <c r="B15053" t="inlineStr">
        <is>
          <t>x̄V̅LII</t>
        </is>
      </c>
      <c r="C15053">
        <f>ROMAN(15052)</f>
        <v/>
      </c>
      <c r="D15053">
        <f>IF(B15053=C15053, "YES", "WRONG")</f>
        <v/>
      </c>
    </row>
    <row r="15054">
      <c r="A15054" t="n">
        <v>15053</v>
      </c>
      <c r="B15054" t="inlineStr">
        <is>
          <t>x̄V̅LIII</t>
        </is>
      </c>
      <c r="C15054">
        <f>ROMAN(15053)</f>
        <v/>
      </c>
      <c r="D15054">
        <f>IF(B15054=C15054, "YES", "WRONG")</f>
        <v/>
      </c>
    </row>
    <row r="15055">
      <c r="A15055" t="n">
        <v>15054</v>
      </c>
      <c r="B15055" t="inlineStr">
        <is>
          <t>x̄V̅LIV</t>
        </is>
      </c>
      <c r="C15055">
        <f>ROMAN(15054)</f>
        <v/>
      </c>
      <c r="D15055">
        <f>IF(B15055=C15055, "YES", "WRONG")</f>
        <v/>
      </c>
    </row>
    <row r="15056">
      <c r="A15056" t="n">
        <v>15055</v>
      </c>
      <c r="B15056" t="inlineStr">
        <is>
          <t>x̄V̅LV</t>
        </is>
      </c>
      <c r="C15056">
        <f>ROMAN(15055)</f>
        <v/>
      </c>
      <c r="D15056">
        <f>IF(B15056=C15056, "YES", "WRONG")</f>
        <v/>
      </c>
    </row>
    <row r="15057">
      <c r="A15057" t="n">
        <v>15056</v>
      </c>
      <c r="B15057" t="inlineStr">
        <is>
          <t>x̄V̅LVI</t>
        </is>
      </c>
      <c r="C15057">
        <f>ROMAN(15056)</f>
        <v/>
      </c>
      <c r="D15057">
        <f>IF(B15057=C15057, "YES", "WRONG")</f>
        <v/>
      </c>
    </row>
    <row r="15058">
      <c r="A15058" t="n">
        <v>15057</v>
      </c>
      <c r="B15058" t="inlineStr">
        <is>
          <t>x̄V̅LVII</t>
        </is>
      </c>
      <c r="C15058">
        <f>ROMAN(15057)</f>
        <v/>
      </c>
      <c r="D15058">
        <f>IF(B15058=C15058, "YES", "WRONG")</f>
        <v/>
      </c>
    </row>
    <row r="15059">
      <c r="A15059" t="n">
        <v>15058</v>
      </c>
      <c r="B15059" t="inlineStr">
        <is>
          <t>x̄V̅LVIII</t>
        </is>
      </c>
      <c r="C15059">
        <f>ROMAN(15058)</f>
        <v/>
      </c>
      <c r="D15059">
        <f>IF(B15059=C15059, "YES", "WRONG")</f>
        <v/>
      </c>
    </row>
    <row r="15060">
      <c r="A15060" t="n">
        <v>15059</v>
      </c>
      <c r="B15060" t="inlineStr">
        <is>
          <t>x̄V̅LIX</t>
        </is>
      </c>
      <c r="C15060">
        <f>ROMAN(15059)</f>
        <v/>
      </c>
      <c r="D15060">
        <f>IF(B15060=C15060, "YES", "WRONG")</f>
        <v/>
      </c>
    </row>
    <row r="15061">
      <c r="A15061" t="n">
        <v>15060</v>
      </c>
      <c r="B15061" t="inlineStr">
        <is>
          <t>x̄V̅LX</t>
        </is>
      </c>
      <c r="C15061">
        <f>ROMAN(15060)</f>
        <v/>
      </c>
      <c r="D15061">
        <f>IF(B15061=C15061, "YES", "WRONG")</f>
        <v/>
      </c>
    </row>
    <row r="15062">
      <c r="A15062" t="n">
        <v>15061</v>
      </c>
      <c r="B15062" t="inlineStr">
        <is>
          <t>x̄V̅LXI</t>
        </is>
      </c>
      <c r="C15062">
        <f>ROMAN(15061)</f>
        <v/>
      </c>
      <c r="D15062">
        <f>IF(B15062=C15062, "YES", "WRONG")</f>
        <v/>
      </c>
    </row>
    <row r="15063">
      <c r="A15063" t="n">
        <v>15062</v>
      </c>
      <c r="B15063" t="inlineStr">
        <is>
          <t>x̄V̅LXII</t>
        </is>
      </c>
      <c r="C15063">
        <f>ROMAN(15062)</f>
        <v/>
      </c>
      <c r="D15063">
        <f>IF(B15063=C15063, "YES", "WRONG")</f>
        <v/>
      </c>
    </row>
    <row r="15064">
      <c r="A15064" t="n">
        <v>15063</v>
      </c>
      <c r="B15064" t="inlineStr">
        <is>
          <t>x̄V̅LXIII</t>
        </is>
      </c>
      <c r="C15064">
        <f>ROMAN(15063)</f>
        <v/>
      </c>
      <c r="D15064">
        <f>IF(B15064=C15064, "YES", "WRONG")</f>
        <v/>
      </c>
    </row>
    <row r="15065">
      <c r="A15065" t="n">
        <v>15064</v>
      </c>
      <c r="B15065" t="inlineStr">
        <is>
          <t>x̄V̅LXIV</t>
        </is>
      </c>
      <c r="C15065">
        <f>ROMAN(15064)</f>
        <v/>
      </c>
      <c r="D15065">
        <f>IF(B15065=C15065, "YES", "WRONG")</f>
        <v/>
      </c>
    </row>
    <row r="15066">
      <c r="A15066" t="n">
        <v>15065</v>
      </c>
      <c r="B15066" t="inlineStr">
        <is>
          <t>x̄V̅LXV</t>
        </is>
      </c>
      <c r="C15066">
        <f>ROMAN(15065)</f>
        <v/>
      </c>
      <c r="D15066">
        <f>IF(B15066=C15066, "YES", "WRONG")</f>
        <v/>
      </c>
    </row>
    <row r="15067">
      <c r="A15067" t="n">
        <v>15066</v>
      </c>
      <c r="B15067" t="inlineStr">
        <is>
          <t>x̄V̅LXVI</t>
        </is>
      </c>
      <c r="C15067">
        <f>ROMAN(15066)</f>
        <v/>
      </c>
      <c r="D15067">
        <f>IF(B15067=C15067, "YES", "WRONG")</f>
        <v/>
      </c>
    </row>
    <row r="15068">
      <c r="A15068" t="n">
        <v>15067</v>
      </c>
      <c r="B15068" t="inlineStr">
        <is>
          <t>x̄V̅LXVII</t>
        </is>
      </c>
      <c r="C15068">
        <f>ROMAN(15067)</f>
        <v/>
      </c>
      <c r="D15068">
        <f>IF(B15068=C15068, "YES", "WRONG")</f>
        <v/>
      </c>
    </row>
    <row r="15069">
      <c r="A15069" t="n">
        <v>15068</v>
      </c>
      <c r="B15069" t="inlineStr">
        <is>
          <t>x̄V̅LXVIII</t>
        </is>
      </c>
      <c r="C15069">
        <f>ROMAN(15068)</f>
        <v/>
      </c>
      <c r="D15069">
        <f>IF(B15069=C15069, "YES", "WRONG")</f>
        <v/>
      </c>
    </row>
    <row r="15070">
      <c r="A15070" t="n">
        <v>15069</v>
      </c>
      <c r="B15070" t="inlineStr">
        <is>
          <t>x̄V̅LXIX</t>
        </is>
      </c>
      <c r="C15070">
        <f>ROMAN(15069)</f>
        <v/>
      </c>
      <c r="D15070">
        <f>IF(B15070=C15070, "YES", "WRONG")</f>
        <v/>
      </c>
    </row>
    <row r="15071">
      <c r="A15071" t="n">
        <v>15070</v>
      </c>
      <c r="B15071" t="inlineStr">
        <is>
          <t>x̄V̅LXX</t>
        </is>
      </c>
      <c r="C15071">
        <f>ROMAN(15070)</f>
        <v/>
      </c>
      <c r="D15071">
        <f>IF(B15071=C15071, "YES", "WRONG")</f>
        <v/>
      </c>
    </row>
    <row r="15072">
      <c r="A15072" t="n">
        <v>15071</v>
      </c>
      <c r="B15072" t="inlineStr">
        <is>
          <t>x̄V̅LXXI</t>
        </is>
      </c>
      <c r="C15072">
        <f>ROMAN(15071)</f>
        <v/>
      </c>
      <c r="D15072">
        <f>IF(B15072=C15072, "YES", "WRONG")</f>
        <v/>
      </c>
    </row>
    <row r="15073">
      <c r="A15073" t="n">
        <v>15072</v>
      </c>
      <c r="B15073" t="inlineStr">
        <is>
          <t>x̄V̅LXXII</t>
        </is>
      </c>
      <c r="C15073">
        <f>ROMAN(15072)</f>
        <v/>
      </c>
      <c r="D15073">
        <f>IF(B15073=C15073, "YES", "WRONG")</f>
        <v/>
      </c>
    </row>
    <row r="15074">
      <c r="A15074" t="n">
        <v>15073</v>
      </c>
      <c r="B15074" t="inlineStr">
        <is>
          <t>x̄V̅LXXIII</t>
        </is>
      </c>
      <c r="C15074">
        <f>ROMAN(15073)</f>
        <v/>
      </c>
      <c r="D15074">
        <f>IF(B15074=C15074, "YES", "WRONG")</f>
        <v/>
      </c>
    </row>
    <row r="15075">
      <c r="A15075" t="n">
        <v>15074</v>
      </c>
      <c r="B15075" t="inlineStr">
        <is>
          <t>x̄V̅LXXIV</t>
        </is>
      </c>
      <c r="C15075">
        <f>ROMAN(15074)</f>
        <v/>
      </c>
      <c r="D15075">
        <f>IF(B15075=C15075, "YES", "WRONG")</f>
        <v/>
      </c>
    </row>
    <row r="15076">
      <c r="A15076" t="n">
        <v>15075</v>
      </c>
      <c r="B15076" t="inlineStr">
        <is>
          <t>x̄V̅LXXV</t>
        </is>
      </c>
      <c r="C15076">
        <f>ROMAN(15075)</f>
        <v/>
      </c>
      <c r="D15076">
        <f>IF(B15076=C15076, "YES", "WRONG")</f>
        <v/>
      </c>
    </row>
    <row r="15077">
      <c r="A15077" t="n">
        <v>15076</v>
      </c>
      <c r="B15077" t="inlineStr">
        <is>
          <t>x̄V̅LXXVI</t>
        </is>
      </c>
      <c r="C15077">
        <f>ROMAN(15076)</f>
        <v/>
      </c>
      <c r="D15077">
        <f>IF(B15077=C15077, "YES", "WRONG")</f>
        <v/>
      </c>
    </row>
    <row r="15078">
      <c r="A15078" t="n">
        <v>15077</v>
      </c>
      <c r="B15078" t="inlineStr">
        <is>
          <t>x̄V̅LXXVII</t>
        </is>
      </c>
      <c r="C15078">
        <f>ROMAN(15077)</f>
        <v/>
      </c>
      <c r="D15078">
        <f>IF(B15078=C15078, "YES", "WRONG")</f>
        <v/>
      </c>
    </row>
    <row r="15079">
      <c r="A15079" t="n">
        <v>15078</v>
      </c>
      <c r="B15079" t="inlineStr">
        <is>
          <t>x̄V̅LXXVIII</t>
        </is>
      </c>
      <c r="C15079">
        <f>ROMAN(15078)</f>
        <v/>
      </c>
      <c r="D15079">
        <f>IF(B15079=C15079, "YES", "WRONG")</f>
        <v/>
      </c>
    </row>
    <row r="15080">
      <c r="A15080" t="n">
        <v>15079</v>
      </c>
      <c r="B15080" t="inlineStr">
        <is>
          <t>x̄V̅LXXIX</t>
        </is>
      </c>
      <c r="C15080">
        <f>ROMAN(15079)</f>
        <v/>
      </c>
      <c r="D15080">
        <f>IF(B15080=C15080, "YES", "WRONG")</f>
        <v/>
      </c>
    </row>
    <row r="15081">
      <c r="A15081" t="n">
        <v>15080</v>
      </c>
      <c r="B15081" t="inlineStr">
        <is>
          <t>x̄V̅LXXX</t>
        </is>
      </c>
      <c r="C15081">
        <f>ROMAN(15080)</f>
        <v/>
      </c>
      <c r="D15081">
        <f>IF(B15081=C15081, "YES", "WRONG")</f>
        <v/>
      </c>
    </row>
    <row r="15082">
      <c r="A15082" t="n">
        <v>15081</v>
      </c>
      <c r="B15082" t="inlineStr">
        <is>
          <t>x̄V̅LXXXI</t>
        </is>
      </c>
      <c r="C15082">
        <f>ROMAN(15081)</f>
        <v/>
      </c>
      <c r="D15082">
        <f>IF(B15082=C15082, "YES", "WRONG")</f>
        <v/>
      </c>
    </row>
    <row r="15083">
      <c r="A15083" t="n">
        <v>15082</v>
      </c>
      <c r="B15083" t="inlineStr">
        <is>
          <t>x̄V̅LXXXII</t>
        </is>
      </c>
      <c r="C15083">
        <f>ROMAN(15082)</f>
        <v/>
      </c>
      <c r="D15083">
        <f>IF(B15083=C15083, "YES", "WRONG")</f>
        <v/>
      </c>
    </row>
    <row r="15084">
      <c r="A15084" t="n">
        <v>15083</v>
      </c>
      <c r="B15084" t="inlineStr">
        <is>
          <t>x̄V̅LXXXIII</t>
        </is>
      </c>
      <c r="C15084">
        <f>ROMAN(15083)</f>
        <v/>
      </c>
      <c r="D15084">
        <f>IF(B15084=C15084, "YES", "WRONG")</f>
        <v/>
      </c>
    </row>
    <row r="15085">
      <c r="A15085" t="n">
        <v>15084</v>
      </c>
      <c r="B15085" t="inlineStr">
        <is>
          <t>x̄V̅LXXXIV</t>
        </is>
      </c>
      <c r="C15085">
        <f>ROMAN(15084)</f>
        <v/>
      </c>
      <c r="D15085">
        <f>IF(B15085=C15085, "YES", "WRONG")</f>
        <v/>
      </c>
    </row>
    <row r="15086">
      <c r="A15086" t="n">
        <v>15085</v>
      </c>
      <c r="B15086" t="inlineStr">
        <is>
          <t>x̄V̅LXXXV</t>
        </is>
      </c>
      <c r="C15086">
        <f>ROMAN(15085)</f>
        <v/>
      </c>
      <c r="D15086">
        <f>IF(B15086=C15086, "YES", "WRONG")</f>
        <v/>
      </c>
    </row>
    <row r="15087">
      <c r="A15087" t="n">
        <v>15086</v>
      </c>
      <c r="B15087" t="inlineStr">
        <is>
          <t>x̄V̅LXXXVI</t>
        </is>
      </c>
      <c r="C15087">
        <f>ROMAN(15086)</f>
        <v/>
      </c>
      <c r="D15087">
        <f>IF(B15087=C15087, "YES", "WRONG")</f>
        <v/>
      </c>
    </row>
    <row r="15088">
      <c r="A15088" t="n">
        <v>15087</v>
      </c>
      <c r="B15088" t="inlineStr">
        <is>
          <t>x̄V̅LXXXVII</t>
        </is>
      </c>
      <c r="C15088">
        <f>ROMAN(15087)</f>
        <v/>
      </c>
      <c r="D15088">
        <f>IF(B15088=C15088, "YES", "WRONG")</f>
        <v/>
      </c>
    </row>
    <row r="15089">
      <c r="A15089" t="n">
        <v>15088</v>
      </c>
      <c r="B15089" t="inlineStr">
        <is>
          <t>x̄V̅LXXXVIII</t>
        </is>
      </c>
      <c r="C15089">
        <f>ROMAN(15088)</f>
        <v/>
      </c>
      <c r="D15089">
        <f>IF(B15089=C15089, "YES", "WRONG")</f>
        <v/>
      </c>
    </row>
    <row r="15090">
      <c r="A15090" t="n">
        <v>15089</v>
      </c>
      <c r="B15090" t="inlineStr">
        <is>
          <t>x̄V̅LXXXIX</t>
        </is>
      </c>
      <c r="C15090">
        <f>ROMAN(15089)</f>
        <v/>
      </c>
      <c r="D15090">
        <f>IF(B15090=C15090, "YES", "WRONG")</f>
        <v/>
      </c>
    </row>
    <row r="15091">
      <c r="A15091" t="n">
        <v>15090</v>
      </c>
      <c r="B15091" t="inlineStr">
        <is>
          <t>x̄V̅XC</t>
        </is>
      </c>
      <c r="C15091">
        <f>ROMAN(15090)</f>
        <v/>
      </c>
      <c r="D15091">
        <f>IF(B15091=C15091, "YES", "WRONG")</f>
        <v/>
      </c>
    </row>
    <row r="15092">
      <c r="A15092" t="n">
        <v>15091</v>
      </c>
      <c r="B15092" t="inlineStr">
        <is>
          <t>x̄V̅XCI</t>
        </is>
      </c>
      <c r="C15092">
        <f>ROMAN(15091)</f>
        <v/>
      </c>
      <c r="D15092">
        <f>IF(B15092=C15092, "YES", "WRONG")</f>
        <v/>
      </c>
    </row>
    <row r="15093">
      <c r="A15093" t="n">
        <v>15092</v>
      </c>
      <c r="B15093" t="inlineStr">
        <is>
          <t>x̄V̅XCII</t>
        </is>
      </c>
      <c r="C15093">
        <f>ROMAN(15092)</f>
        <v/>
      </c>
      <c r="D15093">
        <f>IF(B15093=C15093, "YES", "WRONG")</f>
        <v/>
      </c>
    </row>
    <row r="15094">
      <c r="A15094" t="n">
        <v>15093</v>
      </c>
      <c r="B15094" t="inlineStr">
        <is>
          <t>x̄V̅XCIII</t>
        </is>
      </c>
      <c r="C15094">
        <f>ROMAN(15093)</f>
        <v/>
      </c>
      <c r="D15094">
        <f>IF(B15094=C15094, "YES", "WRONG")</f>
        <v/>
      </c>
    </row>
    <row r="15095">
      <c r="A15095" t="n">
        <v>15094</v>
      </c>
      <c r="B15095" t="inlineStr">
        <is>
          <t>x̄V̅XCIV</t>
        </is>
      </c>
      <c r="C15095">
        <f>ROMAN(15094)</f>
        <v/>
      </c>
      <c r="D15095">
        <f>IF(B15095=C15095, "YES", "WRONG")</f>
        <v/>
      </c>
    </row>
    <row r="15096">
      <c r="A15096" t="n">
        <v>15095</v>
      </c>
      <c r="B15096" t="inlineStr">
        <is>
          <t>x̄V̅XCV</t>
        </is>
      </c>
      <c r="C15096">
        <f>ROMAN(15095)</f>
        <v/>
      </c>
      <c r="D15096">
        <f>IF(B15096=C15096, "YES", "WRONG")</f>
        <v/>
      </c>
    </row>
    <row r="15097">
      <c r="A15097" t="n">
        <v>15096</v>
      </c>
      <c r="B15097" t="inlineStr">
        <is>
          <t>x̄V̅XCVI</t>
        </is>
      </c>
      <c r="C15097">
        <f>ROMAN(15096)</f>
        <v/>
      </c>
      <c r="D15097">
        <f>IF(B15097=C15097, "YES", "WRONG")</f>
        <v/>
      </c>
    </row>
    <row r="15098">
      <c r="A15098" t="n">
        <v>15097</v>
      </c>
      <c r="B15098" t="inlineStr">
        <is>
          <t>x̄V̅XCVII</t>
        </is>
      </c>
      <c r="C15098">
        <f>ROMAN(15097)</f>
        <v/>
      </c>
      <c r="D15098">
        <f>IF(B15098=C15098, "YES", "WRONG")</f>
        <v/>
      </c>
    </row>
    <row r="15099">
      <c r="A15099" t="n">
        <v>15098</v>
      </c>
      <c r="B15099" t="inlineStr">
        <is>
          <t>x̄V̅XCVIII</t>
        </is>
      </c>
      <c r="C15099">
        <f>ROMAN(15098)</f>
        <v/>
      </c>
      <c r="D15099">
        <f>IF(B15099=C15099, "YES", "WRONG")</f>
        <v/>
      </c>
    </row>
    <row r="15100">
      <c r="A15100" t="n">
        <v>15099</v>
      </c>
      <c r="B15100" t="inlineStr">
        <is>
          <t>x̄V̅XCIX</t>
        </is>
      </c>
      <c r="C15100">
        <f>ROMAN(15099)</f>
        <v/>
      </c>
      <c r="D15100">
        <f>IF(B15100=C15100, "YES", "WRONG")</f>
        <v/>
      </c>
    </row>
    <row r="15101">
      <c r="A15101" t="n">
        <v>15100</v>
      </c>
      <c r="B15101" t="inlineStr">
        <is>
          <t>x̄V̅C</t>
        </is>
      </c>
      <c r="C15101">
        <f>ROMAN(15100)</f>
        <v/>
      </c>
      <c r="D15101">
        <f>IF(B15101=C15101, "YES", "WRONG")</f>
        <v/>
      </c>
    </row>
    <row r="15102">
      <c r="A15102" t="n">
        <v>15101</v>
      </c>
      <c r="B15102" t="inlineStr">
        <is>
          <t>x̄V̅CI</t>
        </is>
      </c>
      <c r="C15102">
        <f>ROMAN(15101)</f>
        <v/>
      </c>
      <c r="D15102">
        <f>IF(B15102=C15102, "YES", "WRONG")</f>
        <v/>
      </c>
    </row>
    <row r="15103">
      <c r="A15103" t="n">
        <v>15102</v>
      </c>
      <c r="B15103" t="inlineStr">
        <is>
          <t>x̄V̅CII</t>
        </is>
      </c>
      <c r="C15103">
        <f>ROMAN(15102)</f>
        <v/>
      </c>
      <c r="D15103">
        <f>IF(B15103=C15103, "YES", "WRONG")</f>
        <v/>
      </c>
    </row>
    <row r="15104">
      <c r="A15104" t="n">
        <v>15103</v>
      </c>
      <c r="B15104" t="inlineStr">
        <is>
          <t>x̄V̅CIII</t>
        </is>
      </c>
      <c r="C15104">
        <f>ROMAN(15103)</f>
        <v/>
      </c>
      <c r="D15104">
        <f>IF(B15104=C15104, "YES", "WRONG")</f>
        <v/>
      </c>
    </row>
    <row r="15105">
      <c r="A15105" t="n">
        <v>15104</v>
      </c>
      <c r="B15105" t="inlineStr">
        <is>
          <t>x̄V̅CIV</t>
        </is>
      </c>
      <c r="C15105">
        <f>ROMAN(15104)</f>
        <v/>
      </c>
      <c r="D15105">
        <f>IF(B15105=C15105, "YES", "WRONG")</f>
        <v/>
      </c>
    </row>
    <row r="15106">
      <c r="A15106" t="n">
        <v>15105</v>
      </c>
      <c r="B15106" t="inlineStr">
        <is>
          <t>x̄V̅CV</t>
        </is>
      </c>
      <c r="C15106">
        <f>ROMAN(15105)</f>
        <v/>
      </c>
      <c r="D15106">
        <f>IF(B15106=C15106, "YES", "WRONG")</f>
        <v/>
      </c>
    </row>
    <row r="15107">
      <c r="A15107" t="n">
        <v>15106</v>
      </c>
      <c r="B15107" t="inlineStr">
        <is>
          <t>x̄V̅CVI</t>
        </is>
      </c>
      <c r="C15107">
        <f>ROMAN(15106)</f>
        <v/>
      </c>
      <c r="D15107">
        <f>IF(B15107=C15107, "YES", "WRONG")</f>
        <v/>
      </c>
    </row>
    <row r="15108">
      <c r="A15108" t="n">
        <v>15107</v>
      </c>
      <c r="B15108" t="inlineStr">
        <is>
          <t>x̄V̅CVII</t>
        </is>
      </c>
      <c r="C15108">
        <f>ROMAN(15107)</f>
        <v/>
      </c>
      <c r="D15108">
        <f>IF(B15108=C15108, "YES", "WRONG")</f>
        <v/>
      </c>
    </row>
    <row r="15109">
      <c r="A15109" t="n">
        <v>15108</v>
      </c>
      <c r="B15109" t="inlineStr">
        <is>
          <t>x̄V̅CVIII</t>
        </is>
      </c>
      <c r="C15109">
        <f>ROMAN(15108)</f>
        <v/>
      </c>
      <c r="D15109">
        <f>IF(B15109=C15109, "YES", "WRONG")</f>
        <v/>
      </c>
    </row>
    <row r="15110">
      <c r="A15110" t="n">
        <v>15109</v>
      </c>
      <c r="B15110" t="inlineStr">
        <is>
          <t>x̄V̅CIX</t>
        </is>
      </c>
      <c r="C15110">
        <f>ROMAN(15109)</f>
        <v/>
      </c>
      <c r="D15110">
        <f>IF(B15110=C15110, "YES", "WRONG")</f>
        <v/>
      </c>
    </row>
    <row r="15111">
      <c r="A15111" t="n">
        <v>15110</v>
      </c>
      <c r="B15111" t="inlineStr">
        <is>
          <t>x̄V̅CX</t>
        </is>
      </c>
      <c r="C15111">
        <f>ROMAN(15110)</f>
        <v/>
      </c>
      <c r="D15111">
        <f>IF(B15111=C15111, "YES", "WRONG")</f>
        <v/>
      </c>
    </row>
    <row r="15112">
      <c r="A15112" t="n">
        <v>15111</v>
      </c>
      <c r="B15112" t="inlineStr">
        <is>
          <t>x̄V̅CXI</t>
        </is>
      </c>
      <c r="C15112">
        <f>ROMAN(15111)</f>
        <v/>
      </c>
      <c r="D15112">
        <f>IF(B15112=C15112, "YES", "WRONG")</f>
        <v/>
      </c>
    </row>
    <row r="15113">
      <c r="A15113" t="n">
        <v>15112</v>
      </c>
      <c r="B15113" t="inlineStr">
        <is>
          <t>x̄V̅CXII</t>
        </is>
      </c>
      <c r="C15113">
        <f>ROMAN(15112)</f>
        <v/>
      </c>
      <c r="D15113">
        <f>IF(B15113=C15113, "YES", "WRONG")</f>
        <v/>
      </c>
    </row>
    <row r="15114">
      <c r="A15114" t="n">
        <v>15113</v>
      </c>
      <c r="B15114" t="inlineStr">
        <is>
          <t>x̄V̅CXIII</t>
        </is>
      </c>
      <c r="C15114">
        <f>ROMAN(15113)</f>
        <v/>
      </c>
      <c r="D15114">
        <f>IF(B15114=C15114, "YES", "WRONG")</f>
        <v/>
      </c>
    </row>
    <row r="15115">
      <c r="A15115" t="n">
        <v>15114</v>
      </c>
      <c r="B15115" t="inlineStr">
        <is>
          <t>x̄V̅CXIV</t>
        </is>
      </c>
      <c r="C15115">
        <f>ROMAN(15114)</f>
        <v/>
      </c>
      <c r="D15115">
        <f>IF(B15115=C15115, "YES", "WRONG")</f>
        <v/>
      </c>
    </row>
    <row r="15116">
      <c r="A15116" t="n">
        <v>15115</v>
      </c>
      <c r="B15116" t="inlineStr">
        <is>
          <t>x̄V̅CXV</t>
        </is>
      </c>
      <c r="C15116">
        <f>ROMAN(15115)</f>
        <v/>
      </c>
      <c r="D15116">
        <f>IF(B15116=C15116, "YES", "WRONG")</f>
        <v/>
      </c>
    </row>
    <row r="15117">
      <c r="A15117" t="n">
        <v>15116</v>
      </c>
      <c r="B15117" t="inlineStr">
        <is>
          <t>x̄V̅CXVI</t>
        </is>
      </c>
      <c r="C15117">
        <f>ROMAN(15116)</f>
        <v/>
      </c>
      <c r="D15117">
        <f>IF(B15117=C15117, "YES", "WRONG")</f>
        <v/>
      </c>
    </row>
    <row r="15118">
      <c r="A15118" t="n">
        <v>15117</v>
      </c>
      <c r="B15118" t="inlineStr">
        <is>
          <t>x̄V̅CXVII</t>
        </is>
      </c>
      <c r="C15118">
        <f>ROMAN(15117)</f>
        <v/>
      </c>
      <c r="D15118">
        <f>IF(B15118=C15118, "YES", "WRONG")</f>
        <v/>
      </c>
    </row>
    <row r="15119">
      <c r="A15119" t="n">
        <v>15118</v>
      </c>
      <c r="B15119" t="inlineStr">
        <is>
          <t>x̄V̅CXVIII</t>
        </is>
      </c>
      <c r="C15119">
        <f>ROMAN(15118)</f>
        <v/>
      </c>
      <c r="D15119">
        <f>IF(B15119=C15119, "YES", "WRONG")</f>
        <v/>
      </c>
    </row>
    <row r="15120">
      <c r="A15120" t="n">
        <v>15119</v>
      </c>
      <c r="B15120" t="inlineStr">
        <is>
          <t>x̄V̅CXIX</t>
        </is>
      </c>
      <c r="C15120">
        <f>ROMAN(15119)</f>
        <v/>
      </c>
      <c r="D15120">
        <f>IF(B15120=C15120, "YES", "WRONG")</f>
        <v/>
      </c>
    </row>
    <row r="15121">
      <c r="A15121" t="n">
        <v>15120</v>
      </c>
      <c r="B15121" t="inlineStr">
        <is>
          <t>x̄V̅CXX</t>
        </is>
      </c>
      <c r="C15121">
        <f>ROMAN(15120)</f>
        <v/>
      </c>
      <c r="D15121">
        <f>IF(B15121=C15121, "YES", "WRONG")</f>
        <v/>
      </c>
    </row>
    <row r="15122">
      <c r="A15122" t="n">
        <v>15121</v>
      </c>
      <c r="B15122" t="inlineStr">
        <is>
          <t>x̄V̅CXXI</t>
        </is>
      </c>
      <c r="C15122">
        <f>ROMAN(15121)</f>
        <v/>
      </c>
      <c r="D15122">
        <f>IF(B15122=C15122, "YES", "WRONG")</f>
        <v/>
      </c>
    </row>
    <row r="15123">
      <c r="A15123" t="n">
        <v>15122</v>
      </c>
      <c r="B15123" t="inlineStr">
        <is>
          <t>x̄V̅CXXII</t>
        </is>
      </c>
      <c r="C15123">
        <f>ROMAN(15122)</f>
        <v/>
      </c>
      <c r="D15123">
        <f>IF(B15123=C15123, "YES", "WRONG")</f>
        <v/>
      </c>
    </row>
    <row r="15124">
      <c r="A15124" t="n">
        <v>15123</v>
      </c>
      <c r="B15124" t="inlineStr">
        <is>
          <t>x̄V̅CXXIII</t>
        </is>
      </c>
      <c r="C15124">
        <f>ROMAN(15123)</f>
        <v/>
      </c>
      <c r="D15124">
        <f>IF(B15124=C15124, "YES", "WRONG")</f>
        <v/>
      </c>
    </row>
    <row r="15125">
      <c r="A15125" t="n">
        <v>15124</v>
      </c>
      <c r="B15125" t="inlineStr">
        <is>
          <t>x̄V̅CXXIV</t>
        </is>
      </c>
      <c r="C15125">
        <f>ROMAN(15124)</f>
        <v/>
      </c>
      <c r="D15125">
        <f>IF(B15125=C15125, "YES", "WRONG")</f>
        <v/>
      </c>
    </row>
    <row r="15126">
      <c r="A15126" t="n">
        <v>15125</v>
      </c>
      <c r="B15126" t="inlineStr">
        <is>
          <t>x̄V̅CXXV</t>
        </is>
      </c>
      <c r="C15126">
        <f>ROMAN(15125)</f>
        <v/>
      </c>
      <c r="D15126">
        <f>IF(B15126=C15126, "YES", "WRONG")</f>
        <v/>
      </c>
    </row>
    <row r="15127">
      <c r="A15127" t="n">
        <v>15126</v>
      </c>
      <c r="B15127" t="inlineStr">
        <is>
          <t>x̄V̅CXXVI</t>
        </is>
      </c>
      <c r="C15127">
        <f>ROMAN(15126)</f>
        <v/>
      </c>
      <c r="D15127">
        <f>IF(B15127=C15127, "YES", "WRONG")</f>
        <v/>
      </c>
    </row>
    <row r="15128">
      <c r="A15128" t="n">
        <v>15127</v>
      </c>
      <c r="B15128" t="inlineStr">
        <is>
          <t>x̄V̅CXXVII</t>
        </is>
      </c>
      <c r="C15128">
        <f>ROMAN(15127)</f>
        <v/>
      </c>
      <c r="D15128">
        <f>IF(B15128=C15128, "YES", "WRONG")</f>
        <v/>
      </c>
    </row>
    <row r="15129">
      <c r="A15129" t="n">
        <v>15128</v>
      </c>
      <c r="B15129" t="inlineStr">
        <is>
          <t>x̄V̅CXXVIII</t>
        </is>
      </c>
      <c r="C15129">
        <f>ROMAN(15128)</f>
        <v/>
      </c>
      <c r="D15129">
        <f>IF(B15129=C15129, "YES", "WRONG")</f>
        <v/>
      </c>
    </row>
    <row r="15130">
      <c r="A15130" t="n">
        <v>15129</v>
      </c>
      <c r="B15130" t="inlineStr">
        <is>
          <t>x̄V̅CXXIX</t>
        </is>
      </c>
      <c r="C15130">
        <f>ROMAN(15129)</f>
        <v/>
      </c>
      <c r="D15130">
        <f>IF(B15130=C15130, "YES", "WRONG")</f>
        <v/>
      </c>
    </row>
    <row r="15131">
      <c r="A15131" t="n">
        <v>15130</v>
      </c>
      <c r="B15131" t="inlineStr">
        <is>
          <t>x̄V̅CXXX</t>
        </is>
      </c>
      <c r="C15131">
        <f>ROMAN(15130)</f>
        <v/>
      </c>
      <c r="D15131">
        <f>IF(B15131=C15131, "YES", "WRONG")</f>
        <v/>
      </c>
    </row>
    <row r="15132">
      <c r="A15132" t="n">
        <v>15131</v>
      </c>
      <c r="B15132" t="inlineStr">
        <is>
          <t>x̄V̅CXXXI</t>
        </is>
      </c>
      <c r="C15132">
        <f>ROMAN(15131)</f>
        <v/>
      </c>
      <c r="D15132">
        <f>IF(B15132=C15132, "YES", "WRONG")</f>
        <v/>
      </c>
    </row>
    <row r="15133">
      <c r="A15133" t="n">
        <v>15132</v>
      </c>
      <c r="B15133" t="inlineStr">
        <is>
          <t>x̄V̅CXXXII</t>
        </is>
      </c>
      <c r="C15133">
        <f>ROMAN(15132)</f>
        <v/>
      </c>
      <c r="D15133">
        <f>IF(B15133=C15133, "YES", "WRONG")</f>
        <v/>
      </c>
    </row>
    <row r="15134">
      <c r="A15134" t="n">
        <v>15133</v>
      </c>
      <c r="B15134" t="inlineStr">
        <is>
          <t>x̄V̅CXXXIII</t>
        </is>
      </c>
      <c r="C15134">
        <f>ROMAN(15133)</f>
        <v/>
      </c>
      <c r="D15134">
        <f>IF(B15134=C15134, "YES", "WRONG")</f>
        <v/>
      </c>
    </row>
    <row r="15135">
      <c r="A15135" t="n">
        <v>15134</v>
      </c>
      <c r="B15135" t="inlineStr">
        <is>
          <t>x̄V̅CXXXIV</t>
        </is>
      </c>
      <c r="C15135">
        <f>ROMAN(15134)</f>
        <v/>
      </c>
      <c r="D15135">
        <f>IF(B15135=C15135, "YES", "WRONG")</f>
        <v/>
      </c>
    </row>
    <row r="15136">
      <c r="A15136" t="n">
        <v>15135</v>
      </c>
      <c r="B15136" t="inlineStr">
        <is>
          <t>x̄V̅CXXXV</t>
        </is>
      </c>
      <c r="C15136">
        <f>ROMAN(15135)</f>
        <v/>
      </c>
      <c r="D15136">
        <f>IF(B15136=C15136, "YES", "WRONG")</f>
        <v/>
      </c>
    </row>
    <row r="15137">
      <c r="A15137" t="n">
        <v>15136</v>
      </c>
      <c r="B15137" t="inlineStr">
        <is>
          <t>x̄V̅CXXXVI</t>
        </is>
      </c>
      <c r="C15137">
        <f>ROMAN(15136)</f>
        <v/>
      </c>
      <c r="D15137">
        <f>IF(B15137=C15137, "YES", "WRONG")</f>
        <v/>
      </c>
    </row>
    <row r="15138">
      <c r="A15138" t="n">
        <v>15137</v>
      </c>
      <c r="B15138" t="inlineStr">
        <is>
          <t>x̄V̅CXXXVII</t>
        </is>
      </c>
      <c r="C15138">
        <f>ROMAN(15137)</f>
        <v/>
      </c>
      <c r="D15138">
        <f>IF(B15138=C15138, "YES", "WRONG")</f>
        <v/>
      </c>
    </row>
    <row r="15139">
      <c r="A15139" t="n">
        <v>15138</v>
      </c>
      <c r="B15139" t="inlineStr">
        <is>
          <t>x̄V̅CXXXVIII</t>
        </is>
      </c>
      <c r="C15139">
        <f>ROMAN(15138)</f>
        <v/>
      </c>
      <c r="D15139">
        <f>IF(B15139=C15139, "YES", "WRONG")</f>
        <v/>
      </c>
    </row>
    <row r="15140">
      <c r="A15140" t="n">
        <v>15139</v>
      </c>
      <c r="B15140" t="inlineStr">
        <is>
          <t>x̄V̅CXXXIX</t>
        </is>
      </c>
      <c r="C15140">
        <f>ROMAN(15139)</f>
        <v/>
      </c>
      <c r="D15140">
        <f>IF(B15140=C15140, "YES", "WRONG")</f>
        <v/>
      </c>
    </row>
    <row r="15141">
      <c r="A15141" t="n">
        <v>15140</v>
      </c>
      <c r="B15141" t="inlineStr">
        <is>
          <t>x̄V̅CXL</t>
        </is>
      </c>
      <c r="C15141">
        <f>ROMAN(15140)</f>
        <v/>
      </c>
      <c r="D15141">
        <f>IF(B15141=C15141, "YES", "WRONG")</f>
        <v/>
      </c>
    </row>
    <row r="15142">
      <c r="A15142" t="n">
        <v>15141</v>
      </c>
      <c r="B15142" t="inlineStr">
        <is>
          <t>x̄V̅CXLI</t>
        </is>
      </c>
      <c r="C15142">
        <f>ROMAN(15141)</f>
        <v/>
      </c>
      <c r="D15142">
        <f>IF(B15142=C15142, "YES", "WRONG")</f>
        <v/>
      </c>
    </row>
    <row r="15143">
      <c r="A15143" t="n">
        <v>15142</v>
      </c>
      <c r="B15143" t="inlineStr">
        <is>
          <t>x̄V̅CXLII</t>
        </is>
      </c>
      <c r="C15143">
        <f>ROMAN(15142)</f>
        <v/>
      </c>
      <c r="D15143">
        <f>IF(B15143=C15143, "YES", "WRONG")</f>
        <v/>
      </c>
    </row>
    <row r="15144">
      <c r="A15144" t="n">
        <v>15143</v>
      </c>
      <c r="B15144" t="inlineStr">
        <is>
          <t>x̄V̅CXLIII</t>
        </is>
      </c>
      <c r="C15144">
        <f>ROMAN(15143)</f>
        <v/>
      </c>
      <c r="D15144">
        <f>IF(B15144=C15144, "YES", "WRONG")</f>
        <v/>
      </c>
    </row>
    <row r="15145">
      <c r="A15145" t="n">
        <v>15144</v>
      </c>
      <c r="B15145" t="inlineStr">
        <is>
          <t>x̄V̅CXLIV</t>
        </is>
      </c>
      <c r="C15145">
        <f>ROMAN(15144)</f>
        <v/>
      </c>
      <c r="D15145">
        <f>IF(B15145=C15145, "YES", "WRONG")</f>
        <v/>
      </c>
    </row>
    <row r="15146">
      <c r="A15146" t="n">
        <v>15145</v>
      </c>
      <c r="B15146" t="inlineStr">
        <is>
          <t>x̄V̅CXLV</t>
        </is>
      </c>
      <c r="C15146">
        <f>ROMAN(15145)</f>
        <v/>
      </c>
      <c r="D15146">
        <f>IF(B15146=C15146, "YES", "WRONG")</f>
        <v/>
      </c>
    </row>
    <row r="15147">
      <c r="A15147" t="n">
        <v>15146</v>
      </c>
      <c r="B15147" t="inlineStr">
        <is>
          <t>x̄V̅CXLVI</t>
        </is>
      </c>
      <c r="C15147">
        <f>ROMAN(15146)</f>
        <v/>
      </c>
      <c r="D15147">
        <f>IF(B15147=C15147, "YES", "WRONG")</f>
        <v/>
      </c>
    </row>
    <row r="15148">
      <c r="A15148" t="n">
        <v>15147</v>
      </c>
      <c r="B15148" t="inlineStr">
        <is>
          <t>x̄V̅CXLVII</t>
        </is>
      </c>
      <c r="C15148">
        <f>ROMAN(15147)</f>
        <v/>
      </c>
      <c r="D15148">
        <f>IF(B15148=C15148, "YES", "WRONG")</f>
        <v/>
      </c>
    </row>
    <row r="15149">
      <c r="A15149" t="n">
        <v>15148</v>
      </c>
      <c r="B15149" t="inlineStr">
        <is>
          <t>x̄V̅CXLVIII</t>
        </is>
      </c>
      <c r="C15149">
        <f>ROMAN(15148)</f>
        <v/>
      </c>
      <c r="D15149">
        <f>IF(B15149=C15149, "YES", "WRONG")</f>
        <v/>
      </c>
    </row>
    <row r="15150">
      <c r="A15150" t="n">
        <v>15149</v>
      </c>
      <c r="B15150" t="inlineStr">
        <is>
          <t>x̄V̅CXLIX</t>
        </is>
      </c>
      <c r="C15150">
        <f>ROMAN(15149)</f>
        <v/>
      </c>
      <c r="D15150">
        <f>IF(B15150=C15150, "YES", "WRONG")</f>
        <v/>
      </c>
    </row>
    <row r="15151">
      <c r="A15151" t="n">
        <v>15150</v>
      </c>
      <c r="B15151" t="inlineStr">
        <is>
          <t>x̄V̅CL</t>
        </is>
      </c>
      <c r="C15151">
        <f>ROMAN(15150)</f>
        <v/>
      </c>
      <c r="D15151">
        <f>IF(B15151=C15151, "YES", "WRONG")</f>
        <v/>
      </c>
    </row>
    <row r="15152">
      <c r="A15152" t="n">
        <v>15151</v>
      </c>
      <c r="B15152" t="inlineStr">
        <is>
          <t>x̄V̅CLI</t>
        </is>
      </c>
      <c r="C15152">
        <f>ROMAN(15151)</f>
        <v/>
      </c>
      <c r="D15152">
        <f>IF(B15152=C15152, "YES", "WRONG")</f>
        <v/>
      </c>
    </row>
    <row r="15153">
      <c r="A15153" t="n">
        <v>15152</v>
      </c>
      <c r="B15153" t="inlineStr">
        <is>
          <t>x̄V̅CLII</t>
        </is>
      </c>
      <c r="C15153">
        <f>ROMAN(15152)</f>
        <v/>
      </c>
      <c r="D15153">
        <f>IF(B15153=C15153, "YES", "WRONG")</f>
        <v/>
      </c>
    </row>
    <row r="15154">
      <c r="A15154" t="n">
        <v>15153</v>
      </c>
      <c r="B15154" t="inlineStr">
        <is>
          <t>x̄V̅CLIII</t>
        </is>
      </c>
      <c r="C15154">
        <f>ROMAN(15153)</f>
        <v/>
      </c>
      <c r="D15154">
        <f>IF(B15154=C15154, "YES", "WRONG")</f>
        <v/>
      </c>
    </row>
    <row r="15155">
      <c r="A15155" t="n">
        <v>15154</v>
      </c>
      <c r="B15155" t="inlineStr">
        <is>
          <t>x̄V̅CLIV</t>
        </is>
      </c>
      <c r="C15155">
        <f>ROMAN(15154)</f>
        <v/>
      </c>
      <c r="D15155">
        <f>IF(B15155=C15155, "YES", "WRONG")</f>
        <v/>
      </c>
    </row>
    <row r="15156">
      <c r="A15156" t="n">
        <v>15155</v>
      </c>
      <c r="B15156" t="inlineStr">
        <is>
          <t>x̄V̅CLV</t>
        </is>
      </c>
      <c r="C15156">
        <f>ROMAN(15155)</f>
        <v/>
      </c>
      <c r="D15156">
        <f>IF(B15156=C15156, "YES", "WRONG")</f>
        <v/>
      </c>
    </row>
    <row r="15157">
      <c r="A15157" t="n">
        <v>15156</v>
      </c>
      <c r="B15157" t="inlineStr">
        <is>
          <t>x̄V̅CLVI</t>
        </is>
      </c>
      <c r="C15157">
        <f>ROMAN(15156)</f>
        <v/>
      </c>
      <c r="D15157">
        <f>IF(B15157=C15157, "YES", "WRONG")</f>
        <v/>
      </c>
    </row>
    <row r="15158">
      <c r="A15158" t="n">
        <v>15157</v>
      </c>
      <c r="B15158" t="inlineStr">
        <is>
          <t>x̄V̅CLVII</t>
        </is>
      </c>
      <c r="C15158">
        <f>ROMAN(15157)</f>
        <v/>
      </c>
      <c r="D15158">
        <f>IF(B15158=C15158, "YES", "WRONG")</f>
        <v/>
      </c>
    </row>
    <row r="15159">
      <c r="A15159" t="n">
        <v>15158</v>
      </c>
      <c r="B15159" t="inlineStr">
        <is>
          <t>x̄V̅CLVIII</t>
        </is>
      </c>
      <c r="C15159">
        <f>ROMAN(15158)</f>
        <v/>
      </c>
      <c r="D15159">
        <f>IF(B15159=C15159, "YES", "WRONG")</f>
        <v/>
      </c>
    </row>
    <row r="15160">
      <c r="A15160" t="n">
        <v>15159</v>
      </c>
      <c r="B15160" t="inlineStr">
        <is>
          <t>x̄V̅CLIX</t>
        </is>
      </c>
      <c r="C15160">
        <f>ROMAN(15159)</f>
        <v/>
      </c>
      <c r="D15160">
        <f>IF(B15160=C15160, "YES", "WRONG")</f>
        <v/>
      </c>
    </row>
    <row r="15161">
      <c r="A15161" t="n">
        <v>15160</v>
      </c>
      <c r="B15161" t="inlineStr">
        <is>
          <t>x̄V̅CLX</t>
        </is>
      </c>
      <c r="C15161">
        <f>ROMAN(15160)</f>
        <v/>
      </c>
      <c r="D15161">
        <f>IF(B15161=C15161, "YES", "WRONG")</f>
        <v/>
      </c>
    </row>
    <row r="15162">
      <c r="A15162" t="n">
        <v>15161</v>
      </c>
      <c r="B15162" t="inlineStr">
        <is>
          <t>x̄V̅CLXI</t>
        </is>
      </c>
      <c r="C15162">
        <f>ROMAN(15161)</f>
        <v/>
      </c>
      <c r="D15162">
        <f>IF(B15162=C15162, "YES", "WRONG")</f>
        <v/>
      </c>
    </row>
    <row r="15163">
      <c r="A15163" t="n">
        <v>15162</v>
      </c>
      <c r="B15163" t="inlineStr">
        <is>
          <t>x̄V̅CLXII</t>
        </is>
      </c>
      <c r="C15163">
        <f>ROMAN(15162)</f>
        <v/>
      </c>
      <c r="D15163">
        <f>IF(B15163=C15163, "YES", "WRONG")</f>
        <v/>
      </c>
    </row>
    <row r="15164">
      <c r="A15164" t="n">
        <v>15163</v>
      </c>
      <c r="B15164" t="inlineStr">
        <is>
          <t>x̄V̅CLXIII</t>
        </is>
      </c>
      <c r="C15164">
        <f>ROMAN(15163)</f>
        <v/>
      </c>
      <c r="D15164">
        <f>IF(B15164=C15164, "YES", "WRONG")</f>
        <v/>
      </c>
    </row>
    <row r="15165">
      <c r="A15165" t="n">
        <v>15164</v>
      </c>
      <c r="B15165" t="inlineStr">
        <is>
          <t>x̄V̅CLXIV</t>
        </is>
      </c>
      <c r="C15165">
        <f>ROMAN(15164)</f>
        <v/>
      </c>
      <c r="D15165">
        <f>IF(B15165=C15165, "YES", "WRONG")</f>
        <v/>
      </c>
    </row>
    <row r="15166">
      <c r="A15166" t="n">
        <v>15165</v>
      </c>
      <c r="B15166" t="inlineStr">
        <is>
          <t>x̄V̅CLXV</t>
        </is>
      </c>
      <c r="C15166">
        <f>ROMAN(15165)</f>
        <v/>
      </c>
      <c r="D15166">
        <f>IF(B15166=C15166, "YES", "WRONG")</f>
        <v/>
      </c>
    </row>
    <row r="15167">
      <c r="A15167" t="n">
        <v>15166</v>
      </c>
      <c r="B15167" t="inlineStr">
        <is>
          <t>x̄V̅CLXVI</t>
        </is>
      </c>
      <c r="C15167">
        <f>ROMAN(15166)</f>
        <v/>
      </c>
      <c r="D15167">
        <f>IF(B15167=C15167, "YES", "WRONG")</f>
        <v/>
      </c>
    </row>
    <row r="15168">
      <c r="A15168" t="n">
        <v>15167</v>
      </c>
      <c r="B15168" t="inlineStr">
        <is>
          <t>x̄V̅CLXVII</t>
        </is>
      </c>
      <c r="C15168">
        <f>ROMAN(15167)</f>
        <v/>
      </c>
      <c r="D15168">
        <f>IF(B15168=C15168, "YES", "WRONG")</f>
        <v/>
      </c>
    </row>
    <row r="15169">
      <c r="A15169" t="n">
        <v>15168</v>
      </c>
      <c r="B15169" t="inlineStr">
        <is>
          <t>x̄V̅CLXVIII</t>
        </is>
      </c>
      <c r="C15169">
        <f>ROMAN(15168)</f>
        <v/>
      </c>
      <c r="D15169">
        <f>IF(B15169=C15169, "YES", "WRONG")</f>
        <v/>
      </c>
    </row>
    <row r="15170">
      <c r="A15170" t="n">
        <v>15169</v>
      </c>
      <c r="B15170" t="inlineStr">
        <is>
          <t>x̄V̅CLXIX</t>
        </is>
      </c>
      <c r="C15170">
        <f>ROMAN(15169)</f>
        <v/>
      </c>
      <c r="D15170">
        <f>IF(B15170=C15170, "YES", "WRONG")</f>
        <v/>
      </c>
    </row>
    <row r="15171">
      <c r="A15171" t="n">
        <v>15170</v>
      </c>
      <c r="B15171" t="inlineStr">
        <is>
          <t>x̄V̅CLXX</t>
        </is>
      </c>
      <c r="C15171">
        <f>ROMAN(15170)</f>
        <v/>
      </c>
      <c r="D15171">
        <f>IF(B15171=C15171, "YES", "WRONG")</f>
        <v/>
      </c>
    </row>
    <row r="15172">
      <c r="A15172" t="n">
        <v>15171</v>
      </c>
      <c r="B15172" t="inlineStr">
        <is>
          <t>x̄V̅CLXXI</t>
        </is>
      </c>
      <c r="C15172">
        <f>ROMAN(15171)</f>
        <v/>
      </c>
      <c r="D15172">
        <f>IF(B15172=C15172, "YES", "WRONG")</f>
        <v/>
      </c>
    </row>
    <row r="15173">
      <c r="A15173" t="n">
        <v>15172</v>
      </c>
      <c r="B15173" t="inlineStr">
        <is>
          <t>x̄V̅CLXXII</t>
        </is>
      </c>
      <c r="C15173">
        <f>ROMAN(15172)</f>
        <v/>
      </c>
      <c r="D15173">
        <f>IF(B15173=C15173, "YES", "WRONG")</f>
        <v/>
      </c>
    </row>
    <row r="15174">
      <c r="A15174" t="n">
        <v>15173</v>
      </c>
      <c r="B15174" t="inlineStr">
        <is>
          <t>x̄V̅CLXXIII</t>
        </is>
      </c>
      <c r="C15174">
        <f>ROMAN(15173)</f>
        <v/>
      </c>
      <c r="D15174">
        <f>IF(B15174=C15174, "YES", "WRONG")</f>
        <v/>
      </c>
    </row>
    <row r="15175">
      <c r="A15175" t="n">
        <v>15174</v>
      </c>
      <c r="B15175" t="inlineStr">
        <is>
          <t>x̄V̅CLXXIV</t>
        </is>
      </c>
      <c r="C15175">
        <f>ROMAN(15174)</f>
        <v/>
      </c>
      <c r="D15175">
        <f>IF(B15175=C15175, "YES", "WRONG")</f>
        <v/>
      </c>
    </row>
    <row r="15176">
      <c r="A15176" t="n">
        <v>15175</v>
      </c>
      <c r="B15176" t="inlineStr">
        <is>
          <t>x̄V̅CLXXV</t>
        </is>
      </c>
      <c r="C15176">
        <f>ROMAN(15175)</f>
        <v/>
      </c>
      <c r="D15176">
        <f>IF(B15176=C15176, "YES", "WRONG")</f>
        <v/>
      </c>
    </row>
    <row r="15177">
      <c r="A15177" t="n">
        <v>15176</v>
      </c>
      <c r="B15177" t="inlineStr">
        <is>
          <t>x̄V̅CLXXVI</t>
        </is>
      </c>
      <c r="C15177">
        <f>ROMAN(15176)</f>
        <v/>
      </c>
      <c r="D15177">
        <f>IF(B15177=C15177, "YES", "WRONG")</f>
        <v/>
      </c>
    </row>
    <row r="15178">
      <c r="A15178" t="n">
        <v>15177</v>
      </c>
      <c r="B15178" t="inlineStr">
        <is>
          <t>x̄V̅CLXXVII</t>
        </is>
      </c>
      <c r="C15178">
        <f>ROMAN(15177)</f>
        <v/>
      </c>
      <c r="D15178">
        <f>IF(B15178=C15178, "YES", "WRONG")</f>
        <v/>
      </c>
    </row>
    <row r="15179">
      <c r="A15179" t="n">
        <v>15178</v>
      </c>
      <c r="B15179" t="inlineStr">
        <is>
          <t>x̄V̅CLXXVIII</t>
        </is>
      </c>
      <c r="C15179">
        <f>ROMAN(15178)</f>
        <v/>
      </c>
      <c r="D15179">
        <f>IF(B15179=C15179, "YES", "WRONG")</f>
        <v/>
      </c>
    </row>
    <row r="15180">
      <c r="A15180" t="n">
        <v>15179</v>
      </c>
      <c r="B15180" t="inlineStr">
        <is>
          <t>x̄V̅CLXXIX</t>
        </is>
      </c>
      <c r="C15180">
        <f>ROMAN(15179)</f>
        <v/>
      </c>
      <c r="D15180">
        <f>IF(B15180=C15180, "YES", "WRONG")</f>
        <v/>
      </c>
    </row>
    <row r="15181">
      <c r="A15181" t="n">
        <v>15180</v>
      </c>
      <c r="B15181" t="inlineStr">
        <is>
          <t>x̄V̅CLXXX</t>
        </is>
      </c>
      <c r="C15181">
        <f>ROMAN(15180)</f>
        <v/>
      </c>
      <c r="D15181">
        <f>IF(B15181=C15181, "YES", "WRONG")</f>
        <v/>
      </c>
    </row>
    <row r="15182">
      <c r="A15182" t="n">
        <v>15181</v>
      </c>
      <c r="B15182" t="inlineStr">
        <is>
          <t>x̄V̅CLXXXI</t>
        </is>
      </c>
      <c r="C15182">
        <f>ROMAN(15181)</f>
        <v/>
      </c>
      <c r="D15182">
        <f>IF(B15182=C15182, "YES", "WRONG")</f>
        <v/>
      </c>
    </row>
    <row r="15183">
      <c r="A15183" t="n">
        <v>15182</v>
      </c>
      <c r="B15183" t="inlineStr">
        <is>
          <t>x̄V̅CLXXXII</t>
        </is>
      </c>
      <c r="C15183">
        <f>ROMAN(15182)</f>
        <v/>
      </c>
      <c r="D15183">
        <f>IF(B15183=C15183, "YES", "WRONG")</f>
        <v/>
      </c>
    </row>
    <row r="15184">
      <c r="A15184" t="n">
        <v>15183</v>
      </c>
      <c r="B15184" t="inlineStr">
        <is>
          <t>x̄V̅CLXXXIII</t>
        </is>
      </c>
      <c r="C15184">
        <f>ROMAN(15183)</f>
        <v/>
      </c>
      <c r="D15184">
        <f>IF(B15184=C15184, "YES", "WRONG")</f>
        <v/>
      </c>
    </row>
    <row r="15185">
      <c r="A15185" t="n">
        <v>15184</v>
      </c>
      <c r="B15185" t="inlineStr">
        <is>
          <t>x̄V̅CLXXXIV</t>
        </is>
      </c>
      <c r="C15185">
        <f>ROMAN(15184)</f>
        <v/>
      </c>
      <c r="D15185">
        <f>IF(B15185=C15185, "YES", "WRONG")</f>
        <v/>
      </c>
    </row>
    <row r="15186">
      <c r="A15186" t="n">
        <v>15185</v>
      </c>
      <c r="B15186" t="inlineStr">
        <is>
          <t>x̄V̅CLXXXV</t>
        </is>
      </c>
      <c r="C15186">
        <f>ROMAN(15185)</f>
        <v/>
      </c>
      <c r="D15186">
        <f>IF(B15186=C15186, "YES", "WRONG")</f>
        <v/>
      </c>
    </row>
    <row r="15187">
      <c r="A15187" t="n">
        <v>15186</v>
      </c>
      <c r="B15187" t="inlineStr">
        <is>
          <t>x̄V̅CLXXXVI</t>
        </is>
      </c>
      <c r="C15187">
        <f>ROMAN(15186)</f>
        <v/>
      </c>
      <c r="D15187">
        <f>IF(B15187=C15187, "YES", "WRONG")</f>
        <v/>
      </c>
    </row>
    <row r="15188">
      <c r="A15188" t="n">
        <v>15187</v>
      </c>
      <c r="B15188" t="inlineStr">
        <is>
          <t>x̄V̅CLXXXVII</t>
        </is>
      </c>
      <c r="C15188">
        <f>ROMAN(15187)</f>
        <v/>
      </c>
      <c r="D15188">
        <f>IF(B15188=C15188, "YES", "WRONG")</f>
        <v/>
      </c>
    </row>
    <row r="15189">
      <c r="A15189" t="n">
        <v>15188</v>
      </c>
      <c r="B15189" t="inlineStr">
        <is>
          <t>x̄V̅CLXXXVIII</t>
        </is>
      </c>
      <c r="C15189">
        <f>ROMAN(15188)</f>
        <v/>
      </c>
      <c r="D15189">
        <f>IF(B15189=C15189, "YES", "WRONG")</f>
        <v/>
      </c>
    </row>
    <row r="15190">
      <c r="A15190" t="n">
        <v>15189</v>
      </c>
      <c r="B15190" t="inlineStr">
        <is>
          <t>x̄V̅CLXXXIX</t>
        </is>
      </c>
      <c r="C15190">
        <f>ROMAN(15189)</f>
        <v/>
      </c>
      <c r="D15190">
        <f>IF(B15190=C15190, "YES", "WRONG")</f>
        <v/>
      </c>
    </row>
    <row r="15191">
      <c r="A15191" t="n">
        <v>15190</v>
      </c>
      <c r="B15191" t="inlineStr">
        <is>
          <t>x̄V̅CXC</t>
        </is>
      </c>
      <c r="C15191">
        <f>ROMAN(15190)</f>
        <v/>
      </c>
      <c r="D15191">
        <f>IF(B15191=C15191, "YES", "WRONG")</f>
        <v/>
      </c>
    </row>
    <row r="15192">
      <c r="A15192" t="n">
        <v>15191</v>
      </c>
      <c r="B15192" t="inlineStr">
        <is>
          <t>x̄V̅CXCI</t>
        </is>
      </c>
      <c r="C15192">
        <f>ROMAN(15191)</f>
        <v/>
      </c>
      <c r="D15192">
        <f>IF(B15192=C15192, "YES", "WRONG")</f>
        <v/>
      </c>
    </row>
    <row r="15193">
      <c r="A15193" t="n">
        <v>15192</v>
      </c>
      <c r="B15193" t="inlineStr">
        <is>
          <t>x̄V̅CXCII</t>
        </is>
      </c>
      <c r="C15193">
        <f>ROMAN(15192)</f>
        <v/>
      </c>
      <c r="D15193">
        <f>IF(B15193=C15193, "YES", "WRONG")</f>
        <v/>
      </c>
    </row>
    <row r="15194">
      <c r="A15194" t="n">
        <v>15193</v>
      </c>
      <c r="B15194" t="inlineStr">
        <is>
          <t>x̄V̅CXCIII</t>
        </is>
      </c>
      <c r="C15194">
        <f>ROMAN(15193)</f>
        <v/>
      </c>
      <c r="D15194">
        <f>IF(B15194=C15194, "YES", "WRONG")</f>
        <v/>
      </c>
    </row>
    <row r="15195">
      <c r="A15195" t="n">
        <v>15194</v>
      </c>
      <c r="B15195" t="inlineStr">
        <is>
          <t>x̄V̅CXCIV</t>
        </is>
      </c>
      <c r="C15195">
        <f>ROMAN(15194)</f>
        <v/>
      </c>
      <c r="D15195">
        <f>IF(B15195=C15195, "YES", "WRONG")</f>
        <v/>
      </c>
    </row>
    <row r="15196">
      <c r="A15196" t="n">
        <v>15195</v>
      </c>
      <c r="B15196" t="inlineStr">
        <is>
          <t>x̄V̅CXCV</t>
        </is>
      </c>
      <c r="C15196">
        <f>ROMAN(15195)</f>
        <v/>
      </c>
      <c r="D15196">
        <f>IF(B15196=C15196, "YES", "WRONG")</f>
        <v/>
      </c>
    </row>
    <row r="15197">
      <c r="A15197" t="n">
        <v>15196</v>
      </c>
      <c r="B15197" t="inlineStr">
        <is>
          <t>x̄V̅CXCVI</t>
        </is>
      </c>
      <c r="C15197">
        <f>ROMAN(15196)</f>
        <v/>
      </c>
      <c r="D15197">
        <f>IF(B15197=C15197, "YES", "WRONG")</f>
        <v/>
      </c>
    </row>
    <row r="15198">
      <c r="A15198" t="n">
        <v>15197</v>
      </c>
      <c r="B15198" t="inlineStr">
        <is>
          <t>x̄V̅CXCVII</t>
        </is>
      </c>
      <c r="C15198">
        <f>ROMAN(15197)</f>
        <v/>
      </c>
      <c r="D15198">
        <f>IF(B15198=C15198, "YES", "WRONG")</f>
        <v/>
      </c>
    </row>
    <row r="15199">
      <c r="A15199" t="n">
        <v>15198</v>
      </c>
      <c r="B15199" t="inlineStr">
        <is>
          <t>x̄V̅CXCVIII</t>
        </is>
      </c>
      <c r="C15199">
        <f>ROMAN(15198)</f>
        <v/>
      </c>
      <c r="D15199">
        <f>IF(B15199=C15199, "YES", "WRONG")</f>
        <v/>
      </c>
    </row>
    <row r="15200">
      <c r="A15200" t="n">
        <v>15199</v>
      </c>
      <c r="B15200" t="inlineStr">
        <is>
          <t>x̄V̅CXCIX</t>
        </is>
      </c>
      <c r="C15200">
        <f>ROMAN(15199)</f>
        <v/>
      </c>
      <c r="D15200">
        <f>IF(B15200=C15200, "YES", "WRONG")</f>
        <v/>
      </c>
    </row>
    <row r="15201">
      <c r="A15201" t="n">
        <v>15200</v>
      </c>
      <c r="B15201" t="inlineStr">
        <is>
          <t>x̄V̅CC</t>
        </is>
      </c>
      <c r="C15201">
        <f>ROMAN(15200)</f>
        <v/>
      </c>
      <c r="D15201">
        <f>IF(B15201=C15201, "YES", "WRONG")</f>
        <v/>
      </c>
    </row>
    <row r="15202">
      <c r="A15202" t="n">
        <v>15201</v>
      </c>
      <c r="B15202" t="inlineStr">
        <is>
          <t>x̄V̅CCI</t>
        </is>
      </c>
      <c r="C15202">
        <f>ROMAN(15201)</f>
        <v/>
      </c>
      <c r="D15202">
        <f>IF(B15202=C15202, "YES", "WRONG")</f>
        <v/>
      </c>
    </row>
    <row r="15203">
      <c r="A15203" t="n">
        <v>15202</v>
      </c>
      <c r="B15203" t="inlineStr">
        <is>
          <t>x̄V̅CCII</t>
        </is>
      </c>
      <c r="C15203">
        <f>ROMAN(15202)</f>
        <v/>
      </c>
      <c r="D15203">
        <f>IF(B15203=C15203, "YES", "WRONG")</f>
        <v/>
      </c>
    </row>
    <row r="15204">
      <c r="A15204" t="n">
        <v>15203</v>
      </c>
      <c r="B15204" t="inlineStr">
        <is>
          <t>x̄V̅CCIII</t>
        </is>
      </c>
      <c r="C15204">
        <f>ROMAN(15203)</f>
        <v/>
      </c>
      <c r="D15204">
        <f>IF(B15204=C15204, "YES", "WRONG")</f>
        <v/>
      </c>
    </row>
    <row r="15205">
      <c r="A15205" t="n">
        <v>15204</v>
      </c>
      <c r="B15205" t="inlineStr">
        <is>
          <t>x̄V̅CCIV</t>
        </is>
      </c>
      <c r="C15205">
        <f>ROMAN(15204)</f>
        <v/>
      </c>
      <c r="D15205">
        <f>IF(B15205=C15205, "YES", "WRONG")</f>
        <v/>
      </c>
    </row>
    <row r="15206">
      <c r="A15206" t="n">
        <v>15205</v>
      </c>
      <c r="B15206" t="inlineStr">
        <is>
          <t>x̄V̅CCV</t>
        </is>
      </c>
      <c r="C15206">
        <f>ROMAN(15205)</f>
        <v/>
      </c>
      <c r="D15206">
        <f>IF(B15206=C15206, "YES", "WRONG")</f>
        <v/>
      </c>
    </row>
    <row r="15207">
      <c r="A15207" t="n">
        <v>15206</v>
      </c>
      <c r="B15207" t="inlineStr">
        <is>
          <t>x̄V̅CCVI</t>
        </is>
      </c>
      <c r="C15207">
        <f>ROMAN(15206)</f>
        <v/>
      </c>
      <c r="D15207">
        <f>IF(B15207=C15207, "YES", "WRONG")</f>
        <v/>
      </c>
    </row>
    <row r="15208">
      <c r="A15208" t="n">
        <v>15207</v>
      </c>
      <c r="B15208" t="inlineStr">
        <is>
          <t>x̄V̅CCVII</t>
        </is>
      </c>
      <c r="C15208">
        <f>ROMAN(15207)</f>
        <v/>
      </c>
      <c r="D15208">
        <f>IF(B15208=C15208, "YES", "WRONG")</f>
        <v/>
      </c>
    </row>
    <row r="15209">
      <c r="A15209" t="n">
        <v>15208</v>
      </c>
      <c r="B15209" t="inlineStr">
        <is>
          <t>x̄V̅CCVIII</t>
        </is>
      </c>
      <c r="C15209">
        <f>ROMAN(15208)</f>
        <v/>
      </c>
      <c r="D15209">
        <f>IF(B15209=C15209, "YES", "WRONG")</f>
        <v/>
      </c>
    </row>
    <row r="15210">
      <c r="A15210" t="n">
        <v>15209</v>
      </c>
      <c r="B15210" t="inlineStr">
        <is>
          <t>x̄V̅CCIX</t>
        </is>
      </c>
      <c r="C15210">
        <f>ROMAN(15209)</f>
        <v/>
      </c>
      <c r="D15210">
        <f>IF(B15210=C15210, "YES", "WRONG")</f>
        <v/>
      </c>
    </row>
    <row r="15211">
      <c r="A15211" t="n">
        <v>15210</v>
      </c>
      <c r="B15211" t="inlineStr">
        <is>
          <t>x̄V̅CCX</t>
        </is>
      </c>
      <c r="C15211">
        <f>ROMAN(15210)</f>
        <v/>
      </c>
      <c r="D15211">
        <f>IF(B15211=C15211, "YES", "WRONG")</f>
        <v/>
      </c>
    </row>
    <row r="15212">
      <c r="A15212" t="n">
        <v>15211</v>
      </c>
      <c r="B15212" t="inlineStr">
        <is>
          <t>x̄V̅CCXI</t>
        </is>
      </c>
      <c r="C15212">
        <f>ROMAN(15211)</f>
        <v/>
      </c>
      <c r="D15212">
        <f>IF(B15212=C15212, "YES", "WRONG")</f>
        <v/>
      </c>
    </row>
    <row r="15213">
      <c r="A15213" t="n">
        <v>15212</v>
      </c>
      <c r="B15213" t="inlineStr">
        <is>
          <t>x̄V̅CCXII</t>
        </is>
      </c>
      <c r="C15213">
        <f>ROMAN(15212)</f>
        <v/>
      </c>
      <c r="D15213">
        <f>IF(B15213=C15213, "YES", "WRONG")</f>
        <v/>
      </c>
    </row>
    <row r="15214">
      <c r="A15214" t="n">
        <v>15213</v>
      </c>
      <c r="B15214" t="inlineStr">
        <is>
          <t>x̄V̅CCXIII</t>
        </is>
      </c>
      <c r="C15214">
        <f>ROMAN(15213)</f>
        <v/>
      </c>
      <c r="D15214">
        <f>IF(B15214=C15214, "YES", "WRONG")</f>
        <v/>
      </c>
    </row>
    <row r="15215">
      <c r="A15215" t="n">
        <v>15214</v>
      </c>
      <c r="B15215" t="inlineStr">
        <is>
          <t>x̄V̅CCXIV</t>
        </is>
      </c>
      <c r="C15215">
        <f>ROMAN(15214)</f>
        <v/>
      </c>
      <c r="D15215">
        <f>IF(B15215=C15215, "YES", "WRONG")</f>
        <v/>
      </c>
    </row>
    <row r="15216">
      <c r="A15216" t="n">
        <v>15215</v>
      </c>
      <c r="B15216" t="inlineStr">
        <is>
          <t>x̄V̅CCXV</t>
        </is>
      </c>
      <c r="C15216">
        <f>ROMAN(15215)</f>
        <v/>
      </c>
      <c r="D15216">
        <f>IF(B15216=C15216, "YES", "WRONG")</f>
        <v/>
      </c>
    </row>
    <row r="15217">
      <c r="A15217" t="n">
        <v>15216</v>
      </c>
      <c r="B15217" t="inlineStr">
        <is>
          <t>x̄V̅CCXVI</t>
        </is>
      </c>
      <c r="C15217">
        <f>ROMAN(15216)</f>
        <v/>
      </c>
      <c r="D15217">
        <f>IF(B15217=C15217, "YES", "WRONG")</f>
        <v/>
      </c>
    </row>
    <row r="15218">
      <c r="A15218" t="n">
        <v>15217</v>
      </c>
      <c r="B15218" t="inlineStr">
        <is>
          <t>x̄V̅CCXVII</t>
        </is>
      </c>
      <c r="C15218">
        <f>ROMAN(15217)</f>
        <v/>
      </c>
      <c r="D15218">
        <f>IF(B15218=C15218, "YES", "WRONG")</f>
        <v/>
      </c>
    </row>
    <row r="15219">
      <c r="A15219" t="n">
        <v>15218</v>
      </c>
      <c r="B15219" t="inlineStr">
        <is>
          <t>x̄V̅CCXVIII</t>
        </is>
      </c>
      <c r="C15219">
        <f>ROMAN(15218)</f>
        <v/>
      </c>
      <c r="D15219">
        <f>IF(B15219=C15219, "YES", "WRONG")</f>
        <v/>
      </c>
    </row>
    <row r="15220">
      <c r="A15220" t="n">
        <v>15219</v>
      </c>
      <c r="B15220" t="inlineStr">
        <is>
          <t>x̄V̅CCXIX</t>
        </is>
      </c>
      <c r="C15220">
        <f>ROMAN(15219)</f>
        <v/>
      </c>
      <c r="D15220">
        <f>IF(B15220=C15220, "YES", "WRONG")</f>
        <v/>
      </c>
    </row>
    <row r="15221">
      <c r="A15221" t="n">
        <v>15220</v>
      </c>
      <c r="B15221" t="inlineStr">
        <is>
          <t>x̄V̅CCXX</t>
        </is>
      </c>
      <c r="C15221">
        <f>ROMAN(15220)</f>
        <v/>
      </c>
      <c r="D15221">
        <f>IF(B15221=C15221, "YES", "WRONG")</f>
        <v/>
      </c>
    </row>
    <row r="15222">
      <c r="A15222" t="n">
        <v>15221</v>
      </c>
      <c r="B15222" t="inlineStr">
        <is>
          <t>x̄V̅CCXXI</t>
        </is>
      </c>
      <c r="C15222">
        <f>ROMAN(15221)</f>
        <v/>
      </c>
      <c r="D15222">
        <f>IF(B15222=C15222, "YES", "WRONG")</f>
        <v/>
      </c>
    </row>
    <row r="15223">
      <c r="A15223" t="n">
        <v>15222</v>
      </c>
      <c r="B15223" t="inlineStr">
        <is>
          <t>x̄V̅CCXXII</t>
        </is>
      </c>
      <c r="C15223">
        <f>ROMAN(15222)</f>
        <v/>
      </c>
      <c r="D15223">
        <f>IF(B15223=C15223, "YES", "WRONG")</f>
        <v/>
      </c>
    </row>
    <row r="15224">
      <c r="A15224" t="n">
        <v>15223</v>
      </c>
      <c r="B15224" t="inlineStr">
        <is>
          <t>x̄V̅CCXXIII</t>
        </is>
      </c>
      <c r="C15224">
        <f>ROMAN(15223)</f>
        <v/>
      </c>
      <c r="D15224">
        <f>IF(B15224=C15224, "YES", "WRONG")</f>
        <v/>
      </c>
    </row>
    <row r="15225">
      <c r="A15225" t="n">
        <v>15224</v>
      </c>
      <c r="B15225" t="inlineStr">
        <is>
          <t>x̄V̅CCXXIV</t>
        </is>
      </c>
      <c r="C15225">
        <f>ROMAN(15224)</f>
        <v/>
      </c>
      <c r="D15225">
        <f>IF(B15225=C15225, "YES", "WRONG")</f>
        <v/>
      </c>
    </row>
    <row r="15226">
      <c r="A15226" t="n">
        <v>15225</v>
      </c>
      <c r="B15226" t="inlineStr">
        <is>
          <t>x̄V̅CCXXV</t>
        </is>
      </c>
      <c r="C15226">
        <f>ROMAN(15225)</f>
        <v/>
      </c>
      <c r="D15226">
        <f>IF(B15226=C15226, "YES", "WRONG")</f>
        <v/>
      </c>
    </row>
    <row r="15227">
      <c r="A15227" t="n">
        <v>15226</v>
      </c>
      <c r="B15227" t="inlineStr">
        <is>
          <t>x̄V̅CCXXVI</t>
        </is>
      </c>
      <c r="C15227">
        <f>ROMAN(15226)</f>
        <v/>
      </c>
      <c r="D15227">
        <f>IF(B15227=C15227, "YES", "WRONG")</f>
        <v/>
      </c>
    </row>
    <row r="15228">
      <c r="A15228" t="n">
        <v>15227</v>
      </c>
      <c r="B15228" t="inlineStr">
        <is>
          <t>x̄V̅CCXXVII</t>
        </is>
      </c>
      <c r="C15228">
        <f>ROMAN(15227)</f>
        <v/>
      </c>
      <c r="D15228">
        <f>IF(B15228=C15228, "YES", "WRONG")</f>
        <v/>
      </c>
    </row>
    <row r="15229">
      <c r="A15229" t="n">
        <v>15228</v>
      </c>
      <c r="B15229" t="inlineStr">
        <is>
          <t>x̄V̅CCXXVIII</t>
        </is>
      </c>
      <c r="C15229">
        <f>ROMAN(15228)</f>
        <v/>
      </c>
      <c r="D15229">
        <f>IF(B15229=C15229, "YES", "WRONG")</f>
        <v/>
      </c>
    </row>
    <row r="15230">
      <c r="A15230" t="n">
        <v>15229</v>
      </c>
      <c r="B15230" t="inlineStr">
        <is>
          <t>x̄V̅CCXXIX</t>
        </is>
      </c>
      <c r="C15230">
        <f>ROMAN(15229)</f>
        <v/>
      </c>
      <c r="D15230">
        <f>IF(B15230=C15230, "YES", "WRONG")</f>
        <v/>
      </c>
    </row>
    <row r="15231">
      <c r="A15231" t="n">
        <v>15230</v>
      </c>
      <c r="B15231" t="inlineStr">
        <is>
          <t>x̄V̅CCXXX</t>
        </is>
      </c>
      <c r="C15231">
        <f>ROMAN(15230)</f>
        <v/>
      </c>
      <c r="D15231">
        <f>IF(B15231=C15231, "YES", "WRONG")</f>
        <v/>
      </c>
    </row>
    <row r="15232">
      <c r="A15232" t="n">
        <v>15231</v>
      </c>
      <c r="B15232" t="inlineStr">
        <is>
          <t>x̄V̅CCXXXI</t>
        </is>
      </c>
      <c r="C15232">
        <f>ROMAN(15231)</f>
        <v/>
      </c>
      <c r="D15232">
        <f>IF(B15232=C15232, "YES", "WRONG")</f>
        <v/>
      </c>
    </row>
    <row r="15233">
      <c r="A15233" t="n">
        <v>15232</v>
      </c>
      <c r="B15233" t="inlineStr">
        <is>
          <t>x̄V̅CCXXXII</t>
        </is>
      </c>
      <c r="C15233">
        <f>ROMAN(15232)</f>
        <v/>
      </c>
      <c r="D15233">
        <f>IF(B15233=C15233, "YES", "WRONG")</f>
        <v/>
      </c>
    </row>
    <row r="15234">
      <c r="A15234" t="n">
        <v>15233</v>
      </c>
      <c r="B15234" t="inlineStr">
        <is>
          <t>x̄V̅CCXXXIII</t>
        </is>
      </c>
      <c r="C15234">
        <f>ROMAN(15233)</f>
        <v/>
      </c>
      <c r="D15234">
        <f>IF(B15234=C15234, "YES", "WRONG")</f>
        <v/>
      </c>
    </row>
    <row r="15235">
      <c r="A15235" t="n">
        <v>15234</v>
      </c>
      <c r="B15235" t="inlineStr">
        <is>
          <t>x̄V̅CCXXXIV</t>
        </is>
      </c>
      <c r="C15235">
        <f>ROMAN(15234)</f>
        <v/>
      </c>
      <c r="D15235">
        <f>IF(B15235=C15235, "YES", "WRONG")</f>
        <v/>
      </c>
    </row>
    <row r="15236">
      <c r="A15236" t="n">
        <v>15235</v>
      </c>
      <c r="B15236" t="inlineStr">
        <is>
          <t>x̄V̅CCXXXV</t>
        </is>
      </c>
      <c r="C15236">
        <f>ROMAN(15235)</f>
        <v/>
      </c>
      <c r="D15236">
        <f>IF(B15236=C15236, "YES", "WRONG")</f>
        <v/>
      </c>
    </row>
    <row r="15237">
      <c r="A15237" t="n">
        <v>15236</v>
      </c>
      <c r="B15237" t="inlineStr">
        <is>
          <t>x̄V̅CCXXXVI</t>
        </is>
      </c>
      <c r="C15237">
        <f>ROMAN(15236)</f>
        <v/>
      </c>
      <c r="D15237">
        <f>IF(B15237=C15237, "YES", "WRONG")</f>
        <v/>
      </c>
    </row>
    <row r="15238">
      <c r="A15238" t="n">
        <v>15237</v>
      </c>
      <c r="B15238" t="inlineStr">
        <is>
          <t>x̄V̅CCXXXVII</t>
        </is>
      </c>
      <c r="C15238">
        <f>ROMAN(15237)</f>
        <v/>
      </c>
      <c r="D15238">
        <f>IF(B15238=C15238, "YES", "WRONG")</f>
        <v/>
      </c>
    </row>
    <row r="15239">
      <c r="A15239" t="n">
        <v>15238</v>
      </c>
      <c r="B15239" t="inlineStr">
        <is>
          <t>x̄V̅CCXXXVIII</t>
        </is>
      </c>
      <c r="C15239">
        <f>ROMAN(15238)</f>
        <v/>
      </c>
      <c r="D15239">
        <f>IF(B15239=C15239, "YES", "WRONG")</f>
        <v/>
      </c>
    </row>
    <row r="15240">
      <c r="A15240" t="n">
        <v>15239</v>
      </c>
      <c r="B15240" t="inlineStr">
        <is>
          <t>x̄V̅CCXXXIX</t>
        </is>
      </c>
      <c r="C15240">
        <f>ROMAN(15239)</f>
        <v/>
      </c>
      <c r="D15240">
        <f>IF(B15240=C15240, "YES", "WRONG")</f>
        <v/>
      </c>
    </row>
    <row r="15241">
      <c r="A15241" t="n">
        <v>15240</v>
      </c>
      <c r="B15241" t="inlineStr">
        <is>
          <t>x̄V̅CCXL</t>
        </is>
      </c>
      <c r="C15241">
        <f>ROMAN(15240)</f>
        <v/>
      </c>
      <c r="D15241">
        <f>IF(B15241=C15241, "YES", "WRONG")</f>
        <v/>
      </c>
    </row>
    <row r="15242">
      <c r="A15242" t="n">
        <v>15241</v>
      </c>
      <c r="B15242" t="inlineStr">
        <is>
          <t>x̄V̅CCXLI</t>
        </is>
      </c>
      <c r="C15242">
        <f>ROMAN(15241)</f>
        <v/>
      </c>
      <c r="D15242">
        <f>IF(B15242=C15242, "YES", "WRONG")</f>
        <v/>
      </c>
    </row>
    <row r="15243">
      <c r="A15243" t="n">
        <v>15242</v>
      </c>
      <c r="B15243" t="inlineStr">
        <is>
          <t>x̄V̅CCXLII</t>
        </is>
      </c>
      <c r="C15243">
        <f>ROMAN(15242)</f>
        <v/>
      </c>
      <c r="D15243">
        <f>IF(B15243=C15243, "YES", "WRONG")</f>
        <v/>
      </c>
    </row>
    <row r="15244">
      <c r="A15244" t="n">
        <v>15243</v>
      </c>
      <c r="B15244" t="inlineStr">
        <is>
          <t>x̄V̅CCXLIII</t>
        </is>
      </c>
      <c r="C15244">
        <f>ROMAN(15243)</f>
        <v/>
      </c>
      <c r="D15244">
        <f>IF(B15244=C15244, "YES", "WRONG")</f>
        <v/>
      </c>
    </row>
    <row r="15245">
      <c r="A15245" t="n">
        <v>15244</v>
      </c>
      <c r="B15245" t="inlineStr">
        <is>
          <t>x̄V̅CCXLIV</t>
        </is>
      </c>
      <c r="C15245">
        <f>ROMAN(15244)</f>
        <v/>
      </c>
      <c r="D15245">
        <f>IF(B15245=C15245, "YES", "WRONG")</f>
        <v/>
      </c>
    </row>
    <row r="15246">
      <c r="A15246" t="n">
        <v>15245</v>
      </c>
      <c r="B15246" t="inlineStr">
        <is>
          <t>x̄V̅CCXLV</t>
        </is>
      </c>
      <c r="C15246">
        <f>ROMAN(15245)</f>
        <v/>
      </c>
      <c r="D15246">
        <f>IF(B15246=C15246, "YES", "WRONG")</f>
        <v/>
      </c>
    </row>
    <row r="15247">
      <c r="A15247" t="n">
        <v>15246</v>
      </c>
      <c r="B15247" t="inlineStr">
        <is>
          <t>x̄V̅CCXLVI</t>
        </is>
      </c>
      <c r="C15247">
        <f>ROMAN(15246)</f>
        <v/>
      </c>
      <c r="D15247">
        <f>IF(B15247=C15247, "YES", "WRONG")</f>
        <v/>
      </c>
    </row>
    <row r="15248">
      <c r="A15248" t="n">
        <v>15247</v>
      </c>
      <c r="B15248" t="inlineStr">
        <is>
          <t>x̄V̅CCXLVII</t>
        </is>
      </c>
      <c r="C15248">
        <f>ROMAN(15247)</f>
        <v/>
      </c>
      <c r="D15248">
        <f>IF(B15248=C15248, "YES", "WRONG")</f>
        <v/>
      </c>
    </row>
    <row r="15249">
      <c r="A15249" t="n">
        <v>15248</v>
      </c>
      <c r="B15249" t="inlineStr">
        <is>
          <t>x̄V̅CCXLVIII</t>
        </is>
      </c>
      <c r="C15249">
        <f>ROMAN(15248)</f>
        <v/>
      </c>
      <c r="D15249">
        <f>IF(B15249=C15249, "YES", "WRONG")</f>
        <v/>
      </c>
    </row>
    <row r="15250">
      <c r="A15250" t="n">
        <v>15249</v>
      </c>
      <c r="B15250" t="inlineStr">
        <is>
          <t>x̄V̅CCXLIX</t>
        </is>
      </c>
      <c r="C15250">
        <f>ROMAN(15249)</f>
        <v/>
      </c>
      <c r="D15250">
        <f>IF(B15250=C15250, "YES", "WRONG")</f>
        <v/>
      </c>
    </row>
    <row r="15251">
      <c r="A15251" t="n">
        <v>15250</v>
      </c>
      <c r="B15251" t="inlineStr">
        <is>
          <t>x̄V̅CCL</t>
        </is>
      </c>
      <c r="C15251">
        <f>ROMAN(15250)</f>
        <v/>
      </c>
      <c r="D15251">
        <f>IF(B15251=C15251, "YES", "WRONG")</f>
        <v/>
      </c>
    </row>
    <row r="15252">
      <c r="A15252" t="n">
        <v>15251</v>
      </c>
      <c r="B15252" t="inlineStr">
        <is>
          <t>x̄V̅CCLI</t>
        </is>
      </c>
      <c r="C15252">
        <f>ROMAN(15251)</f>
        <v/>
      </c>
      <c r="D15252">
        <f>IF(B15252=C15252, "YES", "WRONG")</f>
        <v/>
      </c>
    </row>
    <row r="15253">
      <c r="A15253" t="n">
        <v>15252</v>
      </c>
      <c r="B15253" t="inlineStr">
        <is>
          <t>x̄V̅CCLII</t>
        </is>
      </c>
      <c r="C15253">
        <f>ROMAN(15252)</f>
        <v/>
      </c>
      <c r="D15253">
        <f>IF(B15253=C15253, "YES", "WRONG")</f>
        <v/>
      </c>
    </row>
    <row r="15254">
      <c r="A15254" t="n">
        <v>15253</v>
      </c>
      <c r="B15254" t="inlineStr">
        <is>
          <t>x̄V̅CCLIII</t>
        </is>
      </c>
      <c r="C15254">
        <f>ROMAN(15253)</f>
        <v/>
      </c>
      <c r="D15254">
        <f>IF(B15254=C15254, "YES", "WRONG")</f>
        <v/>
      </c>
    </row>
    <row r="15255">
      <c r="A15255" t="n">
        <v>15254</v>
      </c>
      <c r="B15255" t="inlineStr">
        <is>
          <t>x̄V̅CCLIV</t>
        </is>
      </c>
      <c r="C15255">
        <f>ROMAN(15254)</f>
        <v/>
      </c>
      <c r="D15255">
        <f>IF(B15255=C15255, "YES", "WRONG")</f>
        <v/>
      </c>
    </row>
    <row r="15256">
      <c r="A15256" t="n">
        <v>15255</v>
      </c>
      <c r="B15256" t="inlineStr">
        <is>
          <t>x̄V̅CCLV</t>
        </is>
      </c>
      <c r="C15256">
        <f>ROMAN(15255)</f>
        <v/>
      </c>
      <c r="D15256">
        <f>IF(B15256=C15256, "YES", "WRONG")</f>
        <v/>
      </c>
    </row>
    <row r="15257">
      <c r="A15257" t="n">
        <v>15256</v>
      </c>
      <c r="B15257" t="inlineStr">
        <is>
          <t>x̄V̅CCLVI</t>
        </is>
      </c>
      <c r="C15257">
        <f>ROMAN(15256)</f>
        <v/>
      </c>
      <c r="D15257">
        <f>IF(B15257=C15257, "YES", "WRONG")</f>
        <v/>
      </c>
    </row>
    <row r="15258">
      <c r="A15258" t="n">
        <v>15257</v>
      </c>
      <c r="B15258" t="inlineStr">
        <is>
          <t>x̄V̅CCLVII</t>
        </is>
      </c>
      <c r="C15258">
        <f>ROMAN(15257)</f>
        <v/>
      </c>
      <c r="D15258">
        <f>IF(B15258=C15258, "YES", "WRONG")</f>
        <v/>
      </c>
    </row>
    <row r="15259">
      <c r="A15259" t="n">
        <v>15258</v>
      </c>
      <c r="B15259" t="inlineStr">
        <is>
          <t>x̄V̅CCLVIII</t>
        </is>
      </c>
      <c r="C15259">
        <f>ROMAN(15258)</f>
        <v/>
      </c>
      <c r="D15259">
        <f>IF(B15259=C15259, "YES", "WRONG")</f>
        <v/>
      </c>
    </row>
    <row r="15260">
      <c r="A15260" t="n">
        <v>15259</v>
      </c>
      <c r="B15260" t="inlineStr">
        <is>
          <t>x̄V̅CCLIX</t>
        </is>
      </c>
      <c r="C15260">
        <f>ROMAN(15259)</f>
        <v/>
      </c>
      <c r="D15260">
        <f>IF(B15260=C15260, "YES", "WRONG")</f>
        <v/>
      </c>
    </row>
    <row r="15261">
      <c r="A15261" t="n">
        <v>15260</v>
      </c>
      <c r="B15261" t="inlineStr">
        <is>
          <t>x̄V̅CCLX</t>
        </is>
      </c>
      <c r="C15261">
        <f>ROMAN(15260)</f>
        <v/>
      </c>
      <c r="D15261">
        <f>IF(B15261=C15261, "YES", "WRONG")</f>
        <v/>
      </c>
    </row>
    <row r="15262">
      <c r="A15262" t="n">
        <v>15261</v>
      </c>
      <c r="B15262" t="inlineStr">
        <is>
          <t>x̄V̅CCLXI</t>
        </is>
      </c>
      <c r="C15262">
        <f>ROMAN(15261)</f>
        <v/>
      </c>
      <c r="D15262">
        <f>IF(B15262=C15262, "YES", "WRONG")</f>
        <v/>
      </c>
    </row>
    <row r="15263">
      <c r="A15263" t="n">
        <v>15262</v>
      </c>
      <c r="B15263" t="inlineStr">
        <is>
          <t>x̄V̅CCLXII</t>
        </is>
      </c>
      <c r="C15263">
        <f>ROMAN(15262)</f>
        <v/>
      </c>
      <c r="D15263">
        <f>IF(B15263=C15263, "YES", "WRONG")</f>
        <v/>
      </c>
    </row>
    <row r="15264">
      <c r="A15264" t="n">
        <v>15263</v>
      </c>
      <c r="B15264" t="inlineStr">
        <is>
          <t>x̄V̅CCLXIII</t>
        </is>
      </c>
      <c r="C15264">
        <f>ROMAN(15263)</f>
        <v/>
      </c>
      <c r="D15264">
        <f>IF(B15264=C15264, "YES", "WRONG")</f>
        <v/>
      </c>
    </row>
    <row r="15265">
      <c r="A15265" t="n">
        <v>15264</v>
      </c>
      <c r="B15265" t="inlineStr">
        <is>
          <t>x̄V̅CCLXIV</t>
        </is>
      </c>
      <c r="C15265">
        <f>ROMAN(15264)</f>
        <v/>
      </c>
      <c r="D15265">
        <f>IF(B15265=C15265, "YES", "WRONG")</f>
        <v/>
      </c>
    </row>
    <row r="15266">
      <c r="A15266" t="n">
        <v>15265</v>
      </c>
      <c r="B15266" t="inlineStr">
        <is>
          <t>x̄V̅CCLXV</t>
        </is>
      </c>
      <c r="C15266">
        <f>ROMAN(15265)</f>
        <v/>
      </c>
      <c r="D15266">
        <f>IF(B15266=C15266, "YES", "WRONG")</f>
        <v/>
      </c>
    </row>
    <row r="15267">
      <c r="A15267" t="n">
        <v>15266</v>
      </c>
      <c r="B15267" t="inlineStr">
        <is>
          <t>x̄V̅CCLXVI</t>
        </is>
      </c>
      <c r="C15267">
        <f>ROMAN(15266)</f>
        <v/>
      </c>
      <c r="D15267">
        <f>IF(B15267=C15267, "YES", "WRONG")</f>
        <v/>
      </c>
    </row>
    <row r="15268">
      <c r="A15268" t="n">
        <v>15267</v>
      </c>
      <c r="B15268" t="inlineStr">
        <is>
          <t>x̄V̅CCLXVII</t>
        </is>
      </c>
      <c r="C15268">
        <f>ROMAN(15267)</f>
        <v/>
      </c>
      <c r="D15268">
        <f>IF(B15268=C15268, "YES", "WRONG")</f>
        <v/>
      </c>
    </row>
    <row r="15269">
      <c r="A15269" t="n">
        <v>15268</v>
      </c>
      <c r="B15269" t="inlineStr">
        <is>
          <t>x̄V̅CCLXVIII</t>
        </is>
      </c>
      <c r="C15269">
        <f>ROMAN(15268)</f>
        <v/>
      </c>
      <c r="D15269">
        <f>IF(B15269=C15269, "YES", "WRONG")</f>
        <v/>
      </c>
    </row>
    <row r="15270">
      <c r="A15270" t="n">
        <v>15269</v>
      </c>
      <c r="B15270" t="inlineStr">
        <is>
          <t>x̄V̅CCLXIX</t>
        </is>
      </c>
      <c r="C15270">
        <f>ROMAN(15269)</f>
        <v/>
      </c>
      <c r="D15270">
        <f>IF(B15270=C15270, "YES", "WRONG")</f>
        <v/>
      </c>
    </row>
    <row r="15271">
      <c r="A15271" t="n">
        <v>15270</v>
      </c>
      <c r="B15271" t="inlineStr">
        <is>
          <t>x̄V̅CCLXX</t>
        </is>
      </c>
      <c r="C15271">
        <f>ROMAN(15270)</f>
        <v/>
      </c>
      <c r="D15271">
        <f>IF(B15271=C15271, "YES", "WRONG")</f>
        <v/>
      </c>
    </row>
    <row r="15272">
      <c r="A15272" t="n">
        <v>15271</v>
      </c>
      <c r="B15272" t="inlineStr">
        <is>
          <t>x̄V̅CCLXXI</t>
        </is>
      </c>
      <c r="C15272">
        <f>ROMAN(15271)</f>
        <v/>
      </c>
      <c r="D15272">
        <f>IF(B15272=C15272, "YES", "WRONG")</f>
        <v/>
      </c>
    </row>
    <row r="15273">
      <c r="A15273" t="n">
        <v>15272</v>
      </c>
      <c r="B15273" t="inlineStr">
        <is>
          <t>x̄V̅CCLXXII</t>
        </is>
      </c>
      <c r="C15273">
        <f>ROMAN(15272)</f>
        <v/>
      </c>
      <c r="D15273">
        <f>IF(B15273=C15273, "YES", "WRONG")</f>
        <v/>
      </c>
    </row>
    <row r="15274">
      <c r="A15274" t="n">
        <v>15273</v>
      </c>
      <c r="B15274" t="inlineStr">
        <is>
          <t>x̄V̅CCLXXIII</t>
        </is>
      </c>
      <c r="C15274">
        <f>ROMAN(15273)</f>
        <v/>
      </c>
      <c r="D15274">
        <f>IF(B15274=C15274, "YES", "WRONG")</f>
        <v/>
      </c>
    </row>
    <row r="15275">
      <c r="A15275" t="n">
        <v>15274</v>
      </c>
      <c r="B15275" t="inlineStr">
        <is>
          <t>x̄V̅CCLXXIV</t>
        </is>
      </c>
      <c r="C15275">
        <f>ROMAN(15274)</f>
        <v/>
      </c>
      <c r="D15275">
        <f>IF(B15275=C15275, "YES", "WRONG")</f>
        <v/>
      </c>
    </row>
    <row r="15276">
      <c r="A15276" t="n">
        <v>15275</v>
      </c>
      <c r="B15276" t="inlineStr">
        <is>
          <t>x̄V̅CCLXXV</t>
        </is>
      </c>
      <c r="C15276">
        <f>ROMAN(15275)</f>
        <v/>
      </c>
      <c r="D15276">
        <f>IF(B15276=C15276, "YES", "WRONG")</f>
        <v/>
      </c>
    </row>
    <row r="15277">
      <c r="A15277" t="n">
        <v>15276</v>
      </c>
      <c r="B15277" t="inlineStr">
        <is>
          <t>x̄V̅CCLXXVI</t>
        </is>
      </c>
      <c r="C15277">
        <f>ROMAN(15276)</f>
        <v/>
      </c>
      <c r="D15277">
        <f>IF(B15277=C15277, "YES", "WRONG")</f>
        <v/>
      </c>
    </row>
    <row r="15278">
      <c r="A15278" t="n">
        <v>15277</v>
      </c>
      <c r="B15278" t="inlineStr">
        <is>
          <t>x̄V̅CCLXXVII</t>
        </is>
      </c>
      <c r="C15278">
        <f>ROMAN(15277)</f>
        <v/>
      </c>
      <c r="D15278">
        <f>IF(B15278=C15278, "YES", "WRONG")</f>
        <v/>
      </c>
    </row>
    <row r="15279">
      <c r="A15279" t="n">
        <v>15278</v>
      </c>
      <c r="B15279" t="inlineStr">
        <is>
          <t>x̄V̅CCLXXVIII</t>
        </is>
      </c>
      <c r="C15279">
        <f>ROMAN(15278)</f>
        <v/>
      </c>
      <c r="D15279">
        <f>IF(B15279=C15279, "YES", "WRONG")</f>
        <v/>
      </c>
    </row>
    <row r="15280">
      <c r="A15280" t="n">
        <v>15279</v>
      </c>
      <c r="B15280" t="inlineStr">
        <is>
          <t>x̄V̅CCLXXIX</t>
        </is>
      </c>
      <c r="C15280">
        <f>ROMAN(15279)</f>
        <v/>
      </c>
      <c r="D15280">
        <f>IF(B15280=C15280, "YES", "WRONG")</f>
        <v/>
      </c>
    </row>
    <row r="15281">
      <c r="A15281" t="n">
        <v>15280</v>
      </c>
      <c r="B15281" t="inlineStr">
        <is>
          <t>x̄V̅CCLXXX</t>
        </is>
      </c>
      <c r="C15281">
        <f>ROMAN(15280)</f>
        <v/>
      </c>
      <c r="D15281">
        <f>IF(B15281=C15281, "YES", "WRONG")</f>
        <v/>
      </c>
    </row>
    <row r="15282">
      <c r="A15282" t="n">
        <v>15281</v>
      </c>
      <c r="B15282" t="inlineStr">
        <is>
          <t>x̄V̅CCLXXXI</t>
        </is>
      </c>
      <c r="C15282">
        <f>ROMAN(15281)</f>
        <v/>
      </c>
      <c r="D15282">
        <f>IF(B15282=C15282, "YES", "WRONG")</f>
        <v/>
      </c>
    </row>
    <row r="15283">
      <c r="A15283" t="n">
        <v>15282</v>
      </c>
      <c r="B15283" t="inlineStr">
        <is>
          <t>x̄V̅CCLXXXII</t>
        </is>
      </c>
      <c r="C15283">
        <f>ROMAN(15282)</f>
        <v/>
      </c>
      <c r="D15283">
        <f>IF(B15283=C15283, "YES", "WRONG")</f>
        <v/>
      </c>
    </row>
    <row r="15284">
      <c r="A15284" t="n">
        <v>15283</v>
      </c>
      <c r="B15284" t="inlineStr">
        <is>
          <t>x̄V̅CCLXXXIII</t>
        </is>
      </c>
      <c r="C15284">
        <f>ROMAN(15283)</f>
        <v/>
      </c>
      <c r="D15284">
        <f>IF(B15284=C15284, "YES", "WRONG")</f>
        <v/>
      </c>
    </row>
    <row r="15285">
      <c r="A15285" t="n">
        <v>15284</v>
      </c>
      <c r="B15285" t="inlineStr">
        <is>
          <t>x̄V̅CCLXXXIV</t>
        </is>
      </c>
      <c r="C15285">
        <f>ROMAN(15284)</f>
        <v/>
      </c>
      <c r="D15285">
        <f>IF(B15285=C15285, "YES", "WRONG")</f>
        <v/>
      </c>
    </row>
    <row r="15286">
      <c r="A15286" t="n">
        <v>15285</v>
      </c>
      <c r="B15286" t="inlineStr">
        <is>
          <t>x̄V̅CCLXXXV</t>
        </is>
      </c>
      <c r="C15286">
        <f>ROMAN(15285)</f>
        <v/>
      </c>
      <c r="D15286">
        <f>IF(B15286=C15286, "YES", "WRONG")</f>
        <v/>
      </c>
    </row>
    <row r="15287">
      <c r="A15287" t="n">
        <v>15286</v>
      </c>
      <c r="B15287" t="inlineStr">
        <is>
          <t>x̄V̅CCLXXXVI</t>
        </is>
      </c>
      <c r="C15287">
        <f>ROMAN(15286)</f>
        <v/>
      </c>
      <c r="D15287">
        <f>IF(B15287=C15287, "YES", "WRONG")</f>
        <v/>
      </c>
    </row>
    <row r="15288">
      <c r="A15288" t="n">
        <v>15287</v>
      </c>
      <c r="B15288" t="inlineStr">
        <is>
          <t>x̄V̅CCLXXXVII</t>
        </is>
      </c>
      <c r="C15288">
        <f>ROMAN(15287)</f>
        <v/>
      </c>
      <c r="D15288">
        <f>IF(B15288=C15288, "YES", "WRONG")</f>
        <v/>
      </c>
    </row>
    <row r="15289">
      <c r="A15289" t="n">
        <v>15288</v>
      </c>
      <c r="B15289" t="inlineStr">
        <is>
          <t>x̄V̅CCLXXXVIII</t>
        </is>
      </c>
      <c r="C15289">
        <f>ROMAN(15288)</f>
        <v/>
      </c>
      <c r="D15289">
        <f>IF(B15289=C15289, "YES", "WRONG")</f>
        <v/>
      </c>
    </row>
    <row r="15290">
      <c r="A15290" t="n">
        <v>15289</v>
      </c>
      <c r="B15290" t="inlineStr">
        <is>
          <t>x̄V̅CCLXXXIX</t>
        </is>
      </c>
      <c r="C15290">
        <f>ROMAN(15289)</f>
        <v/>
      </c>
      <c r="D15290">
        <f>IF(B15290=C15290, "YES", "WRONG")</f>
        <v/>
      </c>
    </row>
    <row r="15291">
      <c r="A15291" t="n">
        <v>15290</v>
      </c>
      <c r="B15291" t="inlineStr">
        <is>
          <t>x̄V̅CCXC</t>
        </is>
      </c>
      <c r="C15291">
        <f>ROMAN(15290)</f>
        <v/>
      </c>
      <c r="D15291">
        <f>IF(B15291=C15291, "YES", "WRONG")</f>
        <v/>
      </c>
    </row>
    <row r="15292">
      <c r="A15292" t="n">
        <v>15291</v>
      </c>
      <c r="B15292" t="inlineStr">
        <is>
          <t>x̄V̅CCXCI</t>
        </is>
      </c>
      <c r="C15292">
        <f>ROMAN(15291)</f>
        <v/>
      </c>
      <c r="D15292">
        <f>IF(B15292=C15292, "YES", "WRONG")</f>
        <v/>
      </c>
    </row>
    <row r="15293">
      <c r="A15293" t="n">
        <v>15292</v>
      </c>
      <c r="B15293" t="inlineStr">
        <is>
          <t>x̄V̅CCXCII</t>
        </is>
      </c>
      <c r="C15293">
        <f>ROMAN(15292)</f>
        <v/>
      </c>
      <c r="D15293">
        <f>IF(B15293=C15293, "YES", "WRONG")</f>
        <v/>
      </c>
    </row>
    <row r="15294">
      <c r="A15294" t="n">
        <v>15293</v>
      </c>
      <c r="B15294" t="inlineStr">
        <is>
          <t>x̄V̅CCXCIII</t>
        </is>
      </c>
      <c r="C15294">
        <f>ROMAN(15293)</f>
        <v/>
      </c>
      <c r="D15294">
        <f>IF(B15294=C15294, "YES", "WRONG")</f>
        <v/>
      </c>
    </row>
    <row r="15295">
      <c r="A15295" t="n">
        <v>15294</v>
      </c>
      <c r="B15295" t="inlineStr">
        <is>
          <t>x̄V̅CCXCIV</t>
        </is>
      </c>
      <c r="C15295">
        <f>ROMAN(15294)</f>
        <v/>
      </c>
      <c r="D15295">
        <f>IF(B15295=C15295, "YES", "WRONG")</f>
        <v/>
      </c>
    </row>
    <row r="15296">
      <c r="A15296" t="n">
        <v>15295</v>
      </c>
      <c r="B15296" t="inlineStr">
        <is>
          <t>x̄V̅CCXCV</t>
        </is>
      </c>
      <c r="C15296">
        <f>ROMAN(15295)</f>
        <v/>
      </c>
      <c r="D15296">
        <f>IF(B15296=C15296, "YES", "WRONG")</f>
        <v/>
      </c>
    </row>
    <row r="15297">
      <c r="A15297" t="n">
        <v>15296</v>
      </c>
      <c r="B15297" t="inlineStr">
        <is>
          <t>x̄V̅CCXCVI</t>
        </is>
      </c>
      <c r="C15297">
        <f>ROMAN(15296)</f>
        <v/>
      </c>
      <c r="D15297">
        <f>IF(B15297=C15297, "YES", "WRONG")</f>
        <v/>
      </c>
    </row>
    <row r="15298">
      <c r="A15298" t="n">
        <v>15297</v>
      </c>
      <c r="B15298" t="inlineStr">
        <is>
          <t>x̄V̅CCXCVII</t>
        </is>
      </c>
      <c r="C15298">
        <f>ROMAN(15297)</f>
        <v/>
      </c>
      <c r="D15298">
        <f>IF(B15298=C15298, "YES", "WRONG")</f>
        <v/>
      </c>
    </row>
    <row r="15299">
      <c r="A15299" t="n">
        <v>15298</v>
      </c>
      <c r="B15299" t="inlineStr">
        <is>
          <t>x̄V̅CCXCVIII</t>
        </is>
      </c>
      <c r="C15299">
        <f>ROMAN(15298)</f>
        <v/>
      </c>
      <c r="D15299">
        <f>IF(B15299=C15299, "YES", "WRONG")</f>
        <v/>
      </c>
    </row>
    <row r="15300">
      <c r="A15300" t="n">
        <v>15299</v>
      </c>
      <c r="B15300" t="inlineStr">
        <is>
          <t>x̄V̅CCXCIX</t>
        </is>
      </c>
      <c r="C15300">
        <f>ROMAN(15299)</f>
        <v/>
      </c>
      <c r="D15300">
        <f>IF(B15300=C15300, "YES", "WRONG")</f>
        <v/>
      </c>
    </row>
    <row r="15301">
      <c r="A15301" t="n">
        <v>15300</v>
      </c>
      <c r="B15301" t="inlineStr">
        <is>
          <t>x̄V̅CCC</t>
        </is>
      </c>
      <c r="C15301">
        <f>ROMAN(15300)</f>
        <v/>
      </c>
      <c r="D15301">
        <f>IF(B15301=C15301, "YES", "WRONG")</f>
        <v/>
      </c>
    </row>
    <row r="15302">
      <c r="A15302" t="n">
        <v>15301</v>
      </c>
      <c r="B15302" t="inlineStr">
        <is>
          <t>x̄V̅CCCI</t>
        </is>
      </c>
      <c r="C15302">
        <f>ROMAN(15301)</f>
        <v/>
      </c>
      <c r="D15302">
        <f>IF(B15302=C15302, "YES", "WRONG")</f>
        <v/>
      </c>
    </row>
    <row r="15303">
      <c r="A15303" t="n">
        <v>15302</v>
      </c>
      <c r="B15303" t="inlineStr">
        <is>
          <t>x̄V̅CCCII</t>
        </is>
      </c>
      <c r="C15303">
        <f>ROMAN(15302)</f>
        <v/>
      </c>
      <c r="D15303">
        <f>IF(B15303=C15303, "YES", "WRONG")</f>
        <v/>
      </c>
    </row>
    <row r="15304">
      <c r="A15304" t="n">
        <v>15303</v>
      </c>
      <c r="B15304" t="inlineStr">
        <is>
          <t>x̄V̅CCCIII</t>
        </is>
      </c>
      <c r="C15304">
        <f>ROMAN(15303)</f>
        <v/>
      </c>
      <c r="D15304">
        <f>IF(B15304=C15304, "YES", "WRONG")</f>
        <v/>
      </c>
    </row>
    <row r="15305">
      <c r="A15305" t="n">
        <v>15304</v>
      </c>
      <c r="B15305" t="inlineStr">
        <is>
          <t>x̄V̅CCCIV</t>
        </is>
      </c>
      <c r="C15305">
        <f>ROMAN(15304)</f>
        <v/>
      </c>
      <c r="D15305">
        <f>IF(B15305=C15305, "YES", "WRONG")</f>
        <v/>
      </c>
    </row>
    <row r="15306">
      <c r="A15306" t="n">
        <v>15305</v>
      </c>
      <c r="B15306" t="inlineStr">
        <is>
          <t>x̄V̅CCCV</t>
        </is>
      </c>
      <c r="C15306">
        <f>ROMAN(15305)</f>
        <v/>
      </c>
      <c r="D15306">
        <f>IF(B15306=C15306, "YES", "WRONG")</f>
        <v/>
      </c>
    </row>
    <row r="15307">
      <c r="A15307" t="n">
        <v>15306</v>
      </c>
      <c r="B15307" t="inlineStr">
        <is>
          <t>x̄V̅CCCVI</t>
        </is>
      </c>
      <c r="C15307">
        <f>ROMAN(15306)</f>
        <v/>
      </c>
      <c r="D15307">
        <f>IF(B15307=C15307, "YES", "WRONG")</f>
        <v/>
      </c>
    </row>
    <row r="15308">
      <c r="A15308" t="n">
        <v>15307</v>
      </c>
      <c r="B15308" t="inlineStr">
        <is>
          <t>x̄V̅CCCVII</t>
        </is>
      </c>
      <c r="C15308">
        <f>ROMAN(15307)</f>
        <v/>
      </c>
      <c r="D15308">
        <f>IF(B15308=C15308, "YES", "WRONG")</f>
        <v/>
      </c>
    </row>
    <row r="15309">
      <c r="A15309" t="n">
        <v>15308</v>
      </c>
      <c r="B15309" t="inlineStr">
        <is>
          <t>x̄V̅CCCVIII</t>
        </is>
      </c>
      <c r="C15309">
        <f>ROMAN(15308)</f>
        <v/>
      </c>
      <c r="D15309">
        <f>IF(B15309=C15309, "YES", "WRONG")</f>
        <v/>
      </c>
    </row>
    <row r="15310">
      <c r="A15310" t="n">
        <v>15309</v>
      </c>
      <c r="B15310" t="inlineStr">
        <is>
          <t>x̄V̅CCCIX</t>
        </is>
      </c>
      <c r="C15310">
        <f>ROMAN(15309)</f>
        <v/>
      </c>
      <c r="D15310">
        <f>IF(B15310=C15310, "YES", "WRONG")</f>
        <v/>
      </c>
    </row>
    <row r="15311">
      <c r="A15311" t="n">
        <v>15310</v>
      </c>
      <c r="B15311" t="inlineStr">
        <is>
          <t>x̄V̅CCCX</t>
        </is>
      </c>
      <c r="C15311">
        <f>ROMAN(15310)</f>
        <v/>
      </c>
      <c r="D15311">
        <f>IF(B15311=C15311, "YES", "WRONG")</f>
        <v/>
      </c>
    </row>
    <row r="15312">
      <c r="A15312" t="n">
        <v>15311</v>
      </c>
      <c r="B15312" t="inlineStr">
        <is>
          <t>x̄V̅CCCXI</t>
        </is>
      </c>
      <c r="C15312">
        <f>ROMAN(15311)</f>
        <v/>
      </c>
      <c r="D15312">
        <f>IF(B15312=C15312, "YES", "WRONG")</f>
        <v/>
      </c>
    </row>
    <row r="15313">
      <c r="A15313" t="n">
        <v>15312</v>
      </c>
      <c r="B15313" t="inlineStr">
        <is>
          <t>x̄V̅CCCXII</t>
        </is>
      </c>
      <c r="C15313">
        <f>ROMAN(15312)</f>
        <v/>
      </c>
      <c r="D15313">
        <f>IF(B15313=C15313, "YES", "WRONG")</f>
        <v/>
      </c>
    </row>
    <row r="15314">
      <c r="A15314" t="n">
        <v>15313</v>
      </c>
      <c r="B15314" t="inlineStr">
        <is>
          <t>x̄V̅CCCXIII</t>
        </is>
      </c>
      <c r="C15314">
        <f>ROMAN(15313)</f>
        <v/>
      </c>
      <c r="D15314">
        <f>IF(B15314=C15314, "YES", "WRONG")</f>
        <v/>
      </c>
    </row>
    <row r="15315">
      <c r="A15315" t="n">
        <v>15314</v>
      </c>
      <c r="B15315" t="inlineStr">
        <is>
          <t>x̄V̅CCCXIV</t>
        </is>
      </c>
      <c r="C15315">
        <f>ROMAN(15314)</f>
        <v/>
      </c>
      <c r="D15315">
        <f>IF(B15315=C15315, "YES", "WRONG")</f>
        <v/>
      </c>
    </row>
    <row r="15316">
      <c r="A15316" t="n">
        <v>15315</v>
      </c>
      <c r="B15316" t="inlineStr">
        <is>
          <t>x̄V̅CCCXV</t>
        </is>
      </c>
      <c r="C15316">
        <f>ROMAN(15315)</f>
        <v/>
      </c>
      <c r="D15316">
        <f>IF(B15316=C15316, "YES", "WRONG")</f>
        <v/>
      </c>
    </row>
    <row r="15317">
      <c r="A15317" t="n">
        <v>15316</v>
      </c>
      <c r="B15317" t="inlineStr">
        <is>
          <t>x̄V̅CCCXVI</t>
        </is>
      </c>
      <c r="C15317">
        <f>ROMAN(15316)</f>
        <v/>
      </c>
      <c r="D15317">
        <f>IF(B15317=C15317, "YES", "WRONG")</f>
        <v/>
      </c>
    </row>
    <row r="15318">
      <c r="A15318" t="n">
        <v>15317</v>
      </c>
      <c r="B15318" t="inlineStr">
        <is>
          <t>x̄V̅CCCXVII</t>
        </is>
      </c>
      <c r="C15318">
        <f>ROMAN(15317)</f>
        <v/>
      </c>
      <c r="D15318">
        <f>IF(B15318=C15318, "YES", "WRONG")</f>
        <v/>
      </c>
    </row>
    <row r="15319">
      <c r="A15319" t="n">
        <v>15318</v>
      </c>
      <c r="B15319" t="inlineStr">
        <is>
          <t>x̄V̅CCCXVIII</t>
        </is>
      </c>
      <c r="C15319">
        <f>ROMAN(15318)</f>
        <v/>
      </c>
      <c r="D15319">
        <f>IF(B15319=C15319, "YES", "WRONG")</f>
        <v/>
      </c>
    </row>
    <row r="15320">
      <c r="A15320" t="n">
        <v>15319</v>
      </c>
      <c r="B15320" t="inlineStr">
        <is>
          <t>x̄V̅CCCXIX</t>
        </is>
      </c>
      <c r="C15320">
        <f>ROMAN(15319)</f>
        <v/>
      </c>
      <c r="D15320">
        <f>IF(B15320=C15320, "YES", "WRONG")</f>
        <v/>
      </c>
    </row>
    <row r="15321">
      <c r="A15321" t="n">
        <v>15320</v>
      </c>
      <c r="B15321" t="inlineStr">
        <is>
          <t>x̄V̅CCCXX</t>
        </is>
      </c>
      <c r="C15321">
        <f>ROMAN(15320)</f>
        <v/>
      </c>
      <c r="D15321">
        <f>IF(B15321=C15321, "YES", "WRONG")</f>
        <v/>
      </c>
    </row>
    <row r="15322">
      <c r="A15322" t="n">
        <v>15321</v>
      </c>
      <c r="B15322" t="inlineStr">
        <is>
          <t>x̄V̅CCCXXI</t>
        </is>
      </c>
      <c r="C15322">
        <f>ROMAN(15321)</f>
        <v/>
      </c>
      <c r="D15322">
        <f>IF(B15322=C15322, "YES", "WRONG")</f>
        <v/>
      </c>
    </row>
    <row r="15323">
      <c r="A15323" t="n">
        <v>15322</v>
      </c>
      <c r="B15323" t="inlineStr">
        <is>
          <t>x̄V̅CCCXXII</t>
        </is>
      </c>
      <c r="C15323">
        <f>ROMAN(15322)</f>
        <v/>
      </c>
      <c r="D15323">
        <f>IF(B15323=C15323, "YES", "WRONG")</f>
        <v/>
      </c>
    </row>
    <row r="15324">
      <c r="A15324" t="n">
        <v>15323</v>
      </c>
      <c r="B15324" t="inlineStr">
        <is>
          <t>x̄V̅CCCXXIII</t>
        </is>
      </c>
      <c r="C15324">
        <f>ROMAN(15323)</f>
        <v/>
      </c>
      <c r="D15324">
        <f>IF(B15324=C15324, "YES", "WRONG")</f>
        <v/>
      </c>
    </row>
    <row r="15325">
      <c r="A15325" t="n">
        <v>15324</v>
      </c>
      <c r="B15325" t="inlineStr">
        <is>
          <t>x̄V̅CCCXXIV</t>
        </is>
      </c>
      <c r="C15325">
        <f>ROMAN(15324)</f>
        <v/>
      </c>
      <c r="D15325">
        <f>IF(B15325=C15325, "YES", "WRONG")</f>
        <v/>
      </c>
    </row>
    <row r="15326">
      <c r="A15326" t="n">
        <v>15325</v>
      </c>
      <c r="B15326" t="inlineStr">
        <is>
          <t>x̄V̅CCCXXV</t>
        </is>
      </c>
      <c r="C15326">
        <f>ROMAN(15325)</f>
        <v/>
      </c>
      <c r="D15326">
        <f>IF(B15326=C15326, "YES", "WRONG")</f>
        <v/>
      </c>
    </row>
    <row r="15327">
      <c r="A15327" t="n">
        <v>15326</v>
      </c>
      <c r="B15327" t="inlineStr">
        <is>
          <t>x̄V̅CCCXXVI</t>
        </is>
      </c>
      <c r="C15327">
        <f>ROMAN(15326)</f>
        <v/>
      </c>
      <c r="D15327">
        <f>IF(B15327=C15327, "YES", "WRONG")</f>
        <v/>
      </c>
    </row>
    <row r="15328">
      <c r="A15328" t="n">
        <v>15327</v>
      </c>
      <c r="B15328" t="inlineStr">
        <is>
          <t>x̄V̅CCCXXVII</t>
        </is>
      </c>
      <c r="C15328">
        <f>ROMAN(15327)</f>
        <v/>
      </c>
      <c r="D15328">
        <f>IF(B15328=C15328, "YES", "WRONG")</f>
        <v/>
      </c>
    </row>
    <row r="15329">
      <c r="A15329" t="n">
        <v>15328</v>
      </c>
      <c r="B15329" t="inlineStr">
        <is>
          <t>x̄V̅CCCXXVIII</t>
        </is>
      </c>
      <c r="C15329">
        <f>ROMAN(15328)</f>
        <v/>
      </c>
      <c r="D15329">
        <f>IF(B15329=C15329, "YES", "WRONG")</f>
        <v/>
      </c>
    </row>
    <row r="15330">
      <c r="A15330" t="n">
        <v>15329</v>
      </c>
      <c r="B15330" t="inlineStr">
        <is>
          <t>x̄V̅CCCXXIX</t>
        </is>
      </c>
      <c r="C15330">
        <f>ROMAN(15329)</f>
        <v/>
      </c>
      <c r="D15330">
        <f>IF(B15330=C15330, "YES", "WRONG")</f>
        <v/>
      </c>
    </row>
    <row r="15331">
      <c r="A15331" t="n">
        <v>15330</v>
      </c>
      <c r="B15331" t="inlineStr">
        <is>
          <t>x̄V̅CCCXXX</t>
        </is>
      </c>
      <c r="C15331">
        <f>ROMAN(15330)</f>
        <v/>
      </c>
      <c r="D15331">
        <f>IF(B15331=C15331, "YES", "WRONG")</f>
        <v/>
      </c>
    </row>
    <row r="15332">
      <c r="A15332" t="n">
        <v>15331</v>
      </c>
      <c r="B15332" t="inlineStr">
        <is>
          <t>x̄V̅CCCXXXI</t>
        </is>
      </c>
      <c r="C15332">
        <f>ROMAN(15331)</f>
        <v/>
      </c>
      <c r="D15332">
        <f>IF(B15332=C15332, "YES", "WRONG")</f>
        <v/>
      </c>
    </row>
    <row r="15333">
      <c r="A15333" t="n">
        <v>15332</v>
      </c>
      <c r="B15333" t="inlineStr">
        <is>
          <t>x̄V̅CCCXXXII</t>
        </is>
      </c>
      <c r="C15333">
        <f>ROMAN(15332)</f>
        <v/>
      </c>
      <c r="D15333">
        <f>IF(B15333=C15333, "YES", "WRONG")</f>
        <v/>
      </c>
    </row>
    <row r="15334">
      <c r="A15334" t="n">
        <v>15333</v>
      </c>
      <c r="B15334" t="inlineStr">
        <is>
          <t>x̄V̅CCCXXXIII</t>
        </is>
      </c>
      <c r="C15334">
        <f>ROMAN(15333)</f>
        <v/>
      </c>
      <c r="D15334">
        <f>IF(B15334=C15334, "YES", "WRONG")</f>
        <v/>
      </c>
    </row>
    <row r="15335">
      <c r="A15335" t="n">
        <v>15334</v>
      </c>
      <c r="B15335" t="inlineStr">
        <is>
          <t>x̄V̅CCCXXXIV</t>
        </is>
      </c>
      <c r="C15335">
        <f>ROMAN(15334)</f>
        <v/>
      </c>
      <c r="D15335">
        <f>IF(B15335=C15335, "YES", "WRONG")</f>
        <v/>
      </c>
    </row>
    <row r="15336">
      <c r="A15336" t="n">
        <v>15335</v>
      </c>
      <c r="B15336" t="inlineStr">
        <is>
          <t>x̄V̅CCCXXXV</t>
        </is>
      </c>
      <c r="C15336">
        <f>ROMAN(15335)</f>
        <v/>
      </c>
      <c r="D15336">
        <f>IF(B15336=C15336, "YES", "WRONG")</f>
        <v/>
      </c>
    </row>
    <row r="15337">
      <c r="A15337" t="n">
        <v>15336</v>
      </c>
      <c r="B15337" t="inlineStr">
        <is>
          <t>x̄V̅CCCXXXVI</t>
        </is>
      </c>
      <c r="C15337">
        <f>ROMAN(15336)</f>
        <v/>
      </c>
      <c r="D15337">
        <f>IF(B15337=C15337, "YES", "WRONG")</f>
        <v/>
      </c>
    </row>
    <row r="15338">
      <c r="A15338" t="n">
        <v>15337</v>
      </c>
      <c r="B15338" t="inlineStr">
        <is>
          <t>x̄V̅CCCXXXVII</t>
        </is>
      </c>
      <c r="C15338">
        <f>ROMAN(15337)</f>
        <v/>
      </c>
      <c r="D15338">
        <f>IF(B15338=C15338, "YES", "WRONG")</f>
        <v/>
      </c>
    </row>
    <row r="15339">
      <c r="A15339" t="n">
        <v>15338</v>
      </c>
      <c r="B15339" t="inlineStr">
        <is>
          <t>x̄V̅CCCXXXVIII</t>
        </is>
      </c>
      <c r="C15339">
        <f>ROMAN(15338)</f>
        <v/>
      </c>
      <c r="D15339">
        <f>IF(B15339=C15339, "YES", "WRONG")</f>
        <v/>
      </c>
    </row>
    <row r="15340">
      <c r="A15340" t="n">
        <v>15339</v>
      </c>
      <c r="B15340" t="inlineStr">
        <is>
          <t>x̄V̅CCCXXXIX</t>
        </is>
      </c>
      <c r="C15340">
        <f>ROMAN(15339)</f>
        <v/>
      </c>
      <c r="D15340">
        <f>IF(B15340=C15340, "YES", "WRONG")</f>
        <v/>
      </c>
    </row>
    <row r="15341">
      <c r="A15341" t="n">
        <v>15340</v>
      </c>
      <c r="B15341" t="inlineStr">
        <is>
          <t>x̄V̅CCCXL</t>
        </is>
      </c>
      <c r="C15341">
        <f>ROMAN(15340)</f>
        <v/>
      </c>
      <c r="D15341">
        <f>IF(B15341=C15341, "YES", "WRONG")</f>
        <v/>
      </c>
    </row>
    <row r="15342">
      <c r="A15342" t="n">
        <v>15341</v>
      </c>
      <c r="B15342" t="inlineStr">
        <is>
          <t>x̄V̅CCCXLI</t>
        </is>
      </c>
      <c r="C15342">
        <f>ROMAN(15341)</f>
        <v/>
      </c>
      <c r="D15342">
        <f>IF(B15342=C15342, "YES", "WRONG")</f>
        <v/>
      </c>
    </row>
    <row r="15343">
      <c r="A15343" t="n">
        <v>15342</v>
      </c>
      <c r="B15343" t="inlineStr">
        <is>
          <t>x̄V̅CCCXLII</t>
        </is>
      </c>
      <c r="C15343">
        <f>ROMAN(15342)</f>
        <v/>
      </c>
      <c r="D15343">
        <f>IF(B15343=C15343, "YES", "WRONG")</f>
        <v/>
      </c>
    </row>
    <row r="15344">
      <c r="A15344" t="n">
        <v>15343</v>
      </c>
      <c r="B15344" t="inlineStr">
        <is>
          <t>x̄V̅CCCXLIII</t>
        </is>
      </c>
      <c r="C15344">
        <f>ROMAN(15343)</f>
        <v/>
      </c>
      <c r="D15344">
        <f>IF(B15344=C15344, "YES", "WRONG")</f>
        <v/>
      </c>
    </row>
    <row r="15345">
      <c r="A15345" t="n">
        <v>15344</v>
      </c>
      <c r="B15345" t="inlineStr">
        <is>
          <t>x̄V̅CCCXLIV</t>
        </is>
      </c>
      <c r="C15345">
        <f>ROMAN(15344)</f>
        <v/>
      </c>
      <c r="D15345">
        <f>IF(B15345=C15345, "YES", "WRONG")</f>
        <v/>
      </c>
    </row>
    <row r="15346">
      <c r="A15346" t="n">
        <v>15345</v>
      </c>
      <c r="B15346" t="inlineStr">
        <is>
          <t>x̄V̅CCCXLV</t>
        </is>
      </c>
      <c r="C15346">
        <f>ROMAN(15345)</f>
        <v/>
      </c>
      <c r="D15346">
        <f>IF(B15346=C15346, "YES", "WRONG")</f>
        <v/>
      </c>
    </row>
    <row r="15347">
      <c r="A15347" t="n">
        <v>15346</v>
      </c>
      <c r="B15347" t="inlineStr">
        <is>
          <t>x̄V̅CCCXLVI</t>
        </is>
      </c>
      <c r="C15347">
        <f>ROMAN(15346)</f>
        <v/>
      </c>
      <c r="D15347">
        <f>IF(B15347=C15347, "YES", "WRONG")</f>
        <v/>
      </c>
    </row>
    <row r="15348">
      <c r="A15348" t="n">
        <v>15347</v>
      </c>
      <c r="B15348" t="inlineStr">
        <is>
          <t>x̄V̅CCCXLVII</t>
        </is>
      </c>
      <c r="C15348">
        <f>ROMAN(15347)</f>
        <v/>
      </c>
      <c r="D15348">
        <f>IF(B15348=C15348, "YES", "WRONG")</f>
        <v/>
      </c>
    </row>
    <row r="15349">
      <c r="A15349" t="n">
        <v>15348</v>
      </c>
      <c r="B15349" t="inlineStr">
        <is>
          <t>x̄V̅CCCXLVIII</t>
        </is>
      </c>
      <c r="C15349">
        <f>ROMAN(15348)</f>
        <v/>
      </c>
      <c r="D15349">
        <f>IF(B15349=C15349, "YES", "WRONG")</f>
        <v/>
      </c>
    </row>
    <row r="15350">
      <c r="A15350" t="n">
        <v>15349</v>
      </c>
      <c r="B15350" t="inlineStr">
        <is>
          <t>x̄V̅CCCXLIX</t>
        </is>
      </c>
      <c r="C15350">
        <f>ROMAN(15349)</f>
        <v/>
      </c>
      <c r="D15350">
        <f>IF(B15350=C15350, "YES", "WRONG")</f>
        <v/>
      </c>
    </row>
    <row r="15351">
      <c r="A15351" t="n">
        <v>15350</v>
      </c>
      <c r="B15351" t="inlineStr">
        <is>
          <t>x̄V̅CCCL</t>
        </is>
      </c>
      <c r="C15351">
        <f>ROMAN(15350)</f>
        <v/>
      </c>
      <c r="D15351">
        <f>IF(B15351=C15351, "YES", "WRONG")</f>
        <v/>
      </c>
    </row>
    <row r="15352">
      <c r="A15352" t="n">
        <v>15351</v>
      </c>
      <c r="B15352" t="inlineStr">
        <is>
          <t>x̄V̅CCCLI</t>
        </is>
      </c>
      <c r="C15352">
        <f>ROMAN(15351)</f>
        <v/>
      </c>
      <c r="D15352">
        <f>IF(B15352=C15352, "YES", "WRONG")</f>
        <v/>
      </c>
    </row>
    <row r="15353">
      <c r="A15353" t="n">
        <v>15352</v>
      </c>
      <c r="B15353" t="inlineStr">
        <is>
          <t>x̄V̅CCCLII</t>
        </is>
      </c>
      <c r="C15353">
        <f>ROMAN(15352)</f>
        <v/>
      </c>
      <c r="D15353">
        <f>IF(B15353=C15353, "YES", "WRONG")</f>
        <v/>
      </c>
    </row>
    <row r="15354">
      <c r="A15354" t="n">
        <v>15353</v>
      </c>
      <c r="B15354" t="inlineStr">
        <is>
          <t>x̄V̅CCCLIII</t>
        </is>
      </c>
      <c r="C15354">
        <f>ROMAN(15353)</f>
        <v/>
      </c>
      <c r="D15354">
        <f>IF(B15354=C15354, "YES", "WRONG")</f>
        <v/>
      </c>
    </row>
    <row r="15355">
      <c r="A15355" t="n">
        <v>15354</v>
      </c>
      <c r="B15355" t="inlineStr">
        <is>
          <t>x̄V̅CCCLIV</t>
        </is>
      </c>
      <c r="C15355">
        <f>ROMAN(15354)</f>
        <v/>
      </c>
      <c r="D15355">
        <f>IF(B15355=C15355, "YES", "WRONG")</f>
        <v/>
      </c>
    </row>
    <row r="15356">
      <c r="A15356" t="n">
        <v>15355</v>
      </c>
      <c r="B15356" t="inlineStr">
        <is>
          <t>x̄V̅CCCLV</t>
        </is>
      </c>
      <c r="C15356">
        <f>ROMAN(15355)</f>
        <v/>
      </c>
      <c r="D15356">
        <f>IF(B15356=C15356, "YES", "WRONG")</f>
        <v/>
      </c>
    </row>
    <row r="15357">
      <c r="A15357" t="n">
        <v>15356</v>
      </c>
      <c r="B15357" t="inlineStr">
        <is>
          <t>x̄V̅CCCLVI</t>
        </is>
      </c>
      <c r="C15357">
        <f>ROMAN(15356)</f>
        <v/>
      </c>
      <c r="D15357">
        <f>IF(B15357=C15357, "YES", "WRONG")</f>
        <v/>
      </c>
    </row>
    <row r="15358">
      <c r="A15358" t="n">
        <v>15357</v>
      </c>
      <c r="B15358" t="inlineStr">
        <is>
          <t>x̄V̅CCCLVII</t>
        </is>
      </c>
      <c r="C15358">
        <f>ROMAN(15357)</f>
        <v/>
      </c>
      <c r="D15358">
        <f>IF(B15358=C15358, "YES", "WRONG")</f>
        <v/>
      </c>
    </row>
    <row r="15359">
      <c r="A15359" t="n">
        <v>15358</v>
      </c>
      <c r="B15359" t="inlineStr">
        <is>
          <t>x̄V̅CCCLVIII</t>
        </is>
      </c>
      <c r="C15359">
        <f>ROMAN(15358)</f>
        <v/>
      </c>
      <c r="D15359">
        <f>IF(B15359=C15359, "YES", "WRONG")</f>
        <v/>
      </c>
    </row>
    <row r="15360">
      <c r="A15360" t="n">
        <v>15359</v>
      </c>
      <c r="B15360" t="inlineStr">
        <is>
          <t>x̄V̅CCCLIX</t>
        </is>
      </c>
      <c r="C15360">
        <f>ROMAN(15359)</f>
        <v/>
      </c>
      <c r="D15360">
        <f>IF(B15360=C15360, "YES", "WRONG")</f>
        <v/>
      </c>
    </row>
    <row r="15361">
      <c r="A15361" t="n">
        <v>15360</v>
      </c>
      <c r="B15361" t="inlineStr">
        <is>
          <t>x̄V̅CCCLX</t>
        </is>
      </c>
      <c r="C15361">
        <f>ROMAN(15360)</f>
        <v/>
      </c>
      <c r="D15361">
        <f>IF(B15361=C15361, "YES", "WRONG")</f>
        <v/>
      </c>
    </row>
    <row r="15362">
      <c r="A15362" t="n">
        <v>15361</v>
      </c>
      <c r="B15362" t="inlineStr">
        <is>
          <t>x̄V̅CCCLXI</t>
        </is>
      </c>
      <c r="C15362">
        <f>ROMAN(15361)</f>
        <v/>
      </c>
      <c r="D15362">
        <f>IF(B15362=C15362, "YES", "WRONG")</f>
        <v/>
      </c>
    </row>
    <row r="15363">
      <c r="A15363" t="n">
        <v>15362</v>
      </c>
      <c r="B15363" t="inlineStr">
        <is>
          <t>x̄V̅CCCLXII</t>
        </is>
      </c>
      <c r="C15363">
        <f>ROMAN(15362)</f>
        <v/>
      </c>
      <c r="D15363">
        <f>IF(B15363=C15363, "YES", "WRONG")</f>
        <v/>
      </c>
    </row>
    <row r="15364">
      <c r="A15364" t="n">
        <v>15363</v>
      </c>
      <c r="B15364" t="inlineStr">
        <is>
          <t>x̄V̅CCCLXIII</t>
        </is>
      </c>
      <c r="C15364">
        <f>ROMAN(15363)</f>
        <v/>
      </c>
      <c r="D15364">
        <f>IF(B15364=C15364, "YES", "WRONG")</f>
        <v/>
      </c>
    </row>
    <row r="15365">
      <c r="A15365" t="n">
        <v>15364</v>
      </c>
      <c r="B15365" t="inlineStr">
        <is>
          <t>x̄V̅CCCLXIV</t>
        </is>
      </c>
      <c r="C15365">
        <f>ROMAN(15364)</f>
        <v/>
      </c>
      <c r="D15365">
        <f>IF(B15365=C15365, "YES", "WRONG")</f>
        <v/>
      </c>
    </row>
    <row r="15366">
      <c r="A15366" t="n">
        <v>15365</v>
      </c>
      <c r="B15366" t="inlineStr">
        <is>
          <t>x̄V̅CCCLXV</t>
        </is>
      </c>
      <c r="C15366">
        <f>ROMAN(15365)</f>
        <v/>
      </c>
      <c r="D15366">
        <f>IF(B15366=C15366, "YES", "WRONG")</f>
        <v/>
      </c>
    </row>
    <row r="15367">
      <c r="A15367" t="n">
        <v>15366</v>
      </c>
      <c r="B15367" t="inlineStr">
        <is>
          <t>x̄V̅CCCLXVI</t>
        </is>
      </c>
      <c r="C15367">
        <f>ROMAN(15366)</f>
        <v/>
      </c>
      <c r="D15367">
        <f>IF(B15367=C15367, "YES", "WRONG")</f>
        <v/>
      </c>
    </row>
    <row r="15368">
      <c r="A15368" t="n">
        <v>15367</v>
      </c>
      <c r="B15368" t="inlineStr">
        <is>
          <t>x̄V̅CCCLXVII</t>
        </is>
      </c>
      <c r="C15368">
        <f>ROMAN(15367)</f>
        <v/>
      </c>
      <c r="D15368">
        <f>IF(B15368=C15368, "YES", "WRONG")</f>
        <v/>
      </c>
    </row>
    <row r="15369">
      <c r="A15369" t="n">
        <v>15368</v>
      </c>
      <c r="B15369" t="inlineStr">
        <is>
          <t>x̄V̅CCCLXVIII</t>
        </is>
      </c>
      <c r="C15369">
        <f>ROMAN(15368)</f>
        <v/>
      </c>
      <c r="D15369">
        <f>IF(B15369=C15369, "YES", "WRONG")</f>
        <v/>
      </c>
    </row>
    <row r="15370">
      <c r="A15370" t="n">
        <v>15369</v>
      </c>
      <c r="B15370" t="inlineStr">
        <is>
          <t>x̄V̅CCCLXIX</t>
        </is>
      </c>
      <c r="C15370">
        <f>ROMAN(15369)</f>
        <v/>
      </c>
      <c r="D15370">
        <f>IF(B15370=C15370, "YES", "WRONG")</f>
        <v/>
      </c>
    </row>
    <row r="15371">
      <c r="A15371" t="n">
        <v>15370</v>
      </c>
      <c r="B15371" t="inlineStr">
        <is>
          <t>x̄V̅CCCLXX</t>
        </is>
      </c>
      <c r="C15371">
        <f>ROMAN(15370)</f>
        <v/>
      </c>
      <c r="D15371">
        <f>IF(B15371=C15371, "YES", "WRONG")</f>
        <v/>
      </c>
    </row>
    <row r="15372">
      <c r="A15372" t="n">
        <v>15371</v>
      </c>
      <c r="B15372" t="inlineStr">
        <is>
          <t>x̄V̅CCCLXXI</t>
        </is>
      </c>
      <c r="C15372">
        <f>ROMAN(15371)</f>
        <v/>
      </c>
      <c r="D15372">
        <f>IF(B15372=C15372, "YES", "WRONG")</f>
        <v/>
      </c>
    </row>
    <row r="15373">
      <c r="A15373" t="n">
        <v>15372</v>
      </c>
      <c r="B15373" t="inlineStr">
        <is>
          <t>x̄V̅CCCLXXII</t>
        </is>
      </c>
      <c r="C15373">
        <f>ROMAN(15372)</f>
        <v/>
      </c>
      <c r="D15373">
        <f>IF(B15373=C15373, "YES", "WRONG")</f>
        <v/>
      </c>
    </row>
    <row r="15374">
      <c r="A15374" t="n">
        <v>15373</v>
      </c>
      <c r="B15374" t="inlineStr">
        <is>
          <t>x̄V̅CCCLXXIII</t>
        </is>
      </c>
      <c r="C15374">
        <f>ROMAN(15373)</f>
        <v/>
      </c>
      <c r="D15374">
        <f>IF(B15374=C15374, "YES", "WRONG")</f>
        <v/>
      </c>
    </row>
    <row r="15375">
      <c r="A15375" t="n">
        <v>15374</v>
      </c>
      <c r="B15375" t="inlineStr">
        <is>
          <t>x̄V̅CCCLXXIV</t>
        </is>
      </c>
      <c r="C15375">
        <f>ROMAN(15374)</f>
        <v/>
      </c>
      <c r="D15375">
        <f>IF(B15375=C15375, "YES", "WRONG")</f>
        <v/>
      </c>
    </row>
    <row r="15376">
      <c r="A15376" t="n">
        <v>15375</v>
      </c>
      <c r="B15376" t="inlineStr">
        <is>
          <t>x̄V̅CCCLXXV</t>
        </is>
      </c>
      <c r="C15376">
        <f>ROMAN(15375)</f>
        <v/>
      </c>
      <c r="D15376">
        <f>IF(B15376=C15376, "YES", "WRONG")</f>
        <v/>
      </c>
    </row>
    <row r="15377">
      <c r="A15377" t="n">
        <v>15376</v>
      </c>
      <c r="B15377" t="inlineStr">
        <is>
          <t>x̄V̅CCCLXXVI</t>
        </is>
      </c>
      <c r="C15377">
        <f>ROMAN(15376)</f>
        <v/>
      </c>
      <c r="D15377">
        <f>IF(B15377=C15377, "YES", "WRONG")</f>
        <v/>
      </c>
    </row>
    <row r="15378">
      <c r="A15378" t="n">
        <v>15377</v>
      </c>
      <c r="B15378" t="inlineStr">
        <is>
          <t>x̄V̅CCCLXXVII</t>
        </is>
      </c>
      <c r="C15378">
        <f>ROMAN(15377)</f>
        <v/>
      </c>
      <c r="D15378">
        <f>IF(B15378=C15378, "YES", "WRONG")</f>
        <v/>
      </c>
    </row>
    <row r="15379">
      <c r="A15379" t="n">
        <v>15378</v>
      </c>
      <c r="B15379" t="inlineStr">
        <is>
          <t>x̄V̅CCCLXXVIII</t>
        </is>
      </c>
      <c r="C15379">
        <f>ROMAN(15378)</f>
        <v/>
      </c>
      <c r="D15379">
        <f>IF(B15379=C15379, "YES", "WRONG")</f>
        <v/>
      </c>
    </row>
    <row r="15380">
      <c r="A15380" t="n">
        <v>15379</v>
      </c>
      <c r="B15380" t="inlineStr">
        <is>
          <t>x̄V̅CCCLXXIX</t>
        </is>
      </c>
      <c r="C15380">
        <f>ROMAN(15379)</f>
        <v/>
      </c>
      <c r="D15380">
        <f>IF(B15380=C15380, "YES", "WRONG")</f>
        <v/>
      </c>
    </row>
    <row r="15381">
      <c r="A15381" t="n">
        <v>15380</v>
      </c>
      <c r="B15381" t="inlineStr">
        <is>
          <t>x̄V̅CCCLXXX</t>
        </is>
      </c>
      <c r="C15381">
        <f>ROMAN(15380)</f>
        <v/>
      </c>
      <c r="D15381">
        <f>IF(B15381=C15381, "YES", "WRONG")</f>
        <v/>
      </c>
    </row>
    <row r="15382">
      <c r="A15382" t="n">
        <v>15381</v>
      </c>
      <c r="B15382" t="inlineStr">
        <is>
          <t>x̄V̅CCCLXXXI</t>
        </is>
      </c>
      <c r="C15382">
        <f>ROMAN(15381)</f>
        <v/>
      </c>
      <c r="D15382">
        <f>IF(B15382=C15382, "YES", "WRONG")</f>
        <v/>
      </c>
    </row>
    <row r="15383">
      <c r="A15383" t="n">
        <v>15382</v>
      </c>
      <c r="B15383" t="inlineStr">
        <is>
          <t>x̄V̅CCCLXXXII</t>
        </is>
      </c>
      <c r="C15383">
        <f>ROMAN(15382)</f>
        <v/>
      </c>
      <c r="D15383">
        <f>IF(B15383=C15383, "YES", "WRONG")</f>
        <v/>
      </c>
    </row>
    <row r="15384">
      <c r="A15384" t="n">
        <v>15383</v>
      </c>
      <c r="B15384" t="inlineStr">
        <is>
          <t>x̄V̅CCCLXXXIII</t>
        </is>
      </c>
      <c r="C15384">
        <f>ROMAN(15383)</f>
        <v/>
      </c>
      <c r="D15384">
        <f>IF(B15384=C15384, "YES", "WRONG")</f>
        <v/>
      </c>
    </row>
    <row r="15385">
      <c r="A15385" t="n">
        <v>15384</v>
      </c>
      <c r="B15385" t="inlineStr">
        <is>
          <t>x̄V̅CCCLXXXIV</t>
        </is>
      </c>
      <c r="C15385">
        <f>ROMAN(15384)</f>
        <v/>
      </c>
      <c r="D15385">
        <f>IF(B15385=C15385, "YES", "WRONG")</f>
        <v/>
      </c>
    </row>
    <row r="15386">
      <c r="A15386" t="n">
        <v>15385</v>
      </c>
      <c r="B15386" t="inlineStr">
        <is>
          <t>x̄V̅CCCLXXXV</t>
        </is>
      </c>
      <c r="C15386">
        <f>ROMAN(15385)</f>
        <v/>
      </c>
      <c r="D15386">
        <f>IF(B15386=C15386, "YES", "WRONG")</f>
        <v/>
      </c>
    </row>
    <row r="15387">
      <c r="A15387" t="n">
        <v>15386</v>
      </c>
      <c r="B15387" t="inlineStr">
        <is>
          <t>x̄V̅CCCLXXXVI</t>
        </is>
      </c>
      <c r="C15387">
        <f>ROMAN(15386)</f>
        <v/>
      </c>
      <c r="D15387">
        <f>IF(B15387=C15387, "YES", "WRONG")</f>
        <v/>
      </c>
    </row>
    <row r="15388">
      <c r="A15388" t="n">
        <v>15387</v>
      </c>
      <c r="B15388" t="inlineStr">
        <is>
          <t>x̄V̅CCCLXXXVII</t>
        </is>
      </c>
      <c r="C15388">
        <f>ROMAN(15387)</f>
        <v/>
      </c>
      <c r="D15388">
        <f>IF(B15388=C15388, "YES", "WRONG")</f>
        <v/>
      </c>
    </row>
    <row r="15389">
      <c r="A15389" t="n">
        <v>15388</v>
      </c>
      <c r="B15389" t="inlineStr">
        <is>
          <t>x̄V̅CCCLXXXVIII</t>
        </is>
      </c>
      <c r="C15389">
        <f>ROMAN(15388)</f>
        <v/>
      </c>
      <c r="D15389">
        <f>IF(B15389=C15389, "YES", "WRONG")</f>
        <v/>
      </c>
    </row>
    <row r="15390">
      <c r="A15390" t="n">
        <v>15389</v>
      </c>
      <c r="B15390" t="inlineStr">
        <is>
          <t>x̄V̅CCCLXXXIX</t>
        </is>
      </c>
      <c r="C15390">
        <f>ROMAN(15389)</f>
        <v/>
      </c>
      <c r="D15390">
        <f>IF(B15390=C15390, "YES", "WRONG")</f>
        <v/>
      </c>
    </row>
    <row r="15391">
      <c r="A15391" t="n">
        <v>15390</v>
      </c>
      <c r="B15391" t="inlineStr">
        <is>
          <t>x̄V̅CCCXC</t>
        </is>
      </c>
      <c r="C15391">
        <f>ROMAN(15390)</f>
        <v/>
      </c>
      <c r="D15391">
        <f>IF(B15391=C15391, "YES", "WRONG")</f>
        <v/>
      </c>
    </row>
    <row r="15392">
      <c r="A15392" t="n">
        <v>15391</v>
      </c>
      <c r="B15392" t="inlineStr">
        <is>
          <t>x̄V̅CCCXCI</t>
        </is>
      </c>
      <c r="C15392">
        <f>ROMAN(15391)</f>
        <v/>
      </c>
      <c r="D15392">
        <f>IF(B15392=C15392, "YES", "WRONG")</f>
        <v/>
      </c>
    </row>
    <row r="15393">
      <c r="A15393" t="n">
        <v>15392</v>
      </c>
      <c r="B15393" t="inlineStr">
        <is>
          <t>x̄V̅CCCXCII</t>
        </is>
      </c>
      <c r="C15393">
        <f>ROMAN(15392)</f>
        <v/>
      </c>
      <c r="D15393">
        <f>IF(B15393=C15393, "YES", "WRONG")</f>
        <v/>
      </c>
    </row>
    <row r="15394">
      <c r="A15394" t="n">
        <v>15393</v>
      </c>
      <c r="B15394" t="inlineStr">
        <is>
          <t>x̄V̅CCCXCIII</t>
        </is>
      </c>
      <c r="C15394">
        <f>ROMAN(15393)</f>
        <v/>
      </c>
      <c r="D15394">
        <f>IF(B15394=C15394, "YES", "WRONG")</f>
        <v/>
      </c>
    </row>
    <row r="15395">
      <c r="A15395" t="n">
        <v>15394</v>
      </c>
      <c r="B15395" t="inlineStr">
        <is>
          <t>x̄V̅CCCXCIV</t>
        </is>
      </c>
      <c r="C15395">
        <f>ROMAN(15394)</f>
        <v/>
      </c>
      <c r="D15395">
        <f>IF(B15395=C15395, "YES", "WRONG")</f>
        <v/>
      </c>
    </row>
    <row r="15396">
      <c r="A15396" t="n">
        <v>15395</v>
      </c>
      <c r="B15396" t="inlineStr">
        <is>
          <t>x̄V̅CCCXCV</t>
        </is>
      </c>
      <c r="C15396">
        <f>ROMAN(15395)</f>
        <v/>
      </c>
      <c r="D15396">
        <f>IF(B15396=C15396, "YES", "WRONG")</f>
        <v/>
      </c>
    </row>
    <row r="15397">
      <c r="A15397" t="n">
        <v>15396</v>
      </c>
      <c r="B15397" t="inlineStr">
        <is>
          <t>x̄V̅CCCXCVI</t>
        </is>
      </c>
      <c r="C15397">
        <f>ROMAN(15396)</f>
        <v/>
      </c>
      <c r="D15397">
        <f>IF(B15397=C15397, "YES", "WRONG")</f>
        <v/>
      </c>
    </row>
    <row r="15398">
      <c r="A15398" t="n">
        <v>15397</v>
      </c>
      <c r="B15398" t="inlineStr">
        <is>
          <t>x̄V̅CCCXCVII</t>
        </is>
      </c>
      <c r="C15398">
        <f>ROMAN(15397)</f>
        <v/>
      </c>
      <c r="D15398">
        <f>IF(B15398=C15398, "YES", "WRONG")</f>
        <v/>
      </c>
    </row>
    <row r="15399">
      <c r="A15399" t="n">
        <v>15398</v>
      </c>
      <c r="B15399" t="inlineStr">
        <is>
          <t>x̄V̅CCCXCVIII</t>
        </is>
      </c>
      <c r="C15399">
        <f>ROMAN(15398)</f>
        <v/>
      </c>
      <c r="D15399">
        <f>IF(B15399=C15399, "YES", "WRONG")</f>
        <v/>
      </c>
    </row>
    <row r="15400">
      <c r="A15400" t="n">
        <v>15399</v>
      </c>
      <c r="B15400" t="inlineStr">
        <is>
          <t>x̄V̅CCCXCIX</t>
        </is>
      </c>
      <c r="C15400">
        <f>ROMAN(15399)</f>
        <v/>
      </c>
      <c r="D15400">
        <f>IF(B15400=C15400, "YES", "WRONG")</f>
        <v/>
      </c>
    </row>
    <row r="15401">
      <c r="A15401" t="n">
        <v>15400</v>
      </c>
      <c r="B15401" t="inlineStr">
        <is>
          <t>x̄V̅CD</t>
        </is>
      </c>
      <c r="C15401">
        <f>ROMAN(15400)</f>
        <v/>
      </c>
      <c r="D15401">
        <f>IF(B15401=C15401, "YES", "WRONG")</f>
        <v/>
      </c>
    </row>
    <row r="15402">
      <c r="A15402" t="n">
        <v>15401</v>
      </c>
      <c r="B15402" t="inlineStr">
        <is>
          <t>x̄V̅CDI</t>
        </is>
      </c>
      <c r="C15402">
        <f>ROMAN(15401)</f>
        <v/>
      </c>
      <c r="D15402">
        <f>IF(B15402=C15402, "YES", "WRONG")</f>
        <v/>
      </c>
    </row>
    <row r="15403">
      <c r="A15403" t="n">
        <v>15402</v>
      </c>
      <c r="B15403" t="inlineStr">
        <is>
          <t>x̄V̅CDII</t>
        </is>
      </c>
      <c r="C15403">
        <f>ROMAN(15402)</f>
        <v/>
      </c>
      <c r="D15403">
        <f>IF(B15403=C15403, "YES", "WRONG")</f>
        <v/>
      </c>
    </row>
    <row r="15404">
      <c r="A15404" t="n">
        <v>15403</v>
      </c>
      <c r="B15404" t="inlineStr">
        <is>
          <t>x̄V̅CDIII</t>
        </is>
      </c>
      <c r="C15404">
        <f>ROMAN(15403)</f>
        <v/>
      </c>
      <c r="D15404">
        <f>IF(B15404=C15404, "YES", "WRONG")</f>
        <v/>
      </c>
    </row>
    <row r="15405">
      <c r="A15405" t="n">
        <v>15404</v>
      </c>
      <c r="B15405" t="inlineStr">
        <is>
          <t>x̄V̅CDIV</t>
        </is>
      </c>
      <c r="C15405">
        <f>ROMAN(15404)</f>
        <v/>
      </c>
      <c r="D15405">
        <f>IF(B15405=C15405, "YES", "WRONG")</f>
        <v/>
      </c>
    </row>
    <row r="15406">
      <c r="A15406" t="n">
        <v>15405</v>
      </c>
      <c r="B15406" t="inlineStr">
        <is>
          <t>x̄V̅CDV</t>
        </is>
      </c>
      <c r="C15406">
        <f>ROMAN(15405)</f>
        <v/>
      </c>
      <c r="D15406">
        <f>IF(B15406=C15406, "YES", "WRONG")</f>
        <v/>
      </c>
    </row>
    <row r="15407">
      <c r="A15407" t="n">
        <v>15406</v>
      </c>
      <c r="B15407" t="inlineStr">
        <is>
          <t>x̄V̅CDVI</t>
        </is>
      </c>
      <c r="C15407">
        <f>ROMAN(15406)</f>
        <v/>
      </c>
      <c r="D15407">
        <f>IF(B15407=C15407, "YES", "WRONG")</f>
        <v/>
      </c>
    </row>
    <row r="15408">
      <c r="A15408" t="n">
        <v>15407</v>
      </c>
      <c r="B15408" t="inlineStr">
        <is>
          <t>x̄V̅CDVII</t>
        </is>
      </c>
      <c r="C15408">
        <f>ROMAN(15407)</f>
        <v/>
      </c>
      <c r="D15408">
        <f>IF(B15408=C15408, "YES", "WRONG")</f>
        <v/>
      </c>
    </row>
    <row r="15409">
      <c r="A15409" t="n">
        <v>15408</v>
      </c>
      <c r="B15409" t="inlineStr">
        <is>
          <t>x̄V̅CDVIII</t>
        </is>
      </c>
      <c r="C15409">
        <f>ROMAN(15408)</f>
        <v/>
      </c>
      <c r="D15409">
        <f>IF(B15409=C15409, "YES", "WRONG")</f>
        <v/>
      </c>
    </row>
    <row r="15410">
      <c r="A15410" t="n">
        <v>15409</v>
      </c>
      <c r="B15410" t="inlineStr">
        <is>
          <t>x̄V̅CDIX</t>
        </is>
      </c>
      <c r="C15410">
        <f>ROMAN(15409)</f>
        <v/>
      </c>
      <c r="D15410">
        <f>IF(B15410=C15410, "YES", "WRONG")</f>
        <v/>
      </c>
    </row>
    <row r="15411">
      <c r="A15411" t="n">
        <v>15410</v>
      </c>
      <c r="B15411" t="inlineStr">
        <is>
          <t>x̄V̅CDX</t>
        </is>
      </c>
      <c r="C15411">
        <f>ROMAN(15410)</f>
        <v/>
      </c>
      <c r="D15411">
        <f>IF(B15411=C15411, "YES", "WRONG")</f>
        <v/>
      </c>
    </row>
    <row r="15412">
      <c r="A15412" t="n">
        <v>15411</v>
      </c>
      <c r="B15412" t="inlineStr">
        <is>
          <t>x̄V̅CDXI</t>
        </is>
      </c>
      <c r="C15412">
        <f>ROMAN(15411)</f>
        <v/>
      </c>
      <c r="D15412">
        <f>IF(B15412=C15412, "YES", "WRONG")</f>
        <v/>
      </c>
    </row>
    <row r="15413">
      <c r="A15413" t="n">
        <v>15412</v>
      </c>
      <c r="B15413" t="inlineStr">
        <is>
          <t>x̄V̅CDXII</t>
        </is>
      </c>
      <c r="C15413">
        <f>ROMAN(15412)</f>
        <v/>
      </c>
      <c r="D15413">
        <f>IF(B15413=C15413, "YES", "WRONG")</f>
        <v/>
      </c>
    </row>
    <row r="15414">
      <c r="A15414" t="n">
        <v>15413</v>
      </c>
      <c r="B15414" t="inlineStr">
        <is>
          <t>x̄V̅CDXIII</t>
        </is>
      </c>
      <c r="C15414">
        <f>ROMAN(15413)</f>
        <v/>
      </c>
      <c r="D15414">
        <f>IF(B15414=C15414, "YES", "WRONG")</f>
        <v/>
      </c>
    </row>
    <row r="15415">
      <c r="A15415" t="n">
        <v>15414</v>
      </c>
      <c r="B15415" t="inlineStr">
        <is>
          <t>x̄V̅CDXIV</t>
        </is>
      </c>
      <c r="C15415">
        <f>ROMAN(15414)</f>
        <v/>
      </c>
      <c r="D15415">
        <f>IF(B15415=C15415, "YES", "WRONG")</f>
        <v/>
      </c>
    </row>
    <row r="15416">
      <c r="A15416" t="n">
        <v>15415</v>
      </c>
      <c r="B15416" t="inlineStr">
        <is>
          <t>x̄V̅CDXV</t>
        </is>
      </c>
      <c r="C15416">
        <f>ROMAN(15415)</f>
        <v/>
      </c>
      <c r="D15416">
        <f>IF(B15416=C15416, "YES", "WRONG")</f>
        <v/>
      </c>
    </row>
    <row r="15417">
      <c r="A15417" t="n">
        <v>15416</v>
      </c>
      <c r="B15417" t="inlineStr">
        <is>
          <t>x̄V̅CDXVI</t>
        </is>
      </c>
      <c r="C15417">
        <f>ROMAN(15416)</f>
        <v/>
      </c>
      <c r="D15417">
        <f>IF(B15417=C15417, "YES", "WRONG")</f>
        <v/>
      </c>
    </row>
    <row r="15418">
      <c r="A15418" t="n">
        <v>15417</v>
      </c>
      <c r="B15418" t="inlineStr">
        <is>
          <t>x̄V̅CDXVII</t>
        </is>
      </c>
      <c r="C15418">
        <f>ROMAN(15417)</f>
        <v/>
      </c>
      <c r="D15418">
        <f>IF(B15418=C15418, "YES", "WRONG")</f>
        <v/>
      </c>
    </row>
    <row r="15419">
      <c r="A15419" t="n">
        <v>15418</v>
      </c>
      <c r="B15419" t="inlineStr">
        <is>
          <t>x̄V̅CDXVIII</t>
        </is>
      </c>
      <c r="C15419">
        <f>ROMAN(15418)</f>
        <v/>
      </c>
      <c r="D15419">
        <f>IF(B15419=C15419, "YES", "WRONG")</f>
        <v/>
      </c>
    </row>
    <row r="15420">
      <c r="A15420" t="n">
        <v>15419</v>
      </c>
      <c r="B15420" t="inlineStr">
        <is>
          <t>x̄V̅CDXIX</t>
        </is>
      </c>
      <c r="C15420">
        <f>ROMAN(15419)</f>
        <v/>
      </c>
      <c r="D15420">
        <f>IF(B15420=C15420, "YES", "WRONG")</f>
        <v/>
      </c>
    </row>
    <row r="15421">
      <c r="A15421" t="n">
        <v>15420</v>
      </c>
      <c r="B15421" t="inlineStr">
        <is>
          <t>x̄V̅CDXX</t>
        </is>
      </c>
      <c r="C15421">
        <f>ROMAN(15420)</f>
        <v/>
      </c>
      <c r="D15421">
        <f>IF(B15421=C15421, "YES", "WRONG")</f>
        <v/>
      </c>
    </row>
    <row r="15422">
      <c r="A15422" t="n">
        <v>15421</v>
      </c>
      <c r="B15422" t="inlineStr">
        <is>
          <t>x̄V̅CDXXI</t>
        </is>
      </c>
      <c r="C15422">
        <f>ROMAN(15421)</f>
        <v/>
      </c>
      <c r="D15422">
        <f>IF(B15422=C15422, "YES", "WRONG")</f>
        <v/>
      </c>
    </row>
    <row r="15423">
      <c r="A15423" t="n">
        <v>15422</v>
      </c>
      <c r="B15423" t="inlineStr">
        <is>
          <t>x̄V̅CDXXII</t>
        </is>
      </c>
      <c r="C15423">
        <f>ROMAN(15422)</f>
        <v/>
      </c>
      <c r="D15423">
        <f>IF(B15423=C15423, "YES", "WRONG")</f>
        <v/>
      </c>
    </row>
    <row r="15424">
      <c r="A15424" t="n">
        <v>15423</v>
      </c>
      <c r="B15424" t="inlineStr">
        <is>
          <t>x̄V̅CDXXIII</t>
        </is>
      </c>
      <c r="C15424">
        <f>ROMAN(15423)</f>
        <v/>
      </c>
      <c r="D15424">
        <f>IF(B15424=C15424, "YES", "WRONG")</f>
        <v/>
      </c>
    </row>
    <row r="15425">
      <c r="A15425" t="n">
        <v>15424</v>
      </c>
      <c r="B15425" t="inlineStr">
        <is>
          <t>x̄V̅CDXXIV</t>
        </is>
      </c>
      <c r="C15425">
        <f>ROMAN(15424)</f>
        <v/>
      </c>
      <c r="D15425">
        <f>IF(B15425=C15425, "YES", "WRONG")</f>
        <v/>
      </c>
    </row>
    <row r="15426">
      <c r="A15426" t="n">
        <v>15425</v>
      </c>
      <c r="B15426" t="inlineStr">
        <is>
          <t>x̄V̅CDXXV</t>
        </is>
      </c>
      <c r="C15426">
        <f>ROMAN(15425)</f>
        <v/>
      </c>
      <c r="D15426">
        <f>IF(B15426=C15426, "YES", "WRONG")</f>
        <v/>
      </c>
    </row>
    <row r="15427">
      <c r="A15427" t="n">
        <v>15426</v>
      </c>
      <c r="B15427" t="inlineStr">
        <is>
          <t>x̄V̅CDXXVI</t>
        </is>
      </c>
      <c r="C15427">
        <f>ROMAN(15426)</f>
        <v/>
      </c>
      <c r="D15427">
        <f>IF(B15427=C15427, "YES", "WRONG")</f>
        <v/>
      </c>
    </row>
    <row r="15428">
      <c r="A15428" t="n">
        <v>15427</v>
      </c>
      <c r="B15428" t="inlineStr">
        <is>
          <t>x̄V̅CDXXVII</t>
        </is>
      </c>
      <c r="C15428">
        <f>ROMAN(15427)</f>
        <v/>
      </c>
      <c r="D15428">
        <f>IF(B15428=C15428, "YES", "WRONG")</f>
        <v/>
      </c>
    </row>
    <row r="15429">
      <c r="A15429" t="n">
        <v>15428</v>
      </c>
      <c r="B15429" t="inlineStr">
        <is>
          <t>x̄V̅CDXXVIII</t>
        </is>
      </c>
      <c r="C15429">
        <f>ROMAN(15428)</f>
        <v/>
      </c>
      <c r="D15429">
        <f>IF(B15429=C15429, "YES", "WRONG")</f>
        <v/>
      </c>
    </row>
    <row r="15430">
      <c r="A15430" t="n">
        <v>15429</v>
      </c>
      <c r="B15430" t="inlineStr">
        <is>
          <t>x̄V̅CDXXIX</t>
        </is>
      </c>
      <c r="C15430">
        <f>ROMAN(15429)</f>
        <v/>
      </c>
      <c r="D15430">
        <f>IF(B15430=C15430, "YES", "WRONG")</f>
        <v/>
      </c>
    </row>
    <row r="15431">
      <c r="A15431" t="n">
        <v>15430</v>
      </c>
      <c r="B15431" t="inlineStr">
        <is>
          <t>x̄V̅CDXXX</t>
        </is>
      </c>
      <c r="C15431">
        <f>ROMAN(15430)</f>
        <v/>
      </c>
      <c r="D15431">
        <f>IF(B15431=C15431, "YES", "WRONG")</f>
        <v/>
      </c>
    </row>
    <row r="15432">
      <c r="A15432" t="n">
        <v>15431</v>
      </c>
      <c r="B15432" t="inlineStr">
        <is>
          <t>x̄V̅CDXXXI</t>
        </is>
      </c>
      <c r="C15432">
        <f>ROMAN(15431)</f>
        <v/>
      </c>
      <c r="D15432">
        <f>IF(B15432=C15432, "YES", "WRONG")</f>
        <v/>
      </c>
    </row>
    <row r="15433">
      <c r="A15433" t="n">
        <v>15432</v>
      </c>
      <c r="B15433" t="inlineStr">
        <is>
          <t>x̄V̅CDXXXII</t>
        </is>
      </c>
      <c r="C15433">
        <f>ROMAN(15432)</f>
        <v/>
      </c>
      <c r="D15433">
        <f>IF(B15433=C15433, "YES", "WRONG")</f>
        <v/>
      </c>
    </row>
    <row r="15434">
      <c r="A15434" t="n">
        <v>15433</v>
      </c>
      <c r="B15434" t="inlineStr">
        <is>
          <t>x̄V̅CDXXXIII</t>
        </is>
      </c>
      <c r="C15434">
        <f>ROMAN(15433)</f>
        <v/>
      </c>
      <c r="D15434">
        <f>IF(B15434=C15434, "YES", "WRONG")</f>
        <v/>
      </c>
    </row>
    <row r="15435">
      <c r="A15435" t="n">
        <v>15434</v>
      </c>
      <c r="B15435" t="inlineStr">
        <is>
          <t>x̄V̅CDXXXIV</t>
        </is>
      </c>
      <c r="C15435">
        <f>ROMAN(15434)</f>
        <v/>
      </c>
      <c r="D15435">
        <f>IF(B15435=C15435, "YES", "WRONG")</f>
        <v/>
      </c>
    </row>
    <row r="15436">
      <c r="A15436" t="n">
        <v>15435</v>
      </c>
      <c r="B15436" t="inlineStr">
        <is>
          <t>x̄V̅CDXXXV</t>
        </is>
      </c>
      <c r="C15436">
        <f>ROMAN(15435)</f>
        <v/>
      </c>
      <c r="D15436">
        <f>IF(B15436=C15436, "YES", "WRONG")</f>
        <v/>
      </c>
    </row>
    <row r="15437">
      <c r="A15437" t="n">
        <v>15436</v>
      </c>
      <c r="B15437" t="inlineStr">
        <is>
          <t>x̄V̅CDXXXVI</t>
        </is>
      </c>
      <c r="C15437">
        <f>ROMAN(15436)</f>
        <v/>
      </c>
      <c r="D15437">
        <f>IF(B15437=C15437, "YES", "WRONG")</f>
        <v/>
      </c>
    </row>
    <row r="15438">
      <c r="A15438" t="n">
        <v>15437</v>
      </c>
      <c r="B15438" t="inlineStr">
        <is>
          <t>x̄V̅CDXXXVII</t>
        </is>
      </c>
      <c r="C15438">
        <f>ROMAN(15437)</f>
        <v/>
      </c>
      <c r="D15438">
        <f>IF(B15438=C15438, "YES", "WRONG")</f>
        <v/>
      </c>
    </row>
    <row r="15439">
      <c r="A15439" t="n">
        <v>15438</v>
      </c>
      <c r="B15439" t="inlineStr">
        <is>
          <t>x̄V̅CDXXXVIII</t>
        </is>
      </c>
      <c r="C15439">
        <f>ROMAN(15438)</f>
        <v/>
      </c>
      <c r="D15439">
        <f>IF(B15439=C15439, "YES", "WRONG")</f>
        <v/>
      </c>
    </row>
    <row r="15440">
      <c r="A15440" t="n">
        <v>15439</v>
      </c>
      <c r="B15440" t="inlineStr">
        <is>
          <t>x̄V̅CDXXXIX</t>
        </is>
      </c>
      <c r="C15440">
        <f>ROMAN(15439)</f>
        <v/>
      </c>
      <c r="D15440">
        <f>IF(B15440=C15440, "YES", "WRONG")</f>
        <v/>
      </c>
    </row>
    <row r="15441">
      <c r="A15441" t="n">
        <v>15440</v>
      </c>
      <c r="B15441" t="inlineStr">
        <is>
          <t>x̄V̅CDXL</t>
        </is>
      </c>
      <c r="C15441">
        <f>ROMAN(15440)</f>
        <v/>
      </c>
      <c r="D15441">
        <f>IF(B15441=C15441, "YES", "WRONG")</f>
        <v/>
      </c>
    </row>
    <row r="15442">
      <c r="A15442" t="n">
        <v>15441</v>
      </c>
      <c r="B15442" t="inlineStr">
        <is>
          <t>x̄V̅CDXLI</t>
        </is>
      </c>
      <c r="C15442">
        <f>ROMAN(15441)</f>
        <v/>
      </c>
      <c r="D15442">
        <f>IF(B15442=C15442, "YES", "WRONG")</f>
        <v/>
      </c>
    </row>
    <row r="15443">
      <c r="A15443" t="n">
        <v>15442</v>
      </c>
      <c r="B15443" t="inlineStr">
        <is>
          <t>x̄V̅CDXLII</t>
        </is>
      </c>
      <c r="C15443">
        <f>ROMAN(15442)</f>
        <v/>
      </c>
      <c r="D15443">
        <f>IF(B15443=C15443, "YES", "WRONG")</f>
        <v/>
      </c>
    </row>
    <row r="15444">
      <c r="A15444" t="n">
        <v>15443</v>
      </c>
      <c r="B15444" t="inlineStr">
        <is>
          <t>x̄V̅CDXLIII</t>
        </is>
      </c>
      <c r="C15444">
        <f>ROMAN(15443)</f>
        <v/>
      </c>
      <c r="D15444">
        <f>IF(B15444=C15444, "YES", "WRONG")</f>
        <v/>
      </c>
    </row>
    <row r="15445">
      <c r="A15445" t="n">
        <v>15444</v>
      </c>
      <c r="B15445" t="inlineStr">
        <is>
          <t>x̄V̅CDXLIV</t>
        </is>
      </c>
      <c r="C15445">
        <f>ROMAN(15444)</f>
        <v/>
      </c>
      <c r="D15445">
        <f>IF(B15445=C15445, "YES", "WRONG")</f>
        <v/>
      </c>
    </row>
    <row r="15446">
      <c r="A15446" t="n">
        <v>15445</v>
      </c>
      <c r="B15446" t="inlineStr">
        <is>
          <t>x̄V̅CDXLV</t>
        </is>
      </c>
      <c r="C15446">
        <f>ROMAN(15445)</f>
        <v/>
      </c>
      <c r="D15446">
        <f>IF(B15446=C15446, "YES", "WRONG")</f>
        <v/>
      </c>
    </row>
    <row r="15447">
      <c r="A15447" t="n">
        <v>15446</v>
      </c>
      <c r="B15447" t="inlineStr">
        <is>
          <t>x̄V̅CDXLVI</t>
        </is>
      </c>
      <c r="C15447">
        <f>ROMAN(15446)</f>
        <v/>
      </c>
      <c r="D15447">
        <f>IF(B15447=C15447, "YES", "WRONG")</f>
        <v/>
      </c>
    </row>
    <row r="15448">
      <c r="A15448" t="n">
        <v>15447</v>
      </c>
      <c r="B15448" t="inlineStr">
        <is>
          <t>x̄V̅CDXLVII</t>
        </is>
      </c>
      <c r="C15448">
        <f>ROMAN(15447)</f>
        <v/>
      </c>
      <c r="D15448">
        <f>IF(B15448=C15448, "YES", "WRONG")</f>
        <v/>
      </c>
    </row>
    <row r="15449">
      <c r="A15449" t="n">
        <v>15448</v>
      </c>
      <c r="B15449" t="inlineStr">
        <is>
          <t>x̄V̅CDXLVIII</t>
        </is>
      </c>
      <c r="C15449">
        <f>ROMAN(15448)</f>
        <v/>
      </c>
      <c r="D15449">
        <f>IF(B15449=C15449, "YES", "WRONG")</f>
        <v/>
      </c>
    </row>
    <row r="15450">
      <c r="A15450" t="n">
        <v>15449</v>
      </c>
      <c r="B15450" t="inlineStr">
        <is>
          <t>x̄V̅CDXLIX</t>
        </is>
      </c>
      <c r="C15450">
        <f>ROMAN(15449)</f>
        <v/>
      </c>
      <c r="D15450">
        <f>IF(B15450=C15450, "YES", "WRONG")</f>
        <v/>
      </c>
    </row>
    <row r="15451">
      <c r="A15451" t="n">
        <v>15450</v>
      </c>
      <c r="B15451" t="inlineStr">
        <is>
          <t>x̄V̅CDL</t>
        </is>
      </c>
      <c r="C15451">
        <f>ROMAN(15450)</f>
        <v/>
      </c>
      <c r="D15451">
        <f>IF(B15451=C15451, "YES", "WRONG")</f>
        <v/>
      </c>
    </row>
    <row r="15452">
      <c r="A15452" t="n">
        <v>15451</v>
      </c>
      <c r="B15452" t="inlineStr">
        <is>
          <t>x̄V̅CDLI</t>
        </is>
      </c>
      <c r="C15452">
        <f>ROMAN(15451)</f>
        <v/>
      </c>
      <c r="D15452">
        <f>IF(B15452=C15452, "YES", "WRONG")</f>
        <v/>
      </c>
    </row>
    <row r="15453">
      <c r="A15453" t="n">
        <v>15452</v>
      </c>
      <c r="B15453" t="inlineStr">
        <is>
          <t>x̄V̅CDLII</t>
        </is>
      </c>
      <c r="C15453">
        <f>ROMAN(15452)</f>
        <v/>
      </c>
      <c r="D15453">
        <f>IF(B15453=C15453, "YES", "WRONG")</f>
        <v/>
      </c>
    </row>
    <row r="15454">
      <c r="A15454" t="n">
        <v>15453</v>
      </c>
      <c r="B15454" t="inlineStr">
        <is>
          <t>x̄V̅CDLIII</t>
        </is>
      </c>
      <c r="C15454">
        <f>ROMAN(15453)</f>
        <v/>
      </c>
      <c r="D15454">
        <f>IF(B15454=C15454, "YES", "WRONG")</f>
        <v/>
      </c>
    </row>
    <row r="15455">
      <c r="A15455" t="n">
        <v>15454</v>
      </c>
      <c r="B15455" t="inlineStr">
        <is>
          <t>x̄V̅CDLIV</t>
        </is>
      </c>
      <c r="C15455">
        <f>ROMAN(15454)</f>
        <v/>
      </c>
      <c r="D15455">
        <f>IF(B15455=C15455, "YES", "WRONG")</f>
        <v/>
      </c>
    </row>
    <row r="15456">
      <c r="A15456" t="n">
        <v>15455</v>
      </c>
      <c r="B15456" t="inlineStr">
        <is>
          <t>x̄V̅CDLV</t>
        </is>
      </c>
      <c r="C15456">
        <f>ROMAN(15455)</f>
        <v/>
      </c>
      <c r="D15456">
        <f>IF(B15456=C15456, "YES", "WRONG")</f>
        <v/>
      </c>
    </row>
    <row r="15457">
      <c r="A15457" t="n">
        <v>15456</v>
      </c>
      <c r="B15457" t="inlineStr">
        <is>
          <t>x̄V̅CDLVI</t>
        </is>
      </c>
      <c r="C15457">
        <f>ROMAN(15456)</f>
        <v/>
      </c>
      <c r="D15457">
        <f>IF(B15457=C15457, "YES", "WRONG")</f>
        <v/>
      </c>
    </row>
    <row r="15458">
      <c r="A15458" t="n">
        <v>15457</v>
      </c>
      <c r="B15458" t="inlineStr">
        <is>
          <t>x̄V̅CDLVII</t>
        </is>
      </c>
      <c r="C15458">
        <f>ROMAN(15457)</f>
        <v/>
      </c>
      <c r="D15458">
        <f>IF(B15458=C15458, "YES", "WRONG")</f>
        <v/>
      </c>
    </row>
    <row r="15459">
      <c r="A15459" t="n">
        <v>15458</v>
      </c>
      <c r="B15459" t="inlineStr">
        <is>
          <t>x̄V̅CDLVIII</t>
        </is>
      </c>
      <c r="C15459">
        <f>ROMAN(15458)</f>
        <v/>
      </c>
      <c r="D15459">
        <f>IF(B15459=C15459, "YES", "WRONG")</f>
        <v/>
      </c>
    </row>
    <row r="15460">
      <c r="A15460" t="n">
        <v>15459</v>
      </c>
      <c r="B15460" t="inlineStr">
        <is>
          <t>x̄V̅CDLIX</t>
        </is>
      </c>
      <c r="C15460">
        <f>ROMAN(15459)</f>
        <v/>
      </c>
      <c r="D15460">
        <f>IF(B15460=C15460, "YES", "WRONG")</f>
        <v/>
      </c>
    </row>
    <row r="15461">
      <c r="A15461" t="n">
        <v>15460</v>
      </c>
      <c r="B15461" t="inlineStr">
        <is>
          <t>x̄V̅CDLX</t>
        </is>
      </c>
      <c r="C15461">
        <f>ROMAN(15460)</f>
        <v/>
      </c>
      <c r="D15461">
        <f>IF(B15461=C15461, "YES", "WRONG")</f>
        <v/>
      </c>
    </row>
    <row r="15462">
      <c r="A15462" t="n">
        <v>15461</v>
      </c>
      <c r="B15462" t="inlineStr">
        <is>
          <t>x̄V̅CDLXI</t>
        </is>
      </c>
      <c r="C15462">
        <f>ROMAN(15461)</f>
        <v/>
      </c>
      <c r="D15462">
        <f>IF(B15462=C15462, "YES", "WRONG")</f>
        <v/>
      </c>
    </row>
    <row r="15463">
      <c r="A15463" t="n">
        <v>15462</v>
      </c>
      <c r="B15463" t="inlineStr">
        <is>
          <t>x̄V̅CDLXII</t>
        </is>
      </c>
      <c r="C15463">
        <f>ROMAN(15462)</f>
        <v/>
      </c>
      <c r="D15463">
        <f>IF(B15463=C15463, "YES", "WRONG")</f>
        <v/>
      </c>
    </row>
    <row r="15464">
      <c r="A15464" t="n">
        <v>15463</v>
      </c>
      <c r="B15464" t="inlineStr">
        <is>
          <t>x̄V̅CDLXIII</t>
        </is>
      </c>
      <c r="C15464">
        <f>ROMAN(15463)</f>
        <v/>
      </c>
      <c r="D15464">
        <f>IF(B15464=C15464, "YES", "WRONG")</f>
        <v/>
      </c>
    </row>
    <row r="15465">
      <c r="A15465" t="n">
        <v>15464</v>
      </c>
      <c r="B15465" t="inlineStr">
        <is>
          <t>x̄V̅CDLXIV</t>
        </is>
      </c>
      <c r="C15465">
        <f>ROMAN(15464)</f>
        <v/>
      </c>
      <c r="D15465">
        <f>IF(B15465=C15465, "YES", "WRONG")</f>
        <v/>
      </c>
    </row>
    <row r="15466">
      <c r="A15466" t="n">
        <v>15465</v>
      </c>
      <c r="B15466" t="inlineStr">
        <is>
          <t>x̄V̅CDLXV</t>
        </is>
      </c>
      <c r="C15466">
        <f>ROMAN(15465)</f>
        <v/>
      </c>
      <c r="D15466">
        <f>IF(B15466=C15466, "YES", "WRONG")</f>
        <v/>
      </c>
    </row>
    <row r="15467">
      <c r="A15467" t="n">
        <v>15466</v>
      </c>
      <c r="B15467" t="inlineStr">
        <is>
          <t>x̄V̅CDLXVI</t>
        </is>
      </c>
      <c r="C15467">
        <f>ROMAN(15466)</f>
        <v/>
      </c>
      <c r="D15467">
        <f>IF(B15467=C15467, "YES", "WRONG")</f>
        <v/>
      </c>
    </row>
    <row r="15468">
      <c r="A15468" t="n">
        <v>15467</v>
      </c>
      <c r="B15468" t="inlineStr">
        <is>
          <t>x̄V̅CDLXVII</t>
        </is>
      </c>
      <c r="C15468">
        <f>ROMAN(15467)</f>
        <v/>
      </c>
      <c r="D15468">
        <f>IF(B15468=C15468, "YES", "WRONG")</f>
        <v/>
      </c>
    </row>
    <row r="15469">
      <c r="A15469" t="n">
        <v>15468</v>
      </c>
      <c r="B15469" t="inlineStr">
        <is>
          <t>x̄V̅CDLXVIII</t>
        </is>
      </c>
      <c r="C15469">
        <f>ROMAN(15468)</f>
        <v/>
      </c>
      <c r="D15469">
        <f>IF(B15469=C15469, "YES", "WRONG")</f>
        <v/>
      </c>
    </row>
    <row r="15470">
      <c r="A15470" t="n">
        <v>15469</v>
      </c>
      <c r="B15470" t="inlineStr">
        <is>
          <t>x̄V̅CDLXIX</t>
        </is>
      </c>
      <c r="C15470">
        <f>ROMAN(15469)</f>
        <v/>
      </c>
      <c r="D15470">
        <f>IF(B15470=C15470, "YES", "WRONG")</f>
        <v/>
      </c>
    </row>
    <row r="15471">
      <c r="A15471" t="n">
        <v>15470</v>
      </c>
      <c r="B15471" t="inlineStr">
        <is>
          <t>x̄V̅CDLXX</t>
        </is>
      </c>
      <c r="C15471">
        <f>ROMAN(15470)</f>
        <v/>
      </c>
      <c r="D15471">
        <f>IF(B15471=C15471, "YES", "WRONG")</f>
        <v/>
      </c>
    </row>
    <row r="15472">
      <c r="A15472" t="n">
        <v>15471</v>
      </c>
      <c r="B15472" t="inlineStr">
        <is>
          <t>x̄V̅CDLXXI</t>
        </is>
      </c>
      <c r="C15472">
        <f>ROMAN(15471)</f>
        <v/>
      </c>
      <c r="D15472">
        <f>IF(B15472=C15472, "YES", "WRONG")</f>
        <v/>
      </c>
    </row>
    <row r="15473">
      <c r="A15473" t="n">
        <v>15472</v>
      </c>
      <c r="B15473" t="inlineStr">
        <is>
          <t>x̄V̅CDLXXII</t>
        </is>
      </c>
      <c r="C15473">
        <f>ROMAN(15472)</f>
        <v/>
      </c>
      <c r="D15473">
        <f>IF(B15473=C15473, "YES", "WRONG")</f>
        <v/>
      </c>
    </row>
    <row r="15474">
      <c r="A15474" t="n">
        <v>15473</v>
      </c>
      <c r="B15474" t="inlineStr">
        <is>
          <t>x̄V̅CDLXXIII</t>
        </is>
      </c>
      <c r="C15474">
        <f>ROMAN(15473)</f>
        <v/>
      </c>
      <c r="D15474">
        <f>IF(B15474=C15474, "YES", "WRONG")</f>
        <v/>
      </c>
    </row>
    <row r="15475">
      <c r="A15475" t="n">
        <v>15474</v>
      </c>
      <c r="B15475" t="inlineStr">
        <is>
          <t>x̄V̅CDLXXIV</t>
        </is>
      </c>
      <c r="C15475">
        <f>ROMAN(15474)</f>
        <v/>
      </c>
      <c r="D15475">
        <f>IF(B15475=C15475, "YES", "WRONG")</f>
        <v/>
      </c>
    </row>
    <row r="15476">
      <c r="A15476" t="n">
        <v>15475</v>
      </c>
      <c r="B15476" t="inlineStr">
        <is>
          <t>x̄V̅CDLXXV</t>
        </is>
      </c>
      <c r="C15476">
        <f>ROMAN(15475)</f>
        <v/>
      </c>
      <c r="D15476">
        <f>IF(B15476=C15476, "YES", "WRONG")</f>
        <v/>
      </c>
    </row>
    <row r="15477">
      <c r="A15477" t="n">
        <v>15476</v>
      </c>
      <c r="B15477" t="inlineStr">
        <is>
          <t>x̄V̅CDLXXVI</t>
        </is>
      </c>
      <c r="C15477">
        <f>ROMAN(15476)</f>
        <v/>
      </c>
      <c r="D15477">
        <f>IF(B15477=C15477, "YES", "WRONG")</f>
        <v/>
      </c>
    </row>
    <row r="15478">
      <c r="A15478" t="n">
        <v>15477</v>
      </c>
      <c r="B15478" t="inlineStr">
        <is>
          <t>x̄V̅CDLXXVII</t>
        </is>
      </c>
      <c r="C15478">
        <f>ROMAN(15477)</f>
        <v/>
      </c>
      <c r="D15478">
        <f>IF(B15478=C15478, "YES", "WRONG")</f>
        <v/>
      </c>
    </row>
    <row r="15479">
      <c r="A15479" t="n">
        <v>15478</v>
      </c>
      <c r="B15479" t="inlineStr">
        <is>
          <t>x̄V̅CDLXXVIII</t>
        </is>
      </c>
      <c r="C15479">
        <f>ROMAN(15478)</f>
        <v/>
      </c>
      <c r="D15479">
        <f>IF(B15479=C15479, "YES", "WRONG")</f>
        <v/>
      </c>
    </row>
    <row r="15480">
      <c r="A15480" t="n">
        <v>15479</v>
      </c>
      <c r="B15480" t="inlineStr">
        <is>
          <t>x̄V̅CDLXXIX</t>
        </is>
      </c>
      <c r="C15480">
        <f>ROMAN(15479)</f>
        <v/>
      </c>
      <c r="D15480">
        <f>IF(B15480=C15480, "YES", "WRONG")</f>
        <v/>
      </c>
    </row>
    <row r="15481">
      <c r="A15481" t="n">
        <v>15480</v>
      </c>
      <c r="B15481" t="inlineStr">
        <is>
          <t>x̄V̅CDLXXX</t>
        </is>
      </c>
      <c r="C15481">
        <f>ROMAN(15480)</f>
        <v/>
      </c>
      <c r="D15481">
        <f>IF(B15481=C15481, "YES", "WRONG")</f>
        <v/>
      </c>
    </row>
    <row r="15482">
      <c r="A15482" t="n">
        <v>15481</v>
      </c>
      <c r="B15482" t="inlineStr">
        <is>
          <t>x̄V̅CDLXXXI</t>
        </is>
      </c>
      <c r="C15482">
        <f>ROMAN(15481)</f>
        <v/>
      </c>
      <c r="D15482">
        <f>IF(B15482=C15482, "YES", "WRONG")</f>
        <v/>
      </c>
    </row>
    <row r="15483">
      <c r="A15483" t="n">
        <v>15482</v>
      </c>
      <c r="B15483" t="inlineStr">
        <is>
          <t>x̄V̅CDLXXXII</t>
        </is>
      </c>
      <c r="C15483">
        <f>ROMAN(15482)</f>
        <v/>
      </c>
      <c r="D15483">
        <f>IF(B15483=C15483, "YES", "WRONG")</f>
        <v/>
      </c>
    </row>
    <row r="15484">
      <c r="A15484" t="n">
        <v>15483</v>
      </c>
      <c r="B15484" t="inlineStr">
        <is>
          <t>x̄V̅CDLXXXIII</t>
        </is>
      </c>
      <c r="C15484">
        <f>ROMAN(15483)</f>
        <v/>
      </c>
      <c r="D15484">
        <f>IF(B15484=C15484, "YES", "WRONG")</f>
        <v/>
      </c>
    </row>
    <row r="15485">
      <c r="A15485" t="n">
        <v>15484</v>
      </c>
      <c r="B15485" t="inlineStr">
        <is>
          <t>x̄V̅CDLXXXIV</t>
        </is>
      </c>
      <c r="C15485">
        <f>ROMAN(15484)</f>
        <v/>
      </c>
      <c r="D15485">
        <f>IF(B15485=C15485, "YES", "WRONG")</f>
        <v/>
      </c>
    </row>
    <row r="15486">
      <c r="A15486" t="n">
        <v>15485</v>
      </c>
      <c r="B15486" t="inlineStr">
        <is>
          <t>x̄V̅CDLXXXV</t>
        </is>
      </c>
      <c r="C15486">
        <f>ROMAN(15485)</f>
        <v/>
      </c>
      <c r="D15486">
        <f>IF(B15486=C15486, "YES", "WRONG")</f>
        <v/>
      </c>
    </row>
    <row r="15487">
      <c r="A15487" t="n">
        <v>15486</v>
      </c>
      <c r="B15487" t="inlineStr">
        <is>
          <t>x̄V̅CDLXXXVI</t>
        </is>
      </c>
      <c r="C15487">
        <f>ROMAN(15486)</f>
        <v/>
      </c>
      <c r="D15487">
        <f>IF(B15487=C15487, "YES", "WRONG")</f>
        <v/>
      </c>
    </row>
    <row r="15488">
      <c r="A15488" t="n">
        <v>15487</v>
      </c>
      <c r="B15488" t="inlineStr">
        <is>
          <t>x̄V̅CDLXXXVII</t>
        </is>
      </c>
      <c r="C15488">
        <f>ROMAN(15487)</f>
        <v/>
      </c>
      <c r="D15488">
        <f>IF(B15488=C15488, "YES", "WRONG")</f>
        <v/>
      </c>
    </row>
    <row r="15489">
      <c r="A15489" t="n">
        <v>15488</v>
      </c>
      <c r="B15489" t="inlineStr">
        <is>
          <t>x̄V̅CDLXXXVIII</t>
        </is>
      </c>
      <c r="C15489">
        <f>ROMAN(15488)</f>
        <v/>
      </c>
      <c r="D15489">
        <f>IF(B15489=C15489, "YES", "WRONG")</f>
        <v/>
      </c>
    </row>
    <row r="15490">
      <c r="A15490" t="n">
        <v>15489</v>
      </c>
      <c r="B15490" t="inlineStr">
        <is>
          <t>x̄V̅CDLXXXIX</t>
        </is>
      </c>
      <c r="C15490">
        <f>ROMAN(15489)</f>
        <v/>
      </c>
      <c r="D15490">
        <f>IF(B15490=C15490, "YES", "WRONG")</f>
        <v/>
      </c>
    </row>
    <row r="15491">
      <c r="A15491" t="n">
        <v>15490</v>
      </c>
      <c r="B15491" t="inlineStr">
        <is>
          <t>x̄V̅CDXC</t>
        </is>
      </c>
      <c r="C15491">
        <f>ROMAN(15490)</f>
        <v/>
      </c>
      <c r="D15491">
        <f>IF(B15491=C15491, "YES", "WRONG")</f>
        <v/>
      </c>
    </row>
    <row r="15492">
      <c r="A15492" t="n">
        <v>15491</v>
      </c>
      <c r="B15492" t="inlineStr">
        <is>
          <t>x̄V̅CDXCI</t>
        </is>
      </c>
      <c r="C15492">
        <f>ROMAN(15491)</f>
        <v/>
      </c>
      <c r="D15492">
        <f>IF(B15492=C15492, "YES", "WRONG")</f>
        <v/>
      </c>
    </row>
    <row r="15493">
      <c r="A15493" t="n">
        <v>15492</v>
      </c>
      <c r="B15493" t="inlineStr">
        <is>
          <t>x̄V̅CDXCII</t>
        </is>
      </c>
      <c r="C15493">
        <f>ROMAN(15492)</f>
        <v/>
      </c>
      <c r="D15493">
        <f>IF(B15493=C15493, "YES", "WRONG")</f>
        <v/>
      </c>
    </row>
    <row r="15494">
      <c r="A15494" t="n">
        <v>15493</v>
      </c>
      <c r="B15494" t="inlineStr">
        <is>
          <t>x̄V̅CDXCIII</t>
        </is>
      </c>
      <c r="C15494">
        <f>ROMAN(15493)</f>
        <v/>
      </c>
      <c r="D15494">
        <f>IF(B15494=C15494, "YES", "WRONG")</f>
        <v/>
      </c>
    </row>
    <row r="15495">
      <c r="A15495" t="n">
        <v>15494</v>
      </c>
      <c r="B15495" t="inlineStr">
        <is>
          <t>x̄V̅CDXCIV</t>
        </is>
      </c>
      <c r="C15495">
        <f>ROMAN(15494)</f>
        <v/>
      </c>
      <c r="D15495">
        <f>IF(B15495=C15495, "YES", "WRONG")</f>
        <v/>
      </c>
    </row>
    <row r="15496">
      <c r="A15496" t="n">
        <v>15495</v>
      </c>
      <c r="B15496" t="inlineStr">
        <is>
          <t>x̄V̅CDXCV</t>
        </is>
      </c>
      <c r="C15496">
        <f>ROMAN(15495)</f>
        <v/>
      </c>
      <c r="D15496">
        <f>IF(B15496=C15496, "YES", "WRONG")</f>
        <v/>
      </c>
    </row>
    <row r="15497">
      <c r="A15497" t="n">
        <v>15496</v>
      </c>
      <c r="B15497" t="inlineStr">
        <is>
          <t>x̄V̅CDXCVI</t>
        </is>
      </c>
      <c r="C15497">
        <f>ROMAN(15496)</f>
        <v/>
      </c>
      <c r="D15497">
        <f>IF(B15497=C15497, "YES", "WRONG")</f>
        <v/>
      </c>
    </row>
    <row r="15498">
      <c r="A15498" t="n">
        <v>15497</v>
      </c>
      <c r="B15498" t="inlineStr">
        <is>
          <t>x̄V̅CDXCVII</t>
        </is>
      </c>
      <c r="C15498">
        <f>ROMAN(15497)</f>
        <v/>
      </c>
      <c r="D15498">
        <f>IF(B15498=C15498, "YES", "WRONG")</f>
        <v/>
      </c>
    </row>
    <row r="15499">
      <c r="A15499" t="n">
        <v>15498</v>
      </c>
      <c r="B15499" t="inlineStr">
        <is>
          <t>x̄V̅CDXCVIII</t>
        </is>
      </c>
      <c r="C15499">
        <f>ROMAN(15498)</f>
        <v/>
      </c>
      <c r="D15499">
        <f>IF(B15499=C15499, "YES", "WRONG")</f>
        <v/>
      </c>
    </row>
    <row r="15500">
      <c r="A15500" t="n">
        <v>15499</v>
      </c>
      <c r="B15500" t="inlineStr">
        <is>
          <t>x̄V̅CDXCIX</t>
        </is>
      </c>
      <c r="C15500">
        <f>ROMAN(15499)</f>
        <v/>
      </c>
      <c r="D15500">
        <f>IF(B15500=C15500, "YES", "WRONG")</f>
        <v/>
      </c>
    </row>
    <row r="15501">
      <c r="A15501" t="n">
        <v>15500</v>
      </c>
      <c r="B15501" t="inlineStr">
        <is>
          <t>x̄V̅D</t>
        </is>
      </c>
      <c r="C15501">
        <f>ROMAN(15500)</f>
        <v/>
      </c>
      <c r="D15501">
        <f>IF(B15501=C15501, "YES", "WRONG")</f>
        <v/>
      </c>
    </row>
    <row r="15502">
      <c r="A15502" t="n">
        <v>15501</v>
      </c>
      <c r="B15502" t="inlineStr">
        <is>
          <t>x̄V̅DI</t>
        </is>
      </c>
      <c r="C15502">
        <f>ROMAN(15501)</f>
        <v/>
      </c>
      <c r="D15502">
        <f>IF(B15502=C15502, "YES", "WRONG")</f>
        <v/>
      </c>
    </row>
    <row r="15503">
      <c r="A15503" t="n">
        <v>15502</v>
      </c>
      <c r="B15503" t="inlineStr">
        <is>
          <t>x̄V̅DII</t>
        </is>
      </c>
      <c r="C15503">
        <f>ROMAN(15502)</f>
        <v/>
      </c>
      <c r="D15503">
        <f>IF(B15503=C15503, "YES", "WRONG")</f>
        <v/>
      </c>
    </row>
    <row r="15504">
      <c r="A15504" t="n">
        <v>15503</v>
      </c>
      <c r="B15504" t="inlineStr">
        <is>
          <t>x̄V̅DIII</t>
        </is>
      </c>
      <c r="C15504">
        <f>ROMAN(15503)</f>
        <v/>
      </c>
      <c r="D15504">
        <f>IF(B15504=C15504, "YES", "WRONG")</f>
        <v/>
      </c>
    </row>
    <row r="15505">
      <c r="A15505" t="n">
        <v>15504</v>
      </c>
      <c r="B15505" t="inlineStr">
        <is>
          <t>x̄V̅DIV</t>
        </is>
      </c>
      <c r="C15505">
        <f>ROMAN(15504)</f>
        <v/>
      </c>
      <c r="D15505">
        <f>IF(B15505=C15505, "YES", "WRONG")</f>
        <v/>
      </c>
    </row>
    <row r="15506">
      <c r="A15506" t="n">
        <v>15505</v>
      </c>
      <c r="B15506" t="inlineStr">
        <is>
          <t>x̄V̅DV</t>
        </is>
      </c>
      <c r="C15506">
        <f>ROMAN(15505)</f>
        <v/>
      </c>
      <c r="D15506">
        <f>IF(B15506=C15506, "YES", "WRONG")</f>
        <v/>
      </c>
    </row>
    <row r="15507">
      <c r="A15507" t="n">
        <v>15506</v>
      </c>
      <c r="B15507" t="inlineStr">
        <is>
          <t>x̄V̅DVI</t>
        </is>
      </c>
      <c r="C15507">
        <f>ROMAN(15506)</f>
        <v/>
      </c>
      <c r="D15507">
        <f>IF(B15507=C15507, "YES", "WRONG")</f>
        <v/>
      </c>
    </row>
    <row r="15508">
      <c r="A15508" t="n">
        <v>15507</v>
      </c>
      <c r="B15508" t="inlineStr">
        <is>
          <t>x̄V̅DVII</t>
        </is>
      </c>
      <c r="C15508">
        <f>ROMAN(15507)</f>
        <v/>
      </c>
      <c r="D15508">
        <f>IF(B15508=C15508, "YES", "WRONG")</f>
        <v/>
      </c>
    </row>
    <row r="15509">
      <c r="A15509" t="n">
        <v>15508</v>
      </c>
      <c r="B15509" t="inlineStr">
        <is>
          <t>x̄V̅DVIII</t>
        </is>
      </c>
      <c r="C15509">
        <f>ROMAN(15508)</f>
        <v/>
      </c>
      <c r="D15509">
        <f>IF(B15509=C15509, "YES", "WRONG")</f>
        <v/>
      </c>
    </row>
    <row r="15510">
      <c r="A15510" t="n">
        <v>15509</v>
      </c>
      <c r="B15510" t="inlineStr">
        <is>
          <t>x̄V̅DIX</t>
        </is>
      </c>
      <c r="C15510">
        <f>ROMAN(15509)</f>
        <v/>
      </c>
      <c r="D15510">
        <f>IF(B15510=C15510, "YES", "WRONG")</f>
        <v/>
      </c>
    </row>
    <row r="15511">
      <c r="A15511" t="n">
        <v>15510</v>
      </c>
      <c r="B15511" t="inlineStr">
        <is>
          <t>x̄V̅DX</t>
        </is>
      </c>
      <c r="C15511">
        <f>ROMAN(15510)</f>
        <v/>
      </c>
      <c r="D15511">
        <f>IF(B15511=C15511, "YES", "WRONG")</f>
        <v/>
      </c>
    </row>
    <row r="15512">
      <c r="A15512" t="n">
        <v>15511</v>
      </c>
      <c r="B15512" t="inlineStr">
        <is>
          <t>x̄V̅DXI</t>
        </is>
      </c>
      <c r="C15512">
        <f>ROMAN(15511)</f>
        <v/>
      </c>
      <c r="D15512">
        <f>IF(B15512=C15512, "YES", "WRONG")</f>
        <v/>
      </c>
    </row>
    <row r="15513">
      <c r="A15513" t="n">
        <v>15512</v>
      </c>
      <c r="B15513" t="inlineStr">
        <is>
          <t>x̄V̅DXII</t>
        </is>
      </c>
      <c r="C15513">
        <f>ROMAN(15512)</f>
        <v/>
      </c>
      <c r="D15513">
        <f>IF(B15513=C15513, "YES", "WRONG")</f>
        <v/>
      </c>
    </row>
    <row r="15514">
      <c r="A15514" t="n">
        <v>15513</v>
      </c>
      <c r="B15514" t="inlineStr">
        <is>
          <t>x̄V̅DXIII</t>
        </is>
      </c>
      <c r="C15514">
        <f>ROMAN(15513)</f>
        <v/>
      </c>
      <c r="D15514">
        <f>IF(B15514=C15514, "YES", "WRONG")</f>
        <v/>
      </c>
    </row>
    <row r="15515">
      <c r="A15515" t="n">
        <v>15514</v>
      </c>
      <c r="B15515" t="inlineStr">
        <is>
          <t>x̄V̅DXIV</t>
        </is>
      </c>
      <c r="C15515">
        <f>ROMAN(15514)</f>
        <v/>
      </c>
      <c r="D15515">
        <f>IF(B15515=C15515, "YES", "WRONG")</f>
        <v/>
      </c>
    </row>
    <row r="15516">
      <c r="A15516" t="n">
        <v>15515</v>
      </c>
      <c r="B15516" t="inlineStr">
        <is>
          <t>x̄V̅DXV</t>
        </is>
      </c>
      <c r="C15516">
        <f>ROMAN(15515)</f>
        <v/>
      </c>
      <c r="D15516">
        <f>IF(B15516=C15516, "YES", "WRONG")</f>
        <v/>
      </c>
    </row>
    <row r="15517">
      <c r="A15517" t="n">
        <v>15516</v>
      </c>
      <c r="B15517" t="inlineStr">
        <is>
          <t>x̄V̅DXVI</t>
        </is>
      </c>
      <c r="C15517">
        <f>ROMAN(15516)</f>
        <v/>
      </c>
      <c r="D15517">
        <f>IF(B15517=C15517, "YES", "WRONG")</f>
        <v/>
      </c>
    </row>
    <row r="15518">
      <c r="A15518" t="n">
        <v>15517</v>
      </c>
      <c r="B15518" t="inlineStr">
        <is>
          <t>x̄V̅DXVII</t>
        </is>
      </c>
      <c r="C15518">
        <f>ROMAN(15517)</f>
        <v/>
      </c>
      <c r="D15518">
        <f>IF(B15518=C15518, "YES", "WRONG")</f>
        <v/>
      </c>
    </row>
    <row r="15519">
      <c r="A15519" t="n">
        <v>15518</v>
      </c>
      <c r="B15519" t="inlineStr">
        <is>
          <t>x̄V̅DXVIII</t>
        </is>
      </c>
      <c r="C15519">
        <f>ROMAN(15518)</f>
        <v/>
      </c>
      <c r="D15519">
        <f>IF(B15519=C15519, "YES", "WRONG")</f>
        <v/>
      </c>
    </row>
    <row r="15520">
      <c r="A15520" t="n">
        <v>15519</v>
      </c>
      <c r="B15520" t="inlineStr">
        <is>
          <t>x̄V̅DXIX</t>
        </is>
      </c>
      <c r="C15520">
        <f>ROMAN(15519)</f>
        <v/>
      </c>
      <c r="D15520">
        <f>IF(B15520=C15520, "YES", "WRONG")</f>
        <v/>
      </c>
    </row>
    <row r="15521">
      <c r="A15521" t="n">
        <v>15520</v>
      </c>
      <c r="B15521" t="inlineStr">
        <is>
          <t>x̄V̅DXX</t>
        </is>
      </c>
      <c r="C15521">
        <f>ROMAN(15520)</f>
        <v/>
      </c>
      <c r="D15521">
        <f>IF(B15521=C15521, "YES", "WRONG")</f>
        <v/>
      </c>
    </row>
    <row r="15522">
      <c r="A15522" t="n">
        <v>15521</v>
      </c>
      <c r="B15522" t="inlineStr">
        <is>
          <t>x̄V̅DXXI</t>
        </is>
      </c>
      <c r="C15522">
        <f>ROMAN(15521)</f>
        <v/>
      </c>
      <c r="D15522">
        <f>IF(B15522=C15522, "YES", "WRONG")</f>
        <v/>
      </c>
    </row>
    <row r="15523">
      <c r="A15523" t="n">
        <v>15522</v>
      </c>
      <c r="B15523" t="inlineStr">
        <is>
          <t>x̄V̅DXXII</t>
        </is>
      </c>
      <c r="C15523">
        <f>ROMAN(15522)</f>
        <v/>
      </c>
      <c r="D15523">
        <f>IF(B15523=C15523, "YES", "WRONG")</f>
        <v/>
      </c>
    </row>
    <row r="15524">
      <c r="A15524" t="n">
        <v>15523</v>
      </c>
      <c r="B15524" t="inlineStr">
        <is>
          <t>x̄V̅DXXIII</t>
        </is>
      </c>
      <c r="C15524">
        <f>ROMAN(15523)</f>
        <v/>
      </c>
      <c r="D15524">
        <f>IF(B15524=C15524, "YES", "WRONG")</f>
        <v/>
      </c>
    </row>
    <row r="15525">
      <c r="A15525" t="n">
        <v>15524</v>
      </c>
      <c r="B15525" t="inlineStr">
        <is>
          <t>x̄V̅DXXIV</t>
        </is>
      </c>
      <c r="C15525">
        <f>ROMAN(15524)</f>
        <v/>
      </c>
      <c r="D15525">
        <f>IF(B15525=C15525, "YES", "WRONG")</f>
        <v/>
      </c>
    </row>
    <row r="15526">
      <c r="A15526" t="n">
        <v>15525</v>
      </c>
      <c r="B15526" t="inlineStr">
        <is>
          <t>x̄V̅DXXV</t>
        </is>
      </c>
      <c r="C15526">
        <f>ROMAN(15525)</f>
        <v/>
      </c>
      <c r="D15526">
        <f>IF(B15526=C15526, "YES", "WRONG")</f>
        <v/>
      </c>
    </row>
    <row r="15527">
      <c r="A15527" t="n">
        <v>15526</v>
      </c>
      <c r="B15527" t="inlineStr">
        <is>
          <t>x̄V̅DXXVI</t>
        </is>
      </c>
      <c r="C15527">
        <f>ROMAN(15526)</f>
        <v/>
      </c>
      <c r="D15527">
        <f>IF(B15527=C15527, "YES", "WRONG")</f>
        <v/>
      </c>
    </row>
    <row r="15528">
      <c r="A15528" t="n">
        <v>15527</v>
      </c>
      <c r="B15528" t="inlineStr">
        <is>
          <t>x̄V̅DXXVII</t>
        </is>
      </c>
      <c r="C15528">
        <f>ROMAN(15527)</f>
        <v/>
      </c>
      <c r="D15528">
        <f>IF(B15528=C15528, "YES", "WRONG")</f>
        <v/>
      </c>
    </row>
    <row r="15529">
      <c r="A15529" t="n">
        <v>15528</v>
      </c>
      <c r="B15529" t="inlineStr">
        <is>
          <t>x̄V̅DXXVIII</t>
        </is>
      </c>
      <c r="C15529">
        <f>ROMAN(15528)</f>
        <v/>
      </c>
      <c r="D15529">
        <f>IF(B15529=C15529, "YES", "WRONG")</f>
        <v/>
      </c>
    </row>
    <row r="15530">
      <c r="A15530" t="n">
        <v>15529</v>
      </c>
      <c r="B15530" t="inlineStr">
        <is>
          <t>x̄V̅DXXIX</t>
        </is>
      </c>
      <c r="C15530">
        <f>ROMAN(15529)</f>
        <v/>
      </c>
      <c r="D15530">
        <f>IF(B15530=C15530, "YES", "WRONG")</f>
        <v/>
      </c>
    </row>
    <row r="15531">
      <c r="A15531" t="n">
        <v>15530</v>
      </c>
      <c r="B15531" t="inlineStr">
        <is>
          <t>x̄V̅DXXX</t>
        </is>
      </c>
      <c r="C15531">
        <f>ROMAN(15530)</f>
        <v/>
      </c>
      <c r="D15531">
        <f>IF(B15531=C15531, "YES", "WRONG")</f>
        <v/>
      </c>
    </row>
    <row r="15532">
      <c r="A15532" t="n">
        <v>15531</v>
      </c>
      <c r="B15532" t="inlineStr">
        <is>
          <t>x̄V̅DXXXI</t>
        </is>
      </c>
      <c r="C15532">
        <f>ROMAN(15531)</f>
        <v/>
      </c>
      <c r="D15532">
        <f>IF(B15532=C15532, "YES", "WRONG")</f>
        <v/>
      </c>
    </row>
    <row r="15533">
      <c r="A15533" t="n">
        <v>15532</v>
      </c>
      <c r="B15533" t="inlineStr">
        <is>
          <t>x̄V̅DXXXII</t>
        </is>
      </c>
      <c r="C15533">
        <f>ROMAN(15532)</f>
        <v/>
      </c>
      <c r="D15533">
        <f>IF(B15533=C15533, "YES", "WRONG")</f>
        <v/>
      </c>
    </row>
    <row r="15534">
      <c r="A15534" t="n">
        <v>15533</v>
      </c>
      <c r="B15534" t="inlineStr">
        <is>
          <t>x̄V̅DXXXIII</t>
        </is>
      </c>
      <c r="C15534">
        <f>ROMAN(15533)</f>
        <v/>
      </c>
      <c r="D15534">
        <f>IF(B15534=C15534, "YES", "WRONG")</f>
        <v/>
      </c>
    </row>
    <row r="15535">
      <c r="A15535" t="n">
        <v>15534</v>
      </c>
      <c r="B15535" t="inlineStr">
        <is>
          <t>x̄V̅DXXXIV</t>
        </is>
      </c>
      <c r="C15535">
        <f>ROMAN(15534)</f>
        <v/>
      </c>
      <c r="D15535">
        <f>IF(B15535=C15535, "YES", "WRONG")</f>
        <v/>
      </c>
    </row>
    <row r="15536">
      <c r="A15536" t="n">
        <v>15535</v>
      </c>
      <c r="B15536" t="inlineStr">
        <is>
          <t>x̄V̅DXXXV</t>
        </is>
      </c>
      <c r="C15536">
        <f>ROMAN(15535)</f>
        <v/>
      </c>
      <c r="D15536">
        <f>IF(B15536=C15536, "YES", "WRONG")</f>
        <v/>
      </c>
    </row>
    <row r="15537">
      <c r="A15537" t="n">
        <v>15536</v>
      </c>
      <c r="B15537" t="inlineStr">
        <is>
          <t>x̄V̅DXXXVI</t>
        </is>
      </c>
      <c r="C15537">
        <f>ROMAN(15536)</f>
        <v/>
      </c>
      <c r="D15537">
        <f>IF(B15537=C15537, "YES", "WRONG")</f>
        <v/>
      </c>
    </row>
    <row r="15538">
      <c r="A15538" t="n">
        <v>15537</v>
      </c>
      <c r="B15538" t="inlineStr">
        <is>
          <t>x̄V̅DXXXVII</t>
        </is>
      </c>
      <c r="C15538">
        <f>ROMAN(15537)</f>
        <v/>
      </c>
      <c r="D15538">
        <f>IF(B15538=C15538, "YES", "WRONG")</f>
        <v/>
      </c>
    </row>
    <row r="15539">
      <c r="A15539" t="n">
        <v>15538</v>
      </c>
      <c r="B15539" t="inlineStr">
        <is>
          <t>x̄V̅DXXXVIII</t>
        </is>
      </c>
      <c r="C15539">
        <f>ROMAN(15538)</f>
        <v/>
      </c>
      <c r="D15539">
        <f>IF(B15539=C15539, "YES", "WRONG")</f>
        <v/>
      </c>
    </row>
    <row r="15540">
      <c r="A15540" t="n">
        <v>15539</v>
      </c>
      <c r="B15540" t="inlineStr">
        <is>
          <t>x̄V̅DXXXIX</t>
        </is>
      </c>
      <c r="C15540">
        <f>ROMAN(15539)</f>
        <v/>
      </c>
      <c r="D15540">
        <f>IF(B15540=C15540, "YES", "WRONG")</f>
        <v/>
      </c>
    </row>
    <row r="15541">
      <c r="A15541" t="n">
        <v>15540</v>
      </c>
      <c r="B15541" t="inlineStr">
        <is>
          <t>x̄V̅DXL</t>
        </is>
      </c>
      <c r="C15541">
        <f>ROMAN(15540)</f>
        <v/>
      </c>
      <c r="D15541">
        <f>IF(B15541=C15541, "YES", "WRONG")</f>
        <v/>
      </c>
    </row>
    <row r="15542">
      <c r="A15542" t="n">
        <v>15541</v>
      </c>
      <c r="B15542" t="inlineStr">
        <is>
          <t>x̄V̅DXLI</t>
        </is>
      </c>
      <c r="C15542">
        <f>ROMAN(15541)</f>
        <v/>
      </c>
      <c r="D15542">
        <f>IF(B15542=C15542, "YES", "WRONG")</f>
        <v/>
      </c>
    </row>
    <row r="15543">
      <c r="A15543" t="n">
        <v>15542</v>
      </c>
      <c r="B15543" t="inlineStr">
        <is>
          <t>x̄V̅DXLII</t>
        </is>
      </c>
      <c r="C15543">
        <f>ROMAN(15542)</f>
        <v/>
      </c>
      <c r="D15543">
        <f>IF(B15543=C15543, "YES", "WRONG")</f>
        <v/>
      </c>
    </row>
    <row r="15544">
      <c r="A15544" t="n">
        <v>15543</v>
      </c>
      <c r="B15544" t="inlineStr">
        <is>
          <t>x̄V̅DXLIII</t>
        </is>
      </c>
      <c r="C15544">
        <f>ROMAN(15543)</f>
        <v/>
      </c>
      <c r="D15544">
        <f>IF(B15544=C15544, "YES", "WRONG")</f>
        <v/>
      </c>
    </row>
    <row r="15545">
      <c r="A15545" t="n">
        <v>15544</v>
      </c>
      <c r="B15545" t="inlineStr">
        <is>
          <t>x̄V̅DXLIV</t>
        </is>
      </c>
      <c r="C15545">
        <f>ROMAN(15544)</f>
        <v/>
      </c>
      <c r="D15545">
        <f>IF(B15545=C15545, "YES", "WRONG")</f>
        <v/>
      </c>
    </row>
    <row r="15546">
      <c r="A15546" t="n">
        <v>15545</v>
      </c>
      <c r="B15546" t="inlineStr">
        <is>
          <t>x̄V̅DXLV</t>
        </is>
      </c>
      <c r="C15546">
        <f>ROMAN(15545)</f>
        <v/>
      </c>
      <c r="D15546">
        <f>IF(B15546=C15546, "YES", "WRONG")</f>
        <v/>
      </c>
    </row>
    <row r="15547">
      <c r="A15547" t="n">
        <v>15546</v>
      </c>
      <c r="B15547" t="inlineStr">
        <is>
          <t>x̄V̅DXLVI</t>
        </is>
      </c>
      <c r="C15547">
        <f>ROMAN(15546)</f>
        <v/>
      </c>
      <c r="D15547">
        <f>IF(B15547=C15547, "YES", "WRONG")</f>
        <v/>
      </c>
    </row>
    <row r="15548">
      <c r="A15548" t="n">
        <v>15547</v>
      </c>
      <c r="B15548" t="inlineStr">
        <is>
          <t>x̄V̅DXLVII</t>
        </is>
      </c>
      <c r="C15548">
        <f>ROMAN(15547)</f>
        <v/>
      </c>
      <c r="D15548">
        <f>IF(B15548=C15548, "YES", "WRONG")</f>
        <v/>
      </c>
    </row>
    <row r="15549">
      <c r="A15549" t="n">
        <v>15548</v>
      </c>
      <c r="B15549" t="inlineStr">
        <is>
          <t>x̄V̅DXLVIII</t>
        </is>
      </c>
      <c r="C15549">
        <f>ROMAN(15548)</f>
        <v/>
      </c>
      <c r="D15549">
        <f>IF(B15549=C15549, "YES", "WRONG")</f>
        <v/>
      </c>
    </row>
    <row r="15550">
      <c r="A15550" t="n">
        <v>15549</v>
      </c>
      <c r="B15550" t="inlineStr">
        <is>
          <t>x̄V̅DXLIX</t>
        </is>
      </c>
      <c r="C15550">
        <f>ROMAN(15549)</f>
        <v/>
      </c>
      <c r="D15550">
        <f>IF(B15550=C15550, "YES", "WRONG")</f>
        <v/>
      </c>
    </row>
    <row r="15551">
      <c r="A15551" t="n">
        <v>15550</v>
      </c>
      <c r="B15551" t="inlineStr">
        <is>
          <t>x̄V̅DL</t>
        </is>
      </c>
      <c r="C15551">
        <f>ROMAN(15550)</f>
        <v/>
      </c>
      <c r="D15551">
        <f>IF(B15551=C15551, "YES", "WRONG")</f>
        <v/>
      </c>
    </row>
    <row r="15552">
      <c r="A15552" t="n">
        <v>15551</v>
      </c>
      <c r="B15552" t="inlineStr">
        <is>
          <t>x̄V̅DLI</t>
        </is>
      </c>
      <c r="C15552">
        <f>ROMAN(15551)</f>
        <v/>
      </c>
      <c r="D15552">
        <f>IF(B15552=C15552, "YES", "WRONG")</f>
        <v/>
      </c>
    </row>
    <row r="15553">
      <c r="A15553" t="n">
        <v>15552</v>
      </c>
      <c r="B15553" t="inlineStr">
        <is>
          <t>x̄V̅DLII</t>
        </is>
      </c>
      <c r="C15553">
        <f>ROMAN(15552)</f>
        <v/>
      </c>
      <c r="D15553">
        <f>IF(B15553=C15553, "YES", "WRONG")</f>
        <v/>
      </c>
    </row>
    <row r="15554">
      <c r="A15554" t="n">
        <v>15553</v>
      </c>
      <c r="B15554" t="inlineStr">
        <is>
          <t>x̄V̅DLIII</t>
        </is>
      </c>
      <c r="C15554">
        <f>ROMAN(15553)</f>
        <v/>
      </c>
      <c r="D15554">
        <f>IF(B15554=C15554, "YES", "WRONG")</f>
        <v/>
      </c>
    </row>
    <row r="15555">
      <c r="A15555" t="n">
        <v>15554</v>
      </c>
      <c r="B15555" t="inlineStr">
        <is>
          <t>x̄V̅DLIV</t>
        </is>
      </c>
      <c r="C15555">
        <f>ROMAN(15554)</f>
        <v/>
      </c>
      <c r="D15555">
        <f>IF(B15555=C15555, "YES", "WRONG")</f>
        <v/>
      </c>
    </row>
    <row r="15556">
      <c r="A15556" t="n">
        <v>15555</v>
      </c>
      <c r="B15556" t="inlineStr">
        <is>
          <t>x̄V̅DLV</t>
        </is>
      </c>
      <c r="C15556">
        <f>ROMAN(15555)</f>
        <v/>
      </c>
      <c r="D15556">
        <f>IF(B15556=C15556, "YES", "WRONG")</f>
        <v/>
      </c>
    </row>
    <row r="15557">
      <c r="A15557" t="n">
        <v>15556</v>
      </c>
      <c r="B15557" t="inlineStr">
        <is>
          <t>x̄V̅DLVI</t>
        </is>
      </c>
      <c r="C15557">
        <f>ROMAN(15556)</f>
        <v/>
      </c>
      <c r="D15557">
        <f>IF(B15557=C15557, "YES", "WRONG")</f>
        <v/>
      </c>
    </row>
    <row r="15558">
      <c r="A15558" t="n">
        <v>15557</v>
      </c>
      <c r="B15558" t="inlineStr">
        <is>
          <t>x̄V̅DLVII</t>
        </is>
      </c>
      <c r="C15558">
        <f>ROMAN(15557)</f>
        <v/>
      </c>
      <c r="D15558">
        <f>IF(B15558=C15558, "YES", "WRONG")</f>
        <v/>
      </c>
    </row>
    <row r="15559">
      <c r="A15559" t="n">
        <v>15558</v>
      </c>
      <c r="B15559" t="inlineStr">
        <is>
          <t>x̄V̅DLVIII</t>
        </is>
      </c>
      <c r="C15559">
        <f>ROMAN(15558)</f>
        <v/>
      </c>
      <c r="D15559">
        <f>IF(B15559=C15559, "YES", "WRONG")</f>
        <v/>
      </c>
    </row>
    <row r="15560">
      <c r="A15560" t="n">
        <v>15559</v>
      </c>
      <c r="B15560" t="inlineStr">
        <is>
          <t>x̄V̅DLIX</t>
        </is>
      </c>
      <c r="C15560">
        <f>ROMAN(15559)</f>
        <v/>
      </c>
      <c r="D15560">
        <f>IF(B15560=C15560, "YES", "WRONG")</f>
        <v/>
      </c>
    </row>
    <row r="15561">
      <c r="A15561" t="n">
        <v>15560</v>
      </c>
      <c r="B15561" t="inlineStr">
        <is>
          <t>x̄V̅DLX</t>
        </is>
      </c>
      <c r="C15561">
        <f>ROMAN(15560)</f>
        <v/>
      </c>
      <c r="D15561">
        <f>IF(B15561=C15561, "YES", "WRONG")</f>
        <v/>
      </c>
    </row>
    <row r="15562">
      <c r="A15562" t="n">
        <v>15561</v>
      </c>
      <c r="B15562" t="inlineStr">
        <is>
          <t>x̄V̅DLXI</t>
        </is>
      </c>
      <c r="C15562">
        <f>ROMAN(15561)</f>
        <v/>
      </c>
      <c r="D15562">
        <f>IF(B15562=C15562, "YES", "WRONG")</f>
        <v/>
      </c>
    </row>
    <row r="15563">
      <c r="A15563" t="n">
        <v>15562</v>
      </c>
      <c r="B15563" t="inlineStr">
        <is>
          <t>x̄V̅DLXII</t>
        </is>
      </c>
      <c r="C15563">
        <f>ROMAN(15562)</f>
        <v/>
      </c>
      <c r="D15563">
        <f>IF(B15563=C15563, "YES", "WRONG")</f>
        <v/>
      </c>
    </row>
    <row r="15564">
      <c r="A15564" t="n">
        <v>15563</v>
      </c>
      <c r="B15564" t="inlineStr">
        <is>
          <t>x̄V̅DLXIII</t>
        </is>
      </c>
      <c r="C15564">
        <f>ROMAN(15563)</f>
        <v/>
      </c>
      <c r="D15564">
        <f>IF(B15564=C15564, "YES", "WRONG")</f>
        <v/>
      </c>
    </row>
    <row r="15565">
      <c r="A15565" t="n">
        <v>15564</v>
      </c>
      <c r="B15565" t="inlineStr">
        <is>
          <t>x̄V̅DLXIV</t>
        </is>
      </c>
      <c r="C15565">
        <f>ROMAN(15564)</f>
        <v/>
      </c>
      <c r="D15565">
        <f>IF(B15565=C15565, "YES", "WRONG")</f>
        <v/>
      </c>
    </row>
    <row r="15566">
      <c r="A15566" t="n">
        <v>15565</v>
      </c>
      <c r="B15566" t="inlineStr">
        <is>
          <t>x̄V̅DLXV</t>
        </is>
      </c>
      <c r="C15566">
        <f>ROMAN(15565)</f>
        <v/>
      </c>
      <c r="D15566">
        <f>IF(B15566=C15566, "YES", "WRONG")</f>
        <v/>
      </c>
    </row>
    <row r="15567">
      <c r="A15567" t="n">
        <v>15566</v>
      </c>
      <c r="B15567" t="inlineStr">
        <is>
          <t>x̄V̅DLXVI</t>
        </is>
      </c>
      <c r="C15567">
        <f>ROMAN(15566)</f>
        <v/>
      </c>
      <c r="D15567">
        <f>IF(B15567=C15567, "YES", "WRONG")</f>
        <v/>
      </c>
    </row>
    <row r="15568">
      <c r="A15568" t="n">
        <v>15567</v>
      </c>
      <c r="B15568" t="inlineStr">
        <is>
          <t>x̄V̅DLXVII</t>
        </is>
      </c>
      <c r="C15568">
        <f>ROMAN(15567)</f>
        <v/>
      </c>
      <c r="D15568">
        <f>IF(B15568=C15568, "YES", "WRONG")</f>
        <v/>
      </c>
    </row>
    <row r="15569">
      <c r="A15569" t="n">
        <v>15568</v>
      </c>
      <c r="B15569" t="inlineStr">
        <is>
          <t>x̄V̅DLXVIII</t>
        </is>
      </c>
      <c r="C15569">
        <f>ROMAN(15568)</f>
        <v/>
      </c>
      <c r="D15569">
        <f>IF(B15569=C15569, "YES", "WRONG")</f>
        <v/>
      </c>
    </row>
    <row r="15570">
      <c r="A15570" t="n">
        <v>15569</v>
      </c>
      <c r="B15570" t="inlineStr">
        <is>
          <t>x̄V̅DLXIX</t>
        </is>
      </c>
      <c r="C15570">
        <f>ROMAN(15569)</f>
        <v/>
      </c>
      <c r="D15570">
        <f>IF(B15570=C15570, "YES", "WRONG")</f>
        <v/>
      </c>
    </row>
    <row r="15571">
      <c r="A15571" t="n">
        <v>15570</v>
      </c>
      <c r="B15571" t="inlineStr">
        <is>
          <t>x̄V̅DLXX</t>
        </is>
      </c>
      <c r="C15571">
        <f>ROMAN(15570)</f>
        <v/>
      </c>
      <c r="D15571">
        <f>IF(B15571=C15571, "YES", "WRONG")</f>
        <v/>
      </c>
    </row>
    <row r="15572">
      <c r="A15572" t="n">
        <v>15571</v>
      </c>
      <c r="B15572" t="inlineStr">
        <is>
          <t>x̄V̅DLXXI</t>
        </is>
      </c>
      <c r="C15572">
        <f>ROMAN(15571)</f>
        <v/>
      </c>
      <c r="D15572">
        <f>IF(B15572=C15572, "YES", "WRONG")</f>
        <v/>
      </c>
    </row>
    <row r="15573">
      <c r="A15573" t="n">
        <v>15572</v>
      </c>
      <c r="B15573" t="inlineStr">
        <is>
          <t>x̄V̅DLXXII</t>
        </is>
      </c>
      <c r="C15573">
        <f>ROMAN(15572)</f>
        <v/>
      </c>
      <c r="D15573">
        <f>IF(B15573=C15573, "YES", "WRONG")</f>
        <v/>
      </c>
    </row>
    <row r="15574">
      <c r="A15574" t="n">
        <v>15573</v>
      </c>
      <c r="B15574" t="inlineStr">
        <is>
          <t>x̄V̅DLXXIII</t>
        </is>
      </c>
      <c r="C15574">
        <f>ROMAN(15573)</f>
        <v/>
      </c>
      <c r="D15574">
        <f>IF(B15574=C15574, "YES", "WRONG")</f>
        <v/>
      </c>
    </row>
    <row r="15575">
      <c r="A15575" t="n">
        <v>15574</v>
      </c>
      <c r="B15575" t="inlineStr">
        <is>
          <t>x̄V̅DLXXIV</t>
        </is>
      </c>
      <c r="C15575">
        <f>ROMAN(15574)</f>
        <v/>
      </c>
      <c r="D15575">
        <f>IF(B15575=C15575, "YES", "WRONG")</f>
        <v/>
      </c>
    </row>
    <row r="15576">
      <c r="A15576" t="n">
        <v>15575</v>
      </c>
      <c r="B15576" t="inlineStr">
        <is>
          <t>x̄V̅DLXXV</t>
        </is>
      </c>
      <c r="C15576">
        <f>ROMAN(15575)</f>
        <v/>
      </c>
      <c r="D15576">
        <f>IF(B15576=C15576, "YES", "WRONG")</f>
        <v/>
      </c>
    </row>
    <row r="15577">
      <c r="A15577" t="n">
        <v>15576</v>
      </c>
      <c r="B15577" t="inlineStr">
        <is>
          <t>x̄V̅DLXXVI</t>
        </is>
      </c>
      <c r="C15577">
        <f>ROMAN(15576)</f>
        <v/>
      </c>
      <c r="D15577">
        <f>IF(B15577=C15577, "YES", "WRONG")</f>
        <v/>
      </c>
    </row>
    <row r="15578">
      <c r="A15578" t="n">
        <v>15577</v>
      </c>
      <c r="B15578" t="inlineStr">
        <is>
          <t>x̄V̅DLXXVII</t>
        </is>
      </c>
      <c r="C15578">
        <f>ROMAN(15577)</f>
        <v/>
      </c>
      <c r="D15578">
        <f>IF(B15578=C15578, "YES", "WRONG")</f>
        <v/>
      </c>
    </row>
    <row r="15579">
      <c r="A15579" t="n">
        <v>15578</v>
      </c>
      <c r="B15579" t="inlineStr">
        <is>
          <t>x̄V̅DLXXVIII</t>
        </is>
      </c>
      <c r="C15579">
        <f>ROMAN(15578)</f>
        <v/>
      </c>
      <c r="D15579">
        <f>IF(B15579=C15579, "YES", "WRONG")</f>
        <v/>
      </c>
    </row>
    <row r="15580">
      <c r="A15580" t="n">
        <v>15579</v>
      </c>
      <c r="B15580" t="inlineStr">
        <is>
          <t>x̄V̅DLXXIX</t>
        </is>
      </c>
      <c r="C15580">
        <f>ROMAN(15579)</f>
        <v/>
      </c>
      <c r="D15580">
        <f>IF(B15580=C15580, "YES", "WRONG")</f>
        <v/>
      </c>
    </row>
    <row r="15581">
      <c r="A15581" t="n">
        <v>15580</v>
      </c>
      <c r="B15581" t="inlineStr">
        <is>
          <t>x̄V̅DLXXX</t>
        </is>
      </c>
      <c r="C15581">
        <f>ROMAN(15580)</f>
        <v/>
      </c>
      <c r="D15581">
        <f>IF(B15581=C15581, "YES", "WRONG")</f>
        <v/>
      </c>
    </row>
    <row r="15582">
      <c r="A15582" t="n">
        <v>15581</v>
      </c>
      <c r="B15582" t="inlineStr">
        <is>
          <t>x̄V̅DLXXXI</t>
        </is>
      </c>
      <c r="C15582">
        <f>ROMAN(15581)</f>
        <v/>
      </c>
      <c r="D15582">
        <f>IF(B15582=C15582, "YES", "WRONG")</f>
        <v/>
      </c>
    </row>
    <row r="15583">
      <c r="A15583" t="n">
        <v>15582</v>
      </c>
      <c r="B15583" t="inlineStr">
        <is>
          <t>x̄V̅DLXXXII</t>
        </is>
      </c>
      <c r="C15583">
        <f>ROMAN(15582)</f>
        <v/>
      </c>
      <c r="D15583">
        <f>IF(B15583=C15583, "YES", "WRONG")</f>
        <v/>
      </c>
    </row>
    <row r="15584">
      <c r="A15584" t="n">
        <v>15583</v>
      </c>
      <c r="B15584" t="inlineStr">
        <is>
          <t>x̄V̅DLXXXIII</t>
        </is>
      </c>
      <c r="C15584">
        <f>ROMAN(15583)</f>
        <v/>
      </c>
      <c r="D15584">
        <f>IF(B15584=C15584, "YES", "WRONG")</f>
        <v/>
      </c>
    </row>
    <row r="15585">
      <c r="A15585" t="n">
        <v>15584</v>
      </c>
      <c r="B15585" t="inlineStr">
        <is>
          <t>x̄V̅DLXXXIV</t>
        </is>
      </c>
      <c r="C15585">
        <f>ROMAN(15584)</f>
        <v/>
      </c>
      <c r="D15585">
        <f>IF(B15585=C15585, "YES", "WRONG")</f>
        <v/>
      </c>
    </row>
    <row r="15586">
      <c r="A15586" t="n">
        <v>15585</v>
      </c>
      <c r="B15586" t="inlineStr">
        <is>
          <t>x̄V̅DLXXXV</t>
        </is>
      </c>
      <c r="C15586">
        <f>ROMAN(15585)</f>
        <v/>
      </c>
      <c r="D15586">
        <f>IF(B15586=C15586, "YES", "WRONG")</f>
        <v/>
      </c>
    </row>
    <row r="15587">
      <c r="A15587" t="n">
        <v>15586</v>
      </c>
      <c r="B15587" t="inlineStr">
        <is>
          <t>x̄V̅DLXXXVI</t>
        </is>
      </c>
      <c r="C15587">
        <f>ROMAN(15586)</f>
        <v/>
      </c>
      <c r="D15587">
        <f>IF(B15587=C15587, "YES", "WRONG")</f>
        <v/>
      </c>
    </row>
    <row r="15588">
      <c r="A15588" t="n">
        <v>15587</v>
      </c>
      <c r="B15588" t="inlineStr">
        <is>
          <t>x̄V̅DLXXXVII</t>
        </is>
      </c>
      <c r="C15588">
        <f>ROMAN(15587)</f>
        <v/>
      </c>
      <c r="D15588">
        <f>IF(B15588=C15588, "YES", "WRONG")</f>
        <v/>
      </c>
    </row>
    <row r="15589">
      <c r="A15589" t="n">
        <v>15588</v>
      </c>
      <c r="B15589" t="inlineStr">
        <is>
          <t>x̄V̅DLXXXVIII</t>
        </is>
      </c>
      <c r="C15589">
        <f>ROMAN(15588)</f>
        <v/>
      </c>
      <c r="D15589">
        <f>IF(B15589=C15589, "YES", "WRONG")</f>
        <v/>
      </c>
    </row>
    <row r="15590">
      <c r="A15590" t="n">
        <v>15589</v>
      </c>
      <c r="B15590" t="inlineStr">
        <is>
          <t>x̄V̅DLXXXIX</t>
        </is>
      </c>
      <c r="C15590">
        <f>ROMAN(15589)</f>
        <v/>
      </c>
      <c r="D15590">
        <f>IF(B15590=C15590, "YES", "WRONG")</f>
        <v/>
      </c>
    </row>
    <row r="15591">
      <c r="A15591" t="n">
        <v>15590</v>
      </c>
      <c r="B15591" t="inlineStr">
        <is>
          <t>x̄V̅DXC</t>
        </is>
      </c>
      <c r="C15591">
        <f>ROMAN(15590)</f>
        <v/>
      </c>
      <c r="D15591">
        <f>IF(B15591=C15591, "YES", "WRONG")</f>
        <v/>
      </c>
    </row>
    <row r="15592">
      <c r="A15592" t="n">
        <v>15591</v>
      </c>
      <c r="B15592" t="inlineStr">
        <is>
          <t>x̄V̅DXCI</t>
        </is>
      </c>
      <c r="C15592">
        <f>ROMAN(15591)</f>
        <v/>
      </c>
      <c r="D15592">
        <f>IF(B15592=C15592, "YES", "WRONG")</f>
        <v/>
      </c>
    </row>
    <row r="15593">
      <c r="A15593" t="n">
        <v>15592</v>
      </c>
      <c r="B15593" t="inlineStr">
        <is>
          <t>x̄V̅DXCII</t>
        </is>
      </c>
      <c r="C15593">
        <f>ROMAN(15592)</f>
        <v/>
      </c>
      <c r="D15593">
        <f>IF(B15593=C15593, "YES", "WRONG")</f>
        <v/>
      </c>
    </row>
    <row r="15594">
      <c r="A15594" t="n">
        <v>15593</v>
      </c>
      <c r="B15594" t="inlineStr">
        <is>
          <t>x̄V̅DXCIII</t>
        </is>
      </c>
      <c r="C15594">
        <f>ROMAN(15593)</f>
        <v/>
      </c>
      <c r="D15594">
        <f>IF(B15594=C15594, "YES", "WRONG")</f>
        <v/>
      </c>
    </row>
    <row r="15595">
      <c r="A15595" t="n">
        <v>15594</v>
      </c>
      <c r="B15595" t="inlineStr">
        <is>
          <t>x̄V̅DXCIV</t>
        </is>
      </c>
      <c r="C15595">
        <f>ROMAN(15594)</f>
        <v/>
      </c>
      <c r="D15595">
        <f>IF(B15595=C15595, "YES", "WRONG")</f>
        <v/>
      </c>
    </row>
    <row r="15596">
      <c r="A15596" t="n">
        <v>15595</v>
      </c>
      <c r="B15596" t="inlineStr">
        <is>
          <t>x̄V̅DXCV</t>
        </is>
      </c>
      <c r="C15596">
        <f>ROMAN(15595)</f>
        <v/>
      </c>
      <c r="D15596">
        <f>IF(B15596=C15596, "YES", "WRONG")</f>
        <v/>
      </c>
    </row>
    <row r="15597">
      <c r="A15597" t="n">
        <v>15596</v>
      </c>
      <c r="B15597" t="inlineStr">
        <is>
          <t>x̄V̅DXCVI</t>
        </is>
      </c>
      <c r="C15597">
        <f>ROMAN(15596)</f>
        <v/>
      </c>
      <c r="D15597">
        <f>IF(B15597=C15597, "YES", "WRONG")</f>
        <v/>
      </c>
    </row>
    <row r="15598">
      <c r="A15598" t="n">
        <v>15597</v>
      </c>
      <c r="B15598" t="inlineStr">
        <is>
          <t>x̄V̅DXCVII</t>
        </is>
      </c>
      <c r="C15598">
        <f>ROMAN(15597)</f>
        <v/>
      </c>
      <c r="D15598">
        <f>IF(B15598=C15598, "YES", "WRONG")</f>
        <v/>
      </c>
    </row>
    <row r="15599">
      <c r="A15599" t="n">
        <v>15598</v>
      </c>
      <c r="B15599" t="inlineStr">
        <is>
          <t>x̄V̅DXCVIII</t>
        </is>
      </c>
      <c r="C15599">
        <f>ROMAN(15598)</f>
        <v/>
      </c>
      <c r="D15599">
        <f>IF(B15599=C15599, "YES", "WRONG")</f>
        <v/>
      </c>
    </row>
    <row r="15600">
      <c r="A15600" t="n">
        <v>15599</v>
      </c>
      <c r="B15600" t="inlineStr">
        <is>
          <t>x̄V̅DXCIX</t>
        </is>
      </c>
      <c r="C15600">
        <f>ROMAN(15599)</f>
        <v/>
      </c>
      <c r="D15600">
        <f>IF(B15600=C15600, "YES", "WRONG")</f>
        <v/>
      </c>
    </row>
    <row r="15601">
      <c r="A15601" t="n">
        <v>15600</v>
      </c>
      <c r="B15601" t="inlineStr">
        <is>
          <t>x̄V̅DC</t>
        </is>
      </c>
      <c r="C15601">
        <f>ROMAN(15600)</f>
        <v/>
      </c>
      <c r="D15601">
        <f>IF(B15601=C15601, "YES", "WRONG")</f>
        <v/>
      </c>
    </row>
    <row r="15602">
      <c r="A15602" t="n">
        <v>15601</v>
      </c>
      <c r="B15602" t="inlineStr">
        <is>
          <t>x̄V̅DCI</t>
        </is>
      </c>
      <c r="C15602">
        <f>ROMAN(15601)</f>
        <v/>
      </c>
      <c r="D15602">
        <f>IF(B15602=C15602, "YES", "WRONG")</f>
        <v/>
      </c>
    </row>
    <row r="15603">
      <c r="A15603" t="n">
        <v>15602</v>
      </c>
      <c r="B15603" t="inlineStr">
        <is>
          <t>x̄V̅DCII</t>
        </is>
      </c>
      <c r="C15603">
        <f>ROMAN(15602)</f>
        <v/>
      </c>
      <c r="D15603">
        <f>IF(B15603=C15603, "YES", "WRONG")</f>
        <v/>
      </c>
    </row>
    <row r="15604">
      <c r="A15604" t="n">
        <v>15603</v>
      </c>
      <c r="B15604" t="inlineStr">
        <is>
          <t>x̄V̅DCIII</t>
        </is>
      </c>
      <c r="C15604">
        <f>ROMAN(15603)</f>
        <v/>
      </c>
      <c r="D15604">
        <f>IF(B15604=C15604, "YES", "WRONG")</f>
        <v/>
      </c>
    </row>
    <row r="15605">
      <c r="A15605" t="n">
        <v>15604</v>
      </c>
      <c r="B15605" t="inlineStr">
        <is>
          <t>x̄V̅DCIV</t>
        </is>
      </c>
      <c r="C15605">
        <f>ROMAN(15604)</f>
        <v/>
      </c>
      <c r="D15605">
        <f>IF(B15605=C15605, "YES", "WRONG")</f>
        <v/>
      </c>
    </row>
    <row r="15606">
      <c r="A15606" t="n">
        <v>15605</v>
      </c>
      <c r="B15606" t="inlineStr">
        <is>
          <t>x̄V̅DCV</t>
        </is>
      </c>
      <c r="C15606">
        <f>ROMAN(15605)</f>
        <v/>
      </c>
      <c r="D15606">
        <f>IF(B15606=C15606, "YES", "WRONG")</f>
        <v/>
      </c>
    </row>
    <row r="15607">
      <c r="A15607" t="n">
        <v>15606</v>
      </c>
      <c r="B15607" t="inlineStr">
        <is>
          <t>x̄V̅DCVI</t>
        </is>
      </c>
      <c r="C15607">
        <f>ROMAN(15606)</f>
        <v/>
      </c>
      <c r="D15607">
        <f>IF(B15607=C15607, "YES", "WRONG")</f>
        <v/>
      </c>
    </row>
    <row r="15608">
      <c r="A15608" t="n">
        <v>15607</v>
      </c>
      <c r="B15608" t="inlineStr">
        <is>
          <t>x̄V̅DCVII</t>
        </is>
      </c>
      <c r="C15608">
        <f>ROMAN(15607)</f>
        <v/>
      </c>
      <c r="D15608">
        <f>IF(B15608=C15608, "YES", "WRONG")</f>
        <v/>
      </c>
    </row>
    <row r="15609">
      <c r="A15609" t="n">
        <v>15608</v>
      </c>
      <c r="B15609" t="inlineStr">
        <is>
          <t>x̄V̅DCVIII</t>
        </is>
      </c>
      <c r="C15609">
        <f>ROMAN(15608)</f>
        <v/>
      </c>
      <c r="D15609">
        <f>IF(B15609=C15609, "YES", "WRONG")</f>
        <v/>
      </c>
    </row>
    <row r="15610">
      <c r="A15610" t="n">
        <v>15609</v>
      </c>
      <c r="B15610" t="inlineStr">
        <is>
          <t>x̄V̅DCIX</t>
        </is>
      </c>
      <c r="C15610">
        <f>ROMAN(15609)</f>
        <v/>
      </c>
      <c r="D15610">
        <f>IF(B15610=C15610, "YES", "WRONG")</f>
        <v/>
      </c>
    </row>
    <row r="15611">
      <c r="A15611" t="n">
        <v>15610</v>
      </c>
      <c r="B15611" t="inlineStr">
        <is>
          <t>x̄V̅DCX</t>
        </is>
      </c>
      <c r="C15611">
        <f>ROMAN(15610)</f>
        <v/>
      </c>
      <c r="D15611">
        <f>IF(B15611=C15611, "YES", "WRONG")</f>
        <v/>
      </c>
    </row>
    <row r="15612">
      <c r="A15612" t="n">
        <v>15611</v>
      </c>
      <c r="B15612" t="inlineStr">
        <is>
          <t>x̄V̅DCXI</t>
        </is>
      </c>
      <c r="C15612">
        <f>ROMAN(15611)</f>
        <v/>
      </c>
      <c r="D15612">
        <f>IF(B15612=C15612, "YES", "WRONG")</f>
        <v/>
      </c>
    </row>
    <row r="15613">
      <c r="A15613" t="n">
        <v>15612</v>
      </c>
      <c r="B15613" t="inlineStr">
        <is>
          <t>x̄V̅DCXII</t>
        </is>
      </c>
      <c r="C15613">
        <f>ROMAN(15612)</f>
        <v/>
      </c>
      <c r="D15613">
        <f>IF(B15613=C15613, "YES", "WRONG")</f>
        <v/>
      </c>
    </row>
    <row r="15614">
      <c r="A15614" t="n">
        <v>15613</v>
      </c>
      <c r="B15614" t="inlineStr">
        <is>
          <t>x̄V̅DCXIII</t>
        </is>
      </c>
      <c r="C15614">
        <f>ROMAN(15613)</f>
        <v/>
      </c>
      <c r="D15614">
        <f>IF(B15614=C15614, "YES", "WRONG")</f>
        <v/>
      </c>
    </row>
    <row r="15615">
      <c r="A15615" t="n">
        <v>15614</v>
      </c>
      <c r="B15615" t="inlineStr">
        <is>
          <t>x̄V̅DCXIV</t>
        </is>
      </c>
      <c r="C15615">
        <f>ROMAN(15614)</f>
        <v/>
      </c>
      <c r="D15615">
        <f>IF(B15615=C15615, "YES", "WRONG")</f>
        <v/>
      </c>
    </row>
    <row r="15616">
      <c r="A15616" t="n">
        <v>15615</v>
      </c>
      <c r="B15616" t="inlineStr">
        <is>
          <t>x̄V̅DCXV</t>
        </is>
      </c>
      <c r="C15616">
        <f>ROMAN(15615)</f>
        <v/>
      </c>
      <c r="D15616">
        <f>IF(B15616=C15616, "YES", "WRONG")</f>
        <v/>
      </c>
    </row>
    <row r="15617">
      <c r="A15617" t="n">
        <v>15616</v>
      </c>
      <c r="B15617" t="inlineStr">
        <is>
          <t>x̄V̅DCXVI</t>
        </is>
      </c>
      <c r="C15617">
        <f>ROMAN(15616)</f>
        <v/>
      </c>
      <c r="D15617">
        <f>IF(B15617=C15617, "YES", "WRONG")</f>
        <v/>
      </c>
    </row>
    <row r="15618">
      <c r="A15618" t="n">
        <v>15617</v>
      </c>
      <c r="B15618" t="inlineStr">
        <is>
          <t>x̄V̅DCXVII</t>
        </is>
      </c>
      <c r="C15618">
        <f>ROMAN(15617)</f>
        <v/>
      </c>
      <c r="D15618">
        <f>IF(B15618=C15618, "YES", "WRONG")</f>
        <v/>
      </c>
    </row>
    <row r="15619">
      <c r="A15619" t="n">
        <v>15618</v>
      </c>
      <c r="B15619" t="inlineStr">
        <is>
          <t>x̄V̅DCXVIII</t>
        </is>
      </c>
      <c r="C15619">
        <f>ROMAN(15618)</f>
        <v/>
      </c>
      <c r="D15619">
        <f>IF(B15619=C15619, "YES", "WRONG")</f>
        <v/>
      </c>
    </row>
    <row r="15620">
      <c r="A15620" t="n">
        <v>15619</v>
      </c>
      <c r="B15620" t="inlineStr">
        <is>
          <t>x̄V̅DCXIX</t>
        </is>
      </c>
      <c r="C15620">
        <f>ROMAN(15619)</f>
        <v/>
      </c>
      <c r="D15620">
        <f>IF(B15620=C15620, "YES", "WRONG")</f>
        <v/>
      </c>
    </row>
    <row r="15621">
      <c r="A15621" t="n">
        <v>15620</v>
      </c>
      <c r="B15621" t="inlineStr">
        <is>
          <t>x̄V̅DCXX</t>
        </is>
      </c>
      <c r="C15621">
        <f>ROMAN(15620)</f>
        <v/>
      </c>
      <c r="D15621">
        <f>IF(B15621=C15621, "YES", "WRONG")</f>
        <v/>
      </c>
    </row>
    <row r="15622">
      <c r="A15622" t="n">
        <v>15621</v>
      </c>
      <c r="B15622" t="inlineStr">
        <is>
          <t>x̄V̅DCXXI</t>
        </is>
      </c>
      <c r="C15622">
        <f>ROMAN(15621)</f>
        <v/>
      </c>
      <c r="D15622">
        <f>IF(B15622=C15622, "YES", "WRONG")</f>
        <v/>
      </c>
    </row>
    <row r="15623">
      <c r="A15623" t="n">
        <v>15622</v>
      </c>
      <c r="B15623" t="inlineStr">
        <is>
          <t>x̄V̅DCXXII</t>
        </is>
      </c>
      <c r="C15623">
        <f>ROMAN(15622)</f>
        <v/>
      </c>
      <c r="D15623">
        <f>IF(B15623=C15623, "YES", "WRONG")</f>
        <v/>
      </c>
    </row>
    <row r="15624">
      <c r="A15624" t="n">
        <v>15623</v>
      </c>
      <c r="B15624" t="inlineStr">
        <is>
          <t>x̄V̅DCXXIII</t>
        </is>
      </c>
      <c r="C15624">
        <f>ROMAN(15623)</f>
        <v/>
      </c>
      <c r="D15624">
        <f>IF(B15624=C15624, "YES", "WRONG")</f>
        <v/>
      </c>
    </row>
    <row r="15625">
      <c r="A15625" t="n">
        <v>15624</v>
      </c>
      <c r="B15625" t="inlineStr">
        <is>
          <t>x̄V̅DCXXIV</t>
        </is>
      </c>
      <c r="C15625">
        <f>ROMAN(15624)</f>
        <v/>
      </c>
      <c r="D15625">
        <f>IF(B15625=C15625, "YES", "WRONG")</f>
        <v/>
      </c>
    </row>
    <row r="15626">
      <c r="A15626" t="n">
        <v>15625</v>
      </c>
      <c r="B15626" t="inlineStr">
        <is>
          <t>x̄V̅DCXXV</t>
        </is>
      </c>
      <c r="C15626">
        <f>ROMAN(15625)</f>
        <v/>
      </c>
      <c r="D15626">
        <f>IF(B15626=C15626, "YES", "WRONG")</f>
        <v/>
      </c>
    </row>
    <row r="15627">
      <c r="A15627" t="n">
        <v>15626</v>
      </c>
      <c r="B15627" t="inlineStr">
        <is>
          <t>x̄V̅DCXXVI</t>
        </is>
      </c>
      <c r="C15627">
        <f>ROMAN(15626)</f>
        <v/>
      </c>
      <c r="D15627">
        <f>IF(B15627=C15627, "YES", "WRONG")</f>
        <v/>
      </c>
    </row>
    <row r="15628">
      <c r="A15628" t="n">
        <v>15627</v>
      </c>
      <c r="B15628" t="inlineStr">
        <is>
          <t>x̄V̅DCXXVII</t>
        </is>
      </c>
      <c r="C15628">
        <f>ROMAN(15627)</f>
        <v/>
      </c>
      <c r="D15628">
        <f>IF(B15628=C15628, "YES", "WRONG")</f>
        <v/>
      </c>
    </row>
    <row r="15629">
      <c r="A15629" t="n">
        <v>15628</v>
      </c>
      <c r="B15629" t="inlineStr">
        <is>
          <t>x̄V̅DCXXVIII</t>
        </is>
      </c>
      <c r="C15629">
        <f>ROMAN(15628)</f>
        <v/>
      </c>
      <c r="D15629">
        <f>IF(B15629=C15629, "YES", "WRONG")</f>
        <v/>
      </c>
    </row>
    <row r="15630">
      <c r="A15630" t="n">
        <v>15629</v>
      </c>
      <c r="B15630" t="inlineStr">
        <is>
          <t>x̄V̅DCXXIX</t>
        </is>
      </c>
      <c r="C15630">
        <f>ROMAN(15629)</f>
        <v/>
      </c>
      <c r="D15630">
        <f>IF(B15630=C15630, "YES", "WRONG")</f>
        <v/>
      </c>
    </row>
    <row r="15631">
      <c r="A15631" t="n">
        <v>15630</v>
      </c>
      <c r="B15631" t="inlineStr">
        <is>
          <t>x̄V̅DCXXX</t>
        </is>
      </c>
      <c r="C15631">
        <f>ROMAN(15630)</f>
        <v/>
      </c>
      <c r="D15631">
        <f>IF(B15631=C15631, "YES", "WRONG")</f>
        <v/>
      </c>
    </row>
    <row r="15632">
      <c r="A15632" t="n">
        <v>15631</v>
      </c>
      <c r="B15632" t="inlineStr">
        <is>
          <t>x̄V̅DCXXXI</t>
        </is>
      </c>
      <c r="C15632">
        <f>ROMAN(15631)</f>
        <v/>
      </c>
      <c r="D15632">
        <f>IF(B15632=C15632, "YES", "WRONG")</f>
        <v/>
      </c>
    </row>
    <row r="15633">
      <c r="A15633" t="n">
        <v>15632</v>
      </c>
      <c r="B15633" t="inlineStr">
        <is>
          <t>x̄V̅DCXXXII</t>
        </is>
      </c>
      <c r="C15633">
        <f>ROMAN(15632)</f>
        <v/>
      </c>
      <c r="D15633">
        <f>IF(B15633=C15633, "YES", "WRONG")</f>
        <v/>
      </c>
    </row>
    <row r="15634">
      <c r="A15634" t="n">
        <v>15633</v>
      </c>
      <c r="B15634" t="inlineStr">
        <is>
          <t>x̄V̅DCXXXIII</t>
        </is>
      </c>
      <c r="C15634">
        <f>ROMAN(15633)</f>
        <v/>
      </c>
      <c r="D15634">
        <f>IF(B15634=C15634, "YES", "WRONG")</f>
        <v/>
      </c>
    </row>
    <row r="15635">
      <c r="A15635" t="n">
        <v>15634</v>
      </c>
      <c r="B15635" t="inlineStr">
        <is>
          <t>x̄V̅DCXXXIV</t>
        </is>
      </c>
      <c r="C15635">
        <f>ROMAN(15634)</f>
        <v/>
      </c>
      <c r="D15635">
        <f>IF(B15635=C15635, "YES", "WRONG")</f>
        <v/>
      </c>
    </row>
    <row r="15636">
      <c r="A15636" t="n">
        <v>15635</v>
      </c>
      <c r="B15636" t="inlineStr">
        <is>
          <t>x̄V̅DCXXXV</t>
        </is>
      </c>
      <c r="C15636">
        <f>ROMAN(15635)</f>
        <v/>
      </c>
      <c r="D15636">
        <f>IF(B15636=C15636, "YES", "WRONG")</f>
        <v/>
      </c>
    </row>
    <row r="15637">
      <c r="A15637" t="n">
        <v>15636</v>
      </c>
      <c r="B15637" t="inlineStr">
        <is>
          <t>x̄V̅DCXXXVI</t>
        </is>
      </c>
      <c r="C15637">
        <f>ROMAN(15636)</f>
        <v/>
      </c>
      <c r="D15637">
        <f>IF(B15637=C15637, "YES", "WRONG")</f>
        <v/>
      </c>
    </row>
    <row r="15638">
      <c r="A15638" t="n">
        <v>15637</v>
      </c>
      <c r="B15638" t="inlineStr">
        <is>
          <t>x̄V̅DCXXXVII</t>
        </is>
      </c>
      <c r="C15638">
        <f>ROMAN(15637)</f>
        <v/>
      </c>
      <c r="D15638">
        <f>IF(B15638=C15638, "YES", "WRONG")</f>
        <v/>
      </c>
    </row>
    <row r="15639">
      <c r="A15639" t="n">
        <v>15638</v>
      </c>
      <c r="B15639" t="inlineStr">
        <is>
          <t>x̄V̅DCXXXVIII</t>
        </is>
      </c>
      <c r="C15639">
        <f>ROMAN(15638)</f>
        <v/>
      </c>
      <c r="D15639">
        <f>IF(B15639=C15639, "YES", "WRONG")</f>
        <v/>
      </c>
    </row>
    <row r="15640">
      <c r="A15640" t="n">
        <v>15639</v>
      </c>
      <c r="B15640" t="inlineStr">
        <is>
          <t>x̄V̅DCXXXIX</t>
        </is>
      </c>
      <c r="C15640">
        <f>ROMAN(15639)</f>
        <v/>
      </c>
      <c r="D15640">
        <f>IF(B15640=C15640, "YES", "WRONG")</f>
        <v/>
      </c>
    </row>
    <row r="15641">
      <c r="A15641" t="n">
        <v>15640</v>
      </c>
      <c r="B15641" t="inlineStr">
        <is>
          <t>x̄V̅DCXL</t>
        </is>
      </c>
      <c r="C15641">
        <f>ROMAN(15640)</f>
        <v/>
      </c>
      <c r="D15641">
        <f>IF(B15641=C15641, "YES", "WRONG")</f>
        <v/>
      </c>
    </row>
    <row r="15642">
      <c r="A15642" t="n">
        <v>15641</v>
      </c>
      <c r="B15642" t="inlineStr">
        <is>
          <t>x̄V̅DCXLI</t>
        </is>
      </c>
      <c r="C15642">
        <f>ROMAN(15641)</f>
        <v/>
      </c>
      <c r="D15642">
        <f>IF(B15642=C15642, "YES", "WRONG")</f>
        <v/>
      </c>
    </row>
    <row r="15643">
      <c r="A15643" t="n">
        <v>15642</v>
      </c>
      <c r="B15643" t="inlineStr">
        <is>
          <t>x̄V̅DCXLII</t>
        </is>
      </c>
      <c r="C15643">
        <f>ROMAN(15642)</f>
        <v/>
      </c>
      <c r="D15643">
        <f>IF(B15643=C15643, "YES", "WRONG")</f>
        <v/>
      </c>
    </row>
    <row r="15644">
      <c r="A15644" t="n">
        <v>15643</v>
      </c>
      <c r="B15644" t="inlineStr">
        <is>
          <t>x̄V̅DCXLIII</t>
        </is>
      </c>
      <c r="C15644">
        <f>ROMAN(15643)</f>
        <v/>
      </c>
      <c r="D15644">
        <f>IF(B15644=C15644, "YES", "WRONG")</f>
        <v/>
      </c>
    </row>
    <row r="15645">
      <c r="A15645" t="n">
        <v>15644</v>
      </c>
      <c r="B15645" t="inlineStr">
        <is>
          <t>x̄V̅DCXLIV</t>
        </is>
      </c>
      <c r="C15645">
        <f>ROMAN(15644)</f>
        <v/>
      </c>
      <c r="D15645">
        <f>IF(B15645=C15645, "YES", "WRONG")</f>
        <v/>
      </c>
    </row>
    <row r="15646">
      <c r="A15646" t="n">
        <v>15645</v>
      </c>
      <c r="B15646" t="inlineStr">
        <is>
          <t>x̄V̅DCXLV</t>
        </is>
      </c>
      <c r="C15646">
        <f>ROMAN(15645)</f>
        <v/>
      </c>
      <c r="D15646">
        <f>IF(B15646=C15646, "YES", "WRONG")</f>
        <v/>
      </c>
    </row>
    <row r="15647">
      <c r="A15647" t="n">
        <v>15646</v>
      </c>
      <c r="B15647" t="inlineStr">
        <is>
          <t>x̄V̅DCXLVI</t>
        </is>
      </c>
      <c r="C15647">
        <f>ROMAN(15646)</f>
        <v/>
      </c>
      <c r="D15647">
        <f>IF(B15647=C15647, "YES", "WRONG")</f>
        <v/>
      </c>
    </row>
    <row r="15648">
      <c r="A15648" t="n">
        <v>15647</v>
      </c>
      <c r="B15648" t="inlineStr">
        <is>
          <t>x̄V̅DCXLVII</t>
        </is>
      </c>
      <c r="C15648">
        <f>ROMAN(15647)</f>
        <v/>
      </c>
      <c r="D15648">
        <f>IF(B15648=C15648, "YES", "WRONG")</f>
        <v/>
      </c>
    </row>
    <row r="15649">
      <c r="A15649" t="n">
        <v>15648</v>
      </c>
      <c r="B15649" t="inlineStr">
        <is>
          <t>x̄V̅DCXLVIII</t>
        </is>
      </c>
      <c r="C15649">
        <f>ROMAN(15648)</f>
        <v/>
      </c>
      <c r="D15649">
        <f>IF(B15649=C15649, "YES", "WRONG")</f>
        <v/>
      </c>
    </row>
    <row r="15650">
      <c r="A15650" t="n">
        <v>15649</v>
      </c>
      <c r="B15650" t="inlineStr">
        <is>
          <t>x̄V̅DCXLIX</t>
        </is>
      </c>
      <c r="C15650">
        <f>ROMAN(15649)</f>
        <v/>
      </c>
      <c r="D15650">
        <f>IF(B15650=C15650, "YES", "WRONG")</f>
        <v/>
      </c>
    </row>
    <row r="15651">
      <c r="A15651" t="n">
        <v>15650</v>
      </c>
      <c r="B15651" t="inlineStr">
        <is>
          <t>x̄V̅DCL</t>
        </is>
      </c>
      <c r="C15651">
        <f>ROMAN(15650)</f>
        <v/>
      </c>
      <c r="D15651">
        <f>IF(B15651=C15651, "YES", "WRONG")</f>
        <v/>
      </c>
    </row>
    <row r="15652">
      <c r="A15652" t="n">
        <v>15651</v>
      </c>
      <c r="B15652" t="inlineStr">
        <is>
          <t>x̄V̅DCLI</t>
        </is>
      </c>
      <c r="C15652">
        <f>ROMAN(15651)</f>
        <v/>
      </c>
      <c r="D15652">
        <f>IF(B15652=C15652, "YES", "WRONG")</f>
        <v/>
      </c>
    </row>
    <row r="15653">
      <c r="A15653" t="n">
        <v>15652</v>
      </c>
      <c r="B15653" t="inlineStr">
        <is>
          <t>x̄V̅DCLII</t>
        </is>
      </c>
      <c r="C15653">
        <f>ROMAN(15652)</f>
        <v/>
      </c>
      <c r="D15653">
        <f>IF(B15653=C15653, "YES", "WRONG")</f>
        <v/>
      </c>
    </row>
    <row r="15654">
      <c r="A15654" t="n">
        <v>15653</v>
      </c>
      <c r="B15654" t="inlineStr">
        <is>
          <t>x̄V̅DCLIII</t>
        </is>
      </c>
      <c r="C15654">
        <f>ROMAN(15653)</f>
        <v/>
      </c>
      <c r="D15654">
        <f>IF(B15654=C15654, "YES", "WRONG")</f>
        <v/>
      </c>
    </row>
    <row r="15655">
      <c r="A15655" t="n">
        <v>15654</v>
      </c>
      <c r="B15655" t="inlineStr">
        <is>
          <t>x̄V̅DCLIV</t>
        </is>
      </c>
      <c r="C15655">
        <f>ROMAN(15654)</f>
        <v/>
      </c>
      <c r="D15655">
        <f>IF(B15655=C15655, "YES", "WRONG")</f>
        <v/>
      </c>
    </row>
    <row r="15656">
      <c r="A15656" t="n">
        <v>15655</v>
      </c>
      <c r="B15656" t="inlineStr">
        <is>
          <t>x̄V̅DCLV</t>
        </is>
      </c>
      <c r="C15656">
        <f>ROMAN(15655)</f>
        <v/>
      </c>
      <c r="D15656">
        <f>IF(B15656=C15656, "YES", "WRONG")</f>
        <v/>
      </c>
    </row>
    <row r="15657">
      <c r="A15657" t="n">
        <v>15656</v>
      </c>
      <c r="B15657" t="inlineStr">
        <is>
          <t>x̄V̅DCLVI</t>
        </is>
      </c>
      <c r="C15657">
        <f>ROMAN(15656)</f>
        <v/>
      </c>
      <c r="D15657">
        <f>IF(B15657=C15657, "YES", "WRONG")</f>
        <v/>
      </c>
    </row>
    <row r="15658">
      <c r="A15658" t="n">
        <v>15657</v>
      </c>
      <c r="B15658" t="inlineStr">
        <is>
          <t>x̄V̅DCLVII</t>
        </is>
      </c>
      <c r="C15658">
        <f>ROMAN(15657)</f>
        <v/>
      </c>
      <c r="D15658">
        <f>IF(B15658=C15658, "YES", "WRONG")</f>
        <v/>
      </c>
    </row>
    <row r="15659">
      <c r="A15659" t="n">
        <v>15658</v>
      </c>
      <c r="B15659" t="inlineStr">
        <is>
          <t>x̄V̅DCLVIII</t>
        </is>
      </c>
      <c r="C15659">
        <f>ROMAN(15658)</f>
        <v/>
      </c>
      <c r="D15659">
        <f>IF(B15659=C15659, "YES", "WRONG")</f>
        <v/>
      </c>
    </row>
    <row r="15660">
      <c r="A15660" t="n">
        <v>15659</v>
      </c>
      <c r="B15660" t="inlineStr">
        <is>
          <t>x̄V̅DCLIX</t>
        </is>
      </c>
      <c r="C15660">
        <f>ROMAN(15659)</f>
        <v/>
      </c>
      <c r="D15660">
        <f>IF(B15660=C15660, "YES", "WRONG")</f>
        <v/>
      </c>
    </row>
    <row r="15661">
      <c r="A15661" t="n">
        <v>15660</v>
      </c>
      <c r="B15661" t="inlineStr">
        <is>
          <t>x̄V̅DCLX</t>
        </is>
      </c>
      <c r="C15661">
        <f>ROMAN(15660)</f>
        <v/>
      </c>
      <c r="D15661">
        <f>IF(B15661=C15661, "YES", "WRONG")</f>
        <v/>
      </c>
    </row>
    <row r="15662">
      <c r="A15662" t="n">
        <v>15661</v>
      </c>
      <c r="B15662" t="inlineStr">
        <is>
          <t>x̄V̅DCLXI</t>
        </is>
      </c>
      <c r="C15662">
        <f>ROMAN(15661)</f>
        <v/>
      </c>
      <c r="D15662">
        <f>IF(B15662=C15662, "YES", "WRONG")</f>
        <v/>
      </c>
    </row>
    <row r="15663">
      <c r="A15663" t="n">
        <v>15662</v>
      </c>
      <c r="B15663" t="inlineStr">
        <is>
          <t>x̄V̅DCLXII</t>
        </is>
      </c>
      <c r="C15663">
        <f>ROMAN(15662)</f>
        <v/>
      </c>
      <c r="D15663">
        <f>IF(B15663=C15663, "YES", "WRONG")</f>
        <v/>
      </c>
    </row>
    <row r="15664">
      <c r="A15664" t="n">
        <v>15663</v>
      </c>
      <c r="B15664" t="inlineStr">
        <is>
          <t>x̄V̅DCLXIII</t>
        </is>
      </c>
      <c r="C15664">
        <f>ROMAN(15663)</f>
        <v/>
      </c>
      <c r="D15664">
        <f>IF(B15664=C15664, "YES", "WRONG")</f>
        <v/>
      </c>
    </row>
    <row r="15665">
      <c r="A15665" t="n">
        <v>15664</v>
      </c>
      <c r="B15665" t="inlineStr">
        <is>
          <t>x̄V̅DCLXIV</t>
        </is>
      </c>
      <c r="C15665">
        <f>ROMAN(15664)</f>
        <v/>
      </c>
      <c r="D15665">
        <f>IF(B15665=C15665, "YES", "WRONG")</f>
        <v/>
      </c>
    </row>
    <row r="15666">
      <c r="A15666" t="n">
        <v>15665</v>
      </c>
      <c r="B15666" t="inlineStr">
        <is>
          <t>x̄V̅DCLXV</t>
        </is>
      </c>
      <c r="C15666">
        <f>ROMAN(15665)</f>
        <v/>
      </c>
      <c r="D15666">
        <f>IF(B15666=C15666, "YES", "WRONG")</f>
        <v/>
      </c>
    </row>
    <row r="15667">
      <c r="A15667" t="n">
        <v>15666</v>
      </c>
      <c r="B15667" t="inlineStr">
        <is>
          <t>x̄V̅DCLXVI</t>
        </is>
      </c>
      <c r="C15667">
        <f>ROMAN(15666)</f>
        <v/>
      </c>
      <c r="D15667">
        <f>IF(B15667=C15667, "YES", "WRONG")</f>
        <v/>
      </c>
    </row>
    <row r="15668">
      <c r="A15668" t="n">
        <v>15667</v>
      </c>
      <c r="B15668" t="inlineStr">
        <is>
          <t>x̄V̅DCLXVII</t>
        </is>
      </c>
      <c r="C15668">
        <f>ROMAN(15667)</f>
        <v/>
      </c>
      <c r="D15668">
        <f>IF(B15668=C15668, "YES", "WRONG")</f>
        <v/>
      </c>
    </row>
    <row r="15669">
      <c r="A15669" t="n">
        <v>15668</v>
      </c>
      <c r="B15669" t="inlineStr">
        <is>
          <t>x̄V̅DCLXVIII</t>
        </is>
      </c>
      <c r="C15669">
        <f>ROMAN(15668)</f>
        <v/>
      </c>
      <c r="D15669">
        <f>IF(B15669=C15669, "YES", "WRONG")</f>
        <v/>
      </c>
    </row>
    <row r="15670">
      <c r="A15670" t="n">
        <v>15669</v>
      </c>
      <c r="B15670" t="inlineStr">
        <is>
          <t>x̄V̅DCLXIX</t>
        </is>
      </c>
      <c r="C15670">
        <f>ROMAN(15669)</f>
        <v/>
      </c>
      <c r="D15670">
        <f>IF(B15670=C15670, "YES", "WRONG")</f>
        <v/>
      </c>
    </row>
    <row r="15671">
      <c r="A15671" t="n">
        <v>15670</v>
      </c>
      <c r="B15671" t="inlineStr">
        <is>
          <t>x̄V̅DCLXX</t>
        </is>
      </c>
      <c r="C15671">
        <f>ROMAN(15670)</f>
        <v/>
      </c>
      <c r="D15671">
        <f>IF(B15671=C15671, "YES", "WRONG")</f>
        <v/>
      </c>
    </row>
    <row r="15672">
      <c r="A15672" t="n">
        <v>15671</v>
      </c>
      <c r="B15672" t="inlineStr">
        <is>
          <t>x̄V̅DCLXXI</t>
        </is>
      </c>
      <c r="C15672">
        <f>ROMAN(15671)</f>
        <v/>
      </c>
      <c r="D15672">
        <f>IF(B15672=C15672, "YES", "WRONG")</f>
        <v/>
      </c>
    </row>
    <row r="15673">
      <c r="A15673" t="n">
        <v>15672</v>
      </c>
      <c r="B15673" t="inlineStr">
        <is>
          <t>x̄V̅DCLXXII</t>
        </is>
      </c>
      <c r="C15673">
        <f>ROMAN(15672)</f>
        <v/>
      </c>
      <c r="D15673">
        <f>IF(B15673=C15673, "YES", "WRONG")</f>
        <v/>
      </c>
    </row>
    <row r="15674">
      <c r="A15674" t="n">
        <v>15673</v>
      </c>
      <c r="B15674" t="inlineStr">
        <is>
          <t>x̄V̅DCLXXIII</t>
        </is>
      </c>
      <c r="C15674">
        <f>ROMAN(15673)</f>
        <v/>
      </c>
      <c r="D15674">
        <f>IF(B15674=C15674, "YES", "WRONG")</f>
        <v/>
      </c>
    </row>
    <row r="15675">
      <c r="A15675" t="n">
        <v>15674</v>
      </c>
      <c r="B15675" t="inlineStr">
        <is>
          <t>x̄V̅DCLXXIV</t>
        </is>
      </c>
      <c r="C15675">
        <f>ROMAN(15674)</f>
        <v/>
      </c>
      <c r="D15675">
        <f>IF(B15675=C15675, "YES", "WRONG")</f>
        <v/>
      </c>
    </row>
    <row r="15676">
      <c r="A15676" t="n">
        <v>15675</v>
      </c>
      <c r="B15676" t="inlineStr">
        <is>
          <t>x̄V̅DCLXXV</t>
        </is>
      </c>
      <c r="C15676">
        <f>ROMAN(15675)</f>
        <v/>
      </c>
      <c r="D15676">
        <f>IF(B15676=C15676, "YES", "WRONG")</f>
        <v/>
      </c>
    </row>
    <row r="15677">
      <c r="A15677" t="n">
        <v>15676</v>
      </c>
      <c r="B15677" t="inlineStr">
        <is>
          <t>x̄V̅DCLXXVI</t>
        </is>
      </c>
      <c r="C15677">
        <f>ROMAN(15676)</f>
        <v/>
      </c>
      <c r="D15677">
        <f>IF(B15677=C15677, "YES", "WRONG")</f>
        <v/>
      </c>
    </row>
    <row r="15678">
      <c r="A15678" t="n">
        <v>15677</v>
      </c>
      <c r="B15678" t="inlineStr">
        <is>
          <t>x̄V̅DCLXXVII</t>
        </is>
      </c>
      <c r="C15678">
        <f>ROMAN(15677)</f>
        <v/>
      </c>
      <c r="D15678">
        <f>IF(B15678=C15678, "YES", "WRONG")</f>
        <v/>
      </c>
    </row>
    <row r="15679">
      <c r="A15679" t="n">
        <v>15678</v>
      </c>
      <c r="B15679" t="inlineStr">
        <is>
          <t>x̄V̅DCLXXVIII</t>
        </is>
      </c>
      <c r="C15679">
        <f>ROMAN(15678)</f>
        <v/>
      </c>
      <c r="D15679">
        <f>IF(B15679=C15679, "YES", "WRONG")</f>
        <v/>
      </c>
    </row>
    <row r="15680">
      <c r="A15680" t="n">
        <v>15679</v>
      </c>
      <c r="B15680" t="inlineStr">
        <is>
          <t>x̄V̅DCLXXIX</t>
        </is>
      </c>
      <c r="C15680">
        <f>ROMAN(15679)</f>
        <v/>
      </c>
      <c r="D15680">
        <f>IF(B15680=C15680, "YES", "WRONG")</f>
        <v/>
      </c>
    </row>
    <row r="15681">
      <c r="A15681" t="n">
        <v>15680</v>
      </c>
      <c r="B15681" t="inlineStr">
        <is>
          <t>x̄V̅DCLXXX</t>
        </is>
      </c>
      <c r="C15681">
        <f>ROMAN(15680)</f>
        <v/>
      </c>
      <c r="D15681">
        <f>IF(B15681=C15681, "YES", "WRONG")</f>
        <v/>
      </c>
    </row>
    <row r="15682">
      <c r="A15682" t="n">
        <v>15681</v>
      </c>
      <c r="B15682" t="inlineStr">
        <is>
          <t>x̄V̅DCLXXXI</t>
        </is>
      </c>
      <c r="C15682">
        <f>ROMAN(15681)</f>
        <v/>
      </c>
      <c r="D15682">
        <f>IF(B15682=C15682, "YES", "WRONG")</f>
        <v/>
      </c>
    </row>
    <row r="15683">
      <c r="A15683" t="n">
        <v>15682</v>
      </c>
      <c r="B15683" t="inlineStr">
        <is>
          <t>x̄V̅DCLXXXII</t>
        </is>
      </c>
      <c r="C15683">
        <f>ROMAN(15682)</f>
        <v/>
      </c>
      <c r="D15683">
        <f>IF(B15683=C15683, "YES", "WRONG")</f>
        <v/>
      </c>
    </row>
    <row r="15684">
      <c r="A15684" t="n">
        <v>15683</v>
      </c>
      <c r="B15684" t="inlineStr">
        <is>
          <t>x̄V̅DCLXXXIII</t>
        </is>
      </c>
      <c r="C15684">
        <f>ROMAN(15683)</f>
        <v/>
      </c>
      <c r="D15684">
        <f>IF(B15684=C15684, "YES", "WRONG")</f>
        <v/>
      </c>
    </row>
    <row r="15685">
      <c r="A15685" t="n">
        <v>15684</v>
      </c>
      <c r="B15685" t="inlineStr">
        <is>
          <t>x̄V̅DCLXXXIV</t>
        </is>
      </c>
      <c r="C15685">
        <f>ROMAN(15684)</f>
        <v/>
      </c>
      <c r="D15685">
        <f>IF(B15685=C15685, "YES", "WRONG")</f>
        <v/>
      </c>
    </row>
    <row r="15686">
      <c r="A15686" t="n">
        <v>15685</v>
      </c>
      <c r="B15686" t="inlineStr">
        <is>
          <t>x̄V̅DCLXXXV</t>
        </is>
      </c>
      <c r="C15686">
        <f>ROMAN(15685)</f>
        <v/>
      </c>
      <c r="D15686">
        <f>IF(B15686=C15686, "YES", "WRONG")</f>
        <v/>
      </c>
    </row>
    <row r="15687">
      <c r="A15687" t="n">
        <v>15686</v>
      </c>
      <c r="B15687" t="inlineStr">
        <is>
          <t>x̄V̅DCLXXXVI</t>
        </is>
      </c>
      <c r="C15687">
        <f>ROMAN(15686)</f>
        <v/>
      </c>
      <c r="D15687">
        <f>IF(B15687=C15687, "YES", "WRONG")</f>
        <v/>
      </c>
    </row>
    <row r="15688">
      <c r="A15688" t="n">
        <v>15687</v>
      </c>
      <c r="B15688" t="inlineStr">
        <is>
          <t>x̄V̅DCLXXXVII</t>
        </is>
      </c>
      <c r="C15688">
        <f>ROMAN(15687)</f>
        <v/>
      </c>
      <c r="D15688">
        <f>IF(B15688=C15688, "YES", "WRONG")</f>
        <v/>
      </c>
    </row>
    <row r="15689">
      <c r="A15689" t="n">
        <v>15688</v>
      </c>
      <c r="B15689" t="inlineStr">
        <is>
          <t>x̄V̅DCLXXXVIII</t>
        </is>
      </c>
      <c r="C15689">
        <f>ROMAN(15688)</f>
        <v/>
      </c>
      <c r="D15689">
        <f>IF(B15689=C15689, "YES", "WRONG")</f>
        <v/>
      </c>
    </row>
    <row r="15690">
      <c r="A15690" t="n">
        <v>15689</v>
      </c>
      <c r="B15690" t="inlineStr">
        <is>
          <t>x̄V̅DCLXXXIX</t>
        </is>
      </c>
      <c r="C15690">
        <f>ROMAN(15689)</f>
        <v/>
      </c>
      <c r="D15690">
        <f>IF(B15690=C15690, "YES", "WRONG")</f>
        <v/>
      </c>
    </row>
    <row r="15691">
      <c r="A15691" t="n">
        <v>15690</v>
      </c>
      <c r="B15691" t="inlineStr">
        <is>
          <t>x̄V̅DCXC</t>
        </is>
      </c>
      <c r="C15691">
        <f>ROMAN(15690)</f>
        <v/>
      </c>
      <c r="D15691">
        <f>IF(B15691=C15691, "YES", "WRONG")</f>
        <v/>
      </c>
    </row>
    <row r="15692">
      <c r="A15692" t="n">
        <v>15691</v>
      </c>
      <c r="B15692" t="inlineStr">
        <is>
          <t>x̄V̅DCXCI</t>
        </is>
      </c>
      <c r="C15692">
        <f>ROMAN(15691)</f>
        <v/>
      </c>
      <c r="D15692">
        <f>IF(B15692=C15692, "YES", "WRONG")</f>
        <v/>
      </c>
    </row>
    <row r="15693">
      <c r="A15693" t="n">
        <v>15692</v>
      </c>
      <c r="B15693" t="inlineStr">
        <is>
          <t>x̄V̅DCXCII</t>
        </is>
      </c>
      <c r="C15693">
        <f>ROMAN(15692)</f>
        <v/>
      </c>
      <c r="D15693">
        <f>IF(B15693=C15693, "YES", "WRONG")</f>
        <v/>
      </c>
    </row>
    <row r="15694">
      <c r="A15694" t="n">
        <v>15693</v>
      </c>
      <c r="B15694" t="inlineStr">
        <is>
          <t>x̄V̅DCXCIII</t>
        </is>
      </c>
      <c r="C15694">
        <f>ROMAN(15693)</f>
        <v/>
      </c>
      <c r="D15694">
        <f>IF(B15694=C15694, "YES", "WRONG")</f>
        <v/>
      </c>
    </row>
    <row r="15695">
      <c r="A15695" t="n">
        <v>15694</v>
      </c>
      <c r="B15695" t="inlineStr">
        <is>
          <t>x̄V̅DCXCIV</t>
        </is>
      </c>
      <c r="C15695">
        <f>ROMAN(15694)</f>
        <v/>
      </c>
      <c r="D15695">
        <f>IF(B15695=C15695, "YES", "WRONG")</f>
        <v/>
      </c>
    </row>
    <row r="15696">
      <c r="A15696" t="n">
        <v>15695</v>
      </c>
      <c r="B15696" t="inlineStr">
        <is>
          <t>x̄V̅DCXCV</t>
        </is>
      </c>
      <c r="C15696">
        <f>ROMAN(15695)</f>
        <v/>
      </c>
      <c r="D15696">
        <f>IF(B15696=C15696, "YES", "WRONG")</f>
        <v/>
      </c>
    </row>
    <row r="15697">
      <c r="A15697" t="n">
        <v>15696</v>
      </c>
      <c r="B15697" t="inlineStr">
        <is>
          <t>x̄V̅DCXCVI</t>
        </is>
      </c>
      <c r="C15697">
        <f>ROMAN(15696)</f>
        <v/>
      </c>
      <c r="D15697">
        <f>IF(B15697=C15697, "YES", "WRONG")</f>
        <v/>
      </c>
    </row>
    <row r="15698">
      <c r="A15698" t="n">
        <v>15697</v>
      </c>
      <c r="B15698" t="inlineStr">
        <is>
          <t>x̄V̅DCXCVII</t>
        </is>
      </c>
      <c r="C15698">
        <f>ROMAN(15697)</f>
        <v/>
      </c>
      <c r="D15698">
        <f>IF(B15698=C15698, "YES", "WRONG")</f>
        <v/>
      </c>
    </row>
    <row r="15699">
      <c r="A15699" t="n">
        <v>15698</v>
      </c>
      <c r="B15699" t="inlineStr">
        <is>
          <t>x̄V̅DCXCVIII</t>
        </is>
      </c>
      <c r="C15699">
        <f>ROMAN(15698)</f>
        <v/>
      </c>
      <c r="D15699">
        <f>IF(B15699=C15699, "YES", "WRONG")</f>
        <v/>
      </c>
    </row>
    <row r="15700">
      <c r="A15700" t="n">
        <v>15699</v>
      </c>
      <c r="B15700" t="inlineStr">
        <is>
          <t>x̄V̅DCXCIX</t>
        </is>
      </c>
      <c r="C15700">
        <f>ROMAN(15699)</f>
        <v/>
      </c>
      <c r="D15700">
        <f>IF(B15700=C15700, "YES", "WRONG")</f>
        <v/>
      </c>
    </row>
    <row r="15701">
      <c r="A15701" t="n">
        <v>15700</v>
      </c>
      <c r="B15701" t="inlineStr">
        <is>
          <t>x̄V̅DCC</t>
        </is>
      </c>
      <c r="C15701">
        <f>ROMAN(15700)</f>
        <v/>
      </c>
      <c r="D15701">
        <f>IF(B15701=C15701, "YES", "WRONG")</f>
        <v/>
      </c>
    </row>
    <row r="15702">
      <c r="A15702" t="n">
        <v>15701</v>
      </c>
      <c r="B15702" t="inlineStr">
        <is>
          <t>x̄V̅DCCI</t>
        </is>
      </c>
      <c r="C15702">
        <f>ROMAN(15701)</f>
        <v/>
      </c>
      <c r="D15702">
        <f>IF(B15702=C15702, "YES", "WRONG")</f>
        <v/>
      </c>
    </row>
    <row r="15703">
      <c r="A15703" t="n">
        <v>15702</v>
      </c>
      <c r="B15703" t="inlineStr">
        <is>
          <t>x̄V̅DCCII</t>
        </is>
      </c>
      <c r="C15703">
        <f>ROMAN(15702)</f>
        <v/>
      </c>
      <c r="D15703">
        <f>IF(B15703=C15703, "YES", "WRONG")</f>
        <v/>
      </c>
    </row>
    <row r="15704">
      <c r="A15704" t="n">
        <v>15703</v>
      </c>
      <c r="B15704" t="inlineStr">
        <is>
          <t>x̄V̅DCCIII</t>
        </is>
      </c>
      <c r="C15704">
        <f>ROMAN(15703)</f>
        <v/>
      </c>
      <c r="D15704">
        <f>IF(B15704=C15704, "YES", "WRONG")</f>
        <v/>
      </c>
    </row>
    <row r="15705">
      <c r="A15705" t="n">
        <v>15704</v>
      </c>
      <c r="B15705" t="inlineStr">
        <is>
          <t>x̄V̅DCCIV</t>
        </is>
      </c>
      <c r="C15705">
        <f>ROMAN(15704)</f>
        <v/>
      </c>
      <c r="D15705">
        <f>IF(B15705=C15705, "YES", "WRONG")</f>
        <v/>
      </c>
    </row>
    <row r="15706">
      <c r="A15706" t="n">
        <v>15705</v>
      </c>
      <c r="B15706" t="inlineStr">
        <is>
          <t>x̄V̅DCCV</t>
        </is>
      </c>
      <c r="C15706">
        <f>ROMAN(15705)</f>
        <v/>
      </c>
      <c r="D15706">
        <f>IF(B15706=C15706, "YES", "WRONG")</f>
        <v/>
      </c>
    </row>
    <row r="15707">
      <c r="A15707" t="n">
        <v>15706</v>
      </c>
      <c r="B15707" t="inlineStr">
        <is>
          <t>x̄V̅DCCVI</t>
        </is>
      </c>
      <c r="C15707">
        <f>ROMAN(15706)</f>
        <v/>
      </c>
      <c r="D15707">
        <f>IF(B15707=C15707, "YES", "WRONG")</f>
        <v/>
      </c>
    </row>
    <row r="15708">
      <c r="A15708" t="n">
        <v>15707</v>
      </c>
      <c r="B15708" t="inlineStr">
        <is>
          <t>x̄V̅DCCVII</t>
        </is>
      </c>
      <c r="C15708">
        <f>ROMAN(15707)</f>
        <v/>
      </c>
      <c r="D15708">
        <f>IF(B15708=C15708, "YES", "WRONG")</f>
        <v/>
      </c>
    </row>
    <row r="15709">
      <c r="A15709" t="n">
        <v>15708</v>
      </c>
      <c r="B15709" t="inlineStr">
        <is>
          <t>x̄V̅DCCVIII</t>
        </is>
      </c>
      <c r="C15709">
        <f>ROMAN(15708)</f>
        <v/>
      </c>
      <c r="D15709">
        <f>IF(B15709=C15709, "YES", "WRONG")</f>
        <v/>
      </c>
    </row>
    <row r="15710">
      <c r="A15710" t="n">
        <v>15709</v>
      </c>
      <c r="B15710" t="inlineStr">
        <is>
          <t>x̄V̅DCCIX</t>
        </is>
      </c>
      <c r="C15710">
        <f>ROMAN(15709)</f>
        <v/>
      </c>
      <c r="D15710">
        <f>IF(B15710=C15710, "YES", "WRONG")</f>
        <v/>
      </c>
    </row>
    <row r="15711">
      <c r="A15711" t="n">
        <v>15710</v>
      </c>
      <c r="B15711" t="inlineStr">
        <is>
          <t>x̄V̅DCCX</t>
        </is>
      </c>
      <c r="C15711">
        <f>ROMAN(15710)</f>
        <v/>
      </c>
      <c r="D15711">
        <f>IF(B15711=C15711, "YES", "WRONG")</f>
        <v/>
      </c>
    </row>
    <row r="15712">
      <c r="A15712" t="n">
        <v>15711</v>
      </c>
      <c r="B15712" t="inlineStr">
        <is>
          <t>x̄V̅DCCXI</t>
        </is>
      </c>
      <c r="C15712">
        <f>ROMAN(15711)</f>
        <v/>
      </c>
      <c r="D15712">
        <f>IF(B15712=C15712, "YES", "WRONG")</f>
        <v/>
      </c>
    </row>
    <row r="15713">
      <c r="A15713" t="n">
        <v>15712</v>
      </c>
      <c r="B15713" t="inlineStr">
        <is>
          <t>x̄V̅DCCXII</t>
        </is>
      </c>
      <c r="C15713">
        <f>ROMAN(15712)</f>
        <v/>
      </c>
      <c r="D15713">
        <f>IF(B15713=C15713, "YES", "WRONG")</f>
        <v/>
      </c>
    </row>
    <row r="15714">
      <c r="A15714" t="n">
        <v>15713</v>
      </c>
      <c r="B15714" t="inlineStr">
        <is>
          <t>x̄V̅DCCXIII</t>
        </is>
      </c>
      <c r="C15714">
        <f>ROMAN(15713)</f>
        <v/>
      </c>
      <c r="D15714">
        <f>IF(B15714=C15714, "YES", "WRONG")</f>
        <v/>
      </c>
    </row>
    <row r="15715">
      <c r="A15715" t="n">
        <v>15714</v>
      </c>
      <c r="B15715" t="inlineStr">
        <is>
          <t>x̄V̅DCCXIV</t>
        </is>
      </c>
      <c r="C15715">
        <f>ROMAN(15714)</f>
        <v/>
      </c>
      <c r="D15715">
        <f>IF(B15715=C15715, "YES", "WRONG")</f>
        <v/>
      </c>
    </row>
    <row r="15716">
      <c r="A15716" t="n">
        <v>15715</v>
      </c>
      <c r="B15716" t="inlineStr">
        <is>
          <t>x̄V̅DCCXV</t>
        </is>
      </c>
      <c r="C15716">
        <f>ROMAN(15715)</f>
        <v/>
      </c>
      <c r="D15716">
        <f>IF(B15716=C15716, "YES", "WRONG")</f>
        <v/>
      </c>
    </row>
    <row r="15717">
      <c r="A15717" t="n">
        <v>15716</v>
      </c>
      <c r="B15717" t="inlineStr">
        <is>
          <t>x̄V̅DCCXVI</t>
        </is>
      </c>
      <c r="C15717">
        <f>ROMAN(15716)</f>
        <v/>
      </c>
      <c r="D15717">
        <f>IF(B15717=C15717, "YES", "WRONG")</f>
        <v/>
      </c>
    </row>
    <row r="15718">
      <c r="A15718" t="n">
        <v>15717</v>
      </c>
      <c r="B15718" t="inlineStr">
        <is>
          <t>x̄V̅DCCXVII</t>
        </is>
      </c>
      <c r="C15718">
        <f>ROMAN(15717)</f>
        <v/>
      </c>
      <c r="D15718">
        <f>IF(B15718=C15718, "YES", "WRONG")</f>
        <v/>
      </c>
    </row>
    <row r="15719">
      <c r="A15719" t="n">
        <v>15718</v>
      </c>
      <c r="B15719" t="inlineStr">
        <is>
          <t>x̄V̅DCCXVIII</t>
        </is>
      </c>
      <c r="C15719">
        <f>ROMAN(15718)</f>
        <v/>
      </c>
      <c r="D15719">
        <f>IF(B15719=C15719, "YES", "WRONG")</f>
        <v/>
      </c>
    </row>
    <row r="15720">
      <c r="A15720" t="n">
        <v>15719</v>
      </c>
      <c r="B15720" t="inlineStr">
        <is>
          <t>x̄V̅DCCXIX</t>
        </is>
      </c>
      <c r="C15720">
        <f>ROMAN(15719)</f>
        <v/>
      </c>
      <c r="D15720">
        <f>IF(B15720=C15720, "YES", "WRONG")</f>
        <v/>
      </c>
    </row>
    <row r="15721">
      <c r="A15721" t="n">
        <v>15720</v>
      </c>
      <c r="B15721" t="inlineStr">
        <is>
          <t>x̄V̅DCCXX</t>
        </is>
      </c>
      <c r="C15721">
        <f>ROMAN(15720)</f>
        <v/>
      </c>
      <c r="D15721">
        <f>IF(B15721=C15721, "YES", "WRONG")</f>
        <v/>
      </c>
    </row>
    <row r="15722">
      <c r="A15722" t="n">
        <v>15721</v>
      </c>
      <c r="B15722" t="inlineStr">
        <is>
          <t>x̄V̅DCCXXI</t>
        </is>
      </c>
      <c r="C15722">
        <f>ROMAN(15721)</f>
        <v/>
      </c>
      <c r="D15722">
        <f>IF(B15722=C15722, "YES", "WRONG")</f>
        <v/>
      </c>
    </row>
    <row r="15723">
      <c r="A15723" t="n">
        <v>15722</v>
      </c>
      <c r="B15723" t="inlineStr">
        <is>
          <t>x̄V̅DCCXXII</t>
        </is>
      </c>
      <c r="C15723">
        <f>ROMAN(15722)</f>
        <v/>
      </c>
      <c r="D15723">
        <f>IF(B15723=C15723, "YES", "WRONG")</f>
        <v/>
      </c>
    </row>
    <row r="15724">
      <c r="A15724" t="n">
        <v>15723</v>
      </c>
      <c r="B15724" t="inlineStr">
        <is>
          <t>x̄V̅DCCXXIII</t>
        </is>
      </c>
      <c r="C15724">
        <f>ROMAN(15723)</f>
        <v/>
      </c>
      <c r="D15724">
        <f>IF(B15724=C15724, "YES", "WRONG")</f>
        <v/>
      </c>
    </row>
    <row r="15725">
      <c r="A15725" t="n">
        <v>15724</v>
      </c>
      <c r="B15725" t="inlineStr">
        <is>
          <t>x̄V̅DCCXXIV</t>
        </is>
      </c>
      <c r="C15725">
        <f>ROMAN(15724)</f>
        <v/>
      </c>
      <c r="D15725">
        <f>IF(B15725=C15725, "YES", "WRONG")</f>
        <v/>
      </c>
    </row>
    <row r="15726">
      <c r="A15726" t="n">
        <v>15725</v>
      </c>
      <c r="B15726" t="inlineStr">
        <is>
          <t>x̄V̅DCCXXV</t>
        </is>
      </c>
      <c r="C15726">
        <f>ROMAN(15725)</f>
        <v/>
      </c>
      <c r="D15726">
        <f>IF(B15726=C15726, "YES", "WRONG")</f>
        <v/>
      </c>
    </row>
    <row r="15727">
      <c r="A15727" t="n">
        <v>15726</v>
      </c>
      <c r="B15727" t="inlineStr">
        <is>
          <t>x̄V̅DCCXXVI</t>
        </is>
      </c>
      <c r="C15727">
        <f>ROMAN(15726)</f>
        <v/>
      </c>
      <c r="D15727">
        <f>IF(B15727=C15727, "YES", "WRONG")</f>
        <v/>
      </c>
    </row>
    <row r="15728">
      <c r="A15728" t="n">
        <v>15727</v>
      </c>
      <c r="B15728" t="inlineStr">
        <is>
          <t>x̄V̅DCCXXVII</t>
        </is>
      </c>
      <c r="C15728">
        <f>ROMAN(15727)</f>
        <v/>
      </c>
      <c r="D15728">
        <f>IF(B15728=C15728, "YES", "WRONG")</f>
        <v/>
      </c>
    </row>
    <row r="15729">
      <c r="A15729" t="n">
        <v>15728</v>
      </c>
      <c r="B15729" t="inlineStr">
        <is>
          <t>x̄V̅DCCXXVIII</t>
        </is>
      </c>
      <c r="C15729">
        <f>ROMAN(15728)</f>
        <v/>
      </c>
      <c r="D15729">
        <f>IF(B15729=C15729, "YES", "WRONG")</f>
        <v/>
      </c>
    </row>
    <row r="15730">
      <c r="A15730" t="n">
        <v>15729</v>
      </c>
      <c r="B15730" t="inlineStr">
        <is>
          <t>x̄V̅DCCXXIX</t>
        </is>
      </c>
      <c r="C15730">
        <f>ROMAN(15729)</f>
        <v/>
      </c>
      <c r="D15730">
        <f>IF(B15730=C15730, "YES", "WRONG")</f>
        <v/>
      </c>
    </row>
    <row r="15731">
      <c r="A15731" t="n">
        <v>15730</v>
      </c>
      <c r="B15731" t="inlineStr">
        <is>
          <t>x̄V̅DCCXXX</t>
        </is>
      </c>
      <c r="C15731">
        <f>ROMAN(15730)</f>
        <v/>
      </c>
      <c r="D15731">
        <f>IF(B15731=C15731, "YES", "WRONG")</f>
        <v/>
      </c>
    </row>
    <row r="15732">
      <c r="A15732" t="n">
        <v>15731</v>
      </c>
      <c r="B15732" t="inlineStr">
        <is>
          <t>x̄V̅DCCXXXI</t>
        </is>
      </c>
      <c r="C15732">
        <f>ROMAN(15731)</f>
        <v/>
      </c>
      <c r="D15732">
        <f>IF(B15732=C15732, "YES", "WRONG")</f>
        <v/>
      </c>
    </row>
    <row r="15733">
      <c r="A15733" t="n">
        <v>15732</v>
      </c>
      <c r="B15733" t="inlineStr">
        <is>
          <t>x̄V̅DCCXXXII</t>
        </is>
      </c>
      <c r="C15733">
        <f>ROMAN(15732)</f>
        <v/>
      </c>
      <c r="D15733">
        <f>IF(B15733=C15733, "YES", "WRONG")</f>
        <v/>
      </c>
    </row>
    <row r="15734">
      <c r="A15734" t="n">
        <v>15733</v>
      </c>
      <c r="B15734" t="inlineStr">
        <is>
          <t>x̄V̅DCCXXXIII</t>
        </is>
      </c>
      <c r="C15734">
        <f>ROMAN(15733)</f>
        <v/>
      </c>
      <c r="D15734">
        <f>IF(B15734=C15734, "YES", "WRONG")</f>
        <v/>
      </c>
    </row>
    <row r="15735">
      <c r="A15735" t="n">
        <v>15734</v>
      </c>
      <c r="B15735" t="inlineStr">
        <is>
          <t>x̄V̅DCCXXXIV</t>
        </is>
      </c>
      <c r="C15735">
        <f>ROMAN(15734)</f>
        <v/>
      </c>
      <c r="D15735">
        <f>IF(B15735=C15735, "YES", "WRONG")</f>
        <v/>
      </c>
    </row>
    <row r="15736">
      <c r="A15736" t="n">
        <v>15735</v>
      </c>
      <c r="B15736" t="inlineStr">
        <is>
          <t>x̄V̅DCCXXXV</t>
        </is>
      </c>
      <c r="C15736">
        <f>ROMAN(15735)</f>
        <v/>
      </c>
      <c r="D15736">
        <f>IF(B15736=C15736, "YES", "WRONG")</f>
        <v/>
      </c>
    </row>
    <row r="15737">
      <c r="A15737" t="n">
        <v>15736</v>
      </c>
      <c r="B15737" t="inlineStr">
        <is>
          <t>x̄V̅DCCXXXVI</t>
        </is>
      </c>
      <c r="C15737">
        <f>ROMAN(15736)</f>
        <v/>
      </c>
      <c r="D15737">
        <f>IF(B15737=C15737, "YES", "WRONG")</f>
        <v/>
      </c>
    </row>
    <row r="15738">
      <c r="A15738" t="n">
        <v>15737</v>
      </c>
      <c r="B15738" t="inlineStr">
        <is>
          <t>x̄V̅DCCXXXVII</t>
        </is>
      </c>
      <c r="C15738">
        <f>ROMAN(15737)</f>
        <v/>
      </c>
      <c r="D15738">
        <f>IF(B15738=C15738, "YES", "WRONG")</f>
        <v/>
      </c>
    </row>
    <row r="15739">
      <c r="A15739" t="n">
        <v>15738</v>
      </c>
      <c r="B15739" t="inlineStr">
        <is>
          <t>x̄V̅DCCXXXVIII</t>
        </is>
      </c>
      <c r="C15739">
        <f>ROMAN(15738)</f>
        <v/>
      </c>
      <c r="D15739">
        <f>IF(B15739=C15739, "YES", "WRONG")</f>
        <v/>
      </c>
    </row>
    <row r="15740">
      <c r="A15740" t="n">
        <v>15739</v>
      </c>
      <c r="B15740" t="inlineStr">
        <is>
          <t>x̄V̅DCCXXXIX</t>
        </is>
      </c>
      <c r="C15740">
        <f>ROMAN(15739)</f>
        <v/>
      </c>
      <c r="D15740">
        <f>IF(B15740=C15740, "YES", "WRONG")</f>
        <v/>
      </c>
    </row>
    <row r="15741">
      <c r="A15741" t="n">
        <v>15740</v>
      </c>
      <c r="B15741" t="inlineStr">
        <is>
          <t>x̄V̅DCCXL</t>
        </is>
      </c>
      <c r="C15741">
        <f>ROMAN(15740)</f>
        <v/>
      </c>
      <c r="D15741">
        <f>IF(B15741=C15741, "YES", "WRONG")</f>
        <v/>
      </c>
    </row>
    <row r="15742">
      <c r="A15742" t="n">
        <v>15741</v>
      </c>
      <c r="B15742" t="inlineStr">
        <is>
          <t>x̄V̅DCCXLI</t>
        </is>
      </c>
      <c r="C15742">
        <f>ROMAN(15741)</f>
        <v/>
      </c>
      <c r="D15742">
        <f>IF(B15742=C15742, "YES", "WRONG")</f>
        <v/>
      </c>
    </row>
    <row r="15743">
      <c r="A15743" t="n">
        <v>15742</v>
      </c>
      <c r="B15743" t="inlineStr">
        <is>
          <t>x̄V̅DCCXLII</t>
        </is>
      </c>
      <c r="C15743">
        <f>ROMAN(15742)</f>
        <v/>
      </c>
      <c r="D15743">
        <f>IF(B15743=C15743, "YES", "WRONG")</f>
        <v/>
      </c>
    </row>
    <row r="15744">
      <c r="A15744" t="n">
        <v>15743</v>
      </c>
      <c r="B15744" t="inlineStr">
        <is>
          <t>x̄V̅DCCXLIII</t>
        </is>
      </c>
      <c r="C15744">
        <f>ROMAN(15743)</f>
        <v/>
      </c>
      <c r="D15744">
        <f>IF(B15744=C15744, "YES", "WRONG")</f>
        <v/>
      </c>
    </row>
    <row r="15745">
      <c r="A15745" t="n">
        <v>15744</v>
      </c>
      <c r="B15745" t="inlineStr">
        <is>
          <t>x̄V̅DCCXLIV</t>
        </is>
      </c>
      <c r="C15745">
        <f>ROMAN(15744)</f>
        <v/>
      </c>
      <c r="D15745">
        <f>IF(B15745=C15745, "YES", "WRONG")</f>
        <v/>
      </c>
    </row>
    <row r="15746">
      <c r="A15746" t="n">
        <v>15745</v>
      </c>
      <c r="B15746" t="inlineStr">
        <is>
          <t>x̄V̅DCCXLV</t>
        </is>
      </c>
      <c r="C15746">
        <f>ROMAN(15745)</f>
        <v/>
      </c>
      <c r="D15746">
        <f>IF(B15746=C15746, "YES", "WRONG")</f>
        <v/>
      </c>
    </row>
    <row r="15747">
      <c r="A15747" t="n">
        <v>15746</v>
      </c>
      <c r="B15747" t="inlineStr">
        <is>
          <t>x̄V̅DCCXLVI</t>
        </is>
      </c>
      <c r="C15747">
        <f>ROMAN(15746)</f>
        <v/>
      </c>
      <c r="D15747">
        <f>IF(B15747=C15747, "YES", "WRONG")</f>
        <v/>
      </c>
    </row>
    <row r="15748">
      <c r="A15748" t="n">
        <v>15747</v>
      </c>
      <c r="B15748" t="inlineStr">
        <is>
          <t>x̄V̅DCCXLVII</t>
        </is>
      </c>
      <c r="C15748">
        <f>ROMAN(15747)</f>
        <v/>
      </c>
      <c r="D15748">
        <f>IF(B15748=C15748, "YES", "WRONG")</f>
        <v/>
      </c>
    </row>
    <row r="15749">
      <c r="A15749" t="n">
        <v>15748</v>
      </c>
      <c r="B15749" t="inlineStr">
        <is>
          <t>x̄V̅DCCXLVIII</t>
        </is>
      </c>
      <c r="C15749">
        <f>ROMAN(15748)</f>
        <v/>
      </c>
      <c r="D15749">
        <f>IF(B15749=C15749, "YES", "WRONG")</f>
        <v/>
      </c>
    </row>
    <row r="15750">
      <c r="A15750" t="n">
        <v>15749</v>
      </c>
      <c r="B15750" t="inlineStr">
        <is>
          <t>x̄V̅DCCXLIX</t>
        </is>
      </c>
      <c r="C15750">
        <f>ROMAN(15749)</f>
        <v/>
      </c>
      <c r="D15750">
        <f>IF(B15750=C15750, "YES", "WRONG")</f>
        <v/>
      </c>
    </row>
    <row r="15751">
      <c r="A15751" t="n">
        <v>15750</v>
      </c>
      <c r="B15751" t="inlineStr">
        <is>
          <t>x̄V̅DCCL</t>
        </is>
      </c>
      <c r="C15751">
        <f>ROMAN(15750)</f>
        <v/>
      </c>
      <c r="D15751">
        <f>IF(B15751=C15751, "YES", "WRONG")</f>
        <v/>
      </c>
    </row>
    <row r="15752">
      <c r="A15752" t="n">
        <v>15751</v>
      </c>
      <c r="B15752" t="inlineStr">
        <is>
          <t>x̄V̅DCCLI</t>
        </is>
      </c>
      <c r="C15752">
        <f>ROMAN(15751)</f>
        <v/>
      </c>
      <c r="D15752">
        <f>IF(B15752=C15752, "YES", "WRONG")</f>
        <v/>
      </c>
    </row>
    <row r="15753">
      <c r="A15753" t="n">
        <v>15752</v>
      </c>
      <c r="B15753" t="inlineStr">
        <is>
          <t>x̄V̅DCCLII</t>
        </is>
      </c>
      <c r="C15753">
        <f>ROMAN(15752)</f>
        <v/>
      </c>
      <c r="D15753">
        <f>IF(B15753=C15753, "YES", "WRONG")</f>
        <v/>
      </c>
    </row>
    <row r="15754">
      <c r="A15754" t="n">
        <v>15753</v>
      </c>
      <c r="B15754" t="inlineStr">
        <is>
          <t>x̄V̅DCCLIII</t>
        </is>
      </c>
      <c r="C15754">
        <f>ROMAN(15753)</f>
        <v/>
      </c>
      <c r="D15754">
        <f>IF(B15754=C15754, "YES", "WRONG")</f>
        <v/>
      </c>
    </row>
    <row r="15755">
      <c r="A15755" t="n">
        <v>15754</v>
      </c>
      <c r="B15755" t="inlineStr">
        <is>
          <t>x̄V̅DCCLIV</t>
        </is>
      </c>
      <c r="C15755">
        <f>ROMAN(15754)</f>
        <v/>
      </c>
      <c r="D15755">
        <f>IF(B15755=C15755, "YES", "WRONG")</f>
        <v/>
      </c>
    </row>
    <row r="15756">
      <c r="A15756" t="n">
        <v>15755</v>
      </c>
      <c r="B15756" t="inlineStr">
        <is>
          <t>x̄V̅DCCLV</t>
        </is>
      </c>
      <c r="C15756">
        <f>ROMAN(15755)</f>
        <v/>
      </c>
      <c r="D15756">
        <f>IF(B15756=C15756, "YES", "WRONG")</f>
        <v/>
      </c>
    </row>
    <row r="15757">
      <c r="A15757" t="n">
        <v>15756</v>
      </c>
      <c r="B15757" t="inlineStr">
        <is>
          <t>x̄V̅DCCLVI</t>
        </is>
      </c>
      <c r="C15757">
        <f>ROMAN(15756)</f>
        <v/>
      </c>
      <c r="D15757">
        <f>IF(B15757=C15757, "YES", "WRONG")</f>
        <v/>
      </c>
    </row>
    <row r="15758">
      <c r="A15758" t="n">
        <v>15757</v>
      </c>
      <c r="B15758" t="inlineStr">
        <is>
          <t>x̄V̅DCCLVII</t>
        </is>
      </c>
      <c r="C15758">
        <f>ROMAN(15757)</f>
        <v/>
      </c>
      <c r="D15758">
        <f>IF(B15758=C15758, "YES", "WRONG")</f>
        <v/>
      </c>
    </row>
    <row r="15759">
      <c r="A15759" t="n">
        <v>15758</v>
      </c>
      <c r="B15759" t="inlineStr">
        <is>
          <t>x̄V̅DCCLVIII</t>
        </is>
      </c>
      <c r="C15759">
        <f>ROMAN(15758)</f>
        <v/>
      </c>
      <c r="D15759">
        <f>IF(B15759=C15759, "YES", "WRONG")</f>
        <v/>
      </c>
    </row>
    <row r="15760">
      <c r="A15760" t="n">
        <v>15759</v>
      </c>
      <c r="B15760" t="inlineStr">
        <is>
          <t>x̄V̅DCCLIX</t>
        </is>
      </c>
      <c r="C15760">
        <f>ROMAN(15759)</f>
        <v/>
      </c>
      <c r="D15760">
        <f>IF(B15760=C15760, "YES", "WRONG")</f>
        <v/>
      </c>
    </row>
    <row r="15761">
      <c r="A15761" t="n">
        <v>15760</v>
      </c>
      <c r="B15761" t="inlineStr">
        <is>
          <t>x̄V̅DCCLX</t>
        </is>
      </c>
      <c r="C15761">
        <f>ROMAN(15760)</f>
        <v/>
      </c>
      <c r="D15761">
        <f>IF(B15761=C15761, "YES", "WRONG")</f>
        <v/>
      </c>
    </row>
    <row r="15762">
      <c r="A15762" t="n">
        <v>15761</v>
      </c>
      <c r="B15762" t="inlineStr">
        <is>
          <t>x̄V̅DCCLXI</t>
        </is>
      </c>
      <c r="C15762">
        <f>ROMAN(15761)</f>
        <v/>
      </c>
      <c r="D15762">
        <f>IF(B15762=C15762, "YES", "WRONG")</f>
        <v/>
      </c>
    </row>
    <row r="15763">
      <c r="A15763" t="n">
        <v>15762</v>
      </c>
      <c r="B15763" t="inlineStr">
        <is>
          <t>x̄V̅DCCLXII</t>
        </is>
      </c>
      <c r="C15763">
        <f>ROMAN(15762)</f>
        <v/>
      </c>
      <c r="D15763">
        <f>IF(B15763=C15763, "YES", "WRONG")</f>
        <v/>
      </c>
    </row>
    <row r="15764">
      <c r="A15764" t="n">
        <v>15763</v>
      </c>
      <c r="B15764" t="inlineStr">
        <is>
          <t>x̄V̅DCCLXIII</t>
        </is>
      </c>
      <c r="C15764">
        <f>ROMAN(15763)</f>
        <v/>
      </c>
      <c r="D15764">
        <f>IF(B15764=C15764, "YES", "WRONG")</f>
        <v/>
      </c>
    </row>
    <row r="15765">
      <c r="A15765" t="n">
        <v>15764</v>
      </c>
      <c r="B15765" t="inlineStr">
        <is>
          <t>x̄V̅DCCLXIV</t>
        </is>
      </c>
      <c r="C15765">
        <f>ROMAN(15764)</f>
        <v/>
      </c>
      <c r="D15765">
        <f>IF(B15765=C15765, "YES", "WRONG")</f>
        <v/>
      </c>
    </row>
    <row r="15766">
      <c r="A15766" t="n">
        <v>15765</v>
      </c>
      <c r="B15766" t="inlineStr">
        <is>
          <t>x̄V̅DCCLXV</t>
        </is>
      </c>
      <c r="C15766">
        <f>ROMAN(15765)</f>
        <v/>
      </c>
      <c r="D15766">
        <f>IF(B15766=C15766, "YES", "WRONG")</f>
        <v/>
      </c>
    </row>
    <row r="15767">
      <c r="A15767" t="n">
        <v>15766</v>
      </c>
      <c r="B15767" t="inlineStr">
        <is>
          <t>x̄V̅DCCLXVI</t>
        </is>
      </c>
      <c r="C15767">
        <f>ROMAN(15766)</f>
        <v/>
      </c>
      <c r="D15767">
        <f>IF(B15767=C15767, "YES", "WRONG")</f>
        <v/>
      </c>
    </row>
    <row r="15768">
      <c r="A15768" t="n">
        <v>15767</v>
      </c>
      <c r="B15768" t="inlineStr">
        <is>
          <t>x̄V̅DCCLXVII</t>
        </is>
      </c>
      <c r="C15768">
        <f>ROMAN(15767)</f>
        <v/>
      </c>
      <c r="D15768">
        <f>IF(B15768=C15768, "YES", "WRONG")</f>
        <v/>
      </c>
    </row>
    <row r="15769">
      <c r="A15769" t="n">
        <v>15768</v>
      </c>
      <c r="B15769" t="inlineStr">
        <is>
          <t>x̄V̅DCCLXVIII</t>
        </is>
      </c>
      <c r="C15769">
        <f>ROMAN(15768)</f>
        <v/>
      </c>
      <c r="D15769">
        <f>IF(B15769=C15769, "YES", "WRONG")</f>
        <v/>
      </c>
    </row>
    <row r="15770">
      <c r="A15770" t="n">
        <v>15769</v>
      </c>
      <c r="B15770" t="inlineStr">
        <is>
          <t>x̄V̅DCCLXIX</t>
        </is>
      </c>
      <c r="C15770">
        <f>ROMAN(15769)</f>
        <v/>
      </c>
      <c r="D15770">
        <f>IF(B15770=C15770, "YES", "WRONG")</f>
        <v/>
      </c>
    </row>
    <row r="15771">
      <c r="A15771" t="n">
        <v>15770</v>
      </c>
      <c r="B15771" t="inlineStr">
        <is>
          <t>x̄V̅DCCLXX</t>
        </is>
      </c>
      <c r="C15771">
        <f>ROMAN(15770)</f>
        <v/>
      </c>
      <c r="D15771">
        <f>IF(B15771=C15771, "YES", "WRONG")</f>
        <v/>
      </c>
    </row>
    <row r="15772">
      <c r="A15772" t="n">
        <v>15771</v>
      </c>
      <c r="B15772" t="inlineStr">
        <is>
          <t>x̄V̅DCCLXXI</t>
        </is>
      </c>
      <c r="C15772">
        <f>ROMAN(15771)</f>
        <v/>
      </c>
      <c r="D15772">
        <f>IF(B15772=C15772, "YES", "WRONG")</f>
        <v/>
      </c>
    </row>
    <row r="15773">
      <c r="A15773" t="n">
        <v>15772</v>
      </c>
      <c r="B15773" t="inlineStr">
        <is>
          <t>x̄V̅DCCLXXII</t>
        </is>
      </c>
      <c r="C15773">
        <f>ROMAN(15772)</f>
        <v/>
      </c>
      <c r="D15773">
        <f>IF(B15773=C15773, "YES", "WRONG")</f>
        <v/>
      </c>
    </row>
    <row r="15774">
      <c r="A15774" t="n">
        <v>15773</v>
      </c>
      <c r="B15774" t="inlineStr">
        <is>
          <t>x̄V̅DCCLXXIII</t>
        </is>
      </c>
      <c r="C15774">
        <f>ROMAN(15773)</f>
        <v/>
      </c>
      <c r="D15774">
        <f>IF(B15774=C15774, "YES", "WRONG")</f>
        <v/>
      </c>
    </row>
    <row r="15775">
      <c r="A15775" t="n">
        <v>15774</v>
      </c>
      <c r="B15775" t="inlineStr">
        <is>
          <t>x̄V̅DCCLXXIV</t>
        </is>
      </c>
      <c r="C15775">
        <f>ROMAN(15774)</f>
        <v/>
      </c>
      <c r="D15775">
        <f>IF(B15775=C15775, "YES", "WRONG")</f>
        <v/>
      </c>
    </row>
    <row r="15776">
      <c r="A15776" t="n">
        <v>15775</v>
      </c>
      <c r="B15776" t="inlineStr">
        <is>
          <t>x̄V̅DCCLXXV</t>
        </is>
      </c>
      <c r="C15776">
        <f>ROMAN(15775)</f>
        <v/>
      </c>
      <c r="D15776">
        <f>IF(B15776=C15776, "YES", "WRONG")</f>
        <v/>
      </c>
    </row>
    <row r="15777">
      <c r="A15777" t="n">
        <v>15776</v>
      </c>
      <c r="B15777" t="inlineStr">
        <is>
          <t>x̄V̅DCCLXXVI</t>
        </is>
      </c>
      <c r="C15777">
        <f>ROMAN(15776)</f>
        <v/>
      </c>
      <c r="D15777">
        <f>IF(B15777=C15777, "YES", "WRONG")</f>
        <v/>
      </c>
    </row>
    <row r="15778">
      <c r="A15778" t="n">
        <v>15777</v>
      </c>
      <c r="B15778" t="inlineStr">
        <is>
          <t>x̄V̅DCCLXXVII</t>
        </is>
      </c>
      <c r="C15778">
        <f>ROMAN(15777)</f>
        <v/>
      </c>
      <c r="D15778">
        <f>IF(B15778=C15778, "YES", "WRONG")</f>
        <v/>
      </c>
    </row>
    <row r="15779">
      <c r="A15779" t="n">
        <v>15778</v>
      </c>
      <c r="B15779" t="inlineStr">
        <is>
          <t>x̄V̅DCCLXXVIII</t>
        </is>
      </c>
      <c r="C15779">
        <f>ROMAN(15778)</f>
        <v/>
      </c>
      <c r="D15779">
        <f>IF(B15779=C15779, "YES", "WRONG")</f>
        <v/>
      </c>
    </row>
    <row r="15780">
      <c r="A15780" t="n">
        <v>15779</v>
      </c>
      <c r="B15780" t="inlineStr">
        <is>
          <t>x̄V̅DCCLXXIX</t>
        </is>
      </c>
      <c r="C15780">
        <f>ROMAN(15779)</f>
        <v/>
      </c>
      <c r="D15780">
        <f>IF(B15780=C15780, "YES", "WRONG")</f>
        <v/>
      </c>
    </row>
    <row r="15781">
      <c r="A15781" t="n">
        <v>15780</v>
      </c>
      <c r="B15781" t="inlineStr">
        <is>
          <t>x̄V̅DCCLXXX</t>
        </is>
      </c>
      <c r="C15781">
        <f>ROMAN(15780)</f>
        <v/>
      </c>
      <c r="D15781">
        <f>IF(B15781=C15781, "YES", "WRONG")</f>
        <v/>
      </c>
    </row>
    <row r="15782">
      <c r="A15782" t="n">
        <v>15781</v>
      </c>
      <c r="B15782" t="inlineStr">
        <is>
          <t>x̄V̅DCCLXXXI</t>
        </is>
      </c>
      <c r="C15782">
        <f>ROMAN(15781)</f>
        <v/>
      </c>
      <c r="D15782">
        <f>IF(B15782=C15782, "YES", "WRONG")</f>
        <v/>
      </c>
    </row>
    <row r="15783">
      <c r="A15783" t="n">
        <v>15782</v>
      </c>
      <c r="B15783" t="inlineStr">
        <is>
          <t>x̄V̅DCCLXXXII</t>
        </is>
      </c>
      <c r="C15783">
        <f>ROMAN(15782)</f>
        <v/>
      </c>
      <c r="D15783">
        <f>IF(B15783=C15783, "YES", "WRONG")</f>
        <v/>
      </c>
    </row>
    <row r="15784">
      <c r="A15784" t="n">
        <v>15783</v>
      </c>
      <c r="B15784" t="inlineStr">
        <is>
          <t>x̄V̅DCCLXXXIII</t>
        </is>
      </c>
      <c r="C15784">
        <f>ROMAN(15783)</f>
        <v/>
      </c>
      <c r="D15784">
        <f>IF(B15784=C15784, "YES", "WRONG")</f>
        <v/>
      </c>
    </row>
    <row r="15785">
      <c r="A15785" t="n">
        <v>15784</v>
      </c>
      <c r="B15785" t="inlineStr">
        <is>
          <t>x̄V̅DCCLXXXIV</t>
        </is>
      </c>
      <c r="C15785">
        <f>ROMAN(15784)</f>
        <v/>
      </c>
      <c r="D15785">
        <f>IF(B15785=C15785, "YES", "WRONG")</f>
        <v/>
      </c>
    </row>
    <row r="15786">
      <c r="A15786" t="n">
        <v>15785</v>
      </c>
      <c r="B15786" t="inlineStr">
        <is>
          <t>x̄V̅DCCLXXXV</t>
        </is>
      </c>
      <c r="C15786">
        <f>ROMAN(15785)</f>
        <v/>
      </c>
      <c r="D15786">
        <f>IF(B15786=C15786, "YES", "WRONG")</f>
        <v/>
      </c>
    </row>
    <row r="15787">
      <c r="A15787" t="n">
        <v>15786</v>
      </c>
      <c r="B15787" t="inlineStr">
        <is>
          <t>x̄V̅DCCLXXXVI</t>
        </is>
      </c>
      <c r="C15787">
        <f>ROMAN(15786)</f>
        <v/>
      </c>
      <c r="D15787">
        <f>IF(B15787=C15787, "YES", "WRONG")</f>
        <v/>
      </c>
    </row>
    <row r="15788">
      <c r="A15788" t="n">
        <v>15787</v>
      </c>
      <c r="B15788" t="inlineStr">
        <is>
          <t>x̄V̅DCCLXXXVII</t>
        </is>
      </c>
      <c r="C15788">
        <f>ROMAN(15787)</f>
        <v/>
      </c>
      <c r="D15788">
        <f>IF(B15788=C15788, "YES", "WRONG")</f>
        <v/>
      </c>
    </row>
    <row r="15789">
      <c r="A15789" t="n">
        <v>15788</v>
      </c>
      <c r="B15789" t="inlineStr">
        <is>
          <t>x̄V̅DCCLXXXVIII</t>
        </is>
      </c>
      <c r="C15789">
        <f>ROMAN(15788)</f>
        <v/>
      </c>
      <c r="D15789">
        <f>IF(B15789=C15789, "YES", "WRONG")</f>
        <v/>
      </c>
    </row>
    <row r="15790">
      <c r="A15790" t="n">
        <v>15789</v>
      </c>
      <c r="B15790" t="inlineStr">
        <is>
          <t>x̄V̅DCCLXXXIX</t>
        </is>
      </c>
      <c r="C15790">
        <f>ROMAN(15789)</f>
        <v/>
      </c>
      <c r="D15790">
        <f>IF(B15790=C15790, "YES", "WRONG")</f>
        <v/>
      </c>
    </row>
    <row r="15791">
      <c r="A15791" t="n">
        <v>15790</v>
      </c>
      <c r="B15791" t="inlineStr">
        <is>
          <t>x̄V̅DCCXC</t>
        </is>
      </c>
      <c r="C15791">
        <f>ROMAN(15790)</f>
        <v/>
      </c>
      <c r="D15791">
        <f>IF(B15791=C15791, "YES", "WRONG")</f>
        <v/>
      </c>
    </row>
    <row r="15792">
      <c r="A15792" t="n">
        <v>15791</v>
      </c>
      <c r="B15792" t="inlineStr">
        <is>
          <t>x̄V̅DCCXCI</t>
        </is>
      </c>
      <c r="C15792">
        <f>ROMAN(15791)</f>
        <v/>
      </c>
      <c r="D15792">
        <f>IF(B15792=C15792, "YES", "WRONG")</f>
        <v/>
      </c>
    </row>
    <row r="15793">
      <c r="A15793" t="n">
        <v>15792</v>
      </c>
      <c r="B15793" t="inlineStr">
        <is>
          <t>x̄V̅DCCXCII</t>
        </is>
      </c>
      <c r="C15793">
        <f>ROMAN(15792)</f>
        <v/>
      </c>
      <c r="D15793">
        <f>IF(B15793=C15793, "YES", "WRONG")</f>
        <v/>
      </c>
    </row>
    <row r="15794">
      <c r="A15794" t="n">
        <v>15793</v>
      </c>
      <c r="B15794" t="inlineStr">
        <is>
          <t>x̄V̅DCCXCIII</t>
        </is>
      </c>
      <c r="C15794">
        <f>ROMAN(15793)</f>
        <v/>
      </c>
      <c r="D15794">
        <f>IF(B15794=C15794, "YES", "WRONG")</f>
        <v/>
      </c>
    </row>
    <row r="15795">
      <c r="A15795" t="n">
        <v>15794</v>
      </c>
      <c r="B15795" t="inlineStr">
        <is>
          <t>x̄V̅DCCXCIV</t>
        </is>
      </c>
      <c r="C15795">
        <f>ROMAN(15794)</f>
        <v/>
      </c>
      <c r="D15795">
        <f>IF(B15795=C15795, "YES", "WRONG")</f>
        <v/>
      </c>
    </row>
    <row r="15796">
      <c r="A15796" t="n">
        <v>15795</v>
      </c>
      <c r="B15796" t="inlineStr">
        <is>
          <t>x̄V̅DCCXCV</t>
        </is>
      </c>
      <c r="C15796">
        <f>ROMAN(15795)</f>
        <v/>
      </c>
      <c r="D15796">
        <f>IF(B15796=C15796, "YES", "WRONG")</f>
        <v/>
      </c>
    </row>
    <row r="15797">
      <c r="A15797" t="n">
        <v>15796</v>
      </c>
      <c r="B15797" t="inlineStr">
        <is>
          <t>x̄V̅DCCXCVI</t>
        </is>
      </c>
      <c r="C15797">
        <f>ROMAN(15796)</f>
        <v/>
      </c>
      <c r="D15797">
        <f>IF(B15797=C15797, "YES", "WRONG")</f>
        <v/>
      </c>
    </row>
    <row r="15798">
      <c r="A15798" t="n">
        <v>15797</v>
      </c>
      <c r="B15798" t="inlineStr">
        <is>
          <t>x̄V̅DCCXCVII</t>
        </is>
      </c>
      <c r="C15798">
        <f>ROMAN(15797)</f>
        <v/>
      </c>
      <c r="D15798">
        <f>IF(B15798=C15798, "YES", "WRONG")</f>
        <v/>
      </c>
    </row>
    <row r="15799">
      <c r="A15799" t="n">
        <v>15798</v>
      </c>
      <c r="B15799" t="inlineStr">
        <is>
          <t>x̄V̅DCCXCVIII</t>
        </is>
      </c>
      <c r="C15799">
        <f>ROMAN(15798)</f>
        <v/>
      </c>
      <c r="D15799">
        <f>IF(B15799=C15799, "YES", "WRONG")</f>
        <v/>
      </c>
    </row>
    <row r="15800">
      <c r="A15800" t="n">
        <v>15799</v>
      </c>
      <c r="B15800" t="inlineStr">
        <is>
          <t>x̄V̅DCCXCIX</t>
        </is>
      </c>
      <c r="C15800">
        <f>ROMAN(15799)</f>
        <v/>
      </c>
      <c r="D15800">
        <f>IF(B15800=C15800, "YES", "WRONG")</f>
        <v/>
      </c>
    </row>
    <row r="15801">
      <c r="A15801" t="n">
        <v>15800</v>
      </c>
      <c r="B15801" t="inlineStr">
        <is>
          <t>x̄V̅DCCC</t>
        </is>
      </c>
      <c r="C15801">
        <f>ROMAN(15800)</f>
        <v/>
      </c>
      <c r="D15801">
        <f>IF(B15801=C15801, "YES", "WRONG")</f>
        <v/>
      </c>
    </row>
    <row r="15802">
      <c r="A15802" t="n">
        <v>15801</v>
      </c>
      <c r="B15802" t="inlineStr">
        <is>
          <t>x̄V̅DCCCI</t>
        </is>
      </c>
      <c r="C15802">
        <f>ROMAN(15801)</f>
        <v/>
      </c>
      <c r="D15802">
        <f>IF(B15802=C15802, "YES", "WRONG")</f>
        <v/>
      </c>
    </row>
    <row r="15803">
      <c r="A15803" t="n">
        <v>15802</v>
      </c>
      <c r="B15803" t="inlineStr">
        <is>
          <t>x̄V̅DCCCII</t>
        </is>
      </c>
      <c r="C15803">
        <f>ROMAN(15802)</f>
        <v/>
      </c>
      <c r="D15803">
        <f>IF(B15803=C15803, "YES", "WRONG")</f>
        <v/>
      </c>
    </row>
    <row r="15804">
      <c r="A15804" t="n">
        <v>15803</v>
      </c>
      <c r="B15804" t="inlineStr">
        <is>
          <t>x̄V̅DCCCIII</t>
        </is>
      </c>
      <c r="C15804">
        <f>ROMAN(15803)</f>
        <v/>
      </c>
      <c r="D15804">
        <f>IF(B15804=C15804, "YES", "WRONG")</f>
        <v/>
      </c>
    </row>
    <row r="15805">
      <c r="A15805" t="n">
        <v>15804</v>
      </c>
      <c r="B15805" t="inlineStr">
        <is>
          <t>x̄V̅DCCCIV</t>
        </is>
      </c>
      <c r="C15805">
        <f>ROMAN(15804)</f>
        <v/>
      </c>
      <c r="D15805">
        <f>IF(B15805=C15805, "YES", "WRONG")</f>
        <v/>
      </c>
    </row>
    <row r="15806">
      <c r="A15806" t="n">
        <v>15805</v>
      </c>
      <c r="B15806" t="inlineStr">
        <is>
          <t>x̄V̅DCCCV</t>
        </is>
      </c>
      <c r="C15806">
        <f>ROMAN(15805)</f>
        <v/>
      </c>
      <c r="D15806">
        <f>IF(B15806=C15806, "YES", "WRONG")</f>
        <v/>
      </c>
    </row>
    <row r="15807">
      <c r="A15807" t="n">
        <v>15806</v>
      </c>
      <c r="B15807" t="inlineStr">
        <is>
          <t>x̄V̅DCCCVI</t>
        </is>
      </c>
      <c r="C15807">
        <f>ROMAN(15806)</f>
        <v/>
      </c>
      <c r="D15807">
        <f>IF(B15807=C15807, "YES", "WRONG")</f>
        <v/>
      </c>
    </row>
    <row r="15808">
      <c r="A15808" t="n">
        <v>15807</v>
      </c>
      <c r="B15808" t="inlineStr">
        <is>
          <t>x̄V̅DCCCVII</t>
        </is>
      </c>
      <c r="C15808">
        <f>ROMAN(15807)</f>
        <v/>
      </c>
      <c r="D15808">
        <f>IF(B15808=C15808, "YES", "WRONG")</f>
        <v/>
      </c>
    </row>
    <row r="15809">
      <c r="A15809" t="n">
        <v>15808</v>
      </c>
      <c r="B15809" t="inlineStr">
        <is>
          <t>x̄V̅DCCCVIII</t>
        </is>
      </c>
      <c r="C15809">
        <f>ROMAN(15808)</f>
        <v/>
      </c>
      <c r="D15809">
        <f>IF(B15809=C15809, "YES", "WRONG")</f>
        <v/>
      </c>
    </row>
    <row r="15810">
      <c r="A15810" t="n">
        <v>15809</v>
      </c>
      <c r="B15810" t="inlineStr">
        <is>
          <t>x̄V̅DCCCIX</t>
        </is>
      </c>
      <c r="C15810">
        <f>ROMAN(15809)</f>
        <v/>
      </c>
      <c r="D15810">
        <f>IF(B15810=C15810, "YES", "WRONG")</f>
        <v/>
      </c>
    </row>
    <row r="15811">
      <c r="A15811" t="n">
        <v>15810</v>
      </c>
      <c r="B15811" t="inlineStr">
        <is>
          <t>x̄V̅DCCCX</t>
        </is>
      </c>
      <c r="C15811">
        <f>ROMAN(15810)</f>
        <v/>
      </c>
      <c r="D15811">
        <f>IF(B15811=C15811, "YES", "WRONG")</f>
        <v/>
      </c>
    </row>
    <row r="15812">
      <c r="A15812" t="n">
        <v>15811</v>
      </c>
      <c r="B15812" t="inlineStr">
        <is>
          <t>x̄V̅DCCCXI</t>
        </is>
      </c>
      <c r="C15812">
        <f>ROMAN(15811)</f>
        <v/>
      </c>
      <c r="D15812">
        <f>IF(B15812=C15812, "YES", "WRONG")</f>
        <v/>
      </c>
    </row>
    <row r="15813">
      <c r="A15813" t="n">
        <v>15812</v>
      </c>
      <c r="B15813" t="inlineStr">
        <is>
          <t>x̄V̅DCCCXII</t>
        </is>
      </c>
      <c r="C15813">
        <f>ROMAN(15812)</f>
        <v/>
      </c>
      <c r="D15813">
        <f>IF(B15813=C15813, "YES", "WRONG")</f>
        <v/>
      </c>
    </row>
    <row r="15814">
      <c r="A15814" t="n">
        <v>15813</v>
      </c>
      <c r="B15814" t="inlineStr">
        <is>
          <t>x̄V̅DCCCXIII</t>
        </is>
      </c>
      <c r="C15814">
        <f>ROMAN(15813)</f>
        <v/>
      </c>
      <c r="D15814">
        <f>IF(B15814=C15814, "YES", "WRONG")</f>
        <v/>
      </c>
    </row>
    <row r="15815">
      <c r="A15815" t="n">
        <v>15814</v>
      </c>
      <c r="B15815" t="inlineStr">
        <is>
          <t>x̄V̅DCCCXIV</t>
        </is>
      </c>
      <c r="C15815">
        <f>ROMAN(15814)</f>
        <v/>
      </c>
      <c r="D15815">
        <f>IF(B15815=C15815, "YES", "WRONG")</f>
        <v/>
      </c>
    </row>
    <row r="15816">
      <c r="A15816" t="n">
        <v>15815</v>
      </c>
      <c r="B15816" t="inlineStr">
        <is>
          <t>x̄V̅DCCCXV</t>
        </is>
      </c>
      <c r="C15816">
        <f>ROMAN(15815)</f>
        <v/>
      </c>
      <c r="D15816">
        <f>IF(B15816=C15816, "YES", "WRONG")</f>
        <v/>
      </c>
    </row>
    <row r="15817">
      <c r="A15817" t="n">
        <v>15816</v>
      </c>
      <c r="B15817" t="inlineStr">
        <is>
          <t>x̄V̅DCCCXVI</t>
        </is>
      </c>
      <c r="C15817">
        <f>ROMAN(15816)</f>
        <v/>
      </c>
      <c r="D15817">
        <f>IF(B15817=C15817, "YES", "WRONG")</f>
        <v/>
      </c>
    </row>
    <row r="15818">
      <c r="A15818" t="n">
        <v>15817</v>
      </c>
      <c r="B15818" t="inlineStr">
        <is>
          <t>x̄V̅DCCCXVII</t>
        </is>
      </c>
      <c r="C15818">
        <f>ROMAN(15817)</f>
        <v/>
      </c>
      <c r="D15818">
        <f>IF(B15818=C15818, "YES", "WRONG")</f>
        <v/>
      </c>
    </row>
    <row r="15819">
      <c r="A15819" t="n">
        <v>15818</v>
      </c>
      <c r="B15819" t="inlineStr">
        <is>
          <t>x̄V̅DCCCXVIII</t>
        </is>
      </c>
      <c r="C15819">
        <f>ROMAN(15818)</f>
        <v/>
      </c>
      <c r="D15819">
        <f>IF(B15819=C15819, "YES", "WRONG")</f>
        <v/>
      </c>
    </row>
    <row r="15820">
      <c r="A15820" t="n">
        <v>15819</v>
      </c>
      <c r="B15820" t="inlineStr">
        <is>
          <t>x̄V̅DCCCXIX</t>
        </is>
      </c>
      <c r="C15820">
        <f>ROMAN(15819)</f>
        <v/>
      </c>
      <c r="D15820">
        <f>IF(B15820=C15820, "YES", "WRONG")</f>
        <v/>
      </c>
    </row>
    <row r="15821">
      <c r="A15821" t="n">
        <v>15820</v>
      </c>
      <c r="B15821" t="inlineStr">
        <is>
          <t>x̄V̅DCCCXX</t>
        </is>
      </c>
      <c r="C15821">
        <f>ROMAN(15820)</f>
        <v/>
      </c>
      <c r="D15821">
        <f>IF(B15821=C15821, "YES", "WRONG")</f>
        <v/>
      </c>
    </row>
    <row r="15822">
      <c r="A15822" t="n">
        <v>15821</v>
      </c>
      <c r="B15822" t="inlineStr">
        <is>
          <t>x̄V̅DCCCXXI</t>
        </is>
      </c>
      <c r="C15822">
        <f>ROMAN(15821)</f>
        <v/>
      </c>
      <c r="D15822">
        <f>IF(B15822=C15822, "YES", "WRONG")</f>
        <v/>
      </c>
    </row>
    <row r="15823">
      <c r="A15823" t="n">
        <v>15822</v>
      </c>
      <c r="B15823" t="inlineStr">
        <is>
          <t>x̄V̅DCCCXXII</t>
        </is>
      </c>
      <c r="C15823">
        <f>ROMAN(15822)</f>
        <v/>
      </c>
      <c r="D15823">
        <f>IF(B15823=C15823, "YES", "WRONG")</f>
        <v/>
      </c>
    </row>
    <row r="15824">
      <c r="A15824" t="n">
        <v>15823</v>
      </c>
      <c r="B15824" t="inlineStr">
        <is>
          <t>x̄V̅DCCCXXIII</t>
        </is>
      </c>
      <c r="C15824">
        <f>ROMAN(15823)</f>
        <v/>
      </c>
      <c r="D15824">
        <f>IF(B15824=C15824, "YES", "WRONG")</f>
        <v/>
      </c>
    </row>
    <row r="15825">
      <c r="A15825" t="n">
        <v>15824</v>
      </c>
      <c r="B15825" t="inlineStr">
        <is>
          <t>x̄V̅DCCCXXIV</t>
        </is>
      </c>
      <c r="C15825">
        <f>ROMAN(15824)</f>
        <v/>
      </c>
      <c r="D15825">
        <f>IF(B15825=C15825, "YES", "WRONG")</f>
        <v/>
      </c>
    </row>
    <row r="15826">
      <c r="A15826" t="n">
        <v>15825</v>
      </c>
      <c r="B15826" t="inlineStr">
        <is>
          <t>x̄V̅DCCCXXV</t>
        </is>
      </c>
      <c r="C15826">
        <f>ROMAN(15825)</f>
        <v/>
      </c>
      <c r="D15826">
        <f>IF(B15826=C15826, "YES", "WRONG")</f>
        <v/>
      </c>
    </row>
    <row r="15827">
      <c r="A15827" t="n">
        <v>15826</v>
      </c>
      <c r="B15827" t="inlineStr">
        <is>
          <t>x̄V̅DCCCXXVI</t>
        </is>
      </c>
      <c r="C15827">
        <f>ROMAN(15826)</f>
        <v/>
      </c>
      <c r="D15827">
        <f>IF(B15827=C15827, "YES", "WRONG")</f>
        <v/>
      </c>
    </row>
    <row r="15828">
      <c r="A15828" t="n">
        <v>15827</v>
      </c>
      <c r="B15828" t="inlineStr">
        <is>
          <t>x̄V̅DCCCXXVII</t>
        </is>
      </c>
      <c r="C15828">
        <f>ROMAN(15827)</f>
        <v/>
      </c>
      <c r="D15828">
        <f>IF(B15828=C15828, "YES", "WRONG")</f>
        <v/>
      </c>
    </row>
    <row r="15829">
      <c r="A15829" t="n">
        <v>15828</v>
      </c>
      <c r="B15829" t="inlineStr">
        <is>
          <t>x̄V̅DCCCXXVIII</t>
        </is>
      </c>
      <c r="C15829">
        <f>ROMAN(15828)</f>
        <v/>
      </c>
      <c r="D15829">
        <f>IF(B15829=C15829, "YES", "WRONG")</f>
        <v/>
      </c>
    </row>
    <row r="15830">
      <c r="A15830" t="n">
        <v>15829</v>
      </c>
      <c r="B15830" t="inlineStr">
        <is>
          <t>x̄V̅DCCCXXIX</t>
        </is>
      </c>
      <c r="C15830">
        <f>ROMAN(15829)</f>
        <v/>
      </c>
      <c r="D15830">
        <f>IF(B15830=C15830, "YES", "WRONG")</f>
        <v/>
      </c>
    </row>
    <row r="15831">
      <c r="A15831" t="n">
        <v>15830</v>
      </c>
      <c r="B15831" t="inlineStr">
        <is>
          <t>x̄V̅DCCCXXX</t>
        </is>
      </c>
      <c r="C15831">
        <f>ROMAN(15830)</f>
        <v/>
      </c>
      <c r="D15831">
        <f>IF(B15831=C15831, "YES", "WRONG")</f>
        <v/>
      </c>
    </row>
    <row r="15832">
      <c r="A15832" t="n">
        <v>15831</v>
      </c>
      <c r="B15832" t="inlineStr">
        <is>
          <t>x̄V̅DCCCXXXI</t>
        </is>
      </c>
      <c r="C15832">
        <f>ROMAN(15831)</f>
        <v/>
      </c>
      <c r="D15832">
        <f>IF(B15832=C15832, "YES", "WRONG")</f>
        <v/>
      </c>
    </row>
    <row r="15833">
      <c r="A15833" t="n">
        <v>15832</v>
      </c>
      <c r="B15833" t="inlineStr">
        <is>
          <t>x̄V̅DCCCXXXII</t>
        </is>
      </c>
      <c r="C15833">
        <f>ROMAN(15832)</f>
        <v/>
      </c>
      <c r="D15833">
        <f>IF(B15833=C15833, "YES", "WRONG")</f>
        <v/>
      </c>
    </row>
    <row r="15834">
      <c r="A15834" t="n">
        <v>15833</v>
      </c>
      <c r="B15834" t="inlineStr">
        <is>
          <t>x̄V̅DCCCXXXIII</t>
        </is>
      </c>
      <c r="C15834">
        <f>ROMAN(15833)</f>
        <v/>
      </c>
      <c r="D15834">
        <f>IF(B15834=C15834, "YES", "WRONG")</f>
        <v/>
      </c>
    </row>
    <row r="15835">
      <c r="A15835" t="n">
        <v>15834</v>
      </c>
      <c r="B15835" t="inlineStr">
        <is>
          <t>x̄V̅DCCCXXXIV</t>
        </is>
      </c>
      <c r="C15835">
        <f>ROMAN(15834)</f>
        <v/>
      </c>
      <c r="D15835">
        <f>IF(B15835=C15835, "YES", "WRONG")</f>
        <v/>
      </c>
    </row>
    <row r="15836">
      <c r="A15836" t="n">
        <v>15835</v>
      </c>
      <c r="B15836" t="inlineStr">
        <is>
          <t>x̄V̅DCCCXXXV</t>
        </is>
      </c>
      <c r="C15836">
        <f>ROMAN(15835)</f>
        <v/>
      </c>
      <c r="D15836">
        <f>IF(B15836=C15836, "YES", "WRONG")</f>
        <v/>
      </c>
    </row>
    <row r="15837">
      <c r="A15837" t="n">
        <v>15836</v>
      </c>
      <c r="B15837" t="inlineStr">
        <is>
          <t>x̄V̅DCCCXXXVI</t>
        </is>
      </c>
      <c r="C15837">
        <f>ROMAN(15836)</f>
        <v/>
      </c>
      <c r="D15837">
        <f>IF(B15837=C15837, "YES", "WRONG")</f>
        <v/>
      </c>
    </row>
    <row r="15838">
      <c r="A15838" t="n">
        <v>15837</v>
      </c>
      <c r="B15838" t="inlineStr">
        <is>
          <t>x̄V̅DCCCXXXVII</t>
        </is>
      </c>
      <c r="C15838">
        <f>ROMAN(15837)</f>
        <v/>
      </c>
      <c r="D15838">
        <f>IF(B15838=C15838, "YES", "WRONG")</f>
        <v/>
      </c>
    </row>
    <row r="15839">
      <c r="A15839" t="n">
        <v>15838</v>
      </c>
      <c r="B15839" t="inlineStr">
        <is>
          <t>x̄V̅DCCCXXXVIII</t>
        </is>
      </c>
      <c r="C15839">
        <f>ROMAN(15838)</f>
        <v/>
      </c>
      <c r="D15839">
        <f>IF(B15839=C15839, "YES", "WRONG")</f>
        <v/>
      </c>
    </row>
    <row r="15840">
      <c r="A15840" t="n">
        <v>15839</v>
      </c>
      <c r="B15840" t="inlineStr">
        <is>
          <t>x̄V̅DCCCXXXIX</t>
        </is>
      </c>
      <c r="C15840">
        <f>ROMAN(15839)</f>
        <v/>
      </c>
      <c r="D15840">
        <f>IF(B15840=C15840, "YES", "WRONG")</f>
        <v/>
      </c>
    </row>
    <row r="15841">
      <c r="A15841" t="n">
        <v>15840</v>
      </c>
      <c r="B15841" t="inlineStr">
        <is>
          <t>x̄V̅DCCCXL</t>
        </is>
      </c>
      <c r="C15841">
        <f>ROMAN(15840)</f>
        <v/>
      </c>
      <c r="D15841">
        <f>IF(B15841=C15841, "YES", "WRONG")</f>
        <v/>
      </c>
    </row>
    <row r="15842">
      <c r="A15842" t="n">
        <v>15841</v>
      </c>
      <c r="B15842" t="inlineStr">
        <is>
          <t>x̄V̅DCCCXLI</t>
        </is>
      </c>
      <c r="C15842">
        <f>ROMAN(15841)</f>
        <v/>
      </c>
      <c r="D15842">
        <f>IF(B15842=C15842, "YES", "WRONG")</f>
        <v/>
      </c>
    </row>
    <row r="15843">
      <c r="A15843" t="n">
        <v>15842</v>
      </c>
      <c r="B15843" t="inlineStr">
        <is>
          <t>x̄V̅DCCCXLII</t>
        </is>
      </c>
      <c r="C15843">
        <f>ROMAN(15842)</f>
        <v/>
      </c>
      <c r="D15843">
        <f>IF(B15843=C15843, "YES", "WRONG")</f>
        <v/>
      </c>
    </row>
    <row r="15844">
      <c r="A15844" t="n">
        <v>15843</v>
      </c>
      <c r="B15844" t="inlineStr">
        <is>
          <t>x̄V̅DCCCXLIII</t>
        </is>
      </c>
      <c r="C15844">
        <f>ROMAN(15843)</f>
        <v/>
      </c>
      <c r="D15844">
        <f>IF(B15844=C15844, "YES", "WRONG")</f>
        <v/>
      </c>
    </row>
    <row r="15845">
      <c r="A15845" t="n">
        <v>15844</v>
      </c>
      <c r="B15845" t="inlineStr">
        <is>
          <t>x̄V̅DCCCXLIV</t>
        </is>
      </c>
      <c r="C15845">
        <f>ROMAN(15844)</f>
        <v/>
      </c>
      <c r="D15845">
        <f>IF(B15845=C15845, "YES", "WRONG")</f>
        <v/>
      </c>
    </row>
    <row r="15846">
      <c r="A15846" t="n">
        <v>15845</v>
      </c>
      <c r="B15846" t="inlineStr">
        <is>
          <t>x̄V̅DCCCXLV</t>
        </is>
      </c>
      <c r="C15846">
        <f>ROMAN(15845)</f>
        <v/>
      </c>
      <c r="D15846">
        <f>IF(B15846=C15846, "YES", "WRONG")</f>
        <v/>
      </c>
    </row>
    <row r="15847">
      <c r="A15847" t="n">
        <v>15846</v>
      </c>
      <c r="B15847" t="inlineStr">
        <is>
          <t>x̄V̅DCCCXLVI</t>
        </is>
      </c>
      <c r="C15847">
        <f>ROMAN(15846)</f>
        <v/>
      </c>
      <c r="D15847">
        <f>IF(B15847=C15847, "YES", "WRONG")</f>
        <v/>
      </c>
    </row>
    <row r="15848">
      <c r="A15848" t="n">
        <v>15847</v>
      </c>
      <c r="B15848" t="inlineStr">
        <is>
          <t>x̄V̅DCCCXLVII</t>
        </is>
      </c>
      <c r="C15848">
        <f>ROMAN(15847)</f>
        <v/>
      </c>
      <c r="D15848">
        <f>IF(B15848=C15848, "YES", "WRONG")</f>
        <v/>
      </c>
    </row>
    <row r="15849">
      <c r="A15849" t="n">
        <v>15848</v>
      </c>
      <c r="B15849" t="inlineStr">
        <is>
          <t>x̄V̅DCCCXLVIII</t>
        </is>
      </c>
      <c r="C15849">
        <f>ROMAN(15848)</f>
        <v/>
      </c>
      <c r="D15849">
        <f>IF(B15849=C15849, "YES", "WRONG")</f>
        <v/>
      </c>
    </row>
    <row r="15850">
      <c r="A15850" t="n">
        <v>15849</v>
      </c>
      <c r="B15850" t="inlineStr">
        <is>
          <t>x̄V̅DCCCXLIX</t>
        </is>
      </c>
      <c r="C15850">
        <f>ROMAN(15849)</f>
        <v/>
      </c>
      <c r="D15850">
        <f>IF(B15850=C15850, "YES", "WRONG")</f>
        <v/>
      </c>
    </row>
    <row r="15851">
      <c r="A15851" t="n">
        <v>15850</v>
      </c>
      <c r="B15851" t="inlineStr">
        <is>
          <t>x̄V̅DCCCL</t>
        </is>
      </c>
      <c r="C15851">
        <f>ROMAN(15850)</f>
        <v/>
      </c>
      <c r="D15851">
        <f>IF(B15851=C15851, "YES", "WRONG")</f>
        <v/>
      </c>
    </row>
    <row r="15852">
      <c r="A15852" t="n">
        <v>15851</v>
      </c>
      <c r="B15852" t="inlineStr">
        <is>
          <t>x̄V̅DCCCLI</t>
        </is>
      </c>
      <c r="C15852">
        <f>ROMAN(15851)</f>
        <v/>
      </c>
      <c r="D15852">
        <f>IF(B15852=C15852, "YES", "WRONG")</f>
        <v/>
      </c>
    </row>
    <row r="15853">
      <c r="A15853" t="n">
        <v>15852</v>
      </c>
      <c r="B15853" t="inlineStr">
        <is>
          <t>x̄V̅DCCCLII</t>
        </is>
      </c>
      <c r="C15853">
        <f>ROMAN(15852)</f>
        <v/>
      </c>
      <c r="D15853">
        <f>IF(B15853=C15853, "YES", "WRONG")</f>
        <v/>
      </c>
    </row>
    <row r="15854">
      <c r="A15854" t="n">
        <v>15853</v>
      </c>
      <c r="B15854" t="inlineStr">
        <is>
          <t>x̄V̅DCCCLIII</t>
        </is>
      </c>
      <c r="C15854">
        <f>ROMAN(15853)</f>
        <v/>
      </c>
      <c r="D15854">
        <f>IF(B15854=C15854, "YES", "WRONG")</f>
        <v/>
      </c>
    </row>
    <row r="15855">
      <c r="A15855" t="n">
        <v>15854</v>
      </c>
      <c r="B15855" t="inlineStr">
        <is>
          <t>x̄V̅DCCCLIV</t>
        </is>
      </c>
      <c r="C15855">
        <f>ROMAN(15854)</f>
        <v/>
      </c>
      <c r="D15855">
        <f>IF(B15855=C15855, "YES", "WRONG")</f>
        <v/>
      </c>
    </row>
    <row r="15856">
      <c r="A15856" t="n">
        <v>15855</v>
      </c>
      <c r="B15856" t="inlineStr">
        <is>
          <t>x̄V̅DCCCLV</t>
        </is>
      </c>
      <c r="C15856">
        <f>ROMAN(15855)</f>
        <v/>
      </c>
      <c r="D15856">
        <f>IF(B15856=C15856, "YES", "WRONG")</f>
        <v/>
      </c>
    </row>
    <row r="15857">
      <c r="A15857" t="n">
        <v>15856</v>
      </c>
      <c r="B15857" t="inlineStr">
        <is>
          <t>x̄V̅DCCCLVI</t>
        </is>
      </c>
      <c r="C15857">
        <f>ROMAN(15856)</f>
        <v/>
      </c>
      <c r="D15857">
        <f>IF(B15857=C15857, "YES", "WRONG")</f>
        <v/>
      </c>
    </row>
    <row r="15858">
      <c r="A15858" t="n">
        <v>15857</v>
      </c>
      <c r="B15858" t="inlineStr">
        <is>
          <t>x̄V̅DCCCLVII</t>
        </is>
      </c>
      <c r="C15858">
        <f>ROMAN(15857)</f>
        <v/>
      </c>
      <c r="D15858">
        <f>IF(B15858=C15858, "YES", "WRONG")</f>
        <v/>
      </c>
    </row>
    <row r="15859">
      <c r="A15859" t="n">
        <v>15858</v>
      </c>
      <c r="B15859" t="inlineStr">
        <is>
          <t>x̄V̅DCCCLVIII</t>
        </is>
      </c>
      <c r="C15859">
        <f>ROMAN(15858)</f>
        <v/>
      </c>
      <c r="D15859">
        <f>IF(B15859=C15859, "YES", "WRONG")</f>
        <v/>
      </c>
    </row>
    <row r="15860">
      <c r="A15860" t="n">
        <v>15859</v>
      </c>
      <c r="B15860" t="inlineStr">
        <is>
          <t>x̄V̅DCCCLIX</t>
        </is>
      </c>
      <c r="C15860">
        <f>ROMAN(15859)</f>
        <v/>
      </c>
      <c r="D15860">
        <f>IF(B15860=C15860, "YES", "WRONG")</f>
        <v/>
      </c>
    </row>
    <row r="15861">
      <c r="A15861" t="n">
        <v>15860</v>
      </c>
      <c r="B15861" t="inlineStr">
        <is>
          <t>x̄V̅DCCCLX</t>
        </is>
      </c>
      <c r="C15861">
        <f>ROMAN(15860)</f>
        <v/>
      </c>
      <c r="D15861">
        <f>IF(B15861=C15861, "YES", "WRONG")</f>
        <v/>
      </c>
    </row>
    <row r="15862">
      <c r="A15862" t="n">
        <v>15861</v>
      </c>
      <c r="B15862" t="inlineStr">
        <is>
          <t>x̄V̅DCCCLXI</t>
        </is>
      </c>
      <c r="C15862">
        <f>ROMAN(15861)</f>
        <v/>
      </c>
      <c r="D15862">
        <f>IF(B15862=C15862, "YES", "WRONG")</f>
        <v/>
      </c>
    </row>
    <row r="15863">
      <c r="A15863" t="n">
        <v>15862</v>
      </c>
      <c r="B15863" t="inlineStr">
        <is>
          <t>x̄V̅DCCCLXII</t>
        </is>
      </c>
      <c r="C15863">
        <f>ROMAN(15862)</f>
        <v/>
      </c>
      <c r="D15863">
        <f>IF(B15863=C15863, "YES", "WRONG")</f>
        <v/>
      </c>
    </row>
    <row r="15864">
      <c r="A15864" t="n">
        <v>15863</v>
      </c>
      <c r="B15864" t="inlineStr">
        <is>
          <t>x̄V̅DCCCLXIII</t>
        </is>
      </c>
      <c r="C15864">
        <f>ROMAN(15863)</f>
        <v/>
      </c>
      <c r="D15864">
        <f>IF(B15864=C15864, "YES", "WRONG")</f>
        <v/>
      </c>
    </row>
    <row r="15865">
      <c r="A15865" t="n">
        <v>15864</v>
      </c>
      <c r="B15865" t="inlineStr">
        <is>
          <t>x̄V̅DCCCLXIV</t>
        </is>
      </c>
      <c r="C15865">
        <f>ROMAN(15864)</f>
        <v/>
      </c>
      <c r="D15865">
        <f>IF(B15865=C15865, "YES", "WRONG")</f>
        <v/>
      </c>
    </row>
    <row r="15866">
      <c r="A15866" t="n">
        <v>15865</v>
      </c>
      <c r="B15866" t="inlineStr">
        <is>
          <t>x̄V̅DCCCLXV</t>
        </is>
      </c>
      <c r="C15866">
        <f>ROMAN(15865)</f>
        <v/>
      </c>
      <c r="D15866">
        <f>IF(B15866=C15866, "YES", "WRONG")</f>
        <v/>
      </c>
    </row>
    <row r="15867">
      <c r="A15867" t="n">
        <v>15866</v>
      </c>
      <c r="B15867" t="inlineStr">
        <is>
          <t>x̄V̅DCCCLXVI</t>
        </is>
      </c>
      <c r="C15867">
        <f>ROMAN(15866)</f>
        <v/>
      </c>
      <c r="D15867">
        <f>IF(B15867=C15867, "YES", "WRONG")</f>
        <v/>
      </c>
    </row>
    <row r="15868">
      <c r="A15868" t="n">
        <v>15867</v>
      </c>
      <c r="B15868" t="inlineStr">
        <is>
          <t>x̄V̅DCCCLXVII</t>
        </is>
      </c>
      <c r="C15868">
        <f>ROMAN(15867)</f>
        <v/>
      </c>
      <c r="D15868">
        <f>IF(B15868=C15868, "YES", "WRONG")</f>
        <v/>
      </c>
    </row>
    <row r="15869">
      <c r="A15869" t="n">
        <v>15868</v>
      </c>
      <c r="B15869" t="inlineStr">
        <is>
          <t>x̄V̅DCCCLXVIII</t>
        </is>
      </c>
      <c r="C15869">
        <f>ROMAN(15868)</f>
        <v/>
      </c>
      <c r="D15869">
        <f>IF(B15869=C15869, "YES", "WRONG")</f>
        <v/>
      </c>
    </row>
    <row r="15870">
      <c r="A15870" t="n">
        <v>15869</v>
      </c>
      <c r="B15870" t="inlineStr">
        <is>
          <t>x̄V̅DCCCLXIX</t>
        </is>
      </c>
      <c r="C15870">
        <f>ROMAN(15869)</f>
        <v/>
      </c>
      <c r="D15870">
        <f>IF(B15870=C15870, "YES", "WRONG")</f>
        <v/>
      </c>
    </row>
    <row r="15871">
      <c r="A15871" t="n">
        <v>15870</v>
      </c>
      <c r="B15871" t="inlineStr">
        <is>
          <t>x̄V̅DCCCLXX</t>
        </is>
      </c>
      <c r="C15871">
        <f>ROMAN(15870)</f>
        <v/>
      </c>
      <c r="D15871">
        <f>IF(B15871=C15871, "YES", "WRONG")</f>
        <v/>
      </c>
    </row>
    <row r="15872">
      <c r="A15872" t="n">
        <v>15871</v>
      </c>
      <c r="B15872" t="inlineStr">
        <is>
          <t>x̄V̅DCCCLXXI</t>
        </is>
      </c>
      <c r="C15872">
        <f>ROMAN(15871)</f>
        <v/>
      </c>
      <c r="D15872">
        <f>IF(B15872=C15872, "YES", "WRONG")</f>
        <v/>
      </c>
    </row>
    <row r="15873">
      <c r="A15873" t="n">
        <v>15872</v>
      </c>
      <c r="B15873" t="inlineStr">
        <is>
          <t>x̄V̅DCCCLXXII</t>
        </is>
      </c>
      <c r="C15873">
        <f>ROMAN(15872)</f>
        <v/>
      </c>
      <c r="D15873">
        <f>IF(B15873=C15873, "YES", "WRONG")</f>
        <v/>
      </c>
    </row>
    <row r="15874">
      <c r="A15874" t="n">
        <v>15873</v>
      </c>
      <c r="B15874" t="inlineStr">
        <is>
          <t>x̄V̅DCCCLXXIII</t>
        </is>
      </c>
      <c r="C15874">
        <f>ROMAN(15873)</f>
        <v/>
      </c>
      <c r="D15874">
        <f>IF(B15874=C15874, "YES", "WRONG")</f>
        <v/>
      </c>
    </row>
    <row r="15875">
      <c r="A15875" t="n">
        <v>15874</v>
      </c>
      <c r="B15875" t="inlineStr">
        <is>
          <t>x̄V̅DCCCLXXIV</t>
        </is>
      </c>
      <c r="C15875">
        <f>ROMAN(15874)</f>
        <v/>
      </c>
      <c r="D15875">
        <f>IF(B15875=C15875, "YES", "WRONG")</f>
        <v/>
      </c>
    </row>
    <row r="15876">
      <c r="A15876" t="n">
        <v>15875</v>
      </c>
      <c r="B15876" t="inlineStr">
        <is>
          <t>x̄V̅DCCCLXXV</t>
        </is>
      </c>
      <c r="C15876">
        <f>ROMAN(15875)</f>
        <v/>
      </c>
      <c r="D15876">
        <f>IF(B15876=C15876, "YES", "WRONG")</f>
        <v/>
      </c>
    </row>
    <row r="15877">
      <c r="A15877" t="n">
        <v>15876</v>
      </c>
      <c r="B15877" t="inlineStr">
        <is>
          <t>x̄V̅DCCCLXXVI</t>
        </is>
      </c>
      <c r="C15877">
        <f>ROMAN(15876)</f>
        <v/>
      </c>
      <c r="D15877">
        <f>IF(B15877=C15877, "YES", "WRONG")</f>
        <v/>
      </c>
    </row>
    <row r="15878">
      <c r="A15878" t="n">
        <v>15877</v>
      </c>
      <c r="B15878" t="inlineStr">
        <is>
          <t>x̄V̅DCCCLXXVII</t>
        </is>
      </c>
      <c r="C15878">
        <f>ROMAN(15877)</f>
        <v/>
      </c>
      <c r="D15878">
        <f>IF(B15878=C15878, "YES", "WRONG")</f>
        <v/>
      </c>
    </row>
    <row r="15879">
      <c r="A15879" t="n">
        <v>15878</v>
      </c>
      <c r="B15879" t="inlineStr">
        <is>
          <t>x̄V̅DCCCLXXVIII</t>
        </is>
      </c>
      <c r="C15879">
        <f>ROMAN(15878)</f>
        <v/>
      </c>
      <c r="D15879">
        <f>IF(B15879=C15879, "YES", "WRONG")</f>
        <v/>
      </c>
    </row>
    <row r="15880">
      <c r="A15880" t="n">
        <v>15879</v>
      </c>
      <c r="B15880" t="inlineStr">
        <is>
          <t>x̄V̅DCCCLXXIX</t>
        </is>
      </c>
      <c r="C15880">
        <f>ROMAN(15879)</f>
        <v/>
      </c>
      <c r="D15880">
        <f>IF(B15880=C15880, "YES", "WRONG")</f>
        <v/>
      </c>
    </row>
    <row r="15881">
      <c r="A15881" t="n">
        <v>15880</v>
      </c>
      <c r="B15881" t="inlineStr">
        <is>
          <t>x̄V̅DCCCLXXX</t>
        </is>
      </c>
      <c r="C15881">
        <f>ROMAN(15880)</f>
        <v/>
      </c>
      <c r="D15881">
        <f>IF(B15881=C15881, "YES", "WRONG")</f>
        <v/>
      </c>
    </row>
    <row r="15882">
      <c r="A15882" t="n">
        <v>15881</v>
      </c>
      <c r="B15882" t="inlineStr">
        <is>
          <t>x̄V̅DCCCLXXXI</t>
        </is>
      </c>
      <c r="C15882">
        <f>ROMAN(15881)</f>
        <v/>
      </c>
      <c r="D15882">
        <f>IF(B15882=C15882, "YES", "WRONG")</f>
        <v/>
      </c>
    </row>
    <row r="15883">
      <c r="A15883" t="n">
        <v>15882</v>
      </c>
      <c r="B15883" t="inlineStr">
        <is>
          <t>x̄V̅DCCCLXXXII</t>
        </is>
      </c>
      <c r="C15883">
        <f>ROMAN(15882)</f>
        <v/>
      </c>
      <c r="D15883">
        <f>IF(B15883=C15883, "YES", "WRONG")</f>
        <v/>
      </c>
    </row>
    <row r="15884">
      <c r="A15884" t="n">
        <v>15883</v>
      </c>
      <c r="B15884" t="inlineStr">
        <is>
          <t>x̄V̅DCCCLXXXIII</t>
        </is>
      </c>
      <c r="C15884">
        <f>ROMAN(15883)</f>
        <v/>
      </c>
      <c r="D15884">
        <f>IF(B15884=C15884, "YES", "WRONG")</f>
        <v/>
      </c>
    </row>
    <row r="15885">
      <c r="A15885" t="n">
        <v>15884</v>
      </c>
      <c r="B15885" t="inlineStr">
        <is>
          <t>x̄V̅DCCCLXXXIV</t>
        </is>
      </c>
      <c r="C15885">
        <f>ROMAN(15884)</f>
        <v/>
      </c>
      <c r="D15885">
        <f>IF(B15885=C15885, "YES", "WRONG")</f>
        <v/>
      </c>
    </row>
    <row r="15886">
      <c r="A15886" t="n">
        <v>15885</v>
      </c>
      <c r="B15886" t="inlineStr">
        <is>
          <t>x̄V̅DCCCLXXXV</t>
        </is>
      </c>
      <c r="C15886">
        <f>ROMAN(15885)</f>
        <v/>
      </c>
      <c r="D15886">
        <f>IF(B15886=C15886, "YES", "WRONG")</f>
        <v/>
      </c>
    </row>
    <row r="15887">
      <c r="A15887" t="n">
        <v>15886</v>
      </c>
      <c r="B15887" t="inlineStr">
        <is>
          <t>x̄V̅DCCCLXXXVI</t>
        </is>
      </c>
      <c r="C15887">
        <f>ROMAN(15886)</f>
        <v/>
      </c>
      <c r="D15887">
        <f>IF(B15887=C15887, "YES", "WRONG")</f>
        <v/>
      </c>
    </row>
    <row r="15888">
      <c r="A15888" t="n">
        <v>15887</v>
      </c>
      <c r="B15888" t="inlineStr">
        <is>
          <t>x̄V̅DCCCLXXXVII</t>
        </is>
      </c>
      <c r="C15888">
        <f>ROMAN(15887)</f>
        <v/>
      </c>
      <c r="D15888">
        <f>IF(B15888=C15888, "YES", "WRONG")</f>
        <v/>
      </c>
    </row>
    <row r="15889">
      <c r="A15889" t="n">
        <v>15888</v>
      </c>
      <c r="B15889" t="inlineStr">
        <is>
          <t>x̄V̅DCCCLXXXVIII</t>
        </is>
      </c>
      <c r="C15889">
        <f>ROMAN(15888)</f>
        <v/>
      </c>
      <c r="D15889">
        <f>IF(B15889=C15889, "YES", "WRONG")</f>
        <v/>
      </c>
    </row>
    <row r="15890">
      <c r="A15890" t="n">
        <v>15889</v>
      </c>
      <c r="B15890" t="inlineStr">
        <is>
          <t>x̄V̅DCCCLXXXIX</t>
        </is>
      </c>
      <c r="C15890">
        <f>ROMAN(15889)</f>
        <v/>
      </c>
      <c r="D15890">
        <f>IF(B15890=C15890, "YES", "WRONG")</f>
        <v/>
      </c>
    </row>
    <row r="15891">
      <c r="A15891" t="n">
        <v>15890</v>
      </c>
      <c r="B15891" t="inlineStr">
        <is>
          <t>x̄V̅DCCCXC</t>
        </is>
      </c>
      <c r="C15891">
        <f>ROMAN(15890)</f>
        <v/>
      </c>
      <c r="D15891">
        <f>IF(B15891=C15891, "YES", "WRONG")</f>
        <v/>
      </c>
    </row>
    <row r="15892">
      <c r="A15892" t="n">
        <v>15891</v>
      </c>
      <c r="B15892" t="inlineStr">
        <is>
          <t>x̄V̅DCCCXCI</t>
        </is>
      </c>
      <c r="C15892">
        <f>ROMAN(15891)</f>
        <v/>
      </c>
      <c r="D15892">
        <f>IF(B15892=C15892, "YES", "WRONG")</f>
        <v/>
      </c>
    </row>
    <row r="15893">
      <c r="A15893" t="n">
        <v>15892</v>
      </c>
      <c r="B15893" t="inlineStr">
        <is>
          <t>x̄V̅DCCCXCII</t>
        </is>
      </c>
      <c r="C15893">
        <f>ROMAN(15892)</f>
        <v/>
      </c>
      <c r="D15893">
        <f>IF(B15893=C15893, "YES", "WRONG")</f>
        <v/>
      </c>
    </row>
    <row r="15894">
      <c r="A15894" t="n">
        <v>15893</v>
      </c>
      <c r="B15894" t="inlineStr">
        <is>
          <t>x̄V̅DCCCXCIII</t>
        </is>
      </c>
      <c r="C15894">
        <f>ROMAN(15893)</f>
        <v/>
      </c>
      <c r="D15894">
        <f>IF(B15894=C15894, "YES", "WRONG")</f>
        <v/>
      </c>
    </row>
    <row r="15895">
      <c r="A15895" t="n">
        <v>15894</v>
      </c>
      <c r="B15895" t="inlineStr">
        <is>
          <t>x̄V̅DCCCXCIV</t>
        </is>
      </c>
      <c r="C15895">
        <f>ROMAN(15894)</f>
        <v/>
      </c>
      <c r="D15895">
        <f>IF(B15895=C15895, "YES", "WRONG")</f>
        <v/>
      </c>
    </row>
    <row r="15896">
      <c r="A15896" t="n">
        <v>15895</v>
      </c>
      <c r="B15896" t="inlineStr">
        <is>
          <t>x̄V̅DCCCXCV</t>
        </is>
      </c>
      <c r="C15896">
        <f>ROMAN(15895)</f>
        <v/>
      </c>
      <c r="D15896">
        <f>IF(B15896=C15896, "YES", "WRONG")</f>
        <v/>
      </c>
    </row>
    <row r="15897">
      <c r="A15897" t="n">
        <v>15896</v>
      </c>
      <c r="B15897" t="inlineStr">
        <is>
          <t>x̄V̅DCCCXCVI</t>
        </is>
      </c>
      <c r="C15897">
        <f>ROMAN(15896)</f>
        <v/>
      </c>
      <c r="D15897">
        <f>IF(B15897=C15897, "YES", "WRONG")</f>
        <v/>
      </c>
    </row>
    <row r="15898">
      <c r="A15898" t="n">
        <v>15897</v>
      </c>
      <c r="B15898" t="inlineStr">
        <is>
          <t>x̄V̅DCCCXCVII</t>
        </is>
      </c>
      <c r="C15898">
        <f>ROMAN(15897)</f>
        <v/>
      </c>
      <c r="D15898">
        <f>IF(B15898=C15898, "YES", "WRONG")</f>
        <v/>
      </c>
    </row>
    <row r="15899">
      <c r="A15899" t="n">
        <v>15898</v>
      </c>
      <c r="B15899" t="inlineStr">
        <is>
          <t>x̄V̅DCCCXCVIII</t>
        </is>
      </c>
      <c r="C15899">
        <f>ROMAN(15898)</f>
        <v/>
      </c>
      <c r="D15899">
        <f>IF(B15899=C15899, "YES", "WRONG")</f>
        <v/>
      </c>
    </row>
    <row r="15900">
      <c r="A15900" t="n">
        <v>15899</v>
      </c>
      <c r="B15900" t="inlineStr">
        <is>
          <t>x̄V̅DCCCXCIX</t>
        </is>
      </c>
      <c r="C15900">
        <f>ROMAN(15899)</f>
        <v/>
      </c>
      <c r="D15900">
        <f>IF(B15900=C15900, "YES", "WRONG")</f>
        <v/>
      </c>
    </row>
    <row r="15901">
      <c r="A15901" t="n">
        <v>15900</v>
      </c>
      <c r="B15901" t="inlineStr">
        <is>
          <t>x̄V̅CM</t>
        </is>
      </c>
      <c r="C15901">
        <f>ROMAN(15900)</f>
        <v/>
      </c>
      <c r="D15901">
        <f>IF(B15901=C15901, "YES", "WRONG")</f>
        <v/>
      </c>
    </row>
    <row r="15902">
      <c r="A15902" t="n">
        <v>15901</v>
      </c>
      <c r="B15902" t="inlineStr">
        <is>
          <t>x̄V̅CMI</t>
        </is>
      </c>
      <c r="C15902">
        <f>ROMAN(15901)</f>
        <v/>
      </c>
      <c r="D15902">
        <f>IF(B15902=C15902, "YES", "WRONG")</f>
        <v/>
      </c>
    </row>
    <row r="15903">
      <c r="A15903" t="n">
        <v>15902</v>
      </c>
      <c r="B15903" t="inlineStr">
        <is>
          <t>x̄V̅CMII</t>
        </is>
      </c>
      <c r="C15903">
        <f>ROMAN(15902)</f>
        <v/>
      </c>
      <c r="D15903">
        <f>IF(B15903=C15903, "YES", "WRONG")</f>
        <v/>
      </c>
    </row>
    <row r="15904">
      <c r="A15904" t="n">
        <v>15903</v>
      </c>
      <c r="B15904" t="inlineStr">
        <is>
          <t>x̄V̅CMIII</t>
        </is>
      </c>
      <c r="C15904">
        <f>ROMAN(15903)</f>
        <v/>
      </c>
      <c r="D15904">
        <f>IF(B15904=C15904, "YES", "WRONG")</f>
        <v/>
      </c>
    </row>
    <row r="15905">
      <c r="A15905" t="n">
        <v>15904</v>
      </c>
      <c r="B15905" t="inlineStr">
        <is>
          <t>x̄V̅CMIV</t>
        </is>
      </c>
      <c r="C15905">
        <f>ROMAN(15904)</f>
        <v/>
      </c>
      <c r="D15905">
        <f>IF(B15905=C15905, "YES", "WRONG")</f>
        <v/>
      </c>
    </row>
    <row r="15906">
      <c r="A15906" t="n">
        <v>15905</v>
      </c>
      <c r="B15906" t="inlineStr">
        <is>
          <t>x̄V̅CMV</t>
        </is>
      </c>
      <c r="C15906">
        <f>ROMAN(15905)</f>
        <v/>
      </c>
      <c r="D15906">
        <f>IF(B15906=C15906, "YES", "WRONG")</f>
        <v/>
      </c>
    </row>
    <row r="15907">
      <c r="A15907" t="n">
        <v>15906</v>
      </c>
      <c r="B15907" t="inlineStr">
        <is>
          <t>x̄V̅CMVI</t>
        </is>
      </c>
      <c r="C15907">
        <f>ROMAN(15906)</f>
        <v/>
      </c>
      <c r="D15907">
        <f>IF(B15907=C15907, "YES", "WRONG")</f>
        <v/>
      </c>
    </row>
    <row r="15908">
      <c r="A15908" t="n">
        <v>15907</v>
      </c>
      <c r="B15908" t="inlineStr">
        <is>
          <t>x̄V̅CMVII</t>
        </is>
      </c>
      <c r="C15908">
        <f>ROMAN(15907)</f>
        <v/>
      </c>
      <c r="D15908">
        <f>IF(B15908=C15908, "YES", "WRONG")</f>
        <v/>
      </c>
    </row>
    <row r="15909">
      <c r="A15909" t="n">
        <v>15908</v>
      </c>
      <c r="B15909" t="inlineStr">
        <is>
          <t>x̄V̅CMVIII</t>
        </is>
      </c>
      <c r="C15909">
        <f>ROMAN(15908)</f>
        <v/>
      </c>
      <c r="D15909">
        <f>IF(B15909=C15909, "YES", "WRONG")</f>
        <v/>
      </c>
    </row>
    <row r="15910">
      <c r="A15910" t="n">
        <v>15909</v>
      </c>
      <c r="B15910" t="inlineStr">
        <is>
          <t>x̄V̅CMIX</t>
        </is>
      </c>
      <c r="C15910">
        <f>ROMAN(15909)</f>
        <v/>
      </c>
      <c r="D15910">
        <f>IF(B15910=C15910, "YES", "WRONG")</f>
        <v/>
      </c>
    </row>
    <row r="15911">
      <c r="A15911" t="n">
        <v>15910</v>
      </c>
      <c r="B15911" t="inlineStr">
        <is>
          <t>x̄V̅CMX</t>
        </is>
      </c>
      <c r="C15911">
        <f>ROMAN(15910)</f>
        <v/>
      </c>
      <c r="D15911">
        <f>IF(B15911=C15911, "YES", "WRONG")</f>
        <v/>
      </c>
    </row>
    <row r="15912">
      <c r="A15912" t="n">
        <v>15911</v>
      </c>
      <c r="B15912" t="inlineStr">
        <is>
          <t>x̄V̅CMXI</t>
        </is>
      </c>
      <c r="C15912">
        <f>ROMAN(15911)</f>
        <v/>
      </c>
      <c r="D15912">
        <f>IF(B15912=C15912, "YES", "WRONG")</f>
        <v/>
      </c>
    </row>
    <row r="15913">
      <c r="A15913" t="n">
        <v>15912</v>
      </c>
      <c r="B15913" t="inlineStr">
        <is>
          <t>x̄V̅CMXII</t>
        </is>
      </c>
      <c r="C15913">
        <f>ROMAN(15912)</f>
        <v/>
      </c>
      <c r="D15913">
        <f>IF(B15913=C15913, "YES", "WRONG")</f>
        <v/>
      </c>
    </row>
    <row r="15914">
      <c r="A15914" t="n">
        <v>15913</v>
      </c>
      <c r="B15914" t="inlineStr">
        <is>
          <t>x̄V̅CMXIII</t>
        </is>
      </c>
      <c r="C15914">
        <f>ROMAN(15913)</f>
        <v/>
      </c>
      <c r="D15914">
        <f>IF(B15914=C15914, "YES", "WRONG")</f>
        <v/>
      </c>
    </row>
    <row r="15915">
      <c r="A15915" t="n">
        <v>15914</v>
      </c>
      <c r="B15915" t="inlineStr">
        <is>
          <t>x̄V̅CMXIV</t>
        </is>
      </c>
      <c r="C15915">
        <f>ROMAN(15914)</f>
        <v/>
      </c>
      <c r="D15915">
        <f>IF(B15915=C15915, "YES", "WRONG")</f>
        <v/>
      </c>
    </row>
    <row r="15916">
      <c r="A15916" t="n">
        <v>15915</v>
      </c>
      <c r="B15916" t="inlineStr">
        <is>
          <t>x̄V̅CMXV</t>
        </is>
      </c>
      <c r="C15916">
        <f>ROMAN(15915)</f>
        <v/>
      </c>
      <c r="D15916">
        <f>IF(B15916=C15916, "YES", "WRONG")</f>
        <v/>
      </c>
    </row>
    <row r="15917">
      <c r="A15917" t="n">
        <v>15916</v>
      </c>
      <c r="B15917" t="inlineStr">
        <is>
          <t>x̄V̅CMXVI</t>
        </is>
      </c>
      <c r="C15917">
        <f>ROMAN(15916)</f>
        <v/>
      </c>
      <c r="D15917">
        <f>IF(B15917=C15917, "YES", "WRONG")</f>
        <v/>
      </c>
    </row>
    <row r="15918">
      <c r="A15918" t="n">
        <v>15917</v>
      </c>
      <c r="B15918" t="inlineStr">
        <is>
          <t>x̄V̅CMXVII</t>
        </is>
      </c>
      <c r="C15918">
        <f>ROMAN(15917)</f>
        <v/>
      </c>
      <c r="D15918">
        <f>IF(B15918=C15918, "YES", "WRONG")</f>
        <v/>
      </c>
    </row>
    <row r="15919">
      <c r="A15919" t="n">
        <v>15918</v>
      </c>
      <c r="B15919" t="inlineStr">
        <is>
          <t>x̄V̅CMXVIII</t>
        </is>
      </c>
      <c r="C15919">
        <f>ROMAN(15918)</f>
        <v/>
      </c>
      <c r="D15919">
        <f>IF(B15919=C15919, "YES", "WRONG")</f>
        <v/>
      </c>
    </row>
    <row r="15920">
      <c r="A15920" t="n">
        <v>15919</v>
      </c>
      <c r="B15920" t="inlineStr">
        <is>
          <t>x̄V̅CMXIX</t>
        </is>
      </c>
      <c r="C15920">
        <f>ROMAN(15919)</f>
        <v/>
      </c>
      <c r="D15920">
        <f>IF(B15920=C15920, "YES", "WRONG")</f>
        <v/>
      </c>
    </row>
    <row r="15921">
      <c r="A15921" t="n">
        <v>15920</v>
      </c>
      <c r="B15921" t="inlineStr">
        <is>
          <t>x̄V̅CMXX</t>
        </is>
      </c>
      <c r="C15921">
        <f>ROMAN(15920)</f>
        <v/>
      </c>
      <c r="D15921">
        <f>IF(B15921=C15921, "YES", "WRONG")</f>
        <v/>
      </c>
    </row>
    <row r="15922">
      <c r="A15922" t="n">
        <v>15921</v>
      </c>
      <c r="B15922" t="inlineStr">
        <is>
          <t>x̄V̅CMXXI</t>
        </is>
      </c>
      <c r="C15922">
        <f>ROMAN(15921)</f>
        <v/>
      </c>
      <c r="D15922">
        <f>IF(B15922=C15922, "YES", "WRONG")</f>
        <v/>
      </c>
    </row>
    <row r="15923">
      <c r="A15923" t="n">
        <v>15922</v>
      </c>
      <c r="B15923" t="inlineStr">
        <is>
          <t>x̄V̅CMXXII</t>
        </is>
      </c>
      <c r="C15923">
        <f>ROMAN(15922)</f>
        <v/>
      </c>
      <c r="D15923">
        <f>IF(B15923=C15923, "YES", "WRONG")</f>
        <v/>
      </c>
    </row>
    <row r="15924">
      <c r="A15924" t="n">
        <v>15923</v>
      </c>
      <c r="B15924" t="inlineStr">
        <is>
          <t>x̄V̅CMXXIII</t>
        </is>
      </c>
      <c r="C15924">
        <f>ROMAN(15923)</f>
        <v/>
      </c>
      <c r="D15924">
        <f>IF(B15924=C15924, "YES", "WRONG")</f>
        <v/>
      </c>
    </row>
    <row r="15925">
      <c r="A15925" t="n">
        <v>15924</v>
      </c>
      <c r="B15925" t="inlineStr">
        <is>
          <t>x̄V̅CMXXIV</t>
        </is>
      </c>
      <c r="C15925">
        <f>ROMAN(15924)</f>
        <v/>
      </c>
      <c r="D15925">
        <f>IF(B15925=C15925, "YES", "WRONG")</f>
        <v/>
      </c>
    </row>
    <row r="15926">
      <c r="A15926" t="n">
        <v>15925</v>
      </c>
      <c r="B15926" t="inlineStr">
        <is>
          <t>x̄V̅CMXXV</t>
        </is>
      </c>
      <c r="C15926">
        <f>ROMAN(15925)</f>
        <v/>
      </c>
      <c r="D15926">
        <f>IF(B15926=C15926, "YES", "WRONG")</f>
        <v/>
      </c>
    </row>
    <row r="15927">
      <c r="A15927" t="n">
        <v>15926</v>
      </c>
      <c r="B15927" t="inlineStr">
        <is>
          <t>x̄V̅CMXXVI</t>
        </is>
      </c>
      <c r="C15927">
        <f>ROMAN(15926)</f>
        <v/>
      </c>
      <c r="D15927">
        <f>IF(B15927=C15927, "YES", "WRONG")</f>
        <v/>
      </c>
    </row>
    <row r="15928">
      <c r="A15928" t="n">
        <v>15927</v>
      </c>
      <c r="B15928" t="inlineStr">
        <is>
          <t>x̄V̅CMXXVII</t>
        </is>
      </c>
      <c r="C15928">
        <f>ROMAN(15927)</f>
        <v/>
      </c>
      <c r="D15928">
        <f>IF(B15928=C15928, "YES", "WRONG")</f>
        <v/>
      </c>
    </row>
    <row r="15929">
      <c r="A15929" t="n">
        <v>15928</v>
      </c>
      <c r="B15929" t="inlineStr">
        <is>
          <t>x̄V̅CMXXVIII</t>
        </is>
      </c>
      <c r="C15929">
        <f>ROMAN(15928)</f>
        <v/>
      </c>
      <c r="D15929">
        <f>IF(B15929=C15929, "YES", "WRONG")</f>
        <v/>
      </c>
    </row>
    <row r="15930">
      <c r="A15930" t="n">
        <v>15929</v>
      </c>
      <c r="B15930" t="inlineStr">
        <is>
          <t>x̄V̅CMXXIX</t>
        </is>
      </c>
      <c r="C15930">
        <f>ROMAN(15929)</f>
        <v/>
      </c>
      <c r="D15930">
        <f>IF(B15930=C15930, "YES", "WRONG")</f>
        <v/>
      </c>
    </row>
    <row r="15931">
      <c r="A15931" t="n">
        <v>15930</v>
      </c>
      <c r="B15931" t="inlineStr">
        <is>
          <t>x̄V̅CMXXX</t>
        </is>
      </c>
      <c r="C15931">
        <f>ROMAN(15930)</f>
        <v/>
      </c>
      <c r="D15931">
        <f>IF(B15931=C15931, "YES", "WRONG")</f>
        <v/>
      </c>
    </row>
    <row r="15932">
      <c r="A15932" t="n">
        <v>15931</v>
      </c>
      <c r="B15932" t="inlineStr">
        <is>
          <t>x̄V̅CMXXXI</t>
        </is>
      </c>
      <c r="C15932">
        <f>ROMAN(15931)</f>
        <v/>
      </c>
      <c r="D15932">
        <f>IF(B15932=C15932, "YES", "WRONG")</f>
        <v/>
      </c>
    </row>
    <row r="15933">
      <c r="A15933" t="n">
        <v>15932</v>
      </c>
      <c r="B15933" t="inlineStr">
        <is>
          <t>x̄V̅CMXXXII</t>
        </is>
      </c>
      <c r="C15933">
        <f>ROMAN(15932)</f>
        <v/>
      </c>
      <c r="D15933">
        <f>IF(B15933=C15933, "YES", "WRONG")</f>
        <v/>
      </c>
    </row>
    <row r="15934">
      <c r="A15934" t="n">
        <v>15933</v>
      </c>
      <c r="B15934" t="inlineStr">
        <is>
          <t>x̄V̅CMXXXIII</t>
        </is>
      </c>
      <c r="C15934">
        <f>ROMAN(15933)</f>
        <v/>
      </c>
      <c r="D15934">
        <f>IF(B15934=C15934, "YES", "WRONG")</f>
        <v/>
      </c>
    </row>
    <row r="15935">
      <c r="A15935" t="n">
        <v>15934</v>
      </c>
      <c r="B15935" t="inlineStr">
        <is>
          <t>x̄V̅CMXXXIV</t>
        </is>
      </c>
      <c r="C15935">
        <f>ROMAN(15934)</f>
        <v/>
      </c>
      <c r="D15935">
        <f>IF(B15935=C15935, "YES", "WRONG")</f>
        <v/>
      </c>
    </row>
    <row r="15936">
      <c r="A15936" t="n">
        <v>15935</v>
      </c>
      <c r="B15936" t="inlineStr">
        <is>
          <t>x̄V̅CMXXXV</t>
        </is>
      </c>
      <c r="C15936">
        <f>ROMAN(15935)</f>
        <v/>
      </c>
      <c r="D15936">
        <f>IF(B15936=C15936, "YES", "WRONG")</f>
        <v/>
      </c>
    </row>
    <row r="15937">
      <c r="A15937" t="n">
        <v>15936</v>
      </c>
      <c r="B15937" t="inlineStr">
        <is>
          <t>x̄V̅CMXXXVI</t>
        </is>
      </c>
      <c r="C15937">
        <f>ROMAN(15936)</f>
        <v/>
      </c>
      <c r="D15937">
        <f>IF(B15937=C15937, "YES", "WRONG")</f>
        <v/>
      </c>
    </row>
    <row r="15938">
      <c r="A15938" t="n">
        <v>15937</v>
      </c>
      <c r="B15938" t="inlineStr">
        <is>
          <t>x̄V̅CMXXXVII</t>
        </is>
      </c>
      <c r="C15938">
        <f>ROMAN(15937)</f>
        <v/>
      </c>
      <c r="D15938">
        <f>IF(B15938=C15938, "YES", "WRONG")</f>
        <v/>
      </c>
    </row>
    <row r="15939">
      <c r="A15939" t="n">
        <v>15938</v>
      </c>
      <c r="B15939" t="inlineStr">
        <is>
          <t>x̄V̅CMXXXVIII</t>
        </is>
      </c>
      <c r="C15939">
        <f>ROMAN(15938)</f>
        <v/>
      </c>
      <c r="D15939">
        <f>IF(B15939=C15939, "YES", "WRONG")</f>
        <v/>
      </c>
    </row>
    <row r="15940">
      <c r="A15940" t="n">
        <v>15939</v>
      </c>
      <c r="B15940" t="inlineStr">
        <is>
          <t>x̄V̅CMXXXIX</t>
        </is>
      </c>
      <c r="C15940">
        <f>ROMAN(15939)</f>
        <v/>
      </c>
      <c r="D15940">
        <f>IF(B15940=C15940, "YES", "WRONG")</f>
        <v/>
      </c>
    </row>
    <row r="15941">
      <c r="A15941" t="n">
        <v>15940</v>
      </c>
      <c r="B15941" t="inlineStr">
        <is>
          <t>x̄V̅CMXL</t>
        </is>
      </c>
      <c r="C15941">
        <f>ROMAN(15940)</f>
        <v/>
      </c>
      <c r="D15941">
        <f>IF(B15941=C15941, "YES", "WRONG")</f>
        <v/>
      </c>
    </row>
    <row r="15942">
      <c r="A15942" t="n">
        <v>15941</v>
      </c>
      <c r="B15942" t="inlineStr">
        <is>
          <t>x̄V̅CMXLI</t>
        </is>
      </c>
      <c r="C15942">
        <f>ROMAN(15941)</f>
        <v/>
      </c>
      <c r="D15942">
        <f>IF(B15942=C15942, "YES", "WRONG")</f>
        <v/>
      </c>
    </row>
    <row r="15943">
      <c r="A15943" t="n">
        <v>15942</v>
      </c>
      <c r="B15943" t="inlineStr">
        <is>
          <t>x̄V̅CMXLII</t>
        </is>
      </c>
      <c r="C15943">
        <f>ROMAN(15942)</f>
        <v/>
      </c>
      <c r="D15943">
        <f>IF(B15943=C15943, "YES", "WRONG")</f>
        <v/>
      </c>
    </row>
    <row r="15944">
      <c r="A15944" t="n">
        <v>15943</v>
      </c>
      <c r="B15944" t="inlineStr">
        <is>
          <t>x̄V̅CMXLIII</t>
        </is>
      </c>
      <c r="C15944">
        <f>ROMAN(15943)</f>
        <v/>
      </c>
      <c r="D15944">
        <f>IF(B15944=C15944, "YES", "WRONG")</f>
        <v/>
      </c>
    </row>
    <row r="15945">
      <c r="A15945" t="n">
        <v>15944</v>
      </c>
      <c r="B15945" t="inlineStr">
        <is>
          <t>x̄V̅CMXLIV</t>
        </is>
      </c>
      <c r="C15945">
        <f>ROMAN(15944)</f>
        <v/>
      </c>
      <c r="D15945">
        <f>IF(B15945=C15945, "YES", "WRONG")</f>
        <v/>
      </c>
    </row>
    <row r="15946">
      <c r="A15946" t="n">
        <v>15945</v>
      </c>
      <c r="B15946" t="inlineStr">
        <is>
          <t>x̄V̅CMXLV</t>
        </is>
      </c>
      <c r="C15946">
        <f>ROMAN(15945)</f>
        <v/>
      </c>
      <c r="D15946">
        <f>IF(B15946=C15946, "YES", "WRONG")</f>
        <v/>
      </c>
    </row>
    <row r="15947">
      <c r="A15947" t="n">
        <v>15946</v>
      </c>
      <c r="B15947" t="inlineStr">
        <is>
          <t>x̄V̅CMXLVI</t>
        </is>
      </c>
      <c r="C15947">
        <f>ROMAN(15946)</f>
        <v/>
      </c>
      <c r="D15947">
        <f>IF(B15947=C15947, "YES", "WRONG")</f>
        <v/>
      </c>
    </row>
    <row r="15948">
      <c r="A15948" t="n">
        <v>15947</v>
      </c>
      <c r="B15948" t="inlineStr">
        <is>
          <t>x̄V̅CMXLVII</t>
        </is>
      </c>
      <c r="C15948">
        <f>ROMAN(15947)</f>
        <v/>
      </c>
      <c r="D15948">
        <f>IF(B15948=C15948, "YES", "WRONG")</f>
        <v/>
      </c>
    </row>
    <row r="15949">
      <c r="A15949" t="n">
        <v>15948</v>
      </c>
      <c r="B15949" t="inlineStr">
        <is>
          <t>x̄V̅CMXLVIII</t>
        </is>
      </c>
      <c r="C15949">
        <f>ROMAN(15948)</f>
        <v/>
      </c>
      <c r="D15949">
        <f>IF(B15949=C15949, "YES", "WRONG")</f>
        <v/>
      </c>
    </row>
    <row r="15950">
      <c r="A15950" t="n">
        <v>15949</v>
      </c>
      <c r="B15950" t="inlineStr">
        <is>
          <t>x̄V̅CMXLIX</t>
        </is>
      </c>
      <c r="C15950">
        <f>ROMAN(15949)</f>
        <v/>
      </c>
      <c r="D15950">
        <f>IF(B15950=C15950, "YES", "WRONG")</f>
        <v/>
      </c>
    </row>
    <row r="15951">
      <c r="A15951" t="n">
        <v>15950</v>
      </c>
      <c r="B15951" t="inlineStr">
        <is>
          <t>x̄V̅CML</t>
        </is>
      </c>
      <c r="C15951">
        <f>ROMAN(15950)</f>
        <v/>
      </c>
      <c r="D15951">
        <f>IF(B15951=C15951, "YES", "WRONG")</f>
        <v/>
      </c>
    </row>
    <row r="15952">
      <c r="A15952" t="n">
        <v>15951</v>
      </c>
      <c r="B15952" t="inlineStr">
        <is>
          <t>x̄V̅CMLI</t>
        </is>
      </c>
      <c r="C15952">
        <f>ROMAN(15951)</f>
        <v/>
      </c>
      <c r="D15952">
        <f>IF(B15952=C15952, "YES", "WRONG")</f>
        <v/>
      </c>
    </row>
    <row r="15953">
      <c r="A15953" t="n">
        <v>15952</v>
      </c>
      <c r="B15953" t="inlineStr">
        <is>
          <t>x̄V̅CMLII</t>
        </is>
      </c>
      <c r="C15953">
        <f>ROMAN(15952)</f>
        <v/>
      </c>
      <c r="D15953">
        <f>IF(B15953=C15953, "YES", "WRONG")</f>
        <v/>
      </c>
    </row>
    <row r="15954">
      <c r="A15954" t="n">
        <v>15953</v>
      </c>
      <c r="B15954" t="inlineStr">
        <is>
          <t>x̄V̅CMLIII</t>
        </is>
      </c>
      <c r="C15954">
        <f>ROMAN(15953)</f>
        <v/>
      </c>
      <c r="D15954">
        <f>IF(B15954=C15954, "YES", "WRONG")</f>
        <v/>
      </c>
    </row>
    <row r="15955">
      <c r="A15955" t="n">
        <v>15954</v>
      </c>
      <c r="B15955" t="inlineStr">
        <is>
          <t>x̄V̅CMLIV</t>
        </is>
      </c>
      <c r="C15955">
        <f>ROMAN(15954)</f>
        <v/>
      </c>
      <c r="D15955">
        <f>IF(B15955=C15955, "YES", "WRONG")</f>
        <v/>
      </c>
    </row>
    <row r="15956">
      <c r="A15956" t="n">
        <v>15955</v>
      </c>
      <c r="B15956" t="inlineStr">
        <is>
          <t>x̄V̅CMLV</t>
        </is>
      </c>
      <c r="C15956">
        <f>ROMAN(15955)</f>
        <v/>
      </c>
      <c r="D15956">
        <f>IF(B15956=C15956, "YES", "WRONG")</f>
        <v/>
      </c>
    </row>
    <row r="15957">
      <c r="A15957" t="n">
        <v>15956</v>
      </c>
      <c r="B15957" t="inlineStr">
        <is>
          <t>x̄V̅CMLVI</t>
        </is>
      </c>
      <c r="C15957">
        <f>ROMAN(15956)</f>
        <v/>
      </c>
      <c r="D15957">
        <f>IF(B15957=C15957, "YES", "WRONG")</f>
        <v/>
      </c>
    </row>
    <row r="15958">
      <c r="A15958" t="n">
        <v>15957</v>
      </c>
      <c r="B15958" t="inlineStr">
        <is>
          <t>x̄V̅CMLVII</t>
        </is>
      </c>
      <c r="C15958">
        <f>ROMAN(15957)</f>
        <v/>
      </c>
      <c r="D15958">
        <f>IF(B15958=C15958, "YES", "WRONG")</f>
        <v/>
      </c>
    </row>
    <row r="15959">
      <c r="A15959" t="n">
        <v>15958</v>
      </c>
      <c r="B15959" t="inlineStr">
        <is>
          <t>x̄V̅CMLVIII</t>
        </is>
      </c>
      <c r="C15959">
        <f>ROMAN(15958)</f>
        <v/>
      </c>
      <c r="D15959">
        <f>IF(B15959=C15959, "YES", "WRONG")</f>
        <v/>
      </c>
    </row>
    <row r="15960">
      <c r="A15960" t="n">
        <v>15959</v>
      </c>
      <c r="B15960" t="inlineStr">
        <is>
          <t>x̄V̅CMLIX</t>
        </is>
      </c>
      <c r="C15960">
        <f>ROMAN(15959)</f>
        <v/>
      </c>
      <c r="D15960">
        <f>IF(B15960=C15960, "YES", "WRONG")</f>
        <v/>
      </c>
    </row>
    <row r="15961">
      <c r="A15961" t="n">
        <v>15960</v>
      </c>
      <c r="B15961" t="inlineStr">
        <is>
          <t>x̄V̅CMLX</t>
        </is>
      </c>
      <c r="C15961">
        <f>ROMAN(15960)</f>
        <v/>
      </c>
      <c r="D15961">
        <f>IF(B15961=C15961, "YES", "WRONG")</f>
        <v/>
      </c>
    </row>
    <row r="15962">
      <c r="A15962" t="n">
        <v>15961</v>
      </c>
      <c r="B15962" t="inlineStr">
        <is>
          <t>x̄V̅CMLXI</t>
        </is>
      </c>
      <c r="C15962">
        <f>ROMAN(15961)</f>
        <v/>
      </c>
      <c r="D15962">
        <f>IF(B15962=C15962, "YES", "WRONG")</f>
        <v/>
      </c>
    </row>
    <row r="15963">
      <c r="A15963" t="n">
        <v>15962</v>
      </c>
      <c r="B15963" t="inlineStr">
        <is>
          <t>x̄V̅CMLXII</t>
        </is>
      </c>
      <c r="C15963">
        <f>ROMAN(15962)</f>
        <v/>
      </c>
      <c r="D15963">
        <f>IF(B15963=C15963, "YES", "WRONG")</f>
        <v/>
      </c>
    </row>
    <row r="15964">
      <c r="A15964" t="n">
        <v>15963</v>
      </c>
      <c r="B15964" t="inlineStr">
        <is>
          <t>x̄V̅CMLXIII</t>
        </is>
      </c>
      <c r="C15964">
        <f>ROMAN(15963)</f>
        <v/>
      </c>
      <c r="D15964">
        <f>IF(B15964=C15964, "YES", "WRONG")</f>
        <v/>
      </c>
    </row>
    <row r="15965">
      <c r="A15965" t="n">
        <v>15964</v>
      </c>
      <c r="B15965" t="inlineStr">
        <is>
          <t>x̄V̅CMLXIV</t>
        </is>
      </c>
      <c r="C15965">
        <f>ROMAN(15964)</f>
        <v/>
      </c>
      <c r="D15965">
        <f>IF(B15965=C15965, "YES", "WRONG")</f>
        <v/>
      </c>
    </row>
    <row r="15966">
      <c r="A15966" t="n">
        <v>15965</v>
      </c>
      <c r="B15966" t="inlineStr">
        <is>
          <t>x̄V̅CMLXV</t>
        </is>
      </c>
      <c r="C15966">
        <f>ROMAN(15965)</f>
        <v/>
      </c>
      <c r="D15966">
        <f>IF(B15966=C15966, "YES", "WRONG")</f>
        <v/>
      </c>
    </row>
    <row r="15967">
      <c r="A15967" t="n">
        <v>15966</v>
      </c>
      <c r="B15967" t="inlineStr">
        <is>
          <t>x̄V̅CMLXVI</t>
        </is>
      </c>
      <c r="C15967">
        <f>ROMAN(15966)</f>
        <v/>
      </c>
      <c r="D15967">
        <f>IF(B15967=C15967, "YES", "WRONG")</f>
        <v/>
      </c>
    </row>
    <row r="15968">
      <c r="A15968" t="n">
        <v>15967</v>
      </c>
      <c r="B15968" t="inlineStr">
        <is>
          <t>x̄V̅CMLXVII</t>
        </is>
      </c>
      <c r="C15968">
        <f>ROMAN(15967)</f>
        <v/>
      </c>
      <c r="D15968">
        <f>IF(B15968=C15968, "YES", "WRONG")</f>
        <v/>
      </c>
    </row>
    <row r="15969">
      <c r="A15969" t="n">
        <v>15968</v>
      </c>
      <c r="B15969" t="inlineStr">
        <is>
          <t>x̄V̅CMLXVIII</t>
        </is>
      </c>
      <c r="C15969">
        <f>ROMAN(15968)</f>
        <v/>
      </c>
      <c r="D15969">
        <f>IF(B15969=C15969, "YES", "WRONG")</f>
        <v/>
      </c>
    </row>
    <row r="15970">
      <c r="A15970" t="n">
        <v>15969</v>
      </c>
      <c r="B15970" t="inlineStr">
        <is>
          <t>x̄V̅CMLXIX</t>
        </is>
      </c>
      <c r="C15970">
        <f>ROMAN(15969)</f>
        <v/>
      </c>
      <c r="D15970">
        <f>IF(B15970=C15970, "YES", "WRONG")</f>
        <v/>
      </c>
    </row>
    <row r="15971">
      <c r="A15971" t="n">
        <v>15970</v>
      </c>
      <c r="B15971" t="inlineStr">
        <is>
          <t>x̄V̅CMLXX</t>
        </is>
      </c>
      <c r="C15971">
        <f>ROMAN(15970)</f>
        <v/>
      </c>
      <c r="D15971">
        <f>IF(B15971=C15971, "YES", "WRONG")</f>
        <v/>
      </c>
    </row>
    <row r="15972">
      <c r="A15972" t="n">
        <v>15971</v>
      </c>
      <c r="B15972" t="inlineStr">
        <is>
          <t>x̄V̅CMLXXI</t>
        </is>
      </c>
      <c r="C15972">
        <f>ROMAN(15971)</f>
        <v/>
      </c>
      <c r="D15972">
        <f>IF(B15972=C15972, "YES", "WRONG")</f>
        <v/>
      </c>
    </row>
    <row r="15973">
      <c r="A15973" t="n">
        <v>15972</v>
      </c>
      <c r="B15973" t="inlineStr">
        <is>
          <t>x̄V̅CMLXXII</t>
        </is>
      </c>
      <c r="C15973">
        <f>ROMAN(15972)</f>
        <v/>
      </c>
      <c r="D15973">
        <f>IF(B15973=C15973, "YES", "WRONG")</f>
        <v/>
      </c>
    </row>
    <row r="15974">
      <c r="A15974" t="n">
        <v>15973</v>
      </c>
      <c r="B15974" t="inlineStr">
        <is>
          <t>x̄V̅CMLXXIII</t>
        </is>
      </c>
      <c r="C15974">
        <f>ROMAN(15973)</f>
        <v/>
      </c>
      <c r="D15974">
        <f>IF(B15974=C15974, "YES", "WRONG")</f>
        <v/>
      </c>
    </row>
    <row r="15975">
      <c r="A15975" t="n">
        <v>15974</v>
      </c>
      <c r="B15975" t="inlineStr">
        <is>
          <t>x̄V̅CMLXXIV</t>
        </is>
      </c>
      <c r="C15975">
        <f>ROMAN(15974)</f>
        <v/>
      </c>
      <c r="D15975">
        <f>IF(B15975=C15975, "YES", "WRONG")</f>
        <v/>
      </c>
    </row>
    <row r="15976">
      <c r="A15976" t="n">
        <v>15975</v>
      </c>
      <c r="B15976" t="inlineStr">
        <is>
          <t>x̄V̅CMLXXV</t>
        </is>
      </c>
      <c r="C15976">
        <f>ROMAN(15975)</f>
        <v/>
      </c>
      <c r="D15976">
        <f>IF(B15976=C15976, "YES", "WRONG")</f>
        <v/>
      </c>
    </row>
    <row r="15977">
      <c r="A15977" t="n">
        <v>15976</v>
      </c>
      <c r="B15977" t="inlineStr">
        <is>
          <t>x̄V̅CMLXXVI</t>
        </is>
      </c>
      <c r="C15977">
        <f>ROMAN(15976)</f>
        <v/>
      </c>
      <c r="D15977">
        <f>IF(B15977=C15977, "YES", "WRONG")</f>
        <v/>
      </c>
    </row>
    <row r="15978">
      <c r="A15978" t="n">
        <v>15977</v>
      </c>
      <c r="B15978" t="inlineStr">
        <is>
          <t>x̄V̅CMLXXVII</t>
        </is>
      </c>
      <c r="C15978">
        <f>ROMAN(15977)</f>
        <v/>
      </c>
      <c r="D15978">
        <f>IF(B15978=C15978, "YES", "WRONG")</f>
        <v/>
      </c>
    </row>
    <row r="15979">
      <c r="A15979" t="n">
        <v>15978</v>
      </c>
      <c r="B15979" t="inlineStr">
        <is>
          <t>x̄V̅CMLXXVIII</t>
        </is>
      </c>
      <c r="C15979">
        <f>ROMAN(15978)</f>
        <v/>
      </c>
      <c r="D15979">
        <f>IF(B15979=C15979, "YES", "WRONG")</f>
        <v/>
      </c>
    </row>
    <row r="15980">
      <c r="A15980" t="n">
        <v>15979</v>
      </c>
      <c r="B15980" t="inlineStr">
        <is>
          <t>x̄V̅CMLXXIX</t>
        </is>
      </c>
      <c r="C15980">
        <f>ROMAN(15979)</f>
        <v/>
      </c>
      <c r="D15980">
        <f>IF(B15980=C15980, "YES", "WRONG")</f>
        <v/>
      </c>
    </row>
    <row r="15981">
      <c r="A15981" t="n">
        <v>15980</v>
      </c>
      <c r="B15981" t="inlineStr">
        <is>
          <t>x̄V̅CMLXXX</t>
        </is>
      </c>
      <c r="C15981">
        <f>ROMAN(15980)</f>
        <v/>
      </c>
      <c r="D15981">
        <f>IF(B15981=C15981, "YES", "WRONG")</f>
        <v/>
      </c>
    </row>
    <row r="15982">
      <c r="A15982" t="n">
        <v>15981</v>
      </c>
      <c r="B15982" t="inlineStr">
        <is>
          <t>x̄V̅CMLXXXI</t>
        </is>
      </c>
      <c r="C15982">
        <f>ROMAN(15981)</f>
        <v/>
      </c>
      <c r="D15982">
        <f>IF(B15982=C15982, "YES", "WRONG")</f>
        <v/>
      </c>
    </row>
    <row r="15983">
      <c r="A15983" t="n">
        <v>15982</v>
      </c>
      <c r="B15983" t="inlineStr">
        <is>
          <t>x̄V̅CMLXXXII</t>
        </is>
      </c>
      <c r="C15983">
        <f>ROMAN(15982)</f>
        <v/>
      </c>
      <c r="D15983">
        <f>IF(B15983=C15983, "YES", "WRONG")</f>
        <v/>
      </c>
    </row>
    <row r="15984">
      <c r="A15984" t="n">
        <v>15983</v>
      </c>
      <c r="B15984" t="inlineStr">
        <is>
          <t>x̄V̅CMLXXXIII</t>
        </is>
      </c>
      <c r="C15984">
        <f>ROMAN(15983)</f>
        <v/>
      </c>
      <c r="D15984">
        <f>IF(B15984=C15984, "YES", "WRONG")</f>
        <v/>
      </c>
    </row>
    <row r="15985">
      <c r="A15985" t="n">
        <v>15984</v>
      </c>
      <c r="B15985" t="inlineStr">
        <is>
          <t>x̄V̅CMLXXXIV</t>
        </is>
      </c>
      <c r="C15985">
        <f>ROMAN(15984)</f>
        <v/>
      </c>
      <c r="D15985">
        <f>IF(B15985=C15985, "YES", "WRONG")</f>
        <v/>
      </c>
    </row>
    <row r="15986">
      <c r="A15986" t="n">
        <v>15985</v>
      </c>
      <c r="B15986" t="inlineStr">
        <is>
          <t>x̄V̅CMLXXXV</t>
        </is>
      </c>
      <c r="C15986">
        <f>ROMAN(15985)</f>
        <v/>
      </c>
      <c r="D15986">
        <f>IF(B15986=C15986, "YES", "WRONG")</f>
        <v/>
      </c>
    </row>
    <row r="15987">
      <c r="A15987" t="n">
        <v>15986</v>
      </c>
      <c r="B15987" t="inlineStr">
        <is>
          <t>x̄V̅CMLXXXVI</t>
        </is>
      </c>
      <c r="C15987">
        <f>ROMAN(15986)</f>
        <v/>
      </c>
      <c r="D15987">
        <f>IF(B15987=C15987, "YES", "WRONG")</f>
        <v/>
      </c>
    </row>
    <row r="15988">
      <c r="A15988" t="n">
        <v>15987</v>
      </c>
      <c r="B15988" t="inlineStr">
        <is>
          <t>x̄V̅CMLXXXVII</t>
        </is>
      </c>
      <c r="C15988">
        <f>ROMAN(15987)</f>
        <v/>
      </c>
      <c r="D15988">
        <f>IF(B15988=C15988, "YES", "WRONG")</f>
        <v/>
      </c>
    </row>
    <row r="15989">
      <c r="A15989" t="n">
        <v>15988</v>
      </c>
      <c r="B15989" t="inlineStr">
        <is>
          <t>x̄V̅CMLXXXVIII</t>
        </is>
      </c>
      <c r="C15989">
        <f>ROMAN(15988)</f>
        <v/>
      </c>
      <c r="D15989">
        <f>IF(B15989=C15989, "YES", "WRONG")</f>
        <v/>
      </c>
    </row>
    <row r="15990">
      <c r="A15990" t="n">
        <v>15989</v>
      </c>
      <c r="B15990" t="inlineStr">
        <is>
          <t>x̄V̅CMLXXXIX</t>
        </is>
      </c>
      <c r="C15990">
        <f>ROMAN(15989)</f>
        <v/>
      </c>
      <c r="D15990">
        <f>IF(B15990=C15990, "YES", "WRONG")</f>
        <v/>
      </c>
    </row>
    <row r="15991">
      <c r="A15991" t="n">
        <v>15990</v>
      </c>
      <c r="B15991" t="inlineStr">
        <is>
          <t>x̄V̅CMXC</t>
        </is>
      </c>
      <c r="C15991">
        <f>ROMAN(15990)</f>
        <v/>
      </c>
      <c r="D15991">
        <f>IF(B15991=C15991, "YES", "WRONG")</f>
        <v/>
      </c>
    </row>
    <row r="15992">
      <c r="A15992" t="n">
        <v>15991</v>
      </c>
      <c r="B15992" t="inlineStr">
        <is>
          <t>x̄V̅CMXCI</t>
        </is>
      </c>
      <c r="C15992">
        <f>ROMAN(15991)</f>
        <v/>
      </c>
      <c r="D15992">
        <f>IF(B15992=C15992, "YES", "WRONG")</f>
        <v/>
      </c>
    </row>
    <row r="15993">
      <c r="A15993" t="n">
        <v>15992</v>
      </c>
      <c r="B15993" t="inlineStr">
        <is>
          <t>x̄V̅CMXCII</t>
        </is>
      </c>
      <c r="C15993">
        <f>ROMAN(15992)</f>
        <v/>
      </c>
      <c r="D15993">
        <f>IF(B15993=C15993, "YES", "WRONG")</f>
        <v/>
      </c>
    </row>
    <row r="15994">
      <c r="A15994" t="n">
        <v>15993</v>
      </c>
      <c r="B15994" t="inlineStr">
        <is>
          <t>x̄V̅CMXCIII</t>
        </is>
      </c>
      <c r="C15994">
        <f>ROMAN(15993)</f>
        <v/>
      </c>
      <c r="D15994">
        <f>IF(B15994=C15994, "YES", "WRONG")</f>
        <v/>
      </c>
    </row>
    <row r="15995">
      <c r="A15995" t="n">
        <v>15994</v>
      </c>
      <c r="B15995" t="inlineStr">
        <is>
          <t>x̄V̅CMXCIV</t>
        </is>
      </c>
      <c r="C15995">
        <f>ROMAN(15994)</f>
        <v/>
      </c>
      <c r="D15995">
        <f>IF(B15995=C15995, "YES", "WRONG")</f>
        <v/>
      </c>
    </row>
    <row r="15996">
      <c r="A15996" t="n">
        <v>15995</v>
      </c>
      <c r="B15996" t="inlineStr">
        <is>
          <t>x̄V̅CMXCV</t>
        </is>
      </c>
      <c r="C15996">
        <f>ROMAN(15995)</f>
        <v/>
      </c>
      <c r="D15996">
        <f>IF(B15996=C15996, "YES", "WRONG")</f>
        <v/>
      </c>
    </row>
    <row r="15997">
      <c r="A15997" t="n">
        <v>15996</v>
      </c>
      <c r="B15997" t="inlineStr">
        <is>
          <t>x̄V̅CMXCVI</t>
        </is>
      </c>
      <c r="C15997">
        <f>ROMAN(15996)</f>
        <v/>
      </c>
      <c r="D15997">
        <f>IF(B15997=C15997, "YES", "WRONG")</f>
        <v/>
      </c>
    </row>
    <row r="15998">
      <c r="A15998" t="n">
        <v>15997</v>
      </c>
      <c r="B15998" t="inlineStr">
        <is>
          <t>x̄V̅CMXCVII</t>
        </is>
      </c>
      <c r="C15998">
        <f>ROMAN(15997)</f>
        <v/>
      </c>
      <c r="D15998">
        <f>IF(B15998=C15998, "YES", "WRONG")</f>
        <v/>
      </c>
    </row>
    <row r="15999">
      <c r="A15999" t="n">
        <v>15998</v>
      </c>
      <c r="B15999" t="inlineStr">
        <is>
          <t>x̄V̅CMXCVIII</t>
        </is>
      </c>
      <c r="C15999">
        <f>ROMAN(15998)</f>
        <v/>
      </c>
      <c r="D15999">
        <f>IF(B15999=C15999, "YES", "WRONG")</f>
        <v/>
      </c>
    </row>
    <row r="16000">
      <c r="A16000" t="n">
        <v>15999</v>
      </c>
      <c r="B16000" t="inlineStr">
        <is>
          <t>x̄V̅CMXCIX</t>
        </is>
      </c>
      <c r="C16000">
        <f>ROMAN(15999)</f>
        <v/>
      </c>
      <c r="D16000">
        <f>IF(B16000=C16000, "YES", "WRONG")</f>
        <v/>
      </c>
    </row>
    <row r="16001">
      <c r="A16001" t="n">
        <v>16000</v>
      </c>
      <c r="B16001" t="inlineStr">
        <is>
          <t>x̄V̅M</t>
        </is>
      </c>
      <c r="C16001">
        <f>ROMAN(16000)</f>
        <v/>
      </c>
      <c r="D16001">
        <f>IF(B16001=C16001, "YES", "WRONG")</f>
        <v/>
      </c>
    </row>
    <row r="16002">
      <c r="A16002" t="n">
        <v>16001</v>
      </c>
      <c r="B16002" t="inlineStr">
        <is>
          <t>x̄V̅MI</t>
        </is>
      </c>
      <c r="C16002">
        <f>ROMAN(16001)</f>
        <v/>
      </c>
      <c r="D16002">
        <f>IF(B16002=C16002, "YES", "WRONG")</f>
        <v/>
      </c>
    </row>
    <row r="16003">
      <c r="A16003" t="n">
        <v>16002</v>
      </c>
      <c r="B16003" t="inlineStr">
        <is>
          <t>x̄V̅MII</t>
        </is>
      </c>
      <c r="C16003">
        <f>ROMAN(16002)</f>
        <v/>
      </c>
      <c r="D16003">
        <f>IF(B16003=C16003, "YES", "WRONG")</f>
        <v/>
      </c>
    </row>
    <row r="16004">
      <c r="A16004" t="n">
        <v>16003</v>
      </c>
      <c r="B16004" t="inlineStr">
        <is>
          <t>x̄V̅MIII</t>
        </is>
      </c>
      <c r="C16004">
        <f>ROMAN(16003)</f>
        <v/>
      </c>
      <c r="D16004">
        <f>IF(B16004=C16004, "YES", "WRONG")</f>
        <v/>
      </c>
    </row>
    <row r="16005">
      <c r="A16005" t="n">
        <v>16004</v>
      </c>
      <c r="B16005" t="inlineStr">
        <is>
          <t>x̄V̅MIV</t>
        </is>
      </c>
      <c r="C16005">
        <f>ROMAN(16004)</f>
        <v/>
      </c>
      <c r="D16005">
        <f>IF(B16005=C16005, "YES", "WRONG")</f>
        <v/>
      </c>
    </row>
    <row r="16006">
      <c r="A16006" t="n">
        <v>16005</v>
      </c>
      <c r="B16006" t="inlineStr">
        <is>
          <t>x̄V̅MV</t>
        </is>
      </c>
      <c r="C16006">
        <f>ROMAN(16005)</f>
        <v/>
      </c>
      <c r="D16006">
        <f>IF(B16006=C16006, "YES", "WRONG")</f>
        <v/>
      </c>
    </row>
    <row r="16007">
      <c r="A16007" t="n">
        <v>16006</v>
      </c>
      <c r="B16007" t="inlineStr">
        <is>
          <t>x̄V̅MVI</t>
        </is>
      </c>
      <c r="C16007">
        <f>ROMAN(16006)</f>
        <v/>
      </c>
      <c r="D16007">
        <f>IF(B16007=C16007, "YES", "WRONG")</f>
        <v/>
      </c>
    </row>
    <row r="16008">
      <c r="A16008" t="n">
        <v>16007</v>
      </c>
      <c r="B16008" t="inlineStr">
        <is>
          <t>x̄V̅MVII</t>
        </is>
      </c>
      <c r="C16008">
        <f>ROMAN(16007)</f>
        <v/>
      </c>
      <c r="D16008">
        <f>IF(B16008=C16008, "YES", "WRONG")</f>
        <v/>
      </c>
    </row>
    <row r="16009">
      <c r="A16009" t="n">
        <v>16008</v>
      </c>
      <c r="B16009" t="inlineStr">
        <is>
          <t>x̄V̅MVIII</t>
        </is>
      </c>
      <c r="C16009">
        <f>ROMAN(16008)</f>
        <v/>
      </c>
      <c r="D16009">
        <f>IF(B16009=C16009, "YES", "WRONG")</f>
        <v/>
      </c>
    </row>
    <row r="16010">
      <c r="A16010" t="n">
        <v>16009</v>
      </c>
      <c r="B16010" t="inlineStr">
        <is>
          <t>x̄V̅MIX</t>
        </is>
      </c>
      <c r="C16010">
        <f>ROMAN(16009)</f>
        <v/>
      </c>
      <c r="D16010">
        <f>IF(B16010=C16010, "YES", "WRONG")</f>
        <v/>
      </c>
    </row>
    <row r="16011">
      <c r="A16011" t="n">
        <v>16010</v>
      </c>
      <c r="B16011" t="inlineStr">
        <is>
          <t>x̄V̅MX</t>
        </is>
      </c>
      <c r="C16011">
        <f>ROMAN(16010)</f>
        <v/>
      </c>
      <c r="D16011">
        <f>IF(B16011=C16011, "YES", "WRONG")</f>
        <v/>
      </c>
    </row>
    <row r="16012">
      <c r="A16012" t="n">
        <v>16011</v>
      </c>
      <c r="B16012" t="inlineStr">
        <is>
          <t>x̄V̅MXI</t>
        </is>
      </c>
      <c r="C16012">
        <f>ROMAN(16011)</f>
        <v/>
      </c>
      <c r="D16012">
        <f>IF(B16012=C16012, "YES", "WRONG")</f>
        <v/>
      </c>
    </row>
    <row r="16013">
      <c r="A16013" t="n">
        <v>16012</v>
      </c>
      <c r="B16013" t="inlineStr">
        <is>
          <t>x̄V̅MXII</t>
        </is>
      </c>
      <c r="C16013">
        <f>ROMAN(16012)</f>
        <v/>
      </c>
      <c r="D16013">
        <f>IF(B16013=C16013, "YES", "WRONG")</f>
        <v/>
      </c>
    </row>
    <row r="16014">
      <c r="A16014" t="n">
        <v>16013</v>
      </c>
      <c r="B16014" t="inlineStr">
        <is>
          <t>x̄V̅MXIII</t>
        </is>
      </c>
      <c r="C16014">
        <f>ROMAN(16013)</f>
        <v/>
      </c>
      <c r="D16014">
        <f>IF(B16014=C16014, "YES", "WRONG")</f>
        <v/>
      </c>
    </row>
    <row r="16015">
      <c r="A16015" t="n">
        <v>16014</v>
      </c>
      <c r="B16015" t="inlineStr">
        <is>
          <t>x̄V̅MXIV</t>
        </is>
      </c>
      <c r="C16015">
        <f>ROMAN(16014)</f>
        <v/>
      </c>
      <c r="D16015">
        <f>IF(B16015=C16015, "YES", "WRONG")</f>
        <v/>
      </c>
    </row>
    <row r="16016">
      <c r="A16016" t="n">
        <v>16015</v>
      </c>
      <c r="B16016" t="inlineStr">
        <is>
          <t>x̄V̅MXV</t>
        </is>
      </c>
      <c r="C16016">
        <f>ROMAN(16015)</f>
        <v/>
      </c>
      <c r="D16016">
        <f>IF(B16016=C16016, "YES", "WRONG")</f>
        <v/>
      </c>
    </row>
    <row r="16017">
      <c r="A16017" t="n">
        <v>16016</v>
      </c>
      <c r="B16017" t="inlineStr">
        <is>
          <t>x̄V̅MXVI</t>
        </is>
      </c>
      <c r="C16017">
        <f>ROMAN(16016)</f>
        <v/>
      </c>
      <c r="D16017">
        <f>IF(B16017=C16017, "YES", "WRONG")</f>
        <v/>
      </c>
    </row>
    <row r="16018">
      <c r="A16018" t="n">
        <v>16017</v>
      </c>
      <c r="B16018" t="inlineStr">
        <is>
          <t>x̄V̅MXVII</t>
        </is>
      </c>
      <c r="C16018">
        <f>ROMAN(16017)</f>
        <v/>
      </c>
      <c r="D16018">
        <f>IF(B16018=C16018, "YES", "WRONG")</f>
        <v/>
      </c>
    </row>
    <row r="16019">
      <c r="A16019" t="n">
        <v>16018</v>
      </c>
      <c r="B16019" t="inlineStr">
        <is>
          <t>x̄V̅MXVIII</t>
        </is>
      </c>
      <c r="C16019">
        <f>ROMAN(16018)</f>
        <v/>
      </c>
      <c r="D16019">
        <f>IF(B16019=C16019, "YES", "WRONG")</f>
        <v/>
      </c>
    </row>
    <row r="16020">
      <c r="A16020" t="n">
        <v>16019</v>
      </c>
      <c r="B16020" t="inlineStr">
        <is>
          <t>x̄V̅MXIX</t>
        </is>
      </c>
      <c r="C16020">
        <f>ROMAN(16019)</f>
        <v/>
      </c>
      <c r="D16020">
        <f>IF(B16020=C16020, "YES", "WRONG")</f>
        <v/>
      </c>
    </row>
    <row r="16021">
      <c r="A16021" t="n">
        <v>16020</v>
      </c>
      <c r="B16021" t="inlineStr">
        <is>
          <t>x̄V̅MXX</t>
        </is>
      </c>
      <c r="C16021">
        <f>ROMAN(16020)</f>
        <v/>
      </c>
      <c r="D16021">
        <f>IF(B16021=C16021, "YES", "WRONG")</f>
        <v/>
      </c>
    </row>
    <row r="16022">
      <c r="A16022" t="n">
        <v>16021</v>
      </c>
      <c r="B16022" t="inlineStr">
        <is>
          <t>x̄V̅MXXI</t>
        </is>
      </c>
      <c r="C16022">
        <f>ROMAN(16021)</f>
        <v/>
      </c>
      <c r="D16022">
        <f>IF(B16022=C16022, "YES", "WRONG")</f>
        <v/>
      </c>
    </row>
    <row r="16023">
      <c r="A16023" t="n">
        <v>16022</v>
      </c>
      <c r="B16023" t="inlineStr">
        <is>
          <t>x̄V̅MXXII</t>
        </is>
      </c>
      <c r="C16023">
        <f>ROMAN(16022)</f>
        <v/>
      </c>
      <c r="D16023">
        <f>IF(B16023=C16023, "YES", "WRONG")</f>
        <v/>
      </c>
    </row>
    <row r="16024">
      <c r="A16024" t="n">
        <v>16023</v>
      </c>
      <c r="B16024" t="inlineStr">
        <is>
          <t>x̄V̅MXXIII</t>
        </is>
      </c>
      <c r="C16024">
        <f>ROMAN(16023)</f>
        <v/>
      </c>
      <c r="D16024">
        <f>IF(B16024=C16024, "YES", "WRONG")</f>
        <v/>
      </c>
    </row>
    <row r="16025">
      <c r="A16025" t="n">
        <v>16024</v>
      </c>
      <c r="B16025" t="inlineStr">
        <is>
          <t>x̄V̅MXXIV</t>
        </is>
      </c>
      <c r="C16025">
        <f>ROMAN(16024)</f>
        <v/>
      </c>
      <c r="D16025">
        <f>IF(B16025=C16025, "YES", "WRONG")</f>
        <v/>
      </c>
    </row>
    <row r="16026">
      <c r="A16026" t="n">
        <v>16025</v>
      </c>
      <c r="B16026" t="inlineStr">
        <is>
          <t>x̄V̅MXXV</t>
        </is>
      </c>
      <c r="C16026">
        <f>ROMAN(16025)</f>
        <v/>
      </c>
      <c r="D16026">
        <f>IF(B16026=C16026, "YES", "WRONG")</f>
        <v/>
      </c>
    </row>
    <row r="16027">
      <c r="A16027" t="n">
        <v>16026</v>
      </c>
      <c r="B16027" t="inlineStr">
        <is>
          <t>x̄V̅MXXVI</t>
        </is>
      </c>
      <c r="C16027">
        <f>ROMAN(16026)</f>
        <v/>
      </c>
      <c r="D16027">
        <f>IF(B16027=C16027, "YES", "WRONG")</f>
        <v/>
      </c>
    </row>
    <row r="16028">
      <c r="A16028" t="n">
        <v>16027</v>
      </c>
      <c r="B16028" t="inlineStr">
        <is>
          <t>x̄V̅MXXVII</t>
        </is>
      </c>
      <c r="C16028">
        <f>ROMAN(16027)</f>
        <v/>
      </c>
      <c r="D16028">
        <f>IF(B16028=C16028, "YES", "WRONG")</f>
        <v/>
      </c>
    </row>
    <row r="16029">
      <c r="A16029" t="n">
        <v>16028</v>
      </c>
      <c r="B16029" t="inlineStr">
        <is>
          <t>x̄V̅MXXVIII</t>
        </is>
      </c>
      <c r="C16029">
        <f>ROMAN(16028)</f>
        <v/>
      </c>
      <c r="D16029">
        <f>IF(B16029=C16029, "YES", "WRONG")</f>
        <v/>
      </c>
    </row>
    <row r="16030">
      <c r="A16030" t="n">
        <v>16029</v>
      </c>
      <c r="B16030" t="inlineStr">
        <is>
          <t>x̄V̅MXXIX</t>
        </is>
      </c>
      <c r="C16030">
        <f>ROMAN(16029)</f>
        <v/>
      </c>
      <c r="D16030">
        <f>IF(B16030=C16030, "YES", "WRONG")</f>
        <v/>
      </c>
    </row>
    <row r="16031">
      <c r="A16031" t="n">
        <v>16030</v>
      </c>
      <c r="B16031" t="inlineStr">
        <is>
          <t>x̄V̅MXXX</t>
        </is>
      </c>
      <c r="C16031">
        <f>ROMAN(16030)</f>
        <v/>
      </c>
      <c r="D16031">
        <f>IF(B16031=C16031, "YES", "WRONG")</f>
        <v/>
      </c>
    </row>
    <row r="16032">
      <c r="A16032" t="n">
        <v>16031</v>
      </c>
      <c r="B16032" t="inlineStr">
        <is>
          <t>x̄V̅MXXXI</t>
        </is>
      </c>
      <c r="C16032">
        <f>ROMAN(16031)</f>
        <v/>
      </c>
      <c r="D16032">
        <f>IF(B16032=C16032, "YES", "WRONG")</f>
        <v/>
      </c>
    </row>
    <row r="16033">
      <c r="A16033" t="n">
        <v>16032</v>
      </c>
      <c r="B16033" t="inlineStr">
        <is>
          <t>x̄V̅MXXXII</t>
        </is>
      </c>
      <c r="C16033">
        <f>ROMAN(16032)</f>
        <v/>
      </c>
      <c r="D16033">
        <f>IF(B16033=C16033, "YES", "WRONG")</f>
        <v/>
      </c>
    </row>
    <row r="16034">
      <c r="A16034" t="n">
        <v>16033</v>
      </c>
      <c r="B16034" t="inlineStr">
        <is>
          <t>x̄V̅MXXXIII</t>
        </is>
      </c>
      <c r="C16034">
        <f>ROMAN(16033)</f>
        <v/>
      </c>
      <c r="D16034">
        <f>IF(B16034=C16034, "YES", "WRONG")</f>
        <v/>
      </c>
    </row>
    <row r="16035">
      <c r="A16035" t="n">
        <v>16034</v>
      </c>
      <c r="B16035" t="inlineStr">
        <is>
          <t>x̄V̅MXXXIV</t>
        </is>
      </c>
      <c r="C16035">
        <f>ROMAN(16034)</f>
        <v/>
      </c>
      <c r="D16035">
        <f>IF(B16035=C16035, "YES", "WRONG")</f>
        <v/>
      </c>
    </row>
    <row r="16036">
      <c r="A16036" t="n">
        <v>16035</v>
      </c>
      <c r="B16036" t="inlineStr">
        <is>
          <t>x̄V̅MXXXV</t>
        </is>
      </c>
      <c r="C16036">
        <f>ROMAN(16035)</f>
        <v/>
      </c>
      <c r="D16036">
        <f>IF(B16036=C16036, "YES", "WRONG")</f>
        <v/>
      </c>
    </row>
    <row r="16037">
      <c r="A16037" t="n">
        <v>16036</v>
      </c>
      <c r="B16037" t="inlineStr">
        <is>
          <t>x̄V̅MXXXVI</t>
        </is>
      </c>
      <c r="C16037">
        <f>ROMAN(16036)</f>
        <v/>
      </c>
      <c r="D16037">
        <f>IF(B16037=C16037, "YES", "WRONG")</f>
        <v/>
      </c>
    </row>
    <row r="16038">
      <c r="A16038" t="n">
        <v>16037</v>
      </c>
      <c r="B16038" t="inlineStr">
        <is>
          <t>x̄V̅MXXXVII</t>
        </is>
      </c>
      <c r="C16038">
        <f>ROMAN(16037)</f>
        <v/>
      </c>
      <c r="D16038">
        <f>IF(B16038=C16038, "YES", "WRONG")</f>
        <v/>
      </c>
    </row>
    <row r="16039">
      <c r="A16039" t="n">
        <v>16038</v>
      </c>
      <c r="B16039" t="inlineStr">
        <is>
          <t>x̄V̅MXXXVIII</t>
        </is>
      </c>
      <c r="C16039">
        <f>ROMAN(16038)</f>
        <v/>
      </c>
      <c r="D16039">
        <f>IF(B16039=C16039, "YES", "WRONG")</f>
        <v/>
      </c>
    </row>
    <row r="16040">
      <c r="A16040" t="n">
        <v>16039</v>
      </c>
      <c r="B16040" t="inlineStr">
        <is>
          <t>x̄V̅MXXXIX</t>
        </is>
      </c>
      <c r="C16040">
        <f>ROMAN(16039)</f>
        <v/>
      </c>
      <c r="D16040">
        <f>IF(B16040=C16040, "YES", "WRONG")</f>
        <v/>
      </c>
    </row>
    <row r="16041">
      <c r="A16041" t="n">
        <v>16040</v>
      </c>
      <c r="B16041" t="inlineStr">
        <is>
          <t>x̄V̅MXL</t>
        </is>
      </c>
      <c r="C16041">
        <f>ROMAN(16040)</f>
        <v/>
      </c>
      <c r="D16041">
        <f>IF(B16041=C16041, "YES", "WRONG")</f>
        <v/>
      </c>
    </row>
    <row r="16042">
      <c r="A16042" t="n">
        <v>16041</v>
      </c>
      <c r="B16042" t="inlineStr">
        <is>
          <t>x̄V̅MXLI</t>
        </is>
      </c>
      <c r="C16042">
        <f>ROMAN(16041)</f>
        <v/>
      </c>
      <c r="D16042">
        <f>IF(B16042=C16042, "YES", "WRONG")</f>
        <v/>
      </c>
    </row>
    <row r="16043">
      <c r="A16043" t="n">
        <v>16042</v>
      </c>
      <c r="B16043" t="inlineStr">
        <is>
          <t>x̄V̅MXLII</t>
        </is>
      </c>
      <c r="C16043">
        <f>ROMAN(16042)</f>
        <v/>
      </c>
      <c r="D16043">
        <f>IF(B16043=C16043, "YES", "WRONG")</f>
        <v/>
      </c>
    </row>
    <row r="16044">
      <c r="A16044" t="n">
        <v>16043</v>
      </c>
      <c r="B16044" t="inlineStr">
        <is>
          <t>x̄V̅MXLIII</t>
        </is>
      </c>
      <c r="C16044">
        <f>ROMAN(16043)</f>
        <v/>
      </c>
      <c r="D16044">
        <f>IF(B16044=C16044, "YES", "WRONG")</f>
        <v/>
      </c>
    </row>
    <row r="16045">
      <c r="A16045" t="n">
        <v>16044</v>
      </c>
      <c r="B16045" t="inlineStr">
        <is>
          <t>x̄V̅MXLIV</t>
        </is>
      </c>
      <c r="C16045">
        <f>ROMAN(16044)</f>
        <v/>
      </c>
      <c r="D16045">
        <f>IF(B16045=C16045, "YES", "WRONG")</f>
        <v/>
      </c>
    </row>
    <row r="16046">
      <c r="A16046" t="n">
        <v>16045</v>
      </c>
      <c r="B16046" t="inlineStr">
        <is>
          <t>x̄V̅MXLV</t>
        </is>
      </c>
      <c r="C16046">
        <f>ROMAN(16045)</f>
        <v/>
      </c>
      <c r="D16046">
        <f>IF(B16046=C16046, "YES", "WRONG")</f>
        <v/>
      </c>
    </row>
    <row r="16047">
      <c r="A16047" t="n">
        <v>16046</v>
      </c>
      <c r="B16047" t="inlineStr">
        <is>
          <t>x̄V̅MXLVI</t>
        </is>
      </c>
      <c r="C16047">
        <f>ROMAN(16046)</f>
        <v/>
      </c>
      <c r="D16047">
        <f>IF(B16047=C16047, "YES", "WRONG")</f>
        <v/>
      </c>
    </row>
    <row r="16048">
      <c r="A16048" t="n">
        <v>16047</v>
      </c>
      <c r="B16048" t="inlineStr">
        <is>
          <t>x̄V̅MXLVII</t>
        </is>
      </c>
      <c r="C16048">
        <f>ROMAN(16047)</f>
        <v/>
      </c>
      <c r="D16048">
        <f>IF(B16048=C16048, "YES", "WRONG")</f>
        <v/>
      </c>
    </row>
    <row r="16049">
      <c r="A16049" t="n">
        <v>16048</v>
      </c>
      <c r="B16049" t="inlineStr">
        <is>
          <t>x̄V̅MXLVIII</t>
        </is>
      </c>
      <c r="C16049">
        <f>ROMAN(16048)</f>
        <v/>
      </c>
      <c r="D16049">
        <f>IF(B16049=C16049, "YES", "WRONG")</f>
        <v/>
      </c>
    </row>
    <row r="16050">
      <c r="A16050" t="n">
        <v>16049</v>
      </c>
      <c r="B16050" t="inlineStr">
        <is>
          <t>x̄V̅MXLIX</t>
        </is>
      </c>
      <c r="C16050">
        <f>ROMAN(16049)</f>
        <v/>
      </c>
      <c r="D16050">
        <f>IF(B16050=C16050, "YES", "WRONG")</f>
        <v/>
      </c>
    </row>
    <row r="16051">
      <c r="A16051" t="n">
        <v>16050</v>
      </c>
      <c r="B16051" t="inlineStr">
        <is>
          <t>x̄V̅ML</t>
        </is>
      </c>
      <c r="C16051">
        <f>ROMAN(16050)</f>
        <v/>
      </c>
      <c r="D16051">
        <f>IF(B16051=C16051, "YES", "WRONG")</f>
        <v/>
      </c>
    </row>
    <row r="16052">
      <c r="A16052" t="n">
        <v>16051</v>
      </c>
      <c r="B16052" t="inlineStr">
        <is>
          <t>x̄V̅MLI</t>
        </is>
      </c>
      <c r="C16052">
        <f>ROMAN(16051)</f>
        <v/>
      </c>
      <c r="D16052">
        <f>IF(B16052=C16052, "YES", "WRONG")</f>
        <v/>
      </c>
    </row>
    <row r="16053">
      <c r="A16053" t="n">
        <v>16052</v>
      </c>
      <c r="B16053" t="inlineStr">
        <is>
          <t>x̄V̅MLII</t>
        </is>
      </c>
      <c r="C16053">
        <f>ROMAN(16052)</f>
        <v/>
      </c>
      <c r="D16053">
        <f>IF(B16053=C16053, "YES", "WRONG")</f>
        <v/>
      </c>
    </row>
    <row r="16054">
      <c r="A16054" t="n">
        <v>16053</v>
      </c>
      <c r="B16054" t="inlineStr">
        <is>
          <t>x̄V̅MLIII</t>
        </is>
      </c>
      <c r="C16054">
        <f>ROMAN(16053)</f>
        <v/>
      </c>
      <c r="D16054">
        <f>IF(B16054=C16054, "YES", "WRONG")</f>
        <v/>
      </c>
    </row>
    <row r="16055">
      <c r="A16055" t="n">
        <v>16054</v>
      </c>
      <c r="B16055" t="inlineStr">
        <is>
          <t>x̄V̅MLIV</t>
        </is>
      </c>
      <c r="C16055">
        <f>ROMAN(16054)</f>
        <v/>
      </c>
      <c r="D16055">
        <f>IF(B16055=C16055, "YES", "WRONG")</f>
        <v/>
      </c>
    </row>
    <row r="16056">
      <c r="A16056" t="n">
        <v>16055</v>
      </c>
      <c r="B16056" t="inlineStr">
        <is>
          <t>x̄V̅MLV</t>
        </is>
      </c>
      <c r="C16056">
        <f>ROMAN(16055)</f>
        <v/>
      </c>
      <c r="D16056">
        <f>IF(B16056=C16056, "YES", "WRONG")</f>
        <v/>
      </c>
    </row>
    <row r="16057">
      <c r="A16057" t="n">
        <v>16056</v>
      </c>
      <c r="B16057" t="inlineStr">
        <is>
          <t>x̄V̅MLVI</t>
        </is>
      </c>
      <c r="C16057">
        <f>ROMAN(16056)</f>
        <v/>
      </c>
      <c r="D16057">
        <f>IF(B16057=C16057, "YES", "WRONG")</f>
        <v/>
      </c>
    </row>
    <row r="16058">
      <c r="A16058" t="n">
        <v>16057</v>
      </c>
      <c r="B16058" t="inlineStr">
        <is>
          <t>x̄V̅MLVII</t>
        </is>
      </c>
      <c r="C16058">
        <f>ROMAN(16057)</f>
        <v/>
      </c>
      <c r="D16058">
        <f>IF(B16058=C16058, "YES", "WRONG")</f>
        <v/>
      </c>
    </row>
    <row r="16059">
      <c r="A16059" t="n">
        <v>16058</v>
      </c>
      <c r="B16059" t="inlineStr">
        <is>
          <t>x̄V̅MLVIII</t>
        </is>
      </c>
      <c r="C16059">
        <f>ROMAN(16058)</f>
        <v/>
      </c>
      <c r="D16059">
        <f>IF(B16059=C16059, "YES", "WRONG")</f>
        <v/>
      </c>
    </row>
    <row r="16060">
      <c r="A16060" t="n">
        <v>16059</v>
      </c>
      <c r="B16060" t="inlineStr">
        <is>
          <t>x̄V̅MLIX</t>
        </is>
      </c>
      <c r="C16060">
        <f>ROMAN(16059)</f>
        <v/>
      </c>
      <c r="D16060">
        <f>IF(B16060=C16060, "YES", "WRONG")</f>
        <v/>
      </c>
    </row>
    <row r="16061">
      <c r="A16061" t="n">
        <v>16060</v>
      </c>
      <c r="B16061" t="inlineStr">
        <is>
          <t>x̄V̅MLX</t>
        </is>
      </c>
      <c r="C16061">
        <f>ROMAN(16060)</f>
        <v/>
      </c>
      <c r="D16061">
        <f>IF(B16061=C16061, "YES", "WRONG")</f>
        <v/>
      </c>
    </row>
    <row r="16062">
      <c r="A16062" t="n">
        <v>16061</v>
      </c>
      <c r="B16062" t="inlineStr">
        <is>
          <t>x̄V̅MLXI</t>
        </is>
      </c>
      <c r="C16062">
        <f>ROMAN(16061)</f>
        <v/>
      </c>
      <c r="D16062">
        <f>IF(B16062=C16062, "YES", "WRONG")</f>
        <v/>
      </c>
    </row>
    <row r="16063">
      <c r="A16063" t="n">
        <v>16062</v>
      </c>
      <c r="B16063" t="inlineStr">
        <is>
          <t>x̄V̅MLXII</t>
        </is>
      </c>
      <c r="C16063">
        <f>ROMAN(16062)</f>
        <v/>
      </c>
      <c r="D16063">
        <f>IF(B16063=C16063, "YES", "WRONG")</f>
        <v/>
      </c>
    </row>
    <row r="16064">
      <c r="A16064" t="n">
        <v>16063</v>
      </c>
      <c r="B16064" t="inlineStr">
        <is>
          <t>x̄V̅MLXIII</t>
        </is>
      </c>
      <c r="C16064">
        <f>ROMAN(16063)</f>
        <v/>
      </c>
      <c r="D16064">
        <f>IF(B16064=C16064, "YES", "WRONG")</f>
        <v/>
      </c>
    </row>
    <row r="16065">
      <c r="A16065" t="n">
        <v>16064</v>
      </c>
      <c r="B16065" t="inlineStr">
        <is>
          <t>x̄V̅MLXIV</t>
        </is>
      </c>
      <c r="C16065">
        <f>ROMAN(16064)</f>
        <v/>
      </c>
      <c r="D16065">
        <f>IF(B16065=C16065, "YES", "WRONG")</f>
        <v/>
      </c>
    </row>
    <row r="16066">
      <c r="A16066" t="n">
        <v>16065</v>
      </c>
      <c r="B16066" t="inlineStr">
        <is>
          <t>x̄V̅MLXV</t>
        </is>
      </c>
      <c r="C16066">
        <f>ROMAN(16065)</f>
        <v/>
      </c>
      <c r="D16066">
        <f>IF(B16066=C16066, "YES", "WRONG")</f>
        <v/>
      </c>
    </row>
    <row r="16067">
      <c r="A16067" t="n">
        <v>16066</v>
      </c>
      <c r="B16067" t="inlineStr">
        <is>
          <t>x̄V̅MLXVI</t>
        </is>
      </c>
      <c r="C16067">
        <f>ROMAN(16066)</f>
        <v/>
      </c>
      <c r="D16067">
        <f>IF(B16067=C16067, "YES", "WRONG")</f>
        <v/>
      </c>
    </row>
    <row r="16068">
      <c r="A16068" t="n">
        <v>16067</v>
      </c>
      <c r="B16068" t="inlineStr">
        <is>
          <t>x̄V̅MLXVII</t>
        </is>
      </c>
      <c r="C16068">
        <f>ROMAN(16067)</f>
        <v/>
      </c>
      <c r="D16068">
        <f>IF(B16068=C16068, "YES", "WRONG")</f>
        <v/>
      </c>
    </row>
    <row r="16069">
      <c r="A16069" t="n">
        <v>16068</v>
      </c>
      <c r="B16069" t="inlineStr">
        <is>
          <t>x̄V̅MLXVIII</t>
        </is>
      </c>
      <c r="C16069">
        <f>ROMAN(16068)</f>
        <v/>
      </c>
      <c r="D16069">
        <f>IF(B16069=C16069, "YES", "WRONG")</f>
        <v/>
      </c>
    </row>
    <row r="16070">
      <c r="A16070" t="n">
        <v>16069</v>
      </c>
      <c r="B16070" t="inlineStr">
        <is>
          <t>x̄V̅MLXIX</t>
        </is>
      </c>
      <c r="C16070">
        <f>ROMAN(16069)</f>
        <v/>
      </c>
      <c r="D16070">
        <f>IF(B16070=C16070, "YES", "WRONG")</f>
        <v/>
      </c>
    </row>
    <row r="16071">
      <c r="A16071" t="n">
        <v>16070</v>
      </c>
      <c r="B16071" t="inlineStr">
        <is>
          <t>x̄V̅MLXX</t>
        </is>
      </c>
      <c r="C16071">
        <f>ROMAN(16070)</f>
        <v/>
      </c>
      <c r="D16071">
        <f>IF(B16071=C16071, "YES", "WRONG")</f>
        <v/>
      </c>
    </row>
    <row r="16072">
      <c r="A16072" t="n">
        <v>16071</v>
      </c>
      <c r="B16072" t="inlineStr">
        <is>
          <t>x̄V̅MLXXI</t>
        </is>
      </c>
      <c r="C16072">
        <f>ROMAN(16071)</f>
        <v/>
      </c>
      <c r="D16072">
        <f>IF(B16072=C16072, "YES", "WRONG")</f>
        <v/>
      </c>
    </row>
    <row r="16073">
      <c r="A16073" t="n">
        <v>16072</v>
      </c>
      <c r="B16073" t="inlineStr">
        <is>
          <t>x̄V̅MLXXII</t>
        </is>
      </c>
      <c r="C16073">
        <f>ROMAN(16072)</f>
        <v/>
      </c>
      <c r="D16073">
        <f>IF(B16073=C16073, "YES", "WRONG")</f>
        <v/>
      </c>
    </row>
    <row r="16074">
      <c r="A16074" t="n">
        <v>16073</v>
      </c>
      <c r="B16074" t="inlineStr">
        <is>
          <t>x̄V̅MLXXIII</t>
        </is>
      </c>
      <c r="C16074">
        <f>ROMAN(16073)</f>
        <v/>
      </c>
      <c r="D16074">
        <f>IF(B16074=C16074, "YES", "WRONG")</f>
        <v/>
      </c>
    </row>
    <row r="16075">
      <c r="A16075" t="n">
        <v>16074</v>
      </c>
      <c r="B16075" t="inlineStr">
        <is>
          <t>x̄V̅MLXXIV</t>
        </is>
      </c>
      <c r="C16075">
        <f>ROMAN(16074)</f>
        <v/>
      </c>
      <c r="D16075">
        <f>IF(B16075=C16075, "YES", "WRONG")</f>
        <v/>
      </c>
    </row>
    <row r="16076">
      <c r="A16076" t="n">
        <v>16075</v>
      </c>
      <c r="B16076" t="inlineStr">
        <is>
          <t>x̄V̅MLXXV</t>
        </is>
      </c>
      <c r="C16076">
        <f>ROMAN(16075)</f>
        <v/>
      </c>
      <c r="D16076">
        <f>IF(B16076=C16076, "YES", "WRONG")</f>
        <v/>
      </c>
    </row>
    <row r="16077">
      <c r="A16077" t="n">
        <v>16076</v>
      </c>
      <c r="B16077" t="inlineStr">
        <is>
          <t>x̄V̅MLXXVI</t>
        </is>
      </c>
      <c r="C16077">
        <f>ROMAN(16076)</f>
        <v/>
      </c>
      <c r="D16077">
        <f>IF(B16077=C16077, "YES", "WRONG")</f>
        <v/>
      </c>
    </row>
    <row r="16078">
      <c r="A16078" t="n">
        <v>16077</v>
      </c>
      <c r="B16078" t="inlineStr">
        <is>
          <t>x̄V̅MLXXVII</t>
        </is>
      </c>
      <c r="C16078">
        <f>ROMAN(16077)</f>
        <v/>
      </c>
      <c r="D16078">
        <f>IF(B16078=C16078, "YES", "WRONG")</f>
        <v/>
      </c>
    </row>
    <row r="16079">
      <c r="A16079" t="n">
        <v>16078</v>
      </c>
      <c r="B16079" t="inlineStr">
        <is>
          <t>x̄V̅MLXXVIII</t>
        </is>
      </c>
      <c r="C16079">
        <f>ROMAN(16078)</f>
        <v/>
      </c>
      <c r="D16079">
        <f>IF(B16079=C16079, "YES", "WRONG")</f>
        <v/>
      </c>
    </row>
    <row r="16080">
      <c r="A16080" t="n">
        <v>16079</v>
      </c>
      <c r="B16080" t="inlineStr">
        <is>
          <t>x̄V̅MLXXIX</t>
        </is>
      </c>
      <c r="C16080">
        <f>ROMAN(16079)</f>
        <v/>
      </c>
      <c r="D16080">
        <f>IF(B16080=C16080, "YES", "WRONG")</f>
        <v/>
      </c>
    </row>
    <row r="16081">
      <c r="A16081" t="n">
        <v>16080</v>
      </c>
      <c r="B16081" t="inlineStr">
        <is>
          <t>x̄V̅MLXXX</t>
        </is>
      </c>
      <c r="C16081">
        <f>ROMAN(16080)</f>
        <v/>
      </c>
      <c r="D16081">
        <f>IF(B16081=C16081, "YES", "WRONG")</f>
        <v/>
      </c>
    </row>
    <row r="16082">
      <c r="A16082" t="n">
        <v>16081</v>
      </c>
      <c r="B16082" t="inlineStr">
        <is>
          <t>x̄V̅MLXXXI</t>
        </is>
      </c>
      <c r="C16082">
        <f>ROMAN(16081)</f>
        <v/>
      </c>
      <c r="D16082">
        <f>IF(B16082=C16082, "YES", "WRONG")</f>
        <v/>
      </c>
    </row>
    <row r="16083">
      <c r="A16083" t="n">
        <v>16082</v>
      </c>
      <c r="B16083" t="inlineStr">
        <is>
          <t>x̄V̅MLXXXII</t>
        </is>
      </c>
      <c r="C16083">
        <f>ROMAN(16082)</f>
        <v/>
      </c>
      <c r="D16083">
        <f>IF(B16083=C16083, "YES", "WRONG")</f>
        <v/>
      </c>
    </row>
    <row r="16084">
      <c r="A16084" t="n">
        <v>16083</v>
      </c>
      <c r="B16084" t="inlineStr">
        <is>
          <t>x̄V̅MLXXXIII</t>
        </is>
      </c>
      <c r="C16084">
        <f>ROMAN(16083)</f>
        <v/>
      </c>
      <c r="D16084">
        <f>IF(B16084=C16084, "YES", "WRONG")</f>
        <v/>
      </c>
    </row>
    <row r="16085">
      <c r="A16085" t="n">
        <v>16084</v>
      </c>
      <c r="B16085" t="inlineStr">
        <is>
          <t>x̄V̅MLXXXIV</t>
        </is>
      </c>
      <c r="C16085">
        <f>ROMAN(16084)</f>
        <v/>
      </c>
      <c r="D16085">
        <f>IF(B16085=C16085, "YES", "WRONG")</f>
        <v/>
      </c>
    </row>
    <row r="16086">
      <c r="A16086" t="n">
        <v>16085</v>
      </c>
      <c r="B16086" t="inlineStr">
        <is>
          <t>x̄V̅MLXXXV</t>
        </is>
      </c>
      <c r="C16086">
        <f>ROMAN(16085)</f>
        <v/>
      </c>
      <c r="D16086">
        <f>IF(B16086=C16086, "YES", "WRONG")</f>
        <v/>
      </c>
    </row>
    <row r="16087">
      <c r="A16087" t="n">
        <v>16086</v>
      </c>
      <c r="B16087" t="inlineStr">
        <is>
          <t>x̄V̅MLXXXVI</t>
        </is>
      </c>
      <c r="C16087">
        <f>ROMAN(16086)</f>
        <v/>
      </c>
      <c r="D16087">
        <f>IF(B16087=C16087, "YES", "WRONG")</f>
        <v/>
      </c>
    </row>
    <row r="16088">
      <c r="A16088" t="n">
        <v>16087</v>
      </c>
      <c r="B16088" t="inlineStr">
        <is>
          <t>x̄V̅MLXXXVII</t>
        </is>
      </c>
      <c r="C16088">
        <f>ROMAN(16087)</f>
        <v/>
      </c>
      <c r="D16088">
        <f>IF(B16088=C16088, "YES", "WRONG")</f>
        <v/>
      </c>
    </row>
    <row r="16089">
      <c r="A16089" t="n">
        <v>16088</v>
      </c>
      <c r="B16089" t="inlineStr">
        <is>
          <t>x̄V̅MLXXXVIII</t>
        </is>
      </c>
      <c r="C16089">
        <f>ROMAN(16088)</f>
        <v/>
      </c>
      <c r="D16089">
        <f>IF(B16089=C16089, "YES", "WRONG")</f>
        <v/>
      </c>
    </row>
    <row r="16090">
      <c r="A16090" t="n">
        <v>16089</v>
      </c>
      <c r="B16090" t="inlineStr">
        <is>
          <t>x̄V̅MLXXXIX</t>
        </is>
      </c>
      <c r="C16090">
        <f>ROMAN(16089)</f>
        <v/>
      </c>
      <c r="D16090">
        <f>IF(B16090=C16090, "YES", "WRONG")</f>
        <v/>
      </c>
    </row>
    <row r="16091">
      <c r="A16091" t="n">
        <v>16090</v>
      </c>
      <c r="B16091" t="inlineStr">
        <is>
          <t>x̄V̅MXC</t>
        </is>
      </c>
      <c r="C16091">
        <f>ROMAN(16090)</f>
        <v/>
      </c>
      <c r="D16091">
        <f>IF(B16091=C16091, "YES", "WRONG")</f>
        <v/>
      </c>
    </row>
    <row r="16092">
      <c r="A16092" t="n">
        <v>16091</v>
      </c>
      <c r="B16092" t="inlineStr">
        <is>
          <t>x̄V̅MXCI</t>
        </is>
      </c>
      <c r="C16092">
        <f>ROMAN(16091)</f>
        <v/>
      </c>
      <c r="D16092">
        <f>IF(B16092=C16092, "YES", "WRONG")</f>
        <v/>
      </c>
    </row>
    <row r="16093">
      <c r="A16093" t="n">
        <v>16092</v>
      </c>
      <c r="B16093" t="inlineStr">
        <is>
          <t>x̄V̅MXCII</t>
        </is>
      </c>
      <c r="C16093">
        <f>ROMAN(16092)</f>
        <v/>
      </c>
      <c r="D16093">
        <f>IF(B16093=C16093, "YES", "WRONG")</f>
        <v/>
      </c>
    </row>
    <row r="16094">
      <c r="A16094" t="n">
        <v>16093</v>
      </c>
      <c r="B16094" t="inlineStr">
        <is>
          <t>x̄V̅MXCIII</t>
        </is>
      </c>
      <c r="C16094">
        <f>ROMAN(16093)</f>
        <v/>
      </c>
      <c r="D16094">
        <f>IF(B16094=C16094, "YES", "WRONG")</f>
        <v/>
      </c>
    </row>
    <row r="16095">
      <c r="A16095" t="n">
        <v>16094</v>
      </c>
      <c r="B16095" t="inlineStr">
        <is>
          <t>x̄V̅MXCIV</t>
        </is>
      </c>
      <c r="C16095">
        <f>ROMAN(16094)</f>
        <v/>
      </c>
      <c r="D16095">
        <f>IF(B16095=C16095, "YES", "WRONG")</f>
        <v/>
      </c>
    </row>
    <row r="16096">
      <c r="A16096" t="n">
        <v>16095</v>
      </c>
      <c r="B16096" t="inlineStr">
        <is>
          <t>x̄V̅MXCV</t>
        </is>
      </c>
      <c r="C16096">
        <f>ROMAN(16095)</f>
        <v/>
      </c>
      <c r="D16096">
        <f>IF(B16096=C16096, "YES", "WRONG")</f>
        <v/>
      </c>
    </row>
    <row r="16097">
      <c r="A16097" t="n">
        <v>16096</v>
      </c>
      <c r="B16097" t="inlineStr">
        <is>
          <t>x̄V̅MXCVI</t>
        </is>
      </c>
      <c r="C16097">
        <f>ROMAN(16096)</f>
        <v/>
      </c>
      <c r="D16097">
        <f>IF(B16097=C16097, "YES", "WRONG")</f>
        <v/>
      </c>
    </row>
    <row r="16098">
      <c r="A16098" t="n">
        <v>16097</v>
      </c>
      <c r="B16098" t="inlineStr">
        <is>
          <t>x̄V̅MXCVII</t>
        </is>
      </c>
      <c r="C16098">
        <f>ROMAN(16097)</f>
        <v/>
      </c>
      <c r="D16098">
        <f>IF(B16098=C16098, "YES", "WRONG")</f>
        <v/>
      </c>
    </row>
    <row r="16099">
      <c r="A16099" t="n">
        <v>16098</v>
      </c>
      <c r="B16099" t="inlineStr">
        <is>
          <t>x̄V̅MXCVIII</t>
        </is>
      </c>
      <c r="C16099">
        <f>ROMAN(16098)</f>
        <v/>
      </c>
      <c r="D16099">
        <f>IF(B16099=C16099, "YES", "WRONG")</f>
        <v/>
      </c>
    </row>
    <row r="16100">
      <c r="A16100" t="n">
        <v>16099</v>
      </c>
      <c r="B16100" t="inlineStr">
        <is>
          <t>x̄V̅MXCIX</t>
        </is>
      </c>
      <c r="C16100">
        <f>ROMAN(16099)</f>
        <v/>
      </c>
      <c r="D16100">
        <f>IF(B16100=C16100, "YES", "WRONG")</f>
        <v/>
      </c>
    </row>
    <row r="16101">
      <c r="A16101" t="n">
        <v>16100</v>
      </c>
      <c r="B16101" t="inlineStr">
        <is>
          <t>x̄V̅MC</t>
        </is>
      </c>
      <c r="C16101">
        <f>ROMAN(16100)</f>
        <v/>
      </c>
      <c r="D16101">
        <f>IF(B16101=C16101, "YES", "WRONG")</f>
        <v/>
      </c>
    </row>
    <row r="16102">
      <c r="A16102" t="n">
        <v>16101</v>
      </c>
      <c r="B16102" t="inlineStr">
        <is>
          <t>x̄V̅MCI</t>
        </is>
      </c>
      <c r="C16102">
        <f>ROMAN(16101)</f>
        <v/>
      </c>
      <c r="D16102">
        <f>IF(B16102=C16102, "YES", "WRONG")</f>
        <v/>
      </c>
    </row>
    <row r="16103">
      <c r="A16103" t="n">
        <v>16102</v>
      </c>
      <c r="B16103" t="inlineStr">
        <is>
          <t>x̄V̅MCII</t>
        </is>
      </c>
      <c r="C16103">
        <f>ROMAN(16102)</f>
        <v/>
      </c>
      <c r="D16103">
        <f>IF(B16103=C16103, "YES", "WRONG")</f>
        <v/>
      </c>
    </row>
    <row r="16104">
      <c r="A16104" t="n">
        <v>16103</v>
      </c>
      <c r="B16104" t="inlineStr">
        <is>
          <t>x̄V̅MCIII</t>
        </is>
      </c>
      <c r="C16104">
        <f>ROMAN(16103)</f>
        <v/>
      </c>
      <c r="D16104">
        <f>IF(B16104=C16104, "YES", "WRONG")</f>
        <v/>
      </c>
    </row>
    <row r="16105">
      <c r="A16105" t="n">
        <v>16104</v>
      </c>
      <c r="B16105" t="inlineStr">
        <is>
          <t>x̄V̅MCIV</t>
        </is>
      </c>
      <c r="C16105">
        <f>ROMAN(16104)</f>
        <v/>
      </c>
      <c r="D16105">
        <f>IF(B16105=C16105, "YES", "WRONG")</f>
        <v/>
      </c>
    </row>
    <row r="16106">
      <c r="A16106" t="n">
        <v>16105</v>
      </c>
      <c r="B16106" t="inlineStr">
        <is>
          <t>x̄V̅MCV</t>
        </is>
      </c>
      <c r="C16106">
        <f>ROMAN(16105)</f>
        <v/>
      </c>
      <c r="D16106">
        <f>IF(B16106=C16106, "YES", "WRONG")</f>
        <v/>
      </c>
    </row>
    <row r="16107">
      <c r="A16107" t="n">
        <v>16106</v>
      </c>
      <c r="B16107" t="inlineStr">
        <is>
          <t>x̄V̅MCVI</t>
        </is>
      </c>
      <c r="C16107">
        <f>ROMAN(16106)</f>
        <v/>
      </c>
      <c r="D16107">
        <f>IF(B16107=C16107, "YES", "WRONG")</f>
        <v/>
      </c>
    </row>
    <row r="16108">
      <c r="A16108" t="n">
        <v>16107</v>
      </c>
      <c r="B16108" t="inlineStr">
        <is>
          <t>x̄V̅MCVII</t>
        </is>
      </c>
      <c r="C16108">
        <f>ROMAN(16107)</f>
        <v/>
      </c>
      <c r="D16108">
        <f>IF(B16108=C16108, "YES", "WRONG")</f>
        <v/>
      </c>
    </row>
    <row r="16109">
      <c r="A16109" t="n">
        <v>16108</v>
      </c>
      <c r="B16109" t="inlineStr">
        <is>
          <t>x̄V̅MCVIII</t>
        </is>
      </c>
      <c r="C16109">
        <f>ROMAN(16108)</f>
        <v/>
      </c>
      <c r="D16109">
        <f>IF(B16109=C16109, "YES", "WRONG")</f>
        <v/>
      </c>
    </row>
    <row r="16110">
      <c r="A16110" t="n">
        <v>16109</v>
      </c>
      <c r="B16110" t="inlineStr">
        <is>
          <t>x̄V̅MCIX</t>
        </is>
      </c>
      <c r="C16110">
        <f>ROMAN(16109)</f>
        <v/>
      </c>
      <c r="D16110">
        <f>IF(B16110=C16110, "YES", "WRONG")</f>
        <v/>
      </c>
    </row>
    <row r="16111">
      <c r="A16111" t="n">
        <v>16110</v>
      </c>
      <c r="B16111" t="inlineStr">
        <is>
          <t>x̄V̅MCX</t>
        </is>
      </c>
      <c r="C16111">
        <f>ROMAN(16110)</f>
        <v/>
      </c>
      <c r="D16111">
        <f>IF(B16111=C16111, "YES", "WRONG")</f>
        <v/>
      </c>
    </row>
    <row r="16112">
      <c r="A16112" t="n">
        <v>16111</v>
      </c>
      <c r="B16112" t="inlineStr">
        <is>
          <t>x̄V̅MCXI</t>
        </is>
      </c>
      <c r="C16112">
        <f>ROMAN(16111)</f>
        <v/>
      </c>
      <c r="D16112">
        <f>IF(B16112=C16112, "YES", "WRONG")</f>
        <v/>
      </c>
    </row>
    <row r="16113">
      <c r="A16113" t="n">
        <v>16112</v>
      </c>
      <c r="B16113" t="inlineStr">
        <is>
          <t>x̄V̅MCXII</t>
        </is>
      </c>
      <c r="C16113">
        <f>ROMAN(16112)</f>
        <v/>
      </c>
      <c r="D16113">
        <f>IF(B16113=C16113, "YES", "WRONG")</f>
        <v/>
      </c>
    </row>
    <row r="16114">
      <c r="A16114" t="n">
        <v>16113</v>
      </c>
      <c r="B16114" t="inlineStr">
        <is>
          <t>x̄V̅MCXIII</t>
        </is>
      </c>
      <c r="C16114">
        <f>ROMAN(16113)</f>
        <v/>
      </c>
      <c r="D16114">
        <f>IF(B16114=C16114, "YES", "WRONG")</f>
        <v/>
      </c>
    </row>
    <row r="16115">
      <c r="A16115" t="n">
        <v>16114</v>
      </c>
      <c r="B16115" t="inlineStr">
        <is>
          <t>x̄V̅MCXIV</t>
        </is>
      </c>
      <c r="C16115">
        <f>ROMAN(16114)</f>
        <v/>
      </c>
      <c r="D16115">
        <f>IF(B16115=C16115, "YES", "WRONG")</f>
        <v/>
      </c>
    </row>
    <row r="16116">
      <c r="A16116" t="n">
        <v>16115</v>
      </c>
      <c r="B16116" t="inlineStr">
        <is>
          <t>x̄V̅MCXV</t>
        </is>
      </c>
      <c r="C16116">
        <f>ROMAN(16115)</f>
        <v/>
      </c>
      <c r="D16116">
        <f>IF(B16116=C16116, "YES", "WRONG")</f>
        <v/>
      </c>
    </row>
    <row r="16117">
      <c r="A16117" t="n">
        <v>16116</v>
      </c>
      <c r="B16117" t="inlineStr">
        <is>
          <t>x̄V̅MCXVI</t>
        </is>
      </c>
      <c r="C16117">
        <f>ROMAN(16116)</f>
        <v/>
      </c>
      <c r="D16117">
        <f>IF(B16117=C16117, "YES", "WRONG")</f>
        <v/>
      </c>
    </row>
    <row r="16118">
      <c r="A16118" t="n">
        <v>16117</v>
      </c>
      <c r="B16118" t="inlineStr">
        <is>
          <t>x̄V̅MCXVII</t>
        </is>
      </c>
      <c r="C16118">
        <f>ROMAN(16117)</f>
        <v/>
      </c>
      <c r="D16118">
        <f>IF(B16118=C16118, "YES", "WRONG")</f>
        <v/>
      </c>
    </row>
    <row r="16119">
      <c r="A16119" t="n">
        <v>16118</v>
      </c>
      <c r="B16119" t="inlineStr">
        <is>
          <t>x̄V̅MCXVIII</t>
        </is>
      </c>
      <c r="C16119">
        <f>ROMAN(16118)</f>
        <v/>
      </c>
      <c r="D16119">
        <f>IF(B16119=C16119, "YES", "WRONG")</f>
        <v/>
      </c>
    </row>
    <row r="16120">
      <c r="A16120" t="n">
        <v>16119</v>
      </c>
      <c r="B16120" t="inlineStr">
        <is>
          <t>x̄V̅MCXIX</t>
        </is>
      </c>
      <c r="C16120">
        <f>ROMAN(16119)</f>
        <v/>
      </c>
      <c r="D16120">
        <f>IF(B16120=C16120, "YES", "WRONG")</f>
        <v/>
      </c>
    </row>
    <row r="16121">
      <c r="A16121" t="n">
        <v>16120</v>
      </c>
      <c r="B16121" t="inlineStr">
        <is>
          <t>x̄V̅MCXX</t>
        </is>
      </c>
      <c r="C16121">
        <f>ROMAN(16120)</f>
        <v/>
      </c>
      <c r="D16121">
        <f>IF(B16121=C16121, "YES", "WRONG")</f>
        <v/>
      </c>
    </row>
    <row r="16122">
      <c r="A16122" t="n">
        <v>16121</v>
      </c>
      <c r="B16122" t="inlineStr">
        <is>
          <t>x̄V̅MCXXI</t>
        </is>
      </c>
      <c r="C16122">
        <f>ROMAN(16121)</f>
        <v/>
      </c>
      <c r="D16122">
        <f>IF(B16122=C16122, "YES", "WRONG")</f>
        <v/>
      </c>
    </row>
    <row r="16123">
      <c r="A16123" t="n">
        <v>16122</v>
      </c>
      <c r="B16123" t="inlineStr">
        <is>
          <t>x̄V̅MCXXII</t>
        </is>
      </c>
      <c r="C16123">
        <f>ROMAN(16122)</f>
        <v/>
      </c>
      <c r="D16123">
        <f>IF(B16123=C16123, "YES", "WRONG")</f>
        <v/>
      </c>
    </row>
    <row r="16124">
      <c r="A16124" t="n">
        <v>16123</v>
      </c>
      <c r="B16124" t="inlineStr">
        <is>
          <t>x̄V̅MCXXIII</t>
        </is>
      </c>
      <c r="C16124">
        <f>ROMAN(16123)</f>
        <v/>
      </c>
      <c r="D16124">
        <f>IF(B16124=C16124, "YES", "WRONG")</f>
        <v/>
      </c>
    </row>
    <row r="16125">
      <c r="A16125" t="n">
        <v>16124</v>
      </c>
      <c r="B16125" t="inlineStr">
        <is>
          <t>x̄V̅MCXXIV</t>
        </is>
      </c>
      <c r="C16125">
        <f>ROMAN(16124)</f>
        <v/>
      </c>
      <c r="D16125">
        <f>IF(B16125=C16125, "YES", "WRONG")</f>
        <v/>
      </c>
    </row>
    <row r="16126">
      <c r="A16126" t="n">
        <v>16125</v>
      </c>
      <c r="B16126" t="inlineStr">
        <is>
          <t>x̄V̅MCXXV</t>
        </is>
      </c>
      <c r="C16126">
        <f>ROMAN(16125)</f>
        <v/>
      </c>
      <c r="D16126">
        <f>IF(B16126=C16126, "YES", "WRONG")</f>
        <v/>
      </c>
    </row>
    <row r="16127">
      <c r="A16127" t="n">
        <v>16126</v>
      </c>
      <c r="B16127" t="inlineStr">
        <is>
          <t>x̄V̅MCXXVI</t>
        </is>
      </c>
      <c r="C16127">
        <f>ROMAN(16126)</f>
        <v/>
      </c>
      <c r="D16127">
        <f>IF(B16127=C16127, "YES", "WRONG")</f>
        <v/>
      </c>
    </row>
    <row r="16128">
      <c r="A16128" t="n">
        <v>16127</v>
      </c>
      <c r="B16128" t="inlineStr">
        <is>
          <t>x̄V̅MCXXVII</t>
        </is>
      </c>
      <c r="C16128">
        <f>ROMAN(16127)</f>
        <v/>
      </c>
      <c r="D16128">
        <f>IF(B16128=C16128, "YES", "WRONG")</f>
        <v/>
      </c>
    </row>
    <row r="16129">
      <c r="A16129" t="n">
        <v>16128</v>
      </c>
      <c r="B16129" t="inlineStr">
        <is>
          <t>x̄V̅MCXXVIII</t>
        </is>
      </c>
      <c r="C16129">
        <f>ROMAN(16128)</f>
        <v/>
      </c>
      <c r="D16129">
        <f>IF(B16129=C16129, "YES", "WRONG")</f>
        <v/>
      </c>
    </row>
    <row r="16130">
      <c r="A16130" t="n">
        <v>16129</v>
      </c>
      <c r="B16130" t="inlineStr">
        <is>
          <t>x̄V̅MCXXIX</t>
        </is>
      </c>
      <c r="C16130">
        <f>ROMAN(16129)</f>
        <v/>
      </c>
      <c r="D16130">
        <f>IF(B16130=C16130, "YES", "WRONG")</f>
        <v/>
      </c>
    </row>
    <row r="16131">
      <c r="A16131" t="n">
        <v>16130</v>
      </c>
      <c r="B16131" t="inlineStr">
        <is>
          <t>x̄V̅MCXXX</t>
        </is>
      </c>
      <c r="C16131">
        <f>ROMAN(16130)</f>
        <v/>
      </c>
      <c r="D16131">
        <f>IF(B16131=C16131, "YES", "WRONG")</f>
        <v/>
      </c>
    </row>
    <row r="16132">
      <c r="A16132" t="n">
        <v>16131</v>
      </c>
      <c r="B16132" t="inlineStr">
        <is>
          <t>x̄V̅MCXXXI</t>
        </is>
      </c>
      <c r="C16132">
        <f>ROMAN(16131)</f>
        <v/>
      </c>
      <c r="D16132">
        <f>IF(B16132=C16132, "YES", "WRONG")</f>
        <v/>
      </c>
    </row>
    <row r="16133">
      <c r="A16133" t="n">
        <v>16132</v>
      </c>
      <c r="B16133" t="inlineStr">
        <is>
          <t>x̄V̅MCXXXII</t>
        </is>
      </c>
      <c r="C16133">
        <f>ROMAN(16132)</f>
        <v/>
      </c>
      <c r="D16133">
        <f>IF(B16133=C16133, "YES", "WRONG")</f>
        <v/>
      </c>
    </row>
    <row r="16134">
      <c r="A16134" t="n">
        <v>16133</v>
      </c>
      <c r="B16134" t="inlineStr">
        <is>
          <t>x̄V̅MCXXXIII</t>
        </is>
      </c>
      <c r="C16134">
        <f>ROMAN(16133)</f>
        <v/>
      </c>
      <c r="D16134">
        <f>IF(B16134=C16134, "YES", "WRONG")</f>
        <v/>
      </c>
    </row>
    <row r="16135">
      <c r="A16135" t="n">
        <v>16134</v>
      </c>
      <c r="B16135" t="inlineStr">
        <is>
          <t>x̄V̅MCXXXIV</t>
        </is>
      </c>
      <c r="C16135">
        <f>ROMAN(16134)</f>
        <v/>
      </c>
      <c r="D16135">
        <f>IF(B16135=C16135, "YES", "WRONG")</f>
        <v/>
      </c>
    </row>
    <row r="16136">
      <c r="A16136" t="n">
        <v>16135</v>
      </c>
      <c r="B16136" t="inlineStr">
        <is>
          <t>x̄V̅MCXXXV</t>
        </is>
      </c>
      <c r="C16136">
        <f>ROMAN(16135)</f>
        <v/>
      </c>
      <c r="D16136">
        <f>IF(B16136=C16136, "YES", "WRONG")</f>
        <v/>
      </c>
    </row>
    <row r="16137">
      <c r="A16137" t="n">
        <v>16136</v>
      </c>
      <c r="B16137" t="inlineStr">
        <is>
          <t>x̄V̅MCXXXVI</t>
        </is>
      </c>
      <c r="C16137">
        <f>ROMAN(16136)</f>
        <v/>
      </c>
      <c r="D16137">
        <f>IF(B16137=C16137, "YES", "WRONG")</f>
        <v/>
      </c>
    </row>
    <row r="16138">
      <c r="A16138" t="n">
        <v>16137</v>
      </c>
      <c r="B16138" t="inlineStr">
        <is>
          <t>x̄V̅MCXXXVII</t>
        </is>
      </c>
      <c r="C16138">
        <f>ROMAN(16137)</f>
        <v/>
      </c>
      <c r="D16138">
        <f>IF(B16138=C16138, "YES", "WRONG")</f>
        <v/>
      </c>
    </row>
    <row r="16139">
      <c r="A16139" t="n">
        <v>16138</v>
      </c>
      <c r="B16139" t="inlineStr">
        <is>
          <t>x̄V̅MCXXXVIII</t>
        </is>
      </c>
      <c r="C16139">
        <f>ROMAN(16138)</f>
        <v/>
      </c>
      <c r="D16139">
        <f>IF(B16139=C16139, "YES", "WRONG")</f>
        <v/>
      </c>
    </row>
    <row r="16140">
      <c r="A16140" t="n">
        <v>16139</v>
      </c>
      <c r="B16140" t="inlineStr">
        <is>
          <t>x̄V̅MCXXXIX</t>
        </is>
      </c>
      <c r="C16140">
        <f>ROMAN(16139)</f>
        <v/>
      </c>
      <c r="D16140">
        <f>IF(B16140=C16140, "YES", "WRONG")</f>
        <v/>
      </c>
    </row>
    <row r="16141">
      <c r="A16141" t="n">
        <v>16140</v>
      </c>
      <c r="B16141" t="inlineStr">
        <is>
          <t>x̄V̅MCXL</t>
        </is>
      </c>
      <c r="C16141">
        <f>ROMAN(16140)</f>
        <v/>
      </c>
      <c r="D16141">
        <f>IF(B16141=C16141, "YES", "WRONG")</f>
        <v/>
      </c>
    </row>
    <row r="16142">
      <c r="A16142" t="n">
        <v>16141</v>
      </c>
      <c r="B16142" t="inlineStr">
        <is>
          <t>x̄V̅MCXLI</t>
        </is>
      </c>
      <c r="C16142">
        <f>ROMAN(16141)</f>
        <v/>
      </c>
      <c r="D16142">
        <f>IF(B16142=C16142, "YES", "WRONG")</f>
        <v/>
      </c>
    </row>
    <row r="16143">
      <c r="A16143" t="n">
        <v>16142</v>
      </c>
      <c r="B16143" t="inlineStr">
        <is>
          <t>x̄V̅MCXLII</t>
        </is>
      </c>
      <c r="C16143">
        <f>ROMAN(16142)</f>
        <v/>
      </c>
      <c r="D16143">
        <f>IF(B16143=C16143, "YES", "WRONG")</f>
        <v/>
      </c>
    </row>
    <row r="16144">
      <c r="A16144" t="n">
        <v>16143</v>
      </c>
      <c r="B16144" t="inlineStr">
        <is>
          <t>x̄V̅MCXLIII</t>
        </is>
      </c>
      <c r="C16144">
        <f>ROMAN(16143)</f>
        <v/>
      </c>
      <c r="D16144">
        <f>IF(B16144=C16144, "YES", "WRONG")</f>
        <v/>
      </c>
    </row>
    <row r="16145">
      <c r="A16145" t="n">
        <v>16144</v>
      </c>
      <c r="B16145" t="inlineStr">
        <is>
          <t>x̄V̅MCXLIV</t>
        </is>
      </c>
      <c r="C16145">
        <f>ROMAN(16144)</f>
        <v/>
      </c>
      <c r="D16145">
        <f>IF(B16145=C16145, "YES", "WRONG")</f>
        <v/>
      </c>
    </row>
    <row r="16146">
      <c r="A16146" t="n">
        <v>16145</v>
      </c>
      <c r="B16146" t="inlineStr">
        <is>
          <t>x̄V̅MCXLV</t>
        </is>
      </c>
      <c r="C16146">
        <f>ROMAN(16145)</f>
        <v/>
      </c>
      <c r="D16146">
        <f>IF(B16146=C16146, "YES", "WRONG")</f>
        <v/>
      </c>
    </row>
    <row r="16147">
      <c r="A16147" t="n">
        <v>16146</v>
      </c>
      <c r="B16147" t="inlineStr">
        <is>
          <t>x̄V̅MCXLVI</t>
        </is>
      </c>
      <c r="C16147">
        <f>ROMAN(16146)</f>
        <v/>
      </c>
      <c r="D16147">
        <f>IF(B16147=C16147, "YES", "WRONG")</f>
        <v/>
      </c>
    </row>
    <row r="16148">
      <c r="A16148" t="n">
        <v>16147</v>
      </c>
      <c r="B16148" t="inlineStr">
        <is>
          <t>x̄V̅MCXLVII</t>
        </is>
      </c>
      <c r="C16148">
        <f>ROMAN(16147)</f>
        <v/>
      </c>
      <c r="D16148">
        <f>IF(B16148=C16148, "YES", "WRONG")</f>
        <v/>
      </c>
    </row>
    <row r="16149">
      <c r="A16149" t="n">
        <v>16148</v>
      </c>
      <c r="B16149" t="inlineStr">
        <is>
          <t>x̄V̅MCXLVIII</t>
        </is>
      </c>
      <c r="C16149">
        <f>ROMAN(16148)</f>
        <v/>
      </c>
      <c r="D16149">
        <f>IF(B16149=C16149, "YES", "WRONG")</f>
        <v/>
      </c>
    </row>
    <row r="16150">
      <c r="A16150" t="n">
        <v>16149</v>
      </c>
      <c r="B16150" t="inlineStr">
        <is>
          <t>x̄V̅MCXLIX</t>
        </is>
      </c>
      <c r="C16150">
        <f>ROMAN(16149)</f>
        <v/>
      </c>
      <c r="D16150">
        <f>IF(B16150=C16150, "YES", "WRONG")</f>
        <v/>
      </c>
    </row>
    <row r="16151">
      <c r="A16151" t="n">
        <v>16150</v>
      </c>
      <c r="B16151" t="inlineStr">
        <is>
          <t>x̄V̅MCL</t>
        </is>
      </c>
      <c r="C16151">
        <f>ROMAN(16150)</f>
        <v/>
      </c>
      <c r="D16151">
        <f>IF(B16151=C16151, "YES", "WRONG")</f>
        <v/>
      </c>
    </row>
    <row r="16152">
      <c r="A16152" t="n">
        <v>16151</v>
      </c>
      <c r="B16152" t="inlineStr">
        <is>
          <t>x̄V̅MCLI</t>
        </is>
      </c>
      <c r="C16152">
        <f>ROMAN(16151)</f>
        <v/>
      </c>
      <c r="D16152">
        <f>IF(B16152=C16152, "YES", "WRONG")</f>
        <v/>
      </c>
    </row>
    <row r="16153">
      <c r="A16153" t="n">
        <v>16152</v>
      </c>
      <c r="B16153" t="inlineStr">
        <is>
          <t>x̄V̅MCLII</t>
        </is>
      </c>
      <c r="C16153">
        <f>ROMAN(16152)</f>
        <v/>
      </c>
      <c r="D16153">
        <f>IF(B16153=C16153, "YES", "WRONG")</f>
        <v/>
      </c>
    </row>
    <row r="16154">
      <c r="A16154" t="n">
        <v>16153</v>
      </c>
      <c r="B16154" t="inlineStr">
        <is>
          <t>x̄V̅MCLIII</t>
        </is>
      </c>
      <c r="C16154">
        <f>ROMAN(16153)</f>
        <v/>
      </c>
      <c r="D16154">
        <f>IF(B16154=C16154, "YES", "WRONG")</f>
        <v/>
      </c>
    </row>
    <row r="16155">
      <c r="A16155" t="n">
        <v>16154</v>
      </c>
      <c r="B16155" t="inlineStr">
        <is>
          <t>x̄V̅MCLIV</t>
        </is>
      </c>
      <c r="C16155">
        <f>ROMAN(16154)</f>
        <v/>
      </c>
      <c r="D16155">
        <f>IF(B16155=C16155, "YES", "WRONG")</f>
        <v/>
      </c>
    </row>
    <row r="16156">
      <c r="A16156" t="n">
        <v>16155</v>
      </c>
      <c r="B16156" t="inlineStr">
        <is>
          <t>x̄V̅MCLV</t>
        </is>
      </c>
      <c r="C16156">
        <f>ROMAN(16155)</f>
        <v/>
      </c>
      <c r="D16156">
        <f>IF(B16156=C16156, "YES", "WRONG")</f>
        <v/>
      </c>
    </row>
    <row r="16157">
      <c r="A16157" t="n">
        <v>16156</v>
      </c>
      <c r="B16157" t="inlineStr">
        <is>
          <t>x̄V̅MCLVI</t>
        </is>
      </c>
      <c r="C16157">
        <f>ROMAN(16156)</f>
        <v/>
      </c>
      <c r="D16157">
        <f>IF(B16157=C16157, "YES", "WRONG")</f>
        <v/>
      </c>
    </row>
    <row r="16158">
      <c r="A16158" t="n">
        <v>16157</v>
      </c>
      <c r="B16158" t="inlineStr">
        <is>
          <t>x̄V̅MCLVII</t>
        </is>
      </c>
      <c r="C16158">
        <f>ROMAN(16157)</f>
        <v/>
      </c>
      <c r="D16158">
        <f>IF(B16158=C16158, "YES", "WRONG")</f>
        <v/>
      </c>
    </row>
    <row r="16159">
      <c r="A16159" t="n">
        <v>16158</v>
      </c>
      <c r="B16159" t="inlineStr">
        <is>
          <t>x̄V̅MCLVIII</t>
        </is>
      </c>
      <c r="C16159">
        <f>ROMAN(16158)</f>
        <v/>
      </c>
      <c r="D16159">
        <f>IF(B16159=C16159, "YES", "WRONG")</f>
        <v/>
      </c>
    </row>
    <row r="16160">
      <c r="A16160" t="n">
        <v>16159</v>
      </c>
      <c r="B16160" t="inlineStr">
        <is>
          <t>x̄V̅MCLIX</t>
        </is>
      </c>
      <c r="C16160">
        <f>ROMAN(16159)</f>
        <v/>
      </c>
      <c r="D16160">
        <f>IF(B16160=C16160, "YES", "WRONG")</f>
        <v/>
      </c>
    </row>
    <row r="16161">
      <c r="A16161" t="n">
        <v>16160</v>
      </c>
      <c r="B16161" t="inlineStr">
        <is>
          <t>x̄V̅MCLX</t>
        </is>
      </c>
      <c r="C16161">
        <f>ROMAN(16160)</f>
        <v/>
      </c>
      <c r="D16161">
        <f>IF(B16161=C16161, "YES", "WRONG")</f>
        <v/>
      </c>
    </row>
    <row r="16162">
      <c r="A16162" t="n">
        <v>16161</v>
      </c>
      <c r="B16162" t="inlineStr">
        <is>
          <t>x̄V̅MCLXI</t>
        </is>
      </c>
      <c r="C16162">
        <f>ROMAN(16161)</f>
        <v/>
      </c>
      <c r="D16162">
        <f>IF(B16162=C16162, "YES", "WRONG")</f>
        <v/>
      </c>
    </row>
    <row r="16163">
      <c r="A16163" t="n">
        <v>16162</v>
      </c>
      <c r="B16163" t="inlineStr">
        <is>
          <t>x̄V̅MCLXII</t>
        </is>
      </c>
      <c r="C16163">
        <f>ROMAN(16162)</f>
        <v/>
      </c>
      <c r="D16163">
        <f>IF(B16163=C16163, "YES", "WRONG")</f>
        <v/>
      </c>
    </row>
    <row r="16164">
      <c r="A16164" t="n">
        <v>16163</v>
      </c>
      <c r="B16164" t="inlineStr">
        <is>
          <t>x̄V̅MCLXIII</t>
        </is>
      </c>
      <c r="C16164">
        <f>ROMAN(16163)</f>
        <v/>
      </c>
      <c r="D16164">
        <f>IF(B16164=C16164, "YES", "WRONG")</f>
        <v/>
      </c>
    </row>
    <row r="16165">
      <c r="A16165" t="n">
        <v>16164</v>
      </c>
      <c r="B16165" t="inlineStr">
        <is>
          <t>x̄V̅MCLXIV</t>
        </is>
      </c>
      <c r="C16165">
        <f>ROMAN(16164)</f>
        <v/>
      </c>
      <c r="D16165">
        <f>IF(B16165=C16165, "YES", "WRONG")</f>
        <v/>
      </c>
    </row>
    <row r="16166">
      <c r="A16166" t="n">
        <v>16165</v>
      </c>
      <c r="B16166" t="inlineStr">
        <is>
          <t>x̄V̅MCLXV</t>
        </is>
      </c>
      <c r="C16166">
        <f>ROMAN(16165)</f>
        <v/>
      </c>
      <c r="D16166">
        <f>IF(B16166=C16166, "YES", "WRONG")</f>
        <v/>
      </c>
    </row>
    <row r="16167">
      <c r="A16167" t="n">
        <v>16166</v>
      </c>
      <c r="B16167" t="inlineStr">
        <is>
          <t>x̄V̅MCLXVI</t>
        </is>
      </c>
      <c r="C16167">
        <f>ROMAN(16166)</f>
        <v/>
      </c>
      <c r="D16167">
        <f>IF(B16167=C16167, "YES", "WRONG")</f>
        <v/>
      </c>
    </row>
    <row r="16168">
      <c r="A16168" t="n">
        <v>16167</v>
      </c>
      <c r="B16168" t="inlineStr">
        <is>
          <t>x̄V̅MCLXVII</t>
        </is>
      </c>
      <c r="C16168">
        <f>ROMAN(16167)</f>
        <v/>
      </c>
      <c r="D16168">
        <f>IF(B16168=C16168, "YES", "WRONG")</f>
        <v/>
      </c>
    </row>
    <row r="16169">
      <c r="A16169" t="n">
        <v>16168</v>
      </c>
      <c r="B16169" t="inlineStr">
        <is>
          <t>x̄V̅MCLXVIII</t>
        </is>
      </c>
      <c r="C16169">
        <f>ROMAN(16168)</f>
        <v/>
      </c>
      <c r="D16169">
        <f>IF(B16169=C16169, "YES", "WRONG")</f>
        <v/>
      </c>
    </row>
    <row r="16170">
      <c r="A16170" t="n">
        <v>16169</v>
      </c>
      <c r="B16170" t="inlineStr">
        <is>
          <t>x̄V̅MCLXIX</t>
        </is>
      </c>
      <c r="C16170">
        <f>ROMAN(16169)</f>
        <v/>
      </c>
      <c r="D16170">
        <f>IF(B16170=C16170, "YES", "WRONG")</f>
        <v/>
      </c>
    </row>
    <row r="16171">
      <c r="A16171" t="n">
        <v>16170</v>
      </c>
      <c r="B16171" t="inlineStr">
        <is>
          <t>x̄V̅MCLXX</t>
        </is>
      </c>
      <c r="C16171">
        <f>ROMAN(16170)</f>
        <v/>
      </c>
      <c r="D16171">
        <f>IF(B16171=C16171, "YES", "WRONG")</f>
        <v/>
      </c>
    </row>
    <row r="16172">
      <c r="A16172" t="n">
        <v>16171</v>
      </c>
      <c r="B16172" t="inlineStr">
        <is>
          <t>x̄V̅MCLXXI</t>
        </is>
      </c>
      <c r="C16172">
        <f>ROMAN(16171)</f>
        <v/>
      </c>
      <c r="D16172">
        <f>IF(B16172=C16172, "YES", "WRONG")</f>
        <v/>
      </c>
    </row>
    <row r="16173">
      <c r="A16173" t="n">
        <v>16172</v>
      </c>
      <c r="B16173" t="inlineStr">
        <is>
          <t>x̄V̅MCLXXII</t>
        </is>
      </c>
      <c r="C16173">
        <f>ROMAN(16172)</f>
        <v/>
      </c>
      <c r="D16173">
        <f>IF(B16173=C16173, "YES", "WRONG")</f>
        <v/>
      </c>
    </row>
    <row r="16174">
      <c r="A16174" t="n">
        <v>16173</v>
      </c>
      <c r="B16174" t="inlineStr">
        <is>
          <t>x̄V̅MCLXXIII</t>
        </is>
      </c>
      <c r="C16174">
        <f>ROMAN(16173)</f>
        <v/>
      </c>
      <c r="D16174">
        <f>IF(B16174=C16174, "YES", "WRONG")</f>
        <v/>
      </c>
    </row>
    <row r="16175">
      <c r="A16175" t="n">
        <v>16174</v>
      </c>
      <c r="B16175" t="inlineStr">
        <is>
          <t>x̄V̅MCLXXIV</t>
        </is>
      </c>
      <c r="C16175">
        <f>ROMAN(16174)</f>
        <v/>
      </c>
      <c r="D16175">
        <f>IF(B16175=C16175, "YES", "WRONG")</f>
        <v/>
      </c>
    </row>
    <row r="16176">
      <c r="A16176" t="n">
        <v>16175</v>
      </c>
      <c r="B16176" t="inlineStr">
        <is>
          <t>x̄V̅MCLXXV</t>
        </is>
      </c>
      <c r="C16176">
        <f>ROMAN(16175)</f>
        <v/>
      </c>
      <c r="D16176">
        <f>IF(B16176=C16176, "YES", "WRONG")</f>
        <v/>
      </c>
    </row>
    <row r="16177">
      <c r="A16177" t="n">
        <v>16176</v>
      </c>
      <c r="B16177" t="inlineStr">
        <is>
          <t>x̄V̅MCLXXVI</t>
        </is>
      </c>
      <c r="C16177">
        <f>ROMAN(16176)</f>
        <v/>
      </c>
      <c r="D16177">
        <f>IF(B16177=C16177, "YES", "WRONG")</f>
        <v/>
      </c>
    </row>
    <row r="16178">
      <c r="A16178" t="n">
        <v>16177</v>
      </c>
      <c r="B16178" t="inlineStr">
        <is>
          <t>x̄V̅MCLXXVII</t>
        </is>
      </c>
      <c r="C16178">
        <f>ROMAN(16177)</f>
        <v/>
      </c>
      <c r="D16178">
        <f>IF(B16178=C16178, "YES", "WRONG")</f>
        <v/>
      </c>
    </row>
    <row r="16179">
      <c r="A16179" t="n">
        <v>16178</v>
      </c>
      <c r="B16179" t="inlineStr">
        <is>
          <t>x̄V̅MCLXXVIII</t>
        </is>
      </c>
      <c r="C16179">
        <f>ROMAN(16178)</f>
        <v/>
      </c>
      <c r="D16179">
        <f>IF(B16179=C16179, "YES", "WRONG")</f>
        <v/>
      </c>
    </row>
    <row r="16180">
      <c r="A16180" t="n">
        <v>16179</v>
      </c>
      <c r="B16180" t="inlineStr">
        <is>
          <t>x̄V̅MCLXXIX</t>
        </is>
      </c>
      <c r="C16180">
        <f>ROMAN(16179)</f>
        <v/>
      </c>
      <c r="D16180">
        <f>IF(B16180=C16180, "YES", "WRONG")</f>
        <v/>
      </c>
    </row>
    <row r="16181">
      <c r="A16181" t="n">
        <v>16180</v>
      </c>
      <c r="B16181" t="inlineStr">
        <is>
          <t>x̄V̅MCLXXX</t>
        </is>
      </c>
      <c r="C16181">
        <f>ROMAN(16180)</f>
        <v/>
      </c>
      <c r="D16181">
        <f>IF(B16181=C16181, "YES", "WRONG")</f>
        <v/>
      </c>
    </row>
    <row r="16182">
      <c r="A16182" t="n">
        <v>16181</v>
      </c>
      <c r="B16182" t="inlineStr">
        <is>
          <t>x̄V̅MCLXXXI</t>
        </is>
      </c>
      <c r="C16182">
        <f>ROMAN(16181)</f>
        <v/>
      </c>
      <c r="D16182">
        <f>IF(B16182=C16182, "YES", "WRONG")</f>
        <v/>
      </c>
    </row>
    <row r="16183">
      <c r="A16183" t="n">
        <v>16182</v>
      </c>
      <c r="B16183" t="inlineStr">
        <is>
          <t>x̄V̅MCLXXXII</t>
        </is>
      </c>
      <c r="C16183">
        <f>ROMAN(16182)</f>
        <v/>
      </c>
      <c r="D16183">
        <f>IF(B16183=C16183, "YES", "WRONG")</f>
        <v/>
      </c>
    </row>
    <row r="16184">
      <c r="A16184" t="n">
        <v>16183</v>
      </c>
      <c r="B16184" t="inlineStr">
        <is>
          <t>x̄V̅MCLXXXIII</t>
        </is>
      </c>
      <c r="C16184">
        <f>ROMAN(16183)</f>
        <v/>
      </c>
      <c r="D16184">
        <f>IF(B16184=C16184, "YES", "WRONG")</f>
        <v/>
      </c>
    </row>
    <row r="16185">
      <c r="A16185" t="n">
        <v>16184</v>
      </c>
      <c r="B16185" t="inlineStr">
        <is>
          <t>x̄V̅MCLXXXIV</t>
        </is>
      </c>
      <c r="C16185">
        <f>ROMAN(16184)</f>
        <v/>
      </c>
      <c r="D16185">
        <f>IF(B16185=C16185, "YES", "WRONG")</f>
        <v/>
      </c>
    </row>
    <row r="16186">
      <c r="A16186" t="n">
        <v>16185</v>
      </c>
      <c r="B16186" t="inlineStr">
        <is>
          <t>x̄V̅MCLXXXV</t>
        </is>
      </c>
      <c r="C16186">
        <f>ROMAN(16185)</f>
        <v/>
      </c>
      <c r="D16186">
        <f>IF(B16186=C16186, "YES", "WRONG")</f>
        <v/>
      </c>
    </row>
    <row r="16187">
      <c r="A16187" t="n">
        <v>16186</v>
      </c>
      <c r="B16187" t="inlineStr">
        <is>
          <t>x̄V̅MCLXXXVI</t>
        </is>
      </c>
      <c r="C16187">
        <f>ROMAN(16186)</f>
        <v/>
      </c>
      <c r="D16187">
        <f>IF(B16187=C16187, "YES", "WRONG")</f>
        <v/>
      </c>
    </row>
    <row r="16188">
      <c r="A16188" t="n">
        <v>16187</v>
      </c>
      <c r="B16188" t="inlineStr">
        <is>
          <t>x̄V̅MCLXXXVII</t>
        </is>
      </c>
      <c r="C16188">
        <f>ROMAN(16187)</f>
        <v/>
      </c>
      <c r="D16188">
        <f>IF(B16188=C16188, "YES", "WRONG")</f>
        <v/>
      </c>
    </row>
    <row r="16189">
      <c r="A16189" t="n">
        <v>16188</v>
      </c>
      <c r="B16189" t="inlineStr">
        <is>
          <t>x̄V̅MCLXXXVIII</t>
        </is>
      </c>
      <c r="C16189">
        <f>ROMAN(16188)</f>
        <v/>
      </c>
      <c r="D16189">
        <f>IF(B16189=C16189, "YES", "WRONG")</f>
        <v/>
      </c>
    </row>
    <row r="16190">
      <c r="A16190" t="n">
        <v>16189</v>
      </c>
      <c r="B16190" t="inlineStr">
        <is>
          <t>x̄V̅MCLXXXIX</t>
        </is>
      </c>
      <c r="C16190">
        <f>ROMAN(16189)</f>
        <v/>
      </c>
      <c r="D16190">
        <f>IF(B16190=C16190, "YES", "WRONG")</f>
        <v/>
      </c>
    </row>
    <row r="16191">
      <c r="A16191" t="n">
        <v>16190</v>
      </c>
      <c r="B16191" t="inlineStr">
        <is>
          <t>x̄V̅MCXC</t>
        </is>
      </c>
      <c r="C16191">
        <f>ROMAN(16190)</f>
        <v/>
      </c>
      <c r="D16191">
        <f>IF(B16191=C16191, "YES", "WRONG")</f>
        <v/>
      </c>
    </row>
    <row r="16192">
      <c r="A16192" t="n">
        <v>16191</v>
      </c>
      <c r="B16192" t="inlineStr">
        <is>
          <t>x̄V̅MCXCI</t>
        </is>
      </c>
      <c r="C16192">
        <f>ROMAN(16191)</f>
        <v/>
      </c>
      <c r="D16192">
        <f>IF(B16192=C16192, "YES", "WRONG")</f>
        <v/>
      </c>
    </row>
    <row r="16193">
      <c r="A16193" t="n">
        <v>16192</v>
      </c>
      <c r="B16193" t="inlineStr">
        <is>
          <t>x̄V̅MCXCII</t>
        </is>
      </c>
      <c r="C16193">
        <f>ROMAN(16192)</f>
        <v/>
      </c>
      <c r="D16193">
        <f>IF(B16193=C16193, "YES", "WRONG")</f>
        <v/>
      </c>
    </row>
    <row r="16194">
      <c r="A16194" t="n">
        <v>16193</v>
      </c>
      <c r="B16194" t="inlineStr">
        <is>
          <t>x̄V̅MCXCIII</t>
        </is>
      </c>
      <c r="C16194">
        <f>ROMAN(16193)</f>
        <v/>
      </c>
      <c r="D16194">
        <f>IF(B16194=C16194, "YES", "WRONG")</f>
        <v/>
      </c>
    </row>
    <row r="16195">
      <c r="A16195" t="n">
        <v>16194</v>
      </c>
      <c r="B16195" t="inlineStr">
        <is>
          <t>x̄V̅MCXCIV</t>
        </is>
      </c>
      <c r="C16195">
        <f>ROMAN(16194)</f>
        <v/>
      </c>
      <c r="D16195">
        <f>IF(B16195=C16195, "YES", "WRONG")</f>
        <v/>
      </c>
    </row>
    <row r="16196">
      <c r="A16196" t="n">
        <v>16195</v>
      </c>
      <c r="B16196" t="inlineStr">
        <is>
          <t>x̄V̅MCXCV</t>
        </is>
      </c>
      <c r="C16196">
        <f>ROMAN(16195)</f>
        <v/>
      </c>
      <c r="D16196">
        <f>IF(B16196=C16196, "YES", "WRONG")</f>
        <v/>
      </c>
    </row>
    <row r="16197">
      <c r="A16197" t="n">
        <v>16196</v>
      </c>
      <c r="B16197" t="inlineStr">
        <is>
          <t>x̄V̅MCXCVI</t>
        </is>
      </c>
      <c r="C16197">
        <f>ROMAN(16196)</f>
        <v/>
      </c>
      <c r="D16197">
        <f>IF(B16197=C16197, "YES", "WRONG")</f>
        <v/>
      </c>
    </row>
    <row r="16198">
      <c r="A16198" t="n">
        <v>16197</v>
      </c>
      <c r="B16198" t="inlineStr">
        <is>
          <t>x̄V̅MCXCVII</t>
        </is>
      </c>
      <c r="C16198">
        <f>ROMAN(16197)</f>
        <v/>
      </c>
      <c r="D16198">
        <f>IF(B16198=C16198, "YES", "WRONG")</f>
        <v/>
      </c>
    </row>
    <row r="16199">
      <c r="A16199" t="n">
        <v>16198</v>
      </c>
      <c r="B16199" t="inlineStr">
        <is>
          <t>x̄V̅MCXCVIII</t>
        </is>
      </c>
      <c r="C16199">
        <f>ROMAN(16198)</f>
        <v/>
      </c>
      <c r="D16199">
        <f>IF(B16199=C16199, "YES", "WRONG")</f>
        <v/>
      </c>
    </row>
    <row r="16200">
      <c r="A16200" t="n">
        <v>16199</v>
      </c>
      <c r="B16200" t="inlineStr">
        <is>
          <t>x̄V̅MCXCIX</t>
        </is>
      </c>
      <c r="C16200">
        <f>ROMAN(16199)</f>
        <v/>
      </c>
      <c r="D16200">
        <f>IF(B16200=C16200, "YES", "WRONG")</f>
        <v/>
      </c>
    </row>
    <row r="16201">
      <c r="A16201" t="n">
        <v>16200</v>
      </c>
      <c r="B16201" t="inlineStr">
        <is>
          <t>x̄V̅MCC</t>
        </is>
      </c>
      <c r="C16201">
        <f>ROMAN(16200)</f>
        <v/>
      </c>
      <c r="D16201">
        <f>IF(B16201=C16201, "YES", "WRONG")</f>
        <v/>
      </c>
    </row>
    <row r="16202">
      <c r="A16202" t="n">
        <v>16201</v>
      </c>
      <c r="B16202" t="inlineStr">
        <is>
          <t>x̄V̅MCCI</t>
        </is>
      </c>
      <c r="C16202">
        <f>ROMAN(16201)</f>
        <v/>
      </c>
      <c r="D16202">
        <f>IF(B16202=C16202, "YES", "WRONG")</f>
        <v/>
      </c>
    </row>
    <row r="16203">
      <c r="A16203" t="n">
        <v>16202</v>
      </c>
      <c r="B16203" t="inlineStr">
        <is>
          <t>x̄V̅MCCII</t>
        </is>
      </c>
      <c r="C16203">
        <f>ROMAN(16202)</f>
        <v/>
      </c>
      <c r="D16203">
        <f>IF(B16203=C16203, "YES", "WRONG")</f>
        <v/>
      </c>
    </row>
    <row r="16204">
      <c r="A16204" t="n">
        <v>16203</v>
      </c>
      <c r="B16204" t="inlineStr">
        <is>
          <t>x̄V̅MCCIII</t>
        </is>
      </c>
      <c r="C16204">
        <f>ROMAN(16203)</f>
        <v/>
      </c>
      <c r="D16204">
        <f>IF(B16204=C16204, "YES", "WRONG")</f>
        <v/>
      </c>
    </row>
    <row r="16205">
      <c r="A16205" t="n">
        <v>16204</v>
      </c>
      <c r="B16205" t="inlineStr">
        <is>
          <t>x̄V̅MCCIV</t>
        </is>
      </c>
      <c r="C16205">
        <f>ROMAN(16204)</f>
        <v/>
      </c>
      <c r="D16205">
        <f>IF(B16205=C16205, "YES", "WRONG")</f>
        <v/>
      </c>
    </row>
    <row r="16206">
      <c r="A16206" t="n">
        <v>16205</v>
      </c>
      <c r="B16206" t="inlineStr">
        <is>
          <t>x̄V̅MCCV</t>
        </is>
      </c>
      <c r="C16206">
        <f>ROMAN(16205)</f>
        <v/>
      </c>
      <c r="D16206">
        <f>IF(B16206=C16206, "YES", "WRONG")</f>
        <v/>
      </c>
    </row>
    <row r="16207">
      <c r="A16207" t="n">
        <v>16206</v>
      </c>
      <c r="B16207" t="inlineStr">
        <is>
          <t>x̄V̅MCCVI</t>
        </is>
      </c>
      <c r="C16207">
        <f>ROMAN(16206)</f>
        <v/>
      </c>
      <c r="D16207">
        <f>IF(B16207=C16207, "YES", "WRONG")</f>
        <v/>
      </c>
    </row>
    <row r="16208">
      <c r="A16208" t="n">
        <v>16207</v>
      </c>
      <c r="B16208" t="inlineStr">
        <is>
          <t>x̄V̅MCCVII</t>
        </is>
      </c>
      <c r="C16208">
        <f>ROMAN(16207)</f>
        <v/>
      </c>
      <c r="D16208">
        <f>IF(B16208=C16208, "YES", "WRONG")</f>
        <v/>
      </c>
    </row>
    <row r="16209">
      <c r="A16209" t="n">
        <v>16208</v>
      </c>
      <c r="B16209" t="inlineStr">
        <is>
          <t>x̄V̅MCCVIII</t>
        </is>
      </c>
      <c r="C16209">
        <f>ROMAN(16208)</f>
        <v/>
      </c>
      <c r="D16209">
        <f>IF(B16209=C16209, "YES", "WRONG")</f>
        <v/>
      </c>
    </row>
    <row r="16210">
      <c r="A16210" t="n">
        <v>16209</v>
      </c>
      <c r="B16210" t="inlineStr">
        <is>
          <t>x̄V̅MCCIX</t>
        </is>
      </c>
      <c r="C16210">
        <f>ROMAN(16209)</f>
        <v/>
      </c>
      <c r="D16210">
        <f>IF(B16210=C16210, "YES", "WRONG")</f>
        <v/>
      </c>
    </row>
    <row r="16211">
      <c r="A16211" t="n">
        <v>16210</v>
      </c>
      <c r="B16211" t="inlineStr">
        <is>
          <t>x̄V̅MCCX</t>
        </is>
      </c>
      <c r="C16211">
        <f>ROMAN(16210)</f>
        <v/>
      </c>
      <c r="D16211">
        <f>IF(B16211=C16211, "YES", "WRONG")</f>
        <v/>
      </c>
    </row>
    <row r="16212">
      <c r="A16212" t="n">
        <v>16211</v>
      </c>
      <c r="B16212" t="inlineStr">
        <is>
          <t>x̄V̅MCCXI</t>
        </is>
      </c>
      <c r="C16212">
        <f>ROMAN(16211)</f>
        <v/>
      </c>
      <c r="D16212">
        <f>IF(B16212=C16212, "YES", "WRONG")</f>
        <v/>
      </c>
    </row>
    <row r="16213">
      <c r="A16213" t="n">
        <v>16212</v>
      </c>
      <c r="B16213" t="inlineStr">
        <is>
          <t>x̄V̅MCCXII</t>
        </is>
      </c>
      <c r="C16213">
        <f>ROMAN(16212)</f>
        <v/>
      </c>
      <c r="D16213">
        <f>IF(B16213=C16213, "YES", "WRONG")</f>
        <v/>
      </c>
    </row>
    <row r="16214">
      <c r="A16214" t="n">
        <v>16213</v>
      </c>
      <c r="B16214" t="inlineStr">
        <is>
          <t>x̄V̅MCCXIII</t>
        </is>
      </c>
      <c r="C16214">
        <f>ROMAN(16213)</f>
        <v/>
      </c>
      <c r="D16214">
        <f>IF(B16214=C16214, "YES", "WRONG")</f>
        <v/>
      </c>
    </row>
    <row r="16215">
      <c r="A16215" t="n">
        <v>16214</v>
      </c>
      <c r="B16215" t="inlineStr">
        <is>
          <t>x̄V̅MCCXIV</t>
        </is>
      </c>
      <c r="C16215">
        <f>ROMAN(16214)</f>
        <v/>
      </c>
      <c r="D16215">
        <f>IF(B16215=C16215, "YES", "WRONG")</f>
        <v/>
      </c>
    </row>
    <row r="16216">
      <c r="A16216" t="n">
        <v>16215</v>
      </c>
      <c r="B16216" t="inlineStr">
        <is>
          <t>x̄V̅MCCXV</t>
        </is>
      </c>
      <c r="C16216">
        <f>ROMAN(16215)</f>
        <v/>
      </c>
      <c r="D16216">
        <f>IF(B16216=C16216, "YES", "WRONG")</f>
        <v/>
      </c>
    </row>
    <row r="16217">
      <c r="A16217" t="n">
        <v>16216</v>
      </c>
      <c r="B16217" t="inlineStr">
        <is>
          <t>x̄V̅MCCXVI</t>
        </is>
      </c>
      <c r="C16217">
        <f>ROMAN(16216)</f>
        <v/>
      </c>
      <c r="D16217">
        <f>IF(B16217=C16217, "YES", "WRONG")</f>
        <v/>
      </c>
    </row>
    <row r="16218">
      <c r="A16218" t="n">
        <v>16217</v>
      </c>
      <c r="B16218" t="inlineStr">
        <is>
          <t>x̄V̅MCCXVII</t>
        </is>
      </c>
      <c r="C16218">
        <f>ROMAN(16217)</f>
        <v/>
      </c>
      <c r="D16218">
        <f>IF(B16218=C16218, "YES", "WRONG")</f>
        <v/>
      </c>
    </row>
    <row r="16219">
      <c r="A16219" t="n">
        <v>16218</v>
      </c>
      <c r="B16219" t="inlineStr">
        <is>
          <t>x̄V̅MCCXVIII</t>
        </is>
      </c>
      <c r="C16219">
        <f>ROMAN(16218)</f>
        <v/>
      </c>
      <c r="D16219">
        <f>IF(B16219=C16219, "YES", "WRONG")</f>
        <v/>
      </c>
    </row>
    <row r="16220">
      <c r="A16220" t="n">
        <v>16219</v>
      </c>
      <c r="B16220" t="inlineStr">
        <is>
          <t>x̄V̅MCCXIX</t>
        </is>
      </c>
      <c r="C16220">
        <f>ROMAN(16219)</f>
        <v/>
      </c>
      <c r="D16220">
        <f>IF(B16220=C16220, "YES", "WRONG")</f>
        <v/>
      </c>
    </row>
    <row r="16221">
      <c r="A16221" t="n">
        <v>16220</v>
      </c>
      <c r="B16221" t="inlineStr">
        <is>
          <t>x̄V̅MCCXX</t>
        </is>
      </c>
      <c r="C16221">
        <f>ROMAN(16220)</f>
        <v/>
      </c>
      <c r="D16221">
        <f>IF(B16221=C16221, "YES", "WRONG")</f>
        <v/>
      </c>
    </row>
    <row r="16222">
      <c r="A16222" t="n">
        <v>16221</v>
      </c>
      <c r="B16222" t="inlineStr">
        <is>
          <t>x̄V̅MCCXXI</t>
        </is>
      </c>
      <c r="C16222">
        <f>ROMAN(16221)</f>
        <v/>
      </c>
      <c r="D16222">
        <f>IF(B16222=C16222, "YES", "WRONG")</f>
        <v/>
      </c>
    </row>
    <row r="16223">
      <c r="A16223" t="n">
        <v>16222</v>
      </c>
      <c r="B16223" t="inlineStr">
        <is>
          <t>x̄V̅MCCXXII</t>
        </is>
      </c>
      <c r="C16223">
        <f>ROMAN(16222)</f>
        <v/>
      </c>
      <c r="D16223">
        <f>IF(B16223=C16223, "YES", "WRONG")</f>
        <v/>
      </c>
    </row>
    <row r="16224">
      <c r="A16224" t="n">
        <v>16223</v>
      </c>
      <c r="B16224" t="inlineStr">
        <is>
          <t>x̄V̅MCCXXIII</t>
        </is>
      </c>
      <c r="C16224">
        <f>ROMAN(16223)</f>
        <v/>
      </c>
      <c r="D16224">
        <f>IF(B16224=C16224, "YES", "WRONG")</f>
        <v/>
      </c>
    </row>
    <row r="16225">
      <c r="A16225" t="n">
        <v>16224</v>
      </c>
      <c r="B16225" t="inlineStr">
        <is>
          <t>x̄V̅MCCXXIV</t>
        </is>
      </c>
      <c r="C16225">
        <f>ROMAN(16224)</f>
        <v/>
      </c>
      <c r="D16225">
        <f>IF(B16225=C16225, "YES", "WRONG")</f>
        <v/>
      </c>
    </row>
    <row r="16226">
      <c r="A16226" t="n">
        <v>16225</v>
      </c>
      <c r="B16226" t="inlineStr">
        <is>
          <t>x̄V̅MCCXXV</t>
        </is>
      </c>
      <c r="C16226">
        <f>ROMAN(16225)</f>
        <v/>
      </c>
      <c r="D16226">
        <f>IF(B16226=C16226, "YES", "WRONG")</f>
        <v/>
      </c>
    </row>
    <row r="16227">
      <c r="A16227" t="n">
        <v>16226</v>
      </c>
      <c r="B16227" t="inlineStr">
        <is>
          <t>x̄V̅MCCXXVI</t>
        </is>
      </c>
      <c r="C16227">
        <f>ROMAN(16226)</f>
        <v/>
      </c>
      <c r="D16227">
        <f>IF(B16227=C16227, "YES", "WRONG")</f>
        <v/>
      </c>
    </row>
    <row r="16228">
      <c r="A16228" t="n">
        <v>16227</v>
      </c>
      <c r="B16228" t="inlineStr">
        <is>
          <t>x̄V̅MCCXXVII</t>
        </is>
      </c>
      <c r="C16228">
        <f>ROMAN(16227)</f>
        <v/>
      </c>
      <c r="D16228">
        <f>IF(B16228=C16228, "YES", "WRONG")</f>
        <v/>
      </c>
    </row>
    <row r="16229">
      <c r="A16229" t="n">
        <v>16228</v>
      </c>
      <c r="B16229" t="inlineStr">
        <is>
          <t>x̄V̅MCCXXVIII</t>
        </is>
      </c>
      <c r="C16229">
        <f>ROMAN(16228)</f>
        <v/>
      </c>
      <c r="D16229">
        <f>IF(B16229=C16229, "YES", "WRONG")</f>
        <v/>
      </c>
    </row>
    <row r="16230">
      <c r="A16230" t="n">
        <v>16229</v>
      </c>
      <c r="B16230" t="inlineStr">
        <is>
          <t>x̄V̅MCCXXIX</t>
        </is>
      </c>
      <c r="C16230">
        <f>ROMAN(16229)</f>
        <v/>
      </c>
      <c r="D16230">
        <f>IF(B16230=C16230, "YES", "WRONG")</f>
        <v/>
      </c>
    </row>
    <row r="16231">
      <c r="A16231" t="n">
        <v>16230</v>
      </c>
      <c r="B16231" t="inlineStr">
        <is>
          <t>x̄V̅MCCXXX</t>
        </is>
      </c>
      <c r="C16231">
        <f>ROMAN(16230)</f>
        <v/>
      </c>
      <c r="D16231">
        <f>IF(B16231=C16231, "YES", "WRONG")</f>
        <v/>
      </c>
    </row>
    <row r="16232">
      <c r="A16232" t="n">
        <v>16231</v>
      </c>
      <c r="B16232" t="inlineStr">
        <is>
          <t>x̄V̅MCCXXXI</t>
        </is>
      </c>
      <c r="C16232">
        <f>ROMAN(16231)</f>
        <v/>
      </c>
      <c r="D16232">
        <f>IF(B16232=C16232, "YES", "WRONG")</f>
        <v/>
      </c>
    </row>
    <row r="16233">
      <c r="A16233" t="n">
        <v>16232</v>
      </c>
      <c r="B16233" t="inlineStr">
        <is>
          <t>x̄V̅MCCXXXII</t>
        </is>
      </c>
      <c r="C16233">
        <f>ROMAN(16232)</f>
        <v/>
      </c>
      <c r="D16233">
        <f>IF(B16233=C16233, "YES", "WRONG")</f>
        <v/>
      </c>
    </row>
    <row r="16234">
      <c r="A16234" t="n">
        <v>16233</v>
      </c>
      <c r="B16234" t="inlineStr">
        <is>
          <t>x̄V̅MCCXXXIII</t>
        </is>
      </c>
      <c r="C16234">
        <f>ROMAN(16233)</f>
        <v/>
      </c>
      <c r="D16234">
        <f>IF(B16234=C16234, "YES", "WRONG")</f>
        <v/>
      </c>
    </row>
    <row r="16235">
      <c r="A16235" t="n">
        <v>16234</v>
      </c>
      <c r="B16235" t="inlineStr">
        <is>
          <t>x̄V̅MCCXXXIV</t>
        </is>
      </c>
      <c r="C16235">
        <f>ROMAN(16234)</f>
        <v/>
      </c>
      <c r="D16235">
        <f>IF(B16235=C16235, "YES", "WRONG")</f>
        <v/>
      </c>
    </row>
    <row r="16236">
      <c r="A16236" t="n">
        <v>16235</v>
      </c>
      <c r="B16236" t="inlineStr">
        <is>
          <t>x̄V̅MCCXXXV</t>
        </is>
      </c>
      <c r="C16236">
        <f>ROMAN(16235)</f>
        <v/>
      </c>
      <c r="D16236">
        <f>IF(B16236=C16236, "YES", "WRONG")</f>
        <v/>
      </c>
    </row>
    <row r="16237">
      <c r="A16237" t="n">
        <v>16236</v>
      </c>
      <c r="B16237" t="inlineStr">
        <is>
          <t>x̄V̅MCCXXXVI</t>
        </is>
      </c>
      <c r="C16237">
        <f>ROMAN(16236)</f>
        <v/>
      </c>
      <c r="D16237">
        <f>IF(B16237=C16237, "YES", "WRONG")</f>
        <v/>
      </c>
    </row>
    <row r="16238">
      <c r="A16238" t="n">
        <v>16237</v>
      </c>
      <c r="B16238" t="inlineStr">
        <is>
          <t>x̄V̅MCCXXXVII</t>
        </is>
      </c>
      <c r="C16238">
        <f>ROMAN(16237)</f>
        <v/>
      </c>
      <c r="D16238">
        <f>IF(B16238=C16238, "YES", "WRONG")</f>
        <v/>
      </c>
    </row>
    <row r="16239">
      <c r="A16239" t="n">
        <v>16238</v>
      </c>
      <c r="B16239" t="inlineStr">
        <is>
          <t>x̄V̅MCCXXXVIII</t>
        </is>
      </c>
      <c r="C16239">
        <f>ROMAN(16238)</f>
        <v/>
      </c>
      <c r="D16239">
        <f>IF(B16239=C16239, "YES", "WRONG")</f>
        <v/>
      </c>
    </row>
    <row r="16240">
      <c r="A16240" t="n">
        <v>16239</v>
      </c>
      <c r="B16240" t="inlineStr">
        <is>
          <t>x̄V̅MCCXXXIX</t>
        </is>
      </c>
      <c r="C16240">
        <f>ROMAN(16239)</f>
        <v/>
      </c>
      <c r="D16240">
        <f>IF(B16240=C16240, "YES", "WRONG")</f>
        <v/>
      </c>
    </row>
    <row r="16241">
      <c r="A16241" t="n">
        <v>16240</v>
      </c>
      <c r="B16241" t="inlineStr">
        <is>
          <t>x̄V̅MCCXL</t>
        </is>
      </c>
      <c r="C16241">
        <f>ROMAN(16240)</f>
        <v/>
      </c>
      <c r="D16241">
        <f>IF(B16241=C16241, "YES", "WRONG")</f>
        <v/>
      </c>
    </row>
    <row r="16242">
      <c r="A16242" t="n">
        <v>16241</v>
      </c>
      <c r="B16242" t="inlineStr">
        <is>
          <t>x̄V̅MCCXLI</t>
        </is>
      </c>
      <c r="C16242">
        <f>ROMAN(16241)</f>
        <v/>
      </c>
      <c r="D16242">
        <f>IF(B16242=C16242, "YES", "WRONG")</f>
        <v/>
      </c>
    </row>
    <row r="16243">
      <c r="A16243" t="n">
        <v>16242</v>
      </c>
      <c r="B16243" t="inlineStr">
        <is>
          <t>x̄V̅MCCXLII</t>
        </is>
      </c>
      <c r="C16243">
        <f>ROMAN(16242)</f>
        <v/>
      </c>
      <c r="D16243">
        <f>IF(B16243=C16243, "YES", "WRONG")</f>
        <v/>
      </c>
    </row>
    <row r="16244">
      <c r="A16244" t="n">
        <v>16243</v>
      </c>
      <c r="B16244" t="inlineStr">
        <is>
          <t>x̄V̅MCCXLIII</t>
        </is>
      </c>
      <c r="C16244">
        <f>ROMAN(16243)</f>
        <v/>
      </c>
      <c r="D16244">
        <f>IF(B16244=C16244, "YES", "WRONG")</f>
        <v/>
      </c>
    </row>
    <row r="16245">
      <c r="A16245" t="n">
        <v>16244</v>
      </c>
      <c r="B16245" t="inlineStr">
        <is>
          <t>x̄V̅MCCXLIV</t>
        </is>
      </c>
      <c r="C16245">
        <f>ROMAN(16244)</f>
        <v/>
      </c>
      <c r="D16245">
        <f>IF(B16245=C16245, "YES", "WRONG")</f>
        <v/>
      </c>
    </row>
    <row r="16246">
      <c r="A16246" t="n">
        <v>16245</v>
      </c>
      <c r="B16246" t="inlineStr">
        <is>
          <t>x̄V̅MCCXLV</t>
        </is>
      </c>
      <c r="C16246">
        <f>ROMAN(16245)</f>
        <v/>
      </c>
      <c r="D16246">
        <f>IF(B16246=C16246, "YES", "WRONG")</f>
        <v/>
      </c>
    </row>
    <row r="16247">
      <c r="A16247" t="n">
        <v>16246</v>
      </c>
      <c r="B16247" t="inlineStr">
        <is>
          <t>x̄V̅MCCXLVI</t>
        </is>
      </c>
      <c r="C16247">
        <f>ROMAN(16246)</f>
        <v/>
      </c>
      <c r="D16247">
        <f>IF(B16247=C16247, "YES", "WRONG")</f>
        <v/>
      </c>
    </row>
    <row r="16248">
      <c r="A16248" t="n">
        <v>16247</v>
      </c>
      <c r="B16248" t="inlineStr">
        <is>
          <t>x̄V̅MCCXLVII</t>
        </is>
      </c>
      <c r="C16248">
        <f>ROMAN(16247)</f>
        <v/>
      </c>
      <c r="D16248">
        <f>IF(B16248=C16248, "YES", "WRONG")</f>
        <v/>
      </c>
    </row>
    <row r="16249">
      <c r="A16249" t="n">
        <v>16248</v>
      </c>
      <c r="B16249" t="inlineStr">
        <is>
          <t>x̄V̅MCCXLVIII</t>
        </is>
      </c>
      <c r="C16249">
        <f>ROMAN(16248)</f>
        <v/>
      </c>
      <c r="D16249">
        <f>IF(B16249=C16249, "YES", "WRONG")</f>
        <v/>
      </c>
    </row>
    <row r="16250">
      <c r="A16250" t="n">
        <v>16249</v>
      </c>
      <c r="B16250" t="inlineStr">
        <is>
          <t>x̄V̅MCCXLIX</t>
        </is>
      </c>
      <c r="C16250">
        <f>ROMAN(16249)</f>
        <v/>
      </c>
      <c r="D16250">
        <f>IF(B16250=C16250, "YES", "WRONG")</f>
        <v/>
      </c>
    </row>
    <row r="16251">
      <c r="A16251" t="n">
        <v>16250</v>
      </c>
      <c r="B16251" t="inlineStr">
        <is>
          <t>x̄V̅MCCL</t>
        </is>
      </c>
      <c r="C16251">
        <f>ROMAN(16250)</f>
        <v/>
      </c>
      <c r="D16251">
        <f>IF(B16251=C16251, "YES", "WRONG")</f>
        <v/>
      </c>
    </row>
    <row r="16252">
      <c r="A16252" t="n">
        <v>16251</v>
      </c>
      <c r="B16252" t="inlineStr">
        <is>
          <t>x̄V̅MCCLI</t>
        </is>
      </c>
      <c r="C16252">
        <f>ROMAN(16251)</f>
        <v/>
      </c>
      <c r="D16252">
        <f>IF(B16252=C16252, "YES", "WRONG")</f>
        <v/>
      </c>
    </row>
    <row r="16253">
      <c r="A16253" t="n">
        <v>16252</v>
      </c>
      <c r="B16253" t="inlineStr">
        <is>
          <t>x̄V̅MCCLII</t>
        </is>
      </c>
      <c r="C16253">
        <f>ROMAN(16252)</f>
        <v/>
      </c>
      <c r="D16253">
        <f>IF(B16253=C16253, "YES", "WRONG")</f>
        <v/>
      </c>
    </row>
    <row r="16254">
      <c r="A16254" t="n">
        <v>16253</v>
      </c>
      <c r="B16254" t="inlineStr">
        <is>
          <t>x̄V̅MCCLIII</t>
        </is>
      </c>
      <c r="C16254">
        <f>ROMAN(16253)</f>
        <v/>
      </c>
      <c r="D16254">
        <f>IF(B16254=C16254, "YES", "WRONG")</f>
        <v/>
      </c>
    </row>
    <row r="16255">
      <c r="A16255" t="n">
        <v>16254</v>
      </c>
      <c r="B16255" t="inlineStr">
        <is>
          <t>x̄V̅MCCLIV</t>
        </is>
      </c>
      <c r="C16255">
        <f>ROMAN(16254)</f>
        <v/>
      </c>
      <c r="D16255">
        <f>IF(B16255=C16255, "YES", "WRONG")</f>
        <v/>
      </c>
    </row>
    <row r="16256">
      <c r="A16256" t="n">
        <v>16255</v>
      </c>
      <c r="B16256" t="inlineStr">
        <is>
          <t>x̄V̅MCCLV</t>
        </is>
      </c>
      <c r="C16256">
        <f>ROMAN(16255)</f>
        <v/>
      </c>
      <c r="D16256">
        <f>IF(B16256=C16256, "YES", "WRONG")</f>
        <v/>
      </c>
    </row>
    <row r="16257">
      <c r="A16257" t="n">
        <v>16256</v>
      </c>
      <c r="B16257" t="inlineStr">
        <is>
          <t>x̄V̅MCCLVI</t>
        </is>
      </c>
      <c r="C16257">
        <f>ROMAN(16256)</f>
        <v/>
      </c>
      <c r="D16257">
        <f>IF(B16257=C16257, "YES", "WRONG")</f>
        <v/>
      </c>
    </row>
    <row r="16258">
      <c r="A16258" t="n">
        <v>16257</v>
      </c>
      <c r="B16258" t="inlineStr">
        <is>
          <t>x̄V̅MCCLVII</t>
        </is>
      </c>
      <c r="C16258">
        <f>ROMAN(16257)</f>
        <v/>
      </c>
      <c r="D16258">
        <f>IF(B16258=C16258, "YES", "WRONG")</f>
        <v/>
      </c>
    </row>
    <row r="16259">
      <c r="A16259" t="n">
        <v>16258</v>
      </c>
      <c r="B16259" t="inlineStr">
        <is>
          <t>x̄V̅MCCLVIII</t>
        </is>
      </c>
      <c r="C16259">
        <f>ROMAN(16258)</f>
        <v/>
      </c>
      <c r="D16259">
        <f>IF(B16259=C16259, "YES", "WRONG")</f>
        <v/>
      </c>
    </row>
    <row r="16260">
      <c r="A16260" t="n">
        <v>16259</v>
      </c>
      <c r="B16260" t="inlineStr">
        <is>
          <t>x̄V̅MCCLIX</t>
        </is>
      </c>
      <c r="C16260">
        <f>ROMAN(16259)</f>
        <v/>
      </c>
      <c r="D16260">
        <f>IF(B16260=C16260, "YES", "WRONG")</f>
        <v/>
      </c>
    </row>
    <row r="16261">
      <c r="A16261" t="n">
        <v>16260</v>
      </c>
      <c r="B16261" t="inlineStr">
        <is>
          <t>x̄V̅MCCLX</t>
        </is>
      </c>
      <c r="C16261">
        <f>ROMAN(16260)</f>
        <v/>
      </c>
      <c r="D16261">
        <f>IF(B16261=C16261, "YES", "WRONG")</f>
        <v/>
      </c>
    </row>
    <row r="16262">
      <c r="A16262" t="n">
        <v>16261</v>
      </c>
      <c r="B16262" t="inlineStr">
        <is>
          <t>x̄V̅MCCLXI</t>
        </is>
      </c>
      <c r="C16262">
        <f>ROMAN(16261)</f>
        <v/>
      </c>
      <c r="D16262">
        <f>IF(B16262=C16262, "YES", "WRONG")</f>
        <v/>
      </c>
    </row>
    <row r="16263">
      <c r="A16263" t="n">
        <v>16262</v>
      </c>
      <c r="B16263" t="inlineStr">
        <is>
          <t>x̄V̅MCCLXII</t>
        </is>
      </c>
      <c r="C16263">
        <f>ROMAN(16262)</f>
        <v/>
      </c>
      <c r="D16263">
        <f>IF(B16263=C16263, "YES", "WRONG")</f>
        <v/>
      </c>
    </row>
    <row r="16264">
      <c r="A16264" t="n">
        <v>16263</v>
      </c>
      <c r="B16264" t="inlineStr">
        <is>
          <t>x̄V̅MCCLXIII</t>
        </is>
      </c>
      <c r="C16264">
        <f>ROMAN(16263)</f>
        <v/>
      </c>
      <c r="D16264">
        <f>IF(B16264=C16264, "YES", "WRONG")</f>
        <v/>
      </c>
    </row>
    <row r="16265">
      <c r="A16265" t="n">
        <v>16264</v>
      </c>
      <c r="B16265" t="inlineStr">
        <is>
          <t>x̄V̅MCCLXIV</t>
        </is>
      </c>
      <c r="C16265">
        <f>ROMAN(16264)</f>
        <v/>
      </c>
      <c r="D16265">
        <f>IF(B16265=C16265, "YES", "WRONG")</f>
        <v/>
      </c>
    </row>
    <row r="16266">
      <c r="A16266" t="n">
        <v>16265</v>
      </c>
      <c r="B16266" t="inlineStr">
        <is>
          <t>x̄V̅MCCLXV</t>
        </is>
      </c>
      <c r="C16266">
        <f>ROMAN(16265)</f>
        <v/>
      </c>
      <c r="D16266">
        <f>IF(B16266=C16266, "YES", "WRONG")</f>
        <v/>
      </c>
    </row>
    <row r="16267">
      <c r="A16267" t="n">
        <v>16266</v>
      </c>
      <c r="B16267" t="inlineStr">
        <is>
          <t>x̄V̅MCCLXVI</t>
        </is>
      </c>
      <c r="C16267">
        <f>ROMAN(16266)</f>
        <v/>
      </c>
      <c r="D16267">
        <f>IF(B16267=C16267, "YES", "WRONG")</f>
        <v/>
      </c>
    </row>
    <row r="16268">
      <c r="A16268" t="n">
        <v>16267</v>
      </c>
      <c r="B16268" t="inlineStr">
        <is>
          <t>x̄V̅MCCLXVII</t>
        </is>
      </c>
      <c r="C16268">
        <f>ROMAN(16267)</f>
        <v/>
      </c>
      <c r="D16268">
        <f>IF(B16268=C16268, "YES", "WRONG")</f>
        <v/>
      </c>
    </row>
    <row r="16269">
      <c r="A16269" t="n">
        <v>16268</v>
      </c>
      <c r="B16269" t="inlineStr">
        <is>
          <t>x̄V̅MCCLXVIII</t>
        </is>
      </c>
      <c r="C16269">
        <f>ROMAN(16268)</f>
        <v/>
      </c>
      <c r="D16269">
        <f>IF(B16269=C16269, "YES", "WRONG")</f>
        <v/>
      </c>
    </row>
    <row r="16270">
      <c r="A16270" t="n">
        <v>16269</v>
      </c>
      <c r="B16270" t="inlineStr">
        <is>
          <t>x̄V̅MCCLXIX</t>
        </is>
      </c>
      <c r="C16270">
        <f>ROMAN(16269)</f>
        <v/>
      </c>
      <c r="D16270">
        <f>IF(B16270=C16270, "YES", "WRONG")</f>
        <v/>
      </c>
    </row>
    <row r="16271">
      <c r="A16271" t="n">
        <v>16270</v>
      </c>
      <c r="B16271" t="inlineStr">
        <is>
          <t>x̄V̅MCCLXX</t>
        </is>
      </c>
      <c r="C16271">
        <f>ROMAN(16270)</f>
        <v/>
      </c>
      <c r="D16271">
        <f>IF(B16271=C16271, "YES", "WRONG")</f>
        <v/>
      </c>
    </row>
    <row r="16272">
      <c r="A16272" t="n">
        <v>16271</v>
      </c>
      <c r="B16272" t="inlineStr">
        <is>
          <t>x̄V̅MCCLXXI</t>
        </is>
      </c>
      <c r="C16272">
        <f>ROMAN(16271)</f>
        <v/>
      </c>
      <c r="D16272">
        <f>IF(B16272=C16272, "YES", "WRONG")</f>
        <v/>
      </c>
    </row>
    <row r="16273">
      <c r="A16273" t="n">
        <v>16272</v>
      </c>
      <c r="B16273" t="inlineStr">
        <is>
          <t>x̄V̅MCCLXXII</t>
        </is>
      </c>
      <c r="C16273">
        <f>ROMAN(16272)</f>
        <v/>
      </c>
      <c r="D16273">
        <f>IF(B16273=C16273, "YES", "WRONG")</f>
        <v/>
      </c>
    </row>
    <row r="16274">
      <c r="A16274" t="n">
        <v>16273</v>
      </c>
      <c r="B16274" t="inlineStr">
        <is>
          <t>x̄V̅MCCLXXIII</t>
        </is>
      </c>
      <c r="C16274">
        <f>ROMAN(16273)</f>
        <v/>
      </c>
      <c r="D16274">
        <f>IF(B16274=C16274, "YES", "WRONG")</f>
        <v/>
      </c>
    </row>
    <row r="16275">
      <c r="A16275" t="n">
        <v>16274</v>
      </c>
      <c r="B16275" t="inlineStr">
        <is>
          <t>x̄V̅MCCLXXIV</t>
        </is>
      </c>
      <c r="C16275">
        <f>ROMAN(16274)</f>
        <v/>
      </c>
      <c r="D16275">
        <f>IF(B16275=C16275, "YES", "WRONG")</f>
        <v/>
      </c>
    </row>
    <row r="16276">
      <c r="A16276" t="n">
        <v>16275</v>
      </c>
      <c r="B16276" t="inlineStr">
        <is>
          <t>x̄V̅MCCLXXV</t>
        </is>
      </c>
      <c r="C16276">
        <f>ROMAN(16275)</f>
        <v/>
      </c>
      <c r="D16276">
        <f>IF(B16276=C16276, "YES", "WRONG")</f>
        <v/>
      </c>
    </row>
    <row r="16277">
      <c r="A16277" t="n">
        <v>16276</v>
      </c>
      <c r="B16277" t="inlineStr">
        <is>
          <t>x̄V̅MCCLXXVI</t>
        </is>
      </c>
      <c r="C16277">
        <f>ROMAN(16276)</f>
        <v/>
      </c>
      <c r="D16277">
        <f>IF(B16277=C16277, "YES", "WRONG")</f>
        <v/>
      </c>
    </row>
    <row r="16278">
      <c r="A16278" t="n">
        <v>16277</v>
      </c>
      <c r="B16278" t="inlineStr">
        <is>
          <t>x̄V̅MCCLXXVII</t>
        </is>
      </c>
      <c r="C16278">
        <f>ROMAN(16277)</f>
        <v/>
      </c>
      <c r="D16278">
        <f>IF(B16278=C16278, "YES", "WRONG")</f>
        <v/>
      </c>
    </row>
    <row r="16279">
      <c r="A16279" t="n">
        <v>16278</v>
      </c>
      <c r="B16279" t="inlineStr">
        <is>
          <t>x̄V̅MCCLXXVIII</t>
        </is>
      </c>
      <c r="C16279">
        <f>ROMAN(16278)</f>
        <v/>
      </c>
      <c r="D16279">
        <f>IF(B16279=C16279, "YES", "WRONG")</f>
        <v/>
      </c>
    </row>
    <row r="16280">
      <c r="A16280" t="n">
        <v>16279</v>
      </c>
      <c r="B16280" t="inlineStr">
        <is>
          <t>x̄V̅MCCLXXIX</t>
        </is>
      </c>
      <c r="C16280">
        <f>ROMAN(16279)</f>
        <v/>
      </c>
      <c r="D16280">
        <f>IF(B16280=C16280, "YES", "WRONG")</f>
        <v/>
      </c>
    </row>
    <row r="16281">
      <c r="A16281" t="n">
        <v>16280</v>
      </c>
      <c r="B16281" t="inlineStr">
        <is>
          <t>x̄V̅MCCLXXX</t>
        </is>
      </c>
      <c r="C16281">
        <f>ROMAN(16280)</f>
        <v/>
      </c>
      <c r="D16281">
        <f>IF(B16281=C16281, "YES", "WRONG")</f>
        <v/>
      </c>
    </row>
    <row r="16282">
      <c r="A16282" t="n">
        <v>16281</v>
      </c>
      <c r="B16282" t="inlineStr">
        <is>
          <t>x̄V̅MCCLXXXI</t>
        </is>
      </c>
      <c r="C16282">
        <f>ROMAN(16281)</f>
        <v/>
      </c>
      <c r="D16282">
        <f>IF(B16282=C16282, "YES", "WRONG")</f>
        <v/>
      </c>
    </row>
    <row r="16283">
      <c r="A16283" t="n">
        <v>16282</v>
      </c>
      <c r="B16283" t="inlineStr">
        <is>
          <t>x̄V̅MCCLXXXII</t>
        </is>
      </c>
      <c r="C16283">
        <f>ROMAN(16282)</f>
        <v/>
      </c>
      <c r="D16283">
        <f>IF(B16283=C16283, "YES", "WRONG")</f>
        <v/>
      </c>
    </row>
    <row r="16284">
      <c r="A16284" t="n">
        <v>16283</v>
      </c>
      <c r="B16284" t="inlineStr">
        <is>
          <t>x̄V̅MCCLXXXIII</t>
        </is>
      </c>
      <c r="C16284">
        <f>ROMAN(16283)</f>
        <v/>
      </c>
      <c r="D16284">
        <f>IF(B16284=C16284, "YES", "WRONG")</f>
        <v/>
      </c>
    </row>
    <row r="16285">
      <c r="A16285" t="n">
        <v>16284</v>
      </c>
      <c r="B16285" t="inlineStr">
        <is>
          <t>x̄V̅MCCLXXXIV</t>
        </is>
      </c>
      <c r="C16285">
        <f>ROMAN(16284)</f>
        <v/>
      </c>
      <c r="D16285">
        <f>IF(B16285=C16285, "YES", "WRONG")</f>
        <v/>
      </c>
    </row>
    <row r="16286">
      <c r="A16286" t="n">
        <v>16285</v>
      </c>
      <c r="B16286" t="inlineStr">
        <is>
          <t>x̄V̅MCCLXXXV</t>
        </is>
      </c>
      <c r="C16286">
        <f>ROMAN(16285)</f>
        <v/>
      </c>
      <c r="D16286">
        <f>IF(B16286=C16286, "YES", "WRONG")</f>
        <v/>
      </c>
    </row>
    <row r="16287">
      <c r="A16287" t="n">
        <v>16286</v>
      </c>
      <c r="B16287" t="inlineStr">
        <is>
          <t>x̄V̅MCCLXXXVI</t>
        </is>
      </c>
      <c r="C16287">
        <f>ROMAN(16286)</f>
        <v/>
      </c>
      <c r="D16287">
        <f>IF(B16287=C16287, "YES", "WRONG")</f>
        <v/>
      </c>
    </row>
    <row r="16288">
      <c r="A16288" t="n">
        <v>16287</v>
      </c>
      <c r="B16288" t="inlineStr">
        <is>
          <t>x̄V̅MCCLXXXVII</t>
        </is>
      </c>
      <c r="C16288">
        <f>ROMAN(16287)</f>
        <v/>
      </c>
      <c r="D16288">
        <f>IF(B16288=C16288, "YES", "WRONG")</f>
        <v/>
      </c>
    </row>
    <row r="16289">
      <c r="A16289" t="n">
        <v>16288</v>
      </c>
      <c r="B16289" t="inlineStr">
        <is>
          <t>x̄V̅MCCLXXXVIII</t>
        </is>
      </c>
      <c r="C16289">
        <f>ROMAN(16288)</f>
        <v/>
      </c>
      <c r="D16289">
        <f>IF(B16289=C16289, "YES", "WRONG")</f>
        <v/>
      </c>
    </row>
    <row r="16290">
      <c r="A16290" t="n">
        <v>16289</v>
      </c>
      <c r="B16290" t="inlineStr">
        <is>
          <t>x̄V̅MCCLXXXIX</t>
        </is>
      </c>
      <c r="C16290">
        <f>ROMAN(16289)</f>
        <v/>
      </c>
      <c r="D16290">
        <f>IF(B16290=C16290, "YES", "WRONG")</f>
        <v/>
      </c>
    </row>
    <row r="16291">
      <c r="A16291" t="n">
        <v>16290</v>
      </c>
      <c r="B16291" t="inlineStr">
        <is>
          <t>x̄V̅MCCXC</t>
        </is>
      </c>
      <c r="C16291">
        <f>ROMAN(16290)</f>
        <v/>
      </c>
      <c r="D16291">
        <f>IF(B16291=C16291, "YES", "WRONG")</f>
        <v/>
      </c>
    </row>
    <row r="16292">
      <c r="A16292" t="n">
        <v>16291</v>
      </c>
      <c r="B16292" t="inlineStr">
        <is>
          <t>x̄V̅MCCXCI</t>
        </is>
      </c>
      <c r="C16292">
        <f>ROMAN(16291)</f>
        <v/>
      </c>
      <c r="D16292">
        <f>IF(B16292=C16292, "YES", "WRONG")</f>
        <v/>
      </c>
    </row>
    <row r="16293">
      <c r="A16293" t="n">
        <v>16292</v>
      </c>
      <c r="B16293" t="inlineStr">
        <is>
          <t>x̄V̅MCCXCII</t>
        </is>
      </c>
      <c r="C16293">
        <f>ROMAN(16292)</f>
        <v/>
      </c>
      <c r="D16293">
        <f>IF(B16293=C16293, "YES", "WRONG")</f>
        <v/>
      </c>
    </row>
    <row r="16294">
      <c r="A16294" t="n">
        <v>16293</v>
      </c>
      <c r="B16294" t="inlineStr">
        <is>
          <t>x̄V̅MCCXCIII</t>
        </is>
      </c>
      <c r="C16294">
        <f>ROMAN(16293)</f>
        <v/>
      </c>
      <c r="D16294">
        <f>IF(B16294=C16294, "YES", "WRONG")</f>
        <v/>
      </c>
    </row>
    <row r="16295">
      <c r="A16295" t="n">
        <v>16294</v>
      </c>
      <c r="B16295" t="inlineStr">
        <is>
          <t>x̄V̅MCCXCIV</t>
        </is>
      </c>
      <c r="C16295">
        <f>ROMAN(16294)</f>
        <v/>
      </c>
      <c r="D16295">
        <f>IF(B16295=C16295, "YES", "WRONG")</f>
        <v/>
      </c>
    </row>
    <row r="16296">
      <c r="A16296" t="n">
        <v>16295</v>
      </c>
      <c r="B16296" t="inlineStr">
        <is>
          <t>x̄V̅MCCXCV</t>
        </is>
      </c>
      <c r="C16296">
        <f>ROMAN(16295)</f>
        <v/>
      </c>
      <c r="D16296">
        <f>IF(B16296=C16296, "YES", "WRONG")</f>
        <v/>
      </c>
    </row>
    <row r="16297">
      <c r="A16297" t="n">
        <v>16296</v>
      </c>
      <c r="B16297" t="inlineStr">
        <is>
          <t>x̄V̅MCCXCVI</t>
        </is>
      </c>
      <c r="C16297">
        <f>ROMAN(16296)</f>
        <v/>
      </c>
      <c r="D16297">
        <f>IF(B16297=C16297, "YES", "WRONG")</f>
        <v/>
      </c>
    </row>
    <row r="16298">
      <c r="A16298" t="n">
        <v>16297</v>
      </c>
      <c r="B16298" t="inlineStr">
        <is>
          <t>x̄V̅MCCXCVII</t>
        </is>
      </c>
      <c r="C16298">
        <f>ROMAN(16297)</f>
        <v/>
      </c>
      <c r="D16298">
        <f>IF(B16298=C16298, "YES", "WRONG")</f>
        <v/>
      </c>
    </row>
    <row r="16299">
      <c r="A16299" t="n">
        <v>16298</v>
      </c>
      <c r="B16299" t="inlineStr">
        <is>
          <t>x̄V̅MCCXCVIII</t>
        </is>
      </c>
      <c r="C16299">
        <f>ROMAN(16298)</f>
        <v/>
      </c>
      <c r="D16299">
        <f>IF(B16299=C16299, "YES", "WRONG")</f>
        <v/>
      </c>
    </row>
    <row r="16300">
      <c r="A16300" t="n">
        <v>16299</v>
      </c>
      <c r="B16300" t="inlineStr">
        <is>
          <t>x̄V̅MCCXCIX</t>
        </is>
      </c>
      <c r="C16300">
        <f>ROMAN(16299)</f>
        <v/>
      </c>
      <c r="D16300">
        <f>IF(B16300=C16300, "YES", "WRONG")</f>
        <v/>
      </c>
    </row>
    <row r="16301">
      <c r="A16301" t="n">
        <v>16300</v>
      </c>
      <c r="B16301" t="inlineStr">
        <is>
          <t>x̄V̅MCCC</t>
        </is>
      </c>
      <c r="C16301">
        <f>ROMAN(16300)</f>
        <v/>
      </c>
      <c r="D16301">
        <f>IF(B16301=C16301, "YES", "WRONG")</f>
        <v/>
      </c>
    </row>
    <row r="16302">
      <c r="A16302" t="n">
        <v>16301</v>
      </c>
      <c r="B16302" t="inlineStr">
        <is>
          <t>x̄V̅MCCCI</t>
        </is>
      </c>
      <c r="C16302">
        <f>ROMAN(16301)</f>
        <v/>
      </c>
      <c r="D16302">
        <f>IF(B16302=C16302, "YES", "WRONG")</f>
        <v/>
      </c>
    </row>
    <row r="16303">
      <c r="A16303" t="n">
        <v>16302</v>
      </c>
      <c r="B16303" t="inlineStr">
        <is>
          <t>x̄V̅MCCCII</t>
        </is>
      </c>
      <c r="C16303">
        <f>ROMAN(16302)</f>
        <v/>
      </c>
      <c r="D16303">
        <f>IF(B16303=C16303, "YES", "WRONG")</f>
        <v/>
      </c>
    </row>
    <row r="16304">
      <c r="A16304" t="n">
        <v>16303</v>
      </c>
      <c r="B16304" t="inlineStr">
        <is>
          <t>x̄V̅MCCCIII</t>
        </is>
      </c>
      <c r="C16304">
        <f>ROMAN(16303)</f>
        <v/>
      </c>
      <c r="D16304">
        <f>IF(B16304=C16304, "YES", "WRONG")</f>
        <v/>
      </c>
    </row>
    <row r="16305">
      <c r="A16305" t="n">
        <v>16304</v>
      </c>
      <c r="B16305" t="inlineStr">
        <is>
          <t>x̄V̅MCCCIV</t>
        </is>
      </c>
      <c r="C16305">
        <f>ROMAN(16304)</f>
        <v/>
      </c>
      <c r="D16305">
        <f>IF(B16305=C16305, "YES", "WRONG")</f>
        <v/>
      </c>
    </row>
    <row r="16306">
      <c r="A16306" t="n">
        <v>16305</v>
      </c>
      <c r="B16306" t="inlineStr">
        <is>
          <t>x̄V̅MCCCV</t>
        </is>
      </c>
      <c r="C16306">
        <f>ROMAN(16305)</f>
        <v/>
      </c>
      <c r="D16306">
        <f>IF(B16306=C16306, "YES", "WRONG")</f>
        <v/>
      </c>
    </row>
    <row r="16307">
      <c r="A16307" t="n">
        <v>16306</v>
      </c>
      <c r="B16307" t="inlineStr">
        <is>
          <t>x̄V̅MCCCVI</t>
        </is>
      </c>
      <c r="C16307">
        <f>ROMAN(16306)</f>
        <v/>
      </c>
      <c r="D16307">
        <f>IF(B16307=C16307, "YES", "WRONG")</f>
        <v/>
      </c>
    </row>
    <row r="16308">
      <c r="A16308" t="n">
        <v>16307</v>
      </c>
      <c r="B16308" t="inlineStr">
        <is>
          <t>x̄V̅MCCCVII</t>
        </is>
      </c>
      <c r="C16308">
        <f>ROMAN(16307)</f>
        <v/>
      </c>
      <c r="D16308">
        <f>IF(B16308=C16308, "YES", "WRONG")</f>
        <v/>
      </c>
    </row>
    <row r="16309">
      <c r="A16309" t="n">
        <v>16308</v>
      </c>
      <c r="B16309" t="inlineStr">
        <is>
          <t>x̄V̅MCCCVIII</t>
        </is>
      </c>
      <c r="C16309">
        <f>ROMAN(16308)</f>
        <v/>
      </c>
      <c r="D16309">
        <f>IF(B16309=C16309, "YES", "WRONG")</f>
        <v/>
      </c>
    </row>
    <row r="16310">
      <c r="A16310" t="n">
        <v>16309</v>
      </c>
      <c r="B16310" t="inlineStr">
        <is>
          <t>x̄V̅MCCCIX</t>
        </is>
      </c>
      <c r="C16310">
        <f>ROMAN(16309)</f>
        <v/>
      </c>
      <c r="D16310">
        <f>IF(B16310=C16310, "YES", "WRONG")</f>
        <v/>
      </c>
    </row>
    <row r="16311">
      <c r="A16311" t="n">
        <v>16310</v>
      </c>
      <c r="B16311" t="inlineStr">
        <is>
          <t>x̄V̅MCCCX</t>
        </is>
      </c>
      <c r="C16311">
        <f>ROMAN(16310)</f>
        <v/>
      </c>
      <c r="D16311">
        <f>IF(B16311=C16311, "YES", "WRONG")</f>
        <v/>
      </c>
    </row>
    <row r="16312">
      <c r="A16312" t="n">
        <v>16311</v>
      </c>
      <c r="B16312" t="inlineStr">
        <is>
          <t>x̄V̅MCCCXI</t>
        </is>
      </c>
      <c r="C16312">
        <f>ROMAN(16311)</f>
        <v/>
      </c>
      <c r="D16312">
        <f>IF(B16312=C16312, "YES", "WRONG")</f>
        <v/>
      </c>
    </row>
    <row r="16313">
      <c r="A16313" t="n">
        <v>16312</v>
      </c>
      <c r="B16313" t="inlineStr">
        <is>
          <t>x̄V̅MCCCXII</t>
        </is>
      </c>
      <c r="C16313">
        <f>ROMAN(16312)</f>
        <v/>
      </c>
      <c r="D16313">
        <f>IF(B16313=C16313, "YES", "WRONG")</f>
        <v/>
      </c>
    </row>
    <row r="16314">
      <c r="A16314" t="n">
        <v>16313</v>
      </c>
      <c r="B16314" t="inlineStr">
        <is>
          <t>x̄V̅MCCCXIII</t>
        </is>
      </c>
      <c r="C16314">
        <f>ROMAN(16313)</f>
        <v/>
      </c>
      <c r="D16314">
        <f>IF(B16314=C16314, "YES", "WRONG")</f>
        <v/>
      </c>
    </row>
    <row r="16315">
      <c r="A16315" t="n">
        <v>16314</v>
      </c>
      <c r="B16315" t="inlineStr">
        <is>
          <t>x̄V̅MCCCXIV</t>
        </is>
      </c>
      <c r="C16315">
        <f>ROMAN(16314)</f>
        <v/>
      </c>
      <c r="D16315">
        <f>IF(B16315=C16315, "YES", "WRONG")</f>
        <v/>
      </c>
    </row>
    <row r="16316">
      <c r="A16316" t="n">
        <v>16315</v>
      </c>
      <c r="B16316" t="inlineStr">
        <is>
          <t>x̄V̅MCCCXV</t>
        </is>
      </c>
      <c r="C16316">
        <f>ROMAN(16315)</f>
        <v/>
      </c>
      <c r="D16316">
        <f>IF(B16316=C16316, "YES", "WRONG")</f>
        <v/>
      </c>
    </row>
    <row r="16317">
      <c r="A16317" t="n">
        <v>16316</v>
      </c>
      <c r="B16317" t="inlineStr">
        <is>
          <t>x̄V̅MCCCXVI</t>
        </is>
      </c>
      <c r="C16317">
        <f>ROMAN(16316)</f>
        <v/>
      </c>
      <c r="D16317">
        <f>IF(B16317=C16317, "YES", "WRONG")</f>
        <v/>
      </c>
    </row>
    <row r="16318">
      <c r="A16318" t="n">
        <v>16317</v>
      </c>
      <c r="B16318" t="inlineStr">
        <is>
          <t>x̄V̅MCCCXVII</t>
        </is>
      </c>
      <c r="C16318">
        <f>ROMAN(16317)</f>
        <v/>
      </c>
      <c r="D16318">
        <f>IF(B16318=C16318, "YES", "WRONG")</f>
        <v/>
      </c>
    </row>
    <row r="16319">
      <c r="A16319" t="n">
        <v>16318</v>
      </c>
      <c r="B16319" t="inlineStr">
        <is>
          <t>x̄V̅MCCCXVIII</t>
        </is>
      </c>
      <c r="C16319">
        <f>ROMAN(16318)</f>
        <v/>
      </c>
      <c r="D16319">
        <f>IF(B16319=C16319, "YES", "WRONG")</f>
        <v/>
      </c>
    </row>
    <row r="16320">
      <c r="A16320" t="n">
        <v>16319</v>
      </c>
      <c r="B16320" t="inlineStr">
        <is>
          <t>x̄V̅MCCCXIX</t>
        </is>
      </c>
      <c r="C16320">
        <f>ROMAN(16319)</f>
        <v/>
      </c>
      <c r="D16320">
        <f>IF(B16320=C16320, "YES", "WRONG")</f>
        <v/>
      </c>
    </row>
    <row r="16321">
      <c r="A16321" t="n">
        <v>16320</v>
      </c>
      <c r="B16321" t="inlineStr">
        <is>
          <t>x̄V̅MCCCXX</t>
        </is>
      </c>
      <c r="C16321">
        <f>ROMAN(16320)</f>
        <v/>
      </c>
      <c r="D16321">
        <f>IF(B16321=C16321, "YES", "WRONG")</f>
        <v/>
      </c>
    </row>
    <row r="16322">
      <c r="A16322" t="n">
        <v>16321</v>
      </c>
      <c r="B16322" t="inlineStr">
        <is>
          <t>x̄V̅MCCCXXI</t>
        </is>
      </c>
      <c r="C16322">
        <f>ROMAN(16321)</f>
        <v/>
      </c>
      <c r="D16322">
        <f>IF(B16322=C16322, "YES", "WRONG")</f>
        <v/>
      </c>
    </row>
    <row r="16323">
      <c r="A16323" t="n">
        <v>16322</v>
      </c>
      <c r="B16323" t="inlineStr">
        <is>
          <t>x̄V̅MCCCXXII</t>
        </is>
      </c>
      <c r="C16323">
        <f>ROMAN(16322)</f>
        <v/>
      </c>
      <c r="D16323">
        <f>IF(B16323=C16323, "YES", "WRONG")</f>
        <v/>
      </c>
    </row>
    <row r="16324">
      <c r="A16324" t="n">
        <v>16323</v>
      </c>
      <c r="B16324" t="inlineStr">
        <is>
          <t>x̄V̅MCCCXXIII</t>
        </is>
      </c>
      <c r="C16324">
        <f>ROMAN(16323)</f>
        <v/>
      </c>
      <c r="D16324">
        <f>IF(B16324=C16324, "YES", "WRONG")</f>
        <v/>
      </c>
    </row>
    <row r="16325">
      <c r="A16325" t="n">
        <v>16324</v>
      </c>
      <c r="B16325" t="inlineStr">
        <is>
          <t>x̄V̅MCCCXXIV</t>
        </is>
      </c>
      <c r="C16325">
        <f>ROMAN(16324)</f>
        <v/>
      </c>
      <c r="D16325">
        <f>IF(B16325=C16325, "YES", "WRONG")</f>
        <v/>
      </c>
    </row>
    <row r="16326">
      <c r="A16326" t="n">
        <v>16325</v>
      </c>
      <c r="B16326" t="inlineStr">
        <is>
          <t>x̄V̅MCCCXXV</t>
        </is>
      </c>
      <c r="C16326">
        <f>ROMAN(16325)</f>
        <v/>
      </c>
      <c r="D16326">
        <f>IF(B16326=C16326, "YES", "WRONG")</f>
        <v/>
      </c>
    </row>
    <row r="16327">
      <c r="A16327" t="n">
        <v>16326</v>
      </c>
      <c r="B16327" t="inlineStr">
        <is>
          <t>x̄V̅MCCCXXVI</t>
        </is>
      </c>
      <c r="C16327">
        <f>ROMAN(16326)</f>
        <v/>
      </c>
      <c r="D16327">
        <f>IF(B16327=C16327, "YES", "WRONG")</f>
        <v/>
      </c>
    </row>
    <row r="16328">
      <c r="A16328" t="n">
        <v>16327</v>
      </c>
      <c r="B16328" t="inlineStr">
        <is>
          <t>x̄V̅MCCCXXVII</t>
        </is>
      </c>
      <c r="C16328">
        <f>ROMAN(16327)</f>
        <v/>
      </c>
      <c r="D16328">
        <f>IF(B16328=C16328, "YES", "WRONG")</f>
        <v/>
      </c>
    </row>
    <row r="16329">
      <c r="A16329" t="n">
        <v>16328</v>
      </c>
      <c r="B16329" t="inlineStr">
        <is>
          <t>x̄V̅MCCCXXVIII</t>
        </is>
      </c>
      <c r="C16329">
        <f>ROMAN(16328)</f>
        <v/>
      </c>
      <c r="D16329">
        <f>IF(B16329=C16329, "YES", "WRONG")</f>
        <v/>
      </c>
    </row>
    <row r="16330">
      <c r="A16330" t="n">
        <v>16329</v>
      </c>
      <c r="B16330" t="inlineStr">
        <is>
          <t>x̄V̅MCCCXXIX</t>
        </is>
      </c>
      <c r="C16330">
        <f>ROMAN(16329)</f>
        <v/>
      </c>
      <c r="D16330">
        <f>IF(B16330=C16330, "YES", "WRONG")</f>
        <v/>
      </c>
    </row>
    <row r="16331">
      <c r="A16331" t="n">
        <v>16330</v>
      </c>
      <c r="B16331" t="inlineStr">
        <is>
          <t>x̄V̅MCCCXXX</t>
        </is>
      </c>
      <c r="C16331">
        <f>ROMAN(16330)</f>
        <v/>
      </c>
      <c r="D16331">
        <f>IF(B16331=C16331, "YES", "WRONG")</f>
        <v/>
      </c>
    </row>
    <row r="16332">
      <c r="A16332" t="n">
        <v>16331</v>
      </c>
      <c r="B16332" t="inlineStr">
        <is>
          <t>x̄V̅MCCCXXXI</t>
        </is>
      </c>
      <c r="C16332">
        <f>ROMAN(16331)</f>
        <v/>
      </c>
      <c r="D16332">
        <f>IF(B16332=C16332, "YES", "WRONG")</f>
        <v/>
      </c>
    </row>
    <row r="16333">
      <c r="A16333" t="n">
        <v>16332</v>
      </c>
      <c r="B16333" t="inlineStr">
        <is>
          <t>x̄V̅MCCCXXXII</t>
        </is>
      </c>
      <c r="C16333">
        <f>ROMAN(16332)</f>
        <v/>
      </c>
      <c r="D16333">
        <f>IF(B16333=C16333, "YES", "WRONG")</f>
        <v/>
      </c>
    </row>
    <row r="16334">
      <c r="A16334" t="n">
        <v>16333</v>
      </c>
      <c r="B16334" t="inlineStr">
        <is>
          <t>x̄V̅MCCCXXXIII</t>
        </is>
      </c>
      <c r="C16334">
        <f>ROMAN(16333)</f>
        <v/>
      </c>
      <c r="D16334">
        <f>IF(B16334=C16334, "YES", "WRONG")</f>
        <v/>
      </c>
    </row>
    <row r="16335">
      <c r="A16335" t="n">
        <v>16334</v>
      </c>
      <c r="B16335" t="inlineStr">
        <is>
          <t>x̄V̅MCCCXXXIV</t>
        </is>
      </c>
      <c r="C16335">
        <f>ROMAN(16334)</f>
        <v/>
      </c>
      <c r="D16335">
        <f>IF(B16335=C16335, "YES", "WRONG")</f>
        <v/>
      </c>
    </row>
    <row r="16336">
      <c r="A16336" t="n">
        <v>16335</v>
      </c>
      <c r="B16336" t="inlineStr">
        <is>
          <t>x̄V̅MCCCXXXV</t>
        </is>
      </c>
      <c r="C16336">
        <f>ROMAN(16335)</f>
        <v/>
      </c>
      <c r="D16336">
        <f>IF(B16336=C16336, "YES", "WRONG")</f>
        <v/>
      </c>
    </row>
    <row r="16337">
      <c r="A16337" t="n">
        <v>16336</v>
      </c>
      <c r="B16337" t="inlineStr">
        <is>
          <t>x̄V̅MCCCXXXVI</t>
        </is>
      </c>
      <c r="C16337">
        <f>ROMAN(16336)</f>
        <v/>
      </c>
      <c r="D16337">
        <f>IF(B16337=C16337, "YES", "WRONG")</f>
        <v/>
      </c>
    </row>
    <row r="16338">
      <c r="A16338" t="n">
        <v>16337</v>
      </c>
      <c r="B16338" t="inlineStr">
        <is>
          <t>x̄V̅MCCCXXXVII</t>
        </is>
      </c>
      <c r="C16338">
        <f>ROMAN(16337)</f>
        <v/>
      </c>
      <c r="D16338">
        <f>IF(B16338=C16338, "YES", "WRONG")</f>
        <v/>
      </c>
    </row>
    <row r="16339">
      <c r="A16339" t="n">
        <v>16338</v>
      </c>
      <c r="B16339" t="inlineStr">
        <is>
          <t>x̄V̅MCCCXXXVIII</t>
        </is>
      </c>
      <c r="C16339">
        <f>ROMAN(16338)</f>
        <v/>
      </c>
      <c r="D16339">
        <f>IF(B16339=C16339, "YES", "WRONG")</f>
        <v/>
      </c>
    </row>
    <row r="16340">
      <c r="A16340" t="n">
        <v>16339</v>
      </c>
      <c r="B16340" t="inlineStr">
        <is>
          <t>x̄V̅MCCCXXXIX</t>
        </is>
      </c>
      <c r="C16340">
        <f>ROMAN(16339)</f>
        <v/>
      </c>
      <c r="D16340">
        <f>IF(B16340=C16340, "YES", "WRONG")</f>
        <v/>
      </c>
    </row>
    <row r="16341">
      <c r="A16341" t="n">
        <v>16340</v>
      </c>
      <c r="B16341" t="inlineStr">
        <is>
          <t>x̄V̅MCCCXL</t>
        </is>
      </c>
      <c r="C16341">
        <f>ROMAN(16340)</f>
        <v/>
      </c>
      <c r="D16341">
        <f>IF(B16341=C16341, "YES", "WRONG")</f>
        <v/>
      </c>
    </row>
    <row r="16342">
      <c r="A16342" t="n">
        <v>16341</v>
      </c>
      <c r="B16342" t="inlineStr">
        <is>
          <t>x̄V̅MCCCXLI</t>
        </is>
      </c>
      <c r="C16342">
        <f>ROMAN(16341)</f>
        <v/>
      </c>
      <c r="D16342">
        <f>IF(B16342=C16342, "YES", "WRONG")</f>
        <v/>
      </c>
    </row>
    <row r="16343">
      <c r="A16343" t="n">
        <v>16342</v>
      </c>
      <c r="B16343" t="inlineStr">
        <is>
          <t>x̄V̅MCCCXLII</t>
        </is>
      </c>
      <c r="C16343">
        <f>ROMAN(16342)</f>
        <v/>
      </c>
      <c r="D16343">
        <f>IF(B16343=C16343, "YES", "WRONG")</f>
        <v/>
      </c>
    </row>
    <row r="16344">
      <c r="A16344" t="n">
        <v>16343</v>
      </c>
      <c r="B16344" t="inlineStr">
        <is>
          <t>x̄V̅MCCCXLIII</t>
        </is>
      </c>
      <c r="C16344">
        <f>ROMAN(16343)</f>
        <v/>
      </c>
      <c r="D16344">
        <f>IF(B16344=C16344, "YES", "WRONG")</f>
        <v/>
      </c>
    </row>
    <row r="16345">
      <c r="A16345" t="n">
        <v>16344</v>
      </c>
      <c r="B16345" t="inlineStr">
        <is>
          <t>x̄V̅MCCCXLIV</t>
        </is>
      </c>
      <c r="C16345">
        <f>ROMAN(16344)</f>
        <v/>
      </c>
      <c r="D16345">
        <f>IF(B16345=C16345, "YES", "WRONG")</f>
        <v/>
      </c>
    </row>
    <row r="16346">
      <c r="A16346" t="n">
        <v>16345</v>
      </c>
      <c r="B16346" t="inlineStr">
        <is>
          <t>x̄V̅MCCCXLV</t>
        </is>
      </c>
      <c r="C16346">
        <f>ROMAN(16345)</f>
        <v/>
      </c>
      <c r="D16346">
        <f>IF(B16346=C16346, "YES", "WRONG")</f>
        <v/>
      </c>
    </row>
    <row r="16347">
      <c r="A16347" t="n">
        <v>16346</v>
      </c>
      <c r="B16347" t="inlineStr">
        <is>
          <t>x̄V̅MCCCXLVI</t>
        </is>
      </c>
      <c r="C16347">
        <f>ROMAN(16346)</f>
        <v/>
      </c>
      <c r="D16347">
        <f>IF(B16347=C16347, "YES", "WRONG")</f>
        <v/>
      </c>
    </row>
    <row r="16348">
      <c r="A16348" t="n">
        <v>16347</v>
      </c>
      <c r="B16348" t="inlineStr">
        <is>
          <t>x̄V̅MCCCXLVII</t>
        </is>
      </c>
      <c r="C16348">
        <f>ROMAN(16347)</f>
        <v/>
      </c>
      <c r="D16348">
        <f>IF(B16348=C16348, "YES", "WRONG")</f>
        <v/>
      </c>
    </row>
    <row r="16349">
      <c r="A16349" t="n">
        <v>16348</v>
      </c>
      <c r="B16349" t="inlineStr">
        <is>
          <t>x̄V̅MCCCXLVIII</t>
        </is>
      </c>
      <c r="C16349">
        <f>ROMAN(16348)</f>
        <v/>
      </c>
      <c r="D16349">
        <f>IF(B16349=C16349, "YES", "WRONG")</f>
        <v/>
      </c>
    </row>
    <row r="16350">
      <c r="A16350" t="n">
        <v>16349</v>
      </c>
      <c r="B16350" t="inlineStr">
        <is>
          <t>x̄V̅MCCCXLIX</t>
        </is>
      </c>
      <c r="C16350">
        <f>ROMAN(16349)</f>
        <v/>
      </c>
      <c r="D16350">
        <f>IF(B16350=C16350, "YES", "WRONG")</f>
        <v/>
      </c>
    </row>
    <row r="16351">
      <c r="A16351" t="n">
        <v>16350</v>
      </c>
      <c r="B16351" t="inlineStr">
        <is>
          <t>x̄V̅MCCCL</t>
        </is>
      </c>
      <c r="C16351">
        <f>ROMAN(16350)</f>
        <v/>
      </c>
      <c r="D16351">
        <f>IF(B16351=C16351, "YES", "WRONG")</f>
        <v/>
      </c>
    </row>
    <row r="16352">
      <c r="A16352" t="n">
        <v>16351</v>
      </c>
      <c r="B16352" t="inlineStr">
        <is>
          <t>x̄V̅MCCCLI</t>
        </is>
      </c>
      <c r="C16352">
        <f>ROMAN(16351)</f>
        <v/>
      </c>
      <c r="D16352">
        <f>IF(B16352=C16352, "YES", "WRONG")</f>
        <v/>
      </c>
    </row>
    <row r="16353">
      <c r="A16353" t="n">
        <v>16352</v>
      </c>
      <c r="B16353" t="inlineStr">
        <is>
          <t>x̄V̅MCCCLII</t>
        </is>
      </c>
      <c r="C16353">
        <f>ROMAN(16352)</f>
        <v/>
      </c>
      <c r="D16353">
        <f>IF(B16353=C16353, "YES", "WRONG")</f>
        <v/>
      </c>
    </row>
    <row r="16354">
      <c r="A16354" t="n">
        <v>16353</v>
      </c>
      <c r="B16354" t="inlineStr">
        <is>
          <t>x̄V̅MCCCLIII</t>
        </is>
      </c>
      <c r="C16354">
        <f>ROMAN(16353)</f>
        <v/>
      </c>
      <c r="D16354">
        <f>IF(B16354=C16354, "YES", "WRONG")</f>
        <v/>
      </c>
    </row>
    <row r="16355">
      <c r="A16355" t="n">
        <v>16354</v>
      </c>
      <c r="B16355" t="inlineStr">
        <is>
          <t>x̄V̅MCCCLIV</t>
        </is>
      </c>
      <c r="C16355">
        <f>ROMAN(16354)</f>
        <v/>
      </c>
      <c r="D16355">
        <f>IF(B16355=C16355, "YES", "WRONG")</f>
        <v/>
      </c>
    </row>
    <row r="16356">
      <c r="A16356" t="n">
        <v>16355</v>
      </c>
      <c r="B16356" t="inlineStr">
        <is>
          <t>x̄V̅MCCCLV</t>
        </is>
      </c>
      <c r="C16356">
        <f>ROMAN(16355)</f>
        <v/>
      </c>
      <c r="D16356">
        <f>IF(B16356=C16356, "YES", "WRONG")</f>
        <v/>
      </c>
    </row>
    <row r="16357">
      <c r="A16357" t="n">
        <v>16356</v>
      </c>
      <c r="B16357" t="inlineStr">
        <is>
          <t>x̄V̅MCCCLVI</t>
        </is>
      </c>
      <c r="C16357">
        <f>ROMAN(16356)</f>
        <v/>
      </c>
      <c r="D16357">
        <f>IF(B16357=C16357, "YES", "WRONG")</f>
        <v/>
      </c>
    </row>
    <row r="16358">
      <c r="A16358" t="n">
        <v>16357</v>
      </c>
      <c r="B16358" t="inlineStr">
        <is>
          <t>x̄V̅MCCCLVII</t>
        </is>
      </c>
      <c r="C16358">
        <f>ROMAN(16357)</f>
        <v/>
      </c>
      <c r="D16358">
        <f>IF(B16358=C16358, "YES", "WRONG")</f>
        <v/>
      </c>
    </row>
    <row r="16359">
      <c r="A16359" t="n">
        <v>16358</v>
      </c>
      <c r="B16359" t="inlineStr">
        <is>
          <t>x̄V̅MCCCLVIII</t>
        </is>
      </c>
      <c r="C16359">
        <f>ROMAN(16358)</f>
        <v/>
      </c>
      <c r="D16359">
        <f>IF(B16359=C16359, "YES", "WRONG")</f>
        <v/>
      </c>
    </row>
    <row r="16360">
      <c r="A16360" t="n">
        <v>16359</v>
      </c>
      <c r="B16360" t="inlineStr">
        <is>
          <t>x̄V̅MCCCLIX</t>
        </is>
      </c>
      <c r="C16360">
        <f>ROMAN(16359)</f>
        <v/>
      </c>
      <c r="D16360">
        <f>IF(B16360=C16360, "YES", "WRONG")</f>
        <v/>
      </c>
    </row>
    <row r="16361">
      <c r="A16361" t="n">
        <v>16360</v>
      </c>
      <c r="B16361" t="inlineStr">
        <is>
          <t>x̄V̅MCCCLX</t>
        </is>
      </c>
      <c r="C16361">
        <f>ROMAN(16360)</f>
        <v/>
      </c>
      <c r="D16361">
        <f>IF(B16361=C16361, "YES", "WRONG")</f>
        <v/>
      </c>
    </row>
    <row r="16362">
      <c r="A16362" t="n">
        <v>16361</v>
      </c>
      <c r="B16362" t="inlineStr">
        <is>
          <t>x̄V̅MCCCLXI</t>
        </is>
      </c>
      <c r="C16362">
        <f>ROMAN(16361)</f>
        <v/>
      </c>
      <c r="D16362">
        <f>IF(B16362=C16362, "YES", "WRONG")</f>
        <v/>
      </c>
    </row>
    <row r="16363">
      <c r="A16363" t="n">
        <v>16362</v>
      </c>
      <c r="B16363" t="inlineStr">
        <is>
          <t>x̄V̅MCCCLXII</t>
        </is>
      </c>
      <c r="C16363">
        <f>ROMAN(16362)</f>
        <v/>
      </c>
      <c r="D16363">
        <f>IF(B16363=C16363, "YES", "WRONG")</f>
        <v/>
      </c>
    </row>
    <row r="16364">
      <c r="A16364" t="n">
        <v>16363</v>
      </c>
      <c r="B16364" t="inlineStr">
        <is>
          <t>x̄V̅MCCCLXIII</t>
        </is>
      </c>
      <c r="C16364">
        <f>ROMAN(16363)</f>
        <v/>
      </c>
      <c r="D16364">
        <f>IF(B16364=C16364, "YES", "WRONG")</f>
        <v/>
      </c>
    </row>
    <row r="16365">
      <c r="A16365" t="n">
        <v>16364</v>
      </c>
      <c r="B16365" t="inlineStr">
        <is>
          <t>x̄V̅MCCCLXIV</t>
        </is>
      </c>
      <c r="C16365">
        <f>ROMAN(16364)</f>
        <v/>
      </c>
      <c r="D16365">
        <f>IF(B16365=C16365, "YES", "WRONG")</f>
        <v/>
      </c>
    </row>
    <row r="16366">
      <c r="A16366" t="n">
        <v>16365</v>
      </c>
      <c r="B16366" t="inlineStr">
        <is>
          <t>x̄V̅MCCCLXV</t>
        </is>
      </c>
      <c r="C16366">
        <f>ROMAN(16365)</f>
        <v/>
      </c>
      <c r="D16366">
        <f>IF(B16366=C16366, "YES", "WRONG")</f>
        <v/>
      </c>
    </row>
    <row r="16367">
      <c r="A16367" t="n">
        <v>16366</v>
      </c>
      <c r="B16367" t="inlineStr">
        <is>
          <t>x̄V̅MCCCLXVI</t>
        </is>
      </c>
      <c r="C16367">
        <f>ROMAN(16366)</f>
        <v/>
      </c>
      <c r="D16367">
        <f>IF(B16367=C16367, "YES", "WRONG")</f>
        <v/>
      </c>
    </row>
    <row r="16368">
      <c r="A16368" t="n">
        <v>16367</v>
      </c>
      <c r="B16368" t="inlineStr">
        <is>
          <t>x̄V̅MCCCLXVII</t>
        </is>
      </c>
      <c r="C16368">
        <f>ROMAN(16367)</f>
        <v/>
      </c>
      <c r="D16368">
        <f>IF(B16368=C16368, "YES", "WRONG")</f>
        <v/>
      </c>
    </row>
    <row r="16369">
      <c r="A16369" t="n">
        <v>16368</v>
      </c>
      <c r="B16369" t="inlineStr">
        <is>
          <t>x̄V̅MCCCLXVIII</t>
        </is>
      </c>
      <c r="C16369">
        <f>ROMAN(16368)</f>
        <v/>
      </c>
      <c r="D16369">
        <f>IF(B16369=C16369, "YES", "WRONG")</f>
        <v/>
      </c>
    </row>
    <row r="16370">
      <c r="A16370" t="n">
        <v>16369</v>
      </c>
      <c r="B16370" t="inlineStr">
        <is>
          <t>x̄V̅MCCCLXIX</t>
        </is>
      </c>
      <c r="C16370">
        <f>ROMAN(16369)</f>
        <v/>
      </c>
      <c r="D16370">
        <f>IF(B16370=C16370, "YES", "WRONG")</f>
        <v/>
      </c>
    </row>
    <row r="16371">
      <c r="A16371" t="n">
        <v>16370</v>
      </c>
      <c r="B16371" t="inlineStr">
        <is>
          <t>x̄V̅MCCCLXX</t>
        </is>
      </c>
      <c r="C16371">
        <f>ROMAN(16370)</f>
        <v/>
      </c>
      <c r="D16371">
        <f>IF(B16371=C16371, "YES", "WRONG")</f>
        <v/>
      </c>
    </row>
    <row r="16372">
      <c r="A16372" t="n">
        <v>16371</v>
      </c>
      <c r="B16372" t="inlineStr">
        <is>
          <t>x̄V̅MCCCLXXI</t>
        </is>
      </c>
      <c r="C16372">
        <f>ROMAN(16371)</f>
        <v/>
      </c>
      <c r="D16372">
        <f>IF(B16372=C16372, "YES", "WRONG")</f>
        <v/>
      </c>
    </row>
    <row r="16373">
      <c r="A16373" t="n">
        <v>16372</v>
      </c>
      <c r="B16373" t="inlineStr">
        <is>
          <t>x̄V̅MCCCLXXII</t>
        </is>
      </c>
      <c r="C16373">
        <f>ROMAN(16372)</f>
        <v/>
      </c>
      <c r="D16373">
        <f>IF(B16373=C16373, "YES", "WRONG")</f>
        <v/>
      </c>
    </row>
    <row r="16374">
      <c r="A16374" t="n">
        <v>16373</v>
      </c>
      <c r="B16374" t="inlineStr">
        <is>
          <t>x̄V̅MCCCLXXIII</t>
        </is>
      </c>
      <c r="C16374">
        <f>ROMAN(16373)</f>
        <v/>
      </c>
      <c r="D16374">
        <f>IF(B16374=C16374, "YES", "WRONG")</f>
        <v/>
      </c>
    </row>
    <row r="16375">
      <c r="A16375" t="n">
        <v>16374</v>
      </c>
      <c r="B16375" t="inlineStr">
        <is>
          <t>x̄V̅MCCCLXXIV</t>
        </is>
      </c>
      <c r="C16375">
        <f>ROMAN(16374)</f>
        <v/>
      </c>
      <c r="D16375">
        <f>IF(B16375=C16375, "YES", "WRONG")</f>
        <v/>
      </c>
    </row>
    <row r="16376">
      <c r="A16376" t="n">
        <v>16375</v>
      </c>
      <c r="B16376" t="inlineStr">
        <is>
          <t>x̄V̅MCCCLXXV</t>
        </is>
      </c>
      <c r="C16376">
        <f>ROMAN(16375)</f>
        <v/>
      </c>
      <c r="D16376">
        <f>IF(B16376=C16376, "YES", "WRONG")</f>
        <v/>
      </c>
    </row>
    <row r="16377">
      <c r="A16377" t="n">
        <v>16376</v>
      </c>
      <c r="B16377" t="inlineStr">
        <is>
          <t>x̄V̅MCCCLXXVI</t>
        </is>
      </c>
      <c r="C16377">
        <f>ROMAN(16376)</f>
        <v/>
      </c>
      <c r="D16377">
        <f>IF(B16377=C16377, "YES", "WRONG")</f>
        <v/>
      </c>
    </row>
    <row r="16378">
      <c r="A16378" t="n">
        <v>16377</v>
      </c>
      <c r="B16378" t="inlineStr">
        <is>
          <t>x̄V̅MCCCLXXVII</t>
        </is>
      </c>
      <c r="C16378">
        <f>ROMAN(16377)</f>
        <v/>
      </c>
      <c r="D16378">
        <f>IF(B16378=C16378, "YES", "WRONG")</f>
        <v/>
      </c>
    </row>
    <row r="16379">
      <c r="A16379" t="n">
        <v>16378</v>
      </c>
      <c r="B16379" t="inlineStr">
        <is>
          <t>x̄V̅MCCCLXXVIII</t>
        </is>
      </c>
      <c r="C16379">
        <f>ROMAN(16378)</f>
        <v/>
      </c>
      <c r="D16379">
        <f>IF(B16379=C16379, "YES", "WRONG")</f>
        <v/>
      </c>
    </row>
    <row r="16380">
      <c r="A16380" t="n">
        <v>16379</v>
      </c>
      <c r="B16380" t="inlineStr">
        <is>
          <t>x̄V̅MCCCLXXIX</t>
        </is>
      </c>
      <c r="C16380">
        <f>ROMAN(16379)</f>
        <v/>
      </c>
      <c r="D16380">
        <f>IF(B16380=C16380, "YES", "WRONG")</f>
        <v/>
      </c>
    </row>
    <row r="16381">
      <c r="A16381" t="n">
        <v>16380</v>
      </c>
      <c r="B16381" t="inlineStr">
        <is>
          <t>x̄V̅MCCCLXXX</t>
        </is>
      </c>
      <c r="C16381">
        <f>ROMAN(16380)</f>
        <v/>
      </c>
      <c r="D16381">
        <f>IF(B16381=C16381, "YES", "WRONG")</f>
        <v/>
      </c>
    </row>
    <row r="16382">
      <c r="A16382" t="n">
        <v>16381</v>
      </c>
      <c r="B16382" t="inlineStr">
        <is>
          <t>x̄V̅MCCCLXXXI</t>
        </is>
      </c>
      <c r="C16382">
        <f>ROMAN(16381)</f>
        <v/>
      </c>
      <c r="D16382">
        <f>IF(B16382=C16382, "YES", "WRONG")</f>
        <v/>
      </c>
    </row>
    <row r="16383">
      <c r="A16383" t="n">
        <v>16382</v>
      </c>
      <c r="B16383" t="inlineStr">
        <is>
          <t>x̄V̅MCCCLXXXII</t>
        </is>
      </c>
      <c r="C16383">
        <f>ROMAN(16382)</f>
        <v/>
      </c>
      <c r="D16383">
        <f>IF(B16383=C16383, "YES", "WRONG")</f>
        <v/>
      </c>
    </row>
    <row r="16384">
      <c r="A16384" t="n">
        <v>16383</v>
      </c>
      <c r="B16384" t="inlineStr">
        <is>
          <t>x̄V̅MCCCLXXXIII</t>
        </is>
      </c>
      <c r="C16384">
        <f>ROMAN(16383)</f>
        <v/>
      </c>
      <c r="D16384">
        <f>IF(B16384=C16384, "YES", "WRONG")</f>
        <v/>
      </c>
    </row>
    <row r="16385">
      <c r="A16385" t="n">
        <v>16384</v>
      </c>
      <c r="B16385" t="inlineStr">
        <is>
          <t>x̄V̅MCCCLXXXIV</t>
        </is>
      </c>
      <c r="C16385">
        <f>ROMAN(16384)</f>
        <v/>
      </c>
      <c r="D16385">
        <f>IF(B16385=C16385, "YES", "WRONG")</f>
        <v/>
      </c>
    </row>
    <row r="16386">
      <c r="A16386" t="n">
        <v>16385</v>
      </c>
      <c r="B16386" t="inlineStr">
        <is>
          <t>x̄V̅MCCCLXXXV</t>
        </is>
      </c>
      <c r="C16386">
        <f>ROMAN(16385)</f>
        <v/>
      </c>
      <c r="D16386">
        <f>IF(B16386=C16386, "YES", "WRONG")</f>
        <v/>
      </c>
    </row>
    <row r="16387">
      <c r="A16387" t="n">
        <v>16386</v>
      </c>
      <c r="B16387" t="inlineStr">
        <is>
          <t>x̄V̅MCCCLXXXVI</t>
        </is>
      </c>
      <c r="C16387">
        <f>ROMAN(16386)</f>
        <v/>
      </c>
      <c r="D16387">
        <f>IF(B16387=C16387, "YES", "WRONG")</f>
        <v/>
      </c>
    </row>
    <row r="16388">
      <c r="A16388" t="n">
        <v>16387</v>
      </c>
      <c r="B16388" t="inlineStr">
        <is>
          <t>x̄V̅MCCCLXXXVII</t>
        </is>
      </c>
      <c r="C16388">
        <f>ROMAN(16387)</f>
        <v/>
      </c>
      <c r="D16388">
        <f>IF(B16388=C16388, "YES", "WRONG")</f>
        <v/>
      </c>
    </row>
    <row r="16389">
      <c r="A16389" t="n">
        <v>16388</v>
      </c>
      <c r="B16389" t="inlineStr">
        <is>
          <t>x̄V̅MCCCLXXXVIII</t>
        </is>
      </c>
      <c r="C16389">
        <f>ROMAN(16388)</f>
        <v/>
      </c>
      <c r="D16389">
        <f>IF(B16389=C16389, "YES", "WRONG")</f>
        <v/>
      </c>
    </row>
    <row r="16390">
      <c r="A16390" t="n">
        <v>16389</v>
      </c>
      <c r="B16390" t="inlineStr">
        <is>
          <t>x̄V̅MCCCLXXXIX</t>
        </is>
      </c>
      <c r="C16390">
        <f>ROMAN(16389)</f>
        <v/>
      </c>
      <c r="D16390">
        <f>IF(B16390=C16390, "YES", "WRONG")</f>
        <v/>
      </c>
    </row>
    <row r="16391">
      <c r="A16391" t="n">
        <v>16390</v>
      </c>
      <c r="B16391" t="inlineStr">
        <is>
          <t>x̄V̅MCCCXC</t>
        </is>
      </c>
      <c r="C16391">
        <f>ROMAN(16390)</f>
        <v/>
      </c>
      <c r="D16391">
        <f>IF(B16391=C16391, "YES", "WRONG")</f>
        <v/>
      </c>
    </row>
    <row r="16392">
      <c r="A16392" t="n">
        <v>16391</v>
      </c>
      <c r="B16392" t="inlineStr">
        <is>
          <t>x̄V̅MCCCXCI</t>
        </is>
      </c>
      <c r="C16392">
        <f>ROMAN(16391)</f>
        <v/>
      </c>
      <c r="D16392">
        <f>IF(B16392=C16392, "YES", "WRONG")</f>
        <v/>
      </c>
    </row>
    <row r="16393">
      <c r="A16393" t="n">
        <v>16392</v>
      </c>
      <c r="B16393" t="inlineStr">
        <is>
          <t>x̄V̅MCCCXCII</t>
        </is>
      </c>
      <c r="C16393">
        <f>ROMAN(16392)</f>
        <v/>
      </c>
      <c r="D16393">
        <f>IF(B16393=C16393, "YES", "WRONG")</f>
        <v/>
      </c>
    </row>
    <row r="16394">
      <c r="A16394" t="n">
        <v>16393</v>
      </c>
      <c r="B16394" t="inlineStr">
        <is>
          <t>x̄V̅MCCCXCIII</t>
        </is>
      </c>
      <c r="C16394">
        <f>ROMAN(16393)</f>
        <v/>
      </c>
      <c r="D16394">
        <f>IF(B16394=C16394, "YES", "WRONG")</f>
        <v/>
      </c>
    </row>
    <row r="16395">
      <c r="A16395" t="n">
        <v>16394</v>
      </c>
      <c r="B16395" t="inlineStr">
        <is>
          <t>x̄V̅MCCCXCIV</t>
        </is>
      </c>
      <c r="C16395">
        <f>ROMAN(16394)</f>
        <v/>
      </c>
      <c r="D16395">
        <f>IF(B16395=C16395, "YES", "WRONG")</f>
        <v/>
      </c>
    </row>
    <row r="16396">
      <c r="A16396" t="n">
        <v>16395</v>
      </c>
      <c r="B16396" t="inlineStr">
        <is>
          <t>x̄V̅MCCCXCV</t>
        </is>
      </c>
      <c r="C16396">
        <f>ROMAN(16395)</f>
        <v/>
      </c>
      <c r="D16396">
        <f>IF(B16396=C16396, "YES", "WRONG")</f>
        <v/>
      </c>
    </row>
    <row r="16397">
      <c r="A16397" t="n">
        <v>16396</v>
      </c>
      <c r="B16397" t="inlineStr">
        <is>
          <t>x̄V̅MCCCXCVI</t>
        </is>
      </c>
      <c r="C16397">
        <f>ROMAN(16396)</f>
        <v/>
      </c>
      <c r="D16397">
        <f>IF(B16397=C16397, "YES", "WRONG")</f>
        <v/>
      </c>
    </row>
    <row r="16398">
      <c r="A16398" t="n">
        <v>16397</v>
      </c>
      <c r="B16398" t="inlineStr">
        <is>
          <t>x̄V̅MCCCXCVII</t>
        </is>
      </c>
      <c r="C16398">
        <f>ROMAN(16397)</f>
        <v/>
      </c>
      <c r="D16398">
        <f>IF(B16398=C16398, "YES", "WRONG")</f>
        <v/>
      </c>
    </row>
    <row r="16399">
      <c r="A16399" t="n">
        <v>16398</v>
      </c>
      <c r="B16399" t="inlineStr">
        <is>
          <t>x̄V̅MCCCXCVIII</t>
        </is>
      </c>
      <c r="C16399">
        <f>ROMAN(16398)</f>
        <v/>
      </c>
      <c r="D16399">
        <f>IF(B16399=C16399, "YES", "WRONG")</f>
        <v/>
      </c>
    </row>
    <row r="16400">
      <c r="A16400" t="n">
        <v>16399</v>
      </c>
      <c r="B16400" t="inlineStr">
        <is>
          <t>x̄V̅MCCCXCIX</t>
        </is>
      </c>
      <c r="C16400">
        <f>ROMAN(16399)</f>
        <v/>
      </c>
      <c r="D16400">
        <f>IF(B16400=C16400, "YES", "WRONG")</f>
        <v/>
      </c>
    </row>
    <row r="16401">
      <c r="A16401" t="n">
        <v>16400</v>
      </c>
      <c r="B16401" t="inlineStr">
        <is>
          <t>x̄V̅MCD</t>
        </is>
      </c>
      <c r="C16401">
        <f>ROMAN(16400)</f>
        <v/>
      </c>
      <c r="D16401">
        <f>IF(B16401=C16401, "YES", "WRONG")</f>
        <v/>
      </c>
    </row>
    <row r="16402">
      <c r="A16402" t="n">
        <v>16401</v>
      </c>
      <c r="B16402" t="inlineStr">
        <is>
          <t>x̄V̅MCDI</t>
        </is>
      </c>
      <c r="C16402">
        <f>ROMAN(16401)</f>
        <v/>
      </c>
      <c r="D16402">
        <f>IF(B16402=C16402, "YES", "WRONG")</f>
        <v/>
      </c>
    </row>
    <row r="16403">
      <c r="A16403" t="n">
        <v>16402</v>
      </c>
      <c r="B16403" t="inlineStr">
        <is>
          <t>x̄V̅MCDII</t>
        </is>
      </c>
      <c r="C16403">
        <f>ROMAN(16402)</f>
        <v/>
      </c>
      <c r="D16403">
        <f>IF(B16403=C16403, "YES", "WRONG")</f>
        <v/>
      </c>
    </row>
    <row r="16404">
      <c r="A16404" t="n">
        <v>16403</v>
      </c>
      <c r="B16404" t="inlineStr">
        <is>
          <t>x̄V̅MCDIII</t>
        </is>
      </c>
      <c r="C16404">
        <f>ROMAN(16403)</f>
        <v/>
      </c>
      <c r="D16404">
        <f>IF(B16404=C16404, "YES", "WRONG")</f>
        <v/>
      </c>
    </row>
    <row r="16405">
      <c r="A16405" t="n">
        <v>16404</v>
      </c>
      <c r="B16405" t="inlineStr">
        <is>
          <t>x̄V̅MCDIV</t>
        </is>
      </c>
      <c r="C16405">
        <f>ROMAN(16404)</f>
        <v/>
      </c>
      <c r="D16405">
        <f>IF(B16405=C16405, "YES", "WRONG")</f>
        <v/>
      </c>
    </row>
    <row r="16406">
      <c r="A16406" t="n">
        <v>16405</v>
      </c>
      <c r="B16406" t="inlineStr">
        <is>
          <t>x̄V̅MCDV</t>
        </is>
      </c>
      <c r="C16406">
        <f>ROMAN(16405)</f>
        <v/>
      </c>
      <c r="D16406">
        <f>IF(B16406=C16406, "YES", "WRONG")</f>
        <v/>
      </c>
    </row>
    <row r="16407">
      <c r="A16407" t="n">
        <v>16406</v>
      </c>
      <c r="B16407" t="inlineStr">
        <is>
          <t>x̄V̅MCDVI</t>
        </is>
      </c>
      <c r="C16407">
        <f>ROMAN(16406)</f>
        <v/>
      </c>
      <c r="D16407">
        <f>IF(B16407=C16407, "YES", "WRONG")</f>
        <v/>
      </c>
    </row>
    <row r="16408">
      <c r="A16408" t="n">
        <v>16407</v>
      </c>
      <c r="B16408" t="inlineStr">
        <is>
          <t>x̄V̅MCDVII</t>
        </is>
      </c>
      <c r="C16408">
        <f>ROMAN(16407)</f>
        <v/>
      </c>
      <c r="D16408">
        <f>IF(B16408=C16408, "YES", "WRONG")</f>
        <v/>
      </c>
    </row>
    <row r="16409">
      <c r="A16409" t="n">
        <v>16408</v>
      </c>
      <c r="B16409" t="inlineStr">
        <is>
          <t>x̄V̅MCDVIII</t>
        </is>
      </c>
      <c r="C16409">
        <f>ROMAN(16408)</f>
        <v/>
      </c>
      <c r="D16409">
        <f>IF(B16409=C16409, "YES", "WRONG")</f>
        <v/>
      </c>
    </row>
    <row r="16410">
      <c r="A16410" t="n">
        <v>16409</v>
      </c>
      <c r="B16410" t="inlineStr">
        <is>
          <t>x̄V̅MCDIX</t>
        </is>
      </c>
      <c r="C16410">
        <f>ROMAN(16409)</f>
        <v/>
      </c>
      <c r="D16410">
        <f>IF(B16410=C16410, "YES", "WRONG")</f>
        <v/>
      </c>
    </row>
    <row r="16411">
      <c r="A16411" t="n">
        <v>16410</v>
      </c>
      <c r="B16411" t="inlineStr">
        <is>
          <t>x̄V̅MCDX</t>
        </is>
      </c>
      <c r="C16411">
        <f>ROMAN(16410)</f>
        <v/>
      </c>
      <c r="D16411">
        <f>IF(B16411=C16411, "YES", "WRONG")</f>
        <v/>
      </c>
    </row>
    <row r="16412">
      <c r="A16412" t="n">
        <v>16411</v>
      </c>
      <c r="B16412" t="inlineStr">
        <is>
          <t>x̄V̅MCDXI</t>
        </is>
      </c>
      <c r="C16412">
        <f>ROMAN(16411)</f>
        <v/>
      </c>
      <c r="D16412">
        <f>IF(B16412=C16412, "YES", "WRONG")</f>
        <v/>
      </c>
    </row>
    <row r="16413">
      <c r="A16413" t="n">
        <v>16412</v>
      </c>
      <c r="B16413" t="inlineStr">
        <is>
          <t>x̄V̅MCDXII</t>
        </is>
      </c>
      <c r="C16413">
        <f>ROMAN(16412)</f>
        <v/>
      </c>
      <c r="D16413">
        <f>IF(B16413=C16413, "YES", "WRONG")</f>
        <v/>
      </c>
    </row>
    <row r="16414">
      <c r="A16414" t="n">
        <v>16413</v>
      </c>
      <c r="B16414" t="inlineStr">
        <is>
          <t>x̄V̅MCDXIII</t>
        </is>
      </c>
      <c r="C16414">
        <f>ROMAN(16413)</f>
        <v/>
      </c>
      <c r="D16414">
        <f>IF(B16414=C16414, "YES", "WRONG")</f>
        <v/>
      </c>
    </row>
    <row r="16415">
      <c r="A16415" t="n">
        <v>16414</v>
      </c>
      <c r="B16415" t="inlineStr">
        <is>
          <t>x̄V̅MCDXIV</t>
        </is>
      </c>
      <c r="C16415">
        <f>ROMAN(16414)</f>
        <v/>
      </c>
      <c r="D16415">
        <f>IF(B16415=C16415, "YES", "WRONG")</f>
        <v/>
      </c>
    </row>
    <row r="16416">
      <c r="A16416" t="n">
        <v>16415</v>
      </c>
      <c r="B16416" t="inlineStr">
        <is>
          <t>x̄V̅MCDXV</t>
        </is>
      </c>
      <c r="C16416">
        <f>ROMAN(16415)</f>
        <v/>
      </c>
      <c r="D16416">
        <f>IF(B16416=C16416, "YES", "WRONG")</f>
        <v/>
      </c>
    </row>
    <row r="16417">
      <c r="A16417" t="n">
        <v>16416</v>
      </c>
      <c r="B16417" t="inlineStr">
        <is>
          <t>x̄V̅MCDXVI</t>
        </is>
      </c>
      <c r="C16417">
        <f>ROMAN(16416)</f>
        <v/>
      </c>
      <c r="D16417">
        <f>IF(B16417=C16417, "YES", "WRONG")</f>
        <v/>
      </c>
    </row>
    <row r="16418">
      <c r="A16418" t="n">
        <v>16417</v>
      </c>
      <c r="B16418" t="inlineStr">
        <is>
          <t>x̄V̅MCDXVII</t>
        </is>
      </c>
      <c r="C16418">
        <f>ROMAN(16417)</f>
        <v/>
      </c>
      <c r="D16418">
        <f>IF(B16418=C16418, "YES", "WRONG")</f>
        <v/>
      </c>
    </row>
    <row r="16419">
      <c r="A16419" t="n">
        <v>16418</v>
      </c>
      <c r="B16419" t="inlineStr">
        <is>
          <t>x̄V̅MCDXVIII</t>
        </is>
      </c>
      <c r="C16419">
        <f>ROMAN(16418)</f>
        <v/>
      </c>
      <c r="D16419">
        <f>IF(B16419=C16419, "YES", "WRONG")</f>
        <v/>
      </c>
    </row>
    <row r="16420">
      <c r="A16420" t="n">
        <v>16419</v>
      </c>
      <c r="B16420" t="inlineStr">
        <is>
          <t>x̄V̅MCDXIX</t>
        </is>
      </c>
      <c r="C16420">
        <f>ROMAN(16419)</f>
        <v/>
      </c>
      <c r="D16420">
        <f>IF(B16420=C16420, "YES", "WRONG")</f>
        <v/>
      </c>
    </row>
    <row r="16421">
      <c r="A16421" t="n">
        <v>16420</v>
      </c>
      <c r="B16421" t="inlineStr">
        <is>
          <t>x̄V̅MCDXX</t>
        </is>
      </c>
      <c r="C16421">
        <f>ROMAN(16420)</f>
        <v/>
      </c>
      <c r="D16421">
        <f>IF(B16421=C16421, "YES", "WRONG")</f>
        <v/>
      </c>
    </row>
    <row r="16422">
      <c r="A16422" t="n">
        <v>16421</v>
      </c>
      <c r="B16422" t="inlineStr">
        <is>
          <t>x̄V̅MCDXXI</t>
        </is>
      </c>
      <c r="C16422">
        <f>ROMAN(16421)</f>
        <v/>
      </c>
      <c r="D16422">
        <f>IF(B16422=C16422, "YES", "WRONG")</f>
        <v/>
      </c>
    </row>
    <row r="16423">
      <c r="A16423" t="n">
        <v>16422</v>
      </c>
      <c r="B16423" t="inlineStr">
        <is>
          <t>x̄V̅MCDXXII</t>
        </is>
      </c>
      <c r="C16423">
        <f>ROMAN(16422)</f>
        <v/>
      </c>
      <c r="D16423">
        <f>IF(B16423=C16423, "YES", "WRONG")</f>
        <v/>
      </c>
    </row>
    <row r="16424">
      <c r="A16424" t="n">
        <v>16423</v>
      </c>
      <c r="B16424" t="inlineStr">
        <is>
          <t>x̄V̅MCDXXIII</t>
        </is>
      </c>
      <c r="C16424">
        <f>ROMAN(16423)</f>
        <v/>
      </c>
      <c r="D16424">
        <f>IF(B16424=C16424, "YES", "WRONG")</f>
        <v/>
      </c>
    </row>
    <row r="16425">
      <c r="A16425" t="n">
        <v>16424</v>
      </c>
      <c r="B16425" t="inlineStr">
        <is>
          <t>x̄V̅MCDXXIV</t>
        </is>
      </c>
      <c r="C16425">
        <f>ROMAN(16424)</f>
        <v/>
      </c>
      <c r="D16425">
        <f>IF(B16425=C16425, "YES", "WRONG")</f>
        <v/>
      </c>
    </row>
    <row r="16426">
      <c r="A16426" t="n">
        <v>16425</v>
      </c>
      <c r="B16426" t="inlineStr">
        <is>
          <t>x̄V̅MCDXXV</t>
        </is>
      </c>
      <c r="C16426">
        <f>ROMAN(16425)</f>
        <v/>
      </c>
      <c r="D16426">
        <f>IF(B16426=C16426, "YES", "WRONG")</f>
        <v/>
      </c>
    </row>
    <row r="16427">
      <c r="A16427" t="n">
        <v>16426</v>
      </c>
      <c r="B16427" t="inlineStr">
        <is>
          <t>x̄V̅MCDXXVI</t>
        </is>
      </c>
      <c r="C16427">
        <f>ROMAN(16426)</f>
        <v/>
      </c>
      <c r="D16427">
        <f>IF(B16427=C16427, "YES", "WRONG")</f>
        <v/>
      </c>
    </row>
    <row r="16428">
      <c r="A16428" t="n">
        <v>16427</v>
      </c>
      <c r="B16428" t="inlineStr">
        <is>
          <t>x̄V̅MCDXXVII</t>
        </is>
      </c>
      <c r="C16428">
        <f>ROMAN(16427)</f>
        <v/>
      </c>
      <c r="D16428">
        <f>IF(B16428=C16428, "YES", "WRONG")</f>
        <v/>
      </c>
    </row>
    <row r="16429">
      <c r="A16429" t="n">
        <v>16428</v>
      </c>
      <c r="B16429" t="inlineStr">
        <is>
          <t>x̄V̅MCDXXVIII</t>
        </is>
      </c>
      <c r="C16429">
        <f>ROMAN(16428)</f>
        <v/>
      </c>
      <c r="D16429">
        <f>IF(B16429=C16429, "YES", "WRONG")</f>
        <v/>
      </c>
    </row>
    <row r="16430">
      <c r="A16430" t="n">
        <v>16429</v>
      </c>
      <c r="B16430" t="inlineStr">
        <is>
          <t>x̄V̅MCDXXIX</t>
        </is>
      </c>
      <c r="C16430">
        <f>ROMAN(16429)</f>
        <v/>
      </c>
      <c r="D16430">
        <f>IF(B16430=C16430, "YES", "WRONG")</f>
        <v/>
      </c>
    </row>
    <row r="16431">
      <c r="A16431" t="n">
        <v>16430</v>
      </c>
      <c r="B16431" t="inlineStr">
        <is>
          <t>x̄V̅MCDXXX</t>
        </is>
      </c>
      <c r="C16431">
        <f>ROMAN(16430)</f>
        <v/>
      </c>
      <c r="D16431">
        <f>IF(B16431=C16431, "YES", "WRONG")</f>
        <v/>
      </c>
    </row>
    <row r="16432">
      <c r="A16432" t="n">
        <v>16431</v>
      </c>
      <c r="B16432" t="inlineStr">
        <is>
          <t>x̄V̅MCDXXXI</t>
        </is>
      </c>
      <c r="C16432">
        <f>ROMAN(16431)</f>
        <v/>
      </c>
      <c r="D16432">
        <f>IF(B16432=C16432, "YES", "WRONG")</f>
        <v/>
      </c>
    </row>
    <row r="16433">
      <c r="A16433" t="n">
        <v>16432</v>
      </c>
      <c r="B16433" t="inlineStr">
        <is>
          <t>x̄V̅MCDXXXII</t>
        </is>
      </c>
      <c r="C16433">
        <f>ROMAN(16432)</f>
        <v/>
      </c>
      <c r="D16433">
        <f>IF(B16433=C16433, "YES", "WRONG")</f>
        <v/>
      </c>
    </row>
    <row r="16434">
      <c r="A16434" t="n">
        <v>16433</v>
      </c>
      <c r="B16434" t="inlineStr">
        <is>
          <t>x̄V̅MCDXXXIII</t>
        </is>
      </c>
      <c r="C16434">
        <f>ROMAN(16433)</f>
        <v/>
      </c>
      <c r="D16434">
        <f>IF(B16434=C16434, "YES", "WRONG")</f>
        <v/>
      </c>
    </row>
    <row r="16435">
      <c r="A16435" t="n">
        <v>16434</v>
      </c>
      <c r="B16435" t="inlineStr">
        <is>
          <t>x̄V̅MCDXXXIV</t>
        </is>
      </c>
      <c r="C16435">
        <f>ROMAN(16434)</f>
        <v/>
      </c>
      <c r="D16435">
        <f>IF(B16435=C16435, "YES", "WRONG")</f>
        <v/>
      </c>
    </row>
    <row r="16436">
      <c r="A16436" t="n">
        <v>16435</v>
      </c>
      <c r="B16436" t="inlineStr">
        <is>
          <t>x̄V̅MCDXXXV</t>
        </is>
      </c>
      <c r="C16436">
        <f>ROMAN(16435)</f>
        <v/>
      </c>
      <c r="D16436">
        <f>IF(B16436=C16436, "YES", "WRONG")</f>
        <v/>
      </c>
    </row>
    <row r="16437">
      <c r="A16437" t="n">
        <v>16436</v>
      </c>
      <c r="B16437" t="inlineStr">
        <is>
          <t>x̄V̅MCDXXXVI</t>
        </is>
      </c>
      <c r="C16437">
        <f>ROMAN(16436)</f>
        <v/>
      </c>
      <c r="D16437">
        <f>IF(B16437=C16437, "YES", "WRONG")</f>
        <v/>
      </c>
    </row>
    <row r="16438">
      <c r="A16438" t="n">
        <v>16437</v>
      </c>
      <c r="B16438" t="inlineStr">
        <is>
          <t>x̄V̅MCDXXXVII</t>
        </is>
      </c>
      <c r="C16438">
        <f>ROMAN(16437)</f>
        <v/>
      </c>
      <c r="D16438">
        <f>IF(B16438=C16438, "YES", "WRONG")</f>
        <v/>
      </c>
    </row>
    <row r="16439">
      <c r="A16439" t="n">
        <v>16438</v>
      </c>
      <c r="B16439" t="inlineStr">
        <is>
          <t>x̄V̅MCDXXXVIII</t>
        </is>
      </c>
      <c r="C16439">
        <f>ROMAN(16438)</f>
        <v/>
      </c>
      <c r="D16439">
        <f>IF(B16439=C16439, "YES", "WRONG")</f>
        <v/>
      </c>
    </row>
    <row r="16440">
      <c r="A16440" t="n">
        <v>16439</v>
      </c>
      <c r="B16440" t="inlineStr">
        <is>
          <t>x̄V̅MCDXXXIX</t>
        </is>
      </c>
      <c r="C16440">
        <f>ROMAN(16439)</f>
        <v/>
      </c>
      <c r="D16440">
        <f>IF(B16440=C16440, "YES", "WRONG")</f>
        <v/>
      </c>
    </row>
    <row r="16441">
      <c r="A16441" t="n">
        <v>16440</v>
      </c>
      <c r="B16441" t="inlineStr">
        <is>
          <t>x̄V̅MCDXL</t>
        </is>
      </c>
      <c r="C16441">
        <f>ROMAN(16440)</f>
        <v/>
      </c>
      <c r="D16441">
        <f>IF(B16441=C16441, "YES", "WRONG")</f>
        <v/>
      </c>
    </row>
    <row r="16442">
      <c r="A16442" t="n">
        <v>16441</v>
      </c>
      <c r="B16442" t="inlineStr">
        <is>
          <t>x̄V̅MCDXLI</t>
        </is>
      </c>
      <c r="C16442">
        <f>ROMAN(16441)</f>
        <v/>
      </c>
      <c r="D16442">
        <f>IF(B16442=C16442, "YES", "WRONG")</f>
        <v/>
      </c>
    </row>
    <row r="16443">
      <c r="A16443" t="n">
        <v>16442</v>
      </c>
      <c r="B16443" t="inlineStr">
        <is>
          <t>x̄V̅MCDXLII</t>
        </is>
      </c>
      <c r="C16443">
        <f>ROMAN(16442)</f>
        <v/>
      </c>
      <c r="D16443">
        <f>IF(B16443=C16443, "YES", "WRONG")</f>
        <v/>
      </c>
    </row>
    <row r="16444">
      <c r="A16444" t="n">
        <v>16443</v>
      </c>
      <c r="B16444" t="inlineStr">
        <is>
          <t>x̄V̅MCDXLIII</t>
        </is>
      </c>
      <c r="C16444">
        <f>ROMAN(16443)</f>
        <v/>
      </c>
      <c r="D16444">
        <f>IF(B16444=C16444, "YES", "WRONG")</f>
        <v/>
      </c>
    </row>
    <row r="16445">
      <c r="A16445" t="n">
        <v>16444</v>
      </c>
      <c r="B16445" t="inlineStr">
        <is>
          <t>x̄V̅MCDXLIV</t>
        </is>
      </c>
      <c r="C16445">
        <f>ROMAN(16444)</f>
        <v/>
      </c>
      <c r="D16445">
        <f>IF(B16445=C16445, "YES", "WRONG")</f>
        <v/>
      </c>
    </row>
    <row r="16446">
      <c r="A16446" t="n">
        <v>16445</v>
      </c>
      <c r="B16446" t="inlineStr">
        <is>
          <t>x̄V̅MCDXLV</t>
        </is>
      </c>
      <c r="C16446">
        <f>ROMAN(16445)</f>
        <v/>
      </c>
      <c r="D16446">
        <f>IF(B16446=C16446, "YES", "WRONG")</f>
        <v/>
      </c>
    </row>
    <row r="16447">
      <c r="A16447" t="n">
        <v>16446</v>
      </c>
      <c r="B16447" t="inlineStr">
        <is>
          <t>x̄V̅MCDXLVI</t>
        </is>
      </c>
      <c r="C16447">
        <f>ROMAN(16446)</f>
        <v/>
      </c>
      <c r="D16447">
        <f>IF(B16447=C16447, "YES", "WRONG")</f>
        <v/>
      </c>
    </row>
    <row r="16448">
      <c r="A16448" t="n">
        <v>16447</v>
      </c>
      <c r="B16448" t="inlineStr">
        <is>
          <t>x̄V̅MCDXLVII</t>
        </is>
      </c>
      <c r="C16448">
        <f>ROMAN(16447)</f>
        <v/>
      </c>
      <c r="D16448">
        <f>IF(B16448=C16448, "YES", "WRONG")</f>
        <v/>
      </c>
    </row>
    <row r="16449">
      <c r="A16449" t="n">
        <v>16448</v>
      </c>
      <c r="B16449" t="inlineStr">
        <is>
          <t>x̄V̅MCDXLVIII</t>
        </is>
      </c>
      <c r="C16449">
        <f>ROMAN(16448)</f>
        <v/>
      </c>
      <c r="D16449">
        <f>IF(B16449=C16449, "YES", "WRONG")</f>
        <v/>
      </c>
    </row>
    <row r="16450">
      <c r="A16450" t="n">
        <v>16449</v>
      </c>
      <c r="B16450" t="inlineStr">
        <is>
          <t>x̄V̅MCDXLIX</t>
        </is>
      </c>
      <c r="C16450">
        <f>ROMAN(16449)</f>
        <v/>
      </c>
      <c r="D16450">
        <f>IF(B16450=C16450, "YES", "WRONG")</f>
        <v/>
      </c>
    </row>
    <row r="16451">
      <c r="A16451" t="n">
        <v>16450</v>
      </c>
      <c r="B16451" t="inlineStr">
        <is>
          <t>x̄V̅MCDL</t>
        </is>
      </c>
      <c r="C16451">
        <f>ROMAN(16450)</f>
        <v/>
      </c>
      <c r="D16451">
        <f>IF(B16451=C16451, "YES", "WRONG")</f>
        <v/>
      </c>
    </row>
    <row r="16452">
      <c r="A16452" t="n">
        <v>16451</v>
      </c>
      <c r="B16452" t="inlineStr">
        <is>
          <t>x̄V̅MCDLI</t>
        </is>
      </c>
      <c r="C16452">
        <f>ROMAN(16451)</f>
        <v/>
      </c>
      <c r="D16452">
        <f>IF(B16452=C16452, "YES", "WRONG")</f>
        <v/>
      </c>
    </row>
    <row r="16453">
      <c r="A16453" t="n">
        <v>16452</v>
      </c>
      <c r="B16453" t="inlineStr">
        <is>
          <t>x̄V̅MCDLII</t>
        </is>
      </c>
      <c r="C16453">
        <f>ROMAN(16452)</f>
        <v/>
      </c>
      <c r="D16453">
        <f>IF(B16453=C16453, "YES", "WRONG")</f>
        <v/>
      </c>
    </row>
    <row r="16454">
      <c r="A16454" t="n">
        <v>16453</v>
      </c>
      <c r="B16454" t="inlineStr">
        <is>
          <t>x̄V̅MCDLIII</t>
        </is>
      </c>
      <c r="C16454">
        <f>ROMAN(16453)</f>
        <v/>
      </c>
      <c r="D16454">
        <f>IF(B16454=C16454, "YES", "WRONG")</f>
        <v/>
      </c>
    </row>
    <row r="16455">
      <c r="A16455" t="n">
        <v>16454</v>
      </c>
      <c r="B16455" t="inlineStr">
        <is>
          <t>x̄V̅MCDLIV</t>
        </is>
      </c>
      <c r="C16455">
        <f>ROMAN(16454)</f>
        <v/>
      </c>
      <c r="D16455">
        <f>IF(B16455=C16455, "YES", "WRONG")</f>
        <v/>
      </c>
    </row>
    <row r="16456">
      <c r="A16456" t="n">
        <v>16455</v>
      </c>
      <c r="B16456" t="inlineStr">
        <is>
          <t>x̄V̅MCDLV</t>
        </is>
      </c>
      <c r="C16456">
        <f>ROMAN(16455)</f>
        <v/>
      </c>
      <c r="D16456">
        <f>IF(B16456=C16456, "YES", "WRONG")</f>
        <v/>
      </c>
    </row>
    <row r="16457">
      <c r="A16457" t="n">
        <v>16456</v>
      </c>
      <c r="B16457" t="inlineStr">
        <is>
          <t>x̄V̅MCDLVI</t>
        </is>
      </c>
      <c r="C16457">
        <f>ROMAN(16456)</f>
        <v/>
      </c>
      <c r="D16457">
        <f>IF(B16457=C16457, "YES", "WRONG")</f>
        <v/>
      </c>
    </row>
    <row r="16458">
      <c r="A16458" t="n">
        <v>16457</v>
      </c>
      <c r="B16458" t="inlineStr">
        <is>
          <t>x̄V̅MCDLVII</t>
        </is>
      </c>
      <c r="C16458">
        <f>ROMAN(16457)</f>
        <v/>
      </c>
      <c r="D16458">
        <f>IF(B16458=C16458, "YES", "WRONG")</f>
        <v/>
      </c>
    </row>
    <row r="16459">
      <c r="A16459" t="n">
        <v>16458</v>
      </c>
      <c r="B16459" t="inlineStr">
        <is>
          <t>x̄V̅MCDLVIII</t>
        </is>
      </c>
      <c r="C16459">
        <f>ROMAN(16458)</f>
        <v/>
      </c>
      <c r="D16459">
        <f>IF(B16459=C16459, "YES", "WRONG")</f>
        <v/>
      </c>
    </row>
    <row r="16460">
      <c r="A16460" t="n">
        <v>16459</v>
      </c>
      <c r="B16460" t="inlineStr">
        <is>
          <t>x̄V̅MCDLIX</t>
        </is>
      </c>
      <c r="C16460">
        <f>ROMAN(16459)</f>
        <v/>
      </c>
      <c r="D16460">
        <f>IF(B16460=C16460, "YES", "WRONG")</f>
        <v/>
      </c>
    </row>
    <row r="16461">
      <c r="A16461" t="n">
        <v>16460</v>
      </c>
      <c r="B16461" t="inlineStr">
        <is>
          <t>x̄V̅MCDLX</t>
        </is>
      </c>
      <c r="C16461">
        <f>ROMAN(16460)</f>
        <v/>
      </c>
      <c r="D16461">
        <f>IF(B16461=C16461, "YES", "WRONG")</f>
        <v/>
      </c>
    </row>
    <row r="16462">
      <c r="A16462" t="n">
        <v>16461</v>
      </c>
      <c r="B16462" t="inlineStr">
        <is>
          <t>x̄V̅MCDLXI</t>
        </is>
      </c>
      <c r="C16462">
        <f>ROMAN(16461)</f>
        <v/>
      </c>
      <c r="D16462">
        <f>IF(B16462=C16462, "YES", "WRONG")</f>
        <v/>
      </c>
    </row>
    <row r="16463">
      <c r="A16463" t="n">
        <v>16462</v>
      </c>
      <c r="B16463" t="inlineStr">
        <is>
          <t>x̄V̅MCDLXII</t>
        </is>
      </c>
      <c r="C16463">
        <f>ROMAN(16462)</f>
        <v/>
      </c>
      <c r="D16463">
        <f>IF(B16463=C16463, "YES", "WRONG")</f>
        <v/>
      </c>
    </row>
    <row r="16464">
      <c r="A16464" t="n">
        <v>16463</v>
      </c>
      <c r="B16464" t="inlineStr">
        <is>
          <t>x̄V̅MCDLXIII</t>
        </is>
      </c>
      <c r="C16464">
        <f>ROMAN(16463)</f>
        <v/>
      </c>
      <c r="D16464">
        <f>IF(B16464=C16464, "YES", "WRONG")</f>
        <v/>
      </c>
    </row>
    <row r="16465">
      <c r="A16465" t="n">
        <v>16464</v>
      </c>
      <c r="B16465" t="inlineStr">
        <is>
          <t>x̄V̅MCDLXIV</t>
        </is>
      </c>
      <c r="C16465">
        <f>ROMAN(16464)</f>
        <v/>
      </c>
      <c r="D16465">
        <f>IF(B16465=C16465, "YES", "WRONG")</f>
        <v/>
      </c>
    </row>
    <row r="16466">
      <c r="A16466" t="n">
        <v>16465</v>
      </c>
      <c r="B16466" t="inlineStr">
        <is>
          <t>x̄V̅MCDLXV</t>
        </is>
      </c>
      <c r="C16466">
        <f>ROMAN(16465)</f>
        <v/>
      </c>
      <c r="D16466">
        <f>IF(B16466=C16466, "YES", "WRONG")</f>
        <v/>
      </c>
    </row>
    <row r="16467">
      <c r="A16467" t="n">
        <v>16466</v>
      </c>
      <c r="B16467" t="inlineStr">
        <is>
          <t>x̄V̅MCDLXVI</t>
        </is>
      </c>
      <c r="C16467">
        <f>ROMAN(16466)</f>
        <v/>
      </c>
      <c r="D16467">
        <f>IF(B16467=C16467, "YES", "WRONG")</f>
        <v/>
      </c>
    </row>
    <row r="16468">
      <c r="A16468" t="n">
        <v>16467</v>
      </c>
      <c r="B16468" t="inlineStr">
        <is>
          <t>x̄V̅MCDLXVII</t>
        </is>
      </c>
      <c r="C16468">
        <f>ROMAN(16467)</f>
        <v/>
      </c>
      <c r="D16468">
        <f>IF(B16468=C16468, "YES", "WRONG")</f>
        <v/>
      </c>
    </row>
    <row r="16469">
      <c r="A16469" t="n">
        <v>16468</v>
      </c>
      <c r="B16469" t="inlineStr">
        <is>
          <t>x̄V̅MCDLXVIII</t>
        </is>
      </c>
      <c r="C16469">
        <f>ROMAN(16468)</f>
        <v/>
      </c>
      <c r="D16469">
        <f>IF(B16469=C16469, "YES", "WRONG")</f>
        <v/>
      </c>
    </row>
    <row r="16470">
      <c r="A16470" t="n">
        <v>16469</v>
      </c>
      <c r="B16470" t="inlineStr">
        <is>
          <t>x̄V̅MCDLXIX</t>
        </is>
      </c>
      <c r="C16470">
        <f>ROMAN(16469)</f>
        <v/>
      </c>
      <c r="D16470">
        <f>IF(B16470=C16470, "YES", "WRONG")</f>
        <v/>
      </c>
    </row>
    <row r="16471">
      <c r="A16471" t="n">
        <v>16470</v>
      </c>
      <c r="B16471" t="inlineStr">
        <is>
          <t>x̄V̅MCDLXX</t>
        </is>
      </c>
      <c r="C16471">
        <f>ROMAN(16470)</f>
        <v/>
      </c>
      <c r="D16471">
        <f>IF(B16471=C16471, "YES", "WRONG")</f>
        <v/>
      </c>
    </row>
    <row r="16472">
      <c r="A16472" t="n">
        <v>16471</v>
      </c>
      <c r="B16472" t="inlineStr">
        <is>
          <t>x̄V̅MCDLXXI</t>
        </is>
      </c>
      <c r="C16472">
        <f>ROMAN(16471)</f>
        <v/>
      </c>
      <c r="D16472">
        <f>IF(B16472=C16472, "YES", "WRONG")</f>
        <v/>
      </c>
    </row>
    <row r="16473">
      <c r="A16473" t="n">
        <v>16472</v>
      </c>
      <c r="B16473" t="inlineStr">
        <is>
          <t>x̄V̅MCDLXXII</t>
        </is>
      </c>
      <c r="C16473">
        <f>ROMAN(16472)</f>
        <v/>
      </c>
      <c r="D16473">
        <f>IF(B16473=C16473, "YES", "WRONG")</f>
        <v/>
      </c>
    </row>
    <row r="16474">
      <c r="A16474" t="n">
        <v>16473</v>
      </c>
      <c r="B16474" t="inlineStr">
        <is>
          <t>x̄V̅MCDLXXIII</t>
        </is>
      </c>
      <c r="C16474">
        <f>ROMAN(16473)</f>
        <v/>
      </c>
      <c r="D16474">
        <f>IF(B16474=C16474, "YES", "WRONG")</f>
        <v/>
      </c>
    </row>
    <row r="16475">
      <c r="A16475" t="n">
        <v>16474</v>
      </c>
      <c r="B16475" t="inlineStr">
        <is>
          <t>x̄V̅MCDLXXIV</t>
        </is>
      </c>
      <c r="C16475">
        <f>ROMAN(16474)</f>
        <v/>
      </c>
      <c r="D16475">
        <f>IF(B16475=C16475, "YES", "WRONG")</f>
        <v/>
      </c>
    </row>
    <row r="16476">
      <c r="A16476" t="n">
        <v>16475</v>
      </c>
      <c r="B16476" t="inlineStr">
        <is>
          <t>x̄V̅MCDLXXV</t>
        </is>
      </c>
      <c r="C16476">
        <f>ROMAN(16475)</f>
        <v/>
      </c>
      <c r="D16476">
        <f>IF(B16476=C16476, "YES", "WRONG")</f>
        <v/>
      </c>
    </row>
    <row r="16477">
      <c r="A16477" t="n">
        <v>16476</v>
      </c>
      <c r="B16477" t="inlineStr">
        <is>
          <t>x̄V̅MCDLXXVI</t>
        </is>
      </c>
      <c r="C16477">
        <f>ROMAN(16476)</f>
        <v/>
      </c>
      <c r="D16477">
        <f>IF(B16477=C16477, "YES", "WRONG")</f>
        <v/>
      </c>
    </row>
    <row r="16478">
      <c r="A16478" t="n">
        <v>16477</v>
      </c>
      <c r="B16478" t="inlineStr">
        <is>
          <t>x̄V̅MCDLXXVII</t>
        </is>
      </c>
      <c r="C16478">
        <f>ROMAN(16477)</f>
        <v/>
      </c>
      <c r="D16478">
        <f>IF(B16478=C16478, "YES", "WRONG")</f>
        <v/>
      </c>
    </row>
    <row r="16479">
      <c r="A16479" t="n">
        <v>16478</v>
      </c>
      <c r="B16479" t="inlineStr">
        <is>
          <t>x̄V̅MCDLXXVIII</t>
        </is>
      </c>
      <c r="C16479">
        <f>ROMAN(16478)</f>
        <v/>
      </c>
      <c r="D16479">
        <f>IF(B16479=C16479, "YES", "WRONG")</f>
        <v/>
      </c>
    </row>
    <row r="16480">
      <c r="A16480" t="n">
        <v>16479</v>
      </c>
      <c r="B16480" t="inlineStr">
        <is>
          <t>x̄V̅MCDLXXIX</t>
        </is>
      </c>
      <c r="C16480">
        <f>ROMAN(16479)</f>
        <v/>
      </c>
      <c r="D16480">
        <f>IF(B16480=C16480, "YES", "WRONG")</f>
        <v/>
      </c>
    </row>
    <row r="16481">
      <c r="A16481" t="n">
        <v>16480</v>
      </c>
      <c r="B16481" t="inlineStr">
        <is>
          <t>x̄V̅MCDLXXX</t>
        </is>
      </c>
      <c r="C16481">
        <f>ROMAN(16480)</f>
        <v/>
      </c>
      <c r="D16481">
        <f>IF(B16481=C16481, "YES", "WRONG")</f>
        <v/>
      </c>
    </row>
    <row r="16482">
      <c r="A16482" t="n">
        <v>16481</v>
      </c>
      <c r="B16482" t="inlineStr">
        <is>
          <t>x̄V̅MCDLXXXI</t>
        </is>
      </c>
      <c r="C16482">
        <f>ROMAN(16481)</f>
        <v/>
      </c>
      <c r="D16482">
        <f>IF(B16482=C16482, "YES", "WRONG")</f>
        <v/>
      </c>
    </row>
    <row r="16483">
      <c r="A16483" t="n">
        <v>16482</v>
      </c>
      <c r="B16483" t="inlineStr">
        <is>
          <t>x̄V̅MCDLXXXII</t>
        </is>
      </c>
      <c r="C16483">
        <f>ROMAN(16482)</f>
        <v/>
      </c>
      <c r="D16483">
        <f>IF(B16483=C16483, "YES", "WRONG")</f>
        <v/>
      </c>
    </row>
    <row r="16484">
      <c r="A16484" t="n">
        <v>16483</v>
      </c>
      <c r="B16484" t="inlineStr">
        <is>
          <t>x̄V̅MCDLXXXIII</t>
        </is>
      </c>
      <c r="C16484">
        <f>ROMAN(16483)</f>
        <v/>
      </c>
      <c r="D16484">
        <f>IF(B16484=C16484, "YES", "WRONG")</f>
        <v/>
      </c>
    </row>
    <row r="16485">
      <c r="A16485" t="n">
        <v>16484</v>
      </c>
      <c r="B16485" t="inlineStr">
        <is>
          <t>x̄V̅MCDLXXXIV</t>
        </is>
      </c>
      <c r="C16485">
        <f>ROMAN(16484)</f>
        <v/>
      </c>
      <c r="D16485">
        <f>IF(B16485=C16485, "YES", "WRONG")</f>
        <v/>
      </c>
    </row>
    <row r="16486">
      <c r="A16486" t="n">
        <v>16485</v>
      </c>
      <c r="B16486" t="inlineStr">
        <is>
          <t>x̄V̅MCDLXXXV</t>
        </is>
      </c>
      <c r="C16486">
        <f>ROMAN(16485)</f>
        <v/>
      </c>
      <c r="D16486">
        <f>IF(B16486=C16486, "YES", "WRONG")</f>
        <v/>
      </c>
    </row>
    <row r="16487">
      <c r="A16487" t="n">
        <v>16486</v>
      </c>
      <c r="B16487" t="inlineStr">
        <is>
          <t>x̄V̅MCDLXXXVI</t>
        </is>
      </c>
      <c r="C16487">
        <f>ROMAN(16486)</f>
        <v/>
      </c>
      <c r="D16487">
        <f>IF(B16487=C16487, "YES", "WRONG")</f>
        <v/>
      </c>
    </row>
    <row r="16488">
      <c r="A16488" t="n">
        <v>16487</v>
      </c>
      <c r="B16488" t="inlineStr">
        <is>
          <t>x̄V̅MCDLXXXVII</t>
        </is>
      </c>
      <c r="C16488">
        <f>ROMAN(16487)</f>
        <v/>
      </c>
      <c r="D16488">
        <f>IF(B16488=C16488, "YES", "WRONG")</f>
        <v/>
      </c>
    </row>
    <row r="16489">
      <c r="A16489" t="n">
        <v>16488</v>
      </c>
      <c r="B16489" t="inlineStr">
        <is>
          <t>x̄V̅MCDLXXXVIII</t>
        </is>
      </c>
      <c r="C16489">
        <f>ROMAN(16488)</f>
        <v/>
      </c>
      <c r="D16489">
        <f>IF(B16489=C16489, "YES", "WRONG")</f>
        <v/>
      </c>
    </row>
    <row r="16490">
      <c r="A16490" t="n">
        <v>16489</v>
      </c>
      <c r="B16490" t="inlineStr">
        <is>
          <t>x̄V̅MCDLXXXIX</t>
        </is>
      </c>
      <c r="C16490">
        <f>ROMAN(16489)</f>
        <v/>
      </c>
      <c r="D16490">
        <f>IF(B16490=C16490, "YES", "WRONG")</f>
        <v/>
      </c>
    </row>
    <row r="16491">
      <c r="A16491" t="n">
        <v>16490</v>
      </c>
      <c r="B16491" t="inlineStr">
        <is>
          <t>x̄V̅MCDXC</t>
        </is>
      </c>
      <c r="C16491">
        <f>ROMAN(16490)</f>
        <v/>
      </c>
      <c r="D16491">
        <f>IF(B16491=C16491, "YES", "WRONG")</f>
        <v/>
      </c>
    </row>
    <row r="16492">
      <c r="A16492" t="n">
        <v>16491</v>
      </c>
      <c r="B16492" t="inlineStr">
        <is>
          <t>x̄V̅MCDXCI</t>
        </is>
      </c>
      <c r="C16492">
        <f>ROMAN(16491)</f>
        <v/>
      </c>
      <c r="D16492">
        <f>IF(B16492=C16492, "YES", "WRONG")</f>
        <v/>
      </c>
    </row>
    <row r="16493">
      <c r="A16493" t="n">
        <v>16492</v>
      </c>
      <c r="B16493" t="inlineStr">
        <is>
          <t>x̄V̅MCDXCII</t>
        </is>
      </c>
      <c r="C16493">
        <f>ROMAN(16492)</f>
        <v/>
      </c>
      <c r="D16493">
        <f>IF(B16493=C16493, "YES", "WRONG")</f>
        <v/>
      </c>
    </row>
    <row r="16494">
      <c r="A16494" t="n">
        <v>16493</v>
      </c>
      <c r="B16494" t="inlineStr">
        <is>
          <t>x̄V̅MCDXCIII</t>
        </is>
      </c>
      <c r="C16494">
        <f>ROMAN(16493)</f>
        <v/>
      </c>
      <c r="D16494">
        <f>IF(B16494=C16494, "YES", "WRONG")</f>
        <v/>
      </c>
    </row>
    <row r="16495">
      <c r="A16495" t="n">
        <v>16494</v>
      </c>
      <c r="B16495" t="inlineStr">
        <is>
          <t>x̄V̅MCDXCIV</t>
        </is>
      </c>
      <c r="C16495">
        <f>ROMAN(16494)</f>
        <v/>
      </c>
      <c r="D16495">
        <f>IF(B16495=C16495, "YES", "WRONG")</f>
        <v/>
      </c>
    </row>
    <row r="16496">
      <c r="A16496" t="n">
        <v>16495</v>
      </c>
      <c r="B16496" t="inlineStr">
        <is>
          <t>x̄V̅MCDXCV</t>
        </is>
      </c>
      <c r="C16496">
        <f>ROMAN(16495)</f>
        <v/>
      </c>
      <c r="D16496">
        <f>IF(B16496=C16496, "YES", "WRONG")</f>
        <v/>
      </c>
    </row>
    <row r="16497">
      <c r="A16497" t="n">
        <v>16496</v>
      </c>
      <c r="B16497" t="inlineStr">
        <is>
          <t>x̄V̅MCDXCVI</t>
        </is>
      </c>
      <c r="C16497">
        <f>ROMAN(16496)</f>
        <v/>
      </c>
      <c r="D16497">
        <f>IF(B16497=C16497, "YES", "WRONG")</f>
        <v/>
      </c>
    </row>
    <row r="16498">
      <c r="A16498" t="n">
        <v>16497</v>
      </c>
      <c r="B16498" t="inlineStr">
        <is>
          <t>x̄V̅MCDXCVII</t>
        </is>
      </c>
      <c r="C16498">
        <f>ROMAN(16497)</f>
        <v/>
      </c>
      <c r="D16498">
        <f>IF(B16498=C16498, "YES", "WRONG")</f>
        <v/>
      </c>
    </row>
    <row r="16499">
      <c r="A16499" t="n">
        <v>16498</v>
      </c>
      <c r="B16499" t="inlineStr">
        <is>
          <t>x̄V̅MCDXCVIII</t>
        </is>
      </c>
      <c r="C16499">
        <f>ROMAN(16498)</f>
        <v/>
      </c>
      <c r="D16499">
        <f>IF(B16499=C16499, "YES", "WRONG")</f>
        <v/>
      </c>
    </row>
    <row r="16500">
      <c r="A16500" t="n">
        <v>16499</v>
      </c>
      <c r="B16500" t="inlineStr">
        <is>
          <t>x̄V̅MCDXCIX</t>
        </is>
      </c>
      <c r="C16500">
        <f>ROMAN(16499)</f>
        <v/>
      </c>
      <c r="D16500">
        <f>IF(B16500=C16500, "YES", "WRONG")</f>
        <v/>
      </c>
    </row>
    <row r="16501">
      <c r="A16501" t="n">
        <v>16500</v>
      </c>
      <c r="B16501" t="inlineStr">
        <is>
          <t>x̄V̅MD</t>
        </is>
      </c>
      <c r="C16501">
        <f>ROMAN(16500)</f>
        <v/>
      </c>
      <c r="D16501">
        <f>IF(B16501=C16501, "YES", "WRONG")</f>
        <v/>
      </c>
    </row>
    <row r="16502">
      <c r="A16502" t="n">
        <v>16501</v>
      </c>
      <c r="B16502" t="inlineStr">
        <is>
          <t>x̄V̅MDI</t>
        </is>
      </c>
      <c r="C16502">
        <f>ROMAN(16501)</f>
        <v/>
      </c>
      <c r="D16502">
        <f>IF(B16502=C16502, "YES", "WRONG")</f>
        <v/>
      </c>
    </row>
    <row r="16503">
      <c r="A16503" t="n">
        <v>16502</v>
      </c>
      <c r="B16503" t="inlineStr">
        <is>
          <t>x̄V̅MDII</t>
        </is>
      </c>
      <c r="C16503">
        <f>ROMAN(16502)</f>
        <v/>
      </c>
      <c r="D16503">
        <f>IF(B16503=C16503, "YES", "WRONG")</f>
        <v/>
      </c>
    </row>
    <row r="16504">
      <c r="A16504" t="n">
        <v>16503</v>
      </c>
      <c r="B16504" t="inlineStr">
        <is>
          <t>x̄V̅MDIII</t>
        </is>
      </c>
      <c r="C16504">
        <f>ROMAN(16503)</f>
        <v/>
      </c>
      <c r="D16504">
        <f>IF(B16504=C16504, "YES", "WRONG")</f>
        <v/>
      </c>
    </row>
    <row r="16505">
      <c r="A16505" t="n">
        <v>16504</v>
      </c>
      <c r="B16505" t="inlineStr">
        <is>
          <t>x̄V̅MDIV</t>
        </is>
      </c>
      <c r="C16505">
        <f>ROMAN(16504)</f>
        <v/>
      </c>
      <c r="D16505">
        <f>IF(B16505=C16505, "YES", "WRONG")</f>
        <v/>
      </c>
    </row>
    <row r="16506">
      <c r="A16506" t="n">
        <v>16505</v>
      </c>
      <c r="B16506" t="inlineStr">
        <is>
          <t>x̄V̅MDV</t>
        </is>
      </c>
      <c r="C16506">
        <f>ROMAN(16505)</f>
        <v/>
      </c>
      <c r="D16506">
        <f>IF(B16506=C16506, "YES", "WRONG")</f>
        <v/>
      </c>
    </row>
    <row r="16507">
      <c r="A16507" t="n">
        <v>16506</v>
      </c>
      <c r="B16507" t="inlineStr">
        <is>
          <t>x̄V̅MDVI</t>
        </is>
      </c>
      <c r="C16507">
        <f>ROMAN(16506)</f>
        <v/>
      </c>
      <c r="D16507">
        <f>IF(B16507=C16507, "YES", "WRONG")</f>
        <v/>
      </c>
    </row>
    <row r="16508">
      <c r="A16508" t="n">
        <v>16507</v>
      </c>
      <c r="B16508" t="inlineStr">
        <is>
          <t>x̄V̅MDVII</t>
        </is>
      </c>
      <c r="C16508">
        <f>ROMAN(16507)</f>
        <v/>
      </c>
      <c r="D16508">
        <f>IF(B16508=C16508, "YES", "WRONG")</f>
        <v/>
      </c>
    </row>
    <row r="16509">
      <c r="A16509" t="n">
        <v>16508</v>
      </c>
      <c r="B16509" t="inlineStr">
        <is>
          <t>x̄V̅MDVIII</t>
        </is>
      </c>
      <c r="C16509">
        <f>ROMAN(16508)</f>
        <v/>
      </c>
      <c r="D16509">
        <f>IF(B16509=C16509, "YES", "WRONG")</f>
        <v/>
      </c>
    </row>
    <row r="16510">
      <c r="A16510" t="n">
        <v>16509</v>
      </c>
      <c r="B16510" t="inlineStr">
        <is>
          <t>x̄V̅MDIX</t>
        </is>
      </c>
      <c r="C16510">
        <f>ROMAN(16509)</f>
        <v/>
      </c>
      <c r="D16510">
        <f>IF(B16510=C16510, "YES", "WRONG")</f>
        <v/>
      </c>
    </row>
    <row r="16511">
      <c r="A16511" t="n">
        <v>16510</v>
      </c>
      <c r="B16511" t="inlineStr">
        <is>
          <t>x̄V̅MDX</t>
        </is>
      </c>
      <c r="C16511">
        <f>ROMAN(16510)</f>
        <v/>
      </c>
      <c r="D16511">
        <f>IF(B16511=C16511, "YES", "WRONG")</f>
        <v/>
      </c>
    </row>
    <row r="16512">
      <c r="A16512" t="n">
        <v>16511</v>
      </c>
      <c r="B16512" t="inlineStr">
        <is>
          <t>x̄V̅MDXI</t>
        </is>
      </c>
      <c r="C16512">
        <f>ROMAN(16511)</f>
        <v/>
      </c>
      <c r="D16512">
        <f>IF(B16512=C16512, "YES", "WRONG")</f>
        <v/>
      </c>
    </row>
    <row r="16513">
      <c r="A16513" t="n">
        <v>16512</v>
      </c>
      <c r="B16513" t="inlineStr">
        <is>
          <t>x̄V̅MDXII</t>
        </is>
      </c>
      <c r="C16513">
        <f>ROMAN(16512)</f>
        <v/>
      </c>
      <c r="D16513">
        <f>IF(B16513=C16513, "YES", "WRONG")</f>
        <v/>
      </c>
    </row>
    <row r="16514">
      <c r="A16514" t="n">
        <v>16513</v>
      </c>
      <c r="B16514" t="inlineStr">
        <is>
          <t>x̄V̅MDXIII</t>
        </is>
      </c>
      <c r="C16514">
        <f>ROMAN(16513)</f>
        <v/>
      </c>
      <c r="D16514">
        <f>IF(B16514=C16514, "YES", "WRONG")</f>
        <v/>
      </c>
    </row>
    <row r="16515">
      <c r="A16515" t="n">
        <v>16514</v>
      </c>
      <c r="B16515" t="inlineStr">
        <is>
          <t>x̄V̅MDXIV</t>
        </is>
      </c>
      <c r="C16515">
        <f>ROMAN(16514)</f>
        <v/>
      </c>
      <c r="D16515">
        <f>IF(B16515=C16515, "YES", "WRONG")</f>
        <v/>
      </c>
    </row>
    <row r="16516">
      <c r="A16516" t="n">
        <v>16515</v>
      </c>
      <c r="B16516" t="inlineStr">
        <is>
          <t>x̄V̅MDXV</t>
        </is>
      </c>
      <c r="C16516">
        <f>ROMAN(16515)</f>
        <v/>
      </c>
      <c r="D16516">
        <f>IF(B16516=C16516, "YES", "WRONG")</f>
        <v/>
      </c>
    </row>
    <row r="16517">
      <c r="A16517" t="n">
        <v>16516</v>
      </c>
      <c r="B16517" t="inlineStr">
        <is>
          <t>x̄V̅MDXVI</t>
        </is>
      </c>
      <c r="C16517">
        <f>ROMAN(16516)</f>
        <v/>
      </c>
      <c r="D16517">
        <f>IF(B16517=C16517, "YES", "WRONG")</f>
        <v/>
      </c>
    </row>
    <row r="16518">
      <c r="A16518" t="n">
        <v>16517</v>
      </c>
      <c r="B16518" t="inlineStr">
        <is>
          <t>x̄V̅MDXVII</t>
        </is>
      </c>
      <c r="C16518">
        <f>ROMAN(16517)</f>
        <v/>
      </c>
      <c r="D16518">
        <f>IF(B16518=C16518, "YES", "WRONG")</f>
        <v/>
      </c>
    </row>
    <row r="16519">
      <c r="A16519" t="n">
        <v>16518</v>
      </c>
      <c r="B16519" t="inlineStr">
        <is>
          <t>x̄V̅MDXVIII</t>
        </is>
      </c>
      <c r="C16519">
        <f>ROMAN(16518)</f>
        <v/>
      </c>
      <c r="D16519">
        <f>IF(B16519=C16519, "YES", "WRONG")</f>
        <v/>
      </c>
    </row>
    <row r="16520">
      <c r="A16520" t="n">
        <v>16519</v>
      </c>
      <c r="B16520" t="inlineStr">
        <is>
          <t>x̄V̅MDXIX</t>
        </is>
      </c>
      <c r="C16520">
        <f>ROMAN(16519)</f>
        <v/>
      </c>
      <c r="D16520">
        <f>IF(B16520=C16520, "YES", "WRONG")</f>
        <v/>
      </c>
    </row>
    <row r="16521">
      <c r="A16521" t="n">
        <v>16520</v>
      </c>
      <c r="B16521" t="inlineStr">
        <is>
          <t>x̄V̅MDXX</t>
        </is>
      </c>
      <c r="C16521">
        <f>ROMAN(16520)</f>
        <v/>
      </c>
      <c r="D16521">
        <f>IF(B16521=C16521, "YES", "WRONG")</f>
        <v/>
      </c>
    </row>
    <row r="16522">
      <c r="A16522" t="n">
        <v>16521</v>
      </c>
      <c r="B16522" t="inlineStr">
        <is>
          <t>x̄V̅MDXXI</t>
        </is>
      </c>
      <c r="C16522">
        <f>ROMAN(16521)</f>
        <v/>
      </c>
      <c r="D16522">
        <f>IF(B16522=C16522, "YES", "WRONG")</f>
        <v/>
      </c>
    </row>
    <row r="16523">
      <c r="A16523" t="n">
        <v>16522</v>
      </c>
      <c r="B16523" t="inlineStr">
        <is>
          <t>x̄V̅MDXXII</t>
        </is>
      </c>
      <c r="C16523">
        <f>ROMAN(16522)</f>
        <v/>
      </c>
      <c r="D16523">
        <f>IF(B16523=C16523, "YES", "WRONG")</f>
        <v/>
      </c>
    </row>
    <row r="16524">
      <c r="A16524" t="n">
        <v>16523</v>
      </c>
      <c r="B16524" t="inlineStr">
        <is>
          <t>x̄V̅MDXXIII</t>
        </is>
      </c>
      <c r="C16524">
        <f>ROMAN(16523)</f>
        <v/>
      </c>
      <c r="D16524">
        <f>IF(B16524=C16524, "YES", "WRONG")</f>
        <v/>
      </c>
    </row>
    <row r="16525">
      <c r="A16525" t="n">
        <v>16524</v>
      </c>
      <c r="B16525" t="inlineStr">
        <is>
          <t>x̄V̅MDXXIV</t>
        </is>
      </c>
      <c r="C16525">
        <f>ROMAN(16524)</f>
        <v/>
      </c>
      <c r="D16525">
        <f>IF(B16525=C16525, "YES", "WRONG")</f>
        <v/>
      </c>
    </row>
    <row r="16526">
      <c r="A16526" t="n">
        <v>16525</v>
      </c>
      <c r="B16526" t="inlineStr">
        <is>
          <t>x̄V̅MDXXV</t>
        </is>
      </c>
      <c r="C16526">
        <f>ROMAN(16525)</f>
        <v/>
      </c>
      <c r="D16526">
        <f>IF(B16526=C16526, "YES", "WRONG")</f>
        <v/>
      </c>
    </row>
    <row r="16527">
      <c r="A16527" t="n">
        <v>16526</v>
      </c>
      <c r="B16527" t="inlineStr">
        <is>
          <t>x̄V̅MDXXVI</t>
        </is>
      </c>
      <c r="C16527">
        <f>ROMAN(16526)</f>
        <v/>
      </c>
      <c r="D16527">
        <f>IF(B16527=C16527, "YES", "WRONG")</f>
        <v/>
      </c>
    </row>
    <row r="16528">
      <c r="A16528" t="n">
        <v>16527</v>
      </c>
      <c r="B16528" t="inlineStr">
        <is>
          <t>x̄V̅MDXXVII</t>
        </is>
      </c>
      <c r="C16528">
        <f>ROMAN(16527)</f>
        <v/>
      </c>
      <c r="D16528">
        <f>IF(B16528=C16528, "YES", "WRONG")</f>
        <v/>
      </c>
    </row>
    <row r="16529">
      <c r="A16529" t="n">
        <v>16528</v>
      </c>
      <c r="B16529" t="inlineStr">
        <is>
          <t>x̄V̅MDXXVIII</t>
        </is>
      </c>
      <c r="C16529">
        <f>ROMAN(16528)</f>
        <v/>
      </c>
      <c r="D16529">
        <f>IF(B16529=C16529, "YES", "WRONG")</f>
        <v/>
      </c>
    </row>
    <row r="16530">
      <c r="A16530" t="n">
        <v>16529</v>
      </c>
      <c r="B16530" t="inlineStr">
        <is>
          <t>x̄V̅MDXXIX</t>
        </is>
      </c>
      <c r="C16530">
        <f>ROMAN(16529)</f>
        <v/>
      </c>
      <c r="D16530">
        <f>IF(B16530=C16530, "YES", "WRONG")</f>
        <v/>
      </c>
    </row>
    <row r="16531">
      <c r="A16531" t="n">
        <v>16530</v>
      </c>
      <c r="B16531" t="inlineStr">
        <is>
          <t>x̄V̅MDXXX</t>
        </is>
      </c>
      <c r="C16531">
        <f>ROMAN(16530)</f>
        <v/>
      </c>
      <c r="D16531">
        <f>IF(B16531=C16531, "YES", "WRONG")</f>
        <v/>
      </c>
    </row>
    <row r="16532">
      <c r="A16532" t="n">
        <v>16531</v>
      </c>
      <c r="B16532" t="inlineStr">
        <is>
          <t>x̄V̅MDXXXI</t>
        </is>
      </c>
      <c r="C16532">
        <f>ROMAN(16531)</f>
        <v/>
      </c>
      <c r="D16532">
        <f>IF(B16532=C16532, "YES", "WRONG")</f>
        <v/>
      </c>
    </row>
    <row r="16533">
      <c r="A16533" t="n">
        <v>16532</v>
      </c>
      <c r="B16533" t="inlineStr">
        <is>
          <t>x̄V̅MDXXXII</t>
        </is>
      </c>
      <c r="C16533">
        <f>ROMAN(16532)</f>
        <v/>
      </c>
      <c r="D16533">
        <f>IF(B16533=C16533, "YES", "WRONG")</f>
        <v/>
      </c>
    </row>
    <row r="16534">
      <c r="A16534" t="n">
        <v>16533</v>
      </c>
      <c r="B16534" t="inlineStr">
        <is>
          <t>x̄V̅MDXXXIII</t>
        </is>
      </c>
      <c r="C16534">
        <f>ROMAN(16533)</f>
        <v/>
      </c>
      <c r="D16534">
        <f>IF(B16534=C16534, "YES", "WRONG")</f>
        <v/>
      </c>
    </row>
    <row r="16535">
      <c r="A16535" t="n">
        <v>16534</v>
      </c>
      <c r="B16535" t="inlineStr">
        <is>
          <t>x̄V̅MDXXXIV</t>
        </is>
      </c>
      <c r="C16535">
        <f>ROMAN(16534)</f>
        <v/>
      </c>
      <c r="D16535">
        <f>IF(B16535=C16535, "YES", "WRONG")</f>
        <v/>
      </c>
    </row>
    <row r="16536">
      <c r="A16536" t="n">
        <v>16535</v>
      </c>
      <c r="B16536" t="inlineStr">
        <is>
          <t>x̄V̅MDXXXV</t>
        </is>
      </c>
      <c r="C16536">
        <f>ROMAN(16535)</f>
        <v/>
      </c>
      <c r="D16536">
        <f>IF(B16536=C16536, "YES", "WRONG")</f>
        <v/>
      </c>
    </row>
    <row r="16537">
      <c r="A16537" t="n">
        <v>16536</v>
      </c>
      <c r="B16537" t="inlineStr">
        <is>
          <t>x̄V̅MDXXXVI</t>
        </is>
      </c>
      <c r="C16537">
        <f>ROMAN(16536)</f>
        <v/>
      </c>
      <c r="D16537">
        <f>IF(B16537=C16537, "YES", "WRONG")</f>
        <v/>
      </c>
    </row>
    <row r="16538">
      <c r="A16538" t="n">
        <v>16537</v>
      </c>
      <c r="B16538" t="inlineStr">
        <is>
          <t>x̄V̅MDXXXVII</t>
        </is>
      </c>
      <c r="C16538">
        <f>ROMAN(16537)</f>
        <v/>
      </c>
      <c r="D16538">
        <f>IF(B16538=C16538, "YES", "WRONG")</f>
        <v/>
      </c>
    </row>
    <row r="16539">
      <c r="A16539" t="n">
        <v>16538</v>
      </c>
      <c r="B16539" t="inlineStr">
        <is>
          <t>x̄V̅MDXXXVIII</t>
        </is>
      </c>
      <c r="C16539">
        <f>ROMAN(16538)</f>
        <v/>
      </c>
      <c r="D16539">
        <f>IF(B16539=C16539, "YES", "WRONG")</f>
        <v/>
      </c>
    </row>
    <row r="16540">
      <c r="A16540" t="n">
        <v>16539</v>
      </c>
      <c r="B16540" t="inlineStr">
        <is>
          <t>x̄V̅MDXXXIX</t>
        </is>
      </c>
      <c r="C16540">
        <f>ROMAN(16539)</f>
        <v/>
      </c>
      <c r="D16540">
        <f>IF(B16540=C16540, "YES", "WRONG")</f>
        <v/>
      </c>
    </row>
    <row r="16541">
      <c r="A16541" t="n">
        <v>16540</v>
      </c>
      <c r="B16541" t="inlineStr">
        <is>
          <t>x̄V̅MDXL</t>
        </is>
      </c>
      <c r="C16541">
        <f>ROMAN(16540)</f>
        <v/>
      </c>
      <c r="D16541">
        <f>IF(B16541=C16541, "YES", "WRONG")</f>
        <v/>
      </c>
    </row>
    <row r="16542">
      <c r="A16542" t="n">
        <v>16541</v>
      </c>
      <c r="B16542" t="inlineStr">
        <is>
          <t>x̄V̅MDXLI</t>
        </is>
      </c>
      <c r="C16542">
        <f>ROMAN(16541)</f>
        <v/>
      </c>
      <c r="D16542">
        <f>IF(B16542=C16542, "YES", "WRONG")</f>
        <v/>
      </c>
    </row>
    <row r="16543">
      <c r="A16543" t="n">
        <v>16542</v>
      </c>
      <c r="B16543" t="inlineStr">
        <is>
          <t>x̄V̅MDXLII</t>
        </is>
      </c>
      <c r="C16543">
        <f>ROMAN(16542)</f>
        <v/>
      </c>
      <c r="D16543">
        <f>IF(B16543=C16543, "YES", "WRONG")</f>
        <v/>
      </c>
    </row>
    <row r="16544">
      <c r="A16544" t="n">
        <v>16543</v>
      </c>
      <c r="B16544" t="inlineStr">
        <is>
          <t>x̄V̅MDXLIII</t>
        </is>
      </c>
      <c r="C16544">
        <f>ROMAN(16543)</f>
        <v/>
      </c>
      <c r="D16544">
        <f>IF(B16544=C16544, "YES", "WRONG")</f>
        <v/>
      </c>
    </row>
    <row r="16545">
      <c r="A16545" t="n">
        <v>16544</v>
      </c>
      <c r="B16545" t="inlineStr">
        <is>
          <t>x̄V̅MDXLIV</t>
        </is>
      </c>
      <c r="C16545">
        <f>ROMAN(16544)</f>
        <v/>
      </c>
      <c r="D16545">
        <f>IF(B16545=C16545, "YES", "WRONG")</f>
        <v/>
      </c>
    </row>
    <row r="16546">
      <c r="A16546" t="n">
        <v>16545</v>
      </c>
      <c r="B16546" t="inlineStr">
        <is>
          <t>x̄V̅MDXLV</t>
        </is>
      </c>
      <c r="C16546">
        <f>ROMAN(16545)</f>
        <v/>
      </c>
      <c r="D16546">
        <f>IF(B16546=C16546, "YES", "WRONG")</f>
        <v/>
      </c>
    </row>
    <row r="16547">
      <c r="A16547" t="n">
        <v>16546</v>
      </c>
      <c r="B16547" t="inlineStr">
        <is>
          <t>x̄V̅MDXLVI</t>
        </is>
      </c>
      <c r="C16547">
        <f>ROMAN(16546)</f>
        <v/>
      </c>
      <c r="D16547">
        <f>IF(B16547=C16547, "YES", "WRONG")</f>
        <v/>
      </c>
    </row>
    <row r="16548">
      <c r="A16548" t="n">
        <v>16547</v>
      </c>
      <c r="B16548" t="inlineStr">
        <is>
          <t>x̄V̅MDXLVII</t>
        </is>
      </c>
      <c r="C16548">
        <f>ROMAN(16547)</f>
        <v/>
      </c>
      <c r="D16548">
        <f>IF(B16548=C16548, "YES", "WRONG")</f>
        <v/>
      </c>
    </row>
    <row r="16549">
      <c r="A16549" t="n">
        <v>16548</v>
      </c>
      <c r="B16549" t="inlineStr">
        <is>
          <t>x̄V̅MDXLVIII</t>
        </is>
      </c>
      <c r="C16549">
        <f>ROMAN(16548)</f>
        <v/>
      </c>
      <c r="D16549">
        <f>IF(B16549=C16549, "YES", "WRONG")</f>
        <v/>
      </c>
    </row>
    <row r="16550">
      <c r="A16550" t="n">
        <v>16549</v>
      </c>
      <c r="B16550" t="inlineStr">
        <is>
          <t>x̄V̅MDXLIX</t>
        </is>
      </c>
      <c r="C16550">
        <f>ROMAN(16549)</f>
        <v/>
      </c>
      <c r="D16550">
        <f>IF(B16550=C16550, "YES", "WRONG")</f>
        <v/>
      </c>
    </row>
    <row r="16551">
      <c r="A16551" t="n">
        <v>16550</v>
      </c>
      <c r="B16551" t="inlineStr">
        <is>
          <t>x̄V̅MDL</t>
        </is>
      </c>
      <c r="C16551">
        <f>ROMAN(16550)</f>
        <v/>
      </c>
      <c r="D16551">
        <f>IF(B16551=C16551, "YES", "WRONG")</f>
        <v/>
      </c>
    </row>
    <row r="16552">
      <c r="A16552" t="n">
        <v>16551</v>
      </c>
      <c r="B16552" t="inlineStr">
        <is>
          <t>x̄V̅MDLI</t>
        </is>
      </c>
      <c r="C16552">
        <f>ROMAN(16551)</f>
        <v/>
      </c>
      <c r="D16552">
        <f>IF(B16552=C16552, "YES", "WRONG")</f>
        <v/>
      </c>
    </row>
    <row r="16553">
      <c r="A16553" t="n">
        <v>16552</v>
      </c>
      <c r="B16553" t="inlineStr">
        <is>
          <t>x̄V̅MDLII</t>
        </is>
      </c>
      <c r="C16553">
        <f>ROMAN(16552)</f>
        <v/>
      </c>
      <c r="D16553">
        <f>IF(B16553=C16553, "YES", "WRONG")</f>
        <v/>
      </c>
    </row>
    <row r="16554">
      <c r="A16554" t="n">
        <v>16553</v>
      </c>
      <c r="B16554" t="inlineStr">
        <is>
          <t>x̄V̅MDLIII</t>
        </is>
      </c>
      <c r="C16554">
        <f>ROMAN(16553)</f>
        <v/>
      </c>
      <c r="D16554">
        <f>IF(B16554=C16554, "YES", "WRONG")</f>
        <v/>
      </c>
    </row>
    <row r="16555">
      <c r="A16555" t="n">
        <v>16554</v>
      </c>
      <c r="B16555" t="inlineStr">
        <is>
          <t>x̄V̅MDLIV</t>
        </is>
      </c>
      <c r="C16555">
        <f>ROMAN(16554)</f>
        <v/>
      </c>
      <c r="D16555">
        <f>IF(B16555=C16555, "YES", "WRONG")</f>
        <v/>
      </c>
    </row>
    <row r="16556">
      <c r="A16556" t="n">
        <v>16555</v>
      </c>
      <c r="B16556" t="inlineStr">
        <is>
          <t>x̄V̅MDLV</t>
        </is>
      </c>
      <c r="C16556">
        <f>ROMAN(16555)</f>
        <v/>
      </c>
      <c r="D16556">
        <f>IF(B16556=C16556, "YES", "WRONG")</f>
        <v/>
      </c>
    </row>
    <row r="16557">
      <c r="A16557" t="n">
        <v>16556</v>
      </c>
      <c r="B16557" t="inlineStr">
        <is>
          <t>x̄V̅MDLVI</t>
        </is>
      </c>
      <c r="C16557">
        <f>ROMAN(16556)</f>
        <v/>
      </c>
      <c r="D16557">
        <f>IF(B16557=C16557, "YES", "WRONG")</f>
        <v/>
      </c>
    </row>
    <row r="16558">
      <c r="A16558" t="n">
        <v>16557</v>
      </c>
      <c r="B16558" t="inlineStr">
        <is>
          <t>x̄V̅MDLVII</t>
        </is>
      </c>
      <c r="C16558">
        <f>ROMAN(16557)</f>
        <v/>
      </c>
      <c r="D16558">
        <f>IF(B16558=C16558, "YES", "WRONG")</f>
        <v/>
      </c>
    </row>
    <row r="16559">
      <c r="A16559" t="n">
        <v>16558</v>
      </c>
      <c r="B16559" t="inlineStr">
        <is>
          <t>x̄V̅MDLVIII</t>
        </is>
      </c>
      <c r="C16559">
        <f>ROMAN(16558)</f>
        <v/>
      </c>
      <c r="D16559">
        <f>IF(B16559=C16559, "YES", "WRONG")</f>
        <v/>
      </c>
    </row>
    <row r="16560">
      <c r="A16560" t="n">
        <v>16559</v>
      </c>
      <c r="B16560" t="inlineStr">
        <is>
          <t>x̄V̅MDLIX</t>
        </is>
      </c>
      <c r="C16560">
        <f>ROMAN(16559)</f>
        <v/>
      </c>
      <c r="D16560">
        <f>IF(B16560=C16560, "YES", "WRONG")</f>
        <v/>
      </c>
    </row>
    <row r="16561">
      <c r="A16561" t="n">
        <v>16560</v>
      </c>
      <c r="B16561" t="inlineStr">
        <is>
          <t>x̄V̅MDLX</t>
        </is>
      </c>
      <c r="C16561">
        <f>ROMAN(16560)</f>
        <v/>
      </c>
      <c r="D16561">
        <f>IF(B16561=C16561, "YES", "WRONG")</f>
        <v/>
      </c>
    </row>
    <row r="16562">
      <c r="A16562" t="n">
        <v>16561</v>
      </c>
      <c r="B16562" t="inlineStr">
        <is>
          <t>x̄V̅MDLXI</t>
        </is>
      </c>
      <c r="C16562">
        <f>ROMAN(16561)</f>
        <v/>
      </c>
      <c r="D16562">
        <f>IF(B16562=C16562, "YES", "WRONG")</f>
        <v/>
      </c>
    </row>
    <row r="16563">
      <c r="A16563" t="n">
        <v>16562</v>
      </c>
      <c r="B16563" t="inlineStr">
        <is>
          <t>x̄V̅MDLXII</t>
        </is>
      </c>
      <c r="C16563">
        <f>ROMAN(16562)</f>
        <v/>
      </c>
      <c r="D16563">
        <f>IF(B16563=C16563, "YES", "WRONG")</f>
        <v/>
      </c>
    </row>
    <row r="16564">
      <c r="A16564" t="n">
        <v>16563</v>
      </c>
      <c r="B16564" t="inlineStr">
        <is>
          <t>x̄V̅MDLXIII</t>
        </is>
      </c>
      <c r="C16564">
        <f>ROMAN(16563)</f>
        <v/>
      </c>
      <c r="D16564">
        <f>IF(B16564=C16564, "YES", "WRONG")</f>
        <v/>
      </c>
    </row>
    <row r="16565">
      <c r="A16565" t="n">
        <v>16564</v>
      </c>
      <c r="B16565" t="inlineStr">
        <is>
          <t>x̄V̅MDLXIV</t>
        </is>
      </c>
      <c r="C16565">
        <f>ROMAN(16564)</f>
        <v/>
      </c>
      <c r="D16565">
        <f>IF(B16565=C16565, "YES", "WRONG")</f>
        <v/>
      </c>
    </row>
    <row r="16566">
      <c r="A16566" t="n">
        <v>16565</v>
      </c>
      <c r="B16566" t="inlineStr">
        <is>
          <t>x̄V̅MDLXV</t>
        </is>
      </c>
      <c r="C16566">
        <f>ROMAN(16565)</f>
        <v/>
      </c>
      <c r="D16566">
        <f>IF(B16566=C16566, "YES", "WRONG")</f>
        <v/>
      </c>
    </row>
    <row r="16567">
      <c r="A16567" t="n">
        <v>16566</v>
      </c>
      <c r="B16567" t="inlineStr">
        <is>
          <t>x̄V̅MDLXVI</t>
        </is>
      </c>
      <c r="C16567">
        <f>ROMAN(16566)</f>
        <v/>
      </c>
      <c r="D16567">
        <f>IF(B16567=C16567, "YES", "WRONG")</f>
        <v/>
      </c>
    </row>
    <row r="16568">
      <c r="A16568" t="n">
        <v>16567</v>
      </c>
      <c r="B16568" t="inlineStr">
        <is>
          <t>x̄V̅MDLXVII</t>
        </is>
      </c>
      <c r="C16568">
        <f>ROMAN(16567)</f>
        <v/>
      </c>
      <c r="D16568">
        <f>IF(B16568=C16568, "YES", "WRONG")</f>
        <v/>
      </c>
    </row>
    <row r="16569">
      <c r="A16569" t="n">
        <v>16568</v>
      </c>
      <c r="B16569" t="inlineStr">
        <is>
          <t>x̄V̅MDLXVIII</t>
        </is>
      </c>
      <c r="C16569">
        <f>ROMAN(16568)</f>
        <v/>
      </c>
      <c r="D16569">
        <f>IF(B16569=C16569, "YES", "WRONG")</f>
        <v/>
      </c>
    </row>
    <row r="16570">
      <c r="A16570" t="n">
        <v>16569</v>
      </c>
      <c r="B16570" t="inlineStr">
        <is>
          <t>x̄V̅MDLXIX</t>
        </is>
      </c>
      <c r="C16570">
        <f>ROMAN(16569)</f>
        <v/>
      </c>
      <c r="D16570">
        <f>IF(B16570=C16570, "YES", "WRONG")</f>
        <v/>
      </c>
    </row>
    <row r="16571">
      <c r="A16571" t="n">
        <v>16570</v>
      </c>
      <c r="B16571" t="inlineStr">
        <is>
          <t>x̄V̅MDLXX</t>
        </is>
      </c>
      <c r="C16571">
        <f>ROMAN(16570)</f>
        <v/>
      </c>
      <c r="D16571">
        <f>IF(B16571=C16571, "YES", "WRONG")</f>
        <v/>
      </c>
    </row>
    <row r="16572">
      <c r="A16572" t="n">
        <v>16571</v>
      </c>
      <c r="B16572" t="inlineStr">
        <is>
          <t>x̄V̅MDLXXI</t>
        </is>
      </c>
      <c r="C16572">
        <f>ROMAN(16571)</f>
        <v/>
      </c>
      <c r="D16572">
        <f>IF(B16572=C16572, "YES", "WRONG")</f>
        <v/>
      </c>
    </row>
    <row r="16573">
      <c r="A16573" t="n">
        <v>16572</v>
      </c>
      <c r="B16573" t="inlineStr">
        <is>
          <t>x̄V̅MDLXXII</t>
        </is>
      </c>
      <c r="C16573">
        <f>ROMAN(16572)</f>
        <v/>
      </c>
      <c r="D16573">
        <f>IF(B16573=C16573, "YES", "WRONG")</f>
        <v/>
      </c>
    </row>
    <row r="16574">
      <c r="A16574" t="n">
        <v>16573</v>
      </c>
      <c r="B16574" t="inlineStr">
        <is>
          <t>x̄V̅MDLXXIII</t>
        </is>
      </c>
      <c r="C16574">
        <f>ROMAN(16573)</f>
        <v/>
      </c>
      <c r="D16574">
        <f>IF(B16574=C16574, "YES", "WRONG")</f>
        <v/>
      </c>
    </row>
    <row r="16575">
      <c r="A16575" t="n">
        <v>16574</v>
      </c>
      <c r="B16575" t="inlineStr">
        <is>
          <t>x̄V̅MDLXXIV</t>
        </is>
      </c>
      <c r="C16575">
        <f>ROMAN(16574)</f>
        <v/>
      </c>
      <c r="D16575">
        <f>IF(B16575=C16575, "YES", "WRONG")</f>
        <v/>
      </c>
    </row>
    <row r="16576">
      <c r="A16576" t="n">
        <v>16575</v>
      </c>
      <c r="B16576" t="inlineStr">
        <is>
          <t>x̄V̅MDLXXV</t>
        </is>
      </c>
      <c r="C16576">
        <f>ROMAN(16575)</f>
        <v/>
      </c>
      <c r="D16576">
        <f>IF(B16576=C16576, "YES", "WRONG")</f>
        <v/>
      </c>
    </row>
    <row r="16577">
      <c r="A16577" t="n">
        <v>16576</v>
      </c>
      <c r="B16577" t="inlineStr">
        <is>
          <t>x̄V̅MDLXXVI</t>
        </is>
      </c>
      <c r="C16577">
        <f>ROMAN(16576)</f>
        <v/>
      </c>
      <c r="D16577">
        <f>IF(B16577=C16577, "YES", "WRONG")</f>
        <v/>
      </c>
    </row>
    <row r="16578">
      <c r="A16578" t="n">
        <v>16577</v>
      </c>
      <c r="B16578" t="inlineStr">
        <is>
          <t>x̄V̅MDLXXVII</t>
        </is>
      </c>
      <c r="C16578">
        <f>ROMAN(16577)</f>
        <v/>
      </c>
      <c r="D16578">
        <f>IF(B16578=C16578, "YES", "WRONG")</f>
        <v/>
      </c>
    </row>
    <row r="16579">
      <c r="A16579" t="n">
        <v>16578</v>
      </c>
      <c r="B16579" t="inlineStr">
        <is>
          <t>x̄V̅MDLXXVIII</t>
        </is>
      </c>
      <c r="C16579">
        <f>ROMAN(16578)</f>
        <v/>
      </c>
      <c r="D16579">
        <f>IF(B16579=C16579, "YES", "WRONG")</f>
        <v/>
      </c>
    </row>
    <row r="16580">
      <c r="A16580" t="n">
        <v>16579</v>
      </c>
      <c r="B16580" t="inlineStr">
        <is>
          <t>x̄V̅MDLXXIX</t>
        </is>
      </c>
      <c r="C16580">
        <f>ROMAN(16579)</f>
        <v/>
      </c>
      <c r="D16580">
        <f>IF(B16580=C16580, "YES", "WRONG")</f>
        <v/>
      </c>
    </row>
    <row r="16581">
      <c r="A16581" t="n">
        <v>16580</v>
      </c>
      <c r="B16581" t="inlineStr">
        <is>
          <t>x̄V̅MDLXXX</t>
        </is>
      </c>
      <c r="C16581">
        <f>ROMAN(16580)</f>
        <v/>
      </c>
      <c r="D16581">
        <f>IF(B16581=C16581, "YES", "WRONG")</f>
        <v/>
      </c>
    </row>
    <row r="16582">
      <c r="A16582" t="n">
        <v>16581</v>
      </c>
      <c r="B16582" t="inlineStr">
        <is>
          <t>x̄V̅MDLXXXI</t>
        </is>
      </c>
      <c r="C16582">
        <f>ROMAN(16581)</f>
        <v/>
      </c>
      <c r="D16582">
        <f>IF(B16582=C16582, "YES", "WRONG")</f>
        <v/>
      </c>
    </row>
    <row r="16583">
      <c r="A16583" t="n">
        <v>16582</v>
      </c>
      <c r="B16583" t="inlineStr">
        <is>
          <t>x̄V̅MDLXXXII</t>
        </is>
      </c>
      <c r="C16583">
        <f>ROMAN(16582)</f>
        <v/>
      </c>
      <c r="D16583">
        <f>IF(B16583=C16583, "YES", "WRONG")</f>
        <v/>
      </c>
    </row>
    <row r="16584">
      <c r="A16584" t="n">
        <v>16583</v>
      </c>
      <c r="B16584" t="inlineStr">
        <is>
          <t>x̄V̅MDLXXXIII</t>
        </is>
      </c>
      <c r="C16584">
        <f>ROMAN(16583)</f>
        <v/>
      </c>
      <c r="D16584">
        <f>IF(B16584=C16584, "YES", "WRONG")</f>
        <v/>
      </c>
    </row>
    <row r="16585">
      <c r="A16585" t="n">
        <v>16584</v>
      </c>
      <c r="B16585" t="inlineStr">
        <is>
          <t>x̄V̅MDLXXXIV</t>
        </is>
      </c>
      <c r="C16585">
        <f>ROMAN(16584)</f>
        <v/>
      </c>
      <c r="D16585">
        <f>IF(B16585=C16585, "YES", "WRONG")</f>
        <v/>
      </c>
    </row>
    <row r="16586">
      <c r="A16586" t="n">
        <v>16585</v>
      </c>
      <c r="B16586" t="inlineStr">
        <is>
          <t>x̄V̅MDLXXXV</t>
        </is>
      </c>
      <c r="C16586">
        <f>ROMAN(16585)</f>
        <v/>
      </c>
      <c r="D16586">
        <f>IF(B16586=C16586, "YES", "WRONG")</f>
        <v/>
      </c>
    </row>
    <row r="16587">
      <c r="A16587" t="n">
        <v>16586</v>
      </c>
      <c r="B16587" t="inlineStr">
        <is>
          <t>x̄V̅MDLXXXVI</t>
        </is>
      </c>
      <c r="C16587">
        <f>ROMAN(16586)</f>
        <v/>
      </c>
      <c r="D16587">
        <f>IF(B16587=C16587, "YES", "WRONG")</f>
        <v/>
      </c>
    </row>
    <row r="16588">
      <c r="A16588" t="n">
        <v>16587</v>
      </c>
      <c r="B16588" t="inlineStr">
        <is>
          <t>x̄V̅MDLXXXVII</t>
        </is>
      </c>
      <c r="C16588">
        <f>ROMAN(16587)</f>
        <v/>
      </c>
      <c r="D16588">
        <f>IF(B16588=C16588, "YES", "WRONG")</f>
        <v/>
      </c>
    </row>
    <row r="16589">
      <c r="A16589" t="n">
        <v>16588</v>
      </c>
      <c r="B16589" t="inlineStr">
        <is>
          <t>x̄V̅MDLXXXVIII</t>
        </is>
      </c>
      <c r="C16589">
        <f>ROMAN(16588)</f>
        <v/>
      </c>
      <c r="D16589">
        <f>IF(B16589=C16589, "YES", "WRONG")</f>
        <v/>
      </c>
    </row>
    <row r="16590">
      <c r="A16590" t="n">
        <v>16589</v>
      </c>
      <c r="B16590" t="inlineStr">
        <is>
          <t>x̄V̅MDLXXXIX</t>
        </is>
      </c>
      <c r="C16590">
        <f>ROMAN(16589)</f>
        <v/>
      </c>
      <c r="D16590">
        <f>IF(B16590=C16590, "YES", "WRONG")</f>
        <v/>
      </c>
    </row>
    <row r="16591">
      <c r="A16591" t="n">
        <v>16590</v>
      </c>
      <c r="B16591" t="inlineStr">
        <is>
          <t>x̄V̅MDXC</t>
        </is>
      </c>
      <c r="C16591">
        <f>ROMAN(16590)</f>
        <v/>
      </c>
      <c r="D16591">
        <f>IF(B16591=C16591, "YES", "WRONG")</f>
        <v/>
      </c>
    </row>
    <row r="16592">
      <c r="A16592" t="n">
        <v>16591</v>
      </c>
      <c r="B16592" t="inlineStr">
        <is>
          <t>x̄V̅MDXCI</t>
        </is>
      </c>
      <c r="C16592">
        <f>ROMAN(16591)</f>
        <v/>
      </c>
      <c r="D16592">
        <f>IF(B16592=C16592, "YES", "WRONG")</f>
        <v/>
      </c>
    </row>
    <row r="16593">
      <c r="A16593" t="n">
        <v>16592</v>
      </c>
      <c r="B16593" t="inlineStr">
        <is>
          <t>x̄V̅MDXCII</t>
        </is>
      </c>
      <c r="C16593">
        <f>ROMAN(16592)</f>
        <v/>
      </c>
      <c r="D16593">
        <f>IF(B16593=C16593, "YES", "WRONG")</f>
        <v/>
      </c>
    </row>
    <row r="16594">
      <c r="A16594" t="n">
        <v>16593</v>
      </c>
      <c r="B16594" t="inlineStr">
        <is>
          <t>x̄V̅MDXCIII</t>
        </is>
      </c>
      <c r="C16594">
        <f>ROMAN(16593)</f>
        <v/>
      </c>
      <c r="D16594">
        <f>IF(B16594=C16594, "YES", "WRONG")</f>
        <v/>
      </c>
    </row>
    <row r="16595">
      <c r="A16595" t="n">
        <v>16594</v>
      </c>
      <c r="B16595" t="inlineStr">
        <is>
          <t>x̄V̅MDXCIV</t>
        </is>
      </c>
      <c r="C16595">
        <f>ROMAN(16594)</f>
        <v/>
      </c>
      <c r="D16595">
        <f>IF(B16595=C16595, "YES", "WRONG")</f>
        <v/>
      </c>
    </row>
    <row r="16596">
      <c r="A16596" t="n">
        <v>16595</v>
      </c>
      <c r="B16596" t="inlineStr">
        <is>
          <t>x̄V̅MDXCV</t>
        </is>
      </c>
      <c r="C16596">
        <f>ROMAN(16595)</f>
        <v/>
      </c>
      <c r="D16596">
        <f>IF(B16596=C16596, "YES", "WRONG")</f>
        <v/>
      </c>
    </row>
    <row r="16597">
      <c r="A16597" t="n">
        <v>16596</v>
      </c>
      <c r="B16597" t="inlineStr">
        <is>
          <t>x̄V̅MDXCVI</t>
        </is>
      </c>
      <c r="C16597">
        <f>ROMAN(16596)</f>
        <v/>
      </c>
      <c r="D16597">
        <f>IF(B16597=C16597, "YES", "WRONG")</f>
        <v/>
      </c>
    </row>
    <row r="16598">
      <c r="A16598" t="n">
        <v>16597</v>
      </c>
      <c r="B16598" t="inlineStr">
        <is>
          <t>x̄V̅MDXCVII</t>
        </is>
      </c>
      <c r="C16598">
        <f>ROMAN(16597)</f>
        <v/>
      </c>
      <c r="D16598">
        <f>IF(B16598=C16598, "YES", "WRONG")</f>
        <v/>
      </c>
    </row>
    <row r="16599">
      <c r="A16599" t="n">
        <v>16598</v>
      </c>
      <c r="B16599" t="inlineStr">
        <is>
          <t>x̄V̅MDXCVIII</t>
        </is>
      </c>
      <c r="C16599">
        <f>ROMAN(16598)</f>
        <v/>
      </c>
      <c r="D16599">
        <f>IF(B16599=C16599, "YES", "WRONG")</f>
        <v/>
      </c>
    </row>
    <row r="16600">
      <c r="A16600" t="n">
        <v>16599</v>
      </c>
      <c r="B16600" t="inlineStr">
        <is>
          <t>x̄V̅MDXCIX</t>
        </is>
      </c>
      <c r="C16600">
        <f>ROMAN(16599)</f>
        <v/>
      </c>
      <c r="D16600">
        <f>IF(B16600=C16600, "YES", "WRONG")</f>
        <v/>
      </c>
    </row>
    <row r="16601">
      <c r="A16601" t="n">
        <v>16600</v>
      </c>
      <c r="B16601" t="inlineStr">
        <is>
          <t>x̄V̅MDC</t>
        </is>
      </c>
      <c r="C16601">
        <f>ROMAN(16600)</f>
        <v/>
      </c>
      <c r="D16601">
        <f>IF(B16601=C16601, "YES", "WRONG")</f>
        <v/>
      </c>
    </row>
    <row r="16602">
      <c r="A16602" t="n">
        <v>16601</v>
      </c>
      <c r="B16602" t="inlineStr">
        <is>
          <t>x̄V̅MDCI</t>
        </is>
      </c>
      <c r="C16602">
        <f>ROMAN(16601)</f>
        <v/>
      </c>
      <c r="D16602">
        <f>IF(B16602=C16602, "YES", "WRONG")</f>
        <v/>
      </c>
    </row>
    <row r="16603">
      <c r="A16603" t="n">
        <v>16602</v>
      </c>
      <c r="B16603" t="inlineStr">
        <is>
          <t>x̄V̅MDCII</t>
        </is>
      </c>
      <c r="C16603">
        <f>ROMAN(16602)</f>
        <v/>
      </c>
      <c r="D16603">
        <f>IF(B16603=C16603, "YES", "WRONG")</f>
        <v/>
      </c>
    </row>
    <row r="16604">
      <c r="A16604" t="n">
        <v>16603</v>
      </c>
      <c r="B16604" t="inlineStr">
        <is>
          <t>x̄V̅MDCIII</t>
        </is>
      </c>
      <c r="C16604">
        <f>ROMAN(16603)</f>
        <v/>
      </c>
      <c r="D16604">
        <f>IF(B16604=C16604, "YES", "WRONG")</f>
        <v/>
      </c>
    </row>
    <row r="16605">
      <c r="A16605" t="n">
        <v>16604</v>
      </c>
      <c r="B16605" t="inlineStr">
        <is>
          <t>x̄V̅MDCIV</t>
        </is>
      </c>
      <c r="C16605">
        <f>ROMAN(16604)</f>
        <v/>
      </c>
      <c r="D16605">
        <f>IF(B16605=C16605, "YES", "WRONG")</f>
        <v/>
      </c>
    </row>
    <row r="16606">
      <c r="A16606" t="n">
        <v>16605</v>
      </c>
      <c r="B16606" t="inlineStr">
        <is>
          <t>x̄V̅MDCV</t>
        </is>
      </c>
      <c r="C16606">
        <f>ROMAN(16605)</f>
        <v/>
      </c>
      <c r="D16606">
        <f>IF(B16606=C16606, "YES", "WRONG")</f>
        <v/>
      </c>
    </row>
    <row r="16607">
      <c r="A16607" t="n">
        <v>16606</v>
      </c>
      <c r="B16607" t="inlineStr">
        <is>
          <t>x̄V̅MDCVI</t>
        </is>
      </c>
      <c r="C16607">
        <f>ROMAN(16606)</f>
        <v/>
      </c>
      <c r="D16607">
        <f>IF(B16607=C16607, "YES", "WRONG")</f>
        <v/>
      </c>
    </row>
    <row r="16608">
      <c r="A16608" t="n">
        <v>16607</v>
      </c>
      <c r="B16608" t="inlineStr">
        <is>
          <t>x̄V̅MDCVII</t>
        </is>
      </c>
      <c r="C16608">
        <f>ROMAN(16607)</f>
        <v/>
      </c>
      <c r="D16608">
        <f>IF(B16608=C16608, "YES", "WRONG")</f>
        <v/>
      </c>
    </row>
    <row r="16609">
      <c r="A16609" t="n">
        <v>16608</v>
      </c>
      <c r="B16609" t="inlineStr">
        <is>
          <t>x̄V̅MDCVIII</t>
        </is>
      </c>
      <c r="C16609">
        <f>ROMAN(16608)</f>
        <v/>
      </c>
      <c r="D16609">
        <f>IF(B16609=C16609, "YES", "WRONG")</f>
        <v/>
      </c>
    </row>
    <row r="16610">
      <c r="A16610" t="n">
        <v>16609</v>
      </c>
      <c r="B16610" t="inlineStr">
        <is>
          <t>x̄V̅MDCIX</t>
        </is>
      </c>
      <c r="C16610">
        <f>ROMAN(16609)</f>
        <v/>
      </c>
      <c r="D16610">
        <f>IF(B16610=C16610, "YES", "WRONG")</f>
        <v/>
      </c>
    </row>
    <row r="16611">
      <c r="A16611" t="n">
        <v>16610</v>
      </c>
      <c r="B16611" t="inlineStr">
        <is>
          <t>x̄V̅MDCX</t>
        </is>
      </c>
      <c r="C16611">
        <f>ROMAN(16610)</f>
        <v/>
      </c>
      <c r="D16611">
        <f>IF(B16611=C16611, "YES", "WRONG")</f>
        <v/>
      </c>
    </row>
    <row r="16612">
      <c r="A16612" t="n">
        <v>16611</v>
      </c>
      <c r="B16612" t="inlineStr">
        <is>
          <t>x̄V̅MDCXI</t>
        </is>
      </c>
      <c r="C16612">
        <f>ROMAN(16611)</f>
        <v/>
      </c>
      <c r="D16612">
        <f>IF(B16612=C16612, "YES", "WRONG")</f>
        <v/>
      </c>
    </row>
    <row r="16613">
      <c r="A16613" t="n">
        <v>16612</v>
      </c>
      <c r="B16613" t="inlineStr">
        <is>
          <t>x̄V̅MDCXII</t>
        </is>
      </c>
      <c r="C16613">
        <f>ROMAN(16612)</f>
        <v/>
      </c>
      <c r="D16613">
        <f>IF(B16613=C16613, "YES", "WRONG")</f>
        <v/>
      </c>
    </row>
    <row r="16614">
      <c r="A16614" t="n">
        <v>16613</v>
      </c>
      <c r="B16614" t="inlineStr">
        <is>
          <t>x̄V̅MDCXIII</t>
        </is>
      </c>
      <c r="C16614">
        <f>ROMAN(16613)</f>
        <v/>
      </c>
      <c r="D16614">
        <f>IF(B16614=C16614, "YES", "WRONG")</f>
        <v/>
      </c>
    </row>
    <row r="16615">
      <c r="A16615" t="n">
        <v>16614</v>
      </c>
      <c r="B16615" t="inlineStr">
        <is>
          <t>x̄V̅MDCXIV</t>
        </is>
      </c>
      <c r="C16615">
        <f>ROMAN(16614)</f>
        <v/>
      </c>
      <c r="D16615">
        <f>IF(B16615=C16615, "YES", "WRONG")</f>
        <v/>
      </c>
    </row>
    <row r="16616">
      <c r="A16616" t="n">
        <v>16615</v>
      </c>
      <c r="B16616" t="inlineStr">
        <is>
          <t>x̄V̅MDCXV</t>
        </is>
      </c>
      <c r="C16616">
        <f>ROMAN(16615)</f>
        <v/>
      </c>
      <c r="D16616">
        <f>IF(B16616=C16616, "YES", "WRONG")</f>
        <v/>
      </c>
    </row>
    <row r="16617">
      <c r="A16617" t="n">
        <v>16616</v>
      </c>
      <c r="B16617" t="inlineStr">
        <is>
          <t>x̄V̅MDCXVI</t>
        </is>
      </c>
      <c r="C16617">
        <f>ROMAN(16616)</f>
        <v/>
      </c>
      <c r="D16617">
        <f>IF(B16617=C16617, "YES", "WRONG")</f>
        <v/>
      </c>
    </row>
    <row r="16618">
      <c r="A16618" t="n">
        <v>16617</v>
      </c>
      <c r="B16618" t="inlineStr">
        <is>
          <t>x̄V̅MDCXVII</t>
        </is>
      </c>
      <c r="C16618">
        <f>ROMAN(16617)</f>
        <v/>
      </c>
      <c r="D16618">
        <f>IF(B16618=C16618, "YES", "WRONG")</f>
        <v/>
      </c>
    </row>
    <row r="16619">
      <c r="A16619" t="n">
        <v>16618</v>
      </c>
      <c r="B16619" t="inlineStr">
        <is>
          <t>x̄V̅MDCXVIII</t>
        </is>
      </c>
      <c r="C16619">
        <f>ROMAN(16618)</f>
        <v/>
      </c>
      <c r="D16619">
        <f>IF(B16619=C16619, "YES", "WRONG")</f>
        <v/>
      </c>
    </row>
    <row r="16620">
      <c r="A16620" t="n">
        <v>16619</v>
      </c>
      <c r="B16620" t="inlineStr">
        <is>
          <t>x̄V̅MDCXIX</t>
        </is>
      </c>
      <c r="C16620">
        <f>ROMAN(16619)</f>
        <v/>
      </c>
      <c r="D16620">
        <f>IF(B16620=C16620, "YES", "WRONG")</f>
        <v/>
      </c>
    </row>
    <row r="16621">
      <c r="A16621" t="n">
        <v>16620</v>
      </c>
      <c r="B16621" t="inlineStr">
        <is>
          <t>x̄V̅MDCXX</t>
        </is>
      </c>
      <c r="C16621">
        <f>ROMAN(16620)</f>
        <v/>
      </c>
      <c r="D16621">
        <f>IF(B16621=C16621, "YES", "WRONG")</f>
        <v/>
      </c>
    </row>
    <row r="16622">
      <c r="A16622" t="n">
        <v>16621</v>
      </c>
      <c r="B16622" t="inlineStr">
        <is>
          <t>x̄V̅MDCXXI</t>
        </is>
      </c>
      <c r="C16622">
        <f>ROMAN(16621)</f>
        <v/>
      </c>
      <c r="D16622">
        <f>IF(B16622=C16622, "YES", "WRONG")</f>
        <v/>
      </c>
    </row>
    <row r="16623">
      <c r="A16623" t="n">
        <v>16622</v>
      </c>
      <c r="B16623" t="inlineStr">
        <is>
          <t>x̄V̅MDCXXII</t>
        </is>
      </c>
      <c r="C16623">
        <f>ROMAN(16622)</f>
        <v/>
      </c>
      <c r="D16623">
        <f>IF(B16623=C16623, "YES", "WRONG")</f>
        <v/>
      </c>
    </row>
    <row r="16624">
      <c r="A16624" t="n">
        <v>16623</v>
      </c>
      <c r="B16624" t="inlineStr">
        <is>
          <t>x̄V̅MDCXXIII</t>
        </is>
      </c>
      <c r="C16624">
        <f>ROMAN(16623)</f>
        <v/>
      </c>
      <c r="D16624">
        <f>IF(B16624=C16624, "YES", "WRONG")</f>
        <v/>
      </c>
    </row>
    <row r="16625">
      <c r="A16625" t="n">
        <v>16624</v>
      </c>
      <c r="B16625" t="inlineStr">
        <is>
          <t>x̄V̅MDCXXIV</t>
        </is>
      </c>
      <c r="C16625">
        <f>ROMAN(16624)</f>
        <v/>
      </c>
      <c r="D16625">
        <f>IF(B16625=C16625, "YES", "WRONG")</f>
        <v/>
      </c>
    </row>
    <row r="16626">
      <c r="A16626" t="n">
        <v>16625</v>
      </c>
      <c r="B16626" t="inlineStr">
        <is>
          <t>x̄V̅MDCXXV</t>
        </is>
      </c>
      <c r="C16626">
        <f>ROMAN(16625)</f>
        <v/>
      </c>
      <c r="D16626">
        <f>IF(B16626=C16626, "YES", "WRONG")</f>
        <v/>
      </c>
    </row>
    <row r="16627">
      <c r="A16627" t="n">
        <v>16626</v>
      </c>
      <c r="B16627" t="inlineStr">
        <is>
          <t>x̄V̅MDCXXVI</t>
        </is>
      </c>
      <c r="C16627">
        <f>ROMAN(16626)</f>
        <v/>
      </c>
      <c r="D16627">
        <f>IF(B16627=C16627, "YES", "WRONG")</f>
        <v/>
      </c>
    </row>
    <row r="16628">
      <c r="A16628" t="n">
        <v>16627</v>
      </c>
      <c r="B16628" t="inlineStr">
        <is>
          <t>x̄V̅MDCXXVII</t>
        </is>
      </c>
      <c r="C16628">
        <f>ROMAN(16627)</f>
        <v/>
      </c>
      <c r="D16628">
        <f>IF(B16628=C16628, "YES", "WRONG")</f>
        <v/>
      </c>
    </row>
    <row r="16629">
      <c r="A16629" t="n">
        <v>16628</v>
      </c>
      <c r="B16629" t="inlineStr">
        <is>
          <t>x̄V̅MDCXXVIII</t>
        </is>
      </c>
      <c r="C16629">
        <f>ROMAN(16628)</f>
        <v/>
      </c>
      <c r="D16629">
        <f>IF(B16629=C16629, "YES", "WRONG")</f>
        <v/>
      </c>
    </row>
    <row r="16630">
      <c r="A16630" t="n">
        <v>16629</v>
      </c>
      <c r="B16630" t="inlineStr">
        <is>
          <t>x̄V̅MDCXXIX</t>
        </is>
      </c>
      <c r="C16630">
        <f>ROMAN(16629)</f>
        <v/>
      </c>
      <c r="D16630">
        <f>IF(B16630=C16630, "YES", "WRONG")</f>
        <v/>
      </c>
    </row>
    <row r="16631">
      <c r="A16631" t="n">
        <v>16630</v>
      </c>
      <c r="B16631" t="inlineStr">
        <is>
          <t>x̄V̅MDCXXX</t>
        </is>
      </c>
      <c r="C16631">
        <f>ROMAN(16630)</f>
        <v/>
      </c>
      <c r="D16631">
        <f>IF(B16631=C16631, "YES", "WRONG")</f>
        <v/>
      </c>
    </row>
    <row r="16632">
      <c r="A16632" t="n">
        <v>16631</v>
      </c>
      <c r="B16632" t="inlineStr">
        <is>
          <t>x̄V̅MDCXXXI</t>
        </is>
      </c>
      <c r="C16632">
        <f>ROMAN(16631)</f>
        <v/>
      </c>
      <c r="D16632">
        <f>IF(B16632=C16632, "YES", "WRONG")</f>
        <v/>
      </c>
    </row>
    <row r="16633">
      <c r="A16633" t="n">
        <v>16632</v>
      </c>
      <c r="B16633" t="inlineStr">
        <is>
          <t>x̄V̅MDCXXXII</t>
        </is>
      </c>
      <c r="C16633">
        <f>ROMAN(16632)</f>
        <v/>
      </c>
      <c r="D16633">
        <f>IF(B16633=C16633, "YES", "WRONG")</f>
        <v/>
      </c>
    </row>
    <row r="16634">
      <c r="A16634" t="n">
        <v>16633</v>
      </c>
      <c r="B16634" t="inlineStr">
        <is>
          <t>x̄V̅MDCXXXIII</t>
        </is>
      </c>
      <c r="C16634">
        <f>ROMAN(16633)</f>
        <v/>
      </c>
      <c r="D16634">
        <f>IF(B16634=C16634, "YES", "WRONG")</f>
        <v/>
      </c>
    </row>
    <row r="16635">
      <c r="A16635" t="n">
        <v>16634</v>
      </c>
      <c r="B16635" t="inlineStr">
        <is>
          <t>x̄V̅MDCXXXIV</t>
        </is>
      </c>
      <c r="C16635">
        <f>ROMAN(16634)</f>
        <v/>
      </c>
      <c r="D16635">
        <f>IF(B16635=C16635, "YES", "WRONG")</f>
        <v/>
      </c>
    </row>
    <row r="16636">
      <c r="A16636" t="n">
        <v>16635</v>
      </c>
      <c r="B16636" t="inlineStr">
        <is>
          <t>x̄V̅MDCXXXV</t>
        </is>
      </c>
      <c r="C16636">
        <f>ROMAN(16635)</f>
        <v/>
      </c>
      <c r="D16636">
        <f>IF(B16636=C16636, "YES", "WRONG")</f>
        <v/>
      </c>
    </row>
    <row r="16637">
      <c r="A16637" t="n">
        <v>16636</v>
      </c>
      <c r="B16637" t="inlineStr">
        <is>
          <t>x̄V̅MDCXXXVI</t>
        </is>
      </c>
      <c r="C16637">
        <f>ROMAN(16636)</f>
        <v/>
      </c>
      <c r="D16637">
        <f>IF(B16637=C16637, "YES", "WRONG")</f>
        <v/>
      </c>
    </row>
    <row r="16638">
      <c r="A16638" t="n">
        <v>16637</v>
      </c>
      <c r="B16638" t="inlineStr">
        <is>
          <t>x̄V̅MDCXXXVII</t>
        </is>
      </c>
      <c r="C16638">
        <f>ROMAN(16637)</f>
        <v/>
      </c>
      <c r="D16638">
        <f>IF(B16638=C16638, "YES", "WRONG")</f>
        <v/>
      </c>
    </row>
    <row r="16639">
      <c r="A16639" t="n">
        <v>16638</v>
      </c>
      <c r="B16639" t="inlineStr">
        <is>
          <t>x̄V̅MDCXXXVIII</t>
        </is>
      </c>
      <c r="C16639">
        <f>ROMAN(16638)</f>
        <v/>
      </c>
      <c r="D16639">
        <f>IF(B16639=C16639, "YES", "WRONG")</f>
        <v/>
      </c>
    </row>
    <row r="16640">
      <c r="A16640" t="n">
        <v>16639</v>
      </c>
      <c r="B16640" t="inlineStr">
        <is>
          <t>x̄V̅MDCXXXIX</t>
        </is>
      </c>
      <c r="C16640">
        <f>ROMAN(16639)</f>
        <v/>
      </c>
      <c r="D16640">
        <f>IF(B16640=C16640, "YES", "WRONG")</f>
        <v/>
      </c>
    </row>
    <row r="16641">
      <c r="A16641" t="n">
        <v>16640</v>
      </c>
      <c r="B16641" t="inlineStr">
        <is>
          <t>x̄V̅MDCXL</t>
        </is>
      </c>
      <c r="C16641">
        <f>ROMAN(16640)</f>
        <v/>
      </c>
      <c r="D16641">
        <f>IF(B16641=C16641, "YES", "WRONG")</f>
        <v/>
      </c>
    </row>
    <row r="16642">
      <c r="A16642" t="n">
        <v>16641</v>
      </c>
      <c r="B16642" t="inlineStr">
        <is>
          <t>x̄V̅MDCXLI</t>
        </is>
      </c>
      <c r="C16642">
        <f>ROMAN(16641)</f>
        <v/>
      </c>
      <c r="D16642">
        <f>IF(B16642=C16642, "YES", "WRONG")</f>
        <v/>
      </c>
    </row>
    <row r="16643">
      <c r="A16643" t="n">
        <v>16642</v>
      </c>
      <c r="B16643" t="inlineStr">
        <is>
          <t>x̄V̅MDCXLII</t>
        </is>
      </c>
      <c r="C16643">
        <f>ROMAN(16642)</f>
        <v/>
      </c>
      <c r="D16643">
        <f>IF(B16643=C16643, "YES", "WRONG")</f>
        <v/>
      </c>
    </row>
    <row r="16644">
      <c r="A16644" t="n">
        <v>16643</v>
      </c>
      <c r="B16644" t="inlineStr">
        <is>
          <t>x̄V̅MDCXLIII</t>
        </is>
      </c>
      <c r="C16644">
        <f>ROMAN(16643)</f>
        <v/>
      </c>
      <c r="D16644">
        <f>IF(B16644=C16644, "YES", "WRONG")</f>
        <v/>
      </c>
    </row>
    <row r="16645">
      <c r="A16645" t="n">
        <v>16644</v>
      </c>
      <c r="B16645" t="inlineStr">
        <is>
          <t>x̄V̅MDCXLIV</t>
        </is>
      </c>
      <c r="C16645">
        <f>ROMAN(16644)</f>
        <v/>
      </c>
      <c r="D16645">
        <f>IF(B16645=C16645, "YES", "WRONG")</f>
        <v/>
      </c>
    </row>
    <row r="16646">
      <c r="A16646" t="n">
        <v>16645</v>
      </c>
      <c r="B16646" t="inlineStr">
        <is>
          <t>x̄V̅MDCXLV</t>
        </is>
      </c>
      <c r="C16646">
        <f>ROMAN(16645)</f>
        <v/>
      </c>
      <c r="D16646">
        <f>IF(B16646=C16646, "YES", "WRONG")</f>
        <v/>
      </c>
    </row>
    <row r="16647">
      <c r="A16647" t="n">
        <v>16646</v>
      </c>
      <c r="B16647" t="inlineStr">
        <is>
          <t>x̄V̅MDCXLVI</t>
        </is>
      </c>
      <c r="C16647">
        <f>ROMAN(16646)</f>
        <v/>
      </c>
      <c r="D16647">
        <f>IF(B16647=C16647, "YES", "WRONG")</f>
        <v/>
      </c>
    </row>
    <row r="16648">
      <c r="A16648" t="n">
        <v>16647</v>
      </c>
      <c r="B16648" t="inlineStr">
        <is>
          <t>x̄V̅MDCXLVII</t>
        </is>
      </c>
      <c r="C16648">
        <f>ROMAN(16647)</f>
        <v/>
      </c>
      <c r="D16648">
        <f>IF(B16648=C16648, "YES", "WRONG")</f>
        <v/>
      </c>
    </row>
    <row r="16649">
      <c r="A16649" t="n">
        <v>16648</v>
      </c>
      <c r="B16649" t="inlineStr">
        <is>
          <t>x̄V̅MDCXLVIII</t>
        </is>
      </c>
      <c r="C16649">
        <f>ROMAN(16648)</f>
        <v/>
      </c>
      <c r="D16649">
        <f>IF(B16649=C16649, "YES", "WRONG")</f>
        <v/>
      </c>
    </row>
    <row r="16650">
      <c r="A16650" t="n">
        <v>16649</v>
      </c>
      <c r="B16650" t="inlineStr">
        <is>
          <t>x̄V̅MDCXLIX</t>
        </is>
      </c>
      <c r="C16650">
        <f>ROMAN(16649)</f>
        <v/>
      </c>
      <c r="D16650">
        <f>IF(B16650=C16650, "YES", "WRONG")</f>
        <v/>
      </c>
    </row>
    <row r="16651">
      <c r="A16651" t="n">
        <v>16650</v>
      </c>
      <c r="B16651" t="inlineStr">
        <is>
          <t>x̄V̅MDCL</t>
        </is>
      </c>
      <c r="C16651">
        <f>ROMAN(16650)</f>
        <v/>
      </c>
      <c r="D16651">
        <f>IF(B16651=C16651, "YES", "WRONG")</f>
        <v/>
      </c>
    </row>
    <row r="16652">
      <c r="A16652" t="n">
        <v>16651</v>
      </c>
      <c r="B16652" t="inlineStr">
        <is>
          <t>x̄V̅MDCLI</t>
        </is>
      </c>
      <c r="C16652">
        <f>ROMAN(16651)</f>
        <v/>
      </c>
      <c r="D16652">
        <f>IF(B16652=C16652, "YES", "WRONG")</f>
        <v/>
      </c>
    </row>
    <row r="16653">
      <c r="A16653" t="n">
        <v>16652</v>
      </c>
      <c r="B16653" t="inlineStr">
        <is>
          <t>x̄V̅MDCLII</t>
        </is>
      </c>
      <c r="C16653">
        <f>ROMAN(16652)</f>
        <v/>
      </c>
      <c r="D16653">
        <f>IF(B16653=C16653, "YES", "WRONG")</f>
        <v/>
      </c>
    </row>
    <row r="16654">
      <c r="A16654" t="n">
        <v>16653</v>
      </c>
      <c r="B16654" t="inlineStr">
        <is>
          <t>x̄V̅MDCLIII</t>
        </is>
      </c>
      <c r="C16654">
        <f>ROMAN(16653)</f>
        <v/>
      </c>
      <c r="D16654">
        <f>IF(B16654=C16654, "YES", "WRONG")</f>
        <v/>
      </c>
    </row>
    <row r="16655">
      <c r="A16655" t="n">
        <v>16654</v>
      </c>
      <c r="B16655" t="inlineStr">
        <is>
          <t>x̄V̅MDCLIV</t>
        </is>
      </c>
      <c r="C16655">
        <f>ROMAN(16654)</f>
        <v/>
      </c>
      <c r="D16655">
        <f>IF(B16655=C16655, "YES", "WRONG")</f>
        <v/>
      </c>
    </row>
    <row r="16656">
      <c r="A16656" t="n">
        <v>16655</v>
      </c>
      <c r="B16656" t="inlineStr">
        <is>
          <t>x̄V̅MDCLV</t>
        </is>
      </c>
      <c r="C16656">
        <f>ROMAN(16655)</f>
        <v/>
      </c>
      <c r="D16656">
        <f>IF(B16656=C16656, "YES", "WRONG")</f>
        <v/>
      </c>
    </row>
    <row r="16657">
      <c r="A16657" t="n">
        <v>16656</v>
      </c>
      <c r="B16657" t="inlineStr">
        <is>
          <t>x̄V̅MDCLVI</t>
        </is>
      </c>
      <c r="C16657">
        <f>ROMAN(16656)</f>
        <v/>
      </c>
      <c r="D16657">
        <f>IF(B16657=C16657, "YES", "WRONG")</f>
        <v/>
      </c>
    </row>
    <row r="16658">
      <c r="A16658" t="n">
        <v>16657</v>
      </c>
      <c r="B16658" t="inlineStr">
        <is>
          <t>x̄V̅MDCLVII</t>
        </is>
      </c>
      <c r="C16658">
        <f>ROMAN(16657)</f>
        <v/>
      </c>
      <c r="D16658">
        <f>IF(B16658=C16658, "YES", "WRONG")</f>
        <v/>
      </c>
    </row>
    <row r="16659">
      <c r="A16659" t="n">
        <v>16658</v>
      </c>
      <c r="B16659" t="inlineStr">
        <is>
          <t>x̄V̅MDCLVIII</t>
        </is>
      </c>
      <c r="C16659">
        <f>ROMAN(16658)</f>
        <v/>
      </c>
      <c r="D16659">
        <f>IF(B16659=C16659, "YES", "WRONG")</f>
        <v/>
      </c>
    </row>
    <row r="16660">
      <c r="A16660" t="n">
        <v>16659</v>
      </c>
      <c r="B16660" t="inlineStr">
        <is>
          <t>x̄V̅MDCLIX</t>
        </is>
      </c>
      <c r="C16660">
        <f>ROMAN(16659)</f>
        <v/>
      </c>
      <c r="D16660">
        <f>IF(B16660=C16660, "YES", "WRONG")</f>
        <v/>
      </c>
    </row>
    <row r="16661">
      <c r="A16661" t="n">
        <v>16660</v>
      </c>
      <c r="B16661" t="inlineStr">
        <is>
          <t>x̄V̅MDCLX</t>
        </is>
      </c>
      <c r="C16661">
        <f>ROMAN(16660)</f>
        <v/>
      </c>
      <c r="D16661">
        <f>IF(B16661=C16661, "YES", "WRONG")</f>
        <v/>
      </c>
    </row>
    <row r="16662">
      <c r="A16662" t="n">
        <v>16661</v>
      </c>
      <c r="B16662" t="inlineStr">
        <is>
          <t>x̄V̅MDCLXI</t>
        </is>
      </c>
      <c r="C16662">
        <f>ROMAN(16661)</f>
        <v/>
      </c>
      <c r="D16662">
        <f>IF(B16662=C16662, "YES", "WRONG")</f>
        <v/>
      </c>
    </row>
    <row r="16663">
      <c r="A16663" t="n">
        <v>16662</v>
      </c>
      <c r="B16663" t="inlineStr">
        <is>
          <t>x̄V̅MDCLXII</t>
        </is>
      </c>
      <c r="C16663">
        <f>ROMAN(16662)</f>
        <v/>
      </c>
      <c r="D16663">
        <f>IF(B16663=C16663, "YES", "WRONG")</f>
        <v/>
      </c>
    </row>
    <row r="16664">
      <c r="A16664" t="n">
        <v>16663</v>
      </c>
      <c r="B16664" t="inlineStr">
        <is>
          <t>x̄V̅MDCLXIII</t>
        </is>
      </c>
      <c r="C16664">
        <f>ROMAN(16663)</f>
        <v/>
      </c>
      <c r="D16664">
        <f>IF(B16664=C16664, "YES", "WRONG")</f>
        <v/>
      </c>
    </row>
    <row r="16665">
      <c r="A16665" t="n">
        <v>16664</v>
      </c>
      <c r="B16665" t="inlineStr">
        <is>
          <t>x̄V̅MDCLXIV</t>
        </is>
      </c>
      <c r="C16665">
        <f>ROMAN(16664)</f>
        <v/>
      </c>
      <c r="D16665">
        <f>IF(B16665=C16665, "YES", "WRONG")</f>
        <v/>
      </c>
    </row>
    <row r="16666">
      <c r="A16666" t="n">
        <v>16665</v>
      </c>
      <c r="B16666" t="inlineStr">
        <is>
          <t>x̄V̅MDCLXV</t>
        </is>
      </c>
      <c r="C16666">
        <f>ROMAN(16665)</f>
        <v/>
      </c>
      <c r="D16666">
        <f>IF(B16666=C16666, "YES", "WRONG")</f>
        <v/>
      </c>
    </row>
    <row r="16667">
      <c r="A16667" t="n">
        <v>16666</v>
      </c>
      <c r="B16667" t="inlineStr">
        <is>
          <t>x̄V̅MDCLXVI</t>
        </is>
      </c>
      <c r="C16667">
        <f>ROMAN(16666)</f>
        <v/>
      </c>
      <c r="D16667">
        <f>IF(B16667=C16667, "YES", "WRONG")</f>
        <v/>
      </c>
    </row>
    <row r="16668">
      <c r="A16668" t="n">
        <v>16667</v>
      </c>
      <c r="B16668" t="inlineStr">
        <is>
          <t>x̄V̅MDCLXVII</t>
        </is>
      </c>
      <c r="C16668">
        <f>ROMAN(16667)</f>
        <v/>
      </c>
      <c r="D16668">
        <f>IF(B16668=C16668, "YES", "WRONG")</f>
        <v/>
      </c>
    </row>
    <row r="16669">
      <c r="A16669" t="n">
        <v>16668</v>
      </c>
      <c r="B16669" t="inlineStr">
        <is>
          <t>x̄V̅MDCLXVIII</t>
        </is>
      </c>
      <c r="C16669">
        <f>ROMAN(16668)</f>
        <v/>
      </c>
      <c r="D16669">
        <f>IF(B16669=C16669, "YES", "WRONG")</f>
        <v/>
      </c>
    </row>
    <row r="16670">
      <c r="A16670" t="n">
        <v>16669</v>
      </c>
      <c r="B16670" t="inlineStr">
        <is>
          <t>x̄V̅MDCLXIX</t>
        </is>
      </c>
      <c r="C16670">
        <f>ROMAN(16669)</f>
        <v/>
      </c>
      <c r="D16670">
        <f>IF(B16670=C16670, "YES", "WRONG")</f>
        <v/>
      </c>
    </row>
    <row r="16671">
      <c r="A16671" t="n">
        <v>16670</v>
      </c>
      <c r="B16671" t="inlineStr">
        <is>
          <t>x̄V̅MDCLXX</t>
        </is>
      </c>
      <c r="C16671">
        <f>ROMAN(16670)</f>
        <v/>
      </c>
      <c r="D16671">
        <f>IF(B16671=C16671, "YES", "WRONG")</f>
        <v/>
      </c>
    </row>
    <row r="16672">
      <c r="A16672" t="n">
        <v>16671</v>
      </c>
      <c r="B16672" t="inlineStr">
        <is>
          <t>x̄V̅MDCLXXI</t>
        </is>
      </c>
      <c r="C16672">
        <f>ROMAN(16671)</f>
        <v/>
      </c>
      <c r="D16672">
        <f>IF(B16672=C16672, "YES", "WRONG")</f>
        <v/>
      </c>
    </row>
    <row r="16673">
      <c r="A16673" t="n">
        <v>16672</v>
      </c>
      <c r="B16673" t="inlineStr">
        <is>
          <t>x̄V̅MDCLXXII</t>
        </is>
      </c>
      <c r="C16673">
        <f>ROMAN(16672)</f>
        <v/>
      </c>
      <c r="D16673">
        <f>IF(B16673=C16673, "YES", "WRONG")</f>
        <v/>
      </c>
    </row>
    <row r="16674">
      <c r="A16674" t="n">
        <v>16673</v>
      </c>
      <c r="B16674" t="inlineStr">
        <is>
          <t>x̄V̅MDCLXXIII</t>
        </is>
      </c>
      <c r="C16674">
        <f>ROMAN(16673)</f>
        <v/>
      </c>
      <c r="D16674">
        <f>IF(B16674=C16674, "YES", "WRONG")</f>
        <v/>
      </c>
    </row>
    <row r="16675">
      <c r="A16675" t="n">
        <v>16674</v>
      </c>
      <c r="B16675" t="inlineStr">
        <is>
          <t>x̄V̅MDCLXXIV</t>
        </is>
      </c>
      <c r="C16675">
        <f>ROMAN(16674)</f>
        <v/>
      </c>
      <c r="D16675">
        <f>IF(B16675=C16675, "YES", "WRONG")</f>
        <v/>
      </c>
    </row>
    <row r="16676">
      <c r="A16676" t="n">
        <v>16675</v>
      </c>
      <c r="B16676" t="inlineStr">
        <is>
          <t>x̄V̅MDCLXXV</t>
        </is>
      </c>
      <c r="C16676">
        <f>ROMAN(16675)</f>
        <v/>
      </c>
      <c r="D16676">
        <f>IF(B16676=C16676, "YES", "WRONG")</f>
        <v/>
      </c>
    </row>
    <row r="16677">
      <c r="A16677" t="n">
        <v>16676</v>
      </c>
      <c r="B16677" t="inlineStr">
        <is>
          <t>x̄V̅MDCLXXVI</t>
        </is>
      </c>
      <c r="C16677">
        <f>ROMAN(16676)</f>
        <v/>
      </c>
      <c r="D16677">
        <f>IF(B16677=C16677, "YES", "WRONG")</f>
        <v/>
      </c>
    </row>
    <row r="16678">
      <c r="A16678" t="n">
        <v>16677</v>
      </c>
      <c r="B16678" t="inlineStr">
        <is>
          <t>x̄V̅MDCLXXVII</t>
        </is>
      </c>
      <c r="C16678">
        <f>ROMAN(16677)</f>
        <v/>
      </c>
      <c r="D16678">
        <f>IF(B16678=C16678, "YES", "WRONG")</f>
        <v/>
      </c>
    </row>
    <row r="16679">
      <c r="A16679" t="n">
        <v>16678</v>
      </c>
      <c r="B16679" t="inlineStr">
        <is>
          <t>x̄V̅MDCLXXVIII</t>
        </is>
      </c>
      <c r="C16679">
        <f>ROMAN(16678)</f>
        <v/>
      </c>
      <c r="D16679">
        <f>IF(B16679=C16679, "YES", "WRONG")</f>
        <v/>
      </c>
    </row>
    <row r="16680">
      <c r="A16680" t="n">
        <v>16679</v>
      </c>
      <c r="B16680" t="inlineStr">
        <is>
          <t>x̄V̅MDCLXXIX</t>
        </is>
      </c>
      <c r="C16680">
        <f>ROMAN(16679)</f>
        <v/>
      </c>
      <c r="D16680">
        <f>IF(B16680=C16680, "YES", "WRONG")</f>
        <v/>
      </c>
    </row>
    <row r="16681">
      <c r="A16681" t="n">
        <v>16680</v>
      </c>
      <c r="B16681" t="inlineStr">
        <is>
          <t>x̄V̅MDCLXXX</t>
        </is>
      </c>
      <c r="C16681">
        <f>ROMAN(16680)</f>
        <v/>
      </c>
      <c r="D16681">
        <f>IF(B16681=C16681, "YES", "WRONG")</f>
        <v/>
      </c>
    </row>
    <row r="16682">
      <c r="A16682" t="n">
        <v>16681</v>
      </c>
      <c r="B16682" t="inlineStr">
        <is>
          <t>x̄V̅MDCLXXXI</t>
        </is>
      </c>
      <c r="C16682">
        <f>ROMAN(16681)</f>
        <v/>
      </c>
      <c r="D16682">
        <f>IF(B16682=C16682, "YES", "WRONG")</f>
        <v/>
      </c>
    </row>
    <row r="16683">
      <c r="A16683" t="n">
        <v>16682</v>
      </c>
      <c r="B16683" t="inlineStr">
        <is>
          <t>x̄V̅MDCLXXXII</t>
        </is>
      </c>
      <c r="C16683">
        <f>ROMAN(16682)</f>
        <v/>
      </c>
      <c r="D16683">
        <f>IF(B16683=C16683, "YES", "WRONG")</f>
        <v/>
      </c>
    </row>
    <row r="16684">
      <c r="A16684" t="n">
        <v>16683</v>
      </c>
      <c r="B16684" t="inlineStr">
        <is>
          <t>x̄V̅MDCLXXXIII</t>
        </is>
      </c>
      <c r="C16684">
        <f>ROMAN(16683)</f>
        <v/>
      </c>
      <c r="D16684">
        <f>IF(B16684=C16684, "YES", "WRONG")</f>
        <v/>
      </c>
    </row>
    <row r="16685">
      <c r="A16685" t="n">
        <v>16684</v>
      </c>
      <c r="B16685" t="inlineStr">
        <is>
          <t>x̄V̅MDCLXXXIV</t>
        </is>
      </c>
      <c r="C16685">
        <f>ROMAN(16684)</f>
        <v/>
      </c>
      <c r="D16685">
        <f>IF(B16685=C16685, "YES", "WRONG")</f>
        <v/>
      </c>
    </row>
    <row r="16686">
      <c r="A16686" t="n">
        <v>16685</v>
      </c>
      <c r="B16686" t="inlineStr">
        <is>
          <t>x̄V̅MDCLXXXV</t>
        </is>
      </c>
      <c r="C16686">
        <f>ROMAN(16685)</f>
        <v/>
      </c>
      <c r="D16686">
        <f>IF(B16686=C16686, "YES", "WRONG")</f>
        <v/>
      </c>
    </row>
    <row r="16687">
      <c r="A16687" t="n">
        <v>16686</v>
      </c>
      <c r="B16687" t="inlineStr">
        <is>
          <t>x̄V̅MDCLXXXVI</t>
        </is>
      </c>
      <c r="C16687">
        <f>ROMAN(16686)</f>
        <v/>
      </c>
      <c r="D16687">
        <f>IF(B16687=C16687, "YES", "WRONG")</f>
        <v/>
      </c>
    </row>
    <row r="16688">
      <c r="A16688" t="n">
        <v>16687</v>
      </c>
      <c r="B16688" t="inlineStr">
        <is>
          <t>x̄V̅MDCLXXXVII</t>
        </is>
      </c>
      <c r="C16688">
        <f>ROMAN(16687)</f>
        <v/>
      </c>
      <c r="D16688">
        <f>IF(B16688=C16688, "YES", "WRONG")</f>
        <v/>
      </c>
    </row>
    <row r="16689">
      <c r="A16689" t="n">
        <v>16688</v>
      </c>
      <c r="B16689" t="inlineStr">
        <is>
          <t>x̄V̅MDCLXXXVIII</t>
        </is>
      </c>
      <c r="C16689">
        <f>ROMAN(16688)</f>
        <v/>
      </c>
      <c r="D16689">
        <f>IF(B16689=C16689, "YES", "WRONG")</f>
        <v/>
      </c>
    </row>
    <row r="16690">
      <c r="A16690" t="n">
        <v>16689</v>
      </c>
      <c r="B16690" t="inlineStr">
        <is>
          <t>x̄V̅MDCLXXXIX</t>
        </is>
      </c>
      <c r="C16690">
        <f>ROMAN(16689)</f>
        <v/>
      </c>
      <c r="D16690">
        <f>IF(B16690=C16690, "YES", "WRONG")</f>
        <v/>
      </c>
    </row>
    <row r="16691">
      <c r="A16691" t="n">
        <v>16690</v>
      </c>
      <c r="B16691" t="inlineStr">
        <is>
          <t>x̄V̅MDCXC</t>
        </is>
      </c>
      <c r="C16691">
        <f>ROMAN(16690)</f>
        <v/>
      </c>
      <c r="D16691">
        <f>IF(B16691=C16691, "YES", "WRONG")</f>
        <v/>
      </c>
    </row>
    <row r="16692">
      <c r="A16692" t="n">
        <v>16691</v>
      </c>
      <c r="B16692" t="inlineStr">
        <is>
          <t>x̄V̅MDCXCI</t>
        </is>
      </c>
      <c r="C16692">
        <f>ROMAN(16691)</f>
        <v/>
      </c>
      <c r="D16692">
        <f>IF(B16692=C16692, "YES", "WRONG")</f>
        <v/>
      </c>
    </row>
    <row r="16693">
      <c r="A16693" t="n">
        <v>16692</v>
      </c>
      <c r="B16693" t="inlineStr">
        <is>
          <t>x̄V̅MDCXCII</t>
        </is>
      </c>
      <c r="C16693">
        <f>ROMAN(16692)</f>
        <v/>
      </c>
      <c r="D16693">
        <f>IF(B16693=C16693, "YES", "WRONG")</f>
        <v/>
      </c>
    </row>
    <row r="16694">
      <c r="A16694" t="n">
        <v>16693</v>
      </c>
      <c r="B16694" t="inlineStr">
        <is>
          <t>x̄V̅MDCXCIII</t>
        </is>
      </c>
      <c r="C16694">
        <f>ROMAN(16693)</f>
        <v/>
      </c>
      <c r="D16694">
        <f>IF(B16694=C16694, "YES", "WRONG")</f>
        <v/>
      </c>
    </row>
    <row r="16695">
      <c r="A16695" t="n">
        <v>16694</v>
      </c>
      <c r="B16695" t="inlineStr">
        <is>
          <t>x̄V̅MDCXCIV</t>
        </is>
      </c>
      <c r="C16695">
        <f>ROMAN(16694)</f>
        <v/>
      </c>
      <c r="D16695">
        <f>IF(B16695=C16695, "YES", "WRONG")</f>
        <v/>
      </c>
    </row>
    <row r="16696">
      <c r="A16696" t="n">
        <v>16695</v>
      </c>
      <c r="B16696" t="inlineStr">
        <is>
          <t>x̄V̅MDCXCV</t>
        </is>
      </c>
      <c r="C16696">
        <f>ROMAN(16695)</f>
        <v/>
      </c>
      <c r="D16696">
        <f>IF(B16696=C16696, "YES", "WRONG")</f>
        <v/>
      </c>
    </row>
    <row r="16697">
      <c r="A16697" t="n">
        <v>16696</v>
      </c>
      <c r="B16697" t="inlineStr">
        <is>
          <t>x̄V̅MDCXCVI</t>
        </is>
      </c>
      <c r="C16697">
        <f>ROMAN(16696)</f>
        <v/>
      </c>
      <c r="D16697">
        <f>IF(B16697=C16697, "YES", "WRONG")</f>
        <v/>
      </c>
    </row>
    <row r="16698">
      <c r="A16698" t="n">
        <v>16697</v>
      </c>
      <c r="B16698" t="inlineStr">
        <is>
          <t>x̄V̅MDCXCVII</t>
        </is>
      </c>
      <c r="C16698">
        <f>ROMAN(16697)</f>
        <v/>
      </c>
      <c r="D16698">
        <f>IF(B16698=C16698, "YES", "WRONG")</f>
        <v/>
      </c>
    </row>
    <row r="16699">
      <c r="A16699" t="n">
        <v>16698</v>
      </c>
      <c r="B16699" t="inlineStr">
        <is>
          <t>x̄V̅MDCXCVIII</t>
        </is>
      </c>
      <c r="C16699">
        <f>ROMAN(16698)</f>
        <v/>
      </c>
      <c r="D16699">
        <f>IF(B16699=C16699, "YES", "WRONG")</f>
        <v/>
      </c>
    </row>
    <row r="16700">
      <c r="A16700" t="n">
        <v>16699</v>
      </c>
      <c r="B16700" t="inlineStr">
        <is>
          <t>x̄V̅MDCXCIX</t>
        </is>
      </c>
      <c r="C16700">
        <f>ROMAN(16699)</f>
        <v/>
      </c>
      <c r="D16700">
        <f>IF(B16700=C16700, "YES", "WRONG")</f>
        <v/>
      </c>
    </row>
    <row r="16701">
      <c r="A16701" t="n">
        <v>16700</v>
      </c>
      <c r="B16701" t="inlineStr">
        <is>
          <t>x̄V̅MDCC</t>
        </is>
      </c>
      <c r="C16701">
        <f>ROMAN(16700)</f>
        <v/>
      </c>
      <c r="D16701">
        <f>IF(B16701=C16701, "YES", "WRONG")</f>
        <v/>
      </c>
    </row>
    <row r="16702">
      <c r="A16702" t="n">
        <v>16701</v>
      </c>
      <c r="B16702" t="inlineStr">
        <is>
          <t>x̄V̅MDCCI</t>
        </is>
      </c>
      <c r="C16702">
        <f>ROMAN(16701)</f>
        <v/>
      </c>
      <c r="D16702">
        <f>IF(B16702=C16702, "YES", "WRONG")</f>
        <v/>
      </c>
    </row>
    <row r="16703">
      <c r="A16703" t="n">
        <v>16702</v>
      </c>
      <c r="B16703" t="inlineStr">
        <is>
          <t>x̄V̅MDCCII</t>
        </is>
      </c>
      <c r="C16703">
        <f>ROMAN(16702)</f>
        <v/>
      </c>
      <c r="D16703">
        <f>IF(B16703=C16703, "YES", "WRONG")</f>
        <v/>
      </c>
    </row>
    <row r="16704">
      <c r="A16704" t="n">
        <v>16703</v>
      </c>
      <c r="B16704" t="inlineStr">
        <is>
          <t>x̄V̅MDCCIII</t>
        </is>
      </c>
      <c r="C16704">
        <f>ROMAN(16703)</f>
        <v/>
      </c>
      <c r="D16704">
        <f>IF(B16704=C16704, "YES", "WRONG")</f>
        <v/>
      </c>
    </row>
    <row r="16705">
      <c r="A16705" t="n">
        <v>16704</v>
      </c>
      <c r="B16705" t="inlineStr">
        <is>
          <t>x̄V̅MDCCIV</t>
        </is>
      </c>
      <c r="C16705">
        <f>ROMAN(16704)</f>
        <v/>
      </c>
      <c r="D16705">
        <f>IF(B16705=C16705, "YES", "WRONG")</f>
        <v/>
      </c>
    </row>
    <row r="16706">
      <c r="A16706" t="n">
        <v>16705</v>
      </c>
      <c r="B16706" t="inlineStr">
        <is>
          <t>x̄V̅MDCCV</t>
        </is>
      </c>
      <c r="C16706">
        <f>ROMAN(16705)</f>
        <v/>
      </c>
      <c r="D16706">
        <f>IF(B16706=C16706, "YES", "WRONG")</f>
        <v/>
      </c>
    </row>
    <row r="16707">
      <c r="A16707" t="n">
        <v>16706</v>
      </c>
      <c r="B16707" t="inlineStr">
        <is>
          <t>x̄V̅MDCCVI</t>
        </is>
      </c>
      <c r="C16707">
        <f>ROMAN(16706)</f>
        <v/>
      </c>
      <c r="D16707">
        <f>IF(B16707=C16707, "YES", "WRONG")</f>
        <v/>
      </c>
    </row>
    <row r="16708">
      <c r="A16708" t="n">
        <v>16707</v>
      </c>
      <c r="B16708" t="inlineStr">
        <is>
          <t>x̄V̅MDCCVII</t>
        </is>
      </c>
      <c r="C16708">
        <f>ROMAN(16707)</f>
        <v/>
      </c>
      <c r="D16708">
        <f>IF(B16708=C16708, "YES", "WRONG")</f>
        <v/>
      </c>
    </row>
    <row r="16709">
      <c r="A16709" t="n">
        <v>16708</v>
      </c>
      <c r="B16709" t="inlineStr">
        <is>
          <t>x̄V̅MDCCVIII</t>
        </is>
      </c>
      <c r="C16709">
        <f>ROMAN(16708)</f>
        <v/>
      </c>
      <c r="D16709">
        <f>IF(B16709=C16709, "YES", "WRONG")</f>
        <v/>
      </c>
    </row>
    <row r="16710">
      <c r="A16710" t="n">
        <v>16709</v>
      </c>
      <c r="B16710" t="inlineStr">
        <is>
          <t>x̄V̅MDCCIX</t>
        </is>
      </c>
      <c r="C16710">
        <f>ROMAN(16709)</f>
        <v/>
      </c>
      <c r="D16710">
        <f>IF(B16710=C16710, "YES", "WRONG")</f>
        <v/>
      </c>
    </row>
    <row r="16711">
      <c r="A16711" t="n">
        <v>16710</v>
      </c>
      <c r="B16711" t="inlineStr">
        <is>
          <t>x̄V̅MDCCX</t>
        </is>
      </c>
      <c r="C16711">
        <f>ROMAN(16710)</f>
        <v/>
      </c>
      <c r="D16711">
        <f>IF(B16711=C16711, "YES", "WRONG")</f>
        <v/>
      </c>
    </row>
    <row r="16712">
      <c r="A16712" t="n">
        <v>16711</v>
      </c>
      <c r="B16712" t="inlineStr">
        <is>
          <t>x̄V̅MDCCXI</t>
        </is>
      </c>
      <c r="C16712">
        <f>ROMAN(16711)</f>
        <v/>
      </c>
      <c r="D16712">
        <f>IF(B16712=C16712, "YES", "WRONG")</f>
        <v/>
      </c>
    </row>
    <row r="16713">
      <c r="A16713" t="n">
        <v>16712</v>
      </c>
      <c r="B16713" t="inlineStr">
        <is>
          <t>x̄V̅MDCCXII</t>
        </is>
      </c>
      <c r="C16713">
        <f>ROMAN(16712)</f>
        <v/>
      </c>
      <c r="D16713">
        <f>IF(B16713=C16713, "YES", "WRONG")</f>
        <v/>
      </c>
    </row>
    <row r="16714">
      <c r="A16714" t="n">
        <v>16713</v>
      </c>
      <c r="B16714" t="inlineStr">
        <is>
          <t>x̄V̅MDCCXIII</t>
        </is>
      </c>
      <c r="C16714">
        <f>ROMAN(16713)</f>
        <v/>
      </c>
      <c r="D16714">
        <f>IF(B16714=C16714, "YES", "WRONG")</f>
        <v/>
      </c>
    </row>
    <row r="16715">
      <c r="A16715" t="n">
        <v>16714</v>
      </c>
      <c r="B16715" t="inlineStr">
        <is>
          <t>x̄V̅MDCCXIV</t>
        </is>
      </c>
      <c r="C16715">
        <f>ROMAN(16714)</f>
        <v/>
      </c>
      <c r="D16715">
        <f>IF(B16715=C16715, "YES", "WRONG")</f>
        <v/>
      </c>
    </row>
    <row r="16716">
      <c r="A16716" t="n">
        <v>16715</v>
      </c>
      <c r="B16716" t="inlineStr">
        <is>
          <t>x̄V̅MDCCXV</t>
        </is>
      </c>
      <c r="C16716">
        <f>ROMAN(16715)</f>
        <v/>
      </c>
      <c r="D16716">
        <f>IF(B16716=C16716, "YES", "WRONG")</f>
        <v/>
      </c>
    </row>
    <row r="16717">
      <c r="A16717" t="n">
        <v>16716</v>
      </c>
      <c r="B16717" t="inlineStr">
        <is>
          <t>x̄V̅MDCCXVI</t>
        </is>
      </c>
      <c r="C16717">
        <f>ROMAN(16716)</f>
        <v/>
      </c>
      <c r="D16717">
        <f>IF(B16717=C16717, "YES", "WRONG")</f>
        <v/>
      </c>
    </row>
    <row r="16718">
      <c r="A16718" t="n">
        <v>16717</v>
      </c>
      <c r="B16718" t="inlineStr">
        <is>
          <t>x̄V̅MDCCXVII</t>
        </is>
      </c>
      <c r="C16718">
        <f>ROMAN(16717)</f>
        <v/>
      </c>
      <c r="D16718">
        <f>IF(B16718=C16718, "YES", "WRONG")</f>
        <v/>
      </c>
    </row>
    <row r="16719">
      <c r="A16719" t="n">
        <v>16718</v>
      </c>
      <c r="B16719" t="inlineStr">
        <is>
          <t>x̄V̅MDCCXVIII</t>
        </is>
      </c>
      <c r="C16719">
        <f>ROMAN(16718)</f>
        <v/>
      </c>
      <c r="D16719">
        <f>IF(B16719=C16719, "YES", "WRONG")</f>
        <v/>
      </c>
    </row>
    <row r="16720">
      <c r="A16720" t="n">
        <v>16719</v>
      </c>
      <c r="B16720" t="inlineStr">
        <is>
          <t>x̄V̅MDCCXIX</t>
        </is>
      </c>
      <c r="C16720">
        <f>ROMAN(16719)</f>
        <v/>
      </c>
      <c r="D16720">
        <f>IF(B16720=C16720, "YES", "WRONG")</f>
        <v/>
      </c>
    </row>
    <row r="16721">
      <c r="A16721" t="n">
        <v>16720</v>
      </c>
      <c r="B16721" t="inlineStr">
        <is>
          <t>x̄V̅MDCCXX</t>
        </is>
      </c>
      <c r="C16721">
        <f>ROMAN(16720)</f>
        <v/>
      </c>
      <c r="D16721">
        <f>IF(B16721=C16721, "YES", "WRONG")</f>
        <v/>
      </c>
    </row>
    <row r="16722">
      <c r="A16722" t="n">
        <v>16721</v>
      </c>
      <c r="B16722" t="inlineStr">
        <is>
          <t>x̄V̅MDCCXXI</t>
        </is>
      </c>
      <c r="C16722">
        <f>ROMAN(16721)</f>
        <v/>
      </c>
      <c r="D16722">
        <f>IF(B16722=C16722, "YES", "WRONG")</f>
        <v/>
      </c>
    </row>
    <row r="16723">
      <c r="A16723" t="n">
        <v>16722</v>
      </c>
      <c r="B16723" t="inlineStr">
        <is>
          <t>x̄V̅MDCCXXII</t>
        </is>
      </c>
      <c r="C16723">
        <f>ROMAN(16722)</f>
        <v/>
      </c>
      <c r="D16723">
        <f>IF(B16723=C16723, "YES", "WRONG")</f>
        <v/>
      </c>
    </row>
    <row r="16724">
      <c r="A16724" t="n">
        <v>16723</v>
      </c>
      <c r="B16724" t="inlineStr">
        <is>
          <t>x̄V̅MDCCXXIII</t>
        </is>
      </c>
      <c r="C16724">
        <f>ROMAN(16723)</f>
        <v/>
      </c>
      <c r="D16724">
        <f>IF(B16724=C16724, "YES", "WRONG")</f>
        <v/>
      </c>
    </row>
    <row r="16725">
      <c r="A16725" t="n">
        <v>16724</v>
      </c>
      <c r="B16725" t="inlineStr">
        <is>
          <t>x̄V̅MDCCXXIV</t>
        </is>
      </c>
      <c r="C16725">
        <f>ROMAN(16724)</f>
        <v/>
      </c>
      <c r="D16725">
        <f>IF(B16725=C16725, "YES", "WRONG")</f>
        <v/>
      </c>
    </row>
    <row r="16726">
      <c r="A16726" t="n">
        <v>16725</v>
      </c>
      <c r="B16726" t="inlineStr">
        <is>
          <t>x̄V̅MDCCXXV</t>
        </is>
      </c>
      <c r="C16726">
        <f>ROMAN(16725)</f>
        <v/>
      </c>
      <c r="D16726">
        <f>IF(B16726=C16726, "YES", "WRONG")</f>
        <v/>
      </c>
    </row>
    <row r="16727">
      <c r="A16727" t="n">
        <v>16726</v>
      </c>
      <c r="B16727" t="inlineStr">
        <is>
          <t>x̄V̅MDCCXXVI</t>
        </is>
      </c>
      <c r="C16727">
        <f>ROMAN(16726)</f>
        <v/>
      </c>
      <c r="D16727">
        <f>IF(B16727=C16727, "YES", "WRONG")</f>
        <v/>
      </c>
    </row>
    <row r="16728">
      <c r="A16728" t="n">
        <v>16727</v>
      </c>
      <c r="B16728" t="inlineStr">
        <is>
          <t>x̄V̅MDCCXXVII</t>
        </is>
      </c>
      <c r="C16728">
        <f>ROMAN(16727)</f>
        <v/>
      </c>
      <c r="D16728">
        <f>IF(B16728=C16728, "YES", "WRONG")</f>
        <v/>
      </c>
    </row>
    <row r="16729">
      <c r="A16729" t="n">
        <v>16728</v>
      </c>
      <c r="B16729" t="inlineStr">
        <is>
          <t>x̄V̅MDCCXXVIII</t>
        </is>
      </c>
      <c r="C16729">
        <f>ROMAN(16728)</f>
        <v/>
      </c>
      <c r="D16729">
        <f>IF(B16729=C16729, "YES", "WRONG")</f>
        <v/>
      </c>
    </row>
    <row r="16730">
      <c r="A16730" t="n">
        <v>16729</v>
      </c>
      <c r="B16730" t="inlineStr">
        <is>
          <t>x̄V̅MDCCXXIX</t>
        </is>
      </c>
      <c r="C16730">
        <f>ROMAN(16729)</f>
        <v/>
      </c>
      <c r="D16730">
        <f>IF(B16730=C16730, "YES", "WRONG")</f>
        <v/>
      </c>
    </row>
    <row r="16731">
      <c r="A16731" t="n">
        <v>16730</v>
      </c>
      <c r="B16731" t="inlineStr">
        <is>
          <t>x̄V̅MDCCXXX</t>
        </is>
      </c>
      <c r="C16731">
        <f>ROMAN(16730)</f>
        <v/>
      </c>
      <c r="D16731">
        <f>IF(B16731=C16731, "YES", "WRONG")</f>
        <v/>
      </c>
    </row>
    <row r="16732">
      <c r="A16732" t="n">
        <v>16731</v>
      </c>
      <c r="B16732" t="inlineStr">
        <is>
          <t>x̄V̅MDCCXXXI</t>
        </is>
      </c>
      <c r="C16732">
        <f>ROMAN(16731)</f>
        <v/>
      </c>
      <c r="D16732">
        <f>IF(B16732=C16732, "YES", "WRONG")</f>
        <v/>
      </c>
    </row>
    <row r="16733">
      <c r="A16733" t="n">
        <v>16732</v>
      </c>
      <c r="B16733" t="inlineStr">
        <is>
          <t>x̄V̅MDCCXXXII</t>
        </is>
      </c>
      <c r="C16733">
        <f>ROMAN(16732)</f>
        <v/>
      </c>
      <c r="D16733">
        <f>IF(B16733=C16733, "YES", "WRONG")</f>
        <v/>
      </c>
    </row>
    <row r="16734">
      <c r="A16734" t="n">
        <v>16733</v>
      </c>
      <c r="B16734" t="inlineStr">
        <is>
          <t>x̄V̅MDCCXXXIII</t>
        </is>
      </c>
      <c r="C16734">
        <f>ROMAN(16733)</f>
        <v/>
      </c>
      <c r="D16734">
        <f>IF(B16734=C16734, "YES", "WRONG")</f>
        <v/>
      </c>
    </row>
    <row r="16735">
      <c r="A16735" t="n">
        <v>16734</v>
      </c>
      <c r="B16735" t="inlineStr">
        <is>
          <t>x̄V̅MDCCXXXIV</t>
        </is>
      </c>
      <c r="C16735">
        <f>ROMAN(16734)</f>
        <v/>
      </c>
      <c r="D16735">
        <f>IF(B16735=C16735, "YES", "WRONG")</f>
        <v/>
      </c>
    </row>
    <row r="16736">
      <c r="A16736" t="n">
        <v>16735</v>
      </c>
      <c r="B16736" t="inlineStr">
        <is>
          <t>x̄V̅MDCCXXXV</t>
        </is>
      </c>
      <c r="C16736">
        <f>ROMAN(16735)</f>
        <v/>
      </c>
      <c r="D16736">
        <f>IF(B16736=C16736, "YES", "WRONG")</f>
        <v/>
      </c>
    </row>
    <row r="16737">
      <c r="A16737" t="n">
        <v>16736</v>
      </c>
      <c r="B16737" t="inlineStr">
        <is>
          <t>x̄V̅MDCCXXXVI</t>
        </is>
      </c>
      <c r="C16737">
        <f>ROMAN(16736)</f>
        <v/>
      </c>
      <c r="D16737">
        <f>IF(B16737=C16737, "YES", "WRONG")</f>
        <v/>
      </c>
    </row>
    <row r="16738">
      <c r="A16738" t="n">
        <v>16737</v>
      </c>
      <c r="B16738" t="inlineStr">
        <is>
          <t>x̄V̅MDCCXXXVII</t>
        </is>
      </c>
      <c r="C16738">
        <f>ROMAN(16737)</f>
        <v/>
      </c>
      <c r="D16738">
        <f>IF(B16738=C16738, "YES", "WRONG")</f>
        <v/>
      </c>
    </row>
    <row r="16739">
      <c r="A16739" t="n">
        <v>16738</v>
      </c>
      <c r="B16739" t="inlineStr">
        <is>
          <t>x̄V̅MDCCXXXVIII</t>
        </is>
      </c>
      <c r="C16739">
        <f>ROMAN(16738)</f>
        <v/>
      </c>
      <c r="D16739">
        <f>IF(B16739=C16739, "YES", "WRONG")</f>
        <v/>
      </c>
    </row>
    <row r="16740">
      <c r="A16740" t="n">
        <v>16739</v>
      </c>
      <c r="B16740" t="inlineStr">
        <is>
          <t>x̄V̅MDCCXXXIX</t>
        </is>
      </c>
      <c r="C16740">
        <f>ROMAN(16739)</f>
        <v/>
      </c>
      <c r="D16740">
        <f>IF(B16740=C16740, "YES", "WRONG")</f>
        <v/>
      </c>
    </row>
    <row r="16741">
      <c r="A16741" t="n">
        <v>16740</v>
      </c>
      <c r="B16741" t="inlineStr">
        <is>
          <t>x̄V̅MDCCXL</t>
        </is>
      </c>
      <c r="C16741">
        <f>ROMAN(16740)</f>
        <v/>
      </c>
      <c r="D16741">
        <f>IF(B16741=C16741, "YES", "WRONG")</f>
        <v/>
      </c>
    </row>
    <row r="16742">
      <c r="A16742" t="n">
        <v>16741</v>
      </c>
      <c r="B16742" t="inlineStr">
        <is>
          <t>x̄V̅MDCCXLI</t>
        </is>
      </c>
      <c r="C16742">
        <f>ROMAN(16741)</f>
        <v/>
      </c>
      <c r="D16742">
        <f>IF(B16742=C16742, "YES", "WRONG")</f>
        <v/>
      </c>
    </row>
    <row r="16743">
      <c r="A16743" t="n">
        <v>16742</v>
      </c>
      <c r="B16743" t="inlineStr">
        <is>
          <t>x̄V̅MDCCXLII</t>
        </is>
      </c>
      <c r="C16743">
        <f>ROMAN(16742)</f>
        <v/>
      </c>
      <c r="D16743">
        <f>IF(B16743=C16743, "YES", "WRONG")</f>
        <v/>
      </c>
    </row>
    <row r="16744">
      <c r="A16744" t="n">
        <v>16743</v>
      </c>
      <c r="B16744" t="inlineStr">
        <is>
          <t>x̄V̅MDCCXLIII</t>
        </is>
      </c>
      <c r="C16744">
        <f>ROMAN(16743)</f>
        <v/>
      </c>
      <c r="D16744">
        <f>IF(B16744=C16744, "YES", "WRONG")</f>
        <v/>
      </c>
    </row>
    <row r="16745">
      <c r="A16745" t="n">
        <v>16744</v>
      </c>
      <c r="B16745" t="inlineStr">
        <is>
          <t>x̄V̅MDCCXLIV</t>
        </is>
      </c>
      <c r="C16745">
        <f>ROMAN(16744)</f>
        <v/>
      </c>
      <c r="D16745">
        <f>IF(B16745=C16745, "YES", "WRONG")</f>
        <v/>
      </c>
    </row>
    <row r="16746">
      <c r="A16746" t="n">
        <v>16745</v>
      </c>
      <c r="B16746" t="inlineStr">
        <is>
          <t>x̄V̅MDCCXLV</t>
        </is>
      </c>
      <c r="C16746">
        <f>ROMAN(16745)</f>
        <v/>
      </c>
      <c r="D16746">
        <f>IF(B16746=C16746, "YES", "WRONG")</f>
        <v/>
      </c>
    </row>
    <row r="16747">
      <c r="A16747" t="n">
        <v>16746</v>
      </c>
      <c r="B16747" t="inlineStr">
        <is>
          <t>x̄V̅MDCCXLVI</t>
        </is>
      </c>
      <c r="C16747">
        <f>ROMAN(16746)</f>
        <v/>
      </c>
      <c r="D16747">
        <f>IF(B16747=C16747, "YES", "WRONG")</f>
        <v/>
      </c>
    </row>
    <row r="16748">
      <c r="A16748" t="n">
        <v>16747</v>
      </c>
      <c r="B16748" t="inlineStr">
        <is>
          <t>x̄V̅MDCCXLVII</t>
        </is>
      </c>
      <c r="C16748">
        <f>ROMAN(16747)</f>
        <v/>
      </c>
      <c r="D16748">
        <f>IF(B16748=C16748, "YES", "WRONG")</f>
        <v/>
      </c>
    </row>
    <row r="16749">
      <c r="A16749" t="n">
        <v>16748</v>
      </c>
      <c r="B16749" t="inlineStr">
        <is>
          <t>x̄V̅MDCCXLVIII</t>
        </is>
      </c>
      <c r="C16749">
        <f>ROMAN(16748)</f>
        <v/>
      </c>
      <c r="D16749">
        <f>IF(B16749=C16749, "YES", "WRONG")</f>
        <v/>
      </c>
    </row>
    <row r="16750">
      <c r="A16750" t="n">
        <v>16749</v>
      </c>
      <c r="B16750" t="inlineStr">
        <is>
          <t>x̄V̅MDCCXLIX</t>
        </is>
      </c>
      <c r="C16750">
        <f>ROMAN(16749)</f>
        <v/>
      </c>
      <c r="D16750">
        <f>IF(B16750=C16750, "YES", "WRONG")</f>
        <v/>
      </c>
    </row>
    <row r="16751">
      <c r="A16751" t="n">
        <v>16750</v>
      </c>
      <c r="B16751" t="inlineStr">
        <is>
          <t>x̄V̅MDCCL</t>
        </is>
      </c>
      <c r="C16751">
        <f>ROMAN(16750)</f>
        <v/>
      </c>
      <c r="D16751">
        <f>IF(B16751=C16751, "YES", "WRONG")</f>
        <v/>
      </c>
    </row>
    <row r="16752">
      <c r="A16752" t="n">
        <v>16751</v>
      </c>
      <c r="B16752" t="inlineStr">
        <is>
          <t>x̄V̅MDCCLI</t>
        </is>
      </c>
      <c r="C16752">
        <f>ROMAN(16751)</f>
        <v/>
      </c>
      <c r="D16752">
        <f>IF(B16752=C16752, "YES", "WRONG")</f>
        <v/>
      </c>
    </row>
    <row r="16753">
      <c r="A16753" t="n">
        <v>16752</v>
      </c>
      <c r="B16753" t="inlineStr">
        <is>
          <t>x̄V̅MDCCLII</t>
        </is>
      </c>
      <c r="C16753">
        <f>ROMAN(16752)</f>
        <v/>
      </c>
      <c r="D16753">
        <f>IF(B16753=C16753, "YES", "WRONG")</f>
        <v/>
      </c>
    </row>
    <row r="16754">
      <c r="A16754" t="n">
        <v>16753</v>
      </c>
      <c r="B16754" t="inlineStr">
        <is>
          <t>x̄V̅MDCCLIII</t>
        </is>
      </c>
      <c r="C16754">
        <f>ROMAN(16753)</f>
        <v/>
      </c>
      <c r="D16754">
        <f>IF(B16754=C16754, "YES", "WRONG")</f>
        <v/>
      </c>
    </row>
    <row r="16755">
      <c r="A16755" t="n">
        <v>16754</v>
      </c>
      <c r="B16755" t="inlineStr">
        <is>
          <t>x̄V̅MDCCLIV</t>
        </is>
      </c>
      <c r="C16755">
        <f>ROMAN(16754)</f>
        <v/>
      </c>
      <c r="D16755">
        <f>IF(B16755=C16755, "YES", "WRONG")</f>
        <v/>
      </c>
    </row>
    <row r="16756">
      <c r="A16756" t="n">
        <v>16755</v>
      </c>
      <c r="B16756" t="inlineStr">
        <is>
          <t>x̄V̅MDCCLV</t>
        </is>
      </c>
      <c r="C16756">
        <f>ROMAN(16755)</f>
        <v/>
      </c>
      <c r="D16756">
        <f>IF(B16756=C16756, "YES", "WRONG")</f>
        <v/>
      </c>
    </row>
    <row r="16757">
      <c r="A16757" t="n">
        <v>16756</v>
      </c>
      <c r="B16757" t="inlineStr">
        <is>
          <t>x̄V̅MDCCLVI</t>
        </is>
      </c>
      <c r="C16757">
        <f>ROMAN(16756)</f>
        <v/>
      </c>
      <c r="D16757">
        <f>IF(B16757=C16757, "YES", "WRONG")</f>
        <v/>
      </c>
    </row>
    <row r="16758">
      <c r="A16758" t="n">
        <v>16757</v>
      </c>
      <c r="B16758" t="inlineStr">
        <is>
          <t>x̄V̅MDCCLVII</t>
        </is>
      </c>
      <c r="C16758">
        <f>ROMAN(16757)</f>
        <v/>
      </c>
      <c r="D16758">
        <f>IF(B16758=C16758, "YES", "WRONG")</f>
        <v/>
      </c>
    </row>
    <row r="16759">
      <c r="A16759" t="n">
        <v>16758</v>
      </c>
      <c r="B16759" t="inlineStr">
        <is>
          <t>x̄V̅MDCCLVIII</t>
        </is>
      </c>
      <c r="C16759">
        <f>ROMAN(16758)</f>
        <v/>
      </c>
      <c r="D16759">
        <f>IF(B16759=C16759, "YES", "WRONG")</f>
        <v/>
      </c>
    </row>
    <row r="16760">
      <c r="A16760" t="n">
        <v>16759</v>
      </c>
      <c r="B16760" t="inlineStr">
        <is>
          <t>x̄V̅MDCCLIX</t>
        </is>
      </c>
      <c r="C16760">
        <f>ROMAN(16759)</f>
        <v/>
      </c>
      <c r="D16760">
        <f>IF(B16760=C16760, "YES", "WRONG")</f>
        <v/>
      </c>
    </row>
    <row r="16761">
      <c r="A16761" t="n">
        <v>16760</v>
      </c>
      <c r="B16761" t="inlineStr">
        <is>
          <t>x̄V̅MDCCLX</t>
        </is>
      </c>
      <c r="C16761">
        <f>ROMAN(16760)</f>
        <v/>
      </c>
      <c r="D16761">
        <f>IF(B16761=C16761, "YES", "WRONG")</f>
        <v/>
      </c>
    </row>
    <row r="16762">
      <c r="A16762" t="n">
        <v>16761</v>
      </c>
      <c r="B16762" t="inlineStr">
        <is>
          <t>x̄V̅MDCCLXI</t>
        </is>
      </c>
      <c r="C16762">
        <f>ROMAN(16761)</f>
        <v/>
      </c>
      <c r="D16762">
        <f>IF(B16762=C16762, "YES", "WRONG")</f>
        <v/>
      </c>
    </row>
    <row r="16763">
      <c r="A16763" t="n">
        <v>16762</v>
      </c>
      <c r="B16763" t="inlineStr">
        <is>
          <t>x̄V̅MDCCLXII</t>
        </is>
      </c>
      <c r="C16763">
        <f>ROMAN(16762)</f>
        <v/>
      </c>
      <c r="D16763">
        <f>IF(B16763=C16763, "YES", "WRONG")</f>
        <v/>
      </c>
    </row>
    <row r="16764">
      <c r="A16764" t="n">
        <v>16763</v>
      </c>
      <c r="B16764" t="inlineStr">
        <is>
          <t>x̄V̅MDCCLXIII</t>
        </is>
      </c>
      <c r="C16764">
        <f>ROMAN(16763)</f>
        <v/>
      </c>
      <c r="D16764">
        <f>IF(B16764=C16764, "YES", "WRONG")</f>
        <v/>
      </c>
    </row>
    <row r="16765">
      <c r="A16765" t="n">
        <v>16764</v>
      </c>
      <c r="B16765" t="inlineStr">
        <is>
          <t>x̄V̅MDCCLXIV</t>
        </is>
      </c>
      <c r="C16765">
        <f>ROMAN(16764)</f>
        <v/>
      </c>
      <c r="D16765">
        <f>IF(B16765=C16765, "YES", "WRONG")</f>
        <v/>
      </c>
    </row>
    <row r="16766">
      <c r="A16766" t="n">
        <v>16765</v>
      </c>
      <c r="B16766" t="inlineStr">
        <is>
          <t>x̄V̅MDCCLXV</t>
        </is>
      </c>
      <c r="C16766">
        <f>ROMAN(16765)</f>
        <v/>
      </c>
      <c r="D16766">
        <f>IF(B16766=C16766, "YES", "WRONG")</f>
        <v/>
      </c>
    </row>
    <row r="16767">
      <c r="A16767" t="n">
        <v>16766</v>
      </c>
      <c r="B16767" t="inlineStr">
        <is>
          <t>x̄V̅MDCCLXVI</t>
        </is>
      </c>
      <c r="C16767">
        <f>ROMAN(16766)</f>
        <v/>
      </c>
      <c r="D16767">
        <f>IF(B16767=C16767, "YES", "WRONG")</f>
        <v/>
      </c>
    </row>
    <row r="16768">
      <c r="A16768" t="n">
        <v>16767</v>
      </c>
      <c r="B16768" t="inlineStr">
        <is>
          <t>x̄V̅MDCCLXVII</t>
        </is>
      </c>
      <c r="C16768">
        <f>ROMAN(16767)</f>
        <v/>
      </c>
      <c r="D16768">
        <f>IF(B16768=C16768, "YES", "WRONG")</f>
        <v/>
      </c>
    </row>
    <row r="16769">
      <c r="A16769" t="n">
        <v>16768</v>
      </c>
      <c r="B16769" t="inlineStr">
        <is>
          <t>x̄V̅MDCCLXVIII</t>
        </is>
      </c>
      <c r="C16769">
        <f>ROMAN(16768)</f>
        <v/>
      </c>
      <c r="D16769">
        <f>IF(B16769=C16769, "YES", "WRONG")</f>
        <v/>
      </c>
    </row>
    <row r="16770">
      <c r="A16770" t="n">
        <v>16769</v>
      </c>
      <c r="B16770" t="inlineStr">
        <is>
          <t>x̄V̅MDCCLXIX</t>
        </is>
      </c>
      <c r="C16770">
        <f>ROMAN(16769)</f>
        <v/>
      </c>
      <c r="D16770">
        <f>IF(B16770=C16770, "YES", "WRONG")</f>
        <v/>
      </c>
    </row>
    <row r="16771">
      <c r="A16771" t="n">
        <v>16770</v>
      </c>
      <c r="B16771" t="inlineStr">
        <is>
          <t>x̄V̅MDCCLXX</t>
        </is>
      </c>
      <c r="C16771">
        <f>ROMAN(16770)</f>
        <v/>
      </c>
      <c r="D16771">
        <f>IF(B16771=C16771, "YES", "WRONG")</f>
        <v/>
      </c>
    </row>
    <row r="16772">
      <c r="A16772" t="n">
        <v>16771</v>
      </c>
      <c r="B16772" t="inlineStr">
        <is>
          <t>x̄V̅MDCCLXXI</t>
        </is>
      </c>
      <c r="C16772">
        <f>ROMAN(16771)</f>
        <v/>
      </c>
      <c r="D16772">
        <f>IF(B16772=C16772, "YES", "WRONG")</f>
        <v/>
      </c>
    </row>
    <row r="16773">
      <c r="A16773" t="n">
        <v>16772</v>
      </c>
      <c r="B16773" t="inlineStr">
        <is>
          <t>x̄V̅MDCCLXXII</t>
        </is>
      </c>
      <c r="C16773">
        <f>ROMAN(16772)</f>
        <v/>
      </c>
      <c r="D16773">
        <f>IF(B16773=C16773, "YES", "WRONG")</f>
        <v/>
      </c>
    </row>
    <row r="16774">
      <c r="A16774" t="n">
        <v>16773</v>
      </c>
      <c r="B16774" t="inlineStr">
        <is>
          <t>x̄V̅MDCCLXXIII</t>
        </is>
      </c>
      <c r="C16774">
        <f>ROMAN(16773)</f>
        <v/>
      </c>
      <c r="D16774">
        <f>IF(B16774=C16774, "YES", "WRONG")</f>
        <v/>
      </c>
    </row>
    <row r="16775">
      <c r="A16775" t="n">
        <v>16774</v>
      </c>
      <c r="B16775" t="inlineStr">
        <is>
          <t>x̄V̅MDCCLXXIV</t>
        </is>
      </c>
      <c r="C16775">
        <f>ROMAN(16774)</f>
        <v/>
      </c>
      <c r="D16775">
        <f>IF(B16775=C16775, "YES", "WRONG")</f>
        <v/>
      </c>
    </row>
    <row r="16776">
      <c r="A16776" t="n">
        <v>16775</v>
      </c>
      <c r="B16776" t="inlineStr">
        <is>
          <t>x̄V̅MDCCLXXV</t>
        </is>
      </c>
      <c r="C16776">
        <f>ROMAN(16775)</f>
        <v/>
      </c>
      <c r="D16776">
        <f>IF(B16776=C16776, "YES", "WRONG")</f>
        <v/>
      </c>
    </row>
    <row r="16777">
      <c r="A16777" t="n">
        <v>16776</v>
      </c>
      <c r="B16777" t="inlineStr">
        <is>
          <t>x̄V̅MDCCLXXVI</t>
        </is>
      </c>
      <c r="C16777">
        <f>ROMAN(16776)</f>
        <v/>
      </c>
      <c r="D16777">
        <f>IF(B16777=C16777, "YES", "WRONG")</f>
        <v/>
      </c>
    </row>
    <row r="16778">
      <c r="A16778" t="n">
        <v>16777</v>
      </c>
      <c r="B16778" t="inlineStr">
        <is>
          <t>x̄V̅MDCCLXXVII</t>
        </is>
      </c>
      <c r="C16778">
        <f>ROMAN(16777)</f>
        <v/>
      </c>
      <c r="D16778">
        <f>IF(B16778=C16778, "YES", "WRONG")</f>
        <v/>
      </c>
    </row>
    <row r="16779">
      <c r="A16779" t="n">
        <v>16778</v>
      </c>
      <c r="B16779" t="inlineStr">
        <is>
          <t>x̄V̅MDCCLXXVIII</t>
        </is>
      </c>
      <c r="C16779">
        <f>ROMAN(16778)</f>
        <v/>
      </c>
      <c r="D16779">
        <f>IF(B16779=C16779, "YES", "WRONG")</f>
        <v/>
      </c>
    </row>
    <row r="16780">
      <c r="A16780" t="n">
        <v>16779</v>
      </c>
      <c r="B16780" t="inlineStr">
        <is>
          <t>x̄V̅MDCCLXXIX</t>
        </is>
      </c>
      <c r="C16780">
        <f>ROMAN(16779)</f>
        <v/>
      </c>
      <c r="D16780">
        <f>IF(B16780=C16780, "YES", "WRONG")</f>
        <v/>
      </c>
    </row>
    <row r="16781">
      <c r="A16781" t="n">
        <v>16780</v>
      </c>
      <c r="B16781" t="inlineStr">
        <is>
          <t>x̄V̅MDCCLXXX</t>
        </is>
      </c>
      <c r="C16781">
        <f>ROMAN(16780)</f>
        <v/>
      </c>
      <c r="D16781">
        <f>IF(B16781=C16781, "YES", "WRONG")</f>
        <v/>
      </c>
    </row>
    <row r="16782">
      <c r="A16782" t="n">
        <v>16781</v>
      </c>
      <c r="B16782" t="inlineStr">
        <is>
          <t>x̄V̅MDCCLXXXI</t>
        </is>
      </c>
      <c r="C16782">
        <f>ROMAN(16781)</f>
        <v/>
      </c>
      <c r="D16782">
        <f>IF(B16782=C16782, "YES", "WRONG")</f>
        <v/>
      </c>
    </row>
    <row r="16783">
      <c r="A16783" t="n">
        <v>16782</v>
      </c>
      <c r="B16783" t="inlineStr">
        <is>
          <t>x̄V̅MDCCLXXXII</t>
        </is>
      </c>
      <c r="C16783">
        <f>ROMAN(16782)</f>
        <v/>
      </c>
      <c r="D16783">
        <f>IF(B16783=C16783, "YES", "WRONG")</f>
        <v/>
      </c>
    </row>
    <row r="16784">
      <c r="A16784" t="n">
        <v>16783</v>
      </c>
      <c r="B16784" t="inlineStr">
        <is>
          <t>x̄V̅MDCCLXXXIII</t>
        </is>
      </c>
      <c r="C16784">
        <f>ROMAN(16783)</f>
        <v/>
      </c>
      <c r="D16784">
        <f>IF(B16784=C16784, "YES", "WRONG")</f>
        <v/>
      </c>
    </row>
    <row r="16785">
      <c r="A16785" t="n">
        <v>16784</v>
      </c>
      <c r="B16785" t="inlineStr">
        <is>
          <t>x̄V̅MDCCLXXXIV</t>
        </is>
      </c>
      <c r="C16785">
        <f>ROMAN(16784)</f>
        <v/>
      </c>
      <c r="D16785">
        <f>IF(B16785=C16785, "YES", "WRONG")</f>
        <v/>
      </c>
    </row>
    <row r="16786">
      <c r="A16786" t="n">
        <v>16785</v>
      </c>
      <c r="B16786" t="inlineStr">
        <is>
          <t>x̄V̅MDCCLXXXV</t>
        </is>
      </c>
      <c r="C16786">
        <f>ROMAN(16785)</f>
        <v/>
      </c>
      <c r="D16786">
        <f>IF(B16786=C16786, "YES", "WRONG")</f>
        <v/>
      </c>
    </row>
    <row r="16787">
      <c r="A16787" t="n">
        <v>16786</v>
      </c>
      <c r="B16787" t="inlineStr">
        <is>
          <t>x̄V̅MDCCLXXXVI</t>
        </is>
      </c>
      <c r="C16787">
        <f>ROMAN(16786)</f>
        <v/>
      </c>
      <c r="D16787">
        <f>IF(B16787=C16787, "YES", "WRONG")</f>
        <v/>
      </c>
    </row>
    <row r="16788">
      <c r="A16788" t="n">
        <v>16787</v>
      </c>
      <c r="B16788" t="inlineStr">
        <is>
          <t>x̄V̅MDCCLXXXVII</t>
        </is>
      </c>
      <c r="C16788">
        <f>ROMAN(16787)</f>
        <v/>
      </c>
      <c r="D16788">
        <f>IF(B16788=C16788, "YES", "WRONG")</f>
        <v/>
      </c>
    </row>
    <row r="16789">
      <c r="A16789" t="n">
        <v>16788</v>
      </c>
      <c r="B16789" t="inlineStr">
        <is>
          <t>x̄V̅MDCCLXXXVIII</t>
        </is>
      </c>
      <c r="C16789">
        <f>ROMAN(16788)</f>
        <v/>
      </c>
      <c r="D16789">
        <f>IF(B16789=C16789, "YES", "WRONG")</f>
        <v/>
      </c>
    </row>
    <row r="16790">
      <c r="A16790" t="n">
        <v>16789</v>
      </c>
      <c r="B16790" t="inlineStr">
        <is>
          <t>x̄V̅MDCCLXXXIX</t>
        </is>
      </c>
      <c r="C16790">
        <f>ROMAN(16789)</f>
        <v/>
      </c>
      <c r="D16790">
        <f>IF(B16790=C16790, "YES", "WRONG")</f>
        <v/>
      </c>
    </row>
    <row r="16791">
      <c r="A16791" t="n">
        <v>16790</v>
      </c>
      <c r="B16791" t="inlineStr">
        <is>
          <t>x̄V̅MDCCXC</t>
        </is>
      </c>
      <c r="C16791">
        <f>ROMAN(16790)</f>
        <v/>
      </c>
      <c r="D16791">
        <f>IF(B16791=C16791, "YES", "WRONG")</f>
        <v/>
      </c>
    </row>
    <row r="16792">
      <c r="A16792" t="n">
        <v>16791</v>
      </c>
      <c r="B16792" t="inlineStr">
        <is>
          <t>x̄V̅MDCCXCI</t>
        </is>
      </c>
      <c r="C16792">
        <f>ROMAN(16791)</f>
        <v/>
      </c>
      <c r="D16792">
        <f>IF(B16792=C16792, "YES", "WRONG")</f>
        <v/>
      </c>
    </row>
    <row r="16793">
      <c r="A16793" t="n">
        <v>16792</v>
      </c>
      <c r="B16793" t="inlineStr">
        <is>
          <t>x̄V̅MDCCXCII</t>
        </is>
      </c>
      <c r="C16793">
        <f>ROMAN(16792)</f>
        <v/>
      </c>
      <c r="D16793">
        <f>IF(B16793=C16793, "YES", "WRONG")</f>
        <v/>
      </c>
    </row>
    <row r="16794">
      <c r="A16794" t="n">
        <v>16793</v>
      </c>
      <c r="B16794" t="inlineStr">
        <is>
          <t>x̄V̅MDCCXCIII</t>
        </is>
      </c>
      <c r="C16794">
        <f>ROMAN(16793)</f>
        <v/>
      </c>
      <c r="D16794">
        <f>IF(B16794=C16794, "YES", "WRONG")</f>
        <v/>
      </c>
    </row>
    <row r="16795">
      <c r="A16795" t="n">
        <v>16794</v>
      </c>
      <c r="B16795" t="inlineStr">
        <is>
          <t>x̄V̅MDCCXCIV</t>
        </is>
      </c>
      <c r="C16795">
        <f>ROMAN(16794)</f>
        <v/>
      </c>
      <c r="D16795">
        <f>IF(B16795=C16795, "YES", "WRONG")</f>
        <v/>
      </c>
    </row>
    <row r="16796">
      <c r="A16796" t="n">
        <v>16795</v>
      </c>
      <c r="B16796" t="inlineStr">
        <is>
          <t>x̄V̅MDCCXCV</t>
        </is>
      </c>
      <c r="C16796">
        <f>ROMAN(16795)</f>
        <v/>
      </c>
      <c r="D16796">
        <f>IF(B16796=C16796, "YES", "WRONG")</f>
        <v/>
      </c>
    </row>
    <row r="16797">
      <c r="A16797" t="n">
        <v>16796</v>
      </c>
      <c r="B16797" t="inlineStr">
        <is>
          <t>x̄V̅MDCCXCVI</t>
        </is>
      </c>
      <c r="C16797">
        <f>ROMAN(16796)</f>
        <v/>
      </c>
      <c r="D16797">
        <f>IF(B16797=C16797, "YES", "WRONG")</f>
        <v/>
      </c>
    </row>
    <row r="16798">
      <c r="A16798" t="n">
        <v>16797</v>
      </c>
      <c r="B16798" t="inlineStr">
        <is>
          <t>x̄V̅MDCCXCVII</t>
        </is>
      </c>
      <c r="C16798">
        <f>ROMAN(16797)</f>
        <v/>
      </c>
      <c r="D16798">
        <f>IF(B16798=C16798, "YES", "WRONG")</f>
        <v/>
      </c>
    </row>
    <row r="16799">
      <c r="A16799" t="n">
        <v>16798</v>
      </c>
      <c r="B16799" t="inlineStr">
        <is>
          <t>x̄V̅MDCCXCVIII</t>
        </is>
      </c>
      <c r="C16799">
        <f>ROMAN(16798)</f>
        <v/>
      </c>
      <c r="D16799">
        <f>IF(B16799=C16799, "YES", "WRONG")</f>
        <v/>
      </c>
    </row>
    <row r="16800">
      <c r="A16800" t="n">
        <v>16799</v>
      </c>
      <c r="B16800" t="inlineStr">
        <is>
          <t>x̄V̅MDCCXCIX</t>
        </is>
      </c>
      <c r="C16800">
        <f>ROMAN(16799)</f>
        <v/>
      </c>
      <c r="D16800">
        <f>IF(B16800=C16800, "YES", "WRONG")</f>
        <v/>
      </c>
    </row>
    <row r="16801">
      <c r="A16801" t="n">
        <v>16800</v>
      </c>
      <c r="B16801" t="inlineStr">
        <is>
          <t>x̄V̅MDCCC</t>
        </is>
      </c>
      <c r="C16801">
        <f>ROMAN(16800)</f>
        <v/>
      </c>
      <c r="D16801">
        <f>IF(B16801=C16801, "YES", "WRONG")</f>
        <v/>
      </c>
    </row>
    <row r="16802">
      <c r="A16802" t="n">
        <v>16801</v>
      </c>
      <c r="B16802" t="inlineStr">
        <is>
          <t>x̄V̅MDCCCI</t>
        </is>
      </c>
      <c r="C16802">
        <f>ROMAN(16801)</f>
        <v/>
      </c>
      <c r="D16802">
        <f>IF(B16802=C16802, "YES", "WRONG")</f>
        <v/>
      </c>
    </row>
    <row r="16803">
      <c r="A16803" t="n">
        <v>16802</v>
      </c>
      <c r="B16803" t="inlineStr">
        <is>
          <t>x̄V̅MDCCCII</t>
        </is>
      </c>
      <c r="C16803">
        <f>ROMAN(16802)</f>
        <v/>
      </c>
      <c r="D16803">
        <f>IF(B16803=C16803, "YES", "WRONG")</f>
        <v/>
      </c>
    </row>
    <row r="16804">
      <c r="A16804" t="n">
        <v>16803</v>
      </c>
      <c r="B16804" t="inlineStr">
        <is>
          <t>x̄V̅MDCCCIII</t>
        </is>
      </c>
      <c r="C16804">
        <f>ROMAN(16803)</f>
        <v/>
      </c>
      <c r="D16804">
        <f>IF(B16804=C16804, "YES", "WRONG")</f>
        <v/>
      </c>
    </row>
    <row r="16805">
      <c r="A16805" t="n">
        <v>16804</v>
      </c>
      <c r="B16805" t="inlineStr">
        <is>
          <t>x̄V̅MDCCCIV</t>
        </is>
      </c>
      <c r="C16805">
        <f>ROMAN(16804)</f>
        <v/>
      </c>
      <c r="D16805">
        <f>IF(B16805=C16805, "YES", "WRONG")</f>
        <v/>
      </c>
    </row>
    <row r="16806">
      <c r="A16806" t="n">
        <v>16805</v>
      </c>
      <c r="B16806" t="inlineStr">
        <is>
          <t>x̄V̅MDCCCV</t>
        </is>
      </c>
      <c r="C16806">
        <f>ROMAN(16805)</f>
        <v/>
      </c>
      <c r="D16806">
        <f>IF(B16806=C16806, "YES", "WRONG")</f>
        <v/>
      </c>
    </row>
    <row r="16807">
      <c r="A16807" t="n">
        <v>16806</v>
      </c>
      <c r="B16807" t="inlineStr">
        <is>
          <t>x̄V̅MDCCCVI</t>
        </is>
      </c>
      <c r="C16807">
        <f>ROMAN(16806)</f>
        <v/>
      </c>
      <c r="D16807">
        <f>IF(B16807=C16807, "YES", "WRONG")</f>
        <v/>
      </c>
    </row>
    <row r="16808">
      <c r="A16808" t="n">
        <v>16807</v>
      </c>
      <c r="B16808" t="inlineStr">
        <is>
          <t>x̄V̅MDCCCVII</t>
        </is>
      </c>
      <c r="C16808">
        <f>ROMAN(16807)</f>
        <v/>
      </c>
      <c r="D16808">
        <f>IF(B16808=C16808, "YES", "WRONG")</f>
        <v/>
      </c>
    </row>
    <row r="16809">
      <c r="A16809" t="n">
        <v>16808</v>
      </c>
      <c r="B16809" t="inlineStr">
        <is>
          <t>x̄V̅MDCCCVIII</t>
        </is>
      </c>
      <c r="C16809">
        <f>ROMAN(16808)</f>
        <v/>
      </c>
      <c r="D16809">
        <f>IF(B16809=C16809, "YES", "WRONG")</f>
        <v/>
      </c>
    </row>
    <row r="16810">
      <c r="A16810" t="n">
        <v>16809</v>
      </c>
      <c r="B16810" t="inlineStr">
        <is>
          <t>x̄V̅MDCCCIX</t>
        </is>
      </c>
      <c r="C16810">
        <f>ROMAN(16809)</f>
        <v/>
      </c>
      <c r="D16810">
        <f>IF(B16810=C16810, "YES", "WRONG")</f>
        <v/>
      </c>
    </row>
    <row r="16811">
      <c r="A16811" t="n">
        <v>16810</v>
      </c>
      <c r="B16811" t="inlineStr">
        <is>
          <t>x̄V̅MDCCCX</t>
        </is>
      </c>
      <c r="C16811">
        <f>ROMAN(16810)</f>
        <v/>
      </c>
      <c r="D16811">
        <f>IF(B16811=C16811, "YES", "WRONG")</f>
        <v/>
      </c>
    </row>
    <row r="16812">
      <c r="A16812" t="n">
        <v>16811</v>
      </c>
      <c r="B16812" t="inlineStr">
        <is>
          <t>x̄V̅MDCCCXI</t>
        </is>
      </c>
      <c r="C16812">
        <f>ROMAN(16811)</f>
        <v/>
      </c>
      <c r="D16812">
        <f>IF(B16812=C16812, "YES", "WRONG")</f>
        <v/>
      </c>
    </row>
    <row r="16813">
      <c r="A16813" t="n">
        <v>16812</v>
      </c>
      <c r="B16813" t="inlineStr">
        <is>
          <t>x̄V̅MDCCCXII</t>
        </is>
      </c>
      <c r="C16813">
        <f>ROMAN(16812)</f>
        <v/>
      </c>
      <c r="D16813">
        <f>IF(B16813=C16813, "YES", "WRONG")</f>
        <v/>
      </c>
    </row>
    <row r="16814">
      <c r="A16814" t="n">
        <v>16813</v>
      </c>
      <c r="B16814" t="inlineStr">
        <is>
          <t>x̄V̅MDCCCXIII</t>
        </is>
      </c>
      <c r="C16814">
        <f>ROMAN(16813)</f>
        <v/>
      </c>
      <c r="D16814">
        <f>IF(B16814=C16814, "YES", "WRONG")</f>
        <v/>
      </c>
    </row>
    <row r="16815">
      <c r="A16815" t="n">
        <v>16814</v>
      </c>
      <c r="B16815" t="inlineStr">
        <is>
          <t>x̄V̅MDCCCXIV</t>
        </is>
      </c>
      <c r="C16815">
        <f>ROMAN(16814)</f>
        <v/>
      </c>
      <c r="D16815">
        <f>IF(B16815=C16815, "YES", "WRONG")</f>
        <v/>
      </c>
    </row>
    <row r="16816">
      <c r="A16816" t="n">
        <v>16815</v>
      </c>
      <c r="B16816" t="inlineStr">
        <is>
          <t>x̄V̅MDCCCXV</t>
        </is>
      </c>
      <c r="C16816">
        <f>ROMAN(16815)</f>
        <v/>
      </c>
      <c r="D16816">
        <f>IF(B16816=C16816, "YES", "WRONG")</f>
        <v/>
      </c>
    </row>
    <row r="16817">
      <c r="A16817" t="n">
        <v>16816</v>
      </c>
      <c r="B16817" t="inlineStr">
        <is>
          <t>x̄V̅MDCCCXVI</t>
        </is>
      </c>
      <c r="C16817">
        <f>ROMAN(16816)</f>
        <v/>
      </c>
      <c r="D16817">
        <f>IF(B16817=C16817, "YES", "WRONG")</f>
        <v/>
      </c>
    </row>
    <row r="16818">
      <c r="A16818" t="n">
        <v>16817</v>
      </c>
      <c r="B16818" t="inlineStr">
        <is>
          <t>x̄V̅MDCCCXVII</t>
        </is>
      </c>
      <c r="C16818">
        <f>ROMAN(16817)</f>
        <v/>
      </c>
      <c r="D16818">
        <f>IF(B16818=C16818, "YES", "WRONG")</f>
        <v/>
      </c>
    </row>
    <row r="16819">
      <c r="A16819" t="n">
        <v>16818</v>
      </c>
      <c r="B16819" t="inlineStr">
        <is>
          <t>x̄V̅MDCCCXVIII</t>
        </is>
      </c>
      <c r="C16819">
        <f>ROMAN(16818)</f>
        <v/>
      </c>
      <c r="D16819">
        <f>IF(B16819=C16819, "YES", "WRONG")</f>
        <v/>
      </c>
    </row>
    <row r="16820">
      <c r="A16820" t="n">
        <v>16819</v>
      </c>
      <c r="B16820" t="inlineStr">
        <is>
          <t>x̄V̅MDCCCXIX</t>
        </is>
      </c>
      <c r="C16820">
        <f>ROMAN(16819)</f>
        <v/>
      </c>
      <c r="D16820">
        <f>IF(B16820=C16820, "YES", "WRONG")</f>
        <v/>
      </c>
    </row>
    <row r="16821">
      <c r="A16821" t="n">
        <v>16820</v>
      </c>
      <c r="B16821" t="inlineStr">
        <is>
          <t>x̄V̅MDCCCXX</t>
        </is>
      </c>
      <c r="C16821">
        <f>ROMAN(16820)</f>
        <v/>
      </c>
      <c r="D16821">
        <f>IF(B16821=C16821, "YES", "WRONG")</f>
        <v/>
      </c>
    </row>
    <row r="16822">
      <c r="A16822" t="n">
        <v>16821</v>
      </c>
      <c r="B16822" t="inlineStr">
        <is>
          <t>x̄V̅MDCCCXXI</t>
        </is>
      </c>
      <c r="C16822">
        <f>ROMAN(16821)</f>
        <v/>
      </c>
      <c r="D16822">
        <f>IF(B16822=C16822, "YES", "WRONG")</f>
        <v/>
      </c>
    </row>
    <row r="16823">
      <c r="A16823" t="n">
        <v>16822</v>
      </c>
      <c r="B16823" t="inlineStr">
        <is>
          <t>x̄V̅MDCCCXXII</t>
        </is>
      </c>
      <c r="C16823">
        <f>ROMAN(16822)</f>
        <v/>
      </c>
      <c r="D16823">
        <f>IF(B16823=C16823, "YES", "WRONG")</f>
        <v/>
      </c>
    </row>
    <row r="16824">
      <c r="A16824" t="n">
        <v>16823</v>
      </c>
      <c r="B16824" t="inlineStr">
        <is>
          <t>x̄V̅MDCCCXXIII</t>
        </is>
      </c>
      <c r="C16824">
        <f>ROMAN(16823)</f>
        <v/>
      </c>
      <c r="D16824">
        <f>IF(B16824=C16824, "YES", "WRONG")</f>
        <v/>
      </c>
    </row>
    <row r="16825">
      <c r="A16825" t="n">
        <v>16824</v>
      </c>
      <c r="B16825" t="inlineStr">
        <is>
          <t>x̄V̅MDCCCXXIV</t>
        </is>
      </c>
      <c r="C16825">
        <f>ROMAN(16824)</f>
        <v/>
      </c>
      <c r="D16825">
        <f>IF(B16825=C16825, "YES", "WRONG")</f>
        <v/>
      </c>
    </row>
    <row r="16826">
      <c r="A16826" t="n">
        <v>16825</v>
      </c>
      <c r="B16826" t="inlineStr">
        <is>
          <t>x̄V̅MDCCCXXV</t>
        </is>
      </c>
      <c r="C16826">
        <f>ROMAN(16825)</f>
        <v/>
      </c>
      <c r="D16826">
        <f>IF(B16826=C16826, "YES", "WRONG")</f>
        <v/>
      </c>
    </row>
    <row r="16827">
      <c r="A16827" t="n">
        <v>16826</v>
      </c>
      <c r="B16827" t="inlineStr">
        <is>
          <t>x̄V̅MDCCCXXVI</t>
        </is>
      </c>
      <c r="C16827">
        <f>ROMAN(16826)</f>
        <v/>
      </c>
      <c r="D16827">
        <f>IF(B16827=C16827, "YES", "WRONG")</f>
        <v/>
      </c>
    </row>
    <row r="16828">
      <c r="A16828" t="n">
        <v>16827</v>
      </c>
      <c r="B16828" t="inlineStr">
        <is>
          <t>x̄V̅MDCCCXXVII</t>
        </is>
      </c>
      <c r="C16828">
        <f>ROMAN(16827)</f>
        <v/>
      </c>
      <c r="D16828">
        <f>IF(B16828=C16828, "YES", "WRONG")</f>
        <v/>
      </c>
    </row>
    <row r="16829">
      <c r="A16829" t="n">
        <v>16828</v>
      </c>
      <c r="B16829" t="inlineStr">
        <is>
          <t>x̄V̅MDCCCXXVIII</t>
        </is>
      </c>
      <c r="C16829">
        <f>ROMAN(16828)</f>
        <v/>
      </c>
      <c r="D16829">
        <f>IF(B16829=C16829, "YES", "WRONG")</f>
        <v/>
      </c>
    </row>
    <row r="16830">
      <c r="A16830" t="n">
        <v>16829</v>
      </c>
      <c r="B16830" t="inlineStr">
        <is>
          <t>x̄V̅MDCCCXXIX</t>
        </is>
      </c>
      <c r="C16830">
        <f>ROMAN(16829)</f>
        <v/>
      </c>
      <c r="D16830">
        <f>IF(B16830=C16830, "YES", "WRONG")</f>
        <v/>
      </c>
    </row>
    <row r="16831">
      <c r="A16831" t="n">
        <v>16830</v>
      </c>
      <c r="B16831" t="inlineStr">
        <is>
          <t>x̄V̅MDCCCXXX</t>
        </is>
      </c>
      <c r="C16831">
        <f>ROMAN(16830)</f>
        <v/>
      </c>
      <c r="D16831">
        <f>IF(B16831=C16831, "YES", "WRONG")</f>
        <v/>
      </c>
    </row>
    <row r="16832">
      <c r="A16832" t="n">
        <v>16831</v>
      </c>
      <c r="B16832" t="inlineStr">
        <is>
          <t>x̄V̅MDCCCXXXI</t>
        </is>
      </c>
      <c r="C16832">
        <f>ROMAN(16831)</f>
        <v/>
      </c>
      <c r="D16832">
        <f>IF(B16832=C16832, "YES", "WRONG")</f>
        <v/>
      </c>
    </row>
    <row r="16833">
      <c r="A16833" t="n">
        <v>16832</v>
      </c>
      <c r="B16833" t="inlineStr">
        <is>
          <t>x̄V̅MDCCCXXXII</t>
        </is>
      </c>
      <c r="C16833">
        <f>ROMAN(16832)</f>
        <v/>
      </c>
      <c r="D16833">
        <f>IF(B16833=C16833, "YES", "WRONG")</f>
        <v/>
      </c>
    </row>
    <row r="16834">
      <c r="A16834" t="n">
        <v>16833</v>
      </c>
      <c r="B16834" t="inlineStr">
        <is>
          <t>x̄V̅MDCCCXXXIII</t>
        </is>
      </c>
      <c r="C16834">
        <f>ROMAN(16833)</f>
        <v/>
      </c>
      <c r="D16834">
        <f>IF(B16834=C16834, "YES", "WRONG")</f>
        <v/>
      </c>
    </row>
    <row r="16835">
      <c r="A16835" t="n">
        <v>16834</v>
      </c>
      <c r="B16835" t="inlineStr">
        <is>
          <t>x̄V̅MDCCCXXXIV</t>
        </is>
      </c>
      <c r="C16835">
        <f>ROMAN(16834)</f>
        <v/>
      </c>
      <c r="D16835">
        <f>IF(B16835=C16835, "YES", "WRONG")</f>
        <v/>
      </c>
    </row>
    <row r="16836">
      <c r="A16836" t="n">
        <v>16835</v>
      </c>
      <c r="B16836" t="inlineStr">
        <is>
          <t>x̄V̅MDCCCXXXV</t>
        </is>
      </c>
      <c r="C16836">
        <f>ROMAN(16835)</f>
        <v/>
      </c>
      <c r="D16836">
        <f>IF(B16836=C16836, "YES", "WRONG")</f>
        <v/>
      </c>
    </row>
    <row r="16837">
      <c r="A16837" t="n">
        <v>16836</v>
      </c>
      <c r="B16837" t="inlineStr">
        <is>
          <t>x̄V̅MDCCCXXXVI</t>
        </is>
      </c>
      <c r="C16837">
        <f>ROMAN(16836)</f>
        <v/>
      </c>
      <c r="D16837">
        <f>IF(B16837=C16837, "YES", "WRONG")</f>
        <v/>
      </c>
    </row>
    <row r="16838">
      <c r="A16838" t="n">
        <v>16837</v>
      </c>
      <c r="B16838" t="inlineStr">
        <is>
          <t>x̄V̅MDCCCXXXVII</t>
        </is>
      </c>
      <c r="C16838">
        <f>ROMAN(16837)</f>
        <v/>
      </c>
      <c r="D16838">
        <f>IF(B16838=C16838, "YES", "WRONG")</f>
        <v/>
      </c>
    </row>
    <row r="16839">
      <c r="A16839" t="n">
        <v>16838</v>
      </c>
      <c r="B16839" t="inlineStr">
        <is>
          <t>x̄V̅MDCCCXXXVIII</t>
        </is>
      </c>
      <c r="C16839">
        <f>ROMAN(16838)</f>
        <v/>
      </c>
      <c r="D16839">
        <f>IF(B16839=C16839, "YES", "WRONG")</f>
        <v/>
      </c>
    </row>
    <row r="16840">
      <c r="A16840" t="n">
        <v>16839</v>
      </c>
      <c r="B16840" t="inlineStr">
        <is>
          <t>x̄V̅MDCCCXXXIX</t>
        </is>
      </c>
      <c r="C16840">
        <f>ROMAN(16839)</f>
        <v/>
      </c>
      <c r="D16840">
        <f>IF(B16840=C16840, "YES", "WRONG")</f>
        <v/>
      </c>
    </row>
    <row r="16841">
      <c r="A16841" t="n">
        <v>16840</v>
      </c>
      <c r="B16841" t="inlineStr">
        <is>
          <t>x̄V̅MDCCCXL</t>
        </is>
      </c>
      <c r="C16841">
        <f>ROMAN(16840)</f>
        <v/>
      </c>
      <c r="D16841">
        <f>IF(B16841=C16841, "YES", "WRONG")</f>
        <v/>
      </c>
    </row>
    <row r="16842">
      <c r="A16842" t="n">
        <v>16841</v>
      </c>
      <c r="B16842" t="inlineStr">
        <is>
          <t>x̄V̅MDCCCXLI</t>
        </is>
      </c>
      <c r="C16842">
        <f>ROMAN(16841)</f>
        <v/>
      </c>
      <c r="D16842">
        <f>IF(B16842=C16842, "YES", "WRONG")</f>
        <v/>
      </c>
    </row>
    <row r="16843">
      <c r="A16843" t="n">
        <v>16842</v>
      </c>
      <c r="B16843" t="inlineStr">
        <is>
          <t>x̄V̅MDCCCXLII</t>
        </is>
      </c>
      <c r="C16843">
        <f>ROMAN(16842)</f>
        <v/>
      </c>
      <c r="D16843">
        <f>IF(B16843=C16843, "YES", "WRONG")</f>
        <v/>
      </c>
    </row>
    <row r="16844">
      <c r="A16844" t="n">
        <v>16843</v>
      </c>
      <c r="B16844" t="inlineStr">
        <is>
          <t>x̄V̅MDCCCXLIII</t>
        </is>
      </c>
      <c r="C16844">
        <f>ROMAN(16843)</f>
        <v/>
      </c>
      <c r="D16844">
        <f>IF(B16844=C16844, "YES", "WRONG")</f>
        <v/>
      </c>
    </row>
    <row r="16845">
      <c r="A16845" t="n">
        <v>16844</v>
      </c>
      <c r="B16845" t="inlineStr">
        <is>
          <t>x̄V̅MDCCCXLIV</t>
        </is>
      </c>
      <c r="C16845">
        <f>ROMAN(16844)</f>
        <v/>
      </c>
      <c r="D16845">
        <f>IF(B16845=C16845, "YES", "WRONG")</f>
        <v/>
      </c>
    </row>
    <row r="16846">
      <c r="A16846" t="n">
        <v>16845</v>
      </c>
      <c r="B16846" t="inlineStr">
        <is>
          <t>x̄V̅MDCCCXLV</t>
        </is>
      </c>
      <c r="C16846">
        <f>ROMAN(16845)</f>
        <v/>
      </c>
      <c r="D16846">
        <f>IF(B16846=C16846, "YES", "WRONG")</f>
        <v/>
      </c>
    </row>
    <row r="16847">
      <c r="A16847" t="n">
        <v>16846</v>
      </c>
      <c r="B16847" t="inlineStr">
        <is>
          <t>x̄V̅MDCCCXLVI</t>
        </is>
      </c>
      <c r="C16847">
        <f>ROMAN(16846)</f>
        <v/>
      </c>
      <c r="D16847">
        <f>IF(B16847=C16847, "YES", "WRONG")</f>
        <v/>
      </c>
    </row>
    <row r="16848">
      <c r="A16848" t="n">
        <v>16847</v>
      </c>
      <c r="B16848" t="inlineStr">
        <is>
          <t>x̄V̅MDCCCXLVII</t>
        </is>
      </c>
      <c r="C16848">
        <f>ROMAN(16847)</f>
        <v/>
      </c>
      <c r="D16848">
        <f>IF(B16848=C16848, "YES", "WRONG")</f>
        <v/>
      </c>
    </row>
    <row r="16849">
      <c r="A16849" t="n">
        <v>16848</v>
      </c>
      <c r="B16849" t="inlineStr">
        <is>
          <t>x̄V̅MDCCCXLVIII</t>
        </is>
      </c>
      <c r="C16849">
        <f>ROMAN(16848)</f>
        <v/>
      </c>
      <c r="D16849">
        <f>IF(B16849=C16849, "YES", "WRONG")</f>
        <v/>
      </c>
    </row>
    <row r="16850">
      <c r="A16850" t="n">
        <v>16849</v>
      </c>
      <c r="B16850" t="inlineStr">
        <is>
          <t>x̄V̅MDCCCXLIX</t>
        </is>
      </c>
      <c r="C16850">
        <f>ROMAN(16849)</f>
        <v/>
      </c>
      <c r="D16850">
        <f>IF(B16850=C16850, "YES", "WRONG")</f>
        <v/>
      </c>
    </row>
    <row r="16851">
      <c r="A16851" t="n">
        <v>16850</v>
      </c>
      <c r="B16851" t="inlineStr">
        <is>
          <t>x̄V̅MDCCCL</t>
        </is>
      </c>
      <c r="C16851">
        <f>ROMAN(16850)</f>
        <v/>
      </c>
      <c r="D16851">
        <f>IF(B16851=C16851, "YES", "WRONG")</f>
        <v/>
      </c>
    </row>
    <row r="16852">
      <c r="A16852" t="n">
        <v>16851</v>
      </c>
      <c r="B16852" t="inlineStr">
        <is>
          <t>x̄V̅MDCCCLI</t>
        </is>
      </c>
      <c r="C16852">
        <f>ROMAN(16851)</f>
        <v/>
      </c>
      <c r="D16852">
        <f>IF(B16852=C16852, "YES", "WRONG")</f>
        <v/>
      </c>
    </row>
    <row r="16853">
      <c r="A16853" t="n">
        <v>16852</v>
      </c>
      <c r="B16853" t="inlineStr">
        <is>
          <t>x̄V̅MDCCCLII</t>
        </is>
      </c>
      <c r="C16853">
        <f>ROMAN(16852)</f>
        <v/>
      </c>
      <c r="D16853">
        <f>IF(B16853=C16853, "YES", "WRONG")</f>
        <v/>
      </c>
    </row>
    <row r="16854">
      <c r="A16854" t="n">
        <v>16853</v>
      </c>
      <c r="B16854" t="inlineStr">
        <is>
          <t>x̄V̅MDCCCLIII</t>
        </is>
      </c>
      <c r="C16854">
        <f>ROMAN(16853)</f>
        <v/>
      </c>
      <c r="D16854">
        <f>IF(B16854=C16854, "YES", "WRONG")</f>
        <v/>
      </c>
    </row>
    <row r="16855">
      <c r="A16855" t="n">
        <v>16854</v>
      </c>
      <c r="B16855" t="inlineStr">
        <is>
          <t>x̄V̅MDCCCLIV</t>
        </is>
      </c>
      <c r="C16855">
        <f>ROMAN(16854)</f>
        <v/>
      </c>
      <c r="D16855">
        <f>IF(B16855=C16855, "YES", "WRONG")</f>
        <v/>
      </c>
    </row>
    <row r="16856">
      <c r="A16856" t="n">
        <v>16855</v>
      </c>
      <c r="B16856" t="inlineStr">
        <is>
          <t>x̄V̅MDCCCLV</t>
        </is>
      </c>
      <c r="C16856">
        <f>ROMAN(16855)</f>
        <v/>
      </c>
      <c r="D16856">
        <f>IF(B16856=C16856, "YES", "WRONG")</f>
        <v/>
      </c>
    </row>
    <row r="16857">
      <c r="A16857" t="n">
        <v>16856</v>
      </c>
      <c r="B16857" t="inlineStr">
        <is>
          <t>x̄V̅MDCCCLVI</t>
        </is>
      </c>
      <c r="C16857">
        <f>ROMAN(16856)</f>
        <v/>
      </c>
      <c r="D16857">
        <f>IF(B16857=C16857, "YES", "WRONG")</f>
        <v/>
      </c>
    </row>
    <row r="16858">
      <c r="A16858" t="n">
        <v>16857</v>
      </c>
      <c r="B16858" t="inlineStr">
        <is>
          <t>x̄V̅MDCCCLVII</t>
        </is>
      </c>
      <c r="C16858">
        <f>ROMAN(16857)</f>
        <v/>
      </c>
      <c r="D16858">
        <f>IF(B16858=C16858, "YES", "WRONG")</f>
        <v/>
      </c>
    </row>
    <row r="16859">
      <c r="A16859" t="n">
        <v>16858</v>
      </c>
      <c r="B16859" t="inlineStr">
        <is>
          <t>x̄V̅MDCCCLVIII</t>
        </is>
      </c>
      <c r="C16859">
        <f>ROMAN(16858)</f>
        <v/>
      </c>
      <c r="D16859">
        <f>IF(B16859=C16859, "YES", "WRONG")</f>
        <v/>
      </c>
    </row>
    <row r="16860">
      <c r="A16860" t="n">
        <v>16859</v>
      </c>
      <c r="B16860" t="inlineStr">
        <is>
          <t>x̄V̅MDCCCLIX</t>
        </is>
      </c>
      <c r="C16860">
        <f>ROMAN(16859)</f>
        <v/>
      </c>
      <c r="D16860">
        <f>IF(B16860=C16860, "YES", "WRONG")</f>
        <v/>
      </c>
    </row>
    <row r="16861">
      <c r="A16861" t="n">
        <v>16860</v>
      </c>
      <c r="B16861" t="inlineStr">
        <is>
          <t>x̄V̅MDCCCLX</t>
        </is>
      </c>
      <c r="C16861">
        <f>ROMAN(16860)</f>
        <v/>
      </c>
      <c r="D16861">
        <f>IF(B16861=C16861, "YES", "WRONG")</f>
        <v/>
      </c>
    </row>
    <row r="16862">
      <c r="A16862" t="n">
        <v>16861</v>
      </c>
      <c r="B16862" t="inlineStr">
        <is>
          <t>x̄V̅MDCCCLXI</t>
        </is>
      </c>
      <c r="C16862">
        <f>ROMAN(16861)</f>
        <v/>
      </c>
      <c r="D16862">
        <f>IF(B16862=C16862, "YES", "WRONG")</f>
        <v/>
      </c>
    </row>
    <row r="16863">
      <c r="A16863" t="n">
        <v>16862</v>
      </c>
      <c r="B16863" t="inlineStr">
        <is>
          <t>x̄V̅MDCCCLXII</t>
        </is>
      </c>
      <c r="C16863">
        <f>ROMAN(16862)</f>
        <v/>
      </c>
      <c r="D16863">
        <f>IF(B16863=C16863, "YES", "WRONG")</f>
        <v/>
      </c>
    </row>
    <row r="16864">
      <c r="A16864" t="n">
        <v>16863</v>
      </c>
      <c r="B16864" t="inlineStr">
        <is>
          <t>x̄V̅MDCCCLXIII</t>
        </is>
      </c>
      <c r="C16864">
        <f>ROMAN(16863)</f>
        <v/>
      </c>
      <c r="D16864">
        <f>IF(B16864=C16864, "YES", "WRONG")</f>
        <v/>
      </c>
    </row>
    <row r="16865">
      <c r="A16865" t="n">
        <v>16864</v>
      </c>
      <c r="B16865" t="inlineStr">
        <is>
          <t>x̄V̅MDCCCLXIV</t>
        </is>
      </c>
      <c r="C16865">
        <f>ROMAN(16864)</f>
        <v/>
      </c>
      <c r="D16865">
        <f>IF(B16865=C16865, "YES", "WRONG")</f>
        <v/>
      </c>
    </row>
    <row r="16866">
      <c r="A16866" t="n">
        <v>16865</v>
      </c>
      <c r="B16866" t="inlineStr">
        <is>
          <t>x̄V̅MDCCCLXV</t>
        </is>
      </c>
      <c r="C16866">
        <f>ROMAN(16865)</f>
        <v/>
      </c>
      <c r="D16866">
        <f>IF(B16866=C16866, "YES", "WRONG")</f>
        <v/>
      </c>
    </row>
    <row r="16867">
      <c r="A16867" t="n">
        <v>16866</v>
      </c>
      <c r="B16867" t="inlineStr">
        <is>
          <t>x̄V̅MDCCCLXVI</t>
        </is>
      </c>
      <c r="C16867">
        <f>ROMAN(16866)</f>
        <v/>
      </c>
      <c r="D16867">
        <f>IF(B16867=C16867, "YES", "WRONG")</f>
        <v/>
      </c>
    </row>
    <row r="16868">
      <c r="A16868" t="n">
        <v>16867</v>
      </c>
      <c r="B16868" t="inlineStr">
        <is>
          <t>x̄V̅MDCCCLXVII</t>
        </is>
      </c>
      <c r="C16868">
        <f>ROMAN(16867)</f>
        <v/>
      </c>
      <c r="D16868">
        <f>IF(B16868=C16868, "YES", "WRONG")</f>
        <v/>
      </c>
    </row>
    <row r="16869">
      <c r="A16869" t="n">
        <v>16868</v>
      </c>
      <c r="B16869" t="inlineStr">
        <is>
          <t>x̄V̅MDCCCLXVIII</t>
        </is>
      </c>
      <c r="C16869">
        <f>ROMAN(16868)</f>
        <v/>
      </c>
      <c r="D16869">
        <f>IF(B16869=C16869, "YES", "WRONG")</f>
        <v/>
      </c>
    </row>
    <row r="16870">
      <c r="A16870" t="n">
        <v>16869</v>
      </c>
      <c r="B16870" t="inlineStr">
        <is>
          <t>x̄V̅MDCCCLXIX</t>
        </is>
      </c>
      <c r="C16870">
        <f>ROMAN(16869)</f>
        <v/>
      </c>
      <c r="D16870">
        <f>IF(B16870=C16870, "YES", "WRONG")</f>
        <v/>
      </c>
    </row>
    <row r="16871">
      <c r="A16871" t="n">
        <v>16870</v>
      </c>
      <c r="B16871" t="inlineStr">
        <is>
          <t>x̄V̅MDCCCLXX</t>
        </is>
      </c>
      <c r="C16871">
        <f>ROMAN(16870)</f>
        <v/>
      </c>
      <c r="D16871">
        <f>IF(B16871=C16871, "YES", "WRONG")</f>
        <v/>
      </c>
    </row>
    <row r="16872">
      <c r="A16872" t="n">
        <v>16871</v>
      </c>
      <c r="B16872" t="inlineStr">
        <is>
          <t>x̄V̅MDCCCLXXI</t>
        </is>
      </c>
      <c r="C16872">
        <f>ROMAN(16871)</f>
        <v/>
      </c>
      <c r="D16872">
        <f>IF(B16872=C16872, "YES", "WRONG")</f>
        <v/>
      </c>
    </row>
    <row r="16873">
      <c r="A16873" t="n">
        <v>16872</v>
      </c>
      <c r="B16873" t="inlineStr">
        <is>
          <t>x̄V̅MDCCCLXXII</t>
        </is>
      </c>
      <c r="C16873">
        <f>ROMAN(16872)</f>
        <v/>
      </c>
      <c r="D16873">
        <f>IF(B16873=C16873, "YES", "WRONG")</f>
        <v/>
      </c>
    </row>
    <row r="16874">
      <c r="A16874" t="n">
        <v>16873</v>
      </c>
      <c r="B16874" t="inlineStr">
        <is>
          <t>x̄V̅MDCCCLXXIII</t>
        </is>
      </c>
      <c r="C16874">
        <f>ROMAN(16873)</f>
        <v/>
      </c>
      <c r="D16874">
        <f>IF(B16874=C16874, "YES", "WRONG")</f>
        <v/>
      </c>
    </row>
    <row r="16875">
      <c r="A16875" t="n">
        <v>16874</v>
      </c>
      <c r="B16875" t="inlineStr">
        <is>
          <t>x̄V̅MDCCCLXXIV</t>
        </is>
      </c>
      <c r="C16875">
        <f>ROMAN(16874)</f>
        <v/>
      </c>
      <c r="D16875">
        <f>IF(B16875=C16875, "YES", "WRONG")</f>
        <v/>
      </c>
    </row>
    <row r="16876">
      <c r="A16876" t="n">
        <v>16875</v>
      </c>
      <c r="B16876" t="inlineStr">
        <is>
          <t>x̄V̅MDCCCLXXV</t>
        </is>
      </c>
      <c r="C16876">
        <f>ROMAN(16875)</f>
        <v/>
      </c>
      <c r="D16876">
        <f>IF(B16876=C16876, "YES", "WRONG")</f>
        <v/>
      </c>
    </row>
    <row r="16877">
      <c r="A16877" t="n">
        <v>16876</v>
      </c>
      <c r="B16877" t="inlineStr">
        <is>
          <t>x̄V̅MDCCCLXXVI</t>
        </is>
      </c>
      <c r="C16877">
        <f>ROMAN(16876)</f>
        <v/>
      </c>
      <c r="D16877">
        <f>IF(B16877=C16877, "YES", "WRONG")</f>
        <v/>
      </c>
    </row>
    <row r="16878">
      <c r="A16878" t="n">
        <v>16877</v>
      </c>
      <c r="B16878" t="inlineStr">
        <is>
          <t>x̄V̅MDCCCLXXVII</t>
        </is>
      </c>
      <c r="C16878">
        <f>ROMAN(16877)</f>
        <v/>
      </c>
      <c r="D16878">
        <f>IF(B16878=C16878, "YES", "WRONG")</f>
        <v/>
      </c>
    </row>
    <row r="16879">
      <c r="A16879" t="n">
        <v>16878</v>
      </c>
      <c r="B16879" t="inlineStr">
        <is>
          <t>x̄V̅MDCCCLXXVIII</t>
        </is>
      </c>
      <c r="C16879">
        <f>ROMAN(16878)</f>
        <v/>
      </c>
      <c r="D16879">
        <f>IF(B16879=C16879, "YES", "WRONG")</f>
        <v/>
      </c>
    </row>
    <row r="16880">
      <c r="A16880" t="n">
        <v>16879</v>
      </c>
      <c r="B16880" t="inlineStr">
        <is>
          <t>x̄V̅MDCCCLXXIX</t>
        </is>
      </c>
      <c r="C16880">
        <f>ROMAN(16879)</f>
        <v/>
      </c>
      <c r="D16880">
        <f>IF(B16880=C16880, "YES", "WRONG")</f>
        <v/>
      </c>
    </row>
    <row r="16881">
      <c r="A16881" t="n">
        <v>16880</v>
      </c>
      <c r="B16881" t="inlineStr">
        <is>
          <t>x̄V̅MDCCCLXXX</t>
        </is>
      </c>
      <c r="C16881">
        <f>ROMAN(16880)</f>
        <v/>
      </c>
      <c r="D16881">
        <f>IF(B16881=C16881, "YES", "WRONG")</f>
        <v/>
      </c>
    </row>
    <row r="16882">
      <c r="A16882" t="n">
        <v>16881</v>
      </c>
      <c r="B16882" t="inlineStr">
        <is>
          <t>x̄V̅MDCCCLXXXI</t>
        </is>
      </c>
      <c r="C16882">
        <f>ROMAN(16881)</f>
        <v/>
      </c>
      <c r="D16882">
        <f>IF(B16882=C16882, "YES", "WRONG")</f>
        <v/>
      </c>
    </row>
    <row r="16883">
      <c r="A16883" t="n">
        <v>16882</v>
      </c>
      <c r="B16883" t="inlineStr">
        <is>
          <t>x̄V̅MDCCCLXXXII</t>
        </is>
      </c>
      <c r="C16883">
        <f>ROMAN(16882)</f>
        <v/>
      </c>
      <c r="D16883">
        <f>IF(B16883=C16883, "YES", "WRONG")</f>
        <v/>
      </c>
    </row>
    <row r="16884">
      <c r="A16884" t="n">
        <v>16883</v>
      </c>
      <c r="B16884" t="inlineStr">
        <is>
          <t>x̄V̅MDCCCLXXXIII</t>
        </is>
      </c>
      <c r="C16884">
        <f>ROMAN(16883)</f>
        <v/>
      </c>
      <c r="D16884">
        <f>IF(B16884=C16884, "YES", "WRONG")</f>
        <v/>
      </c>
    </row>
    <row r="16885">
      <c r="A16885" t="n">
        <v>16884</v>
      </c>
      <c r="B16885" t="inlineStr">
        <is>
          <t>x̄V̅MDCCCLXXXIV</t>
        </is>
      </c>
      <c r="C16885">
        <f>ROMAN(16884)</f>
        <v/>
      </c>
      <c r="D16885">
        <f>IF(B16885=C16885, "YES", "WRONG")</f>
        <v/>
      </c>
    </row>
    <row r="16886">
      <c r="A16886" t="n">
        <v>16885</v>
      </c>
      <c r="B16886" t="inlineStr">
        <is>
          <t>x̄V̅MDCCCLXXXV</t>
        </is>
      </c>
      <c r="C16886">
        <f>ROMAN(16885)</f>
        <v/>
      </c>
      <c r="D16886">
        <f>IF(B16886=C16886, "YES", "WRONG")</f>
        <v/>
      </c>
    </row>
    <row r="16887">
      <c r="A16887" t="n">
        <v>16886</v>
      </c>
      <c r="B16887" t="inlineStr">
        <is>
          <t>x̄V̅MDCCCLXXXVI</t>
        </is>
      </c>
      <c r="C16887">
        <f>ROMAN(16886)</f>
        <v/>
      </c>
      <c r="D16887">
        <f>IF(B16887=C16887, "YES", "WRONG")</f>
        <v/>
      </c>
    </row>
    <row r="16888">
      <c r="A16888" t="n">
        <v>16887</v>
      </c>
      <c r="B16888" t="inlineStr">
        <is>
          <t>x̄V̅MDCCCLXXXVII</t>
        </is>
      </c>
      <c r="C16888">
        <f>ROMAN(16887)</f>
        <v/>
      </c>
      <c r="D16888">
        <f>IF(B16888=C16888, "YES", "WRONG")</f>
        <v/>
      </c>
    </row>
    <row r="16889">
      <c r="A16889" t="n">
        <v>16888</v>
      </c>
      <c r="B16889" t="inlineStr">
        <is>
          <t>x̄V̅MDCCCLXXXVIII</t>
        </is>
      </c>
      <c r="C16889">
        <f>ROMAN(16888)</f>
        <v/>
      </c>
      <c r="D16889">
        <f>IF(B16889=C16889, "YES", "WRONG")</f>
        <v/>
      </c>
    </row>
    <row r="16890">
      <c r="A16890" t="n">
        <v>16889</v>
      </c>
      <c r="B16890" t="inlineStr">
        <is>
          <t>x̄V̅MDCCCLXXXIX</t>
        </is>
      </c>
      <c r="C16890">
        <f>ROMAN(16889)</f>
        <v/>
      </c>
      <c r="D16890">
        <f>IF(B16890=C16890, "YES", "WRONG")</f>
        <v/>
      </c>
    </row>
    <row r="16891">
      <c r="A16891" t="n">
        <v>16890</v>
      </c>
      <c r="B16891" t="inlineStr">
        <is>
          <t>x̄V̅MDCCCXC</t>
        </is>
      </c>
      <c r="C16891">
        <f>ROMAN(16890)</f>
        <v/>
      </c>
      <c r="D16891">
        <f>IF(B16891=C16891, "YES", "WRONG")</f>
        <v/>
      </c>
    </row>
    <row r="16892">
      <c r="A16892" t="n">
        <v>16891</v>
      </c>
      <c r="B16892" t="inlineStr">
        <is>
          <t>x̄V̅MDCCCXCI</t>
        </is>
      </c>
      <c r="C16892">
        <f>ROMAN(16891)</f>
        <v/>
      </c>
      <c r="D16892">
        <f>IF(B16892=C16892, "YES", "WRONG")</f>
        <v/>
      </c>
    </row>
    <row r="16893">
      <c r="A16893" t="n">
        <v>16892</v>
      </c>
      <c r="B16893" t="inlineStr">
        <is>
          <t>x̄V̅MDCCCXCII</t>
        </is>
      </c>
      <c r="C16893">
        <f>ROMAN(16892)</f>
        <v/>
      </c>
      <c r="D16893">
        <f>IF(B16893=C16893, "YES", "WRONG")</f>
        <v/>
      </c>
    </row>
    <row r="16894">
      <c r="A16894" t="n">
        <v>16893</v>
      </c>
      <c r="B16894" t="inlineStr">
        <is>
          <t>x̄V̅MDCCCXCIII</t>
        </is>
      </c>
      <c r="C16894">
        <f>ROMAN(16893)</f>
        <v/>
      </c>
      <c r="D16894">
        <f>IF(B16894=C16894, "YES", "WRONG")</f>
        <v/>
      </c>
    </row>
    <row r="16895">
      <c r="A16895" t="n">
        <v>16894</v>
      </c>
      <c r="B16895" t="inlineStr">
        <is>
          <t>x̄V̅MDCCCXCIV</t>
        </is>
      </c>
      <c r="C16895">
        <f>ROMAN(16894)</f>
        <v/>
      </c>
      <c r="D16895">
        <f>IF(B16895=C16895, "YES", "WRONG")</f>
        <v/>
      </c>
    </row>
    <row r="16896">
      <c r="A16896" t="n">
        <v>16895</v>
      </c>
      <c r="B16896" t="inlineStr">
        <is>
          <t>x̄V̅MDCCCXCV</t>
        </is>
      </c>
      <c r="C16896">
        <f>ROMAN(16895)</f>
        <v/>
      </c>
      <c r="D16896">
        <f>IF(B16896=C16896, "YES", "WRONG")</f>
        <v/>
      </c>
    </row>
    <row r="16897">
      <c r="A16897" t="n">
        <v>16896</v>
      </c>
      <c r="B16897" t="inlineStr">
        <is>
          <t>x̄V̅MDCCCXCVI</t>
        </is>
      </c>
      <c r="C16897">
        <f>ROMAN(16896)</f>
        <v/>
      </c>
      <c r="D16897">
        <f>IF(B16897=C16897, "YES", "WRONG")</f>
        <v/>
      </c>
    </row>
    <row r="16898">
      <c r="A16898" t="n">
        <v>16897</v>
      </c>
      <c r="B16898" t="inlineStr">
        <is>
          <t>x̄V̅MDCCCXCVII</t>
        </is>
      </c>
      <c r="C16898">
        <f>ROMAN(16897)</f>
        <v/>
      </c>
      <c r="D16898">
        <f>IF(B16898=C16898, "YES", "WRONG")</f>
        <v/>
      </c>
    </row>
    <row r="16899">
      <c r="A16899" t="n">
        <v>16898</v>
      </c>
      <c r="B16899" t="inlineStr">
        <is>
          <t>x̄V̅MDCCCXCVIII</t>
        </is>
      </c>
      <c r="C16899">
        <f>ROMAN(16898)</f>
        <v/>
      </c>
      <c r="D16899">
        <f>IF(B16899=C16899, "YES", "WRONG")</f>
        <v/>
      </c>
    </row>
    <row r="16900">
      <c r="A16900" t="n">
        <v>16899</v>
      </c>
      <c r="B16900" t="inlineStr">
        <is>
          <t>x̄V̅MDCCCXCIX</t>
        </is>
      </c>
      <c r="C16900">
        <f>ROMAN(16899)</f>
        <v/>
      </c>
      <c r="D16900">
        <f>IF(B16900=C16900, "YES", "WRONG")</f>
        <v/>
      </c>
    </row>
    <row r="16901">
      <c r="A16901" t="n">
        <v>16900</v>
      </c>
      <c r="B16901" t="inlineStr">
        <is>
          <t>x̄V̅MCM</t>
        </is>
      </c>
      <c r="C16901">
        <f>ROMAN(16900)</f>
        <v/>
      </c>
      <c r="D16901">
        <f>IF(B16901=C16901, "YES", "WRONG")</f>
        <v/>
      </c>
    </row>
    <row r="16902">
      <c r="A16902" t="n">
        <v>16901</v>
      </c>
      <c r="B16902" t="inlineStr">
        <is>
          <t>x̄V̅MCMI</t>
        </is>
      </c>
      <c r="C16902">
        <f>ROMAN(16901)</f>
        <v/>
      </c>
      <c r="D16902">
        <f>IF(B16902=C16902, "YES", "WRONG")</f>
        <v/>
      </c>
    </row>
    <row r="16903">
      <c r="A16903" t="n">
        <v>16902</v>
      </c>
      <c r="B16903" t="inlineStr">
        <is>
          <t>x̄V̅MCMII</t>
        </is>
      </c>
      <c r="C16903">
        <f>ROMAN(16902)</f>
        <v/>
      </c>
      <c r="D16903">
        <f>IF(B16903=C16903, "YES", "WRONG")</f>
        <v/>
      </c>
    </row>
    <row r="16904">
      <c r="A16904" t="n">
        <v>16903</v>
      </c>
      <c r="B16904" t="inlineStr">
        <is>
          <t>x̄V̅MCMIII</t>
        </is>
      </c>
      <c r="C16904">
        <f>ROMAN(16903)</f>
        <v/>
      </c>
      <c r="D16904">
        <f>IF(B16904=C16904, "YES", "WRONG")</f>
        <v/>
      </c>
    </row>
    <row r="16905">
      <c r="A16905" t="n">
        <v>16904</v>
      </c>
      <c r="B16905" t="inlineStr">
        <is>
          <t>x̄V̅MCMIV</t>
        </is>
      </c>
      <c r="C16905">
        <f>ROMAN(16904)</f>
        <v/>
      </c>
      <c r="D16905">
        <f>IF(B16905=C16905, "YES", "WRONG")</f>
        <v/>
      </c>
    </row>
    <row r="16906">
      <c r="A16906" t="n">
        <v>16905</v>
      </c>
      <c r="B16906" t="inlineStr">
        <is>
          <t>x̄V̅MCMV</t>
        </is>
      </c>
      <c r="C16906">
        <f>ROMAN(16905)</f>
        <v/>
      </c>
      <c r="D16906">
        <f>IF(B16906=C16906, "YES", "WRONG")</f>
        <v/>
      </c>
    </row>
    <row r="16907">
      <c r="A16907" t="n">
        <v>16906</v>
      </c>
      <c r="B16907" t="inlineStr">
        <is>
          <t>x̄V̅MCMVI</t>
        </is>
      </c>
      <c r="C16907">
        <f>ROMAN(16906)</f>
        <v/>
      </c>
      <c r="D16907">
        <f>IF(B16907=C16907, "YES", "WRONG")</f>
        <v/>
      </c>
    </row>
    <row r="16908">
      <c r="A16908" t="n">
        <v>16907</v>
      </c>
      <c r="B16908" t="inlineStr">
        <is>
          <t>x̄V̅MCMVII</t>
        </is>
      </c>
      <c r="C16908">
        <f>ROMAN(16907)</f>
        <v/>
      </c>
      <c r="D16908">
        <f>IF(B16908=C16908, "YES", "WRONG")</f>
        <v/>
      </c>
    </row>
    <row r="16909">
      <c r="A16909" t="n">
        <v>16908</v>
      </c>
      <c r="B16909" t="inlineStr">
        <is>
          <t>x̄V̅MCMVIII</t>
        </is>
      </c>
      <c r="C16909">
        <f>ROMAN(16908)</f>
        <v/>
      </c>
      <c r="D16909">
        <f>IF(B16909=C16909, "YES", "WRONG")</f>
        <v/>
      </c>
    </row>
    <row r="16910">
      <c r="A16910" t="n">
        <v>16909</v>
      </c>
      <c r="B16910" t="inlineStr">
        <is>
          <t>x̄V̅MCMIX</t>
        </is>
      </c>
      <c r="C16910">
        <f>ROMAN(16909)</f>
        <v/>
      </c>
      <c r="D16910">
        <f>IF(B16910=C16910, "YES", "WRONG")</f>
        <v/>
      </c>
    </row>
    <row r="16911">
      <c r="A16911" t="n">
        <v>16910</v>
      </c>
      <c r="B16911" t="inlineStr">
        <is>
          <t>x̄V̅MCMX</t>
        </is>
      </c>
      <c r="C16911">
        <f>ROMAN(16910)</f>
        <v/>
      </c>
      <c r="D16911">
        <f>IF(B16911=C16911, "YES", "WRONG")</f>
        <v/>
      </c>
    </row>
    <row r="16912">
      <c r="A16912" t="n">
        <v>16911</v>
      </c>
      <c r="B16912" t="inlineStr">
        <is>
          <t>x̄V̅MCMXI</t>
        </is>
      </c>
      <c r="C16912">
        <f>ROMAN(16911)</f>
        <v/>
      </c>
      <c r="D16912">
        <f>IF(B16912=C16912, "YES", "WRONG")</f>
        <v/>
      </c>
    </row>
    <row r="16913">
      <c r="A16913" t="n">
        <v>16912</v>
      </c>
      <c r="B16913" t="inlineStr">
        <is>
          <t>x̄V̅MCMXII</t>
        </is>
      </c>
      <c r="C16913">
        <f>ROMAN(16912)</f>
        <v/>
      </c>
      <c r="D16913">
        <f>IF(B16913=C16913, "YES", "WRONG")</f>
        <v/>
      </c>
    </row>
    <row r="16914">
      <c r="A16914" t="n">
        <v>16913</v>
      </c>
      <c r="B16914" t="inlineStr">
        <is>
          <t>x̄V̅MCMXIII</t>
        </is>
      </c>
      <c r="C16914">
        <f>ROMAN(16913)</f>
        <v/>
      </c>
      <c r="D16914">
        <f>IF(B16914=C16914, "YES", "WRONG")</f>
        <v/>
      </c>
    </row>
    <row r="16915">
      <c r="A16915" t="n">
        <v>16914</v>
      </c>
      <c r="B16915" t="inlineStr">
        <is>
          <t>x̄V̅MCMXIV</t>
        </is>
      </c>
      <c r="C16915">
        <f>ROMAN(16914)</f>
        <v/>
      </c>
      <c r="D16915">
        <f>IF(B16915=C16915, "YES", "WRONG")</f>
        <v/>
      </c>
    </row>
    <row r="16916">
      <c r="A16916" t="n">
        <v>16915</v>
      </c>
      <c r="B16916" t="inlineStr">
        <is>
          <t>x̄V̅MCMXV</t>
        </is>
      </c>
      <c r="C16916">
        <f>ROMAN(16915)</f>
        <v/>
      </c>
      <c r="D16916">
        <f>IF(B16916=C16916, "YES", "WRONG")</f>
        <v/>
      </c>
    </row>
    <row r="16917">
      <c r="A16917" t="n">
        <v>16916</v>
      </c>
      <c r="B16917" t="inlineStr">
        <is>
          <t>x̄V̅MCMXVI</t>
        </is>
      </c>
      <c r="C16917">
        <f>ROMAN(16916)</f>
        <v/>
      </c>
      <c r="D16917">
        <f>IF(B16917=C16917, "YES", "WRONG")</f>
        <v/>
      </c>
    </row>
    <row r="16918">
      <c r="A16918" t="n">
        <v>16917</v>
      </c>
      <c r="B16918" t="inlineStr">
        <is>
          <t>x̄V̅MCMXVII</t>
        </is>
      </c>
      <c r="C16918">
        <f>ROMAN(16917)</f>
        <v/>
      </c>
      <c r="D16918">
        <f>IF(B16918=C16918, "YES", "WRONG")</f>
        <v/>
      </c>
    </row>
    <row r="16919">
      <c r="A16919" t="n">
        <v>16918</v>
      </c>
      <c r="B16919" t="inlineStr">
        <is>
          <t>x̄V̅MCMXVIII</t>
        </is>
      </c>
      <c r="C16919">
        <f>ROMAN(16918)</f>
        <v/>
      </c>
      <c r="D16919">
        <f>IF(B16919=C16919, "YES", "WRONG")</f>
        <v/>
      </c>
    </row>
    <row r="16920">
      <c r="A16920" t="n">
        <v>16919</v>
      </c>
      <c r="B16920" t="inlineStr">
        <is>
          <t>x̄V̅MCMXIX</t>
        </is>
      </c>
      <c r="C16920">
        <f>ROMAN(16919)</f>
        <v/>
      </c>
      <c r="D16920">
        <f>IF(B16920=C16920, "YES", "WRONG")</f>
        <v/>
      </c>
    </row>
    <row r="16921">
      <c r="A16921" t="n">
        <v>16920</v>
      </c>
      <c r="B16921" t="inlineStr">
        <is>
          <t>x̄V̅MCMXX</t>
        </is>
      </c>
      <c r="C16921">
        <f>ROMAN(16920)</f>
        <v/>
      </c>
      <c r="D16921">
        <f>IF(B16921=C16921, "YES", "WRONG")</f>
        <v/>
      </c>
    </row>
    <row r="16922">
      <c r="A16922" t="n">
        <v>16921</v>
      </c>
      <c r="B16922" t="inlineStr">
        <is>
          <t>x̄V̅MCMXXI</t>
        </is>
      </c>
      <c r="C16922">
        <f>ROMAN(16921)</f>
        <v/>
      </c>
      <c r="D16922">
        <f>IF(B16922=C16922, "YES", "WRONG")</f>
        <v/>
      </c>
    </row>
    <row r="16923">
      <c r="A16923" t="n">
        <v>16922</v>
      </c>
      <c r="B16923" t="inlineStr">
        <is>
          <t>x̄V̅MCMXXII</t>
        </is>
      </c>
      <c r="C16923">
        <f>ROMAN(16922)</f>
        <v/>
      </c>
      <c r="D16923">
        <f>IF(B16923=C16923, "YES", "WRONG")</f>
        <v/>
      </c>
    </row>
    <row r="16924">
      <c r="A16924" t="n">
        <v>16923</v>
      </c>
      <c r="B16924" t="inlineStr">
        <is>
          <t>x̄V̅MCMXXIII</t>
        </is>
      </c>
      <c r="C16924">
        <f>ROMAN(16923)</f>
        <v/>
      </c>
      <c r="D16924">
        <f>IF(B16924=C16924, "YES", "WRONG")</f>
        <v/>
      </c>
    </row>
    <row r="16925">
      <c r="A16925" t="n">
        <v>16924</v>
      </c>
      <c r="B16925" t="inlineStr">
        <is>
          <t>x̄V̅MCMXXIV</t>
        </is>
      </c>
      <c r="C16925">
        <f>ROMAN(16924)</f>
        <v/>
      </c>
      <c r="D16925">
        <f>IF(B16925=C16925, "YES", "WRONG")</f>
        <v/>
      </c>
    </row>
    <row r="16926">
      <c r="A16926" t="n">
        <v>16925</v>
      </c>
      <c r="B16926" t="inlineStr">
        <is>
          <t>x̄V̅MCMXXV</t>
        </is>
      </c>
      <c r="C16926">
        <f>ROMAN(16925)</f>
        <v/>
      </c>
      <c r="D16926">
        <f>IF(B16926=C16926, "YES", "WRONG")</f>
        <v/>
      </c>
    </row>
    <row r="16927">
      <c r="A16927" t="n">
        <v>16926</v>
      </c>
      <c r="B16927" t="inlineStr">
        <is>
          <t>x̄V̅MCMXXVI</t>
        </is>
      </c>
      <c r="C16927">
        <f>ROMAN(16926)</f>
        <v/>
      </c>
      <c r="D16927">
        <f>IF(B16927=C16927, "YES", "WRONG")</f>
        <v/>
      </c>
    </row>
    <row r="16928">
      <c r="A16928" t="n">
        <v>16927</v>
      </c>
      <c r="B16928" t="inlineStr">
        <is>
          <t>x̄V̅MCMXXVII</t>
        </is>
      </c>
      <c r="C16928">
        <f>ROMAN(16927)</f>
        <v/>
      </c>
      <c r="D16928">
        <f>IF(B16928=C16928, "YES", "WRONG")</f>
        <v/>
      </c>
    </row>
    <row r="16929">
      <c r="A16929" t="n">
        <v>16928</v>
      </c>
      <c r="B16929" t="inlineStr">
        <is>
          <t>x̄V̅MCMXXVIII</t>
        </is>
      </c>
      <c r="C16929">
        <f>ROMAN(16928)</f>
        <v/>
      </c>
      <c r="D16929">
        <f>IF(B16929=C16929, "YES", "WRONG")</f>
        <v/>
      </c>
    </row>
    <row r="16930">
      <c r="A16930" t="n">
        <v>16929</v>
      </c>
      <c r="B16930" t="inlineStr">
        <is>
          <t>x̄V̅MCMXXIX</t>
        </is>
      </c>
      <c r="C16930">
        <f>ROMAN(16929)</f>
        <v/>
      </c>
      <c r="D16930">
        <f>IF(B16930=C16930, "YES", "WRONG")</f>
        <v/>
      </c>
    </row>
    <row r="16931">
      <c r="A16931" t="n">
        <v>16930</v>
      </c>
      <c r="B16931" t="inlineStr">
        <is>
          <t>x̄V̅MCMXXX</t>
        </is>
      </c>
      <c r="C16931">
        <f>ROMAN(16930)</f>
        <v/>
      </c>
      <c r="D16931">
        <f>IF(B16931=C16931, "YES", "WRONG")</f>
        <v/>
      </c>
    </row>
    <row r="16932">
      <c r="A16932" t="n">
        <v>16931</v>
      </c>
      <c r="B16932" t="inlineStr">
        <is>
          <t>x̄V̅MCMXXXI</t>
        </is>
      </c>
      <c r="C16932">
        <f>ROMAN(16931)</f>
        <v/>
      </c>
      <c r="D16932">
        <f>IF(B16932=C16932, "YES", "WRONG")</f>
        <v/>
      </c>
    </row>
    <row r="16933">
      <c r="A16933" t="n">
        <v>16932</v>
      </c>
      <c r="B16933" t="inlineStr">
        <is>
          <t>x̄V̅MCMXXXII</t>
        </is>
      </c>
      <c r="C16933">
        <f>ROMAN(16932)</f>
        <v/>
      </c>
      <c r="D16933">
        <f>IF(B16933=C16933, "YES", "WRONG")</f>
        <v/>
      </c>
    </row>
    <row r="16934">
      <c r="A16934" t="n">
        <v>16933</v>
      </c>
      <c r="B16934" t="inlineStr">
        <is>
          <t>x̄V̅MCMXXXIII</t>
        </is>
      </c>
      <c r="C16934">
        <f>ROMAN(16933)</f>
        <v/>
      </c>
      <c r="D16934">
        <f>IF(B16934=C16934, "YES", "WRONG")</f>
        <v/>
      </c>
    </row>
    <row r="16935">
      <c r="A16935" t="n">
        <v>16934</v>
      </c>
      <c r="B16935" t="inlineStr">
        <is>
          <t>x̄V̅MCMXXXIV</t>
        </is>
      </c>
      <c r="C16935">
        <f>ROMAN(16934)</f>
        <v/>
      </c>
      <c r="D16935">
        <f>IF(B16935=C16935, "YES", "WRONG")</f>
        <v/>
      </c>
    </row>
    <row r="16936">
      <c r="A16936" t="n">
        <v>16935</v>
      </c>
      <c r="B16936" t="inlineStr">
        <is>
          <t>x̄V̅MCMXXXV</t>
        </is>
      </c>
      <c r="C16936">
        <f>ROMAN(16935)</f>
        <v/>
      </c>
      <c r="D16936">
        <f>IF(B16936=C16936, "YES", "WRONG")</f>
        <v/>
      </c>
    </row>
    <row r="16937">
      <c r="A16937" t="n">
        <v>16936</v>
      </c>
      <c r="B16937" t="inlineStr">
        <is>
          <t>x̄V̅MCMXXXVI</t>
        </is>
      </c>
      <c r="C16937">
        <f>ROMAN(16936)</f>
        <v/>
      </c>
      <c r="D16937">
        <f>IF(B16937=C16937, "YES", "WRONG")</f>
        <v/>
      </c>
    </row>
    <row r="16938">
      <c r="A16938" t="n">
        <v>16937</v>
      </c>
      <c r="B16938" t="inlineStr">
        <is>
          <t>x̄V̅MCMXXXVII</t>
        </is>
      </c>
      <c r="C16938">
        <f>ROMAN(16937)</f>
        <v/>
      </c>
      <c r="D16938">
        <f>IF(B16938=C16938, "YES", "WRONG")</f>
        <v/>
      </c>
    </row>
    <row r="16939">
      <c r="A16939" t="n">
        <v>16938</v>
      </c>
      <c r="B16939" t="inlineStr">
        <is>
          <t>x̄V̅MCMXXXVIII</t>
        </is>
      </c>
      <c r="C16939">
        <f>ROMAN(16938)</f>
        <v/>
      </c>
      <c r="D16939">
        <f>IF(B16939=C16939, "YES", "WRONG")</f>
        <v/>
      </c>
    </row>
    <row r="16940">
      <c r="A16940" t="n">
        <v>16939</v>
      </c>
      <c r="B16940" t="inlineStr">
        <is>
          <t>x̄V̅MCMXXXIX</t>
        </is>
      </c>
      <c r="C16940">
        <f>ROMAN(16939)</f>
        <v/>
      </c>
      <c r="D16940">
        <f>IF(B16940=C16940, "YES", "WRONG")</f>
        <v/>
      </c>
    </row>
    <row r="16941">
      <c r="A16941" t="n">
        <v>16940</v>
      </c>
      <c r="B16941" t="inlineStr">
        <is>
          <t>x̄V̅MCMXL</t>
        </is>
      </c>
      <c r="C16941">
        <f>ROMAN(16940)</f>
        <v/>
      </c>
      <c r="D16941">
        <f>IF(B16941=C16941, "YES", "WRONG")</f>
        <v/>
      </c>
    </row>
    <row r="16942">
      <c r="A16942" t="n">
        <v>16941</v>
      </c>
      <c r="B16942" t="inlineStr">
        <is>
          <t>x̄V̅MCMXLI</t>
        </is>
      </c>
      <c r="C16942">
        <f>ROMAN(16941)</f>
        <v/>
      </c>
      <c r="D16942">
        <f>IF(B16942=C16942, "YES", "WRONG")</f>
        <v/>
      </c>
    </row>
    <row r="16943">
      <c r="A16943" t="n">
        <v>16942</v>
      </c>
      <c r="B16943" t="inlineStr">
        <is>
          <t>x̄V̅MCMXLII</t>
        </is>
      </c>
      <c r="C16943">
        <f>ROMAN(16942)</f>
        <v/>
      </c>
      <c r="D16943">
        <f>IF(B16943=C16943, "YES", "WRONG")</f>
        <v/>
      </c>
    </row>
    <row r="16944">
      <c r="A16944" t="n">
        <v>16943</v>
      </c>
      <c r="B16944" t="inlineStr">
        <is>
          <t>x̄V̅MCMXLIII</t>
        </is>
      </c>
      <c r="C16944">
        <f>ROMAN(16943)</f>
        <v/>
      </c>
      <c r="D16944">
        <f>IF(B16944=C16944, "YES", "WRONG")</f>
        <v/>
      </c>
    </row>
    <row r="16945">
      <c r="A16945" t="n">
        <v>16944</v>
      </c>
      <c r="B16945" t="inlineStr">
        <is>
          <t>x̄V̅MCMXLIV</t>
        </is>
      </c>
      <c r="C16945">
        <f>ROMAN(16944)</f>
        <v/>
      </c>
      <c r="D16945">
        <f>IF(B16945=C16945, "YES", "WRONG")</f>
        <v/>
      </c>
    </row>
    <row r="16946">
      <c r="A16946" t="n">
        <v>16945</v>
      </c>
      <c r="B16946" t="inlineStr">
        <is>
          <t>x̄V̅MCMXLV</t>
        </is>
      </c>
      <c r="C16946">
        <f>ROMAN(16945)</f>
        <v/>
      </c>
      <c r="D16946">
        <f>IF(B16946=C16946, "YES", "WRONG")</f>
        <v/>
      </c>
    </row>
    <row r="16947">
      <c r="A16947" t="n">
        <v>16946</v>
      </c>
      <c r="B16947" t="inlineStr">
        <is>
          <t>x̄V̅MCMXLVI</t>
        </is>
      </c>
      <c r="C16947">
        <f>ROMAN(16946)</f>
        <v/>
      </c>
      <c r="D16947">
        <f>IF(B16947=C16947, "YES", "WRONG")</f>
        <v/>
      </c>
    </row>
    <row r="16948">
      <c r="A16948" t="n">
        <v>16947</v>
      </c>
      <c r="B16948" t="inlineStr">
        <is>
          <t>x̄V̅MCMXLVII</t>
        </is>
      </c>
      <c r="C16948">
        <f>ROMAN(16947)</f>
        <v/>
      </c>
      <c r="D16948">
        <f>IF(B16948=C16948, "YES", "WRONG")</f>
        <v/>
      </c>
    </row>
    <row r="16949">
      <c r="A16949" t="n">
        <v>16948</v>
      </c>
      <c r="B16949" t="inlineStr">
        <is>
          <t>x̄V̅MCMXLVIII</t>
        </is>
      </c>
      <c r="C16949">
        <f>ROMAN(16948)</f>
        <v/>
      </c>
      <c r="D16949">
        <f>IF(B16949=C16949, "YES", "WRONG")</f>
        <v/>
      </c>
    </row>
    <row r="16950">
      <c r="A16950" t="n">
        <v>16949</v>
      </c>
      <c r="B16950" t="inlineStr">
        <is>
          <t>x̄V̅MCMXLIX</t>
        </is>
      </c>
      <c r="C16950">
        <f>ROMAN(16949)</f>
        <v/>
      </c>
      <c r="D16950">
        <f>IF(B16950=C16950, "YES", "WRONG")</f>
        <v/>
      </c>
    </row>
    <row r="16951">
      <c r="A16951" t="n">
        <v>16950</v>
      </c>
      <c r="B16951" t="inlineStr">
        <is>
          <t>x̄V̅MCML</t>
        </is>
      </c>
      <c r="C16951">
        <f>ROMAN(16950)</f>
        <v/>
      </c>
      <c r="D16951">
        <f>IF(B16951=C16951, "YES", "WRONG")</f>
        <v/>
      </c>
    </row>
    <row r="16952">
      <c r="A16952" t="n">
        <v>16951</v>
      </c>
      <c r="B16952" t="inlineStr">
        <is>
          <t>x̄V̅MCMLI</t>
        </is>
      </c>
      <c r="C16952">
        <f>ROMAN(16951)</f>
        <v/>
      </c>
      <c r="D16952">
        <f>IF(B16952=C16952, "YES", "WRONG")</f>
        <v/>
      </c>
    </row>
    <row r="16953">
      <c r="A16953" t="n">
        <v>16952</v>
      </c>
      <c r="B16953" t="inlineStr">
        <is>
          <t>x̄V̅MCMLII</t>
        </is>
      </c>
      <c r="C16953">
        <f>ROMAN(16952)</f>
        <v/>
      </c>
      <c r="D16953">
        <f>IF(B16953=C16953, "YES", "WRONG")</f>
        <v/>
      </c>
    </row>
    <row r="16954">
      <c r="A16954" t="n">
        <v>16953</v>
      </c>
      <c r="B16954" t="inlineStr">
        <is>
          <t>x̄V̅MCMLIII</t>
        </is>
      </c>
      <c r="C16954">
        <f>ROMAN(16953)</f>
        <v/>
      </c>
      <c r="D16954">
        <f>IF(B16954=C16954, "YES", "WRONG")</f>
        <v/>
      </c>
    </row>
    <row r="16955">
      <c r="A16955" t="n">
        <v>16954</v>
      </c>
      <c r="B16955" t="inlineStr">
        <is>
          <t>x̄V̅MCMLIV</t>
        </is>
      </c>
      <c r="C16955">
        <f>ROMAN(16954)</f>
        <v/>
      </c>
      <c r="D16955">
        <f>IF(B16955=C16955, "YES", "WRONG")</f>
        <v/>
      </c>
    </row>
    <row r="16956">
      <c r="A16956" t="n">
        <v>16955</v>
      </c>
      <c r="B16956" t="inlineStr">
        <is>
          <t>x̄V̅MCMLV</t>
        </is>
      </c>
      <c r="C16956">
        <f>ROMAN(16955)</f>
        <v/>
      </c>
      <c r="D16956">
        <f>IF(B16956=C16956, "YES", "WRONG")</f>
        <v/>
      </c>
    </row>
    <row r="16957">
      <c r="A16957" t="n">
        <v>16956</v>
      </c>
      <c r="B16957" t="inlineStr">
        <is>
          <t>x̄V̅MCMLVI</t>
        </is>
      </c>
      <c r="C16957">
        <f>ROMAN(16956)</f>
        <v/>
      </c>
      <c r="D16957">
        <f>IF(B16957=C16957, "YES", "WRONG")</f>
        <v/>
      </c>
    </row>
    <row r="16958">
      <c r="A16958" t="n">
        <v>16957</v>
      </c>
      <c r="B16958" t="inlineStr">
        <is>
          <t>x̄V̅MCMLVII</t>
        </is>
      </c>
      <c r="C16958">
        <f>ROMAN(16957)</f>
        <v/>
      </c>
      <c r="D16958">
        <f>IF(B16958=C16958, "YES", "WRONG")</f>
        <v/>
      </c>
    </row>
    <row r="16959">
      <c r="A16959" t="n">
        <v>16958</v>
      </c>
      <c r="B16959" t="inlineStr">
        <is>
          <t>x̄V̅MCMLVIII</t>
        </is>
      </c>
      <c r="C16959">
        <f>ROMAN(16958)</f>
        <v/>
      </c>
      <c r="D16959">
        <f>IF(B16959=C16959, "YES", "WRONG")</f>
        <v/>
      </c>
    </row>
    <row r="16960">
      <c r="A16960" t="n">
        <v>16959</v>
      </c>
      <c r="B16960" t="inlineStr">
        <is>
          <t>x̄V̅MCMLIX</t>
        </is>
      </c>
      <c r="C16960">
        <f>ROMAN(16959)</f>
        <v/>
      </c>
      <c r="D16960">
        <f>IF(B16960=C16960, "YES", "WRONG")</f>
        <v/>
      </c>
    </row>
    <row r="16961">
      <c r="A16961" t="n">
        <v>16960</v>
      </c>
      <c r="B16961" t="inlineStr">
        <is>
          <t>x̄V̅MCMLX</t>
        </is>
      </c>
      <c r="C16961">
        <f>ROMAN(16960)</f>
        <v/>
      </c>
      <c r="D16961">
        <f>IF(B16961=C16961, "YES", "WRONG")</f>
        <v/>
      </c>
    </row>
    <row r="16962">
      <c r="A16962" t="n">
        <v>16961</v>
      </c>
      <c r="B16962" t="inlineStr">
        <is>
          <t>x̄V̅MCMLXI</t>
        </is>
      </c>
      <c r="C16962">
        <f>ROMAN(16961)</f>
        <v/>
      </c>
      <c r="D16962">
        <f>IF(B16962=C16962, "YES", "WRONG")</f>
        <v/>
      </c>
    </row>
    <row r="16963">
      <c r="A16963" t="n">
        <v>16962</v>
      </c>
      <c r="B16963" t="inlineStr">
        <is>
          <t>x̄V̅MCMLXII</t>
        </is>
      </c>
      <c r="C16963">
        <f>ROMAN(16962)</f>
        <v/>
      </c>
      <c r="D16963">
        <f>IF(B16963=C16963, "YES", "WRONG")</f>
        <v/>
      </c>
    </row>
    <row r="16964">
      <c r="A16964" t="n">
        <v>16963</v>
      </c>
      <c r="B16964" t="inlineStr">
        <is>
          <t>x̄V̅MCMLXIII</t>
        </is>
      </c>
      <c r="C16964">
        <f>ROMAN(16963)</f>
        <v/>
      </c>
      <c r="D16964">
        <f>IF(B16964=C16964, "YES", "WRONG")</f>
        <v/>
      </c>
    </row>
    <row r="16965">
      <c r="A16965" t="n">
        <v>16964</v>
      </c>
      <c r="B16965" t="inlineStr">
        <is>
          <t>x̄V̅MCMLXIV</t>
        </is>
      </c>
      <c r="C16965">
        <f>ROMAN(16964)</f>
        <v/>
      </c>
      <c r="D16965">
        <f>IF(B16965=C16965, "YES", "WRONG")</f>
        <v/>
      </c>
    </row>
    <row r="16966">
      <c r="A16966" t="n">
        <v>16965</v>
      </c>
      <c r="B16966" t="inlineStr">
        <is>
          <t>x̄V̅MCMLXV</t>
        </is>
      </c>
      <c r="C16966">
        <f>ROMAN(16965)</f>
        <v/>
      </c>
      <c r="D16966">
        <f>IF(B16966=C16966, "YES", "WRONG")</f>
        <v/>
      </c>
    </row>
    <row r="16967">
      <c r="A16967" t="n">
        <v>16966</v>
      </c>
      <c r="B16967" t="inlineStr">
        <is>
          <t>x̄V̅MCMLXVI</t>
        </is>
      </c>
      <c r="C16967">
        <f>ROMAN(16966)</f>
        <v/>
      </c>
      <c r="D16967">
        <f>IF(B16967=C16967, "YES", "WRONG")</f>
        <v/>
      </c>
    </row>
    <row r="16968">
      <c r="A16968" t="n">
        <v>16967</v>
      </c>
      <c r="B16968" t="inlineStr">
        <is>
          <t>x̄V̅MCMLXVII</t>
        </is>
      </c>
      <c r="C16968">
        <f>ROMAN(16967)</f>
        <v/>
      </c>
      <c r="D16968">
        <f>IF(B16968=C16968, "YES", "WRONG")</f>
        <v/>
      </c>
    </row>
    <row r="16969">
      <c r="A16969" t="n">
        <v>16968</v>
      </c>
      <c r="B16969" t="inlineStr">
        <is>
          <t>x̄V̅MCMLXVIII</t>
        </is>
      </c>
      <c r="C16969">
        <f>ROMAN(16968)</f>
        <v/>
      </c>
      <c r="D16969">
        <f>IF(B16969=C16969, "YES", "WRONG")</f>
        <v/>
      </c>
    </row>
    <row r="16970">
      <c r="A16970" t="n">
        <v>16969</v>
      </c>
      <c r="B16970" t="inlineStr">
        <is>
          <t>x̄V̅MCMLXIX</t>
        </is>
      </c>
      <c r="C16970">
        <f>ROMAN(16969)</f>
        <v/>
      </c>
      <c r="D16970">
        <f>IF(B16970=C16970, "YES", "WRONG")</f>
        <v/>
      </c>
    </row>
    <row r="16971">
      <c r="A16971" t="n">
        <v>16970</v>
      </c>
      <c r="B16971" t="inlineStr">
        <is>
          <t>x̄V̅MCMLXX</t>
        </is>
      </c>
      <c r="C16971">
        <f>ROMAN(16970)</f>
        <v/>
      </c>
      <c r="D16971">
        <f>IF(B16971=C16971, "YES", "WRONG")</f>
        <v/>
      </c>
    </row>
    <row r="16972">
      <c r="A16972" t="n">
        <v>16971</v>
      </c>
      <c r="B16972" t="inlineStr">
        <is>
          <t>x̄V̅MCMLXXI</t>
        </is>
      </c>
      <c r="C16972">
        <f>ROMAN(16971)</f>
        <v/>
      </c>
      <c r="D16972">
        <f>IF(B16972=C16972, "YES", "WRONG")</f>
        <v/>
      </c>
    </row>
    <row r="16973">
      <c r="A16973" t="n">
        <v>16972</v>
      </c>
      <c r="B16973" t="inlineStr">
        <is>
          <t>x̄V̅MCMLXXII</t>
        </is>
      </c>
      <c r="C16973">
        <f>ROMAN(16972)</f>
        <v/>
      </c>
      <c r="D16973">
        <f>IF(B16973=C16973, "YES", "WRONG")</f>
        <v/>
      </c>
    </row>
    <row r="16974">
      <c r="A16974" t="n">
        <v>16973</v>
      </c>
      <c r="B16974" t="inlineStr">
        <is>
          <t>x̄V̅MCMLXXIII</t>
        </is>
      </c>
      <c r="C16974">
        <f>ROMAN(16973)</f>
        <v/>
      </c>
      <c r="D16974">
        <f>IF(B16974=C16974, "YES", "WRONG")</f>
        <v/>
      </c>
    </row>
    <row r="16975">
      <c r="A16975" t="n">
        <v>16974</v>
      </c>
      <c r="B16975" t="inlineStr">
        <is>
          <t>x̄V̅MCMLXXIV</t>
        </is>
      </c>
      <c r="C16975">
        <f>ROMAN(16974)</f>
        <v/>
      </c>
      <c r="D16975">
        <f>IF(B16975=C16975, "YES", "WRONG")</f>
        <v/>
      </c>
    </row>
    <row r="16976">
      <c r="A16976" t="n">
        <v>16975</v>
      </c>
      <c r="B16976" t="inlineStr">
        <is>
          <t>x̄V̅MCMLXXV</t>
        </is>
      </c>
      <c r="C16976">
        <f>ROMAN(16975)</f>
        <v/>
      </c>
      <c r="D16976">
        <f>IF(B16976=C16976, "YES", "WRONG")</f>
        <v/>
      </c>
    </row>
    <row r="16977">
      <c r="A16977" t="n">
        <v>16976</v>
      </c>
      <c r="B16977" t="inlineStr">
        <is>
          <t>x̄V̅MCMLXXVI</t>
        </is>
      </c>
      <c r="C16977">
        <f>ROMAN(16976)</f>
        <v/>
      </c>
      <c r="D16977">
        <f>IF(B16977=C16977, "YES", "WRONG")</f>
        <v/>
      </c>
    </row>
    <row r="16978">
      <c r="A16978" t="n">
        <v>16977</v>
      </c>
      <c r="B16978" t="inlineStr">
        <is>
          <t>x̄V̅MCMLXXVII</t>
        </is>
      </c>
      <c r="C16978">
        <f>ROMAN(16977)</f>
        <v/>
      </c>
      <c r="D16978">
        <f>IF(B16978=C16978, "YES", "WRONG")</f>
        <v/>
      </c>
    </row>
    <row r="16979">
      <c r="A16979" t="n">
        <v>16978</v>
      </c>
      <c r="B16979" t="inlineStr">
        <is>
          <t>x̄V̅MCMLXXVIII</t>
        </is>
      </c>
      <c r="C16979">
        <f>ROMAN(16978)</f>
        <v/>
      </c>
      <c r="D16979">
        <f>IF(B16979=C16979, "YES", "WRONG")</f>
        <v/>
      </c>
    </row>
    <row r="16980">
      <c r="A16980" t="n">
        <v>16979</v>
      </c>
      <c r="B16980" t="inlineStr">
        <is>
          <t>x̄V̅MCMLXXIX</t>
        </is>
      </c>
      <c r="C16980">
        <f>ROMAN(16979)</f>
        <v/>
      </c>
      <c r="D16980">
        <f>IF(B16980=C16980, "YES", "WRONG")</f>
        <v/>
      </c>
    </row>
    <row r="16981">
      <c r="A16981" t="n">
        <v>16980</v>
      </c>
      <c r="B16981" t="inlineStr">
        <is>
          <t>x̄V̅MCMLXXX</t>
        </is>
      </c>
      <c r="C16981">
        <f>ROMAN(16980)</f>
        <v/>
      </c>
      <c r="D16981">
        <f>IF(B16981=C16981, "YES", "WRONG")</f>
        <v/>
      </c>
    </row>
    <row r="16982">
      <c r="A16982" t="n">
        <v>16981</v>
      </c>
      <c r="B16982" t="inlineStr">
        <is>
          <t>x̄V̅MCMLXXXI</t>
        </is>
      </c>
      <c r="C16982">
        <f>ROMAN(16981)</f>
        <v/>
      </c>
      <c r="D16982">
        <f>IF(B16982=C16982, "YES", "WRONG")</f>
        <v/>
      </c>
    </row>
    <row r="16983">
      <c r="A16983" t="n">
        <v>16982</v>
      </c>
      <c r="B16983" t="inlineStr">
        <is>
          <t>x̄V̅MCMLXXXII</t>
        </is>
      </c>
      <c r="C16983">
        <f>ROMAN(16982)</f>
        <v/>
      </c>
      <c r="D16983">
        <f>IF(B16983=C16983, "YES", "WRONG")</f>
        <v/>
      </c>
    </row>
    <row r="16984">
      <c r="A16984" t="n">
        <v>16983</v>
      </c>
      <c r="B16984" t="inlineStr">
        <is>
          <t>x̄V̅MCMLXXXIII</t>
        </is>
      </c>
      <c r="C16984">
        <f>ROMAN(16983)</f>
        <v/>
      </c>
      <c r="D16984">
        <f>IF(B16984=C16984, "YES", "WRONG")</f>
        <v/>
      </c>
    </row>
    <row r="16985">
      <c r="A16985" t="n">
        <v>16984</v>
      </c>
      <c r="B16985" t="inlineStr">
        <is>
          <t>x̄V̅MCMLXXXIV</t>
        </is>
      </c>
      <c r="C16985">
        <f>ROMAN(16984)</f>
        <v/>
      </c>
      <c r="D16985">
        <f>IF(B16985=C16985, "YES", "WRONG")</f>
        <v/>
      </c>
    </row>
    <row r="16986">
      <c r="A16986" t="n">
        <v>16985</v>
      </c>
      <c r="B16986" t="inlineStr">
        <is>
          <t>x̄V̅MCMLXXXV</t>
        </is>
      </c>
      <c r="C16986">
        <f>ROMAN(16985)</f>
        <v/>
      </c>
      <c r="D16986">
        <f>IF(B16986=C16986, "YES", "WRONG")</f>
        <v/>
      </c>
    </row>
    <row r="16987">
      <c r="A16987" t="n">
        <v>16986</v>
      </c>
      <c r="B16987" t="inlineStr">
        <is>
          <t>x̄V̅MCMLXXXVI</t>
        </is>
      </c>
      <c r="C16987">
        <f>ROMAN(16986)</f>
        <v/>
      </c>
      <c r="D16987">
        <f>IF(B16987=C16987, "YES", "WRONG")</f>
        <v/>
      </c>
    </row>
    <row r="16988">
      <c r="A16988" t="n">
        <v>16987</v>
      </c>
      <c r="B16988" t="inlineStr">
        <is>
          <t>x̄V̅MCMLXXXVII</t>
        </is>
      </c>
      <c r="C16988">
        <f>ROMAN(16987)</f>
        <v/>
      </c>
      <c r="D16988">
        <f>IF(B16988=C16988, "YES", "WRONG")</f>
        <v/>
      </c>
    </row>
    <row r="16989">
      <c r="A16989" t="n">
        <v>16988</v>
      </c>
      <c r="B16989" t="inlineStr">
        <is>
          <t>x̄V̅MCMLXXXVIII</t>
        </is>
      </c>
      <c r="C16989">
        <f>ROMAN(16988)</f>
        <v/>
      </c>
      <c r="D16989">
        <f>IF(B16989=C16989, "YES", "WRONG")</f>
        <v/>
      </c>
    </row>
    <row r="16990">
      <c r="A16990" t="n">
        <v>16989</v>
      </c>
      <c r="B16990" t="inlineStr">
        <is>
          <t>x̄V̅MCMLXXXIX</t>
        </is>
      </c>
      <c r="C16990">
        <f>ROMAN(16989)</f>
        <v/>
      </c>
      <c r="D16990">
        <f>IF(B16990=C16990, "YES", "WRONG")</f>
        <v/>
      </c>
    </row>
    <row r="16991">
      <c r="A16991" t="n">
        <v>16990</v>
      </c>
      <c r="B16991" t="inlineStr">
        <is>
          <t>x̄V̅MCMXC</t>
        </is>
      </c>
      <c r="C16991">
        <f>ROMAN(16990)</f>
        <v/>
      </c>
      <c r="D16991">
        <f>IF(B16991=C16991, "YES", "WRONG")</f>
        <v/>
      </c>
    </row>
    <row r="16992">
      <c r="A16992" t="n">
        <v>16991</v>
      </c>
      <c r="B16992" t="inlineStr">
        <is>
          <t>x̄V̅MCMXCI</t>
        </is>
      </c>
      <c r="C16992">
        <f>ROMAN(16991)</f>
        <v/>
      </c>
      <c r="D16992">
        <f>IF(B16992=C16992, "YES", "WRONG")</f>
        <v/>
      </c>
    </row>
    <row r="16993">
      <c r="A16993" t="n">
        <v>16992</v>
      </c>
      <c r="B16993" t="inlineStr">
        <is>
          <t>x̄V̅MCMXCII</t>
        </is>
      </c>
      <c r="C16993">
        <f>ROMAN(16992)</f>
        <v/>
      </c>
      <c r="D16993">
        <f>IF(B16993=C16993, "YES", "WRONG")</f>
        <v/>
      </c>
    </row>
    <row r="16994">
      <c r="A16994" t="n">
        <v>16993</v>
      </c>
      <c r="B16994" t="inlineStr">
        <is>
          <t>x̄V̅MCMXCIII</t>
        </is>
      </c>
      <c r="C16994">
        <f>ROMAN(16993)</f>
        <v/>
      </c>
      <c r="D16994">
        <f>IF(B16994=C16994, "YES", "WRONG")</f>
        <v/>
      </c>
    </row>
    <row r="16995">
      <c r="A16995" t="n">
        <v>16994</v>
      </c>
      <c r="B16995" t="inlineStr">
        <is>
          <t>x̄V̅MCMXCIV</t>
        </is>
      </c>
      <c r="C16995">
        <f>ROMAN(16994)</f>
        <v/>
      </c>
      <c r="D16995">
        <f>IF(B16995=C16995, "YES", "WRONG")</f>
        <v/>
      </c>
    </row>
    <row r="16996">
      <c r="A16996" t="n">
        <v>16995</v>
      </c>
      <c r="B16996" t="inlineStr">
        <is>
          <t>x̄V̅MCMXCV</t>
        </is>
      </c>
      <c r="C16996">
        <f>ROMAN(16995)</f>
        <v/>
      </c>
      <c r="D16996">
        <f>IF(B16996=C16996, "YES", "WRONG")</f>
        <v/>
      </c>
    </row>
    <row r="16997">
      <c r="A16997" t="n">
        <v>16996</v>
      </c>
      <c r="B16997" t="inlineStr">
        <is>
          <t>x̄V̅MCMXCVI</t>
        </is>
      </c>
      <c r="C16997">
        <f>ROMAN(16996)</f>
        <v/>
      </c>
      <c r="D16997">
        <f>IF(B16997=C16997, "YES", "WRONG")</f>
        <v/>
      </c>
    </row>
    <row r="16998">
      <c r="A16998" t="n">
        <v>16997</v>
      </c>
      <c r="B16998" t="inlineStr">
        <is>
          <t>x̄V̅MCMXCVII</t>
        </is>
      </c>
      <c r="C16998">
        <f>ROMAN(16997)</f>
        <v/>
      </c>
      <c r="D16998">
        <f>IF(B16998=C16998, "YES", "WRONG")</f>
        <v/>
      </c>
    </row>
    <row r="16999">
      <c r="A16999" t="n">
        <v>16998</v>
      </c>
      <c r="B16999" t="inlineStr">
        <is>
          <t>x̄V̅MCMXCVIII</t>
        </is>
      </c>
      <c r="C16999">
        <f>ROMAN(16998)</f>
        <v/>
      </c>
      <c r="D16999">
        <f>IF(B16999=C16999, "YES", "WRONG")</f>
        <v/>
      </c>
    </row>
    <row r="17000">
      <c r="A17000" t="n">
        <v>16999</v>
      </c>
      <c r="B17000" t="inlineStr">
        <is>
          <t>x̄V̅MCMXCIX</t>
        </is>
      </c>
      <c r="C17000">
        <f>ROMAN(16999)</f>
        <v/>
      </c>
      <c r="D17000">
        <f>IF(B17000=C17000, "YES", "WRONG")</f>
        <v/>
      </c>
    </row>
    <row r="17001">
      <c r="A17001" t="n">
        <v>17000</v>
      </c>
      <c r="B17001" t="inlineStr">
        <is>
          <t>x̄V̅MM</t>
        </is>
      </c>
      <c r="C17001">
        <f>ROMAN(17000)</f>
        <v/>
      </c>
      <c r="D17001">
        <f>IF(B17001=C17001, "YES", "WRONG")</f>
        <v/>
      </c>
    </row>
    <row r="17002">
      <c r="A17002" t="n">
        <v>17001</v>
      </c>
      <c r="B17002" t="inlineStr">
        <is>
          <t>x̄V̅MMI</t>
        </is>
      </c>
      <c r="C17002">
        <f>ROMAN(17001)</f>
        <v/>
      </c>
      <c r="D17002">
        <f>IF(B17002=C17002, "YES", "WRONG")</f>
        <v/>
      </c>
    </row>
    <row r="17003">
      <c r="A17003" t="n">
        <v>17002</v>
      </c>
      <c r="B17003" t="inlineStr">
        <is>
          <t>x̄V̅MMII</t>
        </is>
      </c>
      <c r="C17003">
        <f>ROMAN(17002)</f>
        <v/>
      </c>
      <c r="D17003">
        <f>IF(B17003=C17003, "YES", "WRONG")</f>
        <v/>
      </c>
    </row>
    <row r="17004">
      <c r="A17004" t="n">
        <v>17003</v>
      </c>
      <c r="B17004" t="inlineStr">
        <is>
          <t>x̄V̅MMIII</t>
        </is>
      </c>
      <c r="C17004">
        <f>ROMAN(17003)</f>
        <v/>
      </c>
      <c r="D17004">
        <f>IF(B17004=C17004, "YES", "WRONG")</f>
        <v/>
      </c>
    </row>
    <row r="17005">
      <c r="A17005" t="n">
        <v>17004</v>
      </c>
      <c r="B17005" t="inlineStr">
        <is>
          <t>x̄V̅MMIV</t>
        </is>
      </c>
      <c r="C17005">
        <f>ROMAN(17004)</f>
        <v/>
      </c>
      <c r="D17005">
        <f>IF(B17005=C17005, "YES", "WRONG")</f>
        <v/>
      </c>
    </row>
    <row r="17006">
      <c r="A17006" t="n">
        <v>17005</v>
      </c>
      <c r="B17006" t="inlineStr">
        <is>
          <t>x̄V̅MMV</t>
        </is>
      </c>
      <c r="C17006">
        <f>ROMAN(17005)</f>
        <v/>
      </c>
      <c r="D17006">
        <f>IF(B17006=C17006, "YES", "WRONG")</f>
        <v/>
      </c>
    </row>
    <row r="17007">
      <c r="A17007" t="n">
        <v>17006</v>
      </c>
      <c r="B17007" t="inlineStr">
        <is>
          <t>x̄V̅MMVI</t>
        </is>
      </c>
      <c r="C17007">
        <f>ROMAN(17006)</f>
        <v/>
      </c>
      <c r="D17007">
        <f>IF(B17007=C17007, "YES", "WRONG")</f>
        <v/>
      </c>
    </row>
    <row r="17008">
      <c r="A17008" t="n">
        <v>17007</v>
      </c>
      <c r="B17008" t="inlineStr">
        <is>
          <t>x̄V̅MMVII</t>
        </is>
      </c>
      <c r="C17008">
        <f>ROMAN(17007)</f>
        <v/>
      </c>
      <c r="D17008">
        <f>IF(B17008=C17008, "YES", "WRONG")</f>
        <v/>
      </c>
    </row>
    <row r="17009">
      <c r="A17009" t="n">
        <v>17008</v>
      </c>
      <c r="B17009" t="inlineStr">
        <is>
          <t>x̄V̅MMVIII</t>
        </is>
      </c>
      <c r="C17009">
        <f>ROMAN(17008)</f>
        <v/>
      </c>
      <c r="D17009">
        <f>IF(B17009=C17009, "YES", "WRONG")</f>
        <v/>
      </c>
    </row>
    <row r="17010">
      <c r="A17010" t="n">
        <v>17009</v>
      </c>
      <c r="B17010" t="inlineStr">
        <is>
          <t>x̄V̅MMIX</t>
        </is>
      </c>
      <c r="C17010">
        <f>ROMAN(17009)</f>
        <v/>
      </c>
      <c r="D17010">
        <f>IF(B17010=C17010, "YES", "WRONG")</f>
        <v/>
      </c>
    </row>
    <row r="17011">
      <c r="A17011" t="n">
        <v>17010</v>
      </c>
      <c r="B17011" t="inlineStr">
        <is>
          <t>x̄V̅MMX</t>
        </is>
      </c>
      <c r="C17011">
        <f>ROMAN(17010)</f>
        <v/>
      </c>
      <c r="D17011">
        <f>IF(B17011=C17011, "YES", "WRONG")</f>
        <v/>
      </c>
    </row>
    <row r="17012">
      <c r="A17012" t="n">
        <v>17011</v>
      </c>
      <c r="B17012" t="inlineStr">
        <is>
          <t>x̄V̅MMXI</t>
        </is>
      </c>
      <c r="C17012">
        <f>ROMAN(17011)</f>
        <v/>
      </c>
      <c r="D17012">
        <f>IF(B17012=C17012, "YES", "WRONG")</f>
        <v/>
      </c>
    </row>
    <row r="17013">
      <c r="A17013" t="n">
        <v>17012</v>
      </c>
      <c r="B17013" t="inlineStr">
        <is>
          <t>x̄V̅MMXII</t>
        </is>
      </c>
      <c r="C17013">
        <f>ROMAN(17012)</f>
        <v/>
      </c>
      <c r="D17013">
        <f>IF(B17013=C17013, "YES", "WRONG")</f>
        <v/>
      </c>
    </row>
    <row r="17014">
      <c r="A17014" t="n">
        <v>17013</v>
      </c>
      <c r="B17014" t="inlineStr">
        <is>
          <t>x̄V̅MMXIII</t>
        </is>
      </c>
      <c r="C17014">
        <f>ROMAN(17013)</f>
        <v/>
      </c>
      <c r="D17014">
        <f>IF(B17014=C17014, "YES", "WRONG")</f>
        <v/>
      </c>
    </row>
    <row r="17015">
      <c r="A17015" t="n">
        <v>17014</v>
      </c>
      <c r="B17015" t="inlineStr">
        <is>
          <t>x̄V̅MMXIV</t>
        </is>
      </c>
      <c r="C17015">
        <f>ROMAN(17014)</f>
        <v/>
      </c>
      <c r="D17015">
        <f>IF(B17015=C17015, "YES", "WRONG")</f>
        <v/>
      </c>
    </row>
    <row r="17016">
      <c r="A17016" t="n">
        <v>17015</v>
      </c>
      <c r="B17016" t="inlineStr">
        <is>
          <t>x̄V̅MMXV</t>
        </is>
      </c>
      <c r="C17016">
        <f>ROMAN(17015)</f>
        <v/>
      </c>
      <c r="D17016">
        <f>IF(B17016=C17016, "YES", "WRONG")</f>
        <v/>
      </c>
    </row>
    <row r="17017">
      <c r="A17017" t="n">
        <v>17016</v>
      </c>
      <c r="B17017" t="inlineStr">
        <is>
          <t>x̄V̅MMXVI</t>
        </is>
      </c>
      <c r="C17017">
        <f>ROMAN(17016)</f>
        <v/>
      </c>
      <c r="D17017">
        <f>IF(B17017=C17017, "YES", "WRONG")</f>
        <v/>
      </c>
    </row>
    <row r="17018">
      <c r="A17018" t="n">
        <v>17017</v>
      </c>
      <c r="B17018" t="inlineStr">
        <is>
          <t>x̄V̅MMXVII</t>
        </is>
      </c>
      <c r="C17018">
        <f>ROMAN(17017)</f>
        <v/>
      </c>
      <c r="D17018">
        <f>IF(B17018=C17018, "YES", "WRONG")</f>
        <v/>
      </c>
    </row>
    <row r="17019">
      <c r="A17019" t="n">
        <v>17018</v>
      </c>
      <c r="B17019" t="inlineStr">
        <is>
          <t>x̄V̅MMXVIII</t>
        </is>
      </c>
      <c r="C17019">
        <f>ROMAN(17018)</f>
        <v/>
      </c>
      <c r="D17019">
        <f>IF(B17019=C17019, "YES", "WRONG")</f>
        <v/>
      </c>
    </row>
    <row r="17020">
      <c r="A17020" t="n">
        <v>17019</v>
      </c>
      <c r="B17020" t="inlineStr">
        <is>
          <t>x̄V̅MMXIX</t>
        </is>
      </c>
      <c r="C17020">
        <f>ROMAN(17019)</f>
        <v/>
      </c>
      <c r="D17020">
        <f>IF(B17020=C17020, "YES", "WRONG")</f>
        <v/>
      </c>
    </row>
    <row r="17021">
      <c r="A17021" t="n">
        <v>17020</v>
      </c>
      <c r="B17021" t="inlineStr">
        <is>
          <t>x̄V̅MMXX</t>
        </is>
      </c>
      <c r="C17021">
        <f>ROMAN(17020)</f>
        <v/>
      </c>
      <c r="D17021">
        <f>IF(B17021=C17021, "YES", "WRONG")</f>
        <v/>
      </c>
    </row>
    <row r="17022">
      <c r="A17022" t="n">
        <v>17021</v>
      </c>
      <c r="B17022" t="inlineStr">
        <is>
          <t>x̄V̅MMXXI</t>
        </is>
      </c>
      <c r="C17022">
        <f>ROMAN(17021)</f>
        <v/>
      </c>
      <c r="D17022">
        <f>IF(B17022=C17022, "YES", "WRONG")</f>
        <v/>
      </c>
    </row>
    <row r="17023">
      <c r="A17023" t="n">
        <v>17022</v>
      </c>
      <c r="B17023" t="inlineStr">
        <is>
          <t>x̄V̅MMXXII</t>
        </is>
      </c>
      <c r="C17023">
        <f>ROMAN(17022)</f>
        <v/>
      </c>
      <c r="D17023">
        <f>IF(B17023=C17023, "YES", "WRONG")</f>
        <v/>
      </c>
    </row>
    <row r="17024">
      <c r="A17024" t="n">
        <v>17023</v>
      </c>
      <c r="B17024" t="inlineStr">
        <is>
          <t>x̄V̅MMXXIII</t>
        </is>
      </c>
      <c r="C17024">
        <f>ROMAN(17023)</f>
        <v/>
      </c>
      <c r="D17024">
        <f>IF(B17024=C17024, "YES", "WRONG")</f>
        <v/>
      </c>
    </row>
    <row r="17025">
      <c r="A17025" t="n">
        <v>17024</v>
      </c>
      <c r="B17025" t="inlineStr">
        <is>
          <t>x̄V̅MMXXIV</t>
        </is>
      </c>
      <c r="C17025">
        <f>ROMAN(17024)</f>
        <v/>
      </c>
      <c r="D17025">
        <f>IF(B17025=C17025, "YES", "WRONG")</f>
        <v/>
      </c>
    </row>
    <row r="17026">
      <c r="A17026" t="n">
        <v>17025</v>
      </c>
      <c r="B17026" t="inlineStr">
        <is>
          <t>x̄V̅MMXXV</t>
        </is>
      </c>
      <c r="C17026">
        <f>ROMAN(17025)</f>
        <v/>
      </c>
      <c r="D17026">
        <f>IF(B17026=C17026, "YES", "WRONG")</f>
        <v/>
      </c>
    </row>
    <row r="17027">
      <c r="A17027" t="n">
        <v>17026</v>
      </c>
      <c r="B17027" t="inlineStr">
        <is>
          <t>x̄V̅MMXXVI</t>
        </is>
      </c>
      <c r="C17027">
        <f>ROMAN(17026)</f>
        <v/>
      </c>
      <c r="D17027">
        <f>IF(B17027=C17027, "YES", "WRONG")</f>
        <v/>
      </c>
    </row>
    <row r="17028">
      <c r="A17028" t="n">
        <v>17027</v>
      </c>
      <c r="B17028" t="inlineStr">
        <is>
          <t>x̄V̅MMXXVII</t>
        </is>
      </c>
      <c r="C17028">
        <f>ROMAN(17027)</f>
        <v/>
      </c>
      <c r="D17028">
        <f>IF(B17028=C17028, "YES", "WRONG")</f>
        <v/>
      </c>
    </row>
    <row r="17029">
      <c r="A17029" t="n">
        <v>17028</v>
      </c>
      <c r="B17029" t="inlineStr">
        <is>
          <t>x̄V̅MMXXVIII</t>
        </is>
      </c>
      <c r="C17029">
        <f>ROMAN(17028)</f>
        <v/>
      </c>
      <c r="D17029">
        <f>IF(B17029=C17029, "YES", "WRONG")</f>
        <v/>
      </c>
    </row>
    <row r="17030">
      <c r="A17030" t="n">
        <v>17029</v>
      </c>
      <c r="B17030" t="inlineStr">
        <is>
          <t>x̄V̅MMXXIX</t>
        </is>
      </c>
      <c r="C17030">
        <f>ROMAN(17029)</f>
        <v/>
      </c>
      <c r="D17030">
        <f>IF(B17030=C17030, "YES", "WRONG")</f>
        <v/>
      </c>
    </row>
    <row r="17031">
      <c r="A17031" t="n">
        <v>17030</v>
      </c>
      <c r="B17031" t="inlineStr">
        <is>
          <t>x̄V̅MMXXX</t>
        </is>
      </c>
      <c r="C17031">
        <f>ROMAN(17030)</f>
        <v/>
      </c>
      <c r="D17031">
        <f>IF(B17031=C17031, "YES", "WRONG")</f>
        <v/>
      </c>
    </row>
    <row r="17032">
      <c r="A17032" t="n">
        <v>17031</v>
      </c>
      <c r="B17032" t="inlineStr">
        <is>
          <t>x̄V̅MMXXXI</t>
        </is>
      </c>
      <c r="C17032">
        <f>ROMAN(17031)</f>
        <v/>
      </c>
      <c r="D17032">
        <f>IF(B17032=C17032, "YES", "WRONG")</f>
        <v/>
      </c>
    </row>
    <row r="17033">
      <c r="A17033" t="n">
        <v>17032</v>
      </c>
      <c r="B17033" t="inlineStr">
        <is>
          <t>x̄V̅MMXXXII</t>
        </is>
      </c>
      <c r="C17033">
        <f>ROMAN(17032)</f>
        <v/>
      </c>
      <c r="D17033">
        <f>IF(B17033=C17033, "YES", "WRONG")</f>
        <v/>
      </c>
    </row>
    <row r="17034">
      <c r="A17034" t="n">
        <v>17033</v>
      </c>
      <c r="B17034" t="inlineStr">
        <is>
          <t>x̄V̅MMXXXIII</t>
        </is>
      </c>
      <c r="C17034">
        <f>ROMAN(17033)</f>
        <v/>
      </c>
      <c r="D17034">
        <f>IF(B17034=C17034, "YES", "WRONG")</f>
        <v/>
      </c>
    </row>
    <row r="17035">
      <c r="A17035" t="n">
        <v>17034</v>
      </c>
      <c r="B17035" t="inlineStr">
        <is>
          <t>x̄V̅MMXXXIV</t>
        </is>
      </c>
      <c r="C17035">
        <f>ROMAN(17034)</f>
        <v/>
      </c>
      <c r="D17035">
        <f>IF(B17035=C17035, "YES", "WRONG")</f>
        <v/>
      </c>
    </row>
    <row r="17036">
      <c r="A17036" t="n">
        <v>17035</v>
      </c>
      <c r="B17036" t="inlineStr">
        <is>
          <t>x̄V̅MMXXXV</t>
        </is>
      </c>
      <c r="C17036">
        <f>ROMAN(17035)</f>
        <v/>
      </c>
      <c r="D17036">
        <f>IF(B17036=C17036, "YES", "WRONG")</f>
        <v/>
      </c>
    </row>
    <row r="17037">
      <c r="A17037" t="n">
        <v>17036</v>
      </c>
      <c r="B17037" t="inlineStr">
        <is>
          <t>x̄V̅MMXXXVI</t>
        </is>
      </c>
      <c r="C17037">
        <f>ROMAN(17036)</f>
        <v/>
      </c>
      <c r="D17037">
        <f>IF(B17037=C17037, "YES", "WRONG")</f>
        <v/>
      </c>
    </row>
    <row r="17038">
      <c r="A17038" t="n">
        <v>17037</v>
      </c>
      <c r="B17038" t="inlineStr">
        <is>
          <t>x̄V̅MMXXXVII</t>
        </is>
      </c>
      <c r="C17038">
        <f>ROMAN(17037)</f>
        <v/>
      </c>
      <c r="D17038">
        <f>IF(B17038=C17038, "YES", "WRONG")</f>
        <v/>
      </c>
    </row>
    <row r="17039">
      <c r="A17039" t="n">
        <v>17038</v>
      </c>
      <c r="B17039" t="inlineStr">
        <is>
          <t>x̄V̅MMXXXVIII</t>
        </is>
      </c>
      <c r="C17039">
        <f>ROMAN(17038)</f>
        <v/>
      </c>
      <c r="D17039">
        <f>IF(B17039=C17039, "YES", "WRONG")</f>
        <v/>
      </c>
    </row>
    <row r="17040">
      <c r="A17040" t="n">
        <v>17039</v>
      </c>
      <c r="B17040" t="inlineStr">
        <is>
          <t>x̄V̅MMXXXIX</t>
        </is>
      </c>
      <c r="C17040">
        <f>ROMAN(17039)</f>
        <v/>
      </c>
      <c r="D17040">
        <f>IF(B17040=C17040, "YES", "WRONG")</f>
        <v/>
      </c>
    </row>
    <row r="17041">
      <c r="A17041" t="n">
        <v>17040</v>
      </c>
      <c r="B17041" t="inlineStr">
        <is>
          <t>x̄V̅MMXL</t>
        </is>
      </c>
      <c r="C17041">
        <f>ROMAN(17040)</f>
        <v/>
      </c>
      <c r="D17041">
        <f>IF(B17041=C17041, "YES", "WRONG")</f>
        <v/>
      </c>
    </row>
    <row r="17042">
      <c r="A17042" t="n">
        <v>17041</v>
      </c>
      <c r="B17042" t="inlineStr">
        <is>
          <t>x̄V̅MMXLI</t>
        </is>
      </c>
      <c r="C17042">
        <f>ROMAN(17041)</f>
        <v/>
      </c>
      <c r="D17042">
        <f>IF(B17042=C17042, "YES", "WRONG")</f>
        <v/>
      </c>
    </row>
    <row r="17043">
      <c r="A17043" t="n">
        <v>17042</v>
      </c>
      <c r="B17043" t="inlineStr">
        <is>
          <t>x̄V̅MMXLII</t>
        </is>
      </c>
      <c r="C17043">
        <f>ROMAN(17042)</f>
        <v/>
      </c>
      <c r="D17043">
        <f>IF(B17043=C17043, "YES", "WRONG")</f>
        <v/>
      </c>
    </row>
    <row r="17044">
      <c r="A17044" t="n">
        <v>17043</v>
      </c>
      <c r="B17044" t="inlineStr">
        <is>
          <t>x̄V̅MMXLIII</t>
        </is>
      </c>
      <c r="C17044">
        <f>ROMAN(17043)</f>
        <v/>
      </c>
      <c r="D17044">
        <f>IF(B17044=C17044, "YES", "WRONG")</f>
        <v/>
      </c>
    </row>
    <row r="17045">
      <c r="A17045" t="n">
        <v>17044</v>
      </c>
      <c r="B17045" t="inlineStr">
        <is>
          <t>x̄V̅MMXLIV</t>
        </is>
      </c>
      <c r="C17045">
        <f>ROMAN(17044)</f>
        <v/>
      </c>
      <c r="D17045">
        <f>IF(B17045=C17045, "YES", "WRONG")</f>
        <v/>
      </c>
    </row>
    <row r="17046">
      <c r="A17046" t="n">
        <v>17045</v>
      </c>
      <c r="B17046" t="inlineStr">
        <is>
          <t>x̄V̅MMXLV</t>
        </is>
      </c>
      <c r="C17046">
        <f>ROMAN(17045)</f>
        <v/>
      </c>
      <c r="D17046">
        <f>IF(B17046=C17046, "YES", "WRONG")</f>
        <v/>
      </c>
    </row>
    <row r="17047">
      <c r="A17047" t="n">
        <v>17046</v>
      </c>
      <c r="B17047" t="inlineStr">
        <is>
          <t>x̄V̅MMXLVI</t>
        </is>
      </c>
      <c r="C17047">
        <f>ROMAN(17046)</f>
        <v/>
      </c>
      <c r="D17047">
        <f>IF(B17047=C17047, "YES", "WRONG")</f>
        <v/>
      </c>
    </row>
    <row r="17048">
      <c r="A17048" t="n">
        <v>17047</v>
      </c>
      <c r="B17048" t="inlineStr">
        <is>
          <t>x̄V̅MMXLVII</t>
        </is>
      </c>
      <c r="C17048">
        <f>ROMAN(17047)</f>
        <v/>
      </c>
      <c r="D17048">
        <f>IF(B17048=C17048, "YES", "WRONG")</f>
        <v/>
      </c>
    </row>
    <row r="17049">
      <c r="A17049" t="n">
        <v>17048</v>
      </c>
      <c r="B17049" t="inlineStr">
        <is>
          <t>x̄V̅MMXLVIII</t>
        </is>
      </c>
      <c r="C17049">
        <f>ROMAN(17048)</f>
        <v/>
      </c>
      <c r="D17049">
        <f>IF(B17049=C17049, "YES", "WRONG")</f>
        <v/>
      </c>
    </row>
    <row r="17050">
      <c r="A17050" t="n">
        <v>17049</v>
      </c>
      <c r="B17050" t="inlineStr">
        <is>
          <t>x̄V̅MMXLIX</t>
        </is>
      </c>
      <c r="C17050">
        <f>ROMAN(17049)</f>
        <v/>
      </c>
      <c r="D17050">
        <f>IF(B17050=C17050, "YES", "WRONG")</f>
        <v/>
      </c>
    </row>
    <row r="17051">
      <c r="A17051" t="n">
        <v>17050</v>
      </c>
      <c r="B17051" t="inlineStr">
        <is>
          <t>x̄V̅MML</t>
        </is>
      </c>
      <c r="C17051">
        <f>ROMAN(17050)</f>
        <v/>
      </c>
      <c r="D17051">
        <f>IF(B17051=C17051, "YES", "WRONG")</f>
        <v/>
      </c>
    </row>
    <row r="17052">
      <c r="A17052" t="n">
        <v>17051</v>
      </c>
      <c r="B17052" t="inlineStr">
        <is>
          <t>x̄V̅MMLI</t>
        </is>
      </c>
      <c r="C17052">
        <f>ROMAN(17051)</f>
        <v/>
      </c>
      <c r="D17052">
        <f>IF(B17052=C17052, "YES", "WRONG")</f>
        <v/>
      </c>
    </row>
    <row r="17053">
      <c r="A17053" t="n">
        <v>17052</v>
      </c>
      <c r="B17053" t="inlineStr">
        <is>
          <t>x̄V̅MMLII</t>
        </is>
      </c>
      <c r="C17053">
        <f>ROMAN(17052)</f>
        <v/>
      </c>
      <c r="D17053">
        <f>IF(B17053=C17053, "YES", "WRONG")</f>
        <v/>
      </c>
    </row>
    <row r="17054">
      <c r="A17054" t="n">
        <v>17053</v>
      </c>
      <c r="B17054" t="inlineStr">
        <is>
          <t>x̄V̅MMLIII</t>
        </is>
      </c>
      <c r="C17054">
        <f>ROMAN(17053)</f>
        <v/>
      </c>
      <c r="D17054">
        <f>IF(B17054=C17054, "YES", "WRONG")</f>
        <v/>
      </c>
    </row>
    <row r="17055">
      <c r="A17055" t="n">
        <v>17054</v>
      </c>
      <c r="B17055" t="inlineStr">
        <is>
          <t>x̄V̅MMLIV</t>
        </is>
      </c>
      <c r="C17055">
        <f>ROMAN(17054)</f>
        <v/>
      </c>
      <c r="D17055">
        <f>IF(B17055=C17055, "YES", "WRONG")</f>
        <v/>
      </c>
    </row>
    <row r="17056">
      <c r="A17056" t="n">
        <v>17055</v>
      </c>
      <c r="B17056" t="inlineStr">
        <is>
          <t>x̄V̅MMLV</t>
        </is>
      </c>
      <c r="C17056">
        <f>ROMAN(17055)</f>
        <v/>
      </c>
      <c r="D17056">
        <f>IF(B17056=C17056, "YES", "WRONG")</f>
        <v/>
      </c>
    </row>
    <row r="17057">
      <c r="A17057" t="n">
        <v>17056</v>
      </c>
      <c r="B17057" t="inlineStr">
        <is>
          <t>x̄V̅MMLVI</t>
        </is>
      </c>
      <c r="C17057">
        <f>ROMAN(17056)</f>
        <v/>
      </c>
      <c r="D17057">
        <f>IF(B17057=C17057, "YES", "WRONG")</f>
        <v/>
      </c>
    </row>
    <row r="17058">
      <c r="A17058" t="n">
        <v>17057</v>
      </c>
      <c r="B17058" t="inlineStr">
        <is>
          <t>x̄V̅MMLVII</t>
        </is>
      </c>
      <c r="C17058">
        <f>ROMAN(17057)</f>
        <v/>
      </c>
      <c r="D17058">
        <f>IF(B17058=C17058, "YES", "WRONG")</f>
        <v/>
      </c>
    </row>
    <row r="17059">
      <c r="A17059" t="n">
        <v>17058</v>
      </c>
      <c r="B17059" t="inlineStr">
        <is>
          <t>x̄V̅MMLVIII</t>
        </is>
      </c>
      <c r="C17059">
        <f>ROMAN(17058)</f>
        <v/>
      </c>
      <c r="D17059">
        <f>IF(B17059=C17059, "YES", "WRONG")</f>
        <v/>
      </c>
    </row>
    <row r="17060">
      <c r="A17060" t="n">
        <v>17059</v>
      </c>
      <c r="B17060" t="inlineStr">
        <is>
          <t>x̄V̅MMLIX</t>
        </is>
      </c>
      <c r="C17060">
        <f>ROMAN(17059)</f>
        <v/>
      </c>
      <c r="D17060">
        <f>IF(B17060=C17060, "YES", "WRONG")</f>
        <v/>
      </c>
    </row>
    <row r="17061">
      <c r="A17061" t="n">
        <v>17060</v>
      </c>
      <c r="B17061" t="inlineStr">
        <is>
          <t>x̄V̅MMLX</t>
        </is>
      </c>
      <c r="C17061">
        <f>ROMAN(17060)</f>
        <v/>
      </c>
      <c r="D17061">
        <f>IF(B17061=C17061, "YES", "WRONG")</f>
        <v/>
      </c>
    </row>
    <row r="17062">
      <c r="A17062" t="n">
        <v>17061</v>
      </c>
      <c r="B17062" t="inlineStr">
        <is>
          <t>x̄V̅MMLXI</t>
        </is>
      </c>
      <c r="C17062">
        <f>ROMAN(17061)</f>
        <v/>
      </c>
      <c r="D17062">
        <f>IF(B17062=C17062, "YES", "WRONG")</f>
        <v/>
      </c>
    </row>
    <row r="17063">
      <c r="A17063" t="n">
        <v>17062</v>
      </c>
      <c r="B17063" t="inlineStr">
        <is>
          <t>x̄V̅MMLXII</t>
        </is>
      </c>
      <c r="C17063">
        <f>ROMAN(17062)</f>
        <v/>
      </c>
      <c r="D17063">
        <f>IF(B17063=C17063, "YES", "WRONG")</f>
        <v/>
      </c>
    </row>
    <row r="17064">
      <c r="A17064" t="n">
        <v>17063</v>
      </c>
      <c r="B17064" t="inlineStr">
        <is>
          <t>x̄V̅MMLXIII</t>
        </is>
      </c>
      <c r="C17064">
        <f>ROMAN(17063)</f>
        <v/>
      </c>
      <c r="D17064">
        <f>IF(B17064=C17064, "YES", "WRONG")</f>
        <v/>
      </c>
    </row>
    <row r="17065">
      <c r="A17065" t="n">
        <v>17064</v>
      </c>
      <c r="B17065" t="inlineStr">
        <is>
          <t>x̄V̅MMLXIV</t>
        </is>
      </c>
      <c r="C17065">
        <f>ROMAN(17064)</f>
        <v/>
      </c>
      <c r="D17065">
        <f>IF(B17065=C17065, "YES", "WRONG")</f>
        <v/>
      </c>
    </row>
    <row r="17066">
      <c r="A17066" t="n">
        <v>17065</v>
      </c>
      <c r="B17066" t="inlineStr">
        <is>
          <t>x̄V̅MMLXV</t>
        </is>
      </c>
      <c r="C17066">
        <f>ROMAN(17065)</f>
        <v/>
      </c>
      <c r="D17066">
        <f>IF(B17066=C17066, "YES", "WRONG")</f>
        <v/>
      </c>
    </row>
    <row r="17067">
      <c r="A17067" t="n">
        <v>17066</v>
      </c>
      <c r="B17067" t="inlineStr">
        <is>
          <t>x̄V̅MMLXVI</t>
        </is>
      </c>
      <c r="C17067">
        <f>ROMAN(17066)</f>
        <v/>
      </c>
      <c r="D17067">
        <f>IF(B17067=C17067, "YES", "WRONG")</f>
        <v/>
      </c>
    </row>
    <row r="17068">
      <c r="A17068" t="n">
        <v>17067</v>
      </c>
      <c r="B17068" t="inlineStr">
        <is>
          <t>x̄V̅MMLXVII</t>
        </is>
      </c>
      <c r="C17068">
        <f>ROMAN(17067)</f>
        <v/>
      </c>
      <c r="D17068">
        <f>IF(B17068=C17068, "YES", "WRONG")</f>
        <v/>
      </c>
    </row>
    <row r="17069">
      <c r="A17069" t="n">
        <v>17068</v>
      </c>
      <c r="B17069" t="inlineStr">
        <is>
          <t>x̄V̅MMLXVIII</t>
        </is>
      </c>
      <c r="C17069">
        <f>ROMAN(17068)</f>
        <v/>
      </c>
      <c r="D17069">
        <f>IF(B17069=C17069, "YES", "WRONG")</f>
        <v/>
      </c>
    </row>
    <row r="17070">
      <c r="A17070" t="n">
        <v>17069</v>
      </c>
      <c r="B17070" t="inlineStr">
        <is>
          <t>x̄V̅MMLXIX</t>
        </is>
      </c>
      <c r="C17070">
        <f>ROMAN(17069)</f>
        <v/>
      </c>
      <c r="D17070">
        <f>IF(B17070=C17070, "YES", "WRONG")</f>
        <v/>
      </c>
    </row>
    <row r="17071">
      <c r="A17071" t="n">
        <v>17070</v>
      </c>
      <c r="B17071" t="inlineStr">
        <is>
          <t>x̄V̅MMLXX</t>
        </is>
      </c>
      <c r="C17071">
        <f>ROMAN(17070)</f>
        <v/>
      </c>
      <c r="D17071">
        <f>IF(B17071=C17071, "YES", "WRONG")</f>
        <v/>
      </c>
    </row>
    <row r="17072">
      <c r="A17072" t="n">
        <v>17071</v>
      </c>
      <c r="B17072" t="inlineStr">
        <is>
          <t>x̄V̅MMLXXI</t>
        </is>
      </c>
      <c r="C17072">
        <f>ROMAN(17071)</f>
        <v/>
      </c>
      <c r="D17072">
        <f>IF(B17072=C17072, "YES", "WRONG")</f>
        <v/>
      </c>
    </row>
    <row r="17073">
      <c r="A17073" t="n">
        <v>17072</v>
      </c>
      <c r="B17073" t="inlineStr">
        <is>
          <t>x̄V̅MMLXXII</t>
        </is>
      </c>
      <c r="C17073">
        <f>ROMAN(17072)</f>
        <v/>
      </c>
      <c r="D17073">
        <f>IF(B17073=C17073, "YES", "WRONG")</f>
        <v/>
      </c>
    </row>
    <row r="17074">
      <c r="A17074" t="n">
        <v>17073</v>
      </c>
      <c r="B17074" t="inlineStr">
        <is>
          <t>x̄V̅MMLXXIII</t>
        </is>
      </c>
      <c r="C17074">
        <f>ROMAN(17073)</f>
        <v/>
      </c>
      <c r="D17074">
        <f>IF(B17074=C17074, "YES", "WRONG")</f>
        <v/>
      </c>
    </row>
    <row r="17075">
      <c r="A17075" t="n">
        <v>17074</v>
      </c>
      <c r="B17075" t="inlineStr">
        <is>
          <t>x̄V̅MMLXXIV</t>
        </is>
      </c>
      <c r="C17075">
        <f>ROMAN(17074)</f>
        <v/>
      </c>
      <c r="D17075">
        <f>IF(B17075=C17075, "YES", "WRONG")</f>
        <v/>
      </c>
    </row>
    <row r="17076">
      <c r="A17076" t="n">
        <v>17075</v>
      </c>
      <c r="B17076" t="inlineStr">
        <is>
          <t>x̄V̅MMLXXV</t>
        </is>
      </c>
      <c r="C17076">
        <f>ROMAN(17075)</f>
        <v/>
      </c>
      <c r="D17076">
        <f>IF(B17076=C17076, "YES", "WRONG")</f>
        <v/>
      </c>
    </row>
    <row r="17077">
      <c r="A17077" t="n">
        <v>17076</v>
      </c>
      <c r="B17077" t="inlineStr">
        <is>
          <t>x̄V̅MMLXXVI</t>
        </is>
      </c>
      <c r="C17077">
        <f>ROMAN(17076)</f>
        <v/>
      </c>
      <c r="D17077">
        <f>IF(B17077=C17077, "YES", "WRONG")</f>
        <v/>
      </c>
    </row>
    <row r="17078">
      <c r="A17078" t="n">
        <v>17077</v>
      </c>
      <c r="B17078" t="inlineStr">
        <is>
          <t>x̄V̅MMLXXVII</t>
        </is>
      </c>
      <c r="C17078">
        <f>ROMAN(17077)</f>
        <v/>
      </c>
      <c r="D17078">
        <f>IF(B17078=C17078, "YES", "WRONG")</f>
        <v/>
      </c>
    </row>
    <row r="17079">
      <c r="A17079" t="n">
        <v>17078</v>
      </c>
      <c r="B17079" t="inlineStr">
        <is>
          <t>x̄V̅MMLXXVIII</t>
        </is>
      </c>
      <c r="C17079">
        <f>ROMAN(17078)</f>
        <v/>
      </c>
      <c r="D17079">
        <f>IF(B17079=C17079, "YES", "WRONG")</f>
        <v/>
      </c>
    </row>
    <row r="17080">
      <c r="A17080" t="n">
        <v>17079</v>
      </c>
      <c r="B17080" t="inlineStr">
        <is>
          <t>x̄V̅MMLXXIX</t>
        </is>
      </c>
      <c r="C17080">
        <f>ROMAN(17079)</f>
        <v/>
      </c>
      <c r="D17080">
        <f>IF(B17080=C17080, "YES", "WRONG")</f>
        <v/>
      </c>
    </row>
    <row r="17081">
      <c r="A17081" t="n">
        <v>17080</v>
      </c>
      <c r="B17081" t="inlineStr">
        <is>
          <t>x̄V̅MMLXXX</t>
        </is>
      </c>
      <c r="C17081">
        <f>ROMAN(17080)</f>
        <v/>
      </c>
      <c r="D17081">
        <f>IF(B17081=C17081, "YES", "WRONG")</f>
        <v/>
      </c>
    </row>
    <row r="17082">
      <c r="A17082" t="n">
        <v>17081</v>
      </c>
      <c r="B17082" t="inlineStr">
        <is>
          <t>x̄V̅MMLXXXI</t>
        </is>
      </c>
      <c r="C17082">
        <f>ROMAN(17081)</f>
        <v/>
      </c>
      <c r="D17082">
        <f>IF(B17082=C17082, "YES", "WRONG")</f>
        <v/>
      </c>
    </row>
    <row r="17083">
      <c r="A17083" t="n">
        <v>17082</v>
      </c>
      <c r="B17083" t="inlineStr">
        <is>
          <t>x̄V̅MMLXXXII</t>
        </is>
      </c>
      <c r="C17083">
        <f>ROMAN(17082)</f>
        <v/>
      </c>
      <c r="D17083">
        <f>IF(B17083=C17083, "YES", "WRONG")</f>
        <v/>
      </c>
    </row>
    <row r="17084">
      <c r="A17084" t="n">
        <v>17083</v>
      </c>
      <c r="B17084" t="inlineStr">
        <is>
          <t>x̄V̅MMLXXXIII</t>
        </is>
      </c>
      <c r="C17084">
        <f>ROMAN(17083)</f>
        <v/>
      </c>
      <c r="D17084">
        <f>IF(B17084=C17084, "YES", "WRONG")</f>
        <v/>
      </c>
    </row>
    <row r="17085">
      <c r="A17085" t="n">
        <v>17084</v>
      </c>
      <c r="B17085" t="inlineStr">
        <is>
          <t>x̄V̅MMLXXXIV</t>
        </is>
      </c>
      <c r="C17085">
        <f>ROMAN(17084)</f>
        <v/>
      </c>
      <c r="D17085">
        <f>IF(B17085=C17085, "YES", "WRONG")</f>
        <v/>
      </c>
    </row>
    <row r="17086">
      <c r="A17086" t="n">
        <v>17085</v>
      </c>
      <c r="B17086" t="inlineStr">
        <is>
          <t>x̄V̅MMLXXXV</t>
        </is>
      </c>
      <c r="C17086">
        <f>ROMAN(17085)</f>
        <v/>
      </c>
      <c r="D17086">
        <f>IF(B17086=C17086, "YES", "WRONG")</f>
        <v/>
      </c>
    </row>
    <row r="17087">
      <c r="A17087" t="n">
        <v>17086</v>
      </c>
      <c r="B17087" t="inlineStr">
        <is>
          <t>x̄V̅MMLXXXVI</t>
        </is>
      </c>
      <c r="C17087">
        <f>ROMAN(17086)</f>
        <v/>
      </c>
      <c r="D17087">
        <f>IF(B17087=C17087, "YES", "WRONG")</f>
        <v/>
      </c>
    </row>
    <row r="17088">
      <c r="A17088" t="n">
        <v>17087</v>
      </c>
      <c r="B17088" t="inlineStr">
        <is>
          <t>x̄V̅MMLXXXVII</t>
        </is>
      </c>
      <c r="C17088">
        <f>ROMAN(17087)</f>
        <v/>
      </c>
      <c r="D17088">
        <f>IF(B17088=C17088, "YES", "WRONG")</f>
        <v/>
      </c>
    </row>
    <row r="17089">
      <c r="A17089" t="n">
        <v>17088</v>
      </c>
      <c r="B17089" t="inlineStr">
        <is>
          <t>x̄V̅MMLXXXVIII</t>
        </is>
      </c>
      <c r="C17089">
        <f>ROMAN(17088)</f>
        <v/>
      </c>
      <c r="D17089">
        <f>IF(B17089=C17089, "YES", "WRONG")</f>
        <v/>
      </c>
    </row>
    <row r="17090">
      <c r="A17090" t="n">
        <v>17089</v>
      </c>
      <c r="B17090" t="inlineStr">
        <is>
          <t>x̄V̅MMLXXXIX</t>
        </is>
      </c>
      <c r="C17090">
        <f>ROMAN(17089)</f>
        <v/>
      </c>
      <c r="D17090">
        <f>IF(B17090=C17090, "YES", "WRONG")</f>
        <v/>
      </c>
    </row>
    <row r="17091">
      <c r="A17091" t="n">
        <v>17090</v>
      </c>
      <c r="B17091" t="inlineStr">
        <is>
          <t>x̄V̅MMXC</t>
        </is>
      </c>
      <c r="C17091">
        <f>ROMAN(17090)</f>
        <v/>
      </c>
      <c r="D17091">
        <f>IF(B17091=C17091, "YES", "WRONG")</f>
        <v/>
      </c>
    </row>
    <row r="17092">
      <c r="A17092" t="n">
        <v>17091</v>
      </c>
      <c r="B17092" t="inlineStr">
        <is>
          <t>x̄V̅MMXCI</t>
        </is>
      </c>
      <c r="C17092">
        <f>ROMAN(17091)</f>
        <v/>
      </c>
      <c r="D17092">
        <f>IF(B17092=C17092, "YES", "WRONG")</f>
        <v/>
      </c>
    </row>
    <row r="17093">
      <c r="A17093" t="n">
        <v>17092</v>
      </c>
      <c r="B17093" t="inlineStr">
        <is>
          <t>x̄V̅MMXCII</t>
        </is>
      </c>
      <c r="C17093">
        <f>ROMAN(17092)</f>
        <v/>
      </c>
      <c r="D17093">
        <f>IF(B17093=C17093, "YES", "WRONG")</f>
        <v/>
      </c>
    </row>
    <row r="17094">
      <c r="A17094" t="n">
        <v>17093</v>
      </c>
      <c r="B17094" t="inlineStr">
        <is>
          <t>x̄V̅MMXCIII</t>
        </is>
      </c>
      <c r="C17094">
        <f>ROMAN(17093)</f>
        <v/>
      </c>
      <c r="D17094">
        <f>IF(B17094=C17094, "YES", "WRONG")</f>
        <v/>
      </c>
    </row>
    <row r="17095">
      <c r="A17095" t="n">
        <v>17094</v>
      </c>
      <c r="B17095" t="inlineStr">
        <is>
          <t>x̄V̅MMXCIV</t>
        </is>
      </c>
      <c r="C17095">
        <f>ROMAN(17094)</f>
        <v/>
      </c>
      <c r="D17095">
        <f>IF(B17095=C17095, "YES", "WRONG")</f>
        <v/>
      </c>
    </row>
    <row r="17096">
      <c r="A17096" t="n">
        <v>17095</v>
      </c>
      <c r="B17096" t="inlineStr">
        <is>
          <t>x̄V̅MMXCV</t>
        </is>
      </c>
      <c r="C17096">
        <f>ROMAN(17095)</f>
        <v/>
      </c>
      <c r="D17096">
        <f>IF(B17096=C17096, "YES", "WRONG")</f>
        <v/>
      </c>
    </row>
    <row r="17097">
      <c r="A17097" t="n">
        <v>17096</v>
      </c>
      <c r="B17097" t="inlineStr">
        <is>
          <t>x̄V̅MMXCVI</t>
        </is>
      </c>
      <c r="C17097">
        <f>ROMAN(17096)</f>
        <v/>
      </c>
      <c r="D17097">
        <f>IF(B17097=C17097, "YES", "WRONG")</f>
        <v/>
      </c>
    </row>
    <row r="17098">
      <c r="A17098" t="n">
        <v>17097</v>
      </c>
      <c r="B17098" t="inlineStr">
        <is>
          <t>x̄V̅MMXCVII</t>
        </is>
      </c>
      <c r="C17098">
        <f>ROMAN(17097)</f>
        <v/>
      </c>
      <c r="D17098">
        <f>IF(B17098=C17098, "YES", "WRONG")</f>
        <v/>
      </c>
    </row>
    <row r="17099">
      <c r="A17099" t="n">
        <v>17098</v>
      </c>
      <c r="B17099" t="inlineStr">
        <is>
          <t>x̄V̅MMXCVIII</t>
        </is>
      </c>
      <c r="C17099">
        <f>ROMAN(17098)</f>
        <v/>
      </c>
      <c r="D17099">
        <f>IF(B17099=C17099, "YES", "WRONG")</f>
        <v/>
      </c>
    </row>
    <row r="17100">
      <c r="A17100" t="n">
        <v>17099</v>
      </c>
      <c r="B17100" t="inlineStr">
        <is>
          <t>x̄V̅MMXCIX</t>
        </is>
      </c>
      <c r="C17100">
        <f>ROMAN(17099)</f>
        <v/>
      </c>
      <c r="D17100">
        <f>IF(B17100=C17100, "YES", "WRONG")</f>
        <v/>
      </c>
    </row>
    <row r="17101">
      <c r="A17101" t="n">
        <v>17100</v>
      </c>
      <c r="B17101" t="inlineStr">
        <is>
          <t>x̄V̅MMC</t>
        </is>
      </c>
      <c r="C17101">
        <f>ROMAN(17100)</f>
        <v/>
      </c>
      <c r="D17101">
        <f>IF(B17101=C17101, "YES", "WRONG")</f>
        <v/>
      </c>
    </row>
    <row r="17102">
      <c r="A17102" t="n">
        <v>17101</v>
      </c>
      <c r="B17102" t="inlineStr">
        <is>
          <t>x̄V̅MMCI</t>
        </is>
      </c>
      <c r="C17102">
        <f>ROMAN(17101)</f>
        <v/>
      </c>
      <c r="D17102">
        <f>IF(B17102=C17102, "YES", "WRONG")</f>
        <v/>
      </c>
    </row>
    <row r="17103">
      <c r="A17103" t="n">
        <v>17102</v>
      </c>
      <c r="B17103" t="inlineStr">
        <is>
          <t>x̄V̅MMCII</t>
        </is>
      </c>
      <c r="C17103">
        <f>ROMAN(17102)</f>
        <v/>
      </c>
      <c r="D17103">
        <f>IF(B17103=C17103, "YES", "WRONG")</f>
        <v/>
      </c>
    </row>
    <row r="17104">
      <c r="A17104" t="n">
        <v>17103</v>
      </c>
      <c r="B17104" t="inlineStr">
        <is>
          <t>x̄V̅MMCIII</t>
        </is>
      </c>
      <c r="C17104">
        <f>ROMAN(17103)</f>
        <v/>
      </c>
      <c r="D17104">
        <f>IF(B17104=C17104, "YES", "WRONG")</f>
        <v/>
      </c>
    </row>
    <row r="17105">
      <c r="A17105" t="n">
        <v>17104</v>
      </c>
      <c r="B17105" t="inlineStr">
        <is>
          <t>x̄V̅MMCIV</t>
        </is>
      </c>
      <c r="C17105">
        <f>ROMAN(17104)</f>
        <v/>
      </c>
      <c r="D17105">
        <f>IF(B17105=C17105, "YES", "WRONG")</f>
        <v/>
      </c>
    </row>
    <row r="17106">
      <c r="A17106" t="n">
        <v>17105</v>
      </c>
      <c r="B17106" t="inlineStr">
        <is>
          <t>x̄V̅MMCV</t>
        </is>
      </c>
      <c r="C17106">
        <f>ROMAN(17105)</f>
        <v/>
      </c>
      <c r="D17106">
        <f>IF(B17106=C17106, "YES", "WRONG")</f>
        <v/>
      </c>
    </row>
    <row r="17107">
      <c r="A17107" t="n">
        <v>17106</v>
      </c>
      <c r="B17107" t="inlineStr">
        <is>
          <t>x̄V̅MMCVI</t>
        </is>
      </c>
      <c r="C17107">
        <f>ROMAN(17106)</f>
        <v/>
      </c>
      <c r="D17107">
        <f>IF(B17107=C17107, "YES", "WRONG")</f>
        <v/>
      </c>
    </row>
    <row r="17108">
      <c r="A17108" t="n">
        <v>17107</v>
      </c>
      <c r="B17108" t="inlineStr">
        <is>
          <t>x̄V̅MMCVII</t>
        </is>
      </c>
      <c r="C17108">
        <f>ROMAN(17107)</f>
        <v/>
      </c>
      <c r="D17108">
        <f>IF(B17108=C17108, "YES", "WRONG")</f>
        <v/>
      </c>
    </row>
    <row r="17109">
      <c r="A17109" t="n">
        <v>17108</v>
      </c>
      <c r="B17109" t="inlineStr">
        <is>
          <t>x̄V̅MMCVIII</t>
        </is>
      </c>
      <c r="C17109">
        <f>ROMAN(17108)</f>
        <v/>
      </c>
      <c r="D17109">
        <f>IF(B17109=C17109, "YES", "WRONG")</f>
        <v/>
      </c>
    </row>
    <row r="17110">
      <c r="A17110" t="n">
        <v>17109</v>
      </c>
      <c r="B17110" t="inlineStr">
        <is>
          <t>x̄V̅MMCIX</t>
        </is>
      </c>
      <c r="C17110">
        <f>ROMAN(17109)</f>
        <v/>
      </c>
      <c r="D17110">
        <f>IF(B17110=C17110, "YES", "WRONG")</f>
        <v/>
      </c>
    </row>
    <row r="17111">
      <c r="A17111" t="n">
        <v>17110</v>
      </c>
      <c r="B17111" t="inlineStr">
        <is>
          <t>x̄V̅MMCX</t>
        </is>
      </c>
      <c r="C17111">
        <f>ROMAN(17110)</f>
        <v/>
      </c>
      <c r="D17111">
        <f>IF(B17111=C17111, "YES", "WRONG")</f>
        <v/>
      </c>
    </row>
    <row r="17112">
      <c r="A17112" t="n">
        <v>17111</v>
      </c>
      <c r="B17112" t="inlineStr">
        <is>
          <t>x̄V̅MMCXI</t>
        </is>
      </c>
      <c r="C17112">
        <f>ROMAN(17111)</f>
        <v/>
      </c>
      <c r="D17112">
        <f>IF(B17112=C17112, "YES", "WRONG")</f>
        <v/>
      </c>
    </row>
    <row r="17113">
      <c r="A17113" t="n">
        <v>17112</v>
      </c>
      <c r="B17113" t="inlineStr">
        <is>
          <t>x̄V̅MMCXII</t>
        </is>
      </c>
      <c r="C17113">
        <f>ROMAN(17112)</f>
        <v/>
      </c>
      <c r="D17113">
        <f>IF(B17113=C17113, "YES", "WRONG")</f>
        <v/>
      </c>
    </row>
    <row r="17114">
      <c r="A17114" t="n">
        <v>17113</v>
      </c>
      <c r="B17114" t="inlineStr">
        <is>
          <t>x̄V̅MMCXIII</t>
        </is>
      </c>
      <c r="C17114">
        <f>ROMAN(17113)</f>
        <v/>
      </c>
      <c r="D17114">
        <f>IF(B17114=C17114, "YES", "WRONG")</f>
        <v/>
      </c>
    </row>
    <row r="17115">
      <c r="A17115" t="n">
        <v>17114</v>
      </c>
      <c r="B17115" t="inlineStr">
        <is>
          <t>x̄V̅MMCXIV</t>
        </is>
      </c>
      <c r="C17115">
        <f>ROMAN(17114)</f>
        <v/>
      </c>
      <c r="D17115">
        <f>IF(B17115=C17115, "YES", "WRONG")</f>
        <v/>
      </c>
    </row>
    <row r="17116">
      <c r="A17116" t="n">
        <v>17115</v>
      </c>
      <c r="B17116" t="inlineStr">
        <is>
          <t>x̄V̅MMCXV</t>
        </is>
      </c>
      <c r="C17116">
        <f>ROMAN(17115)</f>
        <v/>
      </c>
      <c r="D17116">
        <f>IF(B17116=C17116, "YES", "WRONG")</f>
        <v/>
      </c>
    </row>
    <row r="17117">
      <c r="A17117" t="n">
        <v>17116</v>
      </c>
      <c r="B17117" t="inlineStr">
        <is>
          <t>x̄V̅MMCXVI</t>
        </is>
      </c>
      <c r="C17117">
        <f>ROMAN(17116)</f>
        <v/>
      </c>
      <c r="D17117">
        <f>IF(B17117=C17117, "YES", "WRONG")</f>
        <v/>
      </c>
    </row>
    <row r="17118">
      <c r="A17118" t="n">
        <v>17117</v>
      </c>
      <c r="B17118" t="inlineStr">
        <is>
          <t>x̄V̅MMCXVII</t>
        </is>
      </c>
      <c r="C17118">
        <f>ROMAN(17117)</f>
        <v/>
      </c>
      <c r="D17118">
        <f>IF(B17118=C17118, "YES", "WRONG")</f>
        <v/>
      </c>
    </row>
    <row r="17119">
      <c r="A17119" t="n">
        <v>17118</v>
      </c>
      <c r="B17119" t="inlineStr">
        <is>
          <t>x̄V̅MMCXVIII</t>
        </is>
      </c>
      <c r="C17119">
        <f>ROMAN(17118)</f>
        <v/>
      </c>
      <c r="D17119">
        <f>IF(B17119=C17119, "YES", "WRONG")</f>
        <v/>
      </c>
    </row>
    <row r="17120">
      <c r="A17120" t="n">
        <v>17119</v>
      </c>
      <c r="B17120" t="inlineStr">
        <is>
          <t>x̄V̅MMCXIX</t>
        </is>
      </c>
      <c r="C17120">
        <f>ROMAN(17119)</f>
        <v/>
      </c>
      <c r="D17120">
        <f>IF(B17120=C17120, "YES", "WRONG")</f>
        <v/>
      </c>
    </row>
    <row r="17121">
      <c r="A17121" t="n">
        <v>17120</v>
      </c>
      <c r="B17121" t="inlineStr">
        <is>
          <t>x̄V̅MMCXX</t>
        </is>
      </c>
      <c r="C17121">
        <f>ROMAN(17120)</f>
        <v/>
      </c>
      <c r="D17121">
        <f>IF(B17121=C17121, "YES", "WRONG")</f>
        <v/>
      </c>
    </row>
    <row r="17122">
      <c r="A17122" t="n">
        <v>17121</v>
      </c>
      <c r="B17122" t="inlineStr">
        <is>
          <t>x̄V̅MMCXXI</t>
        </is>
      </c>
      <c r="C17122">
        <f>ROMAN(17121)</f>
        <v/>
      </c>
      <c r="D17122">
        <f>IF(B17122=C17122, "YES", "WRONG")</f>
        <v/>
      </c>
    </row>
    <row r="17123">
      <c r="A17123" t="n">
        <v>17122</v>
      </c>
      <c r="B17123" t="inlineStr">
        <is>
          <t>x̄V̅MMCXXII</t>
        </is>
      </c>
      <c r="C17123">
        <f>ROMAN(17122)</f>
        <v/>
      </c>
      <c r="D17123">
        <f>IF(B17123=C17123, "YES", "WRONG")</f>
        <v/>
      </c>
    </row>
    <row r="17124">
      <c r="A17124" t="n">
        <v>17123</v>
      </c>
      <c r="B17124" t="inlineStr">
        <is>
          <t>x̄V̅MMCXXIII</t>
        </is>
      </c>
      <c r="C17124">
        <f>ROMAN(17123)</f>
        <v/>
      </c>
      <c r="D17124">
        <f>IF(B17124=C17124, "YES", "WRONG")</f>
        <v/>
      </c>
    </row>
    <row r="17125">
      <c r="A17125" t="n">
        <v>17124</v>
      </c>
      <c r="B17125" t="inlineStr">
        <is>
          <t>x̄V̅MMCXXIV</t>
        </is>
      </c>
      <c r="C17125">
        <f>ROMAN(17124)</f>
        <v/>
      </c>
      <c r="D17125">
        <f>IF(B17125=C17125, "YES", "WRONG")</f>
        <v/>
      </c>
    </row>
    <row r="17126">
      <c r="A17126" t="n">
        <v>17125</v>
      </c>
      <c r="B17126" t="inlineStr">
        <is>
          <t>x̄V̅MMCXXV</t>
        </is>
      </c>
      <c r="C17126">
        <f>ROMAN(17125)</f>
        <v/>
      </c>
      <c r="D17126">
        <f>IF(B17126=C17126, "YES", "WRONG")</f>
        <v/>
      </c>
    </row>
    <row r="17127">
      <c r="A17127" t="n">
        <v>17126</v>
      </c>
      <c r="B17127" t="inlineStr">
        <is>
          <t>x̄V̅MMCXXVI</t>
        </is>
      </c>
      <c r="C17127">
        <f>ROMAN(17126)</f>
        <v/>
      </c>
      <c r="D17127">
        <f>IF(B17127=C17127, "YES", "WRONG")</f>
        <v/>
      </c>
    </row>
    <row r="17128">
      <c r="A17128" t="n">
        <v>17127</v>
      </c>
      <c r="B17128" t="inlineStr">
        <is>
          <t>x̄V̅MMCXXVII</t>
        </is>
      </c>
      <c r="C17128">
        <f>ROMAN(17127)</f>
        <v/>
      </c>
      <c r="D17128">
        <f>IF(B17128=C17128, "YES", "WRONG")</f>
        <v/>
      </c>
    </row>
    <row r="17129">
      <c r="A17129" t="n">
        <v>17128</v>
      </c>
      <c r="B17129" t="inlineStr">
        <is>
          <t>x̄V̅MMCXXVIII</t>
        </is>
      </c>
      <c r="C17129">
        <f>ROMAN(17128)</f>
        <v/>
      </c>
      <c r="D17129">
        <f>IF(B17129=C17129, "YES", "WRONG")</f>
        <v/>
      </c>
    </row>
    <row r="17130">
      <c r="A17130" t="n">
        <v>17129</v>
      </c>
      <c r="B17130" t="inlineStr">
        <is>
          <t>x̄V̅MMCXXIX</t>
        </is>
      </c>
      <c r="C17130">
        <f>ROMAN(17129)</f>
        <v/>
      </c>
      <c r="D17130">
        <f>IF(B17130=C17130, "YES", "WRONG")</f>
        <v/>
      </c>
    </row>
    <row r="17131">
      <c r="A17131" t="n">
        <v>17130</v>
      </c>
      <c r="B17131" t="inlineStr">
        <is>
          <t>x̄V̅MMCXXX</t>
        </is>
      </c>
      <c r="C17131">
        <f>ROMAN(17130)</f>
        <v/>
      </c>
      <c r="D17131">
        <f>IF(B17131=C17131, "YES", "WRONG")</f>
        <v/>
      </c>
    </row>
    <row r="17132">
      <c r="A17132" t="n">
        <v>17131</v>
      </c>
      <c r="B17132" t="inlineStr">
        <is>
          <t>x̄V̅MMCXXXI</t>
        </is>
      </c>
      <c r="C17132">
        <f>ROMAN(17131)</f>
        <v/>
      </c>
      <c r="D17132">
        <f>IF(B17132=C17132, "YES", "WRONG")</f>
        <v/>
      </c>
    </row>
    <row r="17133">
      <c r="A17133" t="n">
        <v>17132</v>
      </c>
      <c r="B17133" t="inlineStr">
        <is>
          <t>x̄V̅MMCXXXII</t>
        </is>
      </c>
      <c r="C17133">
        <f>ROMAN(17132)</f>
        <v/>
      </c>
      <c r="D17133">
        <f>IF(B17133=C17133, "YES", "WRONG")</f>
        <v/>
      </c>
    </row>
    <row r="17134">
      <c r="A17134" t="n">
        <v>17133</v>
      </c>
      <c r="B17134" t="inlineStr">
        <is>
          <t>x̄V̅MMCXXXIII</t>
        </is>
      </c>
      <c r="C17134">
        <f>ROMAN(17133)</f>
        <v/>
      </c>
      <c r="D17134">
        <f>IF(B17134=C17134, "YES", "WRONG")</f>
        <v/>
      </c>
    </row>
    <row r="17135">
      <c r="A17135" t="n">
        <v>17134</v>
      </c>
      <c r="B17135" t="inlineStr">
        <is>
          <t>x̄V̅MMCXXXIV</t>
        </is>
      </c>
      <c r="C17135">
        <f>ROMAN(17134)</f>
        <v/>
      </c>
      <c r="D17135">
        <f>IF(B17135=C17135, "YES", "WRONG")</f>
        <v/>
      </c>
    </row>
    <row r="17136">
      <c r="A17136" t="n">
        <v>17135</v>
      </c>
      <c r="B17136" t="inlineStr">
        <is>
          <t>x̄V̅MMCXXXV</t>
        </is>
      </c>
      <c r="C17136">
        <f>ROMAN(17135)</f>
        <v/>
      </c>
      <c r="D17136">
        <f>IF(B17136=C17136, "YES", "WRONG")</f>
        <v/>
      </c>
    </row>
    <row r="17137">
      <c r="A17137" t="n">
        <v>17136</v>
      </c>
      <c r="B17137" t="inlineStr">
        <is>
          <t>x̄V̅MMCXXXVI</t>
        </is>
      </c>
      <c r="C17137">
        <f>ROMAN(17136)</f>
        <v/>
      </c>
      <c r="D17137">
        <f>IF(B17137=C17137, "YES", "WRONG")</f>
        <v/>
      </c>
    </row>
    <row r="17138">
      <c r="A17138" t="n">
        <v>17137</v>
      </c>
      <c r="B17138" t="inlineStr">
        <is>
          <t>x̄V̅MMCXXXVII</t>
        </is>
      </c>
      <c r="C17138">
        <f>ROMAN(17137)</f>
        <v/>
      </c>
      <c r="D17138">
        <f>IF(B17138=C17138, "YES", "WRONG")</f>
        <v/>
      </c>
    </row>
    <row r="17139">
      <c r="A17139" t="n">
        <v>17138</v>
      </c>
      <c r="B17139" t="inlineStr">
        <is>
          <t>x̄V̅MMCXXXVIII</t>
        </is>
      </c>
      <c r="C17139">
        <f>ROMAN(17138)</f>
        <v/>
      </c>
      <c r="D17139">
        <f>IF(B17139=C17139, "YES", "WRONG")</f>
        <v/>
      </c>
    </row>
    <row r="17140">
      <c r="A17140" t="n">
        <v>17139</v>
      </c>
      <c r="B17140" t="inlineStr">
        <is>
          <t>x̄V̅MMCXXXIX</t>
        </is>
      </c>
      <c r="C17140">
        <f>ROMAN(17139)</f>
        <v/>
      </c>
      <c r="D17140">
        <f>IF(B17140=C17140, "YES", "WRONG")</f>
        <v/>
      </c>
    </row>
    <row r="17141">
      <c r="A17141" t="n">
        <v>17140</v>
      </c>
      <c r="B17141" t="inlineStr">
        <is>
          <t>x̄V̅MMCXL</t>
        </is>
      </c>
      <c r="C17141">
        <f>ROMAN(17140)</f>
        <v/>
      </c>
      <c r="D17141">
        <f>IF(B17141=C17141, "YES", "WRONG")</f>
        <v/>
      </c>
    </row>
    <row r="17142">
      <c r="A17142" t="n">
        <v>17141</v>
      </c>
      <c r="B17142" t="inlineStr">
        <is>
          <t>x̄V̅MMCXLI</t>
        </is>
      </c>
      <c r="C17142">
        <f>ROMAN(17141)</f>
        <v/>
      </c>
      <c r="D17142">
        <f>IF(B17142=C17142, "YES", "WRONG")</f>
        <v/>
      </c>
    </row>
    <row r="17143">
      <c r="A17143" t="n">
        <v>17142</v>
      </c>
      <c r="B17143" t="inlineStr">
        <is>
          <t>x̄V̅MMCXLII</t>
        </is>
      </c>
      <c r="C17143">
        <f>ROMAN(17142)</f>
        <v/>
      </c>
      <c r="D17143">
        <f>IF(B17143=C17143, "YES", "WRONG")</f>
        <v/>
      </c>
    </row>
    <row r="17144">
      <c r="A17144" t="n">
        <v>17143</v>
      </c>
      <c r="B17144" t="inlineStr">
        <is>
          <t>x̄V̅MMCXLIII</t>
        </is>
      </c>
      <c r="C17144">
        <f>ROMAN(17143)</f>
        <v/>
      </c>
      <c r="D17144">
        <f>IF(B17144=C17144, "YES", "WRONG")</f>
        <v/>
      </c>
    </row>
    <row r="17145">
      <c r="A17145" t="n">
        <v>17144</v>
      </c>
      <c r="B17145" t="inlineStr">
        <is>
          <t>x̄V̅MMCXLIV</t>
        </is>
      </c>
      <c r="C17145">
        <f>ROMAN(17144)</f>
        <v/>
      </c>
      <c r="D17145">
        <f>IF(B17145=C17145, "YES", "WRONG")</f>
        <v/>
      </c>
    </row>
    <row r="17146">
      <c r="A17146" t="n">
        <v>17145</v>
      </c>
      <c r="B17146" t="inlineStr">
        <is>
          <t>x̄V̅MMCXLV</t>
        </is>
      </c>
      <c r="C17146">
        <f>ROMAN(17145)</f>
        <v/>
      </c>
      <c r="D17146">
        <f>IF(B17146=C17146, "YES", "WRONG")</f>
        <v/>
      </c>
    </row>
    <row r="17147">
      <c r="A17147" t="n">
        <v>17146</v>
      </c>
      <c r="B17147" t="inlineStr">
        <is>
          <t>x̄V̅MMCXLVI</t>
        </is>
      </c>
      <c r="C17147">
        <f>ROMAN(17146)</f>
        <v/>
      </c>
      <c r="D17147">
        <f>IF(B17147=C17147, "YES", "WRONG")</f>
        <v/>
      </c>
    </row>
    <row r="17148">
      <c r="A17148" t="n">
        <v>17147</v>
      </c>
      <c r="B17148" t="inlineStr">
        <is>
          <t>x̄V̅MMCXLVII</t>
        </is>
      </c>
      <c r="C17148">
        <f>ROMAN(17147)</f>
        <v/>
      </c>
      <c r="D17148">
        <f>IF(B17148=C17148, "YES", "WRONG")</f>
        <v/>
      </c>
    </row>
    <row r="17149">
      <c r="A17149" t="n">
        <v>17148</v>
      </c>
      <c r="B17149" t="inlineStr">
        <is>
          <t>x̄V̅MMCXLVIII</t>
        </is>
      </c>
      <c r="C17149">
        <f>ROMAN(17148)</f>
        <v/>
      </c>
      <c r="D17149">
        <f>IF(B17149=C17149, "YES", "WRONG")</f>
        <v/>
      </c>
    </row>
    <row r="17150">
      <c r="A17150" t="n">
        <v>17149</v>
      </c>
      <c r="B17150" t="inlineStr">
        <is>
          <t>x̄V̅MMCXLIX</t>
        </is>
      </c>
      <c r="C17150">
        <f>ROMAN(17149)</f>
        <v/>
      </c>
      <c r="D17150">
        <f>IF(B17150=C17150, "YES", "WRONG")</f>
        <v/>
      </c>
    </row>
    <row r="17151">
      <c r="A17151" t="n">
        <v>17150</v>
      </c>
      <c r="B17151" t="inlineStr">
        <is>
          <t>x̄V̅MMCL</t>
        </is>
      </c>
      <c r="C17151">
        <f>ROMAN(17150)</f>
        <v/>
      </c>
      <c r="D17151">
        <f>IF(B17151=C17151, "YES", "WRONG")</f>
        <v/>
      </c>
    </row>
    <row r="17152">
      <c r="A17152" t="n">
        <v>17151</v>
      </c>
      <c r="B17152" t="inlineStr">
        <is>
          <t>x̄V̅MMCLI</t>
        </is>
      </c>
      <c r="C17152">
        <f>ROMAN(17151)</f>
        <v/>
      </c>
      <c r="D17152">
        <f>IF(B17152=C17152, "YES", "WRONG")</f>
        <v/>
      </c>
    </row>
    <row r="17153">
      <c r="A17153" t="n">
        <v>17152</v>
      </c>
      <c r="B17153" t="inlineStr">
        <is>
          <t>x̄V̅MMCLII</t>
        </is>
      </c>
      <c r="C17153">
        <f>ROMAN(17152)</f>
        <v/>
      </c>
      <c r="D17153">
        <f>IF(B17153=C17153, "YES", "WRONG")</f>
        <v/>
      </c>
    </row>
    <row r="17154">
      <c r="A17154" t="n">
        <v>17153</v>
      </c>
      <c r="B17154" t="inlineStr">
        <is>
          <t>x̄V̅MMCLIII</t>
        </is>
      </c>
      <c r="C17154">
        <f>ROMAN(17153)</f>
        <v/>
      </c>
      <c r="D17154">
        <f>IF(B17154=C17154, "YES", "WRONG")</f>
        <v/>
      </c>
    </row>
    <row r="17155">
      <c r="A17155" t="n">
        <v>17154</v>
      </c>
      <c r="B17155" t="inlineStr">
        <is>
          <t>x̄V̅MMCLIV</t>
        </is>
      </c>
      <c r="C17155">
        <f>ROMAN(17154)</f>
        <v/>
      </c>
      <c r="D17155">
        <f>IF(B17155=C17155, "YES", "WRONG")</f>
        <v/>
      </c>
    </row>
    <row r="17156">
      <c r="A17156" t="n">
        <v>17155</v>
      </c>
      <c r="B17156" t="inlineStr">
        <is>
          <t>x̄V̅MMCLV</t>
        </is>
      </c>
      <c r="C17156">
        <f>ROMAN(17155)</f>
        <v/>
      </c>
      <c r="D17156">
        <f>IF(B17156=C17156, "YES", "WRONG")</f>
        <v/>
      </c>
    </row>
    <row r="17157">
      <c r="A17157" t="n">
        <v>17156</v>
      </c>
      <c r="B17157" t="inlineStr">
        <is>
          <t>x̄V̅MMCLVI</t>
        </is>
      </c>
      <c r="C17157">
        <f>ROMAN(17156)</f>
        <v/>
      </c>
      <c r="D17157">
        <f>IF(B17157=C17157, "YES", "WRONG")</f>
        <v/>
      </c>
    </row>
    <row r="17158">
      <c r="A17158" t="n">
        <v>17157</v>
      </c>
      <c r="B17158" t="inlineStr">
        <is>
          <t>x̄V̅MMCLVII</t>
        </is>
      </c>
      <c r="C17158">
        <f>ROMAN(17157)</f>
        <v/>
      </c>
      <c r="D17158">
        <f>IF(B17158=C17158, "YES", "WRONG")</f>
        <v/>
      </c>
    </row>
    <row r="17159">
      <c r="A17159" t="n">
        <v>17158</v>
      </c>
      <c r="B17159" t="inlineStr">
        <is>
          <t>x̄V̅MMCLVIII</t>
        </is>
      </c>
      <c r="C17159">
        <f>ROMAN(17158)</f>
        <v/>
      </c>
      <c r="D17159">
        <f>IF(B17159=C17159, "YES", "WRONG")</f>
        <v/>
      </c>
    </row>
    <row r="17160">
      <c r="A17160" t="n">
        <v>17159</v>
      </c>
      <c r="B17160" t="inlineStr">
        <is>
          <t>x̄V̅MMCLIX</t>
        </is>
      </c>
      <c r="C17160">
        <f>ROMAN(17159)</f>
        <v/>
      </c>
      <c r="D17160">
        <f>IF(B17160=C17160, "YES", "WRONG")</f>
        <v/>
      </c>
    </row>
    <row r="17161">
      <c r="A17161" t="n">
        <v>17160</v>
      </c>
      <c r="B17161" t="inlineStr">
        <is>
          <t>x̄V̅MMCLX</t>
        </is>
      </c>
      <c r="C17161">
        <f>ROMAN(17160)</f>
        <v/>
      </c>
      <c r="D17161">
        <f>IF(B17161=C17161, "YES", "WRONG")</f>
        <v/>
      </c>
    </row>
    <row r="17162">
      <c r="A17162" t="n">
        <v>17161</v>
      </c>
      <c r="B17162" t="inlineStr">
        <is>
          <t>x̄V̅MMCLXI</t>
        </is>
      </c>
      <c r="C17162">
        <f>ROMAN(17161)</f>
        <v/>
      </c>
      <c r="D17162">
        <f>IF(B17162=C17162, "YES", "WRONG")</f>
        <v/>
      </c>
    </row>
    <row r="17163">
      <c r="A17163" t="n">
        <v>17162</v>
      </c>
      <c r="B17163" t="inlineStr">
        <is>
          <t>x̄V̅MMCLXII</t>
        </is>
      </c>
      <c r="C17163">
        <f>ROMAN(17162)</f>
        <v/>
      </c>
      <c r="D17163">
        <f>IF(B17163=C17163, "YES", "WRONG")</f>
        <v/>
      </c>
    </row>
    <row r="17164">
      <c r="A17164" t="n">
        <v>17163</v>
      </c>
      <c r="B17164" t="inlineStr">
        <is>
          <t>x̄V̅MMCLXIII</t>
        </is>
      </c>
      <c r="C17164">
        <f>ROMAN(17163)</f>
        <v/>
      </c>
      <c r="D17164">
        <f>IF(B17164=C17164, "YES", "WRONG")</f>
        <v/>
      </c>
    </row>
    <row r="17165">
      <c r="A17165" t="n">
        <v>17164</v>
      </c>
      <c r="B17165" t="inlineStr">
        <is>
          <t>x̄V̅MMCLXIV</t>
        </is>
      </c>
      <c r="C17165">
        <f>ROMAN(17164)</f>
        <v/>
      </c>
      <c r="D17165">
        <f>IF(B17165=C17165, "YES", "WRONG")</f>
        <v/>
      </c>
    </row>
    <row r="17166">
      <c r="A17166" t="n">
        <v>17165</v>
      </c>
      <c r="B17166" t="inlineStr">
        <is>
          <t>x̄V̅MMCLXV</t>
        </is>
      </c>
      <c r="C17166">
        <f>ROMAN(17165)</f>
        <v/>
      </c>
      <c r="D17166">
        <f>IF(B17166=C17166, "YES", "WRONG")</f>
        <v/>
      </c>
    </row>
    <row r="17167">
      <c r="A17167" t="n">
        <v>17166</v>
      </c>
      <c r="B17167" t="inlineStr">
        <is>
          <t>x̄V̅MMCLXVI</t>
        </is>
      </c>
      <c r="C17167">
        <f>ROMAN(17166)</f>
        <v/>
      </c>
      <c r="D17167">
        <f>IF(B17167=C17167, "YES", "WRONG")</f>
        <v/>
      </c>
    </row>
    <row r="17168">
      <c r="A17168" t="n">
        <v>17167</v>
      </c>
      <c r="B17168" t="inlineStr">
        <is>
          <t>x̄V̅MMCLXVII</t>
        </is>
      </c>
      <c r="C17168">
        <f>ROMAN(17167)</f>
        <v/>
      </c>
      <c r="D17168">
        <f>IF(B17168=C17168, "YES", "WRONG")</f>
        <v/>
      </c>
    </row>
    <row r="17169">
      <c r="A17169" t="n">
        <v>17168</v>
      </c>
      <c r="B17169" t="inlineStr">
        <is>
          <t>x̄V̅MMCLXVIII</t>
        </is>
      </c>
      <c r="C17169">
        <f>ROMAN(17168)</f>
        <v/>
      </c>
      <c r="D17169">
        <f>IF(B17169=C17169, "YES", "WRONG")</f>
        <v/>
      </c>
    </row>
    <row r="17170">
      <c r="A17170" t="n">
        <v>17169</v>
      </c>
      <c r="B17170" t="inlineStr">
        <is>
          <t>x̄V̅MMCLXIX</t>
        </is>
      </c>
      <c r="C17170">
        <f>ROMAN(17169)</f>
        <v/>
      </c>
      <c r="D17170">
        <f>IF(B17170=C17170, "YES", "WRONG")</f>
        <v/>
      </c>
    </row>
    <row r="17171">
      <c r="A17171" t="n">
        <v>17170</v>
      </c>
      <c r="B17171" t="inlineStr">
        <is>
          <t>x̄V̅MMCLXX</t>
        </is>
      </c>
      <c r="C17171">
        <f>ROMAN(17170)</f>
        <v/>
      </c>
      <c r="D17171">
        <f>IF(B17171=C17171, "YES", "WRONG")</f>
        <v/>
      </c>
    </row>
    <row r="17172">
      <c r="A17172" t="n">
        <v>17171</v>
      </c>
      <c r="B17172" t="inlineStr">
        <is>
          <t>x̄V̅MMCLXXI</t>
        </is>
      </c>
      <c r="C17172">
        <f>ROMAN(17171)</f>
        <v/>
      </c>
      <c r="D17172">
        <f>IF(B17172=C17172, "YES", "WRONG")</f>
        <v/>
      </c>
    </row>
    <row r="17173">
      <c r="A17173" t="n">
        <v>17172</v>
      </c>
      <c r="B17173" t="inlineStr">
        <is>
          <t>x̄V̅MMCLXXII</t>
        </is>
      </c>
      <c r="C17173">
        <f>ROMAN(17172)</f>
        <v/>
      </c>
      <c r="D17173">
        <f>IF(B17173=C17173, "YES", "WRONG")</f>
        <v/>
      </c>
    </row>
    <row r="17174">
      <c r="A17174" t="n">
        <v>17173</v>
      </c>
      <c r="B17174" t="inlineStr">
        <is>
          <t>x̄V̅MMCLXXIII</t>
        </is>
      </c>
      <c r="C17174">
        <f>ROMAN(17173)</f>
        <v/>
      </c>
      <c r="D17174">
        <f>IF(B17174=C17174, "YES", "WRONG")</f>
        <v/>
      </c>
    </row>
    <row r="17175">
      <c r="A17175" t="n">
        <v>17174</v>
      </c>
      <c r="B17175" t="inlineStr">
        <is>
          <t>x̄V̅MMCLXXIV</t>
        </is>
      </c>
      <c r="C17175">
        <f>ROMAN(17174)</f>
        <v/>
      </c>
      <c r="D17175">
        <f>IF(B17175=C17175, "YES", "WRONG")</f>
        <v/>
      </c>
    </row>
    <row r="17176">
      <c r="A17176" t="n">
        <v>17175</v>
      </c>
      <c r="B17176" t="inlineStr">
        <is>
          <t>x̄V̅MMCLXXV</t>
        </is>
      </c>
      <c r="C17176">
        <f>ROMAN(17175)</f>
        <v/>
      </c>
      <c r="D17176">
        <f>IF(B17176=C17176, "YES", "WRONG")</f>
        <v/>
      </c>
    </row>
    <row r="17177">
      <c r="A17177" t="n">
        <v>17176</v>
      </c>
      <c r="B17177" t="inlineStr">
        <is>
          <t>x̄V̅MMCLXXVI</t>
        </is>
      </c>
      <c r="C17177">
        <f>ROMAN(17176)</f>
        <v/>
      </c>
      <c r="D17177">
        <f>IF(B17177=C17177, "YES", "WRONG")</f>
        <v/>
      </c>
    </row>
    <row r="17178">
      <c r="A17178" t="n">
        <v>17177</v>
      </c>
      <c r="B17178" t="inlineStr">
        <is>
          <t>x̄V̅MMCLXXVII</t>
        </is>
      </c>
      <c r="C17178">
        <f>ROMAN(17177)</f>
        <v/>
      </c>
      <c r="D17178">
        <f>IF(B17178=C17178, "YES", "WRONG")</f>
        <v/>
      </c>
    </row>
    <row r="17179">
      <c r="A17179" t="n">
        <v>17178</v>
      </c>
      <c r="B17179" t="inlineStr">
        <is>
          <t>x̄V̅MMCLXXVIII</t>
        </is>
      </c>
      <c r="C17179">
        <f>ROMAN(17178)</f>
        <v/>
      </c>
      <c r="D17179">
        <f>IF(B17179=C17179, "YES", "WRONG")</f>
        <v/>
      </c>
    </row>
    <row r="17180">
      <c r="A17180" t="n">
        <v>17179</v>
      </c>
      <c r="B17180" t="inlineStr">
        <is>
          <t>x̄V̅MMCLXXIX</t>
        </is>
      </c>
      <c r="C17180">
        <f>ROMAN(17179)</f>
        <v/>
      </c>
      <c r="D17180">
        <f>IF(B17180=C17180, "YES", "WRONG")</f>
        <v/>
      </c>
    </row>
    <row r="17181">
      <c r="A17181" t="n">
        <v>17180</v>
      </c>
      <c r="B17181" t="inlineStr">
        <is>
          <t>x̄V̅MMCLXXX</t>
        </is>
      </c>
      <c r="C17181">
        <f>ROMAN(17180)</f>
        <v/>
      </c>
      <c r="D17181">
        <f>IF(B17181=C17181, "YES", "WRONG")</f>
        <v/>
      </c>
    </row>
    <row r="17182">
      <c r="A17182" t="n">
        <v>17181</v>
      </c>
      <c r="B17182" t="inlineStr">
        <is>
          <t>x̄V̅MMCLXXXI</t>
        </is>
      </c>
      <c r="C17182">
        <f>ROMAN(17181)</f>
        <v/>
      </c>
      <c r="D17182">
        <f>IF(B17182=C17182, "YES", "WRONG")</f>
        <v/>
      </c>
    </row>
    <row r="17183">
      <c r="A17183" t="n">
        <v>17182</v>
      </c>
      <c r="B17183" t="inlineStr">
        <is>
          <t>x̄V̅MMCLXXXII</t>
        </is>
      </c>
      <c r="C17183">
        <f>ROMAN(17182)</f>
        <v/>
      </c>
      <c r="D17183">
        <f>IF(B17183=C17183, "YES", "WRONG")</f>
        <v/>
      </c>
    </row>
    <row r="17184">
      <c r="A17184" t="n">
        <v>17183</v>
      </c>
      <c r="B17184" t="inlineStr">
        <is>
          <t>x̄V̅MMCLXXXIII</t>
        </is>
      </c>
      <c r="C17184">
        <f>ROMAN(17183)</f>
        <v/>
      </c>
      <c r="D17184">
        <f>IF(B17184=C17184, "YES", "WRONG")</f>
        <v/>
      </c>
    </row>
    <row r="17185">
      <c r="A17185" t="n">
        <v>17184</v>
      </c>
      <c r="B17185" t="inlineStr">
        <is>
          <t>x̄V̅MMCLXXXIV</t>
        </is>
      </c>
      <c r="C17185">
        <f>ROMAN(17184)</f>
        <v/>
      </c>
      <c r="D17185">
        <f>IF(B17185=C17185, "YES", "WRONG")</f>
        <v/>
      </c>
    </row>
    <row r="17186">
      <c r="A17186" t="n">
        <v>17185</v>
      </c>
      <c r="B17186" t="inlineStr">
        <is>
          <t>x̄V̅MMCLXXXV</t>
        </is>
      </c>
      <c r="C17186">
        <f>ROMAN(17185)</f>
        <v/>
      </c>
      <c r="D17186">
        <f>IF(B17186=C17186, "YES", "WRONG")</f>
        <v/>
      </c>
    </row>
    <row r="17187">
      <c r="A17187" t="n">
        <v>17186</v>
      </c>
      <c r="B17187" t="inlineStr">
        <is>
          <t>x̄V̅MMCLXXXVI</t>
        </is>
      </c>
      <c r="C17187">
        <f>ROMAN(17186)</f>
        <v/>
      </c>
      <c r="D17187">
        <f>IF(B17187=C17187, "YES", "WRONG")</f>
        <v/>
      </c>
    </row>
    <row r="17188">
      <c r="A17188" t="n">
        <v>17187</v>
      </c>
      <c r="B17188" t="inlineStr">
        <is>
          <t>x̄V̅MMCLXXXVII</t>
        </is>
      </c>
      <c r="C17188">
        <f>ROMAN(17187)</f>
        <v/>
      </c>
      <c r="D17188">
        <f>IF(B17188=C17188, "YES", "WRONG")</f>
        <v/>
      </c>
    </row>
    <row r="17189">
      <c r="A17189" t="n">
        <v>17188</v>
      </c>
      <c r="B17189" t="inlineStr">
        <is>
          <t>x̄V̅MMCLXXXVIII</t>
        </is>
      </c>
      <c r="C17189">
        <f>ROMAN(17188)</f>
        <v/>
      </c>
      <c r="D17189">
        <f>IF(B17189=C17189, "YES", "WRONG")</f>
        <v/>
      </c>
    </row>
    <row r="17190">
      <c r="A17190" t="n">
        <v>17189</v>
      </c>
      <c r="B17190" t="inlineStr">
        <is>
          <t>x̄V̅MMCLXXXIX</t>
        </is>
      </c>
      <c r="C17190">
        <f>ROMAN(17189)</f>
        <v/>
      </c>
      <c r="D17190">
        <f>IF(B17190=C17190, "YES", "WRONG")</f>
        <v/>
      </c>
    </row>
    <row r="17191">
      <c r="A17191" t="n">
        <v>17190</v>
      </c>
      <c r="B17191" t="inlineStr">
        <is>
          <t>x̄V̅MMCXC</t>
        </is>
      </c>
      <c r="C17191">
        <f>ROMAN(17190)</f>
        <v/>
      </c>
      <c r="D17191">
        <f>IF(B17191=C17191, "YES", "WRONG")</f>
        <v/>
      </c>
    </row>
    <row r="17192">
      <c r="A17192" t="n">
        <v>17191</v>
      </c>
      <c r="B17192" t="inlineStr">
        <is>
          <t>x̄V̅MMCXCI</t>
        </is>
      </c>
      <c r="C17192">
        <f>ROMAN(17191)</f>
        <v/>
      </c>
      <c r="D17192">
        <f>IF(B17192=C17192, "YES", "WRONG")</f>
        <v/>
      </c>
    </row>
    <row r="17193">
      <c r="A17193" t="n">
        <v>17192</v>
      </c>
      <c r="B17193" t="inlineStr">
        <is>
          <t>x̄V̅MMCXCII</t>
        </is>
      </c>
      <c r="C17193">
        <f>ROMAN(17192)</f>
        <v/>
      </c>
      <c r="D17193">
        <f>IF(B17193=C17193, "YES", "WRONG")</f>
        <v/>
      </c>
    </row>
    <row r="17194">
      <c r="A17194" t="n">
        <v>17193</v>
      </c>
      <c r="B17194" t="inlineStr">
        <is>
          <t>x̄V̅MMCXCIII</t>
        </is>
      </c>
      <c r="C17194">
        <f>ROMAN(17193)</f>
        <v/>
      </c>
      <c r="D17194">
        <f>IF(B17194=C17194, "YES", "WRONG")</f>
        <v/>
      </c>
    </row>
    <row r="17195">
      <c r="A17195" t="n">
        <v>17194</v>
      </c>
      <c r="B17195" t="inlineStr">
        <is>
          <t>x̄V̅MMCXCIV</t>
        </is>
      </c>
      <c r="C17195">
        <f>ROMAN(17194)</f>
        <v/>
      </c>
      <c r="D17195">
        <f>IF(B17195=C17195, "YES", "WRONG")</f>
        <v/>
      </c>
    </row>
    <row r="17196">
      <c r="A17196" t="n">
        <v>17195</v>
      </c>
      <c r="B17196" t="inlineStr">
        <is>
          <t>x̄V̅MMCXCV</t>
        </is>
      </c>
      <c r="C17196">
        <f>ROMAN(17195)</f>
        <v/>
      </c>
      <c r="D17196">
        <f>IF(B17196=C17196, "YES", "WRONG")</f>
        <v/>
      </c>
    </row>
    <row r="17197">
      <c r="A17197" t="n">
        <v>17196</v>
      </c>
      <c r="B17197" t="inlineStr">
        <is>
          <t>x̄V̅MMCXCVI</t>
        </is>
      </c>
      <c r="C17197">
        <f>ROMAN(17196)</f>
        <v/>
      </c>
      <c r="D17197">
        <f>IF(B17197=C17197, "YES", "WRONG")</f>
        <v/>
      </c>
    </row>
    <row r="17198">
      <c r="A17198" t="n">
        <v>17197</v>
      </c>
      <c r="B17198" t="inlineStr">
        <is>
          <t>x̄V̅MMCXCVII</t>
        </is>
      </c>
      <c r="C17198">
        <f>ROMAN(17197)</f>
        <v/>
      </c>
      <c r="D17198">
        <f>IF(B17198=C17198, "YES", "WRONG")</f>
        <v/>
      </c>
    </row>
    <row r="17199">
      <c r="A17199" t="n">
        <v>17198</v>
      </c>
      <c r="B17199" t="inlineStr">
        <is>
          <t>x̄V̅MMCXCVIII</t>
        </is>
      </c>
      <c r="C17199">
        <f>ROMAN(17198)</f>
        <v/>
      </c>
      <c r="D17199">
        <f>IF(B17199=C17199, "YES", "WRONG")</f>
        <v/>
      </c>
    </row>
    <row r="17200">
      <c r="A17200" t="n">
        <v>17199</v>
      </c>
      <c r="B17200" t="inlineStr">
        <is>
          <t>x̄V̅MMCXCIX</t>
        </is>
      </c>
      <c r="C17200">
        <f>ROMAN(17199)</f>
        <v/>
      </c>
      <c r="D17200">
        <f>IF(B17200=C17200, "YES", "WRONG")</f>
        <v/>
      </c>
    </row>
    <row r="17201">
      <c r="A17201" t="n">
        <v>17200</v>
      </c>
      <c r="B17201" t="inlineStr">
        <is>
          <t>x̄V̅MMCC</t>
        </is>
      </c>
      <c r="C17201">
        <f>ROMAN(17200)</f>
        <v/>
      </c>
      <c r="D17201">
        <f>IF(B17201=C17201, "YES", "WRONG")</f>
        <v/>
      </c>
    </row>
    <row r="17202">
      <c r="A17202" t="n">
        <v>17201</v>
      </c>
      <c r="B17202" t="inlineStr">
        <is>
          <t>x̄V̅MMCCI</t>
        </is>
      </c>
      <c r="C17202">
        <f>ROMAN(17201)</f>
        <v/>
      </c>
      <c r="D17202">
        <f>IF(B17202=C17202, "YES", "WRONG")</f>
        <v/>
      </c>
    </row>
    <row r="17203">
      <c r="A17203" t="n">
        <v>17202</v>
      </c>
      <c r="B17203" t="inlineStr">
        <is>
          <t>x̄V̅MMCCII</t>
        </is>
      </c>
      <c r="C17203">
        <f>ROMAN(17202)</f>
        <v/>
      </c>
      <c r="D17203">
        <f>IF(B17203=C17203, "YES", "WRONG")</f>
        <v/>
      </c>
    </row>
    <row r="17204">
      <c r="A17204" t="n">
        <v>17203</v>
      </c>
      <c r="B17204" t="inlineStr">
        <is>
          <t>x̄V̅MMCCIII</t>
        </is>
      </c>
      <c r="C17204">
        <f>ROMAN(17203)</f>
        <v/>
      </c>
      <c r="D17204">
        <f>IF(B17204=C17204, "YES", "WRONG")</f>
        <v/>
      </c>
    </row>
    <row r="17205">
      <c r="A17205" t="n">
        <v>17204</v>
      </c>
      <c r="B17205" t="inlineStr">
        <is>
          <t>x̄V̅MMCCIV</t>
        </is>
      </c>
      <c r="C17205">
        <f>ROMAN(17204)</f>
        <v/>
      </c>
      <c r="D17205">
        <f>IF(B17205=C17205, "YES", "WRONG")</f>
        <v/>
      </c>
    </row>
    <row r="17206">
      <c r="A17206" t="n">
        <v>17205</v>
      </c>
      <c r="B17206" t="inlineStr">
        <is>
          <t>x̄V̅MMCCV</t>
        </is>
      </c>
      <c r="C17206">
        <f>ROMAN(17205)</f>
        <v/>
      </c>
      <c r="D17206">
        <f>IF(B17206=C17206, "YES", "WRONG")</f>
        <v/>
      </c>
    </row>
    <row r="17207">
      <c r="A17207" t="n">
        <v>17206</v>
      </c>
      <c r="B17207" t="inlineStr">
        <is>
          <t>x̄V̅MMCCVI</t>
        </is>
      </c>
      <c r="C17207">
        <f>ROMAN(17206)</f>
        <v/>
      </c>
      <c r="D17207">
        <f>IF(B17207=C17207, "YES", "WRONG")</f>
        <v/>
      </c>
    </row>
    <row r="17208">
      <c r="A17208" t="n">
        <v>17207</v>
      </c>
      <c r="B17208" t="inlineStr">
        <is>
          <t>x̄V̅MMCCVII</t>
        </is>
      </c>
      <c r="C17208">
        <f>ROMAN(17207)</f>
        <v/>
      </c>
      <c r="D17208">
        <f>IF(B17208=C17208, "YES", "WRONG")</f>
        <v/>
      </c>
    </row>
    <row r="17209">
      <c r="A17209" t="n">
        <v>17208</v>
      </c>
      <c r="B17209" t="inlineStr">
        <is>
          <t>x̄V̅MMCCVIII</t>
        </is>
      </c>
      <c r="C17209">
        <f>ROMAN(17208)</f>
        <v/>
      </c>
      <c r="D17209">
        <f>IF(B17209=C17209, "YES", "WRONG")</f>
        <v/>
      </c>
    </row>
    <row r="17210">
      <c r="A17210" t="n">
        <v>17209</v>
      </c>
      <c r="B17210" t="inlineStr">
        <is>
          <t>x̄V̅MMCCIX</t>
        </is>
      </c>
      <c r="C17210">
        <f>ROMAN(17209)</f>
        <v/>
      </c>
      <c r="D17210">
        <f>IF(B17210=C17210, "YES", "WRONG")</f>
        <v/>
      </c>
    </row>
    <row r="17211">
      <c r="A17211" t="n">
        <v>17210</v>
      </c>
      <c r="B17211" t="inlineStr">
        <is>
          <t>x̄V̅MMCCX</t>
        </is>
      </c>
      <c r="C17211">
        <f>ROMAN(17210)</f>
        <v/>
      </c>
      <c r="D17211">
        <f>IF(B17211=C17211, "YES", "WRONG")</f>
        <v/>
      </c>
    </row>
    <row r="17212">
      <c r="A17212" t="n">
        <v>17211</v>
      </c>
      <c r="B17212" t="inlineStr">
        <is>
          <t>x̄V̅MMCCXI</t>
        </is>
      </c>
      <c r="C17212">
        <f>ROMAN(17211)</f>
        <v/>
      </c>
      <c r="D17212">
        <f>IF(B17212=C17212, "YES", "WRONG")</f>
        <v/>
      </c>
    </row>
    <row r="17213">
      <c r="A17213" t="n">
        <v>17212</v>
      </c>
      <c r="B17213" t="inlineStr">
        <is>
          <t>x̄V̅MMCCXII</t>
        </is>
      </c>
      <c r="C17213">
        <f>ROMAN(17212)</f>
        <v/>
      </c>
      <c r="D17213">
        <f>IF(B17213=C17213, "YES", "WRONG")</f>
        <v/>
      </c>
    </row>
    <row r="17214">
      <c r="A17214" t="n">
        <v>17213</v>
      </c>
      <c r="B17214" t="inlineStr">
        <is>
          <t>x̄V̅MMCCXIII</t>
        </is>
      </c>
      <c r="C17214">
        <f>ROMAN(17213)</f>
        <v/>
      </c>
      <c r="D17214">
        <f>IF(B17214=C17214, "YES", "WRONG")</f>
        <v/>
      </c>
    </row>
    <row r="17215">
      <c r="A17215" t="n">
        <v>17214</v>
      </c>
      <c r="B17215" t="inlineStr">
        <is>
          <t>x̄V̅MMCCXIV</t>
        </is>
      </c>
      <c r="C17215">
        <f>ROMAN(17214)</f>
        <v/>
      </c>
      <c r="D17215">
        <f>IF(B17215=C17215, "YES", "WRONG")</f>
        <v/>
      </c>
    </row>
    <row r="17216">
      <c r="A17216" t="n">
        <v>17215</v>
      </c>
      <c r="B17216" t="inlineStr">
        <is>
          <t>x̄V̅MMCCXV</t>
        </is>
      </c>
      <c r="C17216">
        <f>ROMAN(17215)</f>
        <v/>
      </c>
      <c r="D17216">
        <f>IF(B17216=C17216, "YES", "WRONG")</f>
        <v/>
      </c>
    </row>
    <row r="17217">
      <c r="A17217" t="n">
        <v>17216</v>
      </c>
      <c r="B17217" t="inlineStr">
        <is>
          <t>x̄V̅MMCCXVI</t>
        </is>
      </c>
      <c r="C17217">
        <f>ROMAN(17216)</f>
        <v/>
      </c>
      <c r="D17217">
        <f>IF(B17217=C17217, "YES", "WRONG")</f>
        <v/>
      </c>
    </row>
    <row r="17218">
      <c r="A17218" t="n">
        <v>17217</v>
      </c>
      <c r="B17218" t="inlineStr">
        <is>
          <t>x̄V̅MMCCXVII</t>
        </is>
      </c>
      <c r="C17218">
        <f>ROMAN(17217)</f>
        <v/>
      </c>
      <c r="D17218">
        <f>IF(B17218=C17218, "YES", "WRONG")</f>
        <v/>
      </c>
    </row>
    <row r="17219">
      <c r="A17219" t="n">
        <v>17218</v>
      </c>
      <c r="B17219" t="inlineStr">
        <is>
          <t>x̄V̅MMCCXVIII</t>
        </is>
      </c>
      <c r="C17219">
        <f>ROMAN(17218)</f>
        <v/>
      </c>
      <c r="D17219">
        <f>IF(B17219=C17219, "YES", "WRONG")</f>
        <v/>
      </c>
    </row>
    <row r="17220">
      <c r="A17220" t="n">
        <v>17219</v>
      </c>
      <c r="B17220" t="inlineStr">
        <is>
          <t>x̄V̅MMCCXIX</t>
        </is>
      </c>
      <c r="C17220">
        <f>ROMAN(17219)</f>
        <v/>
      </c>
      <c r="D17220">
        <f>IF(B17220=C17220, "YES", "WRONG")</f>
        <v/>
      </c>
    </row>
    <row r="17221">
      <c r="A17221" t="n">
        <v>17220</v>
      </c>
      <c r="B17221" t="inlineStr">
        <is>
          <t>x̄V̅MMCCXX</t>
        </is>
      </c>
      <c r="C17221">
        <f>ROMAN(17220)</f>
        <v/>
      </c>
      <c r="D17221">
        <f>IF(B17221=C17221, "YES", "WRONG")</f>
        <v/>
      </c>
    </row>
    <row r="17222">
      <c r="A17222" t="n">
        <v>17221</v>
      </c>
      <c r="B17222" t="inlineStr">
        <is>
          <t>x̄V̅MMCCXXI</t>
        </is>
      </c>
      <c r="C17222">
        <f>ROMAN(17221)</f>
        <v/>
      </c>
      <c r="D17222">
        <f>IF(B17222=C17222, "YES", "WRONG")</f>
        <v/>
      </c>
    </row>
    <row r="17223">
      <c r="A17223" t="n">
        <v>17222</v>
      </c>
      <c r="B17223" t="inlineStr">
        <is>
          <t>x̄V̅MMCCXXII</t>
        </is>
      </c>
      <c r="C17223">
        <f>ROMAN(17222)</f>
        <v/>
      </c>
      <c r="D17223">
        <f>IF(B17223=C17223, "YES", "WRONG")</f>
        <v/>
      </c>
    </row>
    <row r="17224">
      <c r="A17224" t="n">
        <v>17223</v>
      </c>
      <c r="B17224" t="inlineStr">
        <is>
          <t>x̄V̅MMCCXXIII</t>
        </is>
      </c>
      <c r="C17224">
        <f>ROMAN(17223)</f>
        <v/>
      </c>
      <c r="D17224">
        <f>IF(B17224=C17224, "YES", "WRONG")</f>
        <v/>
      </c>
    </row>
    <row r="17225">
      <c r="A17225" t="n">
        <v>17224</v>
      </c>
      <c r="B17225" t="inlineStr">
        <is>
          <t>x̄V̅MMCCXXIV</t>
        </is>
      </c>
      <c r="C17225">
        <f>ROMAN(17224)</f>
        <v/>
      </c>
      <c r="D17225">
        <f>IF(B17225=C17225, "YES", "WRONG")</f>
        <v/>
      </c>
    </row>
    <row r="17226">
      <c r="A17226" t="n">
        <v>17225</v>
      </c>
      <c r="B17226" t="inlineStr">
        <is>
          <t>x̄V̅MMCCXXV</t>
        </is>
      </c>
      <c r="C17226">
        <f>ROMAN(17225)</f>
        <v/>
      </c>
      <c r="D17226">
        <f>IF(B17226=C17226, "YES", "WRONG")</f>
        <v/>
      </c>
    </row>
    <row r="17227">
      <c r="A17227" t="n">
        <v>17226</v>
      </c>
      <c r="B17227" t="inlineStr">
        <is>
          <t>x̄V̅MMCCXXVI</t>
        </is>
      </c>
      <c r="C17227">
        <f>ROMAN(17226)</f>
        <v/>
      </c>
      <c r="D17227">
        <f>IF(B17227=C17227, "YES", "WRONG")</f>
        <v/>
      </c>
    </row>
    <row r="17228">
      <c r="A17228" t="n">
        <v>17227</v>
      </c>
      <c r="B17228" t="inlineStr">
        <is>
          <t>x̄V̅MMCCXXVII</t>
        </is>
      </c>
      <c r="C17228">
        <f>ROMAN(17227)</f>
        <v/>
      </c>
      <c r="D17228">
        <f>IF(B17228=C17228, "YES", "WRONG")</f>
        <v/>
      </c>
    </row>
    <row r="17229">
      <c r="A17229" t="n">
        <v>17228</v>
      </c>
      <c r="B17229" t="inlineStr">
        <is>
          <t>x̄V̅MMCCXXVIII</t>
        </is>
      </c>
      <c r="C17229">
        <f>ROMAN(17228)</f>
        <v/>
      </c>
      <c r="D17229">
        <f>IF(B17229=C17229, "YES", "WRONG")</f>
        <v/>
      </c>
    </row>
    <row r="17230">
      <c r="A17230" t="n">
        <v>17229</v>
      </c>
      <c r="B17230" t="inlineStr">
        <is>
          <t>x̄V̅MMCCXXIX</t>
        </is>
      </c>
      <c r="C17230">
        <f>ROMAN(17229)</f>
        <v/>
      </c>
      <c r="D17230">
        <f>IF(B17230=C17230, "YES", "WRONG")</f>
        <v/>
      </c>
    </row>
    <row r="17231">
      <c r="A17231" t="n">
        <v>17230</v>
      </c>
      <c r="B17231" t="inlineStr">
        <is>
          <t>x̄V̅MMCCXXX</t>
        </is>
      </c>
      <c r="C17231">
        <f>ROMAN(17230)</f>
        <v/>
      </c>
      <c r="D17231">
        <f>IF(B17231=C17231, "YES", "WRONG")</f>
        <v/>
      </c>
    </row>
    <row r="17232">
      <c r="A17232" t="n">
        <v>17231</v>
      </c>
      <c r="B17232" t="inlineStr">
        <is>
          <t>x̄V̅MMCCXXXI</t>
        </is>
      </c>
      <c r="C17232">
        <f>ROMAN(17231)</f>
        <v/>
      </c>
      <c r="D17232">
        <f>IF(B17232=C17232, "YES", "WRONG")</f>
        <v/>
      </c>
    </row>
    <row r="17233">
      <c r="A17233" t="n">
        <v>17232</v>
      </c>
      <c r="B17233" t="inlineStr">
        <is>
          <t>x̄V̅MMCCXXXII</t>
        </is>
      </c>
      <c r="C17233">
        <f>ROMAN(17232)</f>
        <v/>
      </c>
      <c r="D17233">
        <f>IF(B17233=C17233, "YES", "WRONG")</f>
        <v/>
      </c>
    </row>
    <row r="17234">
      <c r="A17234" t="n">
        <v>17233</v>
      </c>
      <c r="B17234" t="inlineStr">
        <is>
          <t>x̄V̅MMCCXXXIII</t>
        </is>
      </c>
      <c r="C17234">
        <f>ROMAN(17233)</f>
        <v/>
      </c>
      <c r="D17234">
        <f>IF(B17234=C17234, "YES", "WRONG")</f>
        <v/>
      </c>
    </row>
    <row r="17235">
      <c r="A17235" t="n">
        <v>17234</v>
      </c>
      <c r="B17235" t="inlineStr">
        <is>
          <t>x̄V̅MMCCXXXIV</t>
        </is>
      </c>
      <c r="C17235">
        <f>ROMAN(17234)</f>
        <v/>
      </c>
      <c r="D17235">
        <f>IF(B17235=C17235, "YES", "WRONG")</f>
        <v/>
      </c>
    </row>
    <row r="17236">
      <c r="A17236" t="n">
        <v>17235</v>
      </c>
      <c r="B17236" t="inlineStr">
        <is>
          <t>x̄V̅MMCCXXXV</t>
        </is>
      </c>
      <c r="C17236">
        <f>ROMAN(17235)</f>
        <v/>
      </c>
      <c r="D17236">
        <f>IF(B17236=C17236, "YES", "WRONG")</f>
        <v/>
      </c>
    </row>
    <row r="17237">
      <c r="A17237" t="n">
        <v>17236</v>
      </c>
      <c r="B17237" t="inlineStr">
        <is>
          <t>x̄V̅MMCCXXXVI</t>
        </is>
      </c>
      <c r="C17237">
        <f>ROMAN(17236)</f>
        <v/>
      </c>
      <c r="D17237">
        <f>IF(B17237=C17237, "YES", "WRONG")</f>
        <v/>
      </c>
    </row>
    <row r="17238">
      <c r="A17238" t="n">
        <v>17237</v>
      </c>
      <c r="B17238" t="inlineStr">
        <is>
          <t>x̄V̅MMCCXXXVII</t>
        </is>
      </c>
      <c r="C17238">
        <f>ROMAN(17237)</f>
        <v/>
      </c>
      <c r="D17238">
        <f>IF(B17238=C17238, "YES", "WRONG")</f>
        <v/>
      </c>
    </row>
    <row r="17239">
      <c r="A17239" t="n">
        <v>17238</v>
      </c>
      <c r="B17239" t="inlineStr">
        <is>
          <t>x̄V̅MMCCXXXVIII</t>
        </is>
      </c>
      <c r="C17239">
        <f>ROMAN(17238)</f>
        <v/>
      </c>
      <c r="D17239">
        <f>IF(B17239=C17239, "YES", "WRONG")</f>
        <v/>
      </c>
    </row>
    <row r="17240">
      <c r="A17240" t="n">
        <v>17239</v>
      </c>
      <c r="B17240" t="inlineStr">
        <is>
          <t>x̄V̅MMCCXXXIX</t>
        </is>
      </c>
      <c r="C17240">
        <f>ROMAN(17239)</f>
        <v/>
      </c>
      <c r="D17240">
        <f>IF(B17240=C17240, "YES", "WRONG")</f>
        <v/>
      </c>
    </row>
    <row r="17241">
      <c r="A17241" t="n">
        <v>17240</v>
      </c>
      <c r="B17241" t="inlineStr">
        <is>
          <t>x̄V̅MMCCXL</t>
        </is>
      </c>
      <c r="C17241">
        <f>ROMAN(17240)</f>
        <v/>
      </c>
      <c r="D17241">
        <f>IF(B17241=C17241, "YES", "WRONG")</f>
        <v/>
      </c>
    </row>
    <row r="17242">
      <c r="A17242" t="n">
        <v>17241</v>
      </c>
      <c r="B17242" t="inlineStr">
        <is>
          <t>x̄V̅MMCCXLI</t>
        </is>
      </c>
      <c r="C17242">
        <f>ROMAN(17241)</f>
        <v/>
      </c>
      <c r="D17242">
        <f>IF(B17242=C17242, "YES", "WRONG")</f>
        <v/>
      </c>
    </row>
    <row r="17243">
      <c r="A17243" t="n">
        <v>17242</v>
      </c>
      <c r="B17243" t="inlineStr">
        <is>
          <t>x̄V̅MMCCXLII</t>
        </is>
      </c>
      <c r="C17243">
        <f>ROMAN(17242)</f>
        <v/>
      </c>
      <c r="D17243">
        <f>IF(B17243=C17243, "YES", "WRONG")</f>
        <v/>
      </c>
    </row>
    <row r="17244">
      <c r="A17244" t="n">
        <v>17243</v>
      </c>
      <c r="B17244" t="inlineStr">
        <is>
          <t>x̄V̅MMCCXLIII</t>
        </is>
      </c>
      <c r="C17244">
        <f>ROMAN(17243)</f>
        <v/>
      </c>
      <c r="D17244">
        <f>IF(B17244=C17244, "YES", "WRONG")</f>
        <v/>
      </c>
    </row>
    <row r="17245">
      <c r="A17245" t="n">
        <v>17244</v>
      </c>
      <c r="B17245" t="inlineStr">
        <is>
          <t>x̄V̅MMCCXLIV</t>
        </is>
      </c>
      <c r="C17245">
        <f>ROMAN(17244)</f>
        <v/>
      </c>
      <c r="D17245">
        <f>IF(B17245=C17245, "YES", "WRONG")</f>
        <v/>
      </c>
    </row>
    <row r="17246">
      <c r="A17246" t="n">
        <v>17245</v>
      </c>
      <c r="B17246" t="inlineStr">
        <is>
          <t>x̄V̅MMCCXLV</t>
        </is>
      </c>
      <c r="C17246">
        <f>ROMAN(17245)</f>
        <v/>
      </c>
      <c r="D17246">
        <f>IF(B17246=C17246, "YES", "WRONG")</f>
        <v/>
      </c>
    </row>
    <row r="17247">
      <c r="A17247" t="n">
        <v>17246</v>
      </c>
      <c r="B17247" t="inlineStr">
        <is>
          <t>x̄V̅MMCCXLVI</t>
        </is>
      </c>
      <c r="C17247">
        <f>ROMAN(17246)</f>
        <v/>
      </c>
      <c r="D17247">
        <f>IF(B17247=C17247, "YES", "WRONG")</f>
        <v/>
      </c>
    </row>
    <row r="17248">
      <c r="A17248" t="n">
        <v>17247</v>
      </c>
      <c r="B17248" t="inlineStr">
        <is>
          <t>x̄V̅MMCCXLVII</t>
        </is>
      </c>
      <c r="C17248">
        <f>ROMAN(17247)</f>
        <v/>
      </c>
      <c r="D17248">
        <f>IF(B17248=C17248, "YES", "WRONG")</f>
        <v/>
      </c>
    </row>
    <row r="17249">
      <c r="A17249" t="n">
        <v>17248</v>
      </c>
      <c r="B17249" t="inlineStr">
        <is>
          <t>x̄V̅MMCCXLVIII</t>
        </is>
      </c>
      <c r="C17249">
        <f>ROMAN(17248)</f>
        <v/>
      </c>
      <c r="D17249">
        <f>IF(B17249=C17249, "YES", "WRONG")</f>
        <v/>
      </c>
    </row>
    <row r="17250">
      <c r="A17250" t="n">
        <v>17249</v>
      </c>
      <c r="B17250" t="inlineStr">
        <is>
          <t>x̄V̅MMCCXLIX</t>
        </is>
      </c>
      <c r="C17250">
        <f>ROMAN(17249)</f>
        <v/>
      </c>
      <c r="D17250">
        <f>IF(B17250=C17250, "YES", "WRONG")</f>
        <v/>
      </c>
    </row>
    <row r="17251">
      <c r="A17251" t="n">
        <v>17250</v>
      </c>
      <c r="B17251" t="inlineStr">
        <is>
          <t>x̄V̅MMCCL</t>
        </is>
      </c>
      <c r="C17251">
        <f>ROMAN(17250)</f>
        <v/>
      </c>
      <c r="D17251">
        <f>IF(B17251=C17251, "YES", "WRONG")</f>
        <v/>
      </c>
    </row>
    <row r="17252">
      <c r="A17252" t="n">
        <v>17251</v>
      </c>
      <c r="B17252" t="inlineStr">
        <is>
          <t>x̄V̅MMCCLI</t>
        </is>
      </c>
      <c r="C17252">
        <f>ROMAN(17251)</f>
        <v/>
      </c>
      <c r="D17252">
        <f>IF(B17252=C17252, "YES", "WRONG")</f>
        <v/>
      </c>
    </row>
    <row r="17253">
      <c r="A17253" t="n">
        <v>17252</v>
      </c>
      <c r="B17253" t="inlineStr">
        <is>
          <t>x̄V̅MMCCLII</t>
        </is>
      </c>
      <c r="C17253">
        <f>ROMAN(17252)</f>
        <v/>
      </c>
      <c r="D17253">
        <f>IF(B17253=C17253, "YES", "WRONG")</f>
        <v/>
      </c>
    </row>
    <row r="17254">
      <c r="A17254" t="n">
        <v>17253</v>
      </c>
      <c r="B17254" t="inlineStr">
        <is>
          <t>x̄V̅MMCCLIII</t>
        </is>
      </c>
      <c r="C17254">
        <f>ROMAN(17253)</f>
        <v/>
      </c>
      <c r="D17254">
        <f>IF(B17254=C17254, "YES", "WRONG")</f>
        <v/>
      </c>
    </row>
    <row r="17255">
      <c r="A17255" t="n">
        <v>17254</v>
      </c>
      <c r="B17255" t="inlineStr">
        <is>
          <t>x̄V̅MMCCLIV</t>
        </is>
      </c>
      <c r="C17255">
        <f>ROMAN(17254)</f>
        <v/>
      </c>
      <c r="D17255">
        <f>IF(B17255=C17255, "YES", "WRONG")</f>
        <v/>
      </c>
    </row>
    <row r="17256">
      <c r="A17256" t="n">
        <v>17255</v>
      </c>
      <c r="B17256" t="inlineStr">
        <is>
          <t>x̄V̅MMCCLV</t>
        </is>
      </c>
      <c r="C17256">
        <f>ROMAN(17255)</f>
        <v/>
      </c>
      <c r="D17256">
        <f>IF(B17256=C17256, "YES", "WRONG")</f>
        <v/>
      </c>
    </row>
    <row r="17257">
      <c r="A17257" t="n">
        <v>17256</v>
      </c>
      <c r="B17257" t="inlineStr">
        <is>
          <t>x̄V̅MMCCLVI</t>
        </is>
      </c>
      <c r="C17257">
        <f>ROMAN(17256)</f>
        <v/>
      </c>
      <c r="D17257">
        <f>IF(B17257=C17257, "YES", "WRONG")</f>
        <v/>
      </c>
    </row>
    <row r="17258">
      <c r="A17258" t="n">
        <v>17257</v>
      </c>
      <c r="B17258" t="inlineStr">
        <is>
          <t>x̄V̅MMCCLVII</t>
        </is>
      </c>
      <c r="C17258">
        <f>ROMAN(17257)</f>
        <v/>
      </c>
      <c r="D17258">
        <f>IF(B17258=C17258, "YES", "WRONG")</f>
        <v/>
      </c>
    </row>
    <row r="17259">
      <c r="A17259" t="n">
        <v>17258</v>
      </c>
      <c r="B17259" t="inlineStr">
        <is>
          <t>x̄V̅MMCCLVIII</t>
        </is>
      </c>
      <c r="C17259">
        <f>ROMAN(17258)</f>
        <v/>
      </c>
      <c r="D17259">
        <f>IF(B17259=C17259, "YES", "WRONG")</f>
        <v/>
      </c>
    </row>
    <row r="17260">
      <c r="A17260" t="n">
        <v>17259</v>
      </c>
      <c r="B17260" t="inlineStr">
        <is>
          <t>x̄V̅MMCCLIX</t>
        </is>
      </c>
      <c r="C17260">
        <f>ROMAN(17259)</f>
        <v/>
      </c>
      <c r="D17260">
        <f>IF(B17260=C17260, "YES", "WRONG")</f>
        <v/>
      </c>
    </row>
    <row r="17261">
      <c r="A17261" t="n">
        <v>17260</v>
      </c>
      <c r="B17261" t="inlineStr">
        <is>
          <t>x̄V̅MMCCLX</t>
        </is>
      </c>
      <c r="C17261">
        <f>ROMAN(17260)</f>
        <v/>
      </c>
      <c r="D17261">
        <f>IF(B17261=C17261, "YES", "WRONG")</f>
        <v/>
      </c>
    </row>
    <row r="17262">
      <c r="A17262" t="n">
        <v>17261</v>
      </c>
      <c r="B17262" t="inlineStr">
        <is>
          <t>x̄V̅MMCCLXI</t>
        </is>
      </c>
      <c r="C17262">
        <f>ROMAN(17261)</f>
        <v/>
      </c>
      <c r="D17262">
        <f>IF(B17262=C17262, "YES", "WRONG")</f>
        <v/>
      </c>
    </row>
    <row r="17263">
      <c r="A17263" t="n">
        <v>17262</v>
      </c>
      <c r="B17263" t="inlineStr">
        <is>
          <t>x̄V̅MMCCLXII</t>
        </is>
      </c>
      <c r="C17263">
        <f>ROMAN(17262)</f>
        <v/>
      </c>
      <c r="D17263">
        <f>IF(B17263=C17263, "YES", "WRONG")</f>
        <v/>
      </c>
    </row>
    <row r="17264">
      <c r="A17264" t="n">
        <v>17263</v>
      </c>
      <c r="B17264" t="inlineStr">
        <is>
          <t>x̄V̅MMCCLXIII</t>
        </is>
      </c>
      <c r="C17264">
        <f>ROMAN(17263)</f>
        <v/>
      </c>
      <c r="D17264">
        <f>IF(B17264=C17264, "YES", "WRONG")</f>
        <v/>
      </c>
    </row>
    <row r="17265">
      <c r="A17265" t="n">
        <v>17264</v>
      </c>
      <c r="B17265" t="inlineStr">
        <is>
          <t>x̄V̅MMCCLXIV</t>
        </is>
      </c>
      <c r="C17265">
        <f>ROMAN(17264)</f>
        <v/>
      </c>
      <c r="D17265">
        <f>IF(B17265=C17265, "YES", "WRONG")</f>
        <v/>
      </c>
    </row>
    <row r="17266">
      <c r="A17266" t="n">
        <v>17265</v>
      </c>
      <c r="B17266" t="inlineStr">
        <is>
          <t>x̄V̅MMCCLXV</t>
        </is>
      </c>
      <c r="C17266">
        <f>ROMAN(17265)</f>
        <v/>
      </c>
      <c r="D17266">
        <f>IF(B17266=C17266, "YES", "WRONG")</f>
        <v/>
      </c>
    </row>
    <row r="17267">
      <c r="A17267" t="n">
        <v>17266</v>
      </c>
      <c r="B17267" t="inlineStr">
        <is>
          <t>x̄V̅MMCCLXVI</t>
        </is>
      </c>
      <c r="C17267">
        <f>ROMAN(17266)</f>
        <v/>
      </c>
      <c r="D17267">
        <f>IF(B17267=C17267, "YES", "WRONG")</f>
        <v/>
      </c>
    </row>
    <row r="17268">
      <c r="A17268" t="n">
        <v>17267</v>
      </c>
      <c r="B17268" t="inlineStr">
        <is>
          <t>x̄V̅MMCCLXVII</t>
        </is>
      </c>
      <c r="C17268">
        <f>ROMAN(17267)</f>
        <v/>
      </c>
      <c r="D17268">
        <f>IF(B17268=C17268, "YES", "WRONG")</f>
        <v/>
      </c>
    </row>
    <row r="17269">
      <c r="A17269" t="n">
        <v>17268</v>
      </c>
      <c r="B17269" t="inlineStr">
        <is>
          <t>x̄V̅MMCCLXVIII</t>
        </is>
      </c>
      <c r="C17269">
        <f>ROMAN(17268)</f>
        <v/>
      </c>
      <c r="D17269">
        <f>IF(B17269=C17269, "YES", "WRONG")</f>
        <v/>
      </c>
    </row>
    <row r="17270">
      <c r="A17270" t="n">
        <v>17269</v>
      </c>
      <c r="B17270" t="inlineStr">
        <is>
          <t>x̄V̅MMCCLXIX</t>
        </is>
      </c>
      <c r="C17270">
        <f>ROMAN(17269)</f>
        <v/>
      </c>
      <c r="D17270">
        <f>IF(B17270=C17270, "YES", "WRONG")</f>
        <v/>
      </c>
    </row>
    <row r="17271">
      <c r="A17271" t="n">
        <v>17270</v>
      </c>
      <c r="B17271" t="inlineStr">
        <is>
          <t>x̄V̅MMCCLXX</t>
        </is>
      </c>
      <c r="C17271">
        <f>ROMAN(17270)</f>
        <v/>
      </c>
      <c r="D17271">
        <f>IF(B17271=C17271, "YES", "WRONG")</f>
        <v/>
      </c>
    </row>
    <row r="17272">
      <c r="A17272" t="n">
        <v>17271</v>
      </c>
      <c r="B17272" t="inlineStr">
        <is>
          <t>x̄V̅MMCCLXXI</t>
        </is>
      </c>
      <c r="C17272">
        <f>ROMAN(17271)</f>
        <v/>
      </c>
      <c r="D17272">
        <f>IF(B17272=C17272, "YES", "WRONG")</f>
        <v/>
      </c>
    </row>
    <row r="17273">
      <c r="A17273" t="n">
        <v>17272</v>
      </c>
      <c r="B17273" t="inlineStr">
        <is>
          <t>x̄V̅MMCCLXXII</t>
        </is>
      </c>
      <c r="C17273">
        <f>ROMAN(17272)</f>
        <v/>
      </c>
      <c r="D17273">
        <f>IF(B17273=C17273, "YES", "WRONG")</f>
        <v/>
      </c>
    </row>
    <row r="17274">
      <c r="A17274" t="n">
        <v>17273</v>
      </c>
      <c r="B17274" t="inlineStr">
        <is>
          <t>x̄V̅MMCCLXXIII</t>
        </is>
      </c>
      <c r="C17274">
        <f>ROMAN(17273)</f>
        <v/>
      </c>
      <c r="D17274">
        <f>IF(B17274=C17274, "YES", "WRONG")</f>
        <v/>
      </c>
    </row>
    <row r="17275">
      <c r="A17275" t="n">
        <v>17274</v>
      </c>
      <c r="B17275" t="inlineStr">
        <is>
          <t>x̄V̅MMCCLXXIV</t>
        </is>
      </c>
      <c r="C17275">
        <f>ROMAN(17274)</f>
        <v/>
      </c>
      <c r="D17275">
        <f>IF(B17275=C17275, "YES", "WRONG")</f>
        <v/>
      </c>
    </row>
    <row r="17276">
      <c r="A17276" t="n">
        <v>17275</v>
      </c>
      <c r="B17276" t="inlineStr">
        <is>
          <t>x̄V̅MMCCLXXV</t>
        </is>
      </c>
      <c r="C17276">
        <f>ROMAN(17275)</f>
        <v/>
      </c>
      <c r="D17276">
        <f>IF(B17276=C17276, "YES", "WRONG")</f>
        <v/>
      </c>
    </row>
    <row r="17277">
      <c r="A17277" t="n">
        <v>17276</v>
      </c>
      <c r="B17277" t="inlineStr">
        <is>
          <t>x̄V̅MMCCLXXVI</t>
        </is>
      </c>
      <c r="C17277">
        <f>ROMAN(17276)</f>
        <v/>
      </c>
      <c r="D17277">
        <f>IF(B17277=C17277, "YES", "WRONG")</f>
        <v/>
      </c>
    </row>
    <row r="17278">
      <c r="A17278" t="n">
        <v>17277</v>
      </c>
      <c r="B17278" t="inlineStr">
        <is>
          <t>x̄V̅MMCCLXXVII</t>
        </is>
      </c>
      <c r="C17278">
        <f>ROMAN(17277)</f>
        <v/>
      </c>
      <c r="D17278">
        <f>IF(B17278=C17278, "YES", "WRONG")</f>
        <v/>
      </c>
    </row>
    <row r="17279">
      <c r="A17279" t="n">
        <v>17278</v>
      </c>
      <c r="B17279" t="inlineStr">
        <is>
          <t>x̄V̅MMCCLXXVIII</t>
        </is>
      </c>
      <c r="C17279">
        <f>ROMAN(17278)</f>
        <v/>
      </c>
      <c r="D17279">
        <f>IF(B17279=C17279, "YES", "WRONG")</f>
        <v/>
      </c>
    </row>
    <row r="17280">
      <c r="A17280" t="n">
        <v>17279</v>
      </c>
      <c r="B17280" t="inlineStr">
        <is>
          <t>x̄V̅MMCCLXXIX</t>
        </is>
      </c>
      <c r="C17280">
        <f>ROMAN(17279)</f>
        <v/>
      </c>
      <c r="D17280">
        <f>IF(B17280=C17280, "YES", "WRONG")</f>
        <v/>
      </c>
    </row>
    <row r="17281">
      <c r="A17281" t="n">
        <v>17280</v>
      </c>
      <c r="B17281" t="inlineStr">
        <is>
          <t>x̄V̅MMCCLXXX</t>
        </is>
      </c>
      <c r="C17281">
        <f>ROMAN(17280)</f>
        <v/>
      </c>
      <c r="D17281">
        <f>IF(B17281=C17281, "YES", "WRONG")</f>
        <v/>
      </c>
    </row>
    <row r="17282">
      <c r="A17282" t="n">
        <v>17281</v>
      </c>
      <c r="B17282" t="inlineStr">
        <is>
          <t>x̄V̅MMCCLXXXI</t>
        </is>
      </c>
      <c r="C17282">
        <f>ROMAN(17281)</f>
        <v/>
      </c>
      <c r="D17282">
        <f>IF(B17282=C17282, "YES", "WRONG")</f>
        <v/>
      </c>
    </row>
    <row r="17283">
      <c r="A17283" t="n">
        <v>17282</v>
      </c>
      <c r="B17283" t="inlineStr">
        <is>
          <t>x̄V̅MMCCLXXXII</t>
        </is>
      </c>
      <c r="C17283">
        <f>ROMAN(17282)</f>
        <v/>
      </c>
      <c r="D17283">
        <f>IF(B17283=C17283, "YES", "WRONG")</f>
        <v/>
      </c>
    </row>
    <row r="17284">
      <c r="A17284" t="n">
        <v>17283</v>
      </c>
      <c r="B17284" t="inlineStr">
        <is>
          <t>x̄V̅MMCCLXXXIII</t>
        </is>
      </c>
      <c r="C17284">
        <f>ROMAN(17283)</f>
        <v/>
      </c>
      <c r="D17284">
        <f>IF(B17284=C17284, "YES", "WRONG")</f>
        <v/>
      </c>
    </row>
    <row r="17285">
      <c r="A17285" t="n">
        <v>17284</v>
      </c>
      <c r="B17285" t="inlineStr">
        <is>
          <t>x̄V̅MMCCLXXXIV</t>
        </is>
      </c>
      <c r="C17285">
        <f>ROMAN(17284)</f>
        <v/>
      </c>
      <c r="D17285">
        <f>IF(B17285=C17285, "YES", "WRONG")</f>
        <v/>
      </c>
    </row>
    <row r="17286">
      <c r="A17286" t="n">
        <v>17285</v>
      </c>
      <c r="B17286" t="inlineStr">
        <is>
          <t>x̄V̅MMCCLXXXV</t>
        </is>
      </c>
      <c r="C17286">
        <f>ROMAN(17285)</f>
        <v/>
      </c>
      <c r="D17286">
        <f>IF(B17286=C17286, "YES", "WRONG")</f>
        <v/>
      </c>
    </row>
    <row r="17287">
      <c r="A17287" t="n">
        <v>17286</v>
      </c>
      <c r="B17287" t="inlineStr">
        <is>
          <t>x̄V̅MMCCLXXXVI</t>
        </is>
      </c>
      <c r="C17287">
        <f>ROMAN(17286)</f>
        <v/>
      </c>
      <c r="D17287">
        <f>IF(B17287=C17287, "YES", "WRONG")</f>
        <v/>
      </c>
    </row>
    <row r="17288">
      <c r="A17288" t="n">
        <v>17287</v>
      </c>
      <c r="B17288" t="inlineStr">
        <is>
          <t>x̄V̅MMCCLXXXVII</t>
        </is>
      </c>
      <c r="C17288">
        <f>ROMAN(17287)</f>
        <v/>
      </c>
      <c r="D17288">
        <f>IF(B17288=C17288, "YES", "WRONG")</f>
        <v/>
      </c>
    </row>
    <row r="17289">
      <c r="A17289" t="n">
        <v>17288</v>
      </c>
      <c r="B17289" t="inlineStr">
        <is>
          <t>x̄V̅MMCCLXXXVIII</t>
        </is>
      </c>
      <c r="C17289">
        <f>ROMAN(17288)</f>
        <v/>
      </c>
      <c r="D17289">
        <f>IF(B17289=C17289, "YES", "WRONG")</f>
        <v/>
      </c>
    </row>
    <row r="17290">
      <c r="A17290" t="n">
        <v>17289</v>
      </c>
      <c r="B17290" t="inlineStr">
        <is>
          <t>x̄V̅MMCCLXXXIX</t>
        </is>
      </c>
      <c r="C17290">
        <f>ROMAN(17289)</f>
        <v/>
      </c>
      <c r="D17290">
        <f>IF(B17290=C17290, "YES", "WRONG")</f>
        <v/>
      </c>
    </row>
    <row r="17291">
      <c r="A17291" t="n">
        <v>17290</v>
      </c>
      <c r="B17291" t="inlineStr">
        <is>
          <t>x̄V̅MMCCXC</t>
        </is>
      </c>
      <c r="C17291">
        <f>ROMAN(17290)</f>
        <v/>
      </c>
      <c r="D17291">
        <f>IF(B17291=C17291, "YES", "WRONG")</f>
        <v/>
      </c>
    </row>
    <row r="17292">
      <c r="A17292" t="n">
        <v>17291</v>
      </c>
      <c r="B17292" t="inlineStr">
        <is>
          <t>x̄V̅MMCCXCI</t>
        </is>
      </c>
      <c r="C17292">
        <f>ROMAN(17291)</f>
        <v/>
      </c>
      <c r="D17292">
        <f>IF(B17292=C17292, "YES", "WRONG")</f>
        <v/>
      </c>
    </row>
    <row r="17293">
      <c r="A17293" t="n">
        <v>17292</v>
      </c>
      <c r="B17293" t="inlineStr">
        <is>
          <t>x̄V̅MMCCXCII</t>
        </is>
      </c>
      <c r="C17293">
        <f>ROMAN(17292)</f>
        <v/>
      </c>
      <c r="D17293">
        <f>IF(B17293=C17293, "YES", "WRONG")</f>
        <v/>
      </c>
    </row>
    <row r="17294">
      <c r="A17294" t="n">
        <v>17293</v>
      </c>
      <c r="B17294" t="inlineStr">
        <is>
          <t>x̄V̅MMCCXCIII</t>
        </is>
      </c>
      <c r="C17294">
        <f>ROMAN(17293)</f>
        <v/>
      </c>
      <c r="D17294">
        <f>IF(B17294=C17294, "YES", "WRONG")</f>
        <v/>
      </c>
    </row>
    <row r="17295">
      <c r="A17295" t="n">
        <v>17294</v>
      </c>
      <c r="B17295" t="inlineStr">
        <is>
          <t>x̄V̅MMCCXCIV</t>
        </is>
      </c>
      <c r="C17295">
        <f>ROMAN(17294)</f>
        <v/>
      </c>
      <c r="D17295">
        <f>IF(B17295=C17295, "YES", "WRONG")</f>
        <v/>
      </c>
    </row>
    <row r="17296">
      <c r="A17296" t="n">
        <v>17295</v>
      </c>
      <c r="B17296" t="inlineStr">
        <is>
          <t>x̄V̅MMCCXCV</t>
        </is>
      </c>
      <c r="C17296">
        <f>ROMAN(17295)</f>
        <v/>
      </c>
      <c r="D17296">
        <f>IF(B17296=C17296, "YES", "WRONG")</f>
        <v/>
      </c>
    </row>
    <row r="17297">
      <c r="A17297" t="n">
        <v>17296</v>
      </c>
      <c r="B17297" t="inlineStr">
        <is>
          <t>x̄V̅MMCCXCVI</t>
        </is>
      </c>
      <c r="C17297">
        <f>ROMAN(17296)</f>
        <v/>
      </c>
      <c r="D17297">
        <f>IF(B17297=C17297, "YES", "WRONG")</f>
        <v/>
      </c>
    </row>
    <row r="17298">
      <c r="A17298" t="n">
        <v>17297</v>
      </c>
      <c r="B17298" t="inlineStr">
        <is>
          <t>x̄V̅MMCCXCVII</t>
        </is>
      </c>
      <c r="C17298">
        <f>ROMAN(17297)</f>
        <v/>
      </c>
      <c r="D17298">
        <f>IF(B17298=C17298, "YES", "WRONG")</f>
        <v/>
      </c>
    </row>
    <row r="17299">
      <c r="A17299" t="n">
        <v>17298</v>
      </c>
      <c r="B17299" t="inlineStr">
        <is>
          <t>x̄V̅MMCCXCVIII</t>
        </is>
      </c>
      <c r="C17299">
        <f>ROMAN(17298)</f>
        <v/>
      </c>
      <c r="D17299">
        <f>IF(B17299=C17299, "YES", "WRONG")</f>
        <v/>
      </c>
    </row>
    <row r="17300">
      <c r="A17300" t="n">
        <v>17299</v>
      </c>
      <c r="B17300" t="inlineStr">
        <is>
          <t>x̄V̅MMCCXCIX</t>
        </is>
      </c>
      <c r="C17300">
        <f>ROMAN(17299)</f>
        <v/>
      </c>
      <c r="D17300">
        <f>IF(B17300=C17300, "YES", "WRONG")</f>
        <v/>
      </c>
    </row>
    <row r="17301">
      <c r="A17301" t="n">
        <v>17300</v>
      </c>
      <c r="B17301" t="inlineStr">
        <is>
          <t>x̄V̅MMCCC</t>
        </is>
      </c>
      <c r="C17301">
        <f>ROMAN(17300)</f>
        <v/>
      </c>
      <c r="D17301">
        <f>IF(B17301=C17301, "YES", "WRONG")</f>
        <v/>
      </c>
    </row>
    <row r="17302">
      <c r="A17302" t="n">
        <v>17301</v>
      </c>
      <c r="B17302" t="inlineStr">
        <is>
          <t>x̄V̅MMCCCI</t>
        </is>
      </c>
      <c r="C17302">
        <f>ROMAN(17301)</f>
        <v/>
      </c>
      <c r="D17302">
        <f>IF(B17302=C17302, "YES", "WRONG")</f>
        <v/>
      </c>
    </row>
    <row r="17303">
      <c r="A17303" t="n">
        <v>17302</v>
      </c>
      <c r="B17303" t="inlineStr">
        <is>
          <t>x̄V̅MMCCCII</t>
        </is>
      </c>
      <c r="C17303">
        <f>ROMAN(17302)</f>
        <v/>
      </c>
      <c r="D17303">
        <f>IF(B17303=C17303, "YES", "WRONG")</f>
        <v/>
      </c>
    </row>
    <row r="17304">
      <c r="A17304" t="n">
        <v>17303</v>
      </c>
      <c r="B17304" t="inlineStr">
        <is>
          <t>x̄V̅MMCCCIII</t>
        </is>
      </c>
      <c r="C17304">
        <f>ROMAN(17303)</f>
        <v/>
      </c>
      <c r="D17304">
        <f>IF(B17304=C17304, "YES", "WRONG")</f>
        <v/>
      </c>
    </row>
    <row r="17305">
      <c r="A17305" t="n">
        <v>17304</v>
      </c>
      <c r="B17305" t="inlineStr">
        <is>
          <t>x̄V̅MMCCCIV</t>
        </is>
      </c>
      <c r="C17305">
        <f>ROMAN(17304)</f>
        <v/>
      </c>
      <c r="D17305">
        <f>IF(B17305=C17305, "YES", "WRONG")</f>
        <v/>
      </c>
    </row>
    <row r="17306">
      <c r="A17306" t="n">
        <v>17305</v>
      </c>
      <c r="B17306" t="inlineStr">
        <is>
          <t>x̄V̅MMCCCV</t>
        </is>
      </c>
      <c r="C17306">
        <f>ROMAN(17305)</f>
        <v/>
      </c>
      <c r="D17306">
        <f>IF(B17306=C17306, "YES", "WRONG")</f>
        <v/>
      </c>
    </row>
    <row r="17307">
      <c r="A17307" t="n">
        <v>17306</v>
      </c>
      <c r="B17307" t="inlineStr">
        <is>
          <t>x̄V̅MMCCCVI</t>
        </is>
      </c>
      <c r="C17307">
        <f>ROMAN(17306)</f>
        <v/>
      </c>
      <c r="D17307">
        <f>IF(B17307=C17307, "YES", "WRONG")</f>
        <v/>
      </c>
    </row>
    <row r="17308">
      <c r="A17308" t="n">
        <v>17307</v>
      </c>
      <c r="B17308" t="inlineStr">
        <is>
          <t>x̄V̅MMCCCVII</t>
        </is>
      </c>
      <c r="C17308">
        <f>ROMAN(17307)</f>
        <v/>
      </c>
      <c r="D17308">
        <f>IF(B17308=C17308, "YES", "WRONG")</f>
        <v/>
      </c>
    </row>
    <row r="17309">
      <c r="A17309" t="n">
        <v>17308</v>
      </c>
      <c r="B17309" t="inlineStr">
        <is>
          <t>x̄V̅MMCCCVIII</t>
        </is>
      </c>
      <c r="C17309">
        <f>ROMAN(17308)</f>
        <v/>
      </c>
      <c r="D17309">
        <f>IF(B17309=C17309, "YES", "WRONG")</f>
        <v/>
      </c>
    </row>
    <row r="17310">
      <c r="A17310" t="n">
        <v>17309</v>
      </c>
      <c r="B17310" t="inlineStr">
        <is>
          <t>x̄V̅MMCCCIX</t>
        </is>
      </c>
      <c r="C17310">
        <f>ROMAN(17309)</f>
        <v/>
      </c>
      <c r="D17310">
        <f>IF(B17310=C17310, "YES", "WRONG")</f>
        <v/>
      </c>
    </row>
    <row r="17311">
      <c r="A17311" t="n">
        <v>17310</v>
      </c>
      <c r="B17311" t="inlineStr">
        <is>
          <t>x̄V̅MMCCCX</t>
        </is>
      </c>
      <c r="C17311">
        <f>ROMAN(17310)</f>
        <v/>
      </c>
      <c r="D17311">
        <f>IF(B17311=C17311, "YES", "WRONG")</f>
        <v/>
      </c>
    </row>
    <row r="17312">
      <c r="A17312" t="n">
        <v>17311</v>
      </c>
      <c r="B17312" t="inlineStr">
        <is>
          <t>x̄V̅MMCCCXI</t>
        </is>
      </c>
      <c r="C17312">
        <f>ROMAN(17311)</f>
        <v/>
      </c>
      <c r="D17312">
        <f>IF(B17312=C17312, "YES", "WRONG")</f>
        <v/>
      </c>
    </row>
    <row r="17313">
      <c r="A17313" t="n">
        <v>17312</v>
      </c>
      <c r="B17313" t="inlineStr">
        <is>
          <t>x̄V̅MMCCCXII</t>
        </is>
      </c>
      <c r="C17313">
        <f>ROMAN(17312)</f>
        <v/>
      </c>
      <c r="D17313">
        <f>IF(B17313=C17313, "YES", "WRONG")</f>
        <v/>
      </c>
    </row>
    <row r="17314">
      <c r="A17314" t="n">
        <v>17313</v>
      </c>
      <c r="B17314" t="inlineStr">
        <is>
          <t>x̄V̅MMCCCXIII</t>
        </is>
      </c>
      <c r="C17314">
        <f>ROMAN(17313)</f>
        <v/>
      </c>
      <c r="D17314">
        <f>IF(B17314=C17314, "YES", "WRONG")</f>
        <v/>
      </c>
    </row>
    <row r="17315">
      <c r="A17315" t="n">
        <v>17314</v>
      </c>
      <c r="B17315" t="inlineStr">
        <is>
          <t>x̄V̅MMCCCXIV</t>
        </is>
      </c>
      <c r="C17315">
        <f>ROMAN(17314)</f>
        <v/>
      </c>
      <c r="D17315">
        <f>IF(B17315=C17315, "YES", "WRONG")</f>
        <v/>
      </c>
    </row>
    <row r="17316">
      <c r="A17316" t="n">
        <v>17315</v>
      </c>
      <c r="B17316" t="inlineStr">
        <is>
          <t>x̄V̅MMCCCXV</t>
        </is>
      </c>
      <c r="C17316">
        <f>ROMAN(17315)</f>
        <v/>
      </c>
      <c r="D17316">
        <f>IF(B17316=C17316, "YES", "WRONG")</f>
        <v/>
      </c>
    </row>
    <row r="17317">
      <c r="A17317" t="n">
        <v>17316</v>
      </c>
      <c r="B17317" t="inlineStr">
        <is>
          <t>x̄V̅MMCCCXVI</t>
        </is>
      </c>
      <c r="C17317">
        <f>ROMAN(17316)</f>
        <v/>
      </c>
      <c r="D17317">
        <f>IF(B17317=C17317, "YES", "WRONG")</f>
        <v/>
      </c>
    </row>
    <row r="17318">
      <c r="A17318" t="n">
        <v>17317</v>
      </c>
      <c r="B17318" t="inlineStr">
        <is>
          <t>x̄V̅MMCCCXVII</t>
        </is>
      </c>
      <c r="C17318">
        <f>ROMAN(17317)</f>
        <v/>
      </c>
      <c r="D17318">
        <f>IF(B17318=C17318, "YES", "WRONG")</f>
        <v/>
      </c>
    </row>
    <row r="17319">
      <c r="A17319" t="n">
        <v>17318</v>
      </c>
      <c r="B17319" t="inlineStr">
        <is>
          <t>x̄V̅MMCCCXVIII</t>
        </is>
      </c>
      <c r="C17319">
        <f>ROMAN(17318)</f>
        <v/>
      </c>
      <c r="D17319">
        <f>IF(B17319=C17319, "YES", "WRONG")</f>
        <v/>
      </c>
    </row>
    <row r="17320">
      <c r="A17320" t="n">
        <v>17319</v>
      </c>
      <c r="B17320" t="inlineStr">
        <is>
          <t>x̄V̅MMCCCXIX</t>
        </is>
      </c>
      <c r="C17320">
        <f>ROMAN(17319)</f>
        <v/>
      </c>
      <c r="D17320">
        <f>IF(B17320=C17320, "YES", "WRONG")</f>
        <v/>
      </c>
    </row>
    <row r="17321">
      <c r="A17321" t="n">
        <v>17320</v>
      </c>
      <c r="B17321" t="inlineStr">
        <is>
          <t>x̄V̅MMCCCXX</t>
        </is>
      </c>
      <c r="C17321">
        <f>ROMAN(17320)</f>
        <v/>
      </c>
      <c r="D17321">
        <f>IF(B17321=C17321, "YES", "WRONG")</f>
        <v/>
      </c>
    </row>
    <row r="17322">
      <c r="A17322" t="n">
        <v>17321</v>
      </c>
      <c r="B17322" t="inlineStr">
        <is>
          <t>x̄V̅MMCCCXXI</t>
        </is>
      </c>
      <c r="C17322">
        <f>ROMAN(17321)</f>
        <v/>
      </c>
      <c r="D17322">
        <f>IF(B17322=C17322, "YES", "WRONG")</f>
        <v/>
      </c>
    </row>
    <row r="17323">
      <c r="A17323" t="n">
        <v>17322</v>
      </c>
      <c r="B17323" t="inlineStr">
        <is>
          <t>x̄V̅MMCCCXXII</t>
        </is>
      </c>
      <c r="C17323">
        <f>ROMAN(17322)</f>
        <v/>
      </c>
      <c r="D17323">
        <f>IF(B17323=C17323, "YES", "WRONG")</f>
        <v/>
      </c>
    </row>
    <row r="17324">
      <c r="A17324" t="n">
        <v>17323</v>
      </c>
      <c r="B17324" t="inlineStr">
        <is>
          <t>x̄V̅MMCCCXXIII</t>
        </is>
      </c>
      <c r="C17324">
        <f>ROMAN(17323)</f>
        <v/>
      </c>
      <c r="D17324">
        <f>IF(B17324=C17324, "YES", "WRONG")</f>
        <v/>
      </c>
    </row>
    <row r="17325">
      <c r="A17325" t="n">
        <v>17324</v>
      </c>
      <c r="B17325" t="inlineStr">
        <is>
          <t>x̄V̅MMCCCXXIV</t>
        </is>
      </c>
      <c r="C17325">
        <f>ROMAN(17324)</f>
        <v/>
      </c>
      <c r="D17325">
        <f>IF(B17325=C17325, "YES", "WRONG")</f>
        <v/>
      </c>
    </row>
    <row r="17326">
      <c r="A17326" t="n">
        <v>17325</v>
      </c>
      <c r="B17326" t="inlineStr">
        <is>
          <t>x̄V̅MMCCCXXV</t>
        </is>
      </c>
      <c r="C17326">
        <f>ROMAN(17325)</f>
        <v/>
      </c>
      <c r="D17326">
        <f>IF(B17326=C17326, "YES", "WRONG")</f>
        <v/>
      </c>
    </row>
    <row r="17327">
      <c r="A17327" t="n">
        <v>17326</v>
      </c>
      <c r="B17327" t="inlineStr">
        <is>
          <t>x̄V̅MMCCCXXVI</t>
        </is>
      </c>
      <c r="C17327">
        <f>ROMAN(17326)</f>
        <v/>
      </c>
      <c r="D17327">
        <f>IF(B17327=C17327, "YES", "WRONG")</f>
        <v/>
      </c>
    </row>
    <row r="17328">
      <c r="A17328" t="n">
        <v>17327</v>
      </c>
      <c r="B17328" t="inlineStr">
        <is>
          <t>x̄V̅MMCCCXXVII</t>
        </is>
      </c>
      <c r="C17328">
        <f>ROMAN(17327)</f>
        <v/>
      </c>
      <c r="D17328">
        <f>IF(B17328=C17328, "YES", "WRONG")</f>
        <v/>
      </c>
    </row>
    <row r="17329">
      <c r="A17329" t="n">
        <v>17328</v>
      </c>
      <c r="B17329" t="inlineStr">
        <is>
          <t>x̄V̅MMCCCXXVIII</t>
        </is>
      </c>
      <c r="C17329">
        <f>ROMAN(17328)</f>
        <v/>
      </c>
      <c r="D17329">
        <f>IF(B17329=C17329, "YES", "WRONG")</f>
        <v/>
      </c>
    </row>
    <row r="17330">
      <c r="A17330" t="n">
        <v>17329</v>
      </c>
      <c r="B17330" t="inlineStr">
        <is>
          <t>x̄V̅MMCCCXXIX</t>
        </is>
      </c>
      <c r="C17330">
        <f>ROMAN(17329)</f>
        <v/>
      </c>
      <c r="D17330">
        <f>IF(B17330=C17330, "YES", "WRONG")</f>
        <v/>
      </c>
    </row>
    <row r="17331">
      <c r="A17331" t="n">
        <v>17330</v>
      </c>
      <c r="B17331" t="inlineStr">
        <is>
          <t>x̄V̅MMCCCXXX</t>
        </is>
      </c>
      <c r="C17331">
        <f>ROMAN(17330)</f>
        <v/>
      </c>
      <c r="D17331">
        <f>IF(B17331=C17331, "YES", "WRONG")</f>
        <v/>
      </c>
    </row>
    <row r="17332">
      <c r="A17332" t="n">
        <v>17331</v>
      </c>
      <c r="B17332" t="inlineStr">
        <is>
          <t>x̄V̅MMCCCXXXI</t>
        </is>
      </c>
      <c r="C17332">
        <f>ROMAN(17331)</f>
        <v/>
      </c>
      <c r="D17332">
        <f>IF(B17332=C17332, "YES", "WRONG")</f>
        <v/>
      </c>
    </row>
    <row r="17333">
      <c r="A17333" t="n">
        <v>17332</v>
      </c>
      <c r="B17333" t="inlineStr">
        <is>
          <t>x̄V̅MMCCCXXXII</t>
        </is>
      </c>
      <c r="C17333">
        <f>ROMAN(17332)</f>
        <v/>
      </c>
      <c r="D17333">
        <f>IF(B17333=C17333, "YES", "WRONG")</f>
        <v/>
      </c>
    </row>
    <row r="17334">
      <c r="A17334" t="n">
        <v>17333</v>
      </c>
      <c r="B17334" t="inlineStr">
        <is>
          <t>x̄V̅MMCCCXXXIII</t>
        </is>
      </c>
      <c r="C17334">
        <f>ROMAN(17333)</f>
        <v/>
      </c>
      <c r="D17334">
        <f>IF(B17334=C17334, "YES", "WRONG")</f>
        <v/>
      </c>
    </row>
    <row r="17335">
      <c r="A17335" t="n">
        <v>17334</v>
      </c>
      <c r="B17335" t="inlineStr">
        <is>
          <t>x̄V̅MMCCCXXXIV</t>
        </is>
      </c>
      <c r="C17335">
        <f>ROMAN(17334)</f>
        <v/>
      </c>
      <c r="D17335">
        <f>IF(B17335=C17335, "YES", "WRONG")</f>
        <v/>
      </c>
    </row>
    <row r="17336">
      <c r="A17336" t="n">
        <v>17335</v>
      </c>
      <c r="B17336" t="inlineStr">
        <is>
          <t>x̄V̅MMCCCXXXV</t>
        </is>
      </c>
      <c r="C17336">
        <f>ROMAN(17335)</f>
        <v/>
      </c>
      <c r="D17336">
        <f>IF(B17336=C17336, "YES", "WRONG")</f>
        <v/>
      </c>
    </row>
    <row r="17337">
      <c r="A17337" t="n">
        <v>17336</v>
      </c>
      <c r="B17337" t="inlineStr">
        <is>
          <t>x̄V̅MMCCCXXXVI</t>
        </is>
      </c>
      <c r="C17337">
        <f>ROMAN(17336)</f>
        <v/>
      </c>
      <c r="D17337">
        <f>IF(B17337=C17337, "YES", "WRONG")</f>
        <v/>
      </c>
    </row>
    <row r="17338">
      <c r="A17338" t="n">
        <v>17337</v>
      </c>
      <c r="B17338" t="inlineStr">
        <is>
          <t>x̄V̅MMCCCXXXVII</t>
        </is>
      </c>
      <c r="C17338">
        <f>ROMAN(17337)</f>
        <v/>
      </c>
      <c r="D17338">
        <f>IF(B17338=C17338, "YES", "WRONG")</f>
        <v/>
      </c>
    </row>
    <row r="17339">
      <c r="A17339" t="n">
        <v>17338</v>
      </c>
      <c r="B17339" t="inlineStr">
        <is>
          <t>x̄V̅MMCCCXXXVIII</t>
        </is>
      </c>
      <c r="C17339">
        <f>ROMAN(17338)</f>
        <v/>
      </c>
      <c r="D17339">
        <f>IF(B17339=C17339, "YES", "WRONG")</f>
        <v/>
      </c>
    </row>
    <row r="17340">
      <c r="A17340" t="n">
        <v>17339</v>
      </c>
      <c r="B17340" t="inlineStr">
        <is>
          <t>x̄V̅MMCCCXXXIX</t>
        </is>
      </c>
      <c r="C17340">
        <f>ROMAN(17339)</f>
        <v/>
      </c>
      <c r="D17340">
        <f>IF(B17340=C17340, "YES", "WRONG")</f>
        <v/>
      </c>
    </row>
    <row r="17341">
      <c r="A17341" t="n">
        <v>17340</v>
      </c>
      <c r="B17341" t="inlineStr">
        <is>
          <t>x̄V̅MMCCCXL</t>
        </is>
      </c>
      <c r="C17341">
        <f>ROMAN(17340)</f>
        <v/>
      </c>
      <c r="D17341">
        <f>IF(B17341=C17341, "YES", "WRONG")</f>
        <v/>
      </c>
    </row>
    <row r="17342">
      <c r="A17342" t="n">
        <v>17341</v>
      </c>
      <c r="B17342" t="inlineStr">
        <is>
          <t>x̄V̅MMCCCXLI</t>
        </is>
      </c>
      <c r="C17342">
        <f>ROMAN(17341)</f>
        <v/>
      </c>
      <c r="D17342">
        <f>IF(B17342=C17342, "YES", "WRONG")</f>
        <v/>
      </c>
    </row>
    <row r="17343">
      <c r="A17343" t="n">
        <v>17342</v>
      </c>
      <c r="B17343" t="inlineStr">
        <is>
          <t>x̄V̅MMCCCXLII</t>
        </is>
      </c>
      <c r="C17343">
        <f>ROMAN(17342)</f>
        <v/>
      </c>
      <c r="D17343">
        <f>IF(B17343=C17343, "YES", "WRONG")</f>
        <v/>
      </c>
    </row>
    <row r="17344">
      <c r="A17344" t="n">
        <v>17343</v>
      </c>
      <c r="B17344" t="inlineStr">
        <is>
          <t>x̄V̅MMCCCXLIII</t>
        </is>
      </c>
      <c r="C17344">
        <f>ROMAN(17343)</f>
        <v/>
      </c>
      <c r="D17344">
        <f>IF(B17344=C17344, "YES", "WRONG")</f>
        <v/>
      </c>
    </row>
    <row r="17345">
      <c r="A17345" t="n">
        <v>17344</v>
      </c>
      <c r="B17345" t="inlineStr">
        <is>
          <t>x̄V̅MMCCCXLIV</t>
        </is>
      </c>
      <c r="C17345">
        <f>ROMAN(17344)</f>
        <v/>
      </c>
      <c r="D17345">
        <f>IF(B17345=C17345, "YES", "WRONG")</f>
        <v/>
      </c>
    </row>
    <row r="17346">
      <c r="A17346" t="n">
        <v>17345</v>
      </c>
      <c r="B17346" t="inlineStr">
        <is>
          <t>x̄V̅MMCCCXLV</t>
        </is>
      </c>
      <c r="C17346">
        <f>ROMAN(17345)</f>
        <v/>
      </c>
      <c r="D17346">
        <f>IF(B17346=C17346, "YES", "WRONG")</f>
        <v/>
      </c>
    </row>
    <row r="17347">
      <c r="A17347" t="n">
        <v>17346</v>
      </c>
      <c r="B17347" t="inlineStr">
        <is>
          <t>x̄V̅MMCCCXLVI</t>
        </is>
      </c>
      <c r="C17347">
        <f>ROMAN(17346)</f>
        <v/>
      </c>
      <c r="D17347">
        <f>IF(B17347=C17347, "YES", "WRONG")</f>
        <v/>
      </c>
    </row>
    <row r="17348">
      <c r="A17348" t="n">
        <v>17347</v>
      </c>
      <c r="B17348" t="inlineStr">
        <is>
          <t>x̄V̅MMCCCXLVII</t>
        </is>
      </c>
      <c r="C17348">
        <f>ROMAN(17347)</f>
        <v/>
      </c>
      <c r="D17348">
        <f>IF(B17348=C17348, "YES", "WRONG")</f>
        <v/>
      </c>
    </row>
    <row r="17349">
      <c r="A17349" t="n">
        <v>17348</v>
      </c>
      <c r="B17349" t="inlineStr">
        <is>
          <t>x̄V̅MMCCCXLVIII</t>
        </is>
      </c>
      <c r="C17349">
        <f>ROMAN(17348)</f>
        <v/>
      </c>
      <c r="D17349">
        <f>IF(B17349=C17349, "YES", "WRONG")</f>
        <v/>
      </c>
    </row>
    <row r="17350">
      <c r="A17350" t="n">
        <v>17349</v>
      </c>
      <c r="B17350" t="inlineStr">
        <is>
          <t>x̄V̅MMCCCXLIX</t>
        </is>
      </c>
      <c r="C17350">
        <f>ROMAN(17349)</f>
        <v/>
      </c>
      <c r="D17350">
        <f>IF(B17350=C17350, "YES", "WRONG")</f>
        <v/>
      </c>
    </row>
    <row r="17351">
      <c r="A17351" t="n">
        <v>17350</v>
      </c>
      <c r="B17351" t="inlineStr">
        <is>
          <t>x̄V̅MMCCCL</t>
        </is>
      </c>
      <c r="C17351">
        <f>ROMAN(17350)</f>
        <v/>
      </c>
      <c r="D17351">
        <f>IF(B17351=C17351, "YES", "WRONG")</f>
        <v/>
      </c>
    </row>
    <row r="17352">
      <c r="A17352" t="n">
        <v>17351</v>
      </c>
      <c r="B17352" t="inlineStr">
        <is>
          <t>x̄V̅MMCCCLI</t>
        </is>
      </c>
      <c r="C17352">
        <f>ROMAN(17351)</f>
        <v/>
      </c>
      <c r="D17352">
        <f>IF(B17352=C17352, "YES", "WRONG")</f>
        <v/>
      </c>
    </row>
    <row r="17353">
      <c r="A17353" t="n">
        <v>17352</v>
      </c>
      <c r="B17353" t="inlineStr">
        <is>
          <t>x̄V̅MMCCCLII</t>
        </is>
      </c>
      <c r="C17353">
        <f>ROMAN(17352)</f>
        <v/>
      </c>
      <c r="D17353">
        <f>IF(B17353=C17353, "YES", "WRONG")</f>
        <v/>
      </c>
    </row>
    <row r="17354">
      <c r="A17354" t="n">
        <v>17353</v>
      </c>
      <c r="B17354" t="inlineStr">
        <is>
          <t>x̄V̅MMCCCLIII</t>
        </is>
      </c>
      <c r="C17354">
        <f>ROMAN(17353)</f>
        <v/>
      </c>
      <c r="D17354">
        <f>IF(B17354=C17354, "YES", "WRONG")</f>
        <v/>
      </c>
    </row>
    <row r="17355">
      <c r="A17355" t="n">
        <v>17354</v>
      </c>
      <c r="B17355" t="inlineStr">
        <is>
          <t>x̄V̅MMCCCLIV</t>
        </is>
      </c>
      <c r="C17355">
        <f>ROMAN(17354)</f>
        <v/>
      </c>
      <c r="D17355">
        <f>IF(B17355=C17355, "YES", "WRONG")</f>
        <v/>
      </c>
    </row>
    <row r="17356">
      <c r="A17356" t="n">
        <v>17355</v>
      </c>
      <c r="B17356" t="inlineStr">
        <is>
          <t>x̄V̅MMCCCLV</t>
        </is>
      </c>
      <c r="C17356">
        <f>ROMAN(17355)</f>
        <v/>
      </c>
      <c r="D17356">
        <f>IF(B17356=C17356, "YES", "WRONG")</f>
        <v/>
      </c>
    </row>
    <row r="17357">
      <c r="A17357" t="n">
        <v>17356</v>
      </c>
      <c r="B17357" t="inlineStr">
        <is>
          <t>x̄V̅MMCCCLVI</t>
        </is>
      </c>
      <c r="C17357">
        <f>ROMAN(17356)</f>
        <v/>
      </c>
      <c r="D17357">
        <f>IF(B17357=C17357, "YES", "WRONG")</f>
        <v/>
      </c>
    </row>
    <row r="17358">
      <c r="A17358" t="n">
        <v>17357</v>
      </c>
      <c r="B17358" t="inlineStr">
        <is>
          <t>x̄V̅MMCCCLVII</t>
        </is>
      </c>
      <c r="C17358">
        <f>ROMAN(17357)</f>
        <v/>
      </c>
      <c r="D17358">
        <f>IF(B17358=C17358, "YES", "WRONG")</f>
        <v/>
      </c>
    </row>
    <row r="17359">
      <c r="A17359" t="n">
        <v>17358</v>
      </c>
      <c r="B17359" t="inlineStr">
        <is>
          <t>x̄V̅MMCCCLVIII</t>
        </is>
      </c>
      <c r="C17359">
        <f>ROMAN(17358)</f>
        <v/>
      </c>
      <c r="D17359">
        <f>IF(B17359=C17359, "YES", "WRONG")</f>
        <v/>
      </c>
    </row>
    <row r="17360">
      <c r="A17360" t="n">
        <v>17359</v>
      </c>
      <c r="B17360" t="inlineStr">
        <is>
          <t>x̄V̅MMCCCLIX</t>
        </is>
      </c>
      <c r="C17360">
        <f>ROMAN(17359)</f>
        <v/>
      </c>
      <c r="D17360">
        <f>IF(B17360=C17360, "YES", "WRONG")</f>
        <v/>
      </c>
    </row>
    <row r="17361">
      <c r="A17361" t="n">
        <v>17360</v>
      </c>
      <c r="B17361" t="inlineStr">
        <is>
          <t>x̄V̅MMCCCLX</t>
        </is>
      </c>
      <c r="C17361">
        <f>ROMAN(17360)</f>
        <v/>
      </c>
      <c r="D17361">
        <f>IF(B17361=C17361, "YES", "WRONG")</f>
        <v/>
      </c>
    </row>
    <row r="17362">
      <c r="A17362" t="n">
        <v>17361</v>
      </c>
      <c r="B17362" t="inlineStr">
        <is>
          <t>x̄V̅MMCCCLXI</t>
        </is>
      </c>
      <c r="C17362">
        <f>ROMAN(17361)</f>
        <v/>
      </c>
      <c r="D17362">
        <f>IF(B17362=C17362, "YES", "WRONG")</f>
        <v/>
      </c>
    </row>
    <row r="17363">
      <c r="A17363" t="n">
        <v>17362</v>
      </c>
      <c r="B17363" t="inlineStr">
        <is>
          <t>x̄V̅MMCCCLXII</t>
        </is>
      </c>
      <c r="C17363">
        <f>ROMAN(17362)</f>
        <v/>
      </c>
      <c r="D17363">
        <f>IF(B17363=C17363, "YES", "WRONG")</f>
        <v/>
      </c>
    </row>
    <row r="17364">
      <c r="A17364" t="n">
        <v>17363</v>
      </c>
      <c r="B17364" t="inlineStr">
        <is>
          <t>x̄V̅MMCCCLXIII</t>
        </is>
      </c>
      <c r="C17364">
        <f>ROMAN(17363)</f>
        <v/>
      </c>
      <c r="D17364">
        <f>IF(B17364=C17364, "YES", "WRONG")</f>
        <v/>
      </c>
    </row>
    <row r="17365">
      <c r="A17365" t="n">
        <v>17364</v>
      </c>
      <c r="B17365" t="inlineStr">
        <is>
          <t>x̄V̅MMCCCLXIV</t>
        </is>
      </c>
      <c r="C17365">
        <f>ROMAN(17364)</f>
        <v/>
      </c>
      <c r="D17365">
        <f>IF(B17365=C17365, "YES", "WRONG")</f>
        <v/>
      </c>
    </row>
    <row r="17366">
      <c r="A17366" t="n">
        <v>17365</v>
      </c>
      <c r="B17366" t="inlineStr">
        <is>
          <t>x̄V̅MMCCCLXV</t>
        </is>
      </c>
      <c r="C17366">
        <f>ROMAN(17365)</f>
        <v/>
      </c>
      <c r="D17366">
        <f>IF(B17366=C17366, "YES", "WRONG")</f>
        <v/>
      </c>
    </row>
    <row r="17367">
      <c r="A17367" t="n">
        <v>17366</v>
      </c>
      <c r="B17367" t="inlineStr">
        <is>
          <t>x̄V̅MMCCCLXVI</t>
        </is>
      </c>
      <c r="C17367">
        <f>ROMAN(17366)</f>
        <v/>
      </c>
      <c r="D17367">
        <f>IF(B17367=C17367, "YES", "WRONG")</f>
        <v/>
      </c>
    </row>
    <row r="17368">
      <c r="A17368" t="n">
        <v>17367</v>
      </c>
      <c r="B17368" t="inlineStr">
        <is>
          <t>x̄V̅MMCCCLXVII</t>
        </is>
      </c>
      <c r="C17368">
        <f>ROMAN(17367)</f>
        <v/>
      </c>
      <c r="D17368">
        <f>IF(B17368=C17368, "YES", "WRONG")</f>
        <v/>
      </c>
    </row>
    <row r="17369">
      <c r="A17369" t="n">
        <v>17368</v>
      </c>
      <c r="B17369" t="inlineStr">
        <is>
          <t>x̄V̅MMCCCLXVIII</t>
        </is>
      </c>
      <c r="C17369">
        <f>ROMAN(17368)</f>
        <v/>
      </c>
      <c r="D17369">
        <f>IF(B17369=C17369, "YES", "WRONG")</f>
        <v/>
      </c>
    </row>
    <row r="17370">
      <c r="A17370" t="n">
        <v>17369</v>
      </c>
      <c r="B17370" t="inlineStr">
        <is>
          <t>x̄V̅MMCCCLXIX</t>
        </is>
      </c>
      <c r="C17370">
        <f>ROMAN(17369)</f>
        <v/>
      </c>
      <c r="D17370">
        <f>IF(B17370=C17370, "YES", "WRONG")</f>
        <v/>
      </c>
    </row>
    <row r="17371">
      <c r="A17371" t="n">
        <v>17370</v>
      </c>
      <c r="B17371" t="inlineStr">
        <is>
          <t>x̄V̅MMCCCLXX</t>
        </is>
      </c>
      <c r="C17371">
        <f>ROMAN(17370)</f>
        <v/>
      </c>
      <c r="D17371">
        <f>IF(B17371=C17371, "YES", "WRONG")</f>
        <v/>
      </c>
    </row>
    <row r="17372">
      <c r="A17372" t="n">
        <v>17371</v>
      </c>
      <c r="B17372" t="inlineStr">
        <is>
          <t>x̄V̅MMCCCLXXI</t>
        </is>
      </c>
      <c r="C17372">
        <f>ROMAN(17371)</f>
        <v/>
      </c>
      <c r="D17372">
        <f>IF(B17372=C17372, "YES", "WRONG")</f>
        <v/>
      </c>
    </row>
    <row r="17373">
      <c r="A17373" t="n">
        <v>17372</v>
      </c>
      <c r="B17373" t="inlineStr">
        <is>
          <t>x̄V̅MMCCCLXXII</t>
        </is>
      </c>
      <c r="C17373">
        <f>ROMAN(17372)</f>
        <v/>
      </c>
      <c r="D17373">
        <f>IF(B17373=C17373, "YES", "WRONG")</f>
        <v/>
      </c>
    </row>
    <row r="17374">
      <c r="A17374" t="n">
        <v>17373</v>
      </c>
      <c r="B17374" t="inlineStr">
        <is>
          <t>x̄V̅MMCCCLXXIII</t>
        </is>
      </c>
      <c r="C17374">
        <f>ROMAN(17373)</f>
        <v/>
      </c>
      <c r="D17374">
        <f>IF(B17374=C17374, "YES", "WRONG")</f>
        <v/>
      </c>
    </row>
    <row r="17375">
      <c r="A17375" t="n">
        <v>17374</v>
      </c>
      <c r="B17375" t="inlineStr">
        <is>
          <t>x̄V̅MMCCCLXXIV</t>
        </is>
      </c>
      <c r="C17375">
        <f>ROMAN(17374)</f>
        <v/>
      </c>
      <c r="D17375">
        <f>IF(B17375=C17375, "YES", "WRONG")</f>
        <v/>
      </c>
    </row>
    <row r="17376">
      <c r="A17376" t="n">
        <v>17375</v>
      </c>
      <c r="B17376" t="inlineStr">
        <is>
          <t>x̄V̅MMCCCLXXV</t>
        </is>
      </c>
      <c r="C17376">
        <f>ROMAN(17375)</f>
        <v/>
      </c>
      <c r="D17376">
        <f>IF(B17376=C17376, "YES", "WRONG")</f>
        <v/>
      </c>
    </row>
    <row r="17377">
      <c r="A17377" t="n">
        <v>17376</v>
      </c>
      <c r="B17377" t="inlineStr">
        <is>
          <t>x̄V̅MMCCCLXXVI</t>
        </is>
      </c>
      <c r="C17377">
        <f>ROMAN(17376)</f>
        <v/>
      </c>
      <c r="D17377">
        <f>IF(B17377=C17377, "YES", "WRONG")</f>
        <v/>
      </c>
    </row>
    <row r="17378">
      <c r="A17378" t="n">
        <v>17377</v>
      </c>
      <c r="B17378" t="inlineStr">
        <is>
          <t>x̄V̅MMCCCLXXVII</t>
        </is>
      </c>
      <c r="C17378">
        <f>ROMAN(17377)</f>
        <v/>
      </c>
      <c r="D17378">
        <f>IF(B17378=C17378, "YES", "WRONG")</f>
        <v/>
      </c>
    </row>
    <row r="17379">
      <c r="A17379" t="n">
        <v>17378</v>
      </c>
      <c r="B17379" t="inlineStr">
        <is>
          <t>x̄V̅MMCCCLXXVIII</t>
        </is>
      </c>
      <c r="C17379">
        <f>ROMAN(17378)</f>
        <v/>
      </c>
      <c r="D17379">
        <f>IF(B17379=C17379, "YES", "WRONG")</f>
        <v/>
      </c>
    </row>
    <row r="17380">
      <c r="A17380" t="n">
        <v>17379</v>
      </c>
      <c r="B17380" t="inlineStr">
        <is>
          <t>x̄V̅MMCCCLXXIX</t>
        </is>
      </c>
      <c r="C17380">
        <f>ROMAN(17379)</f>
        <v/>
      </c>
      <c r="D17380">
        <f>IF(B17380=C17380, "YES", "WRONG")</f>
        <v/>
      </c>
    </row>
    <row r="17381">
      <c r="A17381" t="n">
        <v>17380</v>
      </c>
      <c r="B17381" t="inlineStr">
        <is>
          <t>x̄V̅MMCCCLXXX</t>
        </is>
      </c>
      <c r="C17381">
        <f>ROMAN(17380)</f>
        <v/>
      </c>
      <c r="D17381">
        <f>IF(B17381=C17381, "YES", "WRONG")</f>
        <v/>
      </c>
    </row>
    <row r="17382">
      <c r="A17382" t="n">
        <v>17381</v>
      </c>
      <c r="B17382" t="inlineStr">
        <is>
          <t>x̄V̅MMCCCLXXXI</t>
        </is>
      </c>
      <c r="C17382">
        <f>ROMAN(17381)</f>
        <v/>
      </c>
      <c r="D17382">
        <f>IF(B17382=C17382, "YES", "WRONG")</f>
        <v/>
      </c>
    </row>
    <row r="17383">
      <c r="A17383" t="n">
        <v>17382</v>
      </c>
      <c r="B17383" t="inlineStr">
        <is>
          <t>x̄V̅MMCCCLXXXII</t>
        </is>
      </c>
      <c r="C17383">
        <f>ROMAN(17382)</f>
        <v/>
      </c>
      <c r="D17383">
        <f>IF(B17383=C17383, "YES", "WRONG")</f>
        <v/>
      </c>
    </row>
    <row r="17384">
      <c r="A17384" t="n">
        <v>17383</v>
      </c>
      <c r="B17384" t="inlineStr">
        <is>
          <t>x̄V̅MMCCCLXXXIII</t>
        </is>
      </c>
      <c r="C17384">
        <f>ROMAN(17383)</f>
        <v/>
      </c>
      <c r="D17384">
        <f>IF(B17384=C17384, "YES", "WRONG")</f>
        <v/>
      </c>
    </row>
    <row r="17385">
      <c r="A17385" t="n">
        <v>17384</v>
      </c>
      <c r="B17385" t="inlineStr">
        <is>
          <t>x̄V̅MMCCCLXXXIV</t>
        </is>
      </c>
      <c r="C17385">
        <f>ROMAN(17384)</f>
        <v/>
      </c>
      <c r="D17385">
        <f>IF(B17385=C17385, "YES", "WRONG")</f>
        <v/>
      </c>
    </row>
    <row r="17386">
      <c r="A17386" t="n">
        <v>17385</v>
      </c>
      <c r="B17386" t="inlineStr">
        <is>
          <t>x̄V̅MMCCCLXXXV</t>
        </is>
      </c>
      <c r="C17386">
        <f>ROMAN(17385)</f>
        <v/>
      </c>
      <c r="D17386">
        <f>IF(B17386=C17386, "YES", "WRONG")</f>
        <v/>
      </c>
    </row>
    <row r="17387">
      <c r="A17387" t="n">
        <v>17386</v>
      </c>
      <c r="B17387" t="inlineStr">
        <is>
          <t>x̄V̅MMCCCLXXXVI</t>
        </is>
      </c>
      <c r="C17387">
        <f>ROMAN(17386)</f>
        <v/>
      </c>
      <c r="D17387">
        <f>IF(B17387=C17387, "YES", "WRONG")</f>
        <v/>
      </c>
    </row>
    <row r="17388">
      <c r="A17388" t="n">
        <v>17387</v>
      </c>
      <c r="B17388" t="inlineStr">
        <is>
          <t>x̄V̅MMCCCLXXXVII</t>
        </is>
      </c>
      <c r="C17388">
        <f>ROMAN(17387)</f>
        <v/>
      </c>
      <c r="D17388">
        <f>IF(B17388=C17388, "YES", "WRONG")</f>
        <v/>
      </c>
    </row>
    <row r="17389">
      <c r="A17389" t="n">
        <v>17388</v>
      </c>
      <c r="B17389" t="inlineStr">
        <is>
          <t>x̄V̅MMCCCLXXXVIII</t>
        </is>
      </c>
      <c r="C17389">
        <f>ROMAN(17388)</f>
        <v/>
      </c>
      <c r="D17389">
        <f>IF(B17389=C17389, "YES", "WRONG")</f>
        <v/>
      </c>
    </row>
    <row r="17390">
      <c r="A17390" t="n">
        <v>17389</v>
      </c>
      <c r="B17390" t="inlineStr">
        <is>
          <t>x̄V̅MMCCCLXXXIX</t>
        </is>
      </c>
      <c r="C17390">
        <f>ROMAN(17389)</f>
        <v/>
      </c>
      <c r="D17390">
        <f>IF(B17390=C17390, "YES", "WRONG")</f>
        <v/>
      </c>
    </row>
    <row r="17391">
      <c r="A17391" t="n">
        <v>17390</v>
      </c>
      <c r="B17391" t="inlineStr">
        <is>
          <t>x̄V̅MMCCCXC</t>
        </is>
      </c>
      <c r="C17391">
        <f>ROMAN(17390)</f>
        <v/>
      </c>
      <c r="D17391">
        <f>IF(B17391=C17391, "YES", "WRONG")</f>
        <v/>
      </c>
    </row>
    <row r="17392">
      <c r="A17392" t="n">
        <v>17391</v>
      </c>
      <c r="B17392" t="inlineStr">
        <is>
          <t>x̄V̅MMCCCXCI</t>
        </is>
      </c>
      <c r="C17392">
        <f>ROMAN(17391)</f>
        <v/>
      </c>
      <c r="D17392">
        <f>IF(B17392=C17392, "YES", "WRONG")</f>
        <v/>
      </c>
    </row>
    <row r="17393">
      <c r="A17393" t="n">
        <v>17392</v>
      </c>
      <c r="B17393" t="inlineStr">
        <is>
          <t>x̄V̅MMCCCXCII</t>
        </is>
      </c>
      <c r="C17393">
        <f>ROMAN(17392)</f>
        <v/>
      </c>
      <c r="D17393">
        <f>IF(B17393=C17393, "YES", "WRONG")</f>
        <v/>
      </c>
    </row>
    <row r="17394">
      <c r="A17394" t="n">
        <v>17393</v>
      </c>
      <c r="B17394" t="inlineStr">
        <is>
          <t>x̄V̅MMCCCXCIII</t>
        </is>
      </c>
      <c r="C17394">
        <f>ROMAN(17393)</f>
        <v/>
      </c>
      <c r="D17394">
        <f>IF(B17394=C17394, "YES", "WRONG")</f>
        <v/>
      </c>
    </row>
    <row r="17395">
      <c r="A17395" t="n">
        <v>17394</v>
      </c>
      <c r="B17395" t="inlineStr">
        <is>
          <t>x̄V̅MMCCCXCIV</t>
        </is>
      </c>
      <c r="C17395">
        <f>ROMAN(17394)</f>
        <v/>
      </c>
      <c r="D17395">
        <f>IF(B17395=C17395, "YES", "WRONG")</f>
        <v/>
      </c>
    </row>
    <row r="17396">
      <c r="A17396" t="n">
        <v>17395</v>
      </c>
      <c r="B17396" t="inlineStr">
        <is>
          <t>x̄V̅MMCCCXCV</t>
        </is>
      </c>
      <c r="C17396">
        <f>ROMAN(17395)</f>
        <v/>
      </c>
      <c r="D17396">
        <f>IF(B17396=C17396, "YES", "WRONG")</f>
        <v/>
      </c>
    </row>
    <row r="17397">
      <c r="A17397" t="n">
        <v>17396</v>
      </c>
      <c r="B17397" t="inlineStr">
        <is>
          <t>x̄V̅MMCCCXCVI</t>
        </is>
      </c>
      <c r="C17397">
        <f>ROMAN(17396)</f>
        <v/>
      </c>
      <c r="D17397">
        <f>IF(B17397=C17397, "YES", "WRONG")</f>
        <v/>
      </c>
    </row>
    <row r="17398">
      <c r="A17398" t="n">
        <v>17397</v>
      </c>
      <c r="B17398" t="inlineStr">
        <is>
          <t>x̄V̅MMCCCXCVII</t>
        </is>
      </c>
      <c r="C17398">
        <f>ROMAN(17397)</f>
        <v/>
      </c>
      <c r="D17398">
        <f>IF(B17398=C17398, "YES", "WRONG")</f>
        <v/>
      </c>
    </row>
    <row r="17399">
      <c r="A17399" t="n">
        <v>17398</v>
      </c>
      <c r="B17399" t="inlineStr">
        <is>
          <t>x̄V̅MMCCCXCVIII</t>
        </is>
      </c>
      <c r="C17399">
        <f>ROMAN(17398)</f>
        <v/>
      </c>
      <c r="D17399">
        <f>IF(B17399=C17399, "YES", "WRONG")</f>
        <v/>
      </c>
    </row>
    <row r="17400">
      <c r="A17400" t="n">
        <v>17399</v>
      </c>
      <c r="B17400" t="inlineStr">
        <is>
          <t>x̄V̅MMCCCXCIX</t>
        </is>
      </c>
      <c r="C17400">
        <f>ROMAN(17399)</f>
        <v/>
      </c>
      <c r="D17400">
        <f>IF(B17400=C17400, "YES", "WRONG")</f>
        <v/>
      </c>
    </row>
    <row r="17401">
      <c r="A17401" t="n">
        <v>17400</v>
      </c>
      <c r="B17401" t="inlineStr">
        <is>
          <t>x̄V̅MMCD</t>
        </is>
      </c>
      <c r="C17401">
        <f>ROMAN(17400)</f>
        <v/>
      </c>
      <c r="D17401">
        <f>IF(B17401=C17401, "YES", "WRONG")</f>
        <v/>
      </c>
    </row>
    <row r="17402">
      <c r="A17402" t="n">
        <v>17401</v>
      </c>
      <c r="B17402" t="inlineStr">
        <is>
          <t>x̄V̅MMCDI</t>
        </is>
      </c>
      <c r="C17402">
        <f>ROMAN(17401)</f>
        <v/>
      </c>
      <c r="D17402">
        <f>IF(B17402=C17402, "YES", "WRONG")</f>
        <v/>
      </c>
    </row>
    <row r="17403">
      <c r="A17403" t="n">
        <v>17402</v>
      </c>
      <c r="B17403" t="inlineStr">
        <is>
          <t>x̄V̅MMCDII</t>
        </is>
      </c>
      <c r="C17403">
        <f>ROMAN(17402)</f>
        <v/>
      </c>
      <c r="D17403">
        <f>IF(B17403=C17403, "YES", "WRONG")</f>
        <v/>
      </c>
    </row>
    <row r="17404">
      <c r="A17404" t="n">
        <v>17403</v>
      </c>
      <c r="B17404" t="inlineStr">
        <is>
          <t>x̄V̅MMCDIII</t>
        </is>
      </c>
      <c r="C17404">
        <f>ROMAN(17403)</f>
        <v/>
      </c>
      <c r="D17404">
        <f>IF(B17404=C17404, "YES", "WRONG")</f>
        <v/>
      </c>
    </row>
    <row r="17405">
      <c r="A17405" t="n">
        <v>17404</v>
      </c>
      <c r="B17405" t="inlineStr">
        <is>
          <t>x̄V̅MMCDIV</t>
        </is>
      </c>
      <c r="C17405">
        <f>ROMAN(17404)</f>
        <v/>
      </c>
      <c r="D17405">
        <f>IF(B17405=C17405, "YES", "WRONG")</f>
        <v/>
      </c>
    </row>
    <row r="17406">
      <c r="A17406" t="n">
        <v>17405</v>
      </c>
      <c r="B17406" t="inlineStr">
        <is>
          <t>x̄V̅MMCDV</t>
        </is>
      </c>
      <c r="C17406">
        <f>ROMAN(17405)</f>
        <v/>
      </c>
      <c r="D17406">
        <f>IF(B17406=C17406, "YES", "WRONG")</f>
        <v/>
      </c>
    </row>
    <row r="17407">
      <c r="A17407" t="n">
        <v>17406</v>
      </c>
      <c r="B17407" t="inlineStr">
        <is>
          <t>x̄V̅MMCDVI</t>
        </is>
      </c>
      <c r="C17407">
        <f>ROMAN(17406)</f>
        <v/>
      </c>
      <c r="D17407">
        <f>IF(B17407=C17407, "YES", "WRONG")</f>
        <v/>
      </c>
    </row>
    <row r="17408">
      <c r="A17408" t="n">
        <v>17407</v>
      </c>
      <c r="B17408" t="inlineStr">
        <is>
          <t>x̄V̅MMCDVII</t>
        </is>
      </c>
      <c r="C17408">
        <f>ROMAN(17407)</f>
        <v/>
      </c>
      <c r="D17408">
        <f>IF(B17408=C17408, "YES", "WRONG")</f>
        <v/>
      </c>
    </row>
    <row r="17409">
      <c r="A17409" t="n">
        <v>17408</v>
      </c>
      <c r="B17409" t="inlineStr">
        <is>
          <t>x̄V̅MMCDVIII</t>
        </is>
      </c>
      <c r="C17409">
        <f>ROMAN(17408)</f>
        <v/>
      </c>
      <c r="D17409">
        <f>IF(B17409=C17409, "YES", "WRONG")</f>
        <v/>
      </c>
    </row>
    <row r="17410">
      <c r="A17410" t="n">
        <v>17409</v>
      </c>
      <c r="B17410" t="inlineStr">
        <is>
          <t>x̄V̅MMCDIX</t>
        </is>
      </c>
      <c r="C17410">
        <f>ROMAN(17409)</f>
        <v/>
      </c>
      <c r="D17410">
        <f>IF(B17410=C17410, "YES", "WRONG")</f>
        <v/>
      </c>
    </row>
    <row r="17411">
      <c r="A17411" t="n">
        <v>17410</v>
      </c>
      <c r="B17411" t="inlineStr">
        <is>
          <t>x̄V̅MMCDX</t>
        </is>
      </c>
      <c r="C17411">
        <f>ROMAN(17410)</f>
        <v/>
      </c>
      <c r="D17411">
        <f>IF(B17411=C17411, "YES", "WRONG")</f>
        <v/>
      </c>
    </row>
    <row r="17412">
      <c r="A17412" t="n">
        <v>17411</v>
      </c>
      <c r="B17412" t="inlineStr">
        <is>
          <t>x̄V̅MMCDXI</t>
        </is>
      </c>
      <c r="C17412">
        <f>ROMAN(17411)</f>
        <v/>
      </c>
      <c r="D17412">
        <f>IF(B17412=C17412, "YES", "WRONG")</f>
        <v/>
      </c>
    </row>
    <row r="17413">
      <c r="A17413" t="n">
        <v>17412</v>
      </c>
      <c r="B17413" t="inlineStr">
        <is>
          <t>x̄V̅MMCDXII</t>
        </is>
      </c>
      <c r="C17413">
        <f>ROMAN(17412)</f>
        <v/>
      </c>
      <c r="D17413">
        <f>IF(B17413=C17413, "YES", "WRONG")</f>
        <v/>
      </c>
    </row>
    <row r="17414">
      <c r="A17414" t="n">
        <v>17413</v>
      </c>
      <c r="B17414" t="inlineStr">
        <is>
          <t>x̄V̅MMCDXIII</t>
        </is>
      </c>
      <c r="C17414">
        <f>ROMAN(17413)</f>
        <v/>
      </c>
      <c r="D17414">
        <f>IF(B17414=C17414, "YES", "WRONG")</f>
        <v/>
      </c>
    </row>
    <row r="17415">
      <c r="A17415" t="n">
        <v>17414</v>
      </c>
      <c r="B17415" t="inlineStr">
        <is>
          <t>x̄V̅MMCDXIV</t>
        </is>
      </c>
      <c r="C17415">
        <f>ROMAN(17414)</f>
        <v/>
      </c>
      <c r="D17415">
        <f>IF(B17415=C17415, "YES", "WRONG")</f>
        <v/>
      </c>
    </row>
    <row r="17416">
      <c r="A17416" t="n">
        <v>17415</v>
      </c>
      <c r="B17416" t="inlineStr">
        <is>
          <t>x̄V̅MMCDXV</t>
        </is>
      </c>
      <c r="C17416">
        <f>ROMAN(17415)</f>
        <v/>
      </c>
      <c r="D17416">
        <f>IF(B17416=C17416, "YES", "WRONG")</f>
        <v/>
      </c>
    </row>
    <row r="17417">
      <c r="A17417" t="n">
        <v>17416</v>
      </c>
      <c r="B17417" t="inlineStr">
        <is>
          <t>x̄V̅MMCDXVI</t>
        </is>
      </c>
      <c r="C17417">
        <f>ROMAN(17416)</f>
        <v/>
      </c>
      <c r="D17417">
        <f>IF(B17417=C17417, "YES", "WRONG")</f>
        <v/>
      </c>
    </row>
    <row r="17418">
      <c r="A17418" t="n">
        <v>17417</v>
      </c>
      <c r="B17418" t="inlineStr">
        <is>
          <t>x̄V̅MMCDXVII</t>
        </is>
      </c>
      <c r="C17418">
        <f>ROMAN(17417)</f>
        <v/>
      </c>
      <c r="D17418">
        <f>IF(B17418=C17418, "YES", "WRONG")</f>
        <v/>
      </c>
    </row>
    <row r="17419">
      <c r="A17419" t="n">
        <v>17418</v>
      </c>
      <c r="B17419" t="inlineStr">
        <is>
          <t>x̄V̅MMCDXVIII</t>
        </is>
      </c>
      <c r="C17419">
        <f>ROMAN(17418)</f>
        <v/>
      </c>
      <c r="D17419">
        <f>IF(B17419=C17419, "YES", "WRONG")</f>
        <v/>
      </c>
    </row>
    <row r="17420">
      <c r="A17420" t="n">
        <v>17419</v>
      </c>
      <c r="B17420" t="inlineStr">
        <is>
          <t>x̄V̅MMCDXIX</t>
        </is>
      </c>
      <c r="C17420">
        <f>ROMAN(17419)</f>
        <v/>
      </c>
      <c r="D17420">
        <f>IF(B17420=C17420, "YES", "WRONG")</f>
        <v/>
      </c>
    </row>
    <row r="17421">
      <c r="A17421" t="n">
        <v>17420</v>
      </c>
      <c r="B17421" t="inlineStr">
        <is>
          <t>x̄V̅MMCDXX</t>
        </is>
      </c>
      <c r="C17421">
        <f>ROMAN(17420)</f>
        <v/>
      </c>
      <c r="D17421">
        <f>IF(B17421=C17421, "YES", "WRONG")</f>
        <v/>
      </c>
    </row>
    <row r="17422">
      <c r="A17422" t="n">
        <v>17421</v>
      </c>
      <c r="B17422" t="inlineStr">
        <is>
          <t>x̄V̅MMCDXXI</t>
        </is>
      </c>
      <c r="C17422">
        <f>ROMAN(17421)</f>
        <v/>
      </c>
      <c r="D17422">
        <f>IF(B17422=C17422, "YES", "WRONG")</f>
        <v/>
      </c>
    </row>
    <row r="17423">
      <c r="A17423" t="n">
        <v>17422</v>
      </c>
      <c r="B17423" t="inlineStr">
        <is>
          <t>x̄V̅MMCDXXII</t>
        </is>
      </c>
      <c r="C17423">
        <f>ROMAN(17422)</f>
        <v/>
      </c>
      <c r="D17423">
        <f>IF(B17423=C17423, "YES", "WRONG")</f>
        <v/>
      </c>
    </row>
    <row r="17424">
      <c r="A17424" t="n">
        <v>17423</v>
      </c>
      <c r="B17424" t="inlineStr">
        <is>
          <t>x̄V̅MMCDXXIII</t>
        </is>
      </c>
      <c r="C17424">
        <f>ROMAN(17423)</f>
        <v/>
      </c>
      <c r="D17424">
        <f>IF(B17424=C17424, "YES", "WRONG")</f>
        <v/>
      </c>
    </row>
    <row r="17425">
      <c r="A17425" t="n">
        <v>17424</v>
      </c>
      <c r="B17425" t="inlineStr">
        <is>
          <t>x̄V̅MMCDXXIV</t>
        </is>
      </c>
      <c r="C17425">
        <f>ROMAN(17424)</f>
        <v/>
      </c>
      <c r="D17425">
        <f>IF(B17425=C17425, "YES", "WRONG")</f>
        <v/>
      </c>
    </row>
    <row r="17426">
      <c r="A17426" t="n">
        <v>17425</v>
      </c>
      <c r="B17426" t="inlineStr">
        <is>
          <t>x̄V̅MMCDXXV</t>
        </is>
      </c>
      <c r="C17426">
        <f>ROMAN(17425)</f>
        <v/>
      </c>
      <c r="D17426">
        <f>IF(B17426=C17426, "YES", "WRONG")</f>
        <v/>
      </c>
    </row>
    <row r="17427">
      <c r="A17427" t="n">
        <v>17426</v>
      </c>
      <c r="B17427" t="inlineStr">
        <is>
          <t>x̄V̅MMCDXXVI</t>
        </is>
      </c>
      <c r="C17427">
        <f>ROMAN(17426)</f>
        <v/>
      </c>
      <c r="D17427">
        <f>IF(B17427=C17427, "YES", "WRONG")</f>
        <v/>
      </c>
    </row>
    <row r="17428">
      <c r="A17428" t="n">
        <v>17427</v>
      </c>
      <c r="B17428" t="inlineStr">
        <is>
          <t>x̄V̅MMCDXXVII</t>
        </is>
      </c>
      <c r="C17428">
        <f>ROMAN(17427)</f>
        <v/>
      </c>
      <c r="D17428">
        <f>IF(B17428=C17428, "YES", "WRONG")</f>
        <v/>
      </c>
    </row>
    <row r="17429">
      <c r="A17429" t="n">
        <v>17428</v>
      </c>
      <c r="B17429" t="inlineStr">
        <is>
          <t>x̄V̅MMCDXXVIII</t>
        </is>
      </c>
      <c r="C17429">
        <f>ROMAN(17428)</f>
        <v/>
      </c>
      <c r="D17429">
        <f>IF(B17429=C17429, "YES", "WRONG")</f>
        <v/>
      </c>
    </row>
    <row r="17430">
      <c r="A17430" t="n">
        <v>17429</v>
      </c>
      <c r="B17430" t="inlineStr">
        <is>
          <t>x̄V̅MMCDXXIX</t>
        </is>
      </c>
      <c r="C17430">
        <f>ROMAN(17429)</f>
        <v/>
      </c>
      <c r="D17430">
        <f>IF(B17430=C17430, "YES", "WRONG")</f>
        <v/>
      </c>
    </row>
    <row r="17431">
      <c r="A17431" t="n">
        <v>17430</v>
      </c>
      <c r="B17431" t="inlineStr">
        <is>
          <t>x̄V̅MMCDXXX</t>
        </is>
      </c>
      <c r="C17431">
        <f>ROMAN(17430)</f>
        <v/>
      </c>
      <c r="D17431">
        <f>IF(B17431=C17431, "YES", "WRONG")</f>
        <v/>
      </c>
    </row>
    <row r="17432">
      <c r="A17432" t="n">
        <v>17431</v>
      </c>
      <c r="B17432" t="inlineStr">
        <is>
          <t>x̄V̅MMCDXXXI</t>
        </is>
      </c>
      <c r="C17432">
        <f>ROMAN(17431)</f>
        <v/>
      </c>
      <c r="D17432">
        <f>IF(B17432=C17432, "YES", "WRONG")</f>
        <v/>
      </c>
    </row>
    <row r="17433">
      <c r="A17433" t="n">
        <v>17432</v>
      </c>
      <c r="B17433" t="inlineStr">
        <is>
          <t>x̄V̅MMCDXXXII</t>
        </is>
      </c>
      <c r="C17433">
        <f>ROMAN(17432)</f>
        <v/>
      </c>
      <c r="D17433">
        <f>IF(B17433=C17433, "YES", "WRONG")</f>
        <v/>
      </c>
    </row>
    <row r="17434">
      <c r="A17434" t="n">
        <v>17433</v>
      </c>
      <c r="B17434" t="inlineStr">
        <is>
          <t>x̄V̅MMCDXXXIII</t>
        </is>
      </c>
      <c r="C17434">
        <f>ROMAN(17433)</f>
        <v/>
      </c>
      <c r="D17434">
        <f>IF(B17434=C17434, "YES", "WRONG")</f>
        <v/>
      </c>
    </row>
    <row r="17435">
      <c r="A17435" t="n">
        <v>17434</v>
      </c>
      <c r="B17435" t="inlineStr">
        <is>
          <t>x̄V̅MMCDXXXIV</t>
        </is>
      </c>
      <c r="C17435">
        <f>ROMAN(17434)</f>
        <v/>
      </c>
      <c r="D17435">
        <f>IF(B17435=C17435, "YES", "WRONG")</f>
        <v/>
      </c>
    </row>
    <row r="17436">
      <c r="A17436" t="n">
        <v>17435</v>
      </c>
      <c r="B17436" t="inlineStr">
        <is>
          <t>x̄V̅MMCDXXXV</t>
        </is>
      </c>
      <c r="C17436">
        <f>ROMAN(17435)</f>
        <v/>
      </c>
      <c r="D17436">
        <f>IF(B17436=C17436, "YES", "WRONG")</f>
        <v/>
      </c>
    </row>
    <row r="17437">
      <c r="A17437" t="n">
        <v>17436</v>
      </c>
      <c r="B17437" t="inlineStr">
        <is>
          <t>x̄V̅MMCDXXXVI</t>
        </is>
      </c>
      <c r="C17437">
        <f>ROMAN(17436)</f>
        <v/>
      </c>
      <c r="D17437">
        <f>IF(B17437=C17437, "YES", "WRONG")</f>
        <v/>
      </c>
    </row>
    <row r="17438">
      <c r="A17438" t="n">
        <v>17437</v>
      </c>
      <c r="B17438" t="inlineStr">
        <is>
          <t>x̄V̅MMCDXXXVII</t>
        </is>
      </c>
      <c r="C17438">
        <f>ROMAN(17437)</f>
        <v/>
      </c>
      <c r="D17438">
        <f>IF(B17438=C17438, "YES", "WRONG")</f>
        <v/>
      </c>
    </row>
    <row r="17439">
      <c r="A17439" t="n">
        <v>17438</v>
      </c>
      <c r="B17439" t="inlineStr">
        <is>
          <t>x̄V̅MMCDXXXVIII</t>
        </is>
      </c>
      <c r="C17439">
        <f>ROMAN(17438)</f>
        <v/>
      </c>
      <c r="D17439">
        <f>IF(B17439=C17439, "YES", "WRONG")</f>
        <v/>
      </c>
    </row>
    <row r="17440">
      <c r="A17440" t="n">
        <v>17439</v>
      </c>
      <c r="B17440" t="inlineStr">
        <is>
          <t>x̄V̅MMCDXXXIX</t>
        </is>
      </c>
      <c r="C17440">
        <f>ROMAN(17439)</f>
        <v/>
      </c>
      <c r="D17440">
        <f>IF(B17440=C17440, "YES", "WRONG")</f>
        <v/>
      </c>
    </row>
    <row r="17441">
      <c r="A17441" t="n">
        <v>17440</v>
      </c>
      <c r="B17441" t="inlineStr">
        <is>
          <t>x̄V̅MMCDXL</t>
        </is>
      </c>
      <c r="C17441">
        <f>ROMAN(17440)</f>
        <v/>
      </c>
      <c r="D17441">
        <f>IF(B17441=C17441, "YES", "WRONG")</f>
        <v/>
      </c>
    </row>
    <row r="17442">
      <c r="A17442" t="n">
        <v>17441</v>
      </c>
      <c r="B17442" t="inlineStr">
        <is>
          <t>x̄V̅MMCDXLI</t>
        </is>
      </c>
      <c r="C17442">
        <f>ROMAN(17441)</f>
        <v/>
      </c>
      <c r="D17442">
        <f>IF(B17442=C17442, "YES", "WRONG")</f>
        <v/>
      </c>
    </row>
    <row r="17443">
      <c r="A17443" t="n">
        <v>17442</v>
      </c>
      <c r="B17443" t="inlineStr">
        <is>
          <t>x̄V̅MMCDXLII</t>
        </is>
      </c>
      <c r="C17443">
        <f>ROMAN(17442)</f>
        <v/>
      </c>
      <c r="D17443">
        <f>IF(B17443=C17443, "YES", "WRONG")</f>
        <v/>
      </c>
    </row>
    <row r="17444">
      <c r="A17444" t="n">
        <v>17443</v>
      </c>
      <c r="B17444" t="inlineStr">
        <is>
          <t>x̄V̅MMCDXLIII</t>
        </is>
      </c>
      <c r="C17444">
        <f>ROMAN(17443)</f>
        <v/>
      </c>
      <c r="D17444">
        <f>IF(B17444=C17444, "YES", "WRONG")</f>
        <v/>
      </c>
    </row>
    <row r="17445">
      <c r="A17445" t="n">
        <v>17444</v>
      </c>
      <c r="B17445" t="inlineStr">
        <is>
          <t>x̄V̅MMCDXLIV</t>
        </is>
      </c>
      <c r="C17445">
        <f>ROMAN(17444)</f>
        <v/>
      </c>
      <c r="D17445">
        <f>IF(B17445=C17445, "YES", "WRONG")</f>
        <v/>
      </c>
    </row>
    <row r="17446">
      <c r="A17446" t="n">
        <v>17445</v>
      </c>
      <c r="B17446" t="inlineStr">
        <is>
          <t>x̄V̅MMCDXLV</t>
        </is>
      </c>
      <c r="C17446">
        <f>ROMAN(17445)</f>
        <v/>
      </c>
      <c r="D17446">
        <f>IF(B17446=C17446, "YES", "WRONG")</f>
        <v/>
      </c>
    </row>
    <row r="17447">
      <c r="A17447" t="n">
        <v>17446</v>
      </c>
      <c r="B17447" t="inlineStr">
        <is>
          <t>x̄V̅MMCDXLVI</t>
        </is>
      </c>
      <c r="C17447">
        <f>ROMAN(17446)</f>
        <v/>
      </c>
      <c r="D17447">
        <f>IF(B17447=C17447, "YES", "WRONG")</f>
        <v/>
      </c>
    </row>
    <row r="17448">
      <c r="A17448" t="n">
        <v>17447</v>
      </c>
      <c r="B17448" t="inlineStr">
        <is>
          <t>x̄V̅MMCDXLVII</t>
        </is>
      </c>
      <c r="C17448">
        <f>ROMAN(17447)</f>
        <v/>
      </c>
      <c r="D17448">
        <f>IF(B17448=C17448, "YES", "WRONG")</f>
        <v/>
      </c>
    </row>
    <row r="17449">
      <c r="A17449" t="n">
        <v>17448</v>
      </c>
      <c r="B17449" t="inlineStr">
        <is>
          <t>x̄V̅MMCDXLVIII</t>
        </is>
      </c>
      <c r="C17449">
        <f>ROMAN(17448)</f>
        <v/>
      </c>
      <c r="D17449">
        <f>IF(B17449=C17449, "YES", "WRONG")</f>
        <v/>
      </c>
    </row>
    <row r="17450">
      <c r="A17450" t="n">
        <v>17449</v>
      </c>
      <c r="B17450" t="inlineStr">
        <is>
          <t>x̄V̅MMCDXLIX</t>
        </is>
      </c>
      <c r="C17450">
        <f>ROMAN(17449)</f>
        <v/>
      </c>
      <c r="D17450">
        <f>IF(B17450=C17450, "YES", "WRONG")</f>
        <v/>
      </c>
    </row>
    <row r="17451">
      <c r="A17451" t="n">
        <v>17450</v>
      </c>
      <c r="B17451" t="inlineStr">
        <is>
          <t>x̄V̅MMCDL</t>
        </is>
      </c>
      <c r="C17451">
        <f>ROMAN(17450)</f>
        <v/>
      </c>
      <c r="D17451">
        <f>IF(B17451=C17451, "YES", "WRONG")</f>
        <v/>
      </c>
    </row>
    <row r="17452">
      <c r="A17452" t="n">
        <v>17451</v>
      </c>
      <c r="B17452" t="inlineStr">
        <is>
          <t>x̄V̅MMCDLI</t>
        </is>
      </c>
      <c r="C17452">
        <f>ROMAN(17451)</f>
        <v/>
      </c>
      <c r="D17452">
        <f>IF(B17452=C17452, "YES", "WRONG")</f>
        <v/>
      </c>
    </row>
    <row r="17453">
      <c r="A17453" t="n">
        <v>17452</v>
      </c>
      <c r="B17453" t="inlineStr">
        <is>
          <t>x̄V̅MMCDLII</t>
        </is>
      </c>
      <c r="C17453">
        <f>ROMAN(17452)</f>
        <v/>
      </c>
      <c r="D17453">
        <f>IF(B17453=C17453, "YES", "WRONG")</f>
        <v/>
      </c>
    </row>
    <row r="17454">
      <c r="A17454" t="n">
        <v>17453</v>
      </c>
      <c r="B17454" t="inlineStr">
        <is>
          <t>x̄V̅MMCDLIII</t>
        </is>
      </c>
      <c r="C17454">
        <f>ROMAN(17453)</f>
        <v/>
      </c>
      <c r="D17454">
        <f>IF(B17454=C17454, "YES", "WRONG")</f>
        <v/>
      </c>
    </row>
    <row r="17455">
      <c r="A17455" t="n">
        <v>17454</v>
      </c>
      <c r="B17455" t="inlineStr">
        <is>
          <t>x̄V̅MMCDLIV</t>
        </is>
      </c>
      <c r="C17455">
        <f>ROMAN(17454)</f>
        <v/>
      </c>
      <c r="D17455">
        <f>IF(B17455=C17455, "YES", "WRONG")</f>
        <v/>
      </c>
    </row>
    <row r="17456">
      <c r="A17456" t="n">
        <v>17455</v>
      </c>
      <c r="B17456" t="inlineStr">
        <is>
          <t>x̄V̅MMCDLV</t>
        </is>
      </c>
      <c r="C17456">
        <f>ROMAN(17455)</f>
        <v/>
      </c>
      <c r="D17456">
        <f>IF(B17456=C17456, "YES", "WRONG")</f>
        <v/>
      </c>
    </row>
    <row r="17457">
      <c r="A17457" t="n">
        <v>17456</v>
      </c>
      <c r="B17457" t="inlineStr">
        <is>
          <t>x̄V̅MMCDLVI</t>
        </is>
      </c>
      <c r="C17457">
        <f>ROMAN(17456)</f>
        <v/>
      </c>
      <c r="D17457">
        <f>IF(B17457=C17457, "YES", "WRONG")</f>
        <v/>
      </c>
    </row>
    <row r="17458">
      <c r="A17458" t="n">
        <v>17457</v>
      </c>
      <c r="B17458" t="inlineStr">
        <is>
          <t>x̄V̅MMCDLVII</t>
        </is>
      </c>
      <c r="C17458">
        <f>ROMAN(17457)</f>
        <v/>
      </c>
      <c r="D17458">
        <f>IF(B17458=C17458, "YES", "WRONG")</f>
        <v/>
      </c>
    </row>
    <row r="17459">
      <c r="A17459" t="n">
        <v>17458</v>
      </c>
      <c r="B17459" t="inlineStr">
        <is>
          <t>x̄V̅MMCDLVIII</t>
        </is>
      </c>
      <c r="C17459">
        <f>ROMAN(17458)</f>
        <v/>
      </c>
      <c r="D17459">
        <f>IF(B17459=C17459, "YES", "WRONG")</f>
        <v/>
      </c>
    </row>
    <row r="17460">
      <c r="A17460" t="n">
        <v>17459</v>
      </c>
      <c r="B17460" t="inlineStr">
        <is>
          <t>x̄V̅MMCDLIX</t>
        </is>
      </c>
      <c r="C17460">
        <f>ROMAN(17459)</f>
        <v/>
      </c>
      <c r="D17460">
        <f>IF(B17460=C17460, "YES", "WRONG")</f>
        <v/>
      </c>
    </row>
    <row r="17461">
      <c r="A17461" t="n">
        <v>17460</v>
      </c>
      <c r="B17461" t="inlineStr">
        <is>
          <t>x̄V̅MMCDLX</t>
        </is>
      </c>
      <c r="C17461">
        <f>ROMAN(17460)</f>
        <v/>
      </c>
      <c r="D17461">
        <f>IF(B17461=C17461, "YES", "WRONG")</f>
        <v/>
      </c>
    </row>
    <row r="17462">
      <c r="A17462" t="n">
        <v>17461</v>
      </c>
      <c r="B17462" t="inlineStr">
        <is>
          <t>x̄V̅MMCDLXI</t>
        </is>
      </c>
      <c r="C17462">
        <f>ROMAN(17461)</f>
        <v/>
      </c>
      <c r="D17462">
        <f>IF(B17462=C17462, "YES", "WRONG")</f>
        <v/>
      </c>
    </row>
    <row r="17463">
      <c r="A17463" t="n">
        <v>17462</v>
      </c>
      <c r="B17463" t="inlineStr">
        <is>
          <t>x̄V̅MMCDLXII</t>
        </is>
      </c>
      <c r="C17463">
        <f>ROMAN(17462)</f>
        <v/>
      </c>
      <c r="D17463">
        <f>IF(B17463=C17463, "YES", "WRONG")</f>
        <v/>
      </c>
    </row>
    <row r="17464">
      <c r="A17464" t="n">
        <v>17463</v>
      </c>
      <c r="B17464" t="inlineStr">
        <is>
          <t>x̄V̅MMCDLXIII</t>
        </is>
      </c>
      <c r="C17464">
        <f>ROMAN(17463)</f>
        <v/>
      </c>
      <c r="D17464">
        <f>IF(B17464=C17464, "YES", "WRONG")</f>
        <v/>
      </c>
    </row>
    <row r="17465">
      <c r="A17465" t="n">
        <v>17464</v>
      </c>
      <c r="B17465" t="inlineStr">
        <is>
          <t>x̄V̅MMCDLXIV</t>
        </is>
      </c>
      <c r="C17465">
        <f>ROMAN(17464)</f>
        <v/>
      </c>
      <c r="D17465">
        <f>IF(B17465=C17465, "YES", "WRONG")</f>
        <v/>
      </c>
    </row>
    <row r="17466">
      <c r="A17466" t="n">
        <v>17465</v>
      </c>
      <c r="B17466" t="inlineStr">
        <is>
          <t>x̄V̅MMCDLXV</t>
        </is>
      </c>
      <c r="C17466">
        <f>ROMAN(17465)</f>
        <v/>
      </c>
      <c r="D17466">
        <f>IF(B17466=C17466, "YES", "WRONG")</f>
        <v/>
      </c>
    </row>
    <row r="17467">
      <c r="A17467" t="n">
        <v>17466</v>
      </c>
      <c r="B17467" t="inlineStr">
        <is>
          <t>x̄V̅MMCDLXVI</t>
        </is>
      </c>
      <c r="C17467">
        <f>ROMAN(17466)</f>
        <v/>
      </c>
      <c r="D17467">
        <f>IF(B17467=C17467, "YES", "WRONG")</f>
        <v/>
      </c>
    </row>
    <row r="17468">
      <c r="A17468" t="n">
        <v>17467</v>
      </c>
      <c r="B17468" t="inlineStr">
        <is>
          <t>x̄V̅MMCDLXVII</t>
        </is>
      </c>
      <c r="C17468">
        <f>ROMAN(17467)</f>
        <v/>
      </c>
      <c r="D17468">
        <f>IF(B17468=C17468, "YES", "WRONG")</f>
        <v/>
      </c>
    </row>
    <row r="17469">
      <c r="A17469" t="n">
        <v>17468</v>
      </c>
      <c r="B17469" t="inlineStr">
        <is>
          <t>x̄V̅MMCDLXVIII</t>
        </is>
      </c>
      <c r="C17469">
        <f>ROMAN(17468)</f>
        <v/>
      </c>
      <c r="D17469">
        <f>IF(B17469=C17469, "YES", "WRONG")</f>
        <v/>
      </c>
    </row>
    <row r="17470">
      <c r="A17470" t="n">
        <v>17469</v>
      </c>
      <c r="B17470" t="inlineStr">
        <is>
          <t>x̄V̅MMCDLXIX</t>
        </is>
      </c>
      <c r="C17470">
        <f>ROMAN(17469)</f>
        <v/>
      </c>
      <c r="D17470">
        <f>IF(B17470=C17470, "YES", "WRONG")</f>
        <v/>
      </c>
    </row>
    <row r="17471">
      <c r="A17471" t="n">
        <v>17470</v>
      </c>
      <c r="B17471" t="inlineStr">
        <is>
          <t>x̄V̅MMCDLXX</t>
        </is>
      </c>
      <c r="C17471">
        <f>ROMAN(17470)</f>
        <v/>
      </c>
      <c r="D17471">
        <f>IF(B17471=C17471, "YES", "WRONG")</f>
        <v/>
      </c>
    </row>
    <row r="17472">
      <c r="A17472" t="n">
        <v>17471</v>
      </c>
      <c r="B17472" t="inlineStr">
        <is>
          <t>x̄V̅MMCDLXXI</t>
        </is>
      </c>
      <c r="C17472">
        <f>ROMAN(17471)</f>
        <v/>
      </c>
      <c r="D17472">
        <f>IF(B17472=C17472, "YES", "WRONG")</f>
        <v/>
      </c>
    </row>
    <row r="17473">
      <c r="A17473" t="n">
        <v>17472</v>
      </c>
      <c r="B17473" t="inlineStr">
        <is>
          <t>x̄V̅MMCDLXXII</t>
        </is>
      </c>
      <c r="C17473">
        <f>ROMAN(17472)</f>
        <v/>
      </c>
      <c r="D17473">
        <f>IF(B17473=C17473, "YES", "WRONG")</f>
        <v/>
      </c>
    </row>
    <row r="17474">
      <c r="A17474" t="n">
        <v>17473</v>
      </c>
      <c r="B17474" t="inlineStr">
        <is>
          <t>x̄V̅MMCDLXXIII</t>
        </is>
      </c>
      <c r="C17474">
        <f>ROMAN(17473)</f>
        <v/>
      </c>
      <c r="D17474">
        <f>IF(B17474=C17474, "YES", "WRONG")</f>
        <v/>
      </c>
    </row>
    <row r="17475">
      <c r="A17475" t="n">
        <v>17474</v>
      </c>
      <c r="B17475" t="inlineStr">
        <is>
          <t>x̄V̅MMCDLXXIV</t>
        </is>
      </c>
      <c r="C17475">
        <f>ROMAN(17474)</f>
        <v/>
      </c>
      <c r="D17475">
        <f>IF(B17475=C17475, "YES", "WRONG")</f>
        <v/>
      </c>
    </row>
    <row r="17476">
      <c r="A17476" t="n">
        <v>17475</v>
      </c>
      <c r="B17476" t="inlineStr">
        <is>
          <t>x̄V̅MMCDLXXV</t>
        </is>
      </c>
      <c r="C17476">
        <f>ROMAN(17475)</f>
        <v/>
      </c>
      <c r="D17476">
        <f>IF(B17476=C17476, "YES", "WRONG")</f>
        <v/>
      </c>
    </row>
    <row r="17477">
      <c r="A17477" t="n">
        <v>17476</v>
      </c>
      <c r="B17477" t="inlineStr">
        <is>
          <t>x̄V̅MMCDLXXVI</t>
        </is>
      </c>
      <c r="C17477">
        <f>ROMAN(17476)</f>
        <v/>
      </c>
      <c r="D17477">
        <f>IF(B17477=C17477, "YES", "WRONG")</f>
        <v/>
      </c>
    </row>
    <row r="17478">
      <c r="A17478" t="n">
        <v>17477</v>
      </c>
      <c r="B17478" t="inlineStr">
        <is>
          <t>x̄V̅MMCDLXXVII</t>
        </is>
      </c>
      <c r="C17478">
        <f>ROMAN(17477)</f>
        <v/>
      </c>
      <c r="D17478">
        <f>IF(B17478=C17478, "YES", "WRONG")</f>
        <v/>
      </c>
    </row>
    <row r="17479">
      <c r="A17479" t="n">
        <v>17478</v>
      </c>
      <c r="B17479" t="inlineStr">
        <is>
          <t>x̄V̅MMCDLXXVIII</t>
        </is>
      </c>
      <c r="C17479">
        <f>ROMAN(17478)</f>
        <v/>
      </c>
      <c r="D17479">
        <f>IF(B17479=C17479, "YES", "WRONG")</f>
        <v/>
      </c>
    </row>
    <row r="17480">
      <c r="A17480" t="n">
        <v>17479</v>
      </c>
      <c r="B17480" t="inlineStr">
        <is>
          <t>x̄V̅MMCDLXXIX</t>
        </is>
      </c>
      <c r="C17480">
        <f>ROMAN(17479)</f>
        <v/>
      </c>
      <c r="D17480">
        <f>IF(B17480=C17480, "YES", "WRONG")</f>
        <v/>
      </c>
    </row>
    <row r="17481">
      <c r="A17481" t="n">
        <v>17480</v>
      </c>
      <c r="B17481" t="inlineStr">
        <is>
          <t>x̄V̅MMCDLXXX</t>
        </is>
      </c>
      <c r="C17481">
        <f>ROMAN(17480)</f>
        <v/>
      </c>
      <c r="D17481">
        <f>IF(B17481=C17481, "YES", "WRONG")</f>
        <v/>
      </c>
    </row>
    <row r="17482">
      <c r="A17482" t="n">
        <v>17481</v>
      </c>
      <c r="B17482" t="inlineStr">
        <is>
          <t>x̄V̅MMCDLXXXI</t>
        </is>
      </c>
      <c r="C17482">
        <f>ROMAN(17481)</f>
        <v/>
      </c>
      <c r="D17482">
        <f>IF(B17482=C17482, "YES", "WRONG")</f>
        <v/>
      </c>
    </row>
    <row r="17483">
      <c r="A17483" t="n">
        <v>17482</v>
      </c>
      <c r="B17483" t="inlineStr">
        <is>
          <t>x̄V̅MMCDLXXXII</t>
        </is>
      </c>
      <c r="C17483">
        <f>ROMAN(17482)</f>
        <v/>
      </c>
      <c r="D17483">
        <f>IF(B17483=C17483, "YES", "WRONG")</f>
        <v/>
      </c>
    </row>
    <row r="17484">
      <c r="A17484" t="n">
        <v>17483</v>
      </c>
      <c r="B17484" t="inlineStr">
        <is>
          <t>x̄V̅MMCDLXXXIII</t>
        </is>
      </c>
      <c r="C17484">
        <f>ROMAN(17483)</f>
        <v/>
      </c>
      <c r="D17484">
        <f>IF(B17484=C17484, "YES", "WRONG")</f>
        <v/>
      </c>
    </row>
    <row r="17485">
      <c r="A17485" t="n">
        <v>17484</v>
      </c>
      <c r="B17485" t="inlineStr">
        <is>
          <t>x̄V̅MMCDLXXXIV</t>
        </is>
      </c>
      <c r="C17485">
        <f>ROMAN(17484)</f>
        <v/>
      </c>
      <c r="D17485">
        <f>IF(B17485=C17485, "YES", "WRONG")</f>
        <v/>
      </c>
    </row>
    <row r="17486">
      <c r="A17486" t="n">
        <v>17485</v>
      </c>
      <c r="B17486" t="inlineStr">
        <is>
          <t>x̄V̅MMCDLXXXV</t>
        </is>
      </c>
      <c r="C17486">
        <f>ROMAN(17485)</f>
        <v/>
      </c>
      <c r="D17486">
        <f>IF(B17486=C17486, "YES", "WRONG")</f>
        <v/>
      </c>
    </row>
    <row r="17487">
      <c r="A17487" t="n">
        <v>17486</v>
      </c>
      <c r="B17487" t="inlineStr">
        <is>
          <t>x̄V̅MMCDLXXXVI</t>
        </is>
      </c>
      <c r="C17487">
        <f>ROMAN(17486)</f>
        <v/>
      </c>
      <c r="D17487">
        <f>IF(B17487=C17487, "YES", "WRONG")</f>
        <v/>
      </c>
    </row>
    <row r="17488">
      <c r="A17488" t="n">
        <v>17487</v>
      </c>
      <c r="B17488" t="inlineStr">
        <is>
          <t>x̄V̅MMCDLXXXVII</t>
        </is>
      </c>
      <c r="C17488">
        <f>ROMAN(17487)</f>
        <v/>
      </c>
      <c r="D17488">
        <f>IF(B17488=C17488, "YES", "WRONG")</f>
        <v/>
      </c>
    </row>
    <row r="17489">
      <c r="A17489" t="n">
        <v>17488</v>
      </c>
      <c r="B17489" t="inlineStr">
        <is>
          <t>x̄V̅MMCDLXXXVIII</t>
        </is>
      </c>
      <c r="C17489">
        <f>ROMAN(17488)</f>
        <v/>
      </c>
      <c r="D17489">
        <f>IF(B17489=C17489, "YES", "WRONG")</f>
        <v/>
      </c>
    </row>
    <row r="17490">
      <c r="A17490" t="n">
        <v>17489</v>
      </c>
      <c r="B17490" t="inlineStr">
        <is>
          <t>x̄V̅MMCDLXXXIX</t>
        </is>
      </c>
      <c r="C17490">
        <f>ROMAN(17489)</f>
        <v/>
      </c>
      <c r="D17490">
        <f>IF(B17490=C17490, "YES", "WRONG")</f>
        <v/>
      </c>
    </row>
    <row r="17491">
      <c r="A17491" t="n">
        <v>17490</v>
      </c>
      <c r="B17491" t="inlineStr">
        <is>
          <t>x̄V̅MMCDXC</t>
        </is>
      </c>
      <c r="C17491">
        <f>ROMAN(17490)</f>
        <v/>
      </c>
      <c r="D17491">
        <f>IF(B17491=C17491, "YES", "WRONG")</f>
        <v/>
      </c>
    </row>
    <row r="17492">
      <c r="A17492" t="n">
        <v>17491</v>
      </c>
      <c r="B17492" t="inlineStr">
        <is>
          <t>x̄V̅MMCDXCI</t>
        </is>
      </c>
      <c r="C17492">
        <f>ROMAN(17491)</f>
        <v/>
      </c>
      <c r="D17492">
        <f>IF(B17492=C17492, "YES", "WRONG")</f>
        <v/>
      </c>
    </row>
    <row r="17493">
      <c r="A17493" t="n">
        <v>17492</v>
      </c>
      <c r="B17493" t="inlineStr">
        <is>
          <t>x̄V̅MMCDXCII</t>
        </is>
      </c>
      <c r="C17493">
        <f>ROMAN(17492)</f>
        <v/>
      </c>
      <c r="D17493">
        <f>IF(B17493=C17493, "YES", "WRONG")</f>
        <v/>
      </c>
    </row>
    <row r="17494">
      <c r="A17494" t="n">
        <v>17493</v>
      </c>
      <c r="B17494" t="inlineStr">
        <is>
          <t>x̄V̅MMCDXCIII</t>
        </is>
      </c>
      <c r="C17494">
        <f>ROMAN(17493)</f>
        <v/>
      </c>
      <c r="D17494">
        <f>IF(B17494=C17494, "YES", "WRONG")</f>
        <v/>
      </c>
    </row>
    <row r="17495">
      <c r="A17495" t="n">
        <v>17494</v>
      </c>
      <c r="B17495" t="inlineStr">
        <is>
          <t>x̄V̅MMCDXCIV</t>
        </is>
      </c>
      <c r="C17495">
        <f>ROMAN(17494)</f>
        <v/>
      </c>
      <c r="D17495">
        <f>IF(B17495=C17495, "YES", "WRONG")</f>
        <v/>
      </c>
    </row>
    <row r="17496">
      <c r="A17496" t="n">
        <v>17495</v>
      </c>
      <c r="B17496" t="inlineStr">
        <is>
          <t>x̄V̅MMCDXCV</t>
        </is>
      </c>
      <c r="C17496">
        <f>ROMAN(17495)</f>
        <v/>
      </c>
      <c r="D17496">
        <f>IF(B17496=C17496, "YES", "WRONG")</f>
        <v/>
      </c>
    </row>
    <row r="17497">
      <c r="A17497" t="n">
        <v>17496</v>
      </c>
      <c r="B17497" t="inlineStr">
        <is>
          <t>x̄V̅MMCDXCVI</t>
        </is>
      </c>
      <c r="C17497">
        <f>ROMAN(17496)</f>
        <v/>
      </c>
      <c r="D17497">
        <f>IF(B17497=C17497, "YES", "WRONG")</f>
        <v/>
      </c>
    </row>
    <row r="17498">
      <c r="A17498" t="n">
        <v>17497</v>
      </c>
      <c r="B17498" t="inlineStr">
        <is>
          <t>x̄V̅MMCDXCVII</t>
        </is>
      </c>
      <c r="C17498">
        <f>ROMAN(17497)</f>
        <v/>
      </c>
      <c r="D17498">
        <f>IF(B17498=C17498, "YES", "WRONG")</f>
        <v/>
      </c>
    </row>
    <row r="17499">
      <c r="A17499" t="n">
        <v>17498</v>
      </c>
      <c r="B17499" t="inlineStr">
        <is>
          <t>x̄V̅MMCDXCVIII</t>
        </is>
      </c>
      <c r="C17499">
        <f>ROMAN(17498)</f>
        <v/>
      </c>
      <c r="D17499">
        <f>IF(B17499=C17499, "YES", "WRONG")</f>
        <v/>
      </c>
    </row>
    <row r="17500">
      <c r="A17500" t="n">
        <v>17499</v>
      </c>
      <c r="B17500" t="inlineStr">
        <is>
          <t>x̄V̅MMCDXCIX</t>
        </is>
      </c>
      <c r="C17500">
        <f>ROMAN(17499)</f>
        <v/>
      </c>
      <c r="D17500">
        <f>IF(B17500=C17500, "YES", "WRONG")</f>
        <v/>
      </c>
    </row>
    <row r="17501">
      <c r="A17501" t="n">
        <v>17500</v>
      </c>
      <c r="B17501" t="inlineStr">
        <is>
          <t>x̄V̅MMD</t>
        </is>
      </c>
      <c r="C17501">
        <f>ROMAN(17500)</f>
        <v/>
      </c>
      <c r="D17501">
        <f>IF(B17501=C17501, "YES", "WRONG")</f>
        <v/>
      </c>
    </row>
    <row r="17502">
      <c r="A17502" t="n">
        <v>17501</v>
      </c>
      <c r="B17502" t="inlineStr">
        <is>
          <t>x̄V̅MMDI</t>
        </is>
      </c>
      <c r="C17502">
        <f>ROMAN(17501)</f>
        <v/>
      </c>
      <c r="D17502">
        <f>IF(B17502=C17502, "YES", "WRONG")</f>
        <v/>
      </c>
    </row>
    <row r="17503">
      <c r="A17503" t="n">
        <v>17502</v>
      </c>
      <c r="B17503" t="inlineStr">
        <is>
          <t>x̄V̅MMDII</t>
        </is>
      </c>
      <c r="C17503">
        <f>ROMAN(17502)</f>
        <v/>
      </c>
      <c r="D17503">
        <f>IF(B17503=C17503, "YES", "WRONG")</f>
        <v/>
      </c>
    </row>
    <row r="17504">
      <c r="A17504" t="n">
        <v>17503</v>
      </c>
      <c r="B17504" t="inlineStr">
        <is>
          <t>x̄V̅MMDIII</t>
        </is>
      </c>
      <c r="C17504">
        <f>ROMAN(17503)</f>
        <v/>
      </c>
      <c r="D17504">
        <f>IF(B17504=C17504, "YES", "WRONG")</f>
        <v/>
      </c>
    </row>
    <row r="17505">
      <c r="A17505" t="n">
        <v>17504</v>
      </c>
      <c r="B17505" t="inlineStr">
        <is>
          <t>x̄V̅MMDIV</t>
        </is>
      </c>
      <c r="C17505">
        <f>ROMAN(17504)</f>
        <v/>
      </c>
      <c r="D17505">
        <f>IF(B17505=C17505, "YES", "WRONG")</f>
        <v/>
      </c>
    </row>
    <row r="17506">
      <c r="A17506" t="n">
        <v>17505</v>
      </c>
      <c r="B17506" t="inlineStr">
        <is>
          <t>x̄V̅MMDV</t>
        </is>
      </c>
      <c r="C17506">
        <f>ROMAN(17505)</f>
        <v/>
      </c>
      <c r="D17506">
        <f>IF(B17506=C17506, "YES", "WRONG")</f>
        <v/>
      </c>
    </row>
    <row r="17507">
      <c r="A17507" t="n">
        <v>17506</v>
      </c>
      <c r="B17507" t="inlineStr">
        <is>
          <t>x̄V̅MMDVI</t>
        </is>
      </c>
      <c r="C17507">
        <f>ROMAN(17506)</f>
        <v/>
      </c>
      <c r="D17507">
        <f>IF(B17507=C17507, "YES", "WRONG")</f>
        <v/>
      </c>
    </row>
    <row r="17508">
      <c r="A17508" t="n">
        <v>17507</v>
      </c>
      <c r="B17508" t="inlineStr">
        <is>
          <t>x̄V̅MMDVII</t>
        </is>
      </c>
      <c r="C17508">
        <f>ROMAN(17507)</f>
        <v/>
      </c>
      <c r="D17508">
        <f>IF(B17508=C17508, "YES", "WRONG")</f>
        <v/>
      </c>
    </row>
    <row r="17509">
      <c r="A17509" t="n">
        <v>17508</v>
      </c>
      <c r="B17509" t="inlineStr">
        <is>
          <t>x̄V̅MMDVIII</t>
        </is>
      </c>
      <c r="C17509">
        <f>ROMAN(17508)</f>
        <v/>
      </c>
      <c r="D17509">
        <f>IF(B17509=C17509, "YES", "WRONG")</f>
        <v/>
      </c>
    </row>
    <row r="17510">
      <c r="A17510" t="n">
        <v>17509</v>
      </c>
      <c r="B17510" t="inlineStr">
        <is>
          <t>x̄V̅MMDIX</t>
        </is>
      </c>
      <c r="C17510">
        <f>ROMAN(17509)</f>
        <v/>
      </c>
      <c r="D17510">
        <f>IF(B17510=C17510, "YES", "WRONG")</f>
        <v/>
      </c>
    </row>
    <row r="17511">
      <c r="A17511" t="n">
        <v>17510</v>
      </c>
      <c r="B17511" t="inlineStr">
        <is>
          <t>x̄V̅MMDX</t>
        </is>
      </c>
      <c r="C17511">
        <f>ROMAN(17510)</f>
        <v/>
      </c>
      <c r="D17511">
        <f>IF(B17511=C17511, "YES", "WRONG")</f>
        <v/>
      </c>
    </row>
    <row r="17512">
      <c r="A17512" t="n">
        <v>17511</v>
      </c>
      <c r="B17512" t="inlineStr">
        <is>
          <t>x̄V̅MMDXI</t>
        </is>
      </c>
      <c r="C17512">
        <f>ROMAN(17511)</f>
        <v/>
      </c>
      <c r="D17512">
        <f>IF(B17512=C17512, "YES", "WRONG")</f>
        <v/>
      </c>
    </row>
    <row r="17513">
      <c r="A17513" t="n">
        <v>17512</v>
      </c>
      <c r="B17513" t="inlineStr">
        <is>
          <t>x̄V̅MMDXII</t>
        </is>
      </c>
      <c r="C17513">
        <f>ROMAN(17512)</f>
        <v/>
      </c>
      <c r="D17513">
        <f>IF(B17513=C17513, "YES", "WRONG")</f>
        <v/>
      </c>
    </row>
    <row r="17514">
      <c r="A17514" t="n">
        <v>17513</v>
      </c>
      <c r="B17514" t="inlineStr">
        <is>
          <t>x̄V̅MMDXIII</t>
        </is>
      </c>
      <c r="C17514">
        <f>ROMAN(17513)</f>
        <v/>
      </c>
      <c r="D17514">
        <f>IF(B17514=C17514, "YES", "WRONG")</f>
        <v/>
      </c>
    </row>
    <row r="17515">
      <c r="A17515" t="n">
        <v>17514</v>
      </c>
      <c r="B17515" t="inlineStr">
        <is>
          <t>x̄V̅MMDXIV</t>
        </is>
      </c>
      <c r="C17515">
        <f>ROMAN(17514)</f>
        <v/>
      </c>
      <c r="D17515">
        <f>IF(B17515=C17515, "YES", "WRONG")</f>
        <v/>
      </c>
    </row>
    <row r="17516">
      <c r="A17516" t="n">
        <v>17515</v>
      </c>
      <c r="B17516" t="inlineStr">
        <is>
          <t>x̄V̅MMDXV</t>
        </is>
      </c>
      <c r="C17516">
        <f>ROMAN(17515)</f>
        <v/>
      </c>
      <c r="D17516">
        <f>IF(B17516=C17516, "YES", "WRONG")</f>
        <v/>
      </c>
    </row>
    <row r="17517">
      <c r="A17517" t="n">
        <v>17516</v>
      </c>
      <c r="B17517" t="inlineStr">
        <is>
          <t>x̄V̅MMDXVI</t>
        </is>
      </c>
      <c r="C17517">
        <f>ROMAN(17516)</f>
        <v/>
      </c>
      <c r="D17517">
        <f>IF(B17517=C17517, "YES", "WRONG")</f>
        <v/>
      </c>
    </row>
    <row r="17518">
      <c r="A17518" t="n">
        <v>17517</v>
      </c>
      <c r="B17518" t="inlineStr">
        <is>
          <t>x̄V̅MMDXVII</t>
        </is>
      </c>
      <c r="C17518">
        <f>ROMAN(17517)</f>
        <v/>
      </c>
      <c r="D17518">
        <f>IF(B17518=C17518, "YES", "WRONG")</f>
        <v/>
      </c>
    </row>
    <row r="17519">
      <c r="A17519" t="n">
        <v>17518</v>
      </c>
      <c r="B17519" t="inlineStr">
        <is>
          <t>x̄V̅MMDXVIII</t>
        </is>
      </c>
      <c r="C17519">
        <f>ROMAN(17518)</f>
        <v/>
      </c>
      <c r="D17519">
        <f>IF(B17519=C17519, "YES", "WRONG")</f>
        <v/>
      </c>
    </row>
    <row r="17520">
      <c r="A17520" t="n">
        <v>17519</v>
      </c>
      <c r="B17520" t="inlineStr">
        <is>
          <t>x̄V̅MMDXIX</t>
        </is>
      </c>
      <c r="C17520">
        <f>ROMAN(17519)</f>
        <v/>
      </c>
      <c r="D17520">
        <f>IF(B17520=C17520, "YES", "WRONG")</f>
        <v/>
      </c>
    </row>
    <row r="17521">
      <c r="A17521" t="n">
        <v>17520</v>
      </c>
      <c r="B17521" t="inlineStr">
        <is>
          <t>x̄V̅MMDXX</t>
        </is>
      </c>
      <c r="C17521">
        <f>ROMAN(17520)</f>
        <v/>
      </c>
      <c r="D17521">
        <f>IF(B17521=C17521, "YES", "WRONG")</f>
        <v/>
      </c>
    </row>
    <row r="17522">
      <c r="A17522" t="n">
        <v>17521</v>
      </c>
      <c r="B17522" t="inlineStr">
        <is>
          <t>x̄V̅MMDXXI</t>
        </is>
      </c>
      <c r="C17522">
        <f>ROMAN(17521)</f>
        <v/>
      </c>
      <c r="D17522">
        <f>IF(B17522=C17522, "YES", "WRONG")</f>
        <v/>
      </c>
    </row>
    <row r="17523">
      <c r="A17523" t="n">
        <v>17522</v>
      </c>
      <c r="B17523" t="inlineStr">
        <is>
          <t>x̄V̅MMDXXII</t>
        </is>
      </c>
      <c r="C17523">
        <f>ROMAN(17522)</f>
        <v/>
      </c>
      <c r="D17523">
        <f>IF(B17523=C17523, "YES", "WRONG")</f>
        <v/>
      </c>
    </row>
    <row r="17524">
      <c r="A17524" t="n">
        <v>17523</v>
      </c>
      <c r="B17524" t="inlineStr">
        <is>
          <t>x̄V̅MMDXXIII</t>
        </is>
      </c>
      <c r="C17524">
        <f>ROMAN(17523)</f>
        <v/>
      </c>
      <c r="D17524">
        <f>IF(B17524=C17524, "YES", "WRONG")</f>
        <v/>
      </c>
    </row>
    <row r="17525">
      <c r="A17525" t="n">
        <v>17524</v>
      </c>
      <c r="B17525" t="inlineStr">
        <is>
          <t>x̄V̅MMDXXIV</t>
        </is>
      </c>
      <c r="C17525">
        <f>ROMAN(17524)</f>
        <v/>
      </c>
      <c r="D17525">
        <f>IF(B17525=C17525, "YES", "WRONG")</f>
        <v/>
      </c>
    </row>
    <row r="17526">
      <c r="A17526" t="n">
        <v>17525</v>
      </c>
      <c r="B17526" t="inlineStr">
        <is>
          <t>x̄V̅MMDXXV</t>
        </is>
      </c>
      <c r="C17526">
        <f>ROMAN(17525)</f>
        <v/>
      </c>
      <c r="D17526">
        <f>IF(B17526=C17526, "YES", "WRONG")</f>
        <v/>
      </c>
    </row>
    <row r="17527">
      <c r="A17527" t="n">
        <v>17526</v>
      </c>
      <c r="B17527" t="inlineStr">
        <is>
          <t>x̄V̅MMDXXVI</t>
        </is>
      </c>
      <c r="C17527">
        <f>ROMAN(17526)</f>
        <v/>
      </c>
      <c r="D17527">
        <f>IF(B17527=C17527, "YES", "WRONG")</f>
        <v/>
      </c>
    </row>
    <row r="17528">
      <c r="A17528" t="n">
        <v>17527</v>
      </c>
      <c r="B17528" t="inlineStr">
        <is>
          <t>x̄V̅MMDXXVII</t>
        </is>
      </c>
      <c r="C17528">
        <f>ROMAN(17527)</f>
        <v/>
      </c>
      <c r="D17528">
        <f>IF(B17528=C17528, "YES", "WRONG")</f>
        <v/>
      </c>
    </row>
    <row r="17529">
      <c r="A17529" t="n">
        <v>17528</v>
      </c>
      <c r="B17529" t="inlineStr">
        <is>
          <t>x̄V̅MMDXXVIII</t>
        </is>
      </c>
      <c r="C17529">
        <f>ROMAN(17528)</f>
        <v/>
      </c>
      <c r="D17529">
        <f>IF(B17529=C17529, "YES", "WRONG")</f>
        <v/>
      </c>
    </row>
    <row r="17530">
      <c r="A17530" t="n">
        <v>17529</v>
      </c>
      <c r="B17530" t="inlineStr">
        <is>
          <t>x̄V̅MMDXXIX</t>
        </is>
      </c>
      <c r="C17530">
        <f>ROMAN(17529)</f>
        <v/>
      </c>
      <c r="D17530">
        <f>IF(B17530=C17530, "YES", "WRONG")</f>
        <v/>
      </c>
    </row>
    <row r="17531">
      <c r="A17531" t="n">
        <v>17530</v>
      </c>
      <c r="B17531" t="inlineStr">
        <is>
          <t>x̄V̅MMDXXX</t>
        </is>
      </c>
      <c r="C17531">
        <f>ROMAN(17530)</f>
        <v/>
      </c>
      <c r="D17531">
        <f>IF(B17531=C17531, "YES", "WRONG")</f>
        <v/>
      </c>
    </row>
    <row r="17532">
      <c r="A17532" t="n">
        <v>17531</v>
      </c>
      <c r="B17532" t="inlineStr">
        <is>
          <t>x̄V̅MMDXXXI</t>
        </is>
      </c>
      <c r="C17532">
        <f>ROMAN(17531)</f>
        <v/>
      </c>
      <c r="D17532">
        <f>IF(B17532=C17532, "YES", "WRONG")</f>
        <v/>
      </c>
    </row>
    <row r="17533">
      <c r="A17533" t="n">
        <v>17532</v>
      </c>
      <c r="B17533" t="inlineStr">
        <is>
          <t>x̄V̅MMDXXXII</t>
        </is>
      </c>
      <c r="C17533">
        <f>ROMAN(17532)</f>
        <v/>
      </c>
      <c r="D17533">
        <f>IF(B17533=C17533, "YES", "WRONG")</f>
        <v/>
      </c>
    </row>
    <row r="17534">
      <c r="A17534" t="n">
        <v>17533</v>
      </c>
      <c r="B17534" t="inlineStr">
        <is>
          <t>x̄V̅MMDXXXIII</t>
        </is>
      </c>
      <c r="C17534">
        <f>ROMAN(17533)</f>
        <v/>
      </c>
      <c r="D17534">
        <f>IF(B17534=C17534, "YES", "WRONG")</f>
        <v/>
      </c>
    </row>
    <row r="17535">
      <c r="A17535" t="n">
        <v>17534</v>
      </c>
      <c r="B17535" t="inlineStr">
        <is>
          <t>x̄V̅MMDXXXIV</t>
        </is>
      </c>
      <c r="C17535">
        <f>ROMAN(17534)</f>
        <v/>
      </c>
      <c r="D17535">
        <f>IF(B17535=C17535, "YES", "WRONG")</f>
        <v/>
      </c>
    </row>
    <row r="17536">
      <c r="A17536" t="n">
        <v>17535</v>
      </c>
      <c r="B17536" t="inlineStr">
        <is>
          <t>x̄V̅MMDXXXV</t>
        </is>
      </c>
      <c r="C17536">
        <f>ROMAN(17535)</f>
        <v/>
      </c>
      <c r="D17536">
        <f>IF(B17536=C17536, "YES", "WRONG")</f>
        <v/>
      </c>
    </row>
    <row r="17537">
      <c r="A17537" t="n">
        <v>17536</v>
      </c>
      <c r="B17537" t="inlineStr">
        <is>
          <t>x̄V̅MMDXXXVI</t>
        </is>
      </c>
      <c r="C17537">
        <f>ROMAN(17536)</f>
        <v/>
      </c>
      <c r="D17537">
        <f>IF(B17537=C17537, "YES", "WRONG")</f>
        <v/>
      </c>
    </row>
    <row r="17538">
      <c r="A17538" t="n">
        <v>17537</v>
      </c>
      <c r="B17538" t="inlineStr">
        <is>
          <t>x̄V̅MMDXXXVII</t>
        </is>
      </c>
      <c r="C17538">
        <f>ROMAN(17537)</f>
        <v/>
      </c>
      <c r="D17538">
        <f>IF(B17538=C17538, "YES", "WRONG")</f>
        <v/>
      </c>
    </row>
    <row r="17539">
      <c r="A17539" t="n">
        <v>17538</v>
      </c>
      <c r="B17539" t="inlineStr">
        <is>
          <t>x̄V̅MMDXXXVIII</t>
        </is>
      </c>
      <c r="C17539">
        <f>ROMAN(17538)</f>
        <v/>
      </c>
      <c r="D17539">
        <f>IF(B17539=C17539, "YES", "WRONG")</f>
        <v/>
      </c>
    </row>
    <row r="17540">
      <c r="A17540" t="n">
        <v>17539</v>
      </c>
      <c r="B17540" t="inlineStr">
        <is>
          <t>x̄V̅MMDXXXIX</t>
        </is>
      </c>
      <c r="C17540">
        <f>ROMAN(17539)</f>
        <v/>
      </c>
      <c r="D17540">
        <f>IF(B17540=C17540, "YES", "WRONG")</f>
        <v/>
      </c>
    </row>
    <row r="17541">
      <c r="A17541" t="n">
        <v>17540</v>
      </c>
      <c r="B17541" t="inlineStr">
        <is>
          <t>x̄V̅MMDXL</t>
        </is>
      </c>
      <c r="C17541">
        <f>ROMAN(17540)</f>
        <v/>
      </c>
      <c r="D17541">
        <f>IF(B17541=C17541, "YES", "WRONG")</f>
        <v/>
      </c>
    </row>
    <row r="17542">
      <c r="A17542" t="n">
        <v>17541</v>
      </c>
      <c r="B17542" t="inlineStr">
        <is>
          <t>x̄V̅MMDXLI</t>
        </is>
      </c>
      <c r="C17542">
        <f>ROMAN(17541)</f>
        <v/>
      </c>
      <c r="D17542">
        <f>IF(B17542=C17542, "YES", "WRONG")</f>
        <v/>
      </c>
    </row>
    <row r="17543">
      <c r="A17543" t="n">
        <v>17542</v>
      </c>
      <c r="B17543" t="inlineStr">
        <is>
          <t>x̄V̅MMDXLII</t>
        </is>
      </c>
      <c r="C17543">
        <f>ROMAN(17542)</f>
        <v/>
      </c>
      <c r="D17543">
        <f>IF(B17543=C17543, "YES", "WRONG")</f>
        <v/>
      </c>
    </row>
    <row r="17544">
      <c r="A17544" t="n">
        <v>17543</v>
      </c>
      <c r="B17544" t="inlineStr">
        <is>
          <t>x̄V̅MMDXLIII</t>
        </is>
      </c>
      <c r="C17544">
        <f>ROMAN(17543)</f>
        <v/>
      </c>
      <c r="D17544">
        <f>IF(B17544=C17544, "YES", "WRONG")</f>
        <v/>
      </c>
    </row>
    <row r="17545">
      <c r="A17545" t="n">
        <v>17544</v>
      </c>
      <c r="B17545" t="inlineStr">
        <is>
          <t>x̄V̅MMDXLIV</t>
        </is>
      </c>
      <c r="C17545">
        <f>ROMAN(17544)</f>
        <v/>
      </c>
      <c r="D17545">
        <f>IF(B17545=C17545, "YES", "WRONG")</f>
        <v/>
      </c>
    </row>
    <row r="17546">
      <c r="A17546" t="n">
        <v>17545</v>
      </c>
      <c r="B17546" t="inlineStr">
        <is>
          <t>x̄V̅MMDXLV</t>
        </is>
      </c>
      <c r="C17546">
        <f>ROMAN(17545)</f>
        <v/>
      </c>
      <c r="D17546">
        <f>IF(B17546=C17546, "YES", "WRONG")</f>
        <v/>
      </c>
    </row>
    <row r="17547">
      <c r="A17547" t="n">
        <v>17546</v>
      </c>
      <c r="B17547" t="inlineStr">
        <is>
          <t>x̄V̅MMDXLVI</t>
        </is>
      </c>
      <c r="C17547">
        <f>ROMAN(17546)</f>
        <v/>
      </c>
      <c r="D17547">
        <f>IF(B17547=C17547, "YES", "WRONG")</f>
        <v/>
      </c>
    </row>
    <row r="17548">
      <c r="A17548" t="n">
        <v>17547</v>
      </c>
      <c r="B17548" t="inlineStr">
        <is>
          <t>x̄V̅MMDXLVII</t>
        </is>
      </c>
      <c r="C17548">
        <f>ROMAN(17547)</f>
        <v/>
      </c>
      <c r="D17548">
        <f>IF(B17548=C17548, "YES", "WRONG")</f>
        <v/>
      </c>
    </row>
    <row r="17549">
      <c r="A17549" t="n">
        <v>17548</v>
      </c>
      <c r="B17549" t="inlineStr">
        <is>
          <t>x̄V̅MMDXLVIII</t>
        </is>
      </c>
      <c r="C17549">
        <f>ROMAN(17548)</f>
        <v/>
      </c>
      <c r="D17549">
        <f>IF(B17549=C17549, "YES", "WRONG")</f>
        <v/>
      </c>
    </row>
    <row r="17550">
      <c r="A17550" t="n">
        <v>17549</v>
      </c>
      <c r="B17550" t="inlineStr">
        <is>
          <t>x̄V̅MMDXLIX</t>
        </is>
      </c>
      <c r="C17550">
        <f>ROMAN(17549)</f>
        <v/>
      </c>
      <c r="D17550">
        <f>IF(B17550=C17550, "YES", "WRONG")</f>
        <v/>
      </c>
    </row>
    <row r="17551">
      <c r="A17551" t="n">
        <v>17550</v>
      </c>
      <c r="B17551" t="inlineStr">
        <is>
          <t>x̄V̅MMDL</t>
        </is>
      </c>
      <c r="C17551">
        <f>ROMAN(17550)</f>
        <v/>
      </c>
      <c r="D17551">
        <f>IF(B17551=C17551, "YES", "WRONG")</f>
        <v/>
      </c>
    </row>
    <row r="17552">
      <c r="A17552" t="n">
        <v>17551</v>
      </c>
      <c r="B17552" t="inlineStr">
        <is>
          <t>x̄V̅MMDLI</t>
        </is>
      </c>
      <c r="C17552">
        <f>ROMAN(17551)</f>
        <v/>
      </c>
      <c r="D17552">
        <f>IF(B17552=C17552, "YES", "WRONG")</f>
        <v/>
      </c>
    </row>
    <row r="17553">
      <c r="A17553" t="n">
        <v>17552</v>
      </c>
      <c r="B17553" t="inlineStr">
        <is>
          <t>x̄V̅MMDLII</t>
        </is>
      </c>
      <c r="C17553">
        <f>ROMAN(17552)</f>
        <v/>
      </c>
      <c r="D17553">
        <f>IF(B17553=C17553, "YES", "WRONG")</f>
        <v/>
      </c>
    </row>
    <row r="17554">
      <c r="A17554" t="n">
        <v>17553</v>
      </c>
      <c r="B17554" t="inlineStr">
        <is>
          <t>x̄V̅MMDLIII</t>
        </is>
      </c>
      <c r="C17554">
        <f>ROMAN(17553)</f>
        <v/>
      </c>
      <c r="D17554">
        <f>IF(B17554=C17554, "YES", "WRONG")</f>
        <v/>
      </c>
    </row>
    <row r="17555">
      <c r="A17555" t="n">
        <v>17554</v>
      </c>
      <c r="B17555" t="inlineStr">
        <is>
          <t>x̄V̅MMDLIV</t>
        </is>
      </c>
      <c r="C17555">
        <f>ROMAN(17554)</f>
        <v/>
      </c>
      <c r="D17555">
        <f>IF(B17555=C17555, "YES", "WRONG")</f>
        <v/>
      </c>
    </row>
    <row r="17556">
      <c r="A17556" t="n">
        <v>17555</v>
      </c>
      <c r="B17556" t="inlineStr">
        <is>
          <t>x̄V̅MMDLV</t>
        </is>
      </c>
      <c r="C17556">
        <f>ROMAN(17555)</f>
        <v/>
      </c>
      <c r="D17556">
        <f>IF(B17556=C17556, "YES", "WRONG")</f>
        <v/>
      </c>
    </row>
    <row r="17557">
      <c r="A17557" t="n">
        <v>17556</v>
      </c>
      <c r="B17557" t="inlineStr">
        <is>
          <t>x̄V̅MMDLVI</t>
        </is>
      </c>
      <c r="C17557">
        <f>ROMAN(17556)</f>
        <v/>
      </c>
      <c r="D17557">
        <f>IF(B17557=C17557, "YES", "WRONG")</f>
        <v/>
      </c>
    </row>
    <row r="17558">
      <c r="A17558" t="n">
        <v>17557</v>
      </c>
      <c r="B17558" t="inlineStr">
        <is>
          <t>x̄V̅MMDLVII</t>
        </is>
      </c>
      <c r="C17558">
        <f>ROMAN(17557)</f>
        <v/>
      </c>
      <c r="D17558">
        <f>IF(B17558=C17558, "YES", "WRONG")</f>
        <v/>
      </c>
    </row>
    <row r="17559">
      <c r="A17559" t="n">
        <v>17558</v>
      </c>
      <c r="B17559" t="inlineStr">
        <is>
          <t>x̄V̅MMDLVIII</t>
        </is>
      </c>
      <c r="C17559">
        <f>ROMAN(17558)</f>
        <v/>
      </c>
      <c r="D17559">
        <f>IF(B17559=C17559, "YES", "WRONG")</f>
        <v/>
      </c>
    </row>
    <row r="17560">
      <c r="A17560" t="n">
        <v>17559</v>
      </c>
      <c r="B17560" t="inlineStr">
        <is>
          <t>x̄V̅MMDLIX</t>
        </is>
      </c>
      <c r="C17560">
        <f>ROMAN(17559)</f>
        <v/>
      </c>
      <c r="D17560">
        <f>IF(B17560=C17560, "YES", "WRONG")</f>
        <v/>
      </c>
    </row>
    <row r="17561">
      <c r="A17561" t="n">
        <v>17560</v>
      </c>
      <c r="B17561" t="inlineStr">
        <is>
          <t>x̄V̅MMDLX</t>
        </is>
      </c>
      <c r="C17561">
        <f>ROMAN(17560)</f>
        <v/>
      </c>
      <c r="D17561">
        <f>IF(B17561=C17561, "YES", "WRONG")</f>
        <v/>
      </c>
    </row>
    <row r="17562">
      <c r="A17562" t="n">
        <v>17561</v>
      </c>
      <c r="B17562" t="inlineStr">
        <is>
          <t>x̄V̅MMDLXI</t>
        </is>
      </c>
      <c r="C17562">
        <f>ROMAN(17561)</f>
        <v/>
      </c>
      <c r="D17562">
        <f>IF(B17562=C17562, "YES", "WRONG")</f>
        <v/>
      </c>
    </row>
    <row r="17563">
      <c r="A17563" t="n">
        <v>17562</v>
      </c>
      <c r="B17563" t="inlineStr">
        <is>
          <t>x̄V̅MMDLXII</t>
        </is>
      </c>
      <c r="C17563">
        <f>ROMAN(17562)</f>
        <v/>
      </c>
      <c r="D17563">
        <f>IF(B17563=C17563, "YES", "WRONG")</f>
        <v/>
      </c>
    </row>
    <row r="17564">
      <c r="A17564" t="n">
        <v>17563</v>
      </c>
      <c r="B17564" t="inlineStr">
        <is>
          <t>x̄V̅MMDLXIII</t>
        </is>
      </c>
      <c r="C17564">
        <f>ROMAN(17563)</f>
        <v/>
      </c>
      <c r="D17564">
        <f>IF(B17564=C17564, "YES", "WRONG")</f>
        <v/>
      </c>
    </row>
    <row r="17565">
      <c r="A17565" t="n">
        <v>17564</v>
      </c>
      <c r="B17565" t="inlineStr">
        <is>
          <t>x̄V̅MMDLXIV</t>
        </is>
      </c>
      <c r="C17565">
        <f>ROMAN(17564)</f>
        <v/>
      </c>
      <c r="D17565">
        <f>IF(B17565=C17565, "YES", "WRONG")</f>
        <v/>
      </c>
    </row>
    <row r="17566">
      <c r="A17566" t="n">
        <v>17565</v>
      </c>
      <c r="B17566" t="inlineStr">
        <is>
          <t>x̄V̅MMDLXV</t>
        </is>
      </c>
      <c r="C17566">
        <f>ROMAN(17565)</f>
        <v/>
      </c>
      <c r="D17566">
        <f>IF(B17566=C17566, "YES", "WRONG")</f>
        <v/>
      </c>
    </row>
    <row r="17567">
      <c r="A17567" t="n">
        <v>17566</v>
      </c>
      <c r="B17567" t="inlineStr">
        <is>
          <t>x̄V̅MMDLXVI</t>
        </is>
      </c>
      <c r="C17567">
        <f>ROMAN(17566)</f>
        <v/>
      </c>
      <c r="D17567">
        <f>IF(B17567=C17567, "YES", "WRONG")</f>
        <v/>
      </c>
    </row>
    <row r="17568">
      <c r="A17568" t="n">
        <v>17567</v>
      </c>
      <c r="B17568" t="inlineStr">
        <is>
          <t>x̄V̅MMDLXVII</t>
        </is>
      </c>
      <c r="C17568">
        <f>ROMAN(17567)</f>
        <v/>
      </c>
      <c r="D17568">
        <f>IF(B17568=C17568, "YES", "WRONG")</f>
        <v/>
      </c>
    </row>
    <row r="17569">
      <c r="A17569" t="n">
        <v>17568</v>
      </c>
      <c r="B17569" t="inlineStr">
        <is>
          <t>x̄V̅MMDLXVIII</t>
        </is>
      </c>
      <c r="C17569">
        <f>ROMAN(17568)</f>
        <v/>
      </c>
      <c r="D17569">
        <f>IF(B17569=C17569, "YES", "WRONG")</f>
        <v/>
      </c>
    </row>
    <row r="17570">
      <c r="A17570" t="n">
        <v>17569</v>
      </c>
      <c r="B17570" t="inlineStr">
        <is>
          <t>x̄V̅MMDLXIX</t>
        </is>
      </c>
      <c r="C17570">
        <f>ROMAN(17569)</f>
        <v/>
      </c>
      <c r="D17570">
        <f>IF(B17570=C17570, "YES", "WRONG")</f>
        <v/>
      </c>
    </row>
    <row r="17571">
      <c r="A17571" t="n">
        <v>17570</v>
      </c>
      <c r="B17571" t="inlineStr">
        <is>
          <t>x̄V̅MMDLXX</t>
        </is>
      </c>
      <c r="C17571">
        <f>ROMAN(17570)</f>
        <v/>
      </c>
      <c r="D17571">
        <f>IF(B17571=C17571, "YES", "WRONG")</f>
        <v/>
      </c>
    </row>
    <row r="17572">
      <c r="A17572" t="n">
        <v>17571</v>
      </c>
      <c r="B17572" t="inlineStr">
        <is>
          <t>x̄V̅MMDLXXI</t>
        </is>
      </c>
      <c r="C17572">
        <f>ROMAN(17571)</f>
        <v/>
      </c>
      <c r="D17572">
        <f>IF(B17572=C17572, "YES", "WRONG")</f>
        <v/>
      </c>
    </row>
    <row r="17573">
      <c r="A17573" t="n">
        <v>17572</v>
      </c>
      <c r="B17573" t="inlineStr">
        <is>
          <t>x̄V̅MMDLXXII</t>
        </is>
      </c>
      <c r="C17573">
        <f>ROMAN(17572)</f>
        <v/>
      </c>
      <c r="D17573">
        <f>IF(B17573=C17573, "YES", "WRONG")</f>
        <v/>
      </c>
    </row>
    <row r="17574">
      <c r="A17574" t="n">
        <v>17573</v>
      </c>
      <c r="B17574" t="inlineStr">
        <is>
          <t>x̄V̅MMDLXXIII</t>
        </is>
      </c>
      <c r="C17574">
        <f>ROMAN(17573)</f>
        <v/>
      </c>
      <c r="D17574">
        <f>IF(B17574=C17574, "YES", "WRONG")</f>
        <v/>
      </c>
    </row>
    <row r="17575">
      <c r="A17575" t="n">
        <v>17574</v>
      </c>
      <c r="B17575" t="inlineStr">
        <is>
          <t>x̄V̅MMDLXXIV</t>
        </is>
      </c>
      <c r="C17575">
        <f>ROMAN(17574)</f>
        <v/>
      </c>
      <c r="D17575">
        <f>IF(B17575=C17575, "YES", "WRONG")</f>
        <v/>
      </c>
    </row>
    <row r="17576">
      <c r="A17576" t="n">
        <v>17575</v>
      </c>
      <c r="B17576" t="inlineStr">
        <is>
          <t>x̄V̅MMDLXXV</t>
        </is>
      </c>
      <c r="C17576">
        <f>ROMAN(17575)</f>
        <v/>
      </c>
      <c r="D17576">
        <f>IF(B17576=C17576, "YES", "WRONG")</f>
        <v/>
      </c>
    </row>
    <row r="17577">
      <c r="A17577" t="n">
        <v>17576</v>
      </c>
      <c r="B17577" t="inlineStr">
        <is>
          <t>x̄V̅MMDLXXVI</t>
        </is>
      </c>
      <c r="C17577">
        <f>ROMAN(17576)</f>
        <v/>
      </c>
      <c r="D17577">
        <f>IF(B17577=C17577, "YES", "WRONG")</f>
        <v/>
      </c>
    </row>
    <row r="17578">
      <c r="A17578" t="n">
        <v>17577</v>
      </c>
      <c r="B17578" t="inlineStr">
        <is>
          <t>x̄V̅MMDLXXVII</t>
        </is>
      </c>
      <c r="C17578">
        <f>ROMAN(17577)</f>
        <v/>
      </c>
      <c r="D17578">
        <f>IF(B17578=C17578, "YES", "WRONG")</f>
        <v/>
      </c>
    </row>
    <row r="17579">
      <c r="A17579" t="n">
        <v>17578</v>
      </c>
      <c r="B17579" t="inlineStr">
        <is>
          <t>x̄V̅MMDLXXVIII</t>
        </is>
      </c>
      <c r="C17579">
        <f>ROMAN(17578)</f>
        <v/>
      </c>
      <c r="D17579">
        <f>IF(B17579=C17579, "YES", "WRONG")</f>
        <v/>
      </c>
    </row>
    <row r="17580">
      <c r="A17580" t="n">
        <v>17579</v>
      </c>
      <c r="B17580" t="inlineStr">
        <is>
          <t>x̄V̅MMDLXXIX</t>
        </is>
      </c>
      <c r="C17580">
        <f>ROMAN(17579)</f>
        <v/>
      </c>
      <c r="D17580">
        <f>IF(B17580=C17580, "YES", "WRONG")</f>
        <v/>
      </c>
    </row>
    <row r="17581">
      <c r="A17581" t="n">
        <v>17580</v>
      </c>
      <c r="B17581" t="inlineStr">
        <is>
          <t>x̄V̅MMDLXXX</t>
        </is>
      </c>
      <c r="C17581">
        <f>ROMAN(17580)</f>
        <v/>
      </c>
      <c r="D17581">
        <f>IF(B17581=C17581, "YES", "WRONG")</f>
        <v/>
      </c>
    </row>
    <row r="17582">
      <c r="A17582" t="n">
        <v>17581</v>
      </c>
      <c r="B17582" t="inlineStr">
        <is>
          <t>x̄V̅MMDLXXXI</t>
        </is>
      </c>
      <c r="C17582">
        <f>ROMAN(17581)</f>
        <v/>
      </c>
      <c r="D17582">
        <f>IF(B17582=C17582, "YES", "WRONG")</f>
        <v/>
      </c>
    </row>
    <row r="17583">
      <c r="A17583" t="n">
        <v>17582</v>
      </c>
      <c r="B17583" t="inlineStr">
        <is>
          <t>x̄V̅MMDLXXXII</t>
        </is>
      </c>
      <c r="C17583">
        <f>ROMAN(17582)</f>
        <v/>
      </c>
      <c r="D17583">
        <f>IF(B17583=C17583, "YES", "WRONG")</f>
        <v/>
      </c>
    </row>
    <row r="17584">
      <c r="A17584" t="n">
        <v>17583</v>
      </c>
      <c r="B17584" t="inlineStr">
        <is>
          <t>x̄V̅MMDLXXXIII</t>
        </is>
      </c>
      <c r="C17584">
        <f>ROMAN(17583)</f>
        <v/>
      </c>
      <c r="D17584">
        <f>IF(B17584=C17584, "YES", "WRONG")</f>
        <v/>
      </c>
    </row>
    <row r="17585">
      <c r="A17585" t="n">
        <v>17584</v>
      </c>
      <c r="B17585" t="inlineStr">
        <is>
          <t>x̄V̅MMDLXXXIV</t>
        </is>
      </c>
      <c r="C17585">
        <f>ROMAN(17584)</f>
        <v/>
      </c>
      <c r="D17585">
        <f>IF(B17585=C17585, "YES", "WRONG")</f>
        <v/>
      </c>
    </row>
    <row r="17586">
      <c r="A17586" t="n">
        <v>17585</v>
      </c>
      <c r="B17586" t="inlineStr">
        <is>
          <t>x̄V̅MMDLXXXV</t>
        </is>
      </c>
      <c r="C17586">
        <f>ROMAN(17585)</f>
        <v/>
      </c>
      <c r="D17586">
        <f>IF(B17586=C17586, "YES", "WRONG")</f>
        <v/>
      </c>
    </row>
    <row r="17587">
      <c r="A17587" t="n">
        <v>17586</v>
      </c>
      <c r="B17587" t="inlineStr">
        <is>
          <t>x̄V̅MMDLXXXVI</t>
        </is>
      </c>
      <c r="C17587">
        <f>ROMAN(17586)</f>
        <v/>
      </c>
      <c r="D17587">
        <f>IF(B17587=C17587, "YES", "WRONG")</f>
        <v/>
      </c>
    </row>
    <row r="17588">
      <c r="A17588" t="n">
        <v>17587</v>
      </c>
      <c r="B17588" t="inlineStr">
        <is>
          <t>x̄V̅MMDLXXXVII</t>
        </is>
      </c>
      <c r="C17588">
        <f>ROMAN(17587)</f>
        <v/>
      </c>
      <c r="D17588">
        <f>IF(B17588=C17588, "YES", "WRONG")</f>
        <v/>
      </c>
    </row>
    <row r="17589">
      <c r="A17589" t="n">
        <v>17588</v>
      </c>
      <c r="B17589" t="inlineStr">
        <is>
          <t>x̄V̅MMDLXXXVIII</t>
        </is>
      </c>
      <c r="C17589">
        <f>ROMAN(17588)</f>
        <v/>
      </c>
      <c r="D17589">
        <f>IF(B17589=C17589, "YES", "WRONG")</f>
        <v/>
      </c>
    </row>
    <row r="17590">
      <c r="A17590" t="n">
        <v>17589</v>
      </c>
      <c r="B17590" t="inlineStr">
        <is>
          <t>x̄V̅MMDLXXXIX</t>
        </is>
      </c>
      <c r="C17590">
        <f>ROMAN(17589)</f>
        <v/>
      </c>
      <c r="D17590">
        <f>IF(B17590=C17590, "YES", "WRONG")</f>
        <v/>
      </c>
    </row>
    <row r="17591">
      <c r="A17591" t="n">
        <v>17590</v>
      </c>
      <c r="B17591" t="inlineStr">
        <is>
          <t>x̄V̅MMDXC</t>
        </is>
      </c>
      <c r="C17591">
        <f>ROMAN(17590)</f>
        <v/>
      </c>
      <c r="D17591">
        <f>IF(B17591=C17591, "YES", "WRONG")</f>
        <v/>
      </c>
    </row>
    <row r="17592">
      <c r="A17592" t="n">
        <v>17591</v>
      </c>
      <c r="B17592" t="inlineStr">
        <is>
          <t>x̄V̅MMDXCI</t>
        </is>
      </c>
      <c r="C17592">
        <f>ROMAN(17591)</f>
        <v/>
      </c>
      <c r="D17592">
        <f>IF(B17592=C17592, "YES", "WRONG")</f>
        <v/>
      </c>
    </row>
    <row r="17593">
      <c r="A17593" t="n">
        <v>17592</v>
      </c>
      <c r="B17593" t="inlineStr">
        <is>
          <t>x̄V̅MMDXCII</t>
        </is>
      </c>
      <c r="C17593">
        <f>ROMAN(17592)</f>
        <v/>
      </c>
      <c r="D17593">
        <f>IF(B17593=C17593, "YES", "WRONG")</f>
        <v/>
      </c>
    </row>
    <row r="17594">
      <c r="A17594" t="n">
        <v>17593</v>
      </c>
      <c r="B17594" t="inlineStr">
        <is>
          <t>x̄V̅MMDXCIII</t>
        </is>
      </c>
      <c r="C17594">
        <f>ROMAN(17593)</f>
        <v/>
      </c>
      <c r="D17594">
        <f>IF(B17594=C17594, "YES", "WRONG")</f>
        <v/>
      </c>
    </row>
    <row r="17595">
      <c r="A17595" t="n">
        <v>17594</v>
      </c>
      <c r="B17595" t="inlineStr">
        <is>
          <t>x̄V̅MMDXCIV</t>
        </is>
      </c>
      <c r="C17595">
        <f>ROMAN(17594)</f>
        <v/>
      </c>
      <c r="D17595">
        <f>IF(B17595=C17595, "YES", "WRONG")</f>
        <v/>
      </c>
    </row>
    <row r="17596">
      <c r="A17596" t="n">
        <v>17595</v>
      </c>
      <c r="B17596" t="inlineStr">
        <is>
          <t>x̄V̅MMDXCV</t>
        </is>
      </c>
      <c r="C17596">
        <f>ROMAN(17595)</f>
        <v/>
      </c>
      <c r="D17596">
        <f>IF(B17596=C17596, "YES", "WRONG")</f>
        <v/>
      </c>
    </row>
    <row r="17597">
      <c r="A17597" t="n">
        <v>17596</v>
      </c>
      <c r="B17597" t="inlineStr">
        <is>
          <t>x̄V̅MMDXCVI</t>
        </is>
      </c>
      <c r="C17597">
        <f>ROMAN(17596)</f>
        <v/>
      </c>
      <c r="D17597">
        <f>IF(B17597=C17597, "YES", "WRONG")</f>
        <v/>
      </c>
    </row>
    <row r="17598">
      <c r="A17598" t="n">
        <v>17597</v>
      </c>
      <c r="B17598" t="inlineStr">
        <is>
          <t>x̄V̅MMDXCVII</t>
        </is>
      </c>
      <c r="C17598">
        <f>ROMAN(17597)</f>
        <v/>
      </c>
      <c r="D17598">
        <f>IF(B17598=C17598, "YES", "WRONG")</f>
        <v/>
      </c>
    </row>
    <row r="17599">
      <c r="A17599" t="n">
        <v>17598</v>
      </c>
      <c r="B17599" t="inlineStr">
        <is>
          <t>x̄V̅MMDXCVIII</t>
        </is>
      </c>
      <c r="C17599">
        <f>ROMAN(17598)</f>
        <v/>
      </c>
      <c r="D17599">
        <f>IF(B17599=C17599, "YES", "WRONG")</f>
        <v/>
      </c>
    </row>
    <row r="17600">
      <c r="A17600" t="n">
        <v>17599</v>
      </c>
      <c r="B17600" t="inlineStr">
        <is>
          <t>x̄V̅MMDXCIX</t>
        </is>
      </c>
      <c r="C17600">
        <f>ROMAN(17599)</f>
        <v/>
      </c>
      <c r="D17600">
        <f>IF(B17600=C17600, "YES", "WRONG")</f>
        <v/>
      </c>
    </row>
    <row r="17601">
      <c r="A17601" t="n">
        <v>17600</v>
      </c>
      <c r="B17601" t="inlineStr">
        <is>
          <t>x̄V̅MMDC</t>
        </is>
      </c>
      <c r="C17601">
        <f>ROMAN(17600)</f>
        <v/>
      </c>
      <c r="D17601">
        <f>IF(B17601=C17601, "YES", "WRONG")</f>
        <v/>
      </c>
    </row>
    <row r="17602">
      <c r="A17602" t="n">
        <v>17601</v>
      </c>
      <c r="B17602" t="inlineStr">
        <is>
          <t>x̄V̅MMDCI</t>
        </is>
      </c>
      <c r="C17602">
        <f>ROMAN(17601)</f>
        <v/>
      </c>
      <c r="D17602">
        <f>IF(B17602=C17602, "YES", "WRONG")</f>
        <v/>
      </c>
    </row>
    <row r="17603">
      <c r="A17603" t="n">
        <v>17602</v>
      </c>
      <c r="B17603" t="inlineStr">
        <is>
          <t>x̄V̅MMDCII</t>
        </is>
      </c>
      <c r="C17603">
        <f>ROMAN(17602)</f>
        <v/>
      </c>
      <c r="D17603">
        <f>IF(B17603=C17603, "YES", "WRONG")</f>
        <v/>
      </c>
    </row>
    <row r="17604">
      <c r="A17604" t="n">
        <v>17603</v>
      </c>
      <c r="B17604" t="inlineStr">
        <is>
          <t>x̄V̅MMDCIII</t>
        </is>
      </c>
      <c r="C17604">
        <f>ROMAN(17603)</f>
        <v/>
      </c>
      <c r="D17604">
        <f>IF(B17604=C17604, "YES", "WRONG")</f>
        <v/>
      </c>
    </row>
    <row r="17605">
      <c r="A17605" t="n">
        <v>17604</v>
      </c>
      <c r="B17605" t="inlineStr">
        <is>
          <t>x̄V̅MMDCIV</t>
        </is>
      </c>
      <c r="C17605">
        <f>ROMAN(17604)</f>
        <v/>
      </c>
      <c r="D17605">
        <f>IF(B17605=C17605, "YES", "WRONG")</f>
        <v/>
      </c>
    </row>
    <row r="17606">
      <c r="A17606" t="n">
        <v>17605</v>
      </c>
      <c r="B17606" t="inlineStr">
        <is>
          <t>x̄V̅MMDCV</t>
        </is>
      </c>
      <c r="C17606">
        <f>ROMAN(17605)</f>
        <v/>
      </c>
      <c r="D17606">
        <f>IF(B17606=C17606, "YES", "WRONG")</f>
        <v/>
      </c>
    </row>
    <row r="17607">
      <c r="A17607" t="n">
        <v>17606</v>
      </c>
      <c r="B17607" t="inlineStr">
        <is>
          <t>x̄V̅MMDCVI</t>
        </is>
      </c>
      <c r="C17607">
        <f>ROMAN(17606)</f>
        <v/>
      </c>
      <c r="D17607">
        <f>IF(B17607=C17607, "YES", "WRONG")</f>
        <v/>
      </c>
    </row>
    <row r="17608">
      <c r="A17608" t="n">
        <v>17607</v>
      </c>
      <c r="B17608" t="inlineStr">
        <is>
          <t>x̄V̅MMDCVII</t>
        </is>
      </c>
      <c r="C17608">
        <f>ROMAN(17607)</f>
        <v/>
      </c>
      <c r="D17608">
        <f>IF(B17608=C17608, "YES", "WRONG")</f>
        <v/>
      </c>
    </row>
    <row r="17609">
      <c r="A17609" t="n">
        <v>17608</v>
      </c>
      <c r="B17609" t="inlineStr">
        <is>
          <t>x̄V̅MMDCVIII</t>
        </is>
      </c>
      <c r="C17609">
        <f>ROMAN(17608)</f>
        <v/>
      </c>
      <c r="D17609">
        <f>IF(B17609=C17609, "YES", "WRONG")</f>
        <v/>
      </c>
    </row>
    <row r="17610">
      <c r="A17610" t="n">
        <v>17609</v>
      </c>
      <c r="B17610" t="inlineStr">
        <is>
          <t>x̄V̅MMDCIX</t>
        </is>
      </c>
      <c r="C17610">
        <f>ROMAN(17609)</f>
        <v/>
      </c>
      <c r="D17610">
        <f>IF(B17610=C17610, "YES", "WRONG")</f>
        <v/>
      </c>
    </row>
    <row r="17611">
      <c r="A17611" t="n">
        <v>17610</v>
      </c>
      <c r="B17611" t="inlineStr">
        <is>
          <t>x̄V̅MMDCX</t>
        </is>
      </c>
      <c r="C17611">
        <f>ROMAN(17610)</f>
        <v/>
      </c>
      <c r="D17611">
        <f>IF(B17611=C17611, "YES", "WRONG")</f>
        <v/>
      </c>
    </row>
    <row r="17612">
      <c r="A17612" t="n">
        <v>17611</v>
      </c>
      <c r="B17612" t="inlineStr">
        <is>
          <t>x̄V̅MMDCXI</t>
        </is>
      </c>
      <c r="C17612">
        <f>ROMAN(17611)</f>
        <v/>
      </c>
      <c r="D17612">
        <f>IF(B17612=C17612, "YES", "WRONG")</f>
        <v/>
      </c>
    </row>
    <row r="17613">
      <c r="A17613" t="n">
        <v>17612</v>
      </c>
      <c r="B17613" t="inlineStr">
        <is>
          <t>x̄V̅MMDCXII</t>
        </is>
      </c>
      <c r="C17613">
        <f>ROMAN(17612)</f>
        <v/>
      </c>
      <c r="D17613">
        <f>IF(B17613=C17613, "YES", "WRONG")</f>
        <v/>
      </c>
    </row>
    <row r="17614">
      <c r="A17614" t="n">
        <v>17613</v>
      </c>
      <c r="B17614" t="inlineStr">
        <is>
          <t>x̄V̅MMDCXIII</t>
        </is>
      </c>
      <c r="C17614">
        <f>ROMAN(17613)</f>
        <v/>
      </c>
      <c r="D17614">
        <f>IF(B17614=C17614, "YES", "WRONG")</f>
        <v/>
      </c>
    </row>
    <row r="17615">
      <c r="A17615" t="n">
        <v>17614</v>
      </c>
      <c r="B17615" t="inlineStr">
        <is>
          <t>x̄V̅MMDCXIV</t>
        </is>
      </c>
      <c r="C17615">
        <f>ROMAN(17614)</f>
        <v/>
      </c>
      <c r="D17615">
        <f>IF(B17615=C17615, "YES", "WRONG")</f>
        <v/>
      </c>
    </row>
    <row r="17616">
      <c r="A17616" t="n">
        <v>17615</v>
      </c>
      <c r="B17616" t="inlineStr">
        <is>
          <t>x̄V̅MMDCXV</t>
        </is>
      </c>
      <c r="C17616">
        <f>ROMAN(17615)</f>
        <v/>
      </c>
      <c r="D17616">
        <f>IF(B17616=C17616, "YES", "WRONG")</f>
        <v/>
      </c>
    </row>
    <row r="17617">
      <c r="A17617" t="n">
        <v>17616</v>
      </c>
      <c r="B17617" t="inlineStr">
        <is>
          <t>x̄V̅MMDCXVI</t>
        </is>
      </c>
      <c r="C17617">
        <f>ROMAN(17616)</f>
        <v/>
      </c>
      <c r="D17617">
        <f>IF(B17617=C17617, "YES", "WRONG")</f>
        <v/>
      </c>
    </row>
    <row r="17618">
      <c r="A17618" t="n">
        <v>17617</v>
      </c>
      <c r="B17618" t="inlineStr">
        <is>
          <t>x̄V̅MMDCXVII</t>
        </is>
      </c>
      <c r="C17618">
        <f>ROMAN(17617)</f>
        <v/>
      </c>
      <c r="D17618">
        <f>IF(B17618=C17618, "YES", "WRONG")</f>
        <v/>
      </c>
    </row>
    <row r="17619">
      <c r="A17619" t="n">
        <v>17618</v>
      </c>
      <c r="B17619" t="inlineStr">
        <is>
          <t>x̄V̅MMDCXVIII</t>
        </is>
      </c>
      <c r="C17619">
        <f>ROMAN(17618)</f>
        <v/>
      </c>
      <c r="D17619">
        <f>IF(B17619=C17619, "YES", "WRONG")</f>
        <v/>
      </c>
    </row>
    <row r="17620">
      <c r="A17620" t="n">
        <v>17619</v>
      </c>
      <c r="B17620" t="inlineStr">
        <is>
          <t>x̄V̅MMDCXIX</t>
        </is>
      </c>
      <c r="C17620">
        <f>ROMAN(17619)</f>
        <v/>
      </c>
      <c r="D17620">
        <f>IF(B17620=C17620, "YES", "WRONG")</f>
        <v/>
      </c>
    </row>
    <row r="17621">
      <c r="A17621" t="n">
        <v>17620</v>
      </c>
      <c r="B17621" t="inlineStr">
        <is>
          <t>x̄V̅MMDCXX</t>
        </is>
      </c>
      <c r="C17621">
        <f>ROMAN(17620)</f>
        <v/>
      </c>
      <c r="D17621">
        <f>IF(B17621=C17621, "YES", "WRONG")</f>
        <v/>
      </c>
    </row>
    <row r="17622">
      <c r="A17622" t="n">
        <v>17621</v>
      </c>
      <c r="B17622" t="inlineStr">
        <is>
          <t>x̄V̅MMDCXXI</t>
        </is>
      </c>
      <c r="C17622">
        <f>ROMAN(17621)</f>
        <v/>
      </c>
      <c r="D17622">
        <f>IF(B17622=C17622, "YES", "WRONG")</f>
        <v/>
      </c>
    </row>
    <row r="17623">
      <c r="A17623" t="n">
        <v>17622</v>
      </c>
      <c r="B17623" t="inlineStr">
        <is>
          <t>x̄V̅MMDCXXII</t>
        </is>
      </c>
      <c r="C17623">
        <f>ROMAN(17622)</f>
        <v/>
      </c>
      <c r="D17623">
        <f>IF(B17623=C17623, "YES", "WRONG")</f>
        <v/>
      </c>
    </row>
    <row r="17624">
      <c r="A17624" t="n">
        <v>17623</v>
      </c>
      <c r="B17624" t="inlineStr">
        <is>
          <t>x̄V̅MMDCXXIII</t>
        </is>
      </c>
      <c r="C17624">
        <f>ROMAN(17623)</f>
        <v/>
      </c>
      <c r="D17624">
        <f>IF(B17624=C17624, "YES", "WRONG")</f>
        <v/>
      </c>
    </row>
    <row r="17625">
      <c r="A17625" t="n">
        <v>17624</v>
      </c>
      <c r="B17625" t="inlineStr">
        <is>
          <t>x̄V̅MMDCXXIV</t>
        </is>
      </c>
      <c r="C17625">
        <f>ROMAN(17624)</f>
        <v/>
      </c>
      <c r="D17625">
        <f>IF(B17625=C17625, "YES", "WRONG")</f>
        <v/>
      </c>
    </row>
    <row r="17626">
      <c r="A17626" t="n">
        <v>17625</v>
      </c>
      <c r="B17626" t="inlineStr">
        <is>
          <t>x̄V̅MMDCXXV</t>
        </is>
      </c>
      <c r="C17626">
        <f>ROMAN(17625)</f>
        <v/>
      </c>
      <c r="D17626">
        <f>IF(B17626=C17626, "YES", "WRONG")</f>
        <v/>
      </c>
    </row>
    <row r="17627">
      <c r="A17627" t="n">
        <v>17626</v>
      </c>
      <c r="B17627" t="inlineStr">
        <is>
          <t>x̄V̅MMDCXXVI</t>
        </is>
      </c>
      <c r="C17627">
        <f>ROMAN(17626)</f>
        <v/>
      </c>
      <c r="D17627">
        <f>IF(B17627=C17627, "YES", "WRONG")</f>
        <v/>
      </c>
    </row>
    <row r="17628">
      <c r="A17628" t="n">
        <v>17627</v>
      </c>
      <c r="B17628" t="inlineStr">
        <is>
          <t>x̄V̅MMDCXXVII</t>
        </is>
      </c>
      <c r="C17628">
        <f>ROMAN(17627)</f>
        <v/>
      </c>
      <c r="D17628">
        <f>IF(B17628=C17628, "YES", "WRONG")</f>
        <v/>
      </c>
    </row>
    <row r="17629">
      <c r="A17629" t="n">
        <v>17628</v>
      </c>
      <c r="B17629" t="inlineStr">
        <is>
          <t>x̄V̅MMDCXXVIII</t>
        </is>
      </c>
      <c r="C17629">
        <f>ROMAN(17628)</f>
        <v/>
      </c>
      <c r="D17629">
        <f>IF(B17629=C17629, "YES", "WRONG")</f>
        <v/>
      </c>
    </row>
    <row r="17630">
      <c r="A17630" t="n">
        <v>17629</v>
      </c>
      <c r="B17630" t="inlineStr">
        <is>
          <t>x̄V̅MMDCXXIX</t>
        </is>
      </c>
      <c r="C17630">
        <f>ROMAN(17629)</f>
        <v/>
      </c>
      <c r="D17630">
        <f>IF(B17630=C17630, "YES", "WRONG")</f>
        <v/>
      </c>
    </row>
    <row r="17631">
      <c r="A17631" t="n">
        <v>17630</v>
      </c>
      <c r="B17631" t="inlineStr">
        <is>
          <t>x̄V̅MMDCXXX</t>
        </is>
      </c>
      <c r="C17631">
        <f>ROMAN(17630)</f>
        <v/>
      </c>
      <c r="D17631">
        <f>IF(B17631=C17631, "YES", "WRONG")</f>
        <v/>
      </c>
    </row>
    <row r="17632">
      <c r="A17632" t="n">
        <v>17631</v>
      </c>
      <c r="B17632" t="inlineStr">
        <is>
          <t>x̄V̅MMDCXXXI</t>
        </is>
      </c>
      <c r="C17632">
        <f>ROMAN(17631)</f>
        <v/>
      </c>
      <c r="D17632">
        <f>IF(B17632=C17632, "YES", "WRONG")</f>
        <v/>
      </c>
    </row>
    <row r="17633">
      <c r="A17633" t="n">
        <v>17632</v>
      </c>
      <c r="B17633" t="inlineStr">
        <is>
          <t>x̄V̅MMDCXXXII</t>
        </is>
      </c>
      <c r="C17633">
        <f>ROMAN(17632)</f>
        <v/>
      </c>
      <c r="D17633">
        <f>IF(B17633=C17633, "YES", "WRONG")</f>
        <v/>
      </c>
    </row>
    <row r="17634">
      <c r="A17634" t="n">
        <v>17633</v>
      </c>
      <c r="B17634" t="inlineStr">
        <is>
          <t>x̄V̅MMDCXXXIII</t>
        </is>
      </c>
      <c r="C17634">
        <f>ROMAN(17633)</f>
        <v/>
      </c>
      <c r="D17634">
        <f>IF(B17634=C17634, "YES", "WRONG")</f>
        <v/>
      </c>
    </row>
    <row r="17635">
      <c r="A17635" t="n">
        <v>17634</v>
      </c>
      <c r="B17635" t="inlineStr">
        <is>
          <t>x̄V̅MMDCXXXIV</t>
        </is>
      </c>
      <c r="C17635">
        <f>ROMAN(17634)</f>
        <v/>
      </c>
      <c r="D17635">
        <f>IF(B17635=C17635, "YES", "WRONG")</f>
        <v/>
      </c>
    </row>
    <row r="17636">
      <c r="A17636" t="n">
        <v>17635</v>
      </c>
      <c r="B17636" t="inlineStr">
        <is>
          <t>x̄V̅MMDCXXXV</t>
        </is>
      </c>
      <c r="C17636">
        <f>ROMAN(17635)</f>
        <v/>
      </c>
      <c r="D17636">
        <f>IF(B17636=C17636, "YES", "WRONG")</f>
        <v/>
      </c>
    </row>
    <row r="17637">
      <c r="A17637" t="n">
        <v>17636</v>
      </c>
      <c r="B17637" t="inlineStr">
        <is>
          <t>x̄V̅MMDCXXXVI</t>
        </is>
      </c>
      <c r="C17637">
        <f>ROMAN(17636)</f>
        <v/>
      </c>
      <c r="D17637">
        <f>IF(B17637=C17637, "YES", "WRONG")</f>
        <v/>
      </c>
    </row>
    <row r="17638">
      <c r="A17638" t="n">
        <v>17637</v>
      </c>
      <c r="B17638" t="inlineStr">
        <is>
          <t>x̄V̅MMDCXXXVII</t>
        </is>
      </c>
      <c r="C17638">
        <f>ROMAN(17637)</f>
        <v/>
      </c>
      <c r="D17638">
        <f>IF(B17638=C17638, "YES", "WRONG")</f>
        <v/>
      </c>
    </row>
    <row r="17639">
      <c r="A17639" t="n">
        <v>17638</v>
      </c>
      <c r="B17639" t="inlineStr">
        <is>
          <t>x̄V̅MMDCXXXVIII</t>
        </is>
      </c>
      <c r="C17639">
        <f>ROMAN(17638)</f>
        <v/>
      </c>
      <c r="D17639">
        <f>IF(B17639=C17639, "YES", "WRONG")</f>
        <v/>
      </c>
    </row>
    <row r="17640">
      <c r="A17640" t="n">
        <v>17639</v>
      </c>
      <c r="B17640" t="inlineStr">
        <is>
          <t>x̄V̅MMDCXXXIX</t>
        </is>
      </c>
      <c r="C17640">
        <f>ROMAN(17639)</f>
        <v/>
      </c>
      <c r="D17640">
        <f>IF(B17640=C17640, "YES", "WRONG")</f>
        <v/>
      </c>
    </row>
    <row r="17641">
      <c r="A17641" t="n">
        <v>17640</v>
      </c>
      <c r="B17641" t="inlineStr">
        <is>
          <t>x̄V̅MMDCXL</t>
        </is>
      </c>
      <c r="C17641">
        <f>ROMAN(17640)</f>
        <v/>
      </c>
      <c r="D17641">
        <f>IF(B17641=C17641, "YES", "WRONG")</f>
        <v/>
      </c>
    </row>
    <row r="17642">
      <c r="A17642" t="n">
        <v>17641</v>
      </c>
      <c r="B17642" t="inlineStr">
        <is>
          <t>x̄V̅MMDCXLI</t>
        </is>
      </c>
      <c r="C17642">
        <f>ROMAN(17641)</f>
        <v/>
      </c>
      <c r="D17642">
        <f>IF(B17642=C17642, "YES", "WRONG")</f>
        <v/>
      </c>
    </row>
    <row r="17643">
      <c r="A17643" t="n">
        <v>17642</v>
      </c>
      <c r="B17643" t="inlineStr">
        <is>
          <t>x̄V̅MMDCXLII</t>
        </is>
      </c>
      <c r="C17643">
        <f>ROMAN(17642)</f>
        <v/>
      </c>
      <c r="D17643">
        <f>IF(B17643=C17643, "YES", "WRONG")</f>
        <v/>
      </c>
    </row>
    <row r="17644">
      <c r="A17644" t="n">
        <v>17643</v>
      </c>
      <c r="B17644" t="inlineStr">
        <is>
          <t>x̄V̅MMDCXLIII</t>
        </is>
      </c>
      <c r="C17644">
        <f>ROMAN(17643)</f>
        <v/>
      </c>
      <c r="D17644">
        <f>IF(B17644=C17644, "YES", "WRONG")</f>
        <v/>
      </c>
    </row>
    <row r="17645">
      <c r="A17645" t="n">
        <v>17644</v>
      </c>
      <c r="B17645" t="inlineStr">
        <is>
          <t>x̄V̅MMDCXLIV</t>
        </is>
      </c>
      <c r="C17645">
        <f>ROMAN(17644)</f>
        <v/>
      </c>
      <c r="D17645">
        <f>IF(B17645=C17645, "YES", "WRONG")</f>
        <v/>
      </c>
    </row>
    <row r="17646">
      <c r="A17646" t="n">
        <v>17645</v>
      </c>
      <c r="B17646" t="inlineStr">
        <is>
          <t>x̄V̅MMDCXLV</t>
        </is>
      </c>
      <c r="C17646">
        <f>ROMAN(17645)</f>
        <v/>
      </c>
      <c r="D17646">
        <f>IF(B17646=C17646, "YES", "WRONG")</f>
        <v/>
      </c>
    </row>
    <row r="17647">
      <c r="A17647" t="n">
        <v>17646</v>
      </c>
      <c r="B17647" t="inlineStr">
        <is>
          <t>x̄V̅MMDCXLVI</t>
        </is>
      </c>
      <c r="C17647">
        <f>ROMAN(17646)</f>
        <v/>
      </c>
      <c r="D17647">
        <f>IF(B17647=C17647, "YES", "WRONG")</f>
        <v/>
      </c>
    </row>
    <row r="17648">
      <c r="A17648" t="n">
        <v>17647</v>
      </c>
      <c r="B17648" t="inlineStr">
        <is>
          <t>x̄V̅MMDCXLVII</t>
        </is>
      </c>
      <c r="C17648">
        <f>ROMAN(17647)</f>
        <v/>
      </c>
      <c r="D17648">
        <f>IF(B17648=C17648, "YES", "WRONG")</f>
        <v/>
      </c>
    </row>
    <row r="17649">
      <c r="A17649" t="n">
        <v>17648</v>
      </c>
      <c r="B17649" t="inlineStr">
        <is>
          <t>x̄V̅MMDCXLVIII</t>
        </is>
      </c>
      <c r="C17649">
        <f>ROMAN(17648)</f>
        <v/>
      </c>
      <c r="D17649">
        <f>IF(B17649=C17649, "YES", "WRONG")</f>
        <v/>
      </c>
    </row>
    <row r="17650">
      <c r="A17650" t="n">
        <v>17649</v>
      </c>
      <c r="B17650" t="inlineStr">
        <is>
          <t>x̄V̅MMDCXLIX</t>
        </is>
      </c>
      <c r="C17650">
        <f>ROMAN(17649)</f>
        <v/>
      </c>
      <c r="D17650">
        <f>IF(B17650=C17650, "YES", "WRONG")</f>
        <v/>
      </c>
    </row>
    <row r="17651">
      <c r="A17651" t="n">
        <v>17650</v>
      </c>
      <c r="B17651" t="inlineStr">
        <is>
          <t>x̄V̅MMDCL</t>
        </is>
      </c>
      <c r="C17651">
        <f>ROMAN(17650)</f>
        <v/>
      </c>
      <c r="D17651">
        <f>IF(B17651=C17651, "YES", "WRONG")</f>
        <v/>
      </c>
    </row>
    <row r="17652">
      <c r="A17652" t="n">
        <v>17651</v>
      </c>
      <c r="B17652" t="inlineStr">
        <is>
          <t>x̄V̅MMDCLI</t>
        </is>
      </c>
      <c r="C17652">
        <f>ROMAN(17651)</f>
        <v/>
      </c>
      <c r="D17652">
        <f>IF(B17652=C17652, "YES", "WRONG")</f>
        <v/>
      </c>
    </row>
    <row r="17653">
      <c r="A17653" t="n">
        <v>17652</v>
      </c>
      <c r="B17653" t="inlineStr">
        <is>
          <t>x̄V̅MMDCLII</t>
        </is>
      </c>
      <c r="C17653">
        <f>ROMAN(17652)</f>
        <v/>
      </c>
      <c r="D17653">
        <f>IF(B17653=C17653, "YES", "WRONG")</f>
        <v/>
      </c>
    </row>
    <row r="17654">
      <c r="A17654" t="n">
        <v>17653</v>
      </c>
      <c r="B17654" t="inlineStr">
        <is>
          <t>x̄V̅MMDCLIII</t>
        </is>
      </c>
      <c r="C17654">
        <f>ROMAN(17653)</f>
        <v/>
      </c>
      <c r="D17654">
        <f>IF(B17654=C17654, "YES", "WRONG")</f>
        <v/>
      </c>
    </row>
    <row r="17655">
      <c r="A17655" t="n">
        <v>17654</v>
      </c>
      <c r="B17655" t="inlineStr">
        <is>
          <t>x̄V̅MMDCLIV</t>
        </is>
      </c>
      <c r="C17655">
        <f>ROMAN(17654)</f>
        <v/>
      </c>
      <c r="D17655">
        <f>IF(B17655=C17655, "YES", "WRONG")</f>
        <v/>
      </c>
    </row>
    <row r="17656">
      <c r="A17656" t="n">
        <v>17655</v>
      </c>
      <c r="B17656" t="inlineStr">
        <is>
          <t>x̄V̅MMDCLV</t>
        </is>
      </c>
      <c r="C17656">
        <f>ROMAN(17655)</f>
        <v/>
      </c>
      <c r="D17656">
        <f>IF(B17656=C17656, "YES", "WRONG")</f>
        <v/>
      </c>
    </row>
    <row r="17657">
      <c r="A17657" t="n">
        <v>17656</v>
      </c>
      <c r="B17657" t="inlineStr">
        <is>
          <t>x̄V̅MMDCLVI</t>
        </is>
      </c>
      <c r="C17657">
        <f>ROMAN(17656)</f>
        <v/>
      </c>
      <c r="D17657">
        <f>IF(B17657=C17657, "YES", "WRONG")</f>
        <v/>
      </c>
    </row>
    <row r="17658">
      <c r="A17658" t="n">
        <v>17657</v>
      </c>
      <c r="B17658" t="inlineStr">
        <is>
          <t>x̄V̅MMDCLVII</t>
        </is>
      </c>
      <c r="C17658">
        <f>ROMAN(17657)</f>
        <v/>
      </c>
      <c r="D17658">
        <f>IF(B17658=C17658, "YES", "WRONG")</f>
        <v/>
      </c>
    </row>
    <row r="17659">
      <c r="A17659" t="n">
        <v>17658</v>
      </c>
      <c r="B17659" t="inlineStr">
        <is>
          <t>x̄V̅MMDCLVIII</t>
        </is>
      </c>
      <c r="C17659">
        <f>ROMAN(17658)</f>
        <v/>
      </c>
      <c r="D17659">
        <f>IF(B17659=C17659, "YES", "WRONG")</f>
        <v/>
      </c>
    </row>
    <row r="17660">
      <c r="A17660" t="n">
        <v>17659</v>
      </c>
      <c r="B17660" t="inlineStr">
        <is>
          <t>x̄V̅MMDCLIX</t>
        </is>
      </c>
      <c r="C17660">
        <f>ROMAN(17659)</f>
        <v/>
      </c>
      <c r="D17660">
        <f>IF(B17660=C17660, "YES", "WRONG")</f>
        <v/>
      </c>
    </row>
    <row r="17661">
      <c r="A17661" t="n">
        <v>17660</v>
      </c>
      <c r="B17661" t="inlineStr">
        <is>
          <t>x̄V̅MMDCLX</t>
        </is>
      </c>
      <c r="C17661">
        <f>ROMAN(17660)</f>
        <v/>
      </c>
      <c r="D17661">
        <f>IF(B17661=C17661, "YES", "WRONG")</f>
        <v/>
      </c>
    </row>
    <row r="17662">
      <c r="A17662" t="n">
        <v>17661</v>
      </c>
      <c r="B17662" t="inlineStr">
        <is>
          <t>x̄V̅MMDCLXI</t>
        </is>
      </c>
      <c r="C17662">
        <f>ROMAN(17661)</f>
        <v/>
      </c>
      <c r="D17662">
        <f>IF(B17662=C17662, "YES", "WRONG")</f>
        <v/>
      </c>
    </row>
    <row r="17663">
      <c r="A17663" t="n">
        <v>17662</v>
      </c>
      <c r="B17663" t="inlineStr">
        <is>
          <t>x̄V̅MMDCLXII</t>
        </is>
      </c>
      <c r="C17663">
        <f>ROMAN(17662)</f>
        <v/>
      </c>
      <c r="D17663">
        <f>IF(B17663=C17663, "YES", "WRONG")</f>
        <v/>
      </c>
    </row>
    <row r="17664">
      <c r="A17664" t="n">
        <v>17663</v>
      </c>
      <c r="B17664" t="inlineStr">
        <is>
          <t>x̄V̅MMDCLXIII</t>
        </is>
      </c>
      <c r="C17664">
        <f>ROMAN(17663)</f>
        <v/>
      </c>
      <c r="D17664">
        <f>IF(B17664=C17664, "YES", "WRONG")</f>
        <v/>
      </c>
    </row>
    <row r="17665">
      <c r="A17665" t="n">
        <v>17664</v>
      </c>
      <c r="B17665" t="inlineStr">
        <is>
          <t>x̄V̅MMDCLXIV</t>
        </is>
      </c>
      <c r="C17665">
        <f>ROMAN(17664)</f>
        <v/>
      </c>
      <c r="D17665">
        <f>IF(B17665=C17665, "YES", "WRONG")</f>
        <v/>
      </c>
    </row>
    <row r="17666">
      <c r="A17666" t="n">
        <v>17665</v>
      </c>
      <c r="B17666" t="inlineStr">
        <is>
          <t>x̄V̅MMDCLXV</t>
        </is>
      </c>
      <c r="C17666">
        <f>ROMAN(17665)</f>
        <v/>
      </c>
      <c r="D17666">
        <f>IF(B17666=C17666, "YES", "WRONG")</f>
        <v/>
      </c>
    </row>
    <row r="17667">
      <c r="A17667" t="n">
        <v>17666</v>
      </c>
      <c r="B17667" t="inlineStr">
        <is>
          <t>x̄V̅MMDCLXVI</t>
        </is>
      </c>
      <c r="C17667">
        <f>ROMAN(17666)</f>
        <v/>
      </c>
      <c r="D17667">
        <f>IF(B17667=C17667, "YES", "WRONG")</f>
        <v/>
      </c>
    </row>
    <row r="17668">
      <c r="A17668" t="n">
        <v>17667</v>
      </c>
      <c r="B17668" t="inlineStr">
        <is>
          <t>x̄V̅MMDCLXVII</t>
        </is>
      </c>
      <c r="C17668">
        <f>ROMAN(17667)</f>
        <v/>
      </c>
      <c r="D17668">
        <f>IF(B17668=C17668, "YES", "WRONG")</f>
        <v/>
      </c>
    </row>
    <row r="17669">
      <c r="A17669" t="n">
        <v>17668</v>
      </c>
      <c r="B17669" t="inlineStr">
        <is>
          <t>x̄V̅MMDCLXVIII</t>
        </is>
      </c>
      <c r="C17669">
        <f>ROMAN(17668)</f>
        <v/>
      </c>
      <c r="D17669">
        <f>IF(B17669=C17669, "YES", "WRONG")</f>
        <v/>
      </c>
    </row>
    <row r="17670">
      <c r="A17670" t="n">
        <v>17669</v>
      </c>
      <c r="B17670" t="inlineStr">
        <is>
          <t>x̄V̅MMDCLXIX</t>
        </is>
      </c>
      <c r="C17670">
        <f>ROMAN(17669)</f>
        <v/>
      </c>
      <c r="D17670">
        <f>IF(B17670=C17670, "YES", "WRONG")</f>
        <v/>
      </c>
    </row>
    <row r="17671">
      <c r="A17671" t="n">
        <v>17670</v>
      </c>
      <c r="B17671" t="inlineStr">
        <is>
          <t>x̄V̅MMDCLXX</t>
        </is>
      </c>
      <c r="C17671">
        <f>ROMAN(17670)</f>
        <v/>
      </c>
      <c r="D17671">
        <f>IF(B17671=C17671, "YES", "WRONG")</f>
        <v/>
      </c>
    </row>
    <row r="17672">
      <c r="A17672" t="n">
        <v>17671</v>
      </c>
      <c r="B17672" t="inlineStr">
        <is>
          <t>x̄V̅MMDCLXXI</t>
        </is>
      </c>
      <c r="C17672">
        <f>ROMAN(17671)</f>
        <v/>
      </c>
      <c r="D17672">
        <f>IF(B17672=C17672, "YES", "WRONG")</f>
        <v/>
      </c>
    </row>
    <row r="17673">
      <c r="A17673" t="n">
        <v>17672</v>
      </c>
      <c r="B17673" t="inlineStr">
        <is>
          <t>x̄V̅MMDCLXXII</t>
        </is>
      </c>
      <c r="C17673">
        <f>ROMAN(17672)</f>
        <v/>
      </c>
      <c r="D17673">
        <f>IF(B17673=C17673, "YES", "WRONG")</f>
        <v/>
      </c>
    </row>
    <row r="17674">
      <c r="A17674" t="n">
        <v>17673</v>
      </c>
      <c r="B17674" t="inlineStr">
        <is>
          <t>x̄V̅MMDCLXXIII</t>
        </is>
      </c>
      <c r="C17674">
        <f>ROMAN(17673)</f>
        <v/>
      </c>
      <c r="D17674">
        <f>IF(B17674=C17674, "YES", "WRONG")</f>
        <v/>
      </c>
    </row>
    <row r="17675">
      <c r="A17675" t="n">
        <v>17674</v>
      </c>
      <c r="B17675" t="inlineStr">
        <is>
          <t>x̄V̅MMDCLXXIV</t>
        </is>
      </c>
      <c r="C17675">
        <f>ROMAN(17674)</f>
        <v/>
      </c>
      <c r="D17675">
        <f>IF(B17675=C17675, "YES", "WRONG")</f>
        <v/>
      </c>
    </row>
    <row r="17676">
      <c r="A17676" t="n">
        <v>17675</v>
      </c>
      <c r="B17676" t="inlineStr">
        <is>
          <t>x̄V̅MMDCLXXV</t>
        </is>
      </c>
      <c r="C17676">
        <f>ROMAN(17675)</f>
        <v/>
      </c>
      <c r="D17676">
        <f>IF(B17676=C17676, "YES", "WRONG")</f>
        <v/>
      </c>
    </row>
    <row r="17677">
      <c r="A17677" t="n">
        <v>17676</v>
      </c>
      <c r="B17677" t="inlineStr">
        <is>
          <t>x̄V̅MMDCLXXVI</t>
        </is>
      </c>
      <c r="C17677">
        <f>ROMAN(17676)</f>
        <v/>
      </c>
      <c r="D17677">
        <f>IF(B17677=C17677, "YES", "WRONG")</f>
        <v/>
      </c>
    </row>
    <row r="17678">
      <c r="A17678" t="n">
        <v>17677</v>
      </c>
      <c r="B17678" t="inlineStr">
        <is>
          <t>x̄V̅MMDCLXXVII</t>
        </is>
      </c>
      <c r="C17678">
        <f>ROMAN(17677)</f>
        <v/>
      </c>
      <c r="D17678">
        <f>IF(B17678=C17678, "YES", "WRONG")</f>
        <v/>
      </c>
    </row>
    <row r="17679">
      <c r="A17679" t="n">
        <v>17678</v>
      </c>
      <c r="B17679" t="inlineStr">
        <is>
          <t>x̄V̅MMDCLXXVIII</t>
        </is>
      </c>
      <c r="C17679">
        <f>ROMAN(17678)</f>
        <v/>
      </c>
      <c r="D17679">
        <f>IF(B17679=C17679, "YES", "WRONG")</f>
        <v/>
      </c>
    </row>
    <row r="17680">
      <c r="A17680" t="n">
        <v>17679</v>
      </c>
      <c r="B17680" t="inlineStr">
        <is>
          <t>x̄V̅MMDCLXXIX</t>
        </is>
      </c>
      <c r="C17680">
        <f>ROMAN(17679)</f>
        <v/>
      </c>
      <c r="D17680">
        <f>IF(B17680=C17680, "YES", "WRONG")</f>
        <v/>
      </c>
    </row>
    <row r="17681">
      <c r="A17681" t="n">
        <v>17680</v>
      </c>
      <c r="B17681" t="inlineStr">
        <is>
          <t>x̄V̅MMDCLXXX</t>
        </is>
      </c>
      <c r="C17681">
        <f>ROMAN(17680)</f>
        <v/>
      </c>
      <c r="D17681">
        <f>IF(B17681=C17681, "YES", "WRONG")</f>
        <v/>
      </c>
    </row>
    <row r="17682">
      <c r="A17682" t="n">
        <v>17681</v>
      </c>
      <c r="B17682" t="inlineStr">
        <is>
          <t>x̄V̅MMDCLXXXI</t>
        </is>
      </c>
      <c r="C17682">
        <f>ROMAN(17681)</f>
        <v/>
      </c>
      <c r="D17682">
        <f>IF(B17682=C17682, "YES", "WRONG")</f>
        <v/>
      </c>
    </row>
    <row r="17683">
      <c r="A17683" t="n">
        <v>17682</v>
      </c>
      <c r="B17683" t="inlineStr">
        <is>
          <t>x̄V̅MMDCLXXXII</t>
        </is>
      </c>
      <c r="C17683">
        <f>ROMAN(17682)</f>
        <v/>
      </c>
      <c r="D17683">
        <f>IF(B17683=C17683, "YES", "WRONG")</f>
        <v/>
      </c>
    </row>
    <row r="17684">
      <c r="A17684" t="n">
        <v>17683</v>
      </c>
      <c r="B17684" t="inlineStr">
        <is>
          <t>x̄V̅MMDCLXXXIII</t>
        </is>
      </c>
      <c r="C17684">
        <f>ROMAN(17683)</f>
        <v/>
      </c>
      <c r="D17684">
        <f>IF(B17684=C17684, "YES", "WRONG")</f>
        <v/>
      </c>
    </row>
    <row r="17685">
      <c r="A17685" t="n">
        <v>17684</v>
      </c>
      <c r="B17685" t="inlineStr">
        <is>
          <t>x̄V̅MMDCLXXXIV</t>
        </is>
      </c>
      <c r="C17685">
        <f>ROMAN(17684)</f>
        <v/>
      </c>
      <c r="D17685">
        <f>IF(B17685=C17685, "YES", "WRONG")</f>
        <v/>
      </c>
    </row>
    <row r="17686">
      <c r="A17686" t="n">
        <v>17685</v>
      </c>
      <c r="B17686" t="inlineStr">
        <is>
          <t>x̄V̅MMDCLXXXV</t>
        </is>
      </c>
      <c r="C17686">
        <f>ROMAN(17685)</f>
        <v/>
      </c>
      <c r="D17686">
        <f>IF(B17686=C17686, "YES", "WRONG")</f>
        <v/>
      </c>
    </row>
    <row r="17687">
      <c r="A17687" t="n">
        <v>17686</v>
      </c>
      <c r="B17687" t="inlineStr">
        <is>
          <t>x̄V̅MMDCLXXXVI</t>
        </is>
      </c>
      <c r="C17687">
        <f>ROMAN(17686)</f>
        <v/>
      </c>
      <c r="D17687">
        <f>IF(B17687=C17687, "YES", "WRONG")</f>
        <v/>
      </c>
    </row>
    <row r="17688">
      <c r="A17688" t="n">
        <v>17687</v>
      </c>
      <c r="B17688" t="inlineStr">
        <is>
          <t>x̄V̅MMDCLXXXVII</t>
        </is>
      </c>
      <c r="C17688">
        <f>ROMAN(17687)</f>
        <v/>
      </c>
      <c r="D17688">
        <f>IF(B17688=C17688, "YES", "WRONG")</f>
        <v/>
      </c>
    </row>
    <row r="17689">
      <c r="A17689" t="n">
        <v>17688</v>
      </c>
      <c r="B17689" t="inlineStr">
        <is>
          <t>x̄V̅MMDCLXXXVIII</t>
        </is>
      </c>
      <c r="C17689">
        <f>ROMAN(17688)</f>
        <v/>
      </c>
      <c r="D17689">
        <f>IF(B17689=C17689, "YES", "WRONG")</f>
        <v/>
      </c>
    </row>
    <row r="17690">
      <c r="A17690" t="n">
        <v>17689</v>
      </c>
      <c r="B17690" t="inlineStr">
        <is>
          <t>x̄V̅MMDCLXXXIX</t>
        </is>
      </c>
      <c r="C17690">
        <f>ROMAN(17689)</f>
        <v/>
      </c>
      <c r="D17690">
        <f>IF(B17690=C17690, "YES", "WRONG")</f>
        <v/>
      </c>
    </row>
    <row r="17691">
      <c r="A17691" t="n">
        <v>17690</v>
      </c>
      <c r="B17691" t="inlineStr">
        <is>
          <t>x̄V̅MMDCXC</t>
        </is>
      </c>
      <c r="C17691">
        <f>ROMAN(17690)</f>
        <v/>
      </c>
      <c r="D17691">
        <f>IF(B17691=C17691, "YES", "WRONG")</f>
        <v/>
      </c>
    </row>
    <row r="17692">
      <c r="A17692" t="n">
        <v>17691</v>
      </c>
      <c r="B17692" t="inlineStr">
        <is>
          <t>x̄V̅MMDCXCI</t>
        </is>
      </c>
      <c r="C17692">
        <f>ROMAN(17691)</f>
        <v/>
      </c>
      <c r="D17692">
        <f>IF(B17692=C17692, "YES", "WRONG")</f>
        <v/>
      </c>
    </row>
    <row r="17693">
      <c r="A17693" t="n">
        <v>17692</v>
      </c>
      <c r="B17693" t="inlineStr">
        <is>
          <t>x̄V̅MMDCXCII</t>
        </is>
      </c>
      <c r="C17693">
        <f>ROMAN(17692)</f>
        <v/>
      </c>
      <c r="D17693">
        <f>IF(B17693=C17693, "YES", "WRONG")</f>
        <v/>
      </c>
    </row>
    <row r="17694">
      <c r="A17694" t="n">
        <v>17693</v>
      </c>
      <c r="B17694" t="inlineStr">
        <is>
          <t>x̄V̅MMDCXCIII</t>
        </is>
      </c>
      <c r="C17694">
        <f>ROMAN(17693)</f>
        <v/>
      </c>
      <c r="D17694">
        <f>IF(B17694=C17694, "YES", "WRONG")</f>
        <v/>
      </c>
    </row>
    <row r="17695">
      <c r="A17695" t="n">
        <v>17694</v>
      </c>
      <c r="B17695" t="inlineStr">
        <is>
          <t>x̄V̅MMDCXCIV</t>
        </is>
      </c>
      <c r="C17695">
        <f>ROMAN(17694)</f>
        <v/>
      </c>
      <c r="D17695">
        <f>IF(B17695=C17695, "YES", "WRONG")</f>
        <v/>
      </c>
    </row>
    <row r="17696">
      <c r="A17696" t="n">
        <v>17695</v>
      </c>
      <c r="B17696" t="inlineStr">
        <is>
          <t>x̄V̅MMDCXCV</t>
        </is>
      </c>
      <c r="C17696">
        <f>ROMAN(17695)</f>
        <v/>
      </c>
      <c r="D17696">
        <f>IF(B17696=C17696, "YES", "WRONG")</f>
        <v/>
      </c>
    </row>
    <row r="17697">
      <c r="A17697" t="n">
        <v>17696</v>
      </c>
      <c r="B17697" t="inlineStr">
        <is>
          <t>x̄V̅MMDCXCVI</t>
        </is>
      </c>
      <c r="C17697">
        <f>ROMAN(17696)</f>
        <v/>
      </c>
      <c r="D17697">
        <f>IF(B17697=C17697, "YES", "WRONG")</f>
        <v/>
      </c>
    </row>
    <row r="17698">
      <c r="A17698" t="n">
        <v>17697</v>
      </c>
      <c r="B17698" t="inlineStr">
        <is>
          <t>x̄V̅MMDCXCVII</t>
        </is>
      </c>
      <c r="C17698">
        <f>ROMAN(17697)</f>
        <v/>
      </c>
      <c r="D17698">
        <f>IF(B17698=C17698, "YES", "WRONG")</f>
        <v/>
      </c>
    </row>
    <row r="17699">
      <c r="A17699" t="n">
        <v>17698</v>
      </c>
      <c r="B17699" t="inlineStr">
        <is>
          <t>x̄V̅MMDCXCVIII</t>
        </is>
      </c>
      <c r="C17699">
        <f>ROMAN(17698)</f>
        <v/>
      </c>
      <c r="D17699">
        <f>IF(B17699=C17699, "YES", "WRONG")</f>
        <v/>
      </c>
    </row>
    <row r="17700">
      <c r="A17700" t="n">
        <v>17699</v>
      </c>
      <c r="B17700" t="inlineStr">
        <is>
          <t>x̄V̅MMDCXCIX</t>
        </is>
      </c>
      <c r="C17700">
        <f>ROMAN(17699)</f>
        <v/>
      </c>
      <c r="D17700">
        <f>IF(B17700=C17700, "YES", "WRONG")</f>
        <v/>
      </c>
    </row>
    <row r="17701">
      <c r="A17701" t="n">
        <v>17700</v>
      </c>
      <c r="B17701" t="inlineStr">
        <is>
          <t>x̄V̅MMDCC</t>
        </is>
      </c>
      <c r="C17701">
        <f>ROMAN(17700)</f>
        <v/>
      </c>
      <c r="D17701">
        <f>IF(B17701=C17701, "YES", "WRONG")</f>
        <v/>
      </c>
    </row>
    <row r="17702">
      <c r="A17702" t="n">
        <v>17701</v>
      </c>
      <c r="B17702" t="inlineStr">
        <is>
          <t>x̄V̅MMDCCI</t>
        </is>
      </c>
      <c r="C17702">
        <f>ROMAN(17701)</f>
        <v/>
      </c>
      <c r="D17702">
        <f>IF(B17702=C17702, "YES", "WRONG")</f>
        <v/>
      </c>
    </row>
    <row r="17703">
      <c r="A17703" t="n">
        <v>17702</v>
      </c>
      <c r="B17703" t="inlineStr">
        <is>
          <t>x̄V̅MMDCCII</t>
        </is>
      </c>
      <c r="C17703">
        <f>ROMAN(17702)</f>
        <v/>
      </c>
      <c r="D17703">
        <f>IF(B17703=C17703, "YES", "WRONG")</f>
        <v/>
      </c>
    </row>
    <row r="17704">
      <c r="A17704" t="n">
        <v>17703</v>
      </c>
      <c r="B17704" t="inlineStr">
        <is>
          <t>x̄V̅MMDCCIII</t>
        </is>
      </c>
      <c r="C17704">
        <f>ROMAN(17703)</f>
        <v/>
      </c>
      <c r="D17704">
        <f>IF(B17704=C17704, "YES", "WRONG")</f>
        <v/>
      </c>
    </row>
    <row r="17705">
      <c r="A17705" t="n">
        <v>17704</v>
      </c>
      <c r="B17705" t="inlineStr">
        <is>
          <t>x̄V̅MMDCCIV</t>
        </is>
      </c>
      <c r="C17705">
        <f>ROMAN(17704)</f>
        <v/>
      </c>
      <c r="D17705">
        <f>IF(B17705=C17705, "YES", "WRONG")</f>
        <v/>
      </c>
    </row>
    <row r="17706">
      <c r="A17706" t="n">
        <v>17705</v>
      </c>
      <c r="B17706" t="inlineStr">
        <is>
          <t>x̄V̅MMDCCV</t>
        </is>
      </c>
      <c r="C17706">
        <f>ROMAN(17705)</f>
        <v/>
      </c>
      <c r="D17706">
        <f>IF(B17706=C17706, "YES", "WRONG")</f>
        <v/>
      </c>
    </row>
    <row r="17707">
      <c r="A17707" t="n">
        <v>17706</v>
      </c>
      <c r="B17707" t="inlineStr">
        <is>
          <t>x̄V̅MMDCCVI</t>
        </is>
      </c>
      <c r="C17707">
        <f>ROMAN(17706)</f>
        <v/>
      </c>
      <c r="D17707">
        <f>IF(B17707=C17707, "YES", "WRONG")</f>
        <v/>
      </c>
    </row>
    <row r="17708">
      <c r="A17708" t="n">
        <v>17707</v>
      </c>
      <c r="B17708" t="inlineStr">
        <is>
          <t>x̄V̅MMDCCVII</t>
        </is>
      </c>
      <c r="C17708">
        <f>ROMAN(17707)</f>
        <v/>
      </c>
      <c r="D17708">
        <f>IF(B17708=C17708, "YES", "WRONG")</f>
        <v/>
      </c>
    </row>
    <row r="17709">
      <c r="A17709" t="n">
        <v>17708</v>
      </c>
      <c r="B17709" t="inlineStr">
        <is>
          <t>x̄V̅MMDCCVIII</t>
        </is>
      </c>
      <c r="C17709">
        <f>ROMAN(17708)</f>
        <v/>
      </c>
      <c r="D17709">
        <f>IF(B17709=C17709, "YES", "WRONG")</f>
        <v/>
      </c>
    </row>
    <row r="17710">
      <c r="A17710" t="n">
        <v>17709</v>
      </c>
      <c r="B17710" t="inlineStr">
        <is>
          <t>x̄V̅MMDCCIX</t>
        </is>
      </c>
      <c r="C17710">
        <f>ROMAN(17709)</f>
        <v/>
      </c>
      <c r="D17710">
        <f>IF(B17710=C17710, "YES", "WRONG")</f>
        <v/>
      </c>
    </row>
    <row r="17711">
      <c r="A17711" t="n">
        <v>17710</v>
      </c>
      <c r="B17711" t="inlineStr">
        <is>
          <t>x̄V̅MMDCCX</t>
        </is>
      </c>
      <c r="C17711">
        <f>ROMAN(17710)</f>
        <v/>
      </c>
      <c r="D17711">
        <f>IF(B17711=C17711, "YES", "WRONG")</f>
        <v/>
      </c>
    </row>
    <row r="17712">
      <c r="A17712" t="n">
        <v>17711</v>
      </c>
      <c r="B17712" t="inlineStr">
        <is>
          <t>x̄V̅MMDCCXI</t>
        </is>
      </c>
      <c r="C17712">
        <f>ROMAN(17711)</f>
        <v/>
      </c>
      <c r="D17712">
        <f>IF(B17712=C17712, "YES", "WRONG")</f>
        <v/>
      </c>
    </row>
    <row r="17713">
      <c r="A17713" t="n">
        <v>17712</v>
      </c>
      <c r="B17713" t="inlineStr">
        <is>
          <t>x̄V̅MMDCCXII</t>
        </is>
      </c>
      <c r="C17713">
        <f>ROMAN(17712)</f>
        <v/>
      </c>
      <c r="D17713">
        <f>IF(B17713=C17713, "YES", "WRONG")</f>
        <v/>
      </c>
    </row>
    <row r="17714">
      <c r="A17714" t="n">
        <v>17713</v>
      </c>
      <c r="B17714" t="inlineStr">
        <is>
          <t>x̄V̅MMDCCXIII</t>
        </is>
      </c>
      <c r="C17714">
        <f>ROMAN(17713)</f>
        <v/>
      </c>
      <c r="D17714">
        <f>IF(B17714=C17714, "YES", "WRONG")</f>
        <v/>
      </c>
    </row>
    <row r="17715">
      <c r="A17715" t="n">
        <v>17714</v>
      </c>
      <c r="B17715" t="inlineStr">
        <is>
          <t>x̄V̅MMDCCXIV</t>
        </is>
      </c>
      <c r="C17715">
        <f>ROMAN(17714)</f>
        <v/>
      </c>
      <c r="D17715">
        <f>IF(B17715=C17715, "YES", "WRONG")</f>
        <v/>
      </c>
    </row>
    <row r="17716">
      <c r="A17716" t="n">
        <v>17715</v>
      </c>
      <c r="B17716" t="inlineStr">
        <is>
          <t>x̄V̅MMDCCXV</t>
        </is>
      </c>
      <c r="C17716">
        <f>ROMAN(17715)</f>
        <v/>
      </c>
      <c r="D17716">
        <f>IF(B17716=C17716, "YES", "WRONG")</f>
        <v/>
      </c>
    </row>
    <row r="17717">
      <c r="A17717" t="n">
        <v>17716</v>
      </c>
      <c r="B17717" t="inlineStr">
        <is>
          <t>x̄V̅MMDCCXVI</t>
        </is>
      </c>
      <c r="C17717">
        <f>ROMAN(17716)</f>
        <v/>
      </c>
      <c r="D17717">
        <f>IF(B17717=C17717, "YES", "WRONG")</f>
        <v/>
      </c>
    </row>
    <row r="17718">
      <c r="A17718" t="n">
        <v>17717</v>
      </c>
      <c r="B17718" t="inlineStr">
        <is>
          <t>x̄V̅MMDCCXVII</t>
        </is>
      </c>
      <c r="C17718">
        <f>ROMAN(17717)</f>
        <v/>
      </c>
      <c r="D17718">
        <f>IF(B17718=C17718, "YES", "WRONG")</f>
        <v/>
      </c>
    </row>
    <row r="17719">
      <c r="A17719" t="n">
        <v>17718</v>
      </c>
      <c r="B17719" t="inlineStr">
        <is>
          <t>x̄V̅MMDCCXVIII</t>
        </is>
      </c>
      <c r="C17719">
        <f>ROMAN(17718)</f>
        <v/>
      </c>
      <c r="D17719">
        <f>IF(B17719=C17719, "YES", "WRONG")</f>
        <v/>
      </c>
    </row>
    <row r="17720">
      <c r="A17720" t="n">
        <v>17719</v>
      </c>
      <c r="B17720" t="inlineStr">
        <is>
          <t>x̄V̅MMDCCXIX</t>
        </is>
      </c>
      <c r="C17720">
        <f>ROMAN(17719)</f>
        <v/>
      </c>
      <c r="D17720">
        <f>IF(B17720=C17720, "YES", "WRONG")</f>
        <v/>
      </c>
    </row>
    <row r="17721">
      <c r="A17721" t="n">
        <v>17720</v>
      </c>
      <c r="B17721" t="inlineStr">
        <is>
          <t>x̄V̅MMDCCXX</t>
        </is>
      </c>
      <c r="C17721">
        <f>ROMAN(17720)</f>
        <v/>
      </c>
      <c r="D17721">
        <f>IF(B17721=C17721, "YES", "WRONG")</f>
        <v/>
      </c>
    </row>
    <row r="17722">
      <c r="A17722" t="n">
        <v>17721</v>
      </c>
      <c r="B17722" t="inlineStr">
        <is>
          <t>x̄V̅MMDCCXXI</t>
        </is>
      </c>
      <c r="C17722">
        <f>ROMAN(17721)</f>
        <v/>
      </c>
      <c r="D17722">
        <f>IF(B17722=C17722, "YES", "WRONG")</f>
        <v/>
      </c>
    </row>
    <row r="17723">
      <c r="A17723" t="n">
        <v>17722</v>
      </c>
      <c r="B17723" t="inlineStr">
        <is>
          <t>x̄V̅MMDCCXXII</t>
        </is>
      </c>
      <c r="C17723">
        <f>ROMAN(17722)</f>
        <v/>
      </c>
      <c r="D17723">
        <f>IF(B17723=C17723, "YES", "WRONG")</f>
        <v/>
      </c>
    </row>
    <row r="17724">
      <c r="A17724" t="n">
        <v>17723</v>
      </c>
      <c r="B17724" t="inlineStr">
        <is>
          <t>x̄V̅MMDCCXXIII</t>
        </is>
      </c>
      <c r="C17724">
        <f>ROMAN(17723)</f>
        <v/>
      </c>
      <c r="D17724">
        <f>IF(B17724=C17724, "YES", "WRONG")</f>
        <v/>
      </c>
    </row>
    <row r="17725">
      <c r="A17725" t="n">
        <v>17724</v>
      </c>
      <c r="B17725" t="inlineStr">
        <is>
          <t>x̄V̅MMDCCXXIV</t>
        </is>
      </c>
      <c r="C17725">
        <f>ROMAN(17724)</f>
        <v/>
      </c>
      <c r="D17725">
        <f>IF(B17725=C17725, "YES", "WRONG")</f>
        <v/>
      </c>
    </row>
    <row r="17726">
      <c r="A17726" t="n">
        <v>17725</v>
      </c>
      <c r="B17726" t="inlineStr">
        <is>
          <t>x̄V̅MMDCCXXV</t>
        </is>
      </c>
      <c r="C17726">
        <f>ROMAN(17725)</f>
        <v/>
      </c>
      <c r="D17726">
        <f>IF(B17726=C17726, "YES", "WRONG")</f>
        <v/>
      </c>
    </row>
    <row r="17727">
      <c r="A17727" t="n">
        <v>17726</v>
      </c>
      <c r="B17727" t="inlineStr">
        <is>
          <t>x̄V̅MMDCCXXVI</t>
        </is>
      </c>
      <c r="C17727">
        <f>ROMAN(17726)</f>
        <v/>
      </c>
      <c r="D17727">
        <f>IF(B17727=C17727, "YES", "WRONG")</f>
        <v/>
      </c>
    </row>
    <row r="17728">
      <c r="A17728" t="n">
        <v>17727</v>
      </c>
      <c r="B17728" t="inlineStr">
        <is>
          <t>x̄V̅MMDCCXXVII</t>
        </is>
      </c>
      <c r="C17728">
        <f>ROMAN(17727)</f>
        <v/>
      </c>
      <c r="D17728">
        <f>IF(B17728=C17728, "YES", "WRONG")</f>
        <v/>
      </c>
    </row>
    <row r="17729">
      <c r="A17729" t="n">
        <v>17728</v>
      </c>
      <c r="B17729" t="inlineStr">
        <is>
          <t>x̄V̅MMDCCXXVIII</t>
        </is>
      </c>
      <c r="C17729">
        <f>ROMAN(17728)</f>
        <v/>
      </c>
      <c r="D17729">
        <f>IF(B17729=C17729, "YES", "WRONG")</f>
        <v/>
      </c>
    </row>
    <row r="17730">
      <c r="A17730" t="n">
        <v>17729</v>
      </c>
      <c r="B17730" t="inlineStr">
        <is>
          <t>x̄V̅MMDCCXXIX</t>
        </is>
      </c>
      <c r="C17730">
        <f>ROMAN(17729)</f>
        <v/>
      </c>
      <c r="D17730">
        <f>IF(B17730=C17730, "YES", "WRONG")</f>
        <v/>
      </c>
    </row>
    <row r="17731">
      <c r="A17731" t="n">
        <v>17730</v>
      </c>
      <c r="B17731" t="inlineStr">
        <is>
          <t>x̄V̅MMDCCXXX</t>
        </is>
      </c>
      <c r="C17731">
        <f>ROMAN(17730)</f>
        <v/>
      </c>
      <c r="D17731">
        <f>IF(B17731=C17731, "YES", "WRONG")</f>
        <v/>
      </c>
    </row>
    <row r="17732">
      <c r="A17732" t="n">
        <v>17731</v>
      </c>
      <c r="B17732" t="inlineStr">
        <is>
          <t>x̄V̅MMDCCXXXI</t>
        </is>
      </c>
      <c r="C17732">
        <f>ROMAN(17731)</f>
        <v/>
      </c>
      <c r="D17732">
        <f>IF(B17732=C17732, "YES", "WRONG")</f>
        <v/>
      </c>
    </row>
    <row r="17733">
      <c r="A17733" t="n">
        <v>17732</v>
      </c>
      <c r="B17733" t="inlineStr">
        <is>
          <t>x̄V̅MMDCCXXXII</t>
        </is>
      </c>
      <c r="C17733">
        <f>ROMAN(17732)</f>
        <v/>
      </c>
      <c r="D17733">
        <f>IF(B17733=C17733, "YES", "WRONG")</f>
        <v/>
      </c>
    </row>
    <row r="17734">
      <c r="A17734" t="n">
        <v>17733</v>
      </c>
      <c r="B17734" t="inlineStr">
        <is>
          <t>x̄V̅MMDCCXXXIII</t>
        </is>
      </c>
      <c r="C17734">
        <f>ROMAN(17733)</f>
        <v/>
      </c>
      <c r="D17734">
        <f>IF(B17734=C17734, "YES", "WRONG")</f>
        <v/>
      </c>
    </row>
    <row r="17735">
      <c r="A17735" t="n">
        <v>17734</v>
      </c>
      <c r="B17735" t="inlineStr">
        <is>
          <t>x̄V̅MMDCCXXXIV</t>
        </is>
      </c>
      <c r="C17735">
        <f>ROMAN(17734)</f>
        <v/>
      </c>
      <c r="D17735">
        <f>IF(B17735=C17735, "YES", "WRONG")</f>
        <v/>
      </c>
    </row>
    <row r="17736">
      <c r="A17736" t="n">
        <v>17735</v>
      </c>
      <c r="B17736" t="inlineStr">
        <is>
          <t>x̄V̅MMDCCXXXV</t>
        </is>
      </c>
      <c r="C17736">
        <f>ROMAN(17735)</f>
        <v/>
      </c>
      <c r="D17736">
        <f>IF(B17736=C17736, "YES", "WRONG")</f>
        <v/>
      </c>
    </row>
    <row r="17737">
      <c r="A17737" t="n">
        <v>17736</v>
      </c>
      <c r="B17737" t="inlineStr">
        <is>
          <t>x̄V̅MMDCCXXXVI</t>
        </is>
      </c>
      <c r="C17737">
        <f>ROMAN(17736)</f>
        <v/>
      </c>
      <c r="D17737">
        <f>IF(B17737=C17737, "YES", "WRONG")</f>
        <v/>
      </c>
    </row>
    <row r="17738">
      <c r="A17738" t="n">
        <v>17737</v>
      </c>
      <c r="B17738" t="inlineStr">
        <is>
          <t>x̄V̅MMDCCXXXVII</t>
        </is>
      </c>
      <c r="C17738">
        <f>ROMAN(17737)</f>
        <v/>
      </c>
      <c r="D17738">
        <f>IF(B17738=C17738, "YES", "WRONG")</f>
        <v/>
      </c>
    </row>
    <row r="17739">
      <c r="A17739" t="n">
        <v>17738</v>
      </c>
      <c r="B17739" t="inlineStr">
        <is>
          <t>x̄V̅MMDCCXXXVIII</t>
        </is>
      </c>
      <c r="C17739">
        <f>ROMAN(17738)</f>
        <v/>
      </c>
      <c r="D17739">
        <f>IF(B17739=C17739, "YES", "WRONG")</f>
        <v/>
      </c>
    </row>
    <row r="17740">
      <c r="A17740" t="n">
        <v>17739</v>
      </c>
      <c r="B17740" t="inlineStr">
        <is>
          <t>x̄V̅MMDCCXXXIX</t>
        </is>
      </c>
      <c r="C17740">
        <f>ROMAN(17739)</f>
        <v/>
      </c>
      <c r="D17740">
        <f>IF(B17740=C17740, "YES", "WRONG")</f>
        <v/>
      </c>
    </row>
    <row r="17741">
      <c r="A17741" t="n">
        <v>17740</v>
      </c>
      <c r="B17741" t="inlineStr">
        <is>
          <t>x̄V̅MMDCCXL</t>
        </is>
      </c>
      <c r="C17741">
        <f>ROMAN(17740)</f>
        <v/>
      </c>
      <c r="D17741">
        <f>IF(B17741=C17741, "YES", "WRONG")</f>
        <v/>
      </c>
    </row>
    <row r="17742">
      <c r="A17742" t="n">
        <v>17741</v>
      </c>
      <c r="B17742" t="inlineStr">
        <is>
          <t>x̄V̅MMDCCXLI</t>
        </is>
      </c>
      <c r="C17742">
        <f>ROMAN(17741)</f>
        <v/>
      </c>
      <c r="D17742">
        <f>IF(B17742=C17742, "YES", "WRONG")</f>
        <v/>
      </c>
    </row>
    <row r="17743">
      <c r="A17743" t="n">
        <v>17742</v>
      </c>
      <c r="B17743" t="inlineStr">
        <is>
          <t>x̄V̅MMDCCXLII</t>
        </is>
      </c>
      <c r="C17743">
        <f>ROMAN(17742)</f>
        <v/>
      </c>
      <c r="D17743">
        <f>IF(B17743=C17743, "YES", "WRONG")</f>
        <v/>
      </c>
    </row>
    <row r="17744">
      <c r="A17744" t="n">
        <v>17743</v>
      </c>
      <c r="B17744" t="inlineStr">
        <is>
          <t>x̄V̅MMDCCXLIII</t>
        </is>
      </c>
      <c r="C17744">
        <f>ROMAN(17743)</f>
        <v/>
      </c>
      <c r="D17744">
        <f>IF(B17744=C17744, "YES", "WRONG")</f>
        <v/>
      </c>
    </row>
    <row r="17745">
      <c r="A17745" t="n">
        <v>17744</v>
      </c>
      <c r="B17745" t="inlineStr">
        <is>
          <t>x̄V̅MMDCCXLIV</t>
        </is>
      </c>
      <c r="C17745">
        <f>ROMAN(17744)</f>
        <v/>
      </c>
      <c r="D17745">
        <f>IF(B17745=C17745, "YES", "WRONG")</f>
        <v/>
      </c>
    </row>
    <row r="17746">
      <c r="A17746" t="n">
        <v>17745</v>
      </c>
      <c r="B17746" t="inlineStr">
        <is>
          <t>x̄V̅MMDCCXLV</t>
        </is>
      </c>
      <c r="C17746">
        <f>ROMAN(17745)</f>
        <v/>
      </c>
      <c r="D17746">
        <f>IF(B17746=C17746, "YES", "WRONG")</f>
        <v/>
      </c>
    </row>
    <row r="17747">
      <c r="A17747" t="n">
        <v>17746</v>
      </c>
      <c r="B17747" t="inlineStr">
        <is>
          <t>x̄V̅MMDCCXLVI</t>
        </is>
      </c>
      <c r="C17747">
        <f>ROMAN(17746)</f>
        <v/>
      </c>
      <c r="D17747">
        <f>IF(B17747=C17747, "YES", "WRONG")</f>
        <v/>
      </c>
    </row>
    <row r="17748">
      <c r="A17748" t="n">
        <v>17747</v>
      </c>
      <c r="B17748" t="inlineStr">
        <is>
          <t>x̄V̅MMDCCXLVII</t>
        </is>
      </c>
      <c r="C17748">
        <f>ROMAN(17747)</f>
        <v/>
      </c>
      <c r="D17748">
        <f>IF(B17748=C17748, "YES", "WRONG")</f>
        <v/>
      </c>
    </row>
    <row r="17749">
      <c r="A17749" t="n">
        <v>17748</v>
      </c>
      <c r="B17749" t="inlineStr">
        <is>
          <t>x̄V̅MMDCCXLVIII</t>
        </is>
      </c>
      <c r="C17749">
        <f>ROMAN(17748)</f>
        <v/>
      </c>
      <c r="D17749">
        <f>IF(B17749=C17749, "YES", "WRONG")</f>
        <v/>
      </c>
    </row>
    <row r="17750">
      <c r="A17750" t="n">
        <v>17749</v>
      </c>
      <c r="B17750" t="inlineStr">
        <is>
          <t>x̄V̅MMDCCXLIX</t>
        </is>
      </c>
      <c r="C17750">
        <f>ROMAN(17749)</f>
        <v/>
      </c>
      <c r="D17750">
        <f>IF(B17750=C17750, "YES", "WRONG")</f>
        <v/>
      </c>
    </row>
    <row r="17751">
      <c r="A17751" t="n">
        <v>17750</v>
      </c>
      <c r="B17751" t="inlineStr">
        <is>
          <t>x̄V̅MMDCCL</t>
        </is>
      </c>
      <c r="C17751">
        <f>ROMAN(17750)</f>
        <v/>
      </c>
      <c r="D17751">
        <f>IF(B17751=C17751, "YES", "WRONG")</f>
        <v/>
      </c>
    </row>
    <row r="17752">
      <c r="A17752" t="n">
        <v>17751</v>
      </c>
      <c r="B17752" t="inlineStr">
        <is>
          <t>x̄V̅MMDCCLI</t>
        </is>
      </c>
      <c r="C17752">
        <f>ROMAN(17751)</f>
        <v/>
      </c>
      <c r="D17752">
        <f>IF(B17752=C17752, "YES", "WRONG")</f>
        <v/>
      </c>
    </row>
    <row r="17753">
      <c r="A17753" t="n">
        <v>17752</v>
      </c>
      <c r="B17753" t="inlineStr">
        <is>
          <t>x̄V̅MMDCCLII</t>
        </is>
      </c>
      <c r="C17753">
        <f>ROMAN(17752)</f>
        <v/>
      </c>
      <c r="D17753">
        <f>IF(B17753=C17753, "YES", "WRONG")</f>
        <v/>
      </c>
    </row>
    <row r="17754">
      <c r="A17754" t="n">
        <v>17753</v>
      </c>
      <c r="B17754" t="inlineStr">
        <is>
          <t>x̄V̅MMDCCLIII</t>
        </is>
      </c>
      <c r="C17754">
        <f>ROMAN(17753)</f>
        <v/>
      </c>
      <c r="D17754">
        <f>IF(B17754=C17754, "YES", "WRONG")</f>
        <v/>
      </c>
    </row>
    <row r="17755">
      <c r="A17755" t="n">
        <v>17754</v>
      </c>
      <c r="B17755" t="inlineStr">
        <is>
          <t>x̄V̅MMDCCLIV</t>
        </is>
      </c>
      <c r="C17755">
        <f>ROMAN(17754)</f>
        <v/>
      </c>
      <c r="D17755">
        <f>IF(B17755=C17755, "YES", "WRONG")</f>
        <v/>
      </c>
    </row>
    <row r="17756">
      <c r="A17756" t="n">
        <v>17755</v>
      </c>
      <c r="B17756" t="inlineStr">
        <is>
          <t>x̄V̅MMDCCLV</t>
        </is>
      </c>
      <c r="C17756">
        <f>ROMAN(17755)</f>
        <v/>
      </c>
      <c r="D17756">
        <f>IF(B17756=C17756, "YES", "WRONG")</f>
        <v/>
      </c>
    </row>
    <row r="17757">
      <c r="A17757" t="n">
        <v>17756</v>
      </c>
      <c r="B17757" t="inlineStr">
        <is>
          <t>x̄V̅MMDCCLVI</t>
        </is>
      </c>
      <c r="C17757">
        <f>ROMAN(17756)</f>
        <v/>
      </c>
      <c r="D17757">
        <f>IF(B17757=C17757, "YES", "WRONG")</f>
        <v/>
      </c>
    </row>
    <row r="17758">
      <c r="A17758" t="n">
        <v>17757</v>
      </c>
      <c r="B17758" t="inlineStr">
        <is>
          <t>x̄V̅MMDCCLVII</t>
        </is>
      </c>
      <c r="C17758">
        <f>ROMAN(17757)</f>
        <v/>
      </c>
      <c r="D17758">
        <f>IF(B17758=C17758, "YES", "WRONG")</f>
        <v/>
      </c>
    </row>
    <row r="17759">
      <c r="A17759" t="n">
        <v>17758</v>
      </c>
      <c r="B17759" t="inlineStr">
        <is>
          <t>x̄V̅MMDCCLVIII</t>
        </is>
      </c>
      <c r="C17759">
        <f>ROMAN(17758)</f>
        <v/>
      </c>
      <c r="D17759">
        <f>IF(B17759=C17759, "YES", "WRONG")</f>
        <v/>
      </c>
    </row>
    <row r="17760">
      <c r="A17760" t="n">
        <v>17759</v>
      </c>
      <c r="B17760" t="inlineStr">
        <is>
          <t>x̄V̅MMDCCLIX</t>
        </is>
      </c>
      <c r="C17760">
        <f>ROMAN(17759)</f>
        <v/>
      </c>
      <c r="D17760">
        <f>IF(B17760=C17760, "YES", "WRONG")</f>
        <v/>
      </c>
    </row>
    <row r="17761">
      <c r="A17761" t="n">
        <v>17760</v>
      </c>
      <c r="B17761" t="inlineStr">
        <is>
          <t>x̄V̅MMDCCLX</t>
        </is>
      </c>
      <c r="C17761">
        <f>ROMAN(17760)</f>
        <v/>
      </c>
      <c r="D17761">
        <f>IF(B17761=C17761, "YES", "WRONG")</f>
        <v/>
      </c>
    </row>
    <row r="17762">
      <c r="A17762" t="n">
        <v>17761</v>
      </c>
      <c r="B17762" t="inlineStr">
        <is>
          <t>x̄V̅MMDCCLXI</t>
        </is>
      </c>
      <c r="C17762">
        <f>ROMAN(17761)</f>
        <v/>
      </c>
      <c r="D17762">
        <f>IF(B17762=C17762, "YES", "WRONG")</f>
        <v/>
      </c>
    </row>
    <row r="17763">
      <c r="A17763" t="n">
        <v>17762</v>
      </c>
      <c r="B17763" t="inlineStr">
        <is>
          <t>x̄V̅MMDCCLXII</t>
        </is>
      </c>
      <c r="C17763">
        <f>ROMAN(17762)</f>
        <v/>
      </c>
      <c r="D17763">
        <f>IF(B17763=C17763, "YES", "WRONG")</f>
        <v/>
      </c>
    </row>
    <row r="17764">
      <c r="A17764" t="n">
        <v>17763</v>
      </c>
      <c r="B17764" t="inlineStr">
        <is>
          <t>x̄V̅MMDCCLXIII</t>
        </is>
      </c>
      <c r="C17764">
        <f>ROMAN(17763)</f>
        <v/>
      </c>
      <c r="D17764">
        <f>IF(B17764=C17764, "YES", "WRONG")</f>
        <v/>
      </c>
    </row>
    <row r="17765">
      <c r="A17765" t="n">
        <v>17764</v>
      </c>
      <c r="B17765" t="inlineStr">
        <is>
          <t>x̄V̅MMDCCLXIV</t>
        </is>
      </c>
      <c r="C17765">
        <f>ROMAN(17764)</f>
        <v/>
      </c>
      <c r="D17765">
        <f>IF(B17765=C17765, "YES", "WRONG")</f>
        <v/>
      </c>
    </row>
    <row r="17766">
      <c r="A17766" t="n">
        <v>17765</v>
      </c>
      <c r="B17766" t="inlineStr">
        <is>
          <t>x̄V̅MMDCCLXV</t>
        </is>
      </c>
      <c r="C17766">
        <f>ROMAN(17765)</f>
        <v/>
      </c>
      <c r="D17766">
        <f>IF(B17766=C17766, "YES", "WRONG")</f>
        <v/>
      </c>
    </row>
    <row r="17767">
      <c r="A17767" t="n">
        <v>17766</v>
      </c>
      <c r="B17767" t="inlineStr">
        <is>
          <t>x̄V̅MMDCCLXVI</t>
        </is>
      </c>
      <c r="C17767">
        <f>ROMAN(17766)</f>
        <v/>
      </c>
      <c r="D17767">
        <f>IF(B17767=C17767, "YES", "WRONG")</f>
        <v/>
      </c>
    </row>
    <row r="17768">
      <c r="A17768" t="n">
        <v>17767</v>
      </c>
      <c r="B17768" t="inlineStr">
        <is>
          <t>x̄V̅MMDCCLXVII</t>
        </is>
      </c>
      <c r="C17768">
        <f>ROMAN(17767)</f>
        <v/>
      </c>
      <c r="D17768">
        <f>IF(B17768=C17768, "YES", "WRONG")</f>
        <v/>
      </c>
    </row>
    <row r="17769">
      <c r="A17769" t="n">
        <v>17768</v>
      </c>
      <c r="B17769" t="inlineStr">
        <is>
          <t>x̄V̅MMDCCLXVIII</t>
        </is>
      </c>
      <c r="C17769">
        <f>ROMAN(17768)</f>
        <v/>
      </c>
      <c r="D17769">
        <f>IF(B17769=C17769, "YES", "WRONG")</f>
        <v/>
      </c>
    </row>
    <row r="17770">
      <c r="A17770" t="n">
        <v>17769</v>
      </c>
      <c r="B17770" t="inlineStr">
        <is>
          <t>x̄V̅MMDCCLXIX</t>
        </is>
      </c>
      <c r="C17770">
        <f>ROMAN(17769)</f>
        <v/>
      </c>
      <c r="D17770">
        <f>IF(B17770=C17770, "YES", "WRONG")</f>
        <v/>
      </c>
    </row>
    <row r="17771">
      <c r="A17771" t="n">
        <v>17770</v>
      </c>
      <c r="B17771" t="inlineStr">
        <is>
          <t>x̄V̅MMDCCLXX</t>
        </is>
      </c>
      <c r="C17771">
        <f>ROMAN(17770)</f>
        <v/>
      </c>
      <c r="D17771">
        <f>IF(B17771=C17771, "YES", "WRONG")</f>
        <v/>
      </c>
    </row>
    <row r="17772">
      <c r="A17772" t="n">
        <v>17771</v>
      </c>
      <c r="B17772" t="inlineStr">
        <is>
          <t>x̄V̅MMDCCLXXI</t>
        </is>
      </c>
      <c r="C17772">
        <f>ROMAN(17771)</f>
        <v/>
      </c>
      <c r="D17772">
        <f>IF(B17772=C17772, "YES", "WRONG")</f>
        <v/>
      </c>
    </row>
    <row r="17773">
      <c r="A17773" t="n">
        <v>17772</v>
      </c>
      <c r="B17773" t="inlineStr">
        <is>
          <t>x̄V̅MMDCCLXXII</t>
        </is>
      </c>
      <c r="C17773">
        <f>ROMAN(17772)</f>
        <v/>
      </c>
      <c r="D17773">
        <f>IF(B17773=C17773, "YES", "WRONG")</f>
        <v/>
      </c>
    </row>
    <row r="17774">
      <c r="A17774" t="n">
        <v>17773</v>
      </c>
      <c r="B17774" t="inlineStr">
        <is>
          <t>x̄V̅MMDCCLXXIII</t>
        </is>
      </c>
      <c r="C17774">
        <f>ROMAN(17773)</f>
        <v/>
      </c>
      <c r="D17774">
        <f>IF(B17774=C17774, "YES", "WRONG")</f>
        <v/>
      </c>
    </row>
    <row r="17775">
      <c r="A17775" t="n">
        <v>17774</v>
      </c>
      <c r="B17775" t="inlineStr">
        <is>
          <t>x̄V̅MMDCCLXXIV</t>
        </is>
      </c>
      <c r="C17775">
        <f>ROMAN(17774)</f>
        <v/>
      </c>
      <c r="D17775">
        <f>IF(B17775=C17775, "YES", "WRONG")</f>
        <v/>
      </c>
    </row>
    <row r="17776">
      <c r="A17776" t="n">
        <v>17775</v>
      </c>
      <c r="B17776" t="inlineStr">
        <is>
          <t>x̄V̅MMDCCLXXV</t>
        </is>
      </c>
      <c r="C17776">
        <f>ROMAN(17775)</f>
        <v/>
      </c>
      <c r="D17776">
        <f>IF(B17776=C17776, "YES", "WRONG")</f>
        <v/>
      </c>
    </row>
    <row r="17777">
      <c r="A17777" t="n">
        <v>17776</v>
      </c>
      <c r="B17777" t="inlineStr">
        <is>
          <t>x̄V̅MMDCCLXXVI</t>
        </is>
      </c>
      <c r="C17777">
        <f>ROMAN(17776)</f>
        <v/>
      </c>
      <c r="D17777">
        <f>IF(B17777=C17777, "YES", "WRONG")</f>
        <v/>
      </c>
    </row>
    <row r="17778">
      <c r="A17778" t="n">
        <v>17777</v>
      </c>
      <c r="B17778" t="inlineStr">
        <is>
          <t>x̄V̅MMDCCLXXVII</t>
        </is>
      </c>
      <c r="C17778">
        <f>ROMAN(17777)</f>
        <v/>
      </c>
      <c r="D17778">
        <f>IF(B17778=C17778, "YES", "WRONG")</f>
        <v/>
      </c>
    </row>
    <row r="17779">
      <c r="A17779" t="n">
        <v>17778</v>
      </c>
      <c r="B17779" t="inlineStr">
        <is>
          <t>x̄V̅MMDCCLXXVIII</t>
        </is>
      </c>
      <c r="C17779">
        <f>ROMAN(17778)</f>
        <v/>
      </c>
      <c r="D17779">
        <f>IF(B17779=C17779, "YES", "WRONG")</f>
        <v/>
      </c>
    </row>
    <row r="17780">
      <c r="A17780" t="n">
        <v>17779</v>
      </c>
      <c r="B17780" t="inlineStr">
        <is>
          <t>x̄V̅MMDCCLXXIX</t>
        </is>
      </c>
      <c r="C17780">
        <f>ROMAN(17779)</f>
        <v/>
      </c>
      <c r="D17780">
        <f>IF(B17780=C17780, "YES", "WRONG")</f>
        <v/>
      </c>
    </row>
    <row r="17781">
      <c r="A17781" t="n">
        <v>17780</v>
      </c>
      <c r="B17781" t="inlineStr">
        <is>
          <t>x̄V̅MMDCCLXXX</t>
        </is>
      </c>
      <c r="C17781">
        <f>ROMAN(17780)</f>
        <v/>
      </c>
      <c r="D17781">
        <f>IF(B17781=C17781, "YES", "WRONG")</f>
        <v/>
      </c>
    </row>
    <row r="17782">
      <c r="A17782" t="n">
        <v>17781</v>
      </c>
      <c r="B17782" t="inlineStr">
        <is>
          <t>x̄V̅MMDCCLXXXI</t>
        </is>
      </c>
      <c r="C17782">
        <f>ROMAN(17781)</f>
        <v/>
      </c>
      <c r="D17782">
        <f>IF(B17782=C17782, "YES", "WRONG")</f>
        <v/>
      </c>
    </row>
    <row r="17783">
      <c r="A17783" t="n">
        <v>17782</v>
      </c>
      <c r="B17783" t="inlineStr">
        <is>
          <t>x̄V̅MMDCCLXXXII</t>
        </is>
      </c>
      <c r="C17783">
        <f>ROMAN(17782)</f>
        <v/>
      </c>
      <c r="D17783">
        <f>IF(B17783=C17783, "YES", "WRONG")</f>
        <v/>
      </c>
    </row>
    <row r="17784">
      <c r="A17784" t="n">
        <v>17783</v>
      </c>
      <c r="B17784" t="inlineStr">
        <is>
          <t>x̄V̅MMDCCLXXXIII</t>
        </is>
      </c>
      <c r="C17784">
        <f>ROMAN(17783)</f>
        <v/>
      </c>
      <c r="D17784">
        <f>IF(B17784=C17784, "YES", "WRONG")</f>
        <v/>
      </c>
    </row>
    <row r="17785">
      <c r="A17785" t="n">
        <v>17784</v>
      </c>
      <c r="B17785" t="inlineStr">
        <is>
          <t>x̄V̅MMDCCLXXXIV</t>
        </is>
      </c>
      <c r="C17785">
        <f>ROMAN(17784)</f>
        <v/>
      </c>
      <c r="D17785">
        <f>IF(B17785=C17785, "YES", "WRONG")</f>
        <v/>
      </c>
    </row>
    <row r="17786">
      <c r="A17786" t="n">
        <v>17785</v>
      </c>
      <c r="B17786" t="inlineStr">
        <is>
          <t>x̄V̅MMDCCLXXXV</t>
        </is>
      </c>
      <c r="C17786">
        <f>ROMAN(17785)</f>
        <v/>
      </c>
      <c r="D17786">
        <f>IF(B17786=C17786, "YES", "WRONG")</f>
        <v/>
      </c>
    </row>
    <row r="17787">
      <c r="A17787" t="n">
        <v>17786</v>
      </c>
      <c r="B17787" t="inlineStr">
        <is>
          <t>x̄V̅MMDCCLXXXVI</t>
        </is>
      </c>
      <c r="C17787">
        <f>ROMAN(17786)</f>
        <v/>
      </c>
      <c r="D17787">
        <f>IF(B17787=C17787, "YES", "WRONG")</f>
        <v/>
      </c>
    </row>
    <row r="17788">
      <c r="A17788" t="n">
        <v>17787</v>
      </c>
      <c r="B17788" t="inlineStr">
        <is>
          <t>x̄V̅MMDCCLXXXVII</t>
        </is>
      </c>
      <c r="C17788">
        <f>ROMAN(17787)</f>
        <v/>
      </c>
      <c r="D17788">
        <f>IF(B17788=C17788, "YES", "WRONG")</f>
        <v/>
      </c>
    </row>
    <row r="17789">
      <c r="A17789" t="n">
        <v>17788</v>
      </c>
      <c r="B17789" t="inlineStr">
        <is>
          <t>x̄V̅MMDCCLXXXVIII</t>
        </is>
      </c>
      <c r="C17789">
        <f>ROMAN(17788)</f>
        <v/>
      </c>
      <c r="D17789">
        <f>IF(B17789=C17789, "YES", "WRONG")</f>
        <v/>
      </c>
    </row>
    <row r="17790">
      <c r="A17790" t="n">
        <v>17789</v>
      </c>
      <c r="B17790" t="inlineStr">
        <is>
          <t>x̄V̅MMDCCLXXXIX</t>
        </is>
      </c>
      <c r="C17790">
        <f>ROMAN(17789)</f>
        <v/>
      </c>
      <c r="D17790">
        <f>IF(B17790=C17790, "YES", "WRONG")</f>
        <v/>
      </c>
    </row>
    <row r="17791">
      <c r="A17791" t="n">
        <v>17790</v>
      </c>
      <c r="B17791" t="inlineStr">
        <is>
          <t>x̄V̅MMDCCXC</t>
        </is>
      </c>
      <c r="C17791">
        <f>ROMAN(17790)</f>
        <v/>
      </c>
      <c r="D17791">
        <f>IF(B17791=C17791, "YES", "WRONG")</f>
        <v/>
      </c>
    </row>
    <row r="17792">
      <c r="A17792" t="n">
        <v>17791</v>
      </c>
      <c r="B17792" t="inlineStr">
        <is>
          <t>x̄V̅MMDCCXCI</t>
        </is>
      </c>
      <c r="C17792">
        <f>ROMAN(17791)</f>
        <v/>
      </c>
      <c r="D17792">
        <f>IF(B17792=C17792, "YES", "WRONG")</f>
        <v/>
      </c>
    </row>
    <row r="17793">
      <c r="A17793" t="n">
        <v>17792</v>
      </c>
      <c r="B17793" t="inlineStr">
        <is>
          <t>x̄V̅MMDCCXCII</t>
        </is>
      </c>
      <c r="C17793">
        <f>ROMAN(17792)</f>
        <v/>
      </c>
      <c r="D17793">
        <f>IF(B17793=C17793, "YES", "WRONG")</f>
        <v/>
      </c>
    </row>
    <row r="17794">
      <c r="A17794" t="n">
        <v>17793</v>
      </c>
      <c r="B17794" t="inlineStr">
        <is>
          <t>x̄V̅MMDCCXCIII</t>
        </is>
      </c>
      <c r="C17794">
        <f>ROMAN(17793)</f>
        <v/>
      </c>
      <c r="D17794">
        <f>IF(B17794=C17794, "YES", "WRONG")</f>
        <v/>
      </c>
    </row>
    <row r="17795">
      <c r="A17795" t="n">
        <v>17794</v>
      </c>
      <c r="B17795" t="inlineStr">
        <is>
          <t>x̄V̅MMDCCXCIV</t>
        </is>
      </c>
      <c r="C17795">
        <f>ROMAN(17794)</f>
        <v/>
      </c>
      <c r="D17795">
        <f>IF(B17795=C17795, "YES", "WRONG")</f>
        <v/>
      </c>
    </row>
    <row r="17796">
      <c r="A17796" t="n">
        <v>17795</v>
      </c>
      <c r="B17796" t="inlineStr">
        <is>
          <t>x̄V̅MMDCCXCV</t>
        </is>
      </c>
      <c r="C17796">
        <f>ROMAN(17795)</f>
        <v/>
      </c>
      <c r="D17796">
        <f>IF(B17796=C17796, "YES", "WRONG")</f>
        <v/>
      </c>
    </row>
    <row r="17797">
      <c r="A17797" t="n">
        <v>17796</v>
      </c>
      <c r="B17797" t="inlineStr">
        <is>
          <t>x̄V̅MMDCCXCVI</t>
        </is>
      </c>
      <c r="C17797">
        <f>ROMAN(17796)</f>
        <v/>
      </c>
      <c r="D17797">
        <f>IF(B17797=C17797, "YES", "WRONG")</f>
        <v/>
      </c>
    </row>
    <row r="17798">
      <c r="A17798" t="n">
        <v>17797</v>
      </c>
      <c r="B17798" t="inlineStr">
        <is>
          <t>x̄V̅MMDCCXCVII</t>
        </is>
      </c>
      <c r="C17798">
        <f>ROMAN(17797)</f>
        <v/>
      </c>
      <c r="D17798">
        <f>IF(B17798=C17798, "YES", "WRONG")</f>
        <v/>
      </c>
    </row>
    <row r="17799">
      <c r="A17799" t="n">
        <v>17798</v>
      </c>
      <c r="B17799" t="inlineStr">
        <is>
          <t>x̄V̅MMDCCXCVIII</t>
        </is>
      </c>
      <c r="C17799">
        <f>ROMAN(17798)</f>
        <v/>
      </c>
      <c r="D17799">
        <f>IF(B17799=C17799, "YES", "WRONG")</f>
        <v/>
      </c>
    </row>
    <row r="17800">
      <c r="A17800" t="n">
        <v>17799</v>
      </c>
      <c r="B17800" t="inlineStr">
        <is>
          <t>x̄V̅MMDCCXCIX</t>
        </is>
      </c>
      <c r="C17800">
        <f>ROMAN(17799)</f>
        <v/>
      </c>
      <c r="D17800">
        <f>IF(B17800=C17800, "YES", "WRONG")</f>
        <v/>
      </c>
    </row>
    <row r="17801">
      <c r="A17801" t="n">
        <v>17800</v>
      </c>
      <c r="B17801" t="inlineStr">
        <is>
          <t>x̄V̅MMDCCC</t>
        </is>
      </c>
      <c r="C17801">
        <f>ROMAN(17800)</f>
        <v/>
      </c>
      <c r="D17801">
        <f>IF(B17801=C17801, "YES", "WRONG")</f>
        <v/>
      </c>
    </row>
    <row r="17802">
      <c r="A17802" t="n">
        <v>17801</v>
      </c>
      <c r="B17802" t="inlineStr">
        <is>
          <t>x̄V̅MMDCCCI</t>
        </is>
      </c>
      <c r="C17802">
        <f>ROMAN(17801)</f>
        <v/>
      </c>
      <c r="D17802">
        <f>IF(B17802=C17802, "YES", "WRONG")</f>
        <v/>
      </c>
    </row>
    <row r="17803">
      <c r="A17803" t="n">
        <v>17802</v>
      </c>
      <c r="B17803" t="inlineStr">
        <is>
          <t>x̄V̅MMDCCCII</t>
        </is>
      </c>
      <c r="C17803">
        <f>ROMAN(17802)</f>
        <v/>
      </c>
      <c r="D17803">
        <f>IF(B17803=C17803, "YES", "WRONG")</f>
        <v/>
      </c>
    </row>
    <row r="17804">
      <c r="A17804" t="n">
        <v>17803</v>
      </c>
      <c r="B17804" t="inlineStr">
        <is>
          <t>x̄V̅MMDCCCIII</t>
        </is>
      </c>
      <c r="C17804">
        <f>ROMAN(17803)</f>
        <v/>
      </c>
      <c r="D17804">
        <f>IF(B17804=C17804, "YES", "WRONG")</f>
        <v/>
      </c>
    </row>
    <row r="17805">
      <c r="A17805" t="n">
        <v>17804</v>
      </c>
      <c r="B17805" t="inlineStr">
        <is>
          <t>x̄V̅MMDCCCIV</t>
        </is>
      </c>
      <c r="C17805">
        <f>ROMAN(17804)</f>
        <v/>
      </c>
      <c r="D17805">
        <f>IF(B17805=C17805, "YES", "WRONG")</f>
        <v/>
      </c>
    </row>
    <row r="17806">
      <c r="A17806" t="n">
        <v>17805</v>
      </c>
      <c r="B17806" t="inlineStr">
        <is>
          <t>x̄V̅MMDCCCV</t>
        </is>
      </c>
      <c r="C17806">
        <f>ROMAN(17805)</f>
        <v/>
      </c>
      <c r="D17806">
        <f>IF(B17806=C17806, "YES", "WRONG")</f>
        <v/>
      </c>
    </row>
    <row r="17807">
      <c r="A17807" t="n">
        <v>17806</v>
      </c>
      <c r="B17807" t="inlineStr">
        <is>
          <t>x̄V̅MMDCCCVI</t>
        </is>
      </c>
      <c r="C17807">
        <f>ROMAN(17806)</f>
        <v/>
      </c>
      <c r="D17807">
        <f>IF(B17807=C17807, "YES", "WRONG")</f>
        <v/>
      </c>
    </row>
    <row r="17808">
      <c r="A17808" t="n">
        <v>17807</v>
      </c>
      <c r="B17808" t="inlineStr">
        <is>
          <t>x̄V̅MMDCCCVII</t>
        </is>
      </c>
      <c r="C17808">
        <f>ROMAN(17807)</f>
        <v/>
      </c>
      <c r="D17808">
        <f>IF(B17808=C17808, "YES", "WRONG")</f>
        <v/>
      </c>
    </row>
    <row r="17809">
      <c r="A17809" t="n">
        <v>17808</v>
      </c>
      <c r="B17809" t="inlineStr">
        <is>
          <t>x̄V̅MMDCCCVIII</t>
        </is>
      </c>
      <c r="C17809">
        <f>ROMAN(17808)</f>
        <v/>
      </c>
      <c r="D17809">
        <f>IF(B17809=C17809, "YES", "WRONG")</f>
        <v/>
      </c>
    </row>
    <row r="17810">
      <c r="A17810" t="n">
        <v>17809</v>
      </c>
      <c r="B17810" t="inlineStr">
        <is>
          <t>x̄V̅MMDCCCIX</t>
        </is>
      </c>
      <c r="C17810">
        <f>ROMAN(17809)</f>
        <v/>
      </c>
      <c r="D17810">
        <f>IF(B17810=C17810, "YES", "WRONG")</f>
        <v/>
      </c>
    </row>
    <row r="17811">
      <c r="A17811" t="n">
        <v>17810</v>
      </c>
      <c r="B17811" t="inlineStr">
        <is>
          <t>x̄V̅MMDCCCX</t>
        </is>
      </c>
      <c r="C17811">
        <f>ROMAN(17810)</f>
        <v/>
      </c>
      <c r="D17811">
        <f>IF(B17811=C17811, "YES", "WRONG")</f>
        <v/>
      </c>
    </row>
    <row r="17812">
      <c r="A17812" t="n">
        <v>17811</v>
      </c>
      <c r="B17812" t="inlineStr">
        <is>
          <t>x̄V̅MMDCCCXI</t>
        </is>
      </c>
      <c r="C17812">
        <f>ROMAN(17811)</f>
        <v/>
      </c>
      <c r="D17812">
        <f>IF(B17812=C17812, "YES", "WRONG")</f>
        <v/>
      </c>
    </row>
    <row r="17813">
      <c r="A17813" t="n">
        <v>17812</v>
      </c>
      <c r="B17813" t="inlineStr">
        <is>
          <t>x̄V̅MMDCCCXII</t>
        </is>
      </c>
      <c r="C17813">
        <f>ROMAN(17812)</f>
        <v/>
      </c>
      <c r="D17813">
        <f>IF(B17813=C17813, "YES", "WRONG")</f>
        <v/>
      </c>
    </row>
    <row r="17814">
      <c r="A17814" t="n">
        <v>17813</v>
      </c>
      <c r="B17814" t="inlineStr">
        <is>
          <t>x̄V̅MMDCCCXIII</t>
        </is>
      </c>
      <c r="C17814">
        <f>ROMAN(17813)</f>
        <v/>
      </c>
      <c r="D17814">
        <f>IF(B17814=C17814, "YES", "WRONG")</f>
        <v/>
      </c>
    </row>
    <row r="17815">
      <c r="A17815" t="n">
        <v>17814</v>
      </c>
      <c r="B17815" t="inlineStr">
        <is>
          <t>x̄V̅MMDCCCXIV</t>
        </is>
      </c>
      <c r="C17815">
        <f>ROMAN(17814)</f>
        <v/>
      </c>
      <c r="D17815">
        <f>IF(B17815=C17815, "YES", "WRONG")</f>
        <v/>
      </c>
    </row>
    <row r="17816">
      <c r="A17816" t="n">
        <v>17815</v>
      </c>
      <c r="B17816" t="inlineStr">
        <is>
          <t>x̄V̅MMDCCCXV</t>
        </is>
      </c>
      <c r="C17816">
        <f>ROMAN(17815)</f>
        <v/>
      </c>
      <c r="D17816">
        <f>IF(B17816=C17816, "YES", "WRONG")</f>
        <v/>
      </c>
    </row>
    <row r="17817">
      <c r="A17817" t="n">
        <v>17816</v>
      </c>
      <c r="B17817" t="inlineStr">
        <is>
          <t>x̄V̅MMDCCCXVI</t>
        </is>
      </c>
      <c r="C17817">
        <f>ROMAN(17816)</f>
        <v/>
      </c>
      <c r="D17817">
        <f>IF(B17817=C17817, "YES", "WRONG")</f>
        <v/>
      </c>
    </row>
    <row r="17818">
      <c r="A17818" t="n">
        <v>17817</v>
      </c>
      <c r="B17818" t="inlineStr">
        <is>
          <t>x̄V̅MMDCCCXVII</t>
        </is>
      </c>
      <c r="C17818">
        <f>ROMAN(17817)</f>
        <v/>
      </c>
      <c r="D17818">
        <f>IF(B17818=C17818, "YES", "WRONG")</f>
        <v/>
      </c>
    </row>
    <row r="17819">
      <c r="A17819" t="n">
        <v>17818</v>
      </c>
      <c r="B17819" t="inlineStr">
        <is>
          <t>x̄V̅MMDCCCXVIII</t>
        </is>
      </c>
      <c r="C17819">
        <f>ROMAN(17818)</f>
        <v/>
      </c>
      <c r="D17819">
        <f>IF(B17819=C17819, "YES", "WRONG")</f>
        <v/>
      </c>
    </row>
    <row r="17820">
      <c r="A17820" t="n">
        <v>17819</v>
      </c>
      <c r="B17820" t="inlineStr">
        <is>
          <t>x̄V̅MMDCCCXIX</t>
        </is>
      </c>
      <c r="C17820">
        <f>ROMAN(17819)</f>
        <v/>
      </c>
      <c r="D17820">
        <f>IF(B17820=C17820, "YES", "WRONG")</f>
        <v/>
      </c>
    </row>
    <row r="17821">
      <c r="A17821" t="n">
        <v>17820</v>
      </c>
      <c r="B17821" t="inlineStr">
        <is>
          <t>x̄V̅MMDCCCXX</t>
        </is>
      </c>
      <c r="C17821">
        <f>ROMAN(17820)</f>
        <v/>
      </c>
      <c r="D17821">
        <f>IF(B17821=C17821, "YES", "WRONG")</f>
        <v/>
      </c>
    </row>
    <row r="17822">
      <c r="A17822" t="n">
        <v>17821</v>
      </c>
      <c r="B17822" t="inlineStr">
        <is>
          <t>x̄V̅MMDCCCXXI</t>
        </is>
      </c>
      <c r="C17822">
        <f>ROMAN(17821)</f>
        <v/>
      </c>
      <c r="D17822">
        <f>IF(B17822=C17822, "YES", "WRONG")</f>
        <v/>
      </c>
    </row>
    <row r="17823">
      <c r="A17823" t="n">
        <v>17822</v>
      </c>
      <c r="B17823" t="inlineStr">
        <is>
          <t>x̄V̅MMDCCCXXII</t>
        </is>
      </c>
      <c r="C17823">
        <f>ROMAN(17822)</f>
        <v/>
      </c>
      <c r="D17823">
        <f>IF(B17823=C17823, "YES", "WRONG")</f>
        <v/>
      </c>
    </row>
    <row r="17824">
      <c r="A17824" t="n">
        <v>17823</v>
      </c>
      <c r="B17824" t="inlineStr">
        <is>
          <t>x̄V̅MMDCCCXXIII</t>
        </is>
      </c>
      <c r="C17824">
        <f>ROMAN(17823)</f>
        <v/>
      </c>
      <c r="D17824">
        <f>IF(B17824=C17824, "YES", "WRONG")</f>
        <v/>
      </c>
    </row>
    <row r="17825">
      <c r="A17825" t="n">
        <v>17824</v>
      </c>
      <c r="B17825" t="inlineStr">
        <is>
          <t>x̄V̅MMDCCCXXIV</t>
        </is>
      </c>
      <c r="C17825">
        <f>ROMAN(17824)</f>
        <v/>
      </c>
      <c r="D17825">
        <f>IF(B17825=C17825, "YES", "WRONG")</f>
        <v/>
      </c>
    </row>
    <row r="17826">
      <c r="A17826" t="n">
        <v>17825</v>
      </c>
      <c r="B17826" t="inlineStr">
        <is>
          <t>x̄V̅MMDCCCXXV</t>
        </is>
      </c>
      <c r="C17826">
        <f>ROMAN(17825)</f>
        <v/>
      </c>
      <c r="D17826">
        <f>IF(B17826=C17826, "YES", "WRONG")</f>
        <v/>
      </c>
    </row>
    <row r="17827">
      <c r="A17827" t="n">
        <v>17826</v>
      </c>
      <c r="B17827" t="inlineStr">
        <is>
          <t>x̄V̅MMDCCCXXVI</t>
        </is>
      </c>
      <c r="C17827">
        <f>ROMAN(17826)</f>
        <v/>
      </c>
      <c r="D17827">
        <f>IF(B17827=C17827, "YES", "WRONG")</f>
        <v/>
      </c>
    </row>
    <row r="17828">
      <c r="A17828" t="n">
        <v>17827</v>
      </c>
      <c r="B17828" t="inlineStr">
        <is>
          <t>x̄V̅MMDCCCXXVII</t>
        </is>
      </c>
      <c r="C17828">
        <f>ROMAN(17827)</f>
        <v/>
      </c>
      <c r="D17828">
        <f>IF(B17828=C17828, "YES", "WRONG")</f>
        <v/>
      </c>
    </row>
    <row r="17829">
      <c r="A17829" t="n">
        <v>17828</v>
      </c>
      <c r="B17829" t="inlineStr">
        <is>
          <t>x̄V̅MMDCCCXXVIII</t>
        </is>
      </c>
      <c r="C17829">
        <f>ROMAN(17828)</f>
        <v/>
      </c>
      <c r="D17829">
        <f>IF(B17829=C17829, "YES", "WRONG")</f>
        <v/>
      </c>
    </row>
    <row r="17830">
      <c r="A17830" t="n">
        <v>17829</v>
      </c>
      <c r="B17830" t="inlineStr">
        <is>
          <t>x̄V̅MMDCCCXXIX</t>
        </is>
      </c>
      <c r="C17830">
        <f>ROMAN(17829)</f>
        <v/>
      </c>
      <c r="D17830">
        <f>IF(B17830=C17830, "YES", "WRONG")</f>
        <v/>
      </c>
    </row>
    <row r="17831">
      <c r="A17831" t="n">
        <v>17830</v>
      </c>
      <c r="B17831" t="inlineStr">
        <is>
          <t>x̄V̅MMDCCCXXX</t>
        </is>
      </c>
      <c r="C17831">
        <f>ROMAN(17830)</f>
        <v/>
      </c>
      <c r="D17831">
        <f>IF(B17831=C17831, "YES", "WRONG")</f>
        <v/>
      </c>
    </row>
    <row r="17832">
      <c r="A17832" t="n">
        <v>17831</v>
      </c>
      <c r="B17832" t="inlineStr">
        <is>
          <t>x̄V̅MMDCCCXXXI</t>
        </is>
      </c>
      <c r="C17832">
        <f>ROMAN(17831)</f>
        <v/>
      </c>
      <c r="D17832">
        <f>IF(B17832=C17832, "YES", "WRONG")</f>
        <v/>
      </c>
    </row>
    <row r="17833">
      <c r="A17833" t="n">
        <v>17832</v>
      </c>
      <c r="B17833" t="inlineStr">
        <is>
          <t>x̄V̅MMDCCCXXXII</t>
        </is>
      </c>
      <c r="C17833">
        <f>ROMAN(17832)</f>
        <v/>
      </c>
      <c r="D17833">
        <f>IF(B17833=C17833, "YES", "WRONG")</f>
        <v/>
      </c>
    </row>
    <row r="17834">
      <c r="A17834" t="n">
        <v>17833</v>
      </c>
      <c r="B17834" t="inlineStr">
        <is>
          <t>x̄V̅MMDCCCXXXIII</t>
        </is>
      </c>
      <c r="C17834">
        <f>ROMAN(17833)</f>
        <v/>
      </c>
      <c r="D17834">
        <f>IF(B17834=C17834, "YES", "WRONG")</f>
        <v/>
      </c>
    </row>
    <row r="17835">
      <c r="A17835" t="n">
        <v>17834</v>
      </c>
      <c r="B17835" t="inlineStr">
        <is>
          <t>x̄V̅MMDCCCXXXIV</t>
        </is>
      </c>
      <c r="C17835">
        <f>ROMAN(17834)</f>
        <v/>
      </c>
      <c r="D17835">
        <f>IF(B17835=C17835, "YES", "WRONG")</f>
        <v/>
      </c>
    </row>
    <row r="17836">
      <c r="A17836" t="n">
        <v>17835</v>
      </c>
      <c r="B17836" t="inlineStr">
        <is>
          <t>x̄V̅MMDCCCXXXV</t>
        </is>
      </c>
      <c r="C17836">
        <f>ROMAN(17835)</f>
        <v/>
      </c>
      <c r="D17836">
        <f>IF(B17836=C17836, "YES", "WRONG")</f>
        <v/>
      </c>
    </row>
    <row r="17837">
      <c r="A17837" t="n">
        <v>17836</v>
      </c>
      <c r="B17837" t="inlineStr">
        <is>
          <t>x̄V̅MMDCCCXXXVI</t>
        </is>
      </c>
      <c r="C17837">
        <f>ROMAN(17836)</f>
        <v/>
      </c>
      <c r="D17837">
        <f>IF(B17837=C17837, "YES", "WRONG")</f>
        <v/>
      </c>
    </row>
    <row r="17838">
      <c r="A17838" t="n">
        <v>17837</v>
      </c>
      <c r="B17838" t="inlineStr">
        <is>
          <t>x̄V̅MMDCCCXXXVII</t>
        </is>
      </c>
      <c r="C17838">
        <f>ROMAN(17837)</f>
        <v/>
      </c>
      <c r="D17838">
        <f>IF(B17838=C17838, "YES", "WRONG")</f>
        <v/>
      </c>
    </row>
    <row r="17839">
      <c r="A17839" t="n">
        <v>17838</v>
      </c>
      <c r="B17839" t="inlineStr">
        <is>
          <t>x̄V̅MMDCCCXXXVIII</t>
        </is>
      </c>
      <c r="C17839">
        <f>ROMAN(17838)</f>
        <v/>
      </c>
      <c r="D17839">
        <f>IF(B17839=C17839, "YES", "WRONG")</f>
        <v/>
      </c>
    </row>
    <row r="17840">
      <c r="A17840" t="n">
        <v>17839</v>
      </c>
      <c r="B17840" t="inlineStr">
        <is>
          <t>x̄V̅MMDCCCXXXIX</t>
        </is>
      </c>
      <c r="C17840">
        <f>ROMAN(17839)</f>
        <v/>
      </c>
      <c r="D17840">
        <f>IF(B17840=C17840, "YES", "WRONG")</f>
        <v/>
      </c>
    </row>
    <row r="17841">
      <c r="A17841" t="n">
        <v>17840</v>
      </c>
      <c r="B17841" t="inlineStr">
        <is>
          <t>x̄V̅MMDCCCXL</t>
        </is>
      </c>
      <c r="C17841">
        <f>ROMAN(17840)</f>
        <v/>
      </c>
      <c r="D17841">
        <f>IF(B17841=C17841, "YES", "WRONG")</f>
        <v/>
      </c>
    </row>
    <row r="17842">
      <c r="A17842" t="n">
        <v>17841</v>
      </c>
      <c r="B17842" t="inlineStr">
        <is>
          <t>x̄V̅MMDCCCXLI</t>
        </is>
      </c>
      <c r="C17842">
        <f>ROMAN(17841)</f>
        <v/>
      </c>
      <c r="D17842">
        <f>IF(B17842=C17842, "YES", "WRONG")</f>
        <v/>
      </c>
    </row>
    <row r="17843">
      <c r="A17843" t="n">
        <v>17842</v>
      </c>
      <c r="B17843" t="inlineStr">
        <is>
          <t>x̄V̅MMDCCCXLII</t>
        </is>
      </c>
      <c r="C17843">
        <f>ROMAN(17842)</f>
        <v/>
      </c>
      <c r="D17843">
        <f>IF(B17843=C17843, "YES", "WRONG")</f>
        <v/>
      </c>
    </row>
    <row r="17844">
      <c r="A17844" t="n">
        <v>17843</v>
      </c>
      <c r="B17844" t="inlineStr">
        <is>
          <t>x̄V̅MMDCCCXLIII</t>
        </is>
      </c>
      <c r="C17844">
        <f>ROMAN(17843)</f>
        <v/>
      </c>
      <c r="D17844">
        <f>IF(B17844=C17844, "YES", "WRONG")</f>
        <v/>
      </c>
    </row>
    <row r="17845">
      <c r="A17845" t="n">
        <v>17844</v>
      </c>
      <c r="B17845" t="inlineStr">
        <is>
          <t>x̄V̅MMDCCCXLIV</t>
        </is>
      </c>
      <c r="C17845">
        <f>ROMAN(17844)</f>
        <v/>
      </c>
      <c r="D17845">
        <f>IF(B17845=C17845, "YES", "WRONG")</f>
        <v/>
      </c>
    </row>
    <row r="17846">
      <c r="A17846" t="n">
        <v>17845</v>
      </c>
      <c r="B17846" t="inlineStr">
        <is>
          <t>x̄V̅MMDCCCXLV</t>
        </is>
      </c>
      <c r="C17846">
        <f>ROMAN(17845)</f>
        <v/>
      </c>
      <c r="D17846">
        <f>IF(B17846=C17846, "YES", "WRONG")</f>
        <v/>
      </c>
    </row>
    <row r="17847">
      <c r="A17847" t="n">
        <v>17846</v>
      </c>
      <c r="B17847" t="inlineStr">
        <is>
          <t>x̄V̅MMDCCCXLVI</t>
        </is>
      </c>
      <c r="C17847">
        <f>ROMAN(17846)</f>
        <v/>
      </c>
      <c r="D17847">
        <f>IF(B17847=C17847, "YES", "WRONG")</f>
        <v/>
      </c>
    </row>
    <row r="17848">
      <c r="A17848" t="n">
        <v>17847</v>
      </c>
      <c r="B17848" t="inlineStr">
        <is>
          <t>x̄V̅MMDCCCXLVII</t>
        </is>
      </c>
      <c r="C17848">
        <f>ROMAN(17847)</f>
        <v/>
      </c>
      <c r="D17848">
        <f>IF(B17848=C17848, "YES", "WRONG")</f>
        <v/>
      </c>
    </row>
    <row r="17849">
      <c r="A17849" t="n">
        <v>17848</v>
      </c>
      <c r="B17849" t="inlineStr">
        <is>
          <t>x̄V̅MMDCCCXLVIII</t>
        </is>
      </c>
      <c r="C17849">
        <f>ROMAN(17848)</f>
        <v/>
      </c>
      <c r="D17849">
        <f>IF(B17849=C17849, "YES", "WRONG")</f>
        <v/>
      </c>
    </row>
    <row r="17850">
      <c r="A17850" t="n">
        <v>17849</v>
      </c>
      <c r="B17850" t="inlineStr">
        <is>
          <t>x̄V̅MMDCCCXLIX</t>
        </is>
      </c>
      <c r="C17850">
        <f>ROMAN(17849)</f>
        <v/>
      </c>
      <c r="D17850">
        <f>IF(B17850=C17850, "YES", "WRONG")</f>
        <v/>
      </c>
    </row>
    <row r="17851">
      <c r="A17851" t="n">
        <v>17850</v>
      </c>
      <c r="B17851" t="inlineStr">
        <is>
          <t>x̄V̅MMDCCCL</t>
        </is>
      </c>
      <c r="C17851">
        <f>ROMAN(17850)</f>
        <v/>
      </c>
      <c r="D17851">
        <f>IF(B17851=C17851, "YES", "WRONG")</f>
        <v/>
      </c>
    </row>
    <row r="17852">
      <c r="A17852" t="n">
        <v>17851</v>
      </c>
      <c r="B17852" t="inlineStr">
        <is>
          <t>x̄V̅MMDCCCLI</t>
        </is>
      </c>
      <c r="C17852">
        <f>ROMAN(17851)</f>
        <v/>
      </c>
      <c r="D17852">
        <f>IF(B17852=C17852, "YES", "WRONG")</f>
        <v/>
      </c>
    </row>
    <row r="17853">
      <c r="A17853" t="n">
        <v>17852</v>
      </c>
      <c r="B17853" t="inlineStr">
        <is>
          <t>x̄V̅MMDCCCLII</t>
        </is>
      </c>
      <c r="C17853">
        <f>ROMAN(17852)</f>
        <v/>
      </c>
      <c r="D17853">
        <f>IF(B17853=C17853, "YES", "WRONG")</f>
        <v/>
      </c>
    </row>
    <row r="17854">
      <c r="A17854" t="n">
        <v>17853</v>
      </c>
      <c r="B17854" t="inlineStr">
        <is>
          <t>x̄V̅MMDCCCLIII</t>
        </is>
      </c>
      <c r="C17854">
        <f>ROMAN(17853)</f>
        <v/>
      </c>
      <c r="D17854">
        <f>IF(B17854=C17854, "YES", "WRONG")</f>
        <v/>
      </c>
    </row>
    <row r="17855">
      <c r="A17855" t="n">
        <v>17854</v>
      </c>
      <c r="B17855" t="inlineStr">
        <is>
          <t>x̄V̅MMDCCCLIV</t>
        </is>
      </c>
      <c r="C17855">
        <f>ROMAN(17854)</f>
        <v/>
      </c>
      <c r="D17855">
        <f>IF(B17855=C17855, "YES", "WRONG")</f>
        <v/>
      </c>
    </row>
    <row r="17856">
      <c r="A17856" t="n">
        <v>17855</v>
      </c>
      <c r="B17856" t="inlineStr">
        <is>
          <t>x̄V̅MMDCCCLV</t>
        </is>
      </c>
      <c r="C17856">
        <f>ROMAN(17855)</f>
        <v/>
      </c>
      <c r="D17856">
        <f>IF(B17856=C17856, "YES", "WRONG")</f>
        <v/>
      </c>
    </row>
    <row r="17857">
      <c r="A17857" t="n">
        <v>17856</v>
      </c>
      <c r="B17857" t="inlineStr">
        <is>
          <t>x̄V̅MMDCCCLVI</t>
        </is>
      </c>
      <c r="C17857">
        <f>ROMAN(17856)</f>
        <v/>
      </c>
      <c r="D17857">
        <f>IF(B17857=C17857, "YES", "WRONG")</f>
        <v/>
      </c>
    </row>
    <row r="17858">
      <c r="A17858" t="n">
        <v>17857</v>
      </c>
      <c r="B17858" t="inlineStr">
        <is>
          <t>x̄V̅MMDCCCLVII</t>
        </is>
      </c>
      <c r="C17858">
        <f>ROMAN(17857)</f>
        <v/>
      </c>
      <c r="D17858">
        <f>IF(B17858=C17858, "YES", "WRONG")</f>
        <v/>
      </c>
    </row>
    <row r="17859">
      <c r="A17859" t="n">
        <v>17858</v>
      </c>
      <c r="B17859" t="inlineStr">
        <is>
          <t>x̄V̅MMDCCCLVIII</t>
        </is>
      </c>
      <c r="C17859">
        <f>ROMAN(17858)</f>
        <v/>
      </c>
      <c r="D17859">
        <f>IF(B17859=C17859, "YES", "WRONG")</f>
        <v/>
      </c>
    </row>
    <row r="17860">
      <c r="A17860" t="n">
        <v>17859</v>
      </c>
      <c r="B17860" t="inlineStr">
        <is>
          <t>x̄V̅MMDCCCLIX</t>
        </is>
      </c>
      <c r="C17860">
        <f>ROMAN(17859)</f>
        <v/>
      </c>
      <c r="D17860">
        <f>IF(B17860=C17860, "YES", "WRONG")</f>
        <v/>
      </c>
    </row>
    <row r="17861">
      <c r="A17861" t="n">
        <v>17860</v>
      </c>
      <c r="B17861" t="inlineStr">
        <is>
          <t>x̄V̅MMDCCCLX</t>
        </is>
      </c>
      <c r="C17861">
        <f>ROMAN(17860)</f>
        <v/>
      </c>
      <c r="D17861">
        <f>IF(B17861=C17861, "YES", "WRONG")</f>
        <v/>
      </c>
    </row>
    <row r="17862">
      <c r="A17862" t="n">
        <v>17861</v>
      </c>
      <c r="B17862" t="inlineStr">
        <is>
          <t>x̄V̅MMDCCCLXI</t>
        </is>
      </c>
      <c r="C17862">
        <f>ROMAN(17861)</f>
        <v/>
      </c>
      <c r="D17862">
        <f>IF(B17862=C17862, "YES", "WRONG")</f>
        <v/>
      </c>
    </row>
    <row r="17863">
      <c r="A17863" t="n">
        <v>17862</v>
      </c>
      <c r="B17863" t="inlineStr">
        <is>
          <t>x̄V̅MMDCCCLXII</t>
        </is>
      </c>
      <c r="C17863">
        <f>ROMAN(17862)</f>
        <v/>
      </c>
      <c r="D17863">
        <f>IF(B17863=C17863, "YES", "WRONG")</f>
        <v/>
      </c>
    </row>
    <row r="17864">
      <c r="A17864" t="n">
        <v>17863</v>
      </c>
      <c r="B17864" t="inlineStr">
        <is>
          <t>x̄V̅MMDCCCLXIII</t>
        </is>
      </c>
      <c r="C17864">
        <f>ROMAN(17863)</f>
        <v/>
      </c>
      <c r="D17864">
        <f>IF(B17864=C17864, "YES", "WRONG")</f>
        <v/>
      </c>
    </row>
    <row r="17865">
      <c r="A17865" t="n">
        <v>17864</v>
      </c>
      <c r="B17865" t="inlineStr">
        <is>
          <t>x̄V̅MMDCCCLXIV</t>
        </is>
      </c>
      <c r="C17865">
        <f>ROMAN(17864)</f>
        <v/>
      </c>
      <c r="D17865">
        <f>IF(B17865=C17865, "YES", "WRONG")</f>
        <v/>
      </c>
    </row>
    <row r="17866">
      <c r="A17866" t="n">
        <v>17865</v>
      </c>
      <c r="B17866" t="inlineStr">
        <is>
          <t>x̄V̅MMDCCCLXV</t>
        </is>
      </c>
      <c r="C17866">
        <f>ROMAN(17865)</f>
        <v/>
      </c>
      <c r="D17866">
        <f>IF(B17866=C17866, "YES", "WRONG")</f>
        <v/>
      </c>
    </row>
    <row r="17867">
      <c r="A17867" t="n">
        <v>17866</v>
      </c>
      <c r="B17867" t="inlineStr">
        <is>
          <t>x̄V̅MMDCCCLXVI</t>
        </is>
      </c>
      <c r="C17867">
        <f>ROMAN(17866)</f>
        <v/>
      </c>
      <c r="D17867">
        <f>IF(B17867=C17867, "YES", "WRONG")</f>
        <v/>
      </c>
    </row>
    <row r="17868">
      <c r="A17868" t="n">
        <v>17867</v>
      </c>
      <c r="B17868" t="inlineStr">
        <is>
          <t>x̄V̅MMDCCCLXVII</t>
        </is>
      </c>
      <c r="C17868">
        <f>ROMAN(17867)</f>
        <v/>
      </c>
      <c r="D17868">
        <f>IF(B17868=C17868, "YES", "WRONG")</f>
        <v/>
      </c>
    </row>
    <row r="17869">
      <c r="A17869" t="n">
        <v>17868</v>
      </c>
      <c r="B17869" t="inlineStr">
        <is>
          <t>x̄V̅MMDCCCLXVIII</t>
        </is>
      </c>
      <c r="C17869">
        <f>ROMAN(17868)</f>
        <v/>
      </c>
      <c r="D17869">
        <f>IF(B17869=C17869, "YES", "WRONG")</f>
        <v/>
      </c>
    </row>
    <row r="17870">
      <c r="A17870" t="n">
        <v>17869</v>
      </c>
      <c r="B17870" t="inlineStr">
        <is>
          <t>x̄V̅MMDCCCLXIX</t>
        </is>
      </c>
      <c r="C17870">
        <f>ROMAN(17869)</f>
        <v/>
      </c>
      <c r="D17870">
        <f>IF(B17870=C17870, "YES", "WRONG")</f>
        <v/>
      </c>
    </row>
    <row r="17871">
      <c r="A17871" t="n">
        <v>17870</v>
      </c>
      <c r="B17871" t="inlineStr">
        <is>
          <t>x̄V̅MMDCCCLXX</t>
        </is>
      </c>
      <c r="C17871">
        <f>ROMAN(17870)</f>
        <v/>
      </c>
      <c r="D17871">
        <f>IF(B17871=C17871, "YES", "WRONG")</f>
        <v/>
      </c>
    </row>
    <row r="17872">
      <c r="A17872" t="n">
        <v>17871</v>
      </c>
      <c r="B17872" t="inlineStr">
        <is>
          <t>x̄V̅MMDCCCLXXI</t>
        </is>
      </c>
      <c r="C17872">
        <f>ROMAN(17871)</f>
        <v/>
      </c>
      <c r="D17872">
        <f>IF(B17872=C17872, "YES", "WRONG")</f>
        <v/>
      </c>
    </row>
    <row r="17873">
      <c r="A17873" t="n">
        <v>17872</v>
      </c>
      <c r="B17873" t="inlineStr">
        <is>
          <t>x̄V̅MMDCCCLXXII</t>
        </is>
      </c>
      <c r="C17873">
        <f>ROMAN(17872)</f>
        <v/>
      </c>
      <c r="D17873">
        <f>IF(B17873=C17873, "YES", "WRONG")</f>
        <v/>
      </c>
    </row>
    <row r="17874">
      <c r="A17874" t="n">
        <v>17873</v>
      </c>
      <c r="B17874" t="inlineStr">
        <is>
          <t>x̄V̅MMDCCCLXXIII</t>
        </is>
      </c>
      <c r="C17874">
        <f>ROMAN(17873)</f>
        <v/>
      </c>
      <c r="D17874">
        <f>IF(B17874=C17874, "YES", "WRONG")</f>
        <v/>
      </c>
    </row>
    <row r="17875">
      <c r="A17875" t="n">
        <v>17874</v>
      </c>
      <c r="B17875" t="inlineStr">
        <is>
          <t>x̄V̅MMDCCCLXXIV</t>
        </is>
      </c>
      <c r="C17875">
        <f>ROMAN(17874)</f>
        <v/>
      </c>
      <c r="D17875">
        <f>IF(B17875=C17875, "YES", "WRONG")</f>
        <v/>
      </c>
    </row>
    <row r="17876">
      <c r="A17876" t="n">
        <v>17875</v>
      </c>
      <c r="B17876" t="inlineStr">
        <is>
          <t>x̄V̅MMDCCCLXXV</t>
        </is>
      </c>
      <c r="C17876">
        <f>ROMAN(17875)</f>
        <v/>
      </c>
      <c r="D17876">
        <f>IF(B17876=C17876, "YES", "WRONG")</f>
        <v/>
      </c>
    </row>
    <row r="17877">
      <c r="A17877" t="n">
        <v>17876</v>
      </c>
      <c r="B17877" t="inlineStr">
        <is>
          <t>x̄V̅MMDCCCLXXVI</t>
        </is>
      </c>
      <c r="C17877">
        <f>ROMAN(17876)</f>
        <v/>
      </c>
      <c r="D17877">
        <f>IF(B17877=C17877, "YES", "WRONG")</f>
        <v/>
      </c>
    </row>
    <row r="17878">
      <c r="A17878" t="n">
        <v>17877</v>
      </c>
      <c r="B17878" t="inlineStr">
        <is>
          <t>x̄V̅MMDCCCLXXVII</t>
        </is>
      </c>
      <c r="C17878">
        <f>ROMAN(17877)</f>
        <v/>
      </c>
      <c r="D17878">
        <f>IF(B17878=C17878, "YES", "WRONG")</f>
        <v/>
      </c>
    </row>
    <row r="17879">
      <c r="A17879" t="n">
        <v>17878</v>
      </c>
      <c r="B17879" t="inlineStr">
        <is>
          <t>x̄V̅MMDCCCLXXVIII</t>
        </is>
      </c>
      <c r="C17879">
        <f>ROMAN(17878)</f>
        <v/>
      </c>
      <c r="D17879">
        <f>IF(B17879=C17879, "YES", "WRONG")</f>
        <v/>
      </c>
    </row>
    <row r="17880">
      <c r="A17880" t="n">
        <v>17879</v>
      </c>
      <c r="B17880" t="inlineStr">
        <is>
          <t>x̄V̅MMDCCCLXXIX</t>
        </is>
      </c>
      <c r="C17880">
        <f>ROMAN(17879)</f>
        <v/>
      </c>
      <c r="D17880">
        <f>IF(B17880=C17880, "YES", "WRONG")</f>
        <v/>
      </c>
    </row>
    <row r="17881">
      <c r="A17881" t="n">
        <v>17880</v>
      </c>
      <c r="B17881" t="inlineStr">
        <is>
          <t>x̄V̅MMDCCCLXXX</t>
        </is>
      </c>
      <c r="C17881">
        <f>ROMAN(17880)</f>
        <v/>
      </c>
      <c r="D17881">
        <f>IF(B17881=C17881, "YES", "WRONG")</f>
        <v/>
      </c>
    </row>
    <row r="17882">
      <c r="A17882" t="n">
        <v>17881</v>
      </c>
      <c r="B17882" t="inlineStr">
        <is>
          <t>x̄V̅MMDCCCLXXXI</t>
        </is>
      </c>
      <c r="C17882">
        <f>ROMAN(17881)</f>
        <v/>
      </c>
      <c r="D17882">
        <f>IF(B17882=C17882, "YES", "WRONG")</f>
        <v/>
      </c>
    </row>
    <row r="17883">
      <c r="A17883" t="n">
        <v>17882</v>
      </c>
      <c r="B17883" t="inlineStr">
        <is>
          <t>x̄V̅MMDCCCLXXXII</t>
        </is>
      </c>
      <c r="C17883">
        <f>ROMAN(17882)</f>
        <v/>
      </c>
      <c r="D17883">
        <f>IF(B17883=C17883, "YES", "WRONG")</f>
        <v/>
      </c>
    </row>
    <row r="17884">
      <c r="A17884" t="n">
        <v>17883</v>
      </c>
      <c r="B17884" t="inlineStr">
        <is>
          <t>x̄V̅MMDCCCLXXXIII</t>
        </is>
      </c>
      <c r="C17884">
        <f>ROMAN(17883)</f>
        <v/>
      </c>
      <c r="D17884">
        <f>IF(B17884=C17884, "YES", "WRONG")</f>
        <v/>
      </c>
    </row>
    <row r="17885">
      <c r="A17885" t="n">
        <v>17884</v>
      </c>
      <c r="B17885" t="inlineStr">
        <is>
          <t>x̄V̅MMDCCCLXXXIV</t>
        </is>
      </c>
      <c r="C17885">
        <f>ROMAN(17884)</f>
        <v/>
      </c>
      <c r="D17885">
        <f>IF(B17885=C17885, "YES", "WRONG")</f>
        <v/>
      </c>
    </row>
    <row r="17886">
      <c r="A17886" t="n">
        <v>17885</v>
      </c>
      <c r="B17886" t="inlineStr">
        <is>
          <t>x̄V̅MMDCCCLXXXV</t>
        </is>
      </c>
      <c r="C17886">
        <f>ROMAN(17885)</f>
        <v/>
      </c>
      <c r="D17886">
        <f>IF(B17886=C17886, "YES", "WRONG")</f>
        <v/>
      </c>
    </row>
    <row r="17887">
      <c r="A17887" t="n">
        <v>17886</v>
      </c>
      <c r="B17887" t="inlineStr">
        <is>
          <t>x̄V̅MMDCCCLXXXVI</t>
        </is>
      </c>
      <c r="C17887">
        <f>ROMAN(17886)</f>
        <v/>
      </c>
      <c r="D17887">
        <f>IF(B17887=C17887, "YES", "WRONG")</f>
        <v/>
      </c>
    </row>
    <row r="17888">
      <c r="A17888" t="n">
        <v>17887</v>
      </c>
      <c r="B17888" t="inlineStr">
        <is>
          <t>x̄V̅MMDCCCLXXXVII</t>
        </is>
      </c>
      <c r="C17888">
        <f>ROMAN(17887)</f>
        <v/>
      </c>
      <c r="D17888">
        <f>IF(B17888=C17888, "YES", "WRONG")</f>
        <v/>
      </c>
    </row>
    <row r="17889">
      <c r="A17889" t="n">
        <v>17888</v>
      </c>
      <c r="B17889" t="inlineStr">
        <is>
          <t>x̄V̅MMDCCCLXXXVIII</t>
        </is>
      </c>
      <c r="C17889">
        <f>ROMAN(17888)</f>
        <v/>
      </c>
      <c r="D17889">
        <f>IF(B17889=C17889, "YES", "WRONG")</f>
        <v/>
      </c>
    </row>
    <row r="17890">
      <c r="A17890" t="n">
        <v>17889</v>
      </c>
      <c r="B17890" t="inlineStr">
        <is>
          <t>x̄V̅MMDCCCLXXXIX</t>
        </is>
      </c>
      <c r="C17890">
        <f>ROMAN(17889)</f>
        <v/>
      </c>
      <c r="D17890">
        <f>IF(B17890=C17890, "YES", "WRONG")</f>
        <v/>
      </c>
    </row>
    <row r="17891">
      <c r="A17891" t="n">
        <v>17890</v>
      </c>
      <c r="B17891" t="inlineStr">
        <is>
          <t>x̄V̅MMDCCCXC</t>
        </is>
      </c>
      <c r="C17891">
        <f>ROMAN(17890)</f>
        <v/>
      </c>
      <c r="D17891">
        <f>IF(B17891=C17891, "YES", "WRONG")</f>
        <v/>
      </c>
    </row>
    <row r="17892">
      <c r="A17892" t="n">
        <v>17891</v>
      </c>
      <c r="B17892" t="inlineStr">
        <is>
          <t>x̄V̅MMDCCCXCI</t>
        </is>
      </c>
      <c r="C17892">
        <f>ROMAN(17891)</f>
        <v/>
      </c>
      <c r="D17892">
        <f>IF(B17892=C17892, "YES", "WRONG")</f>
        <v/>
      </c>
    </row>
    <row r="17893">
      <c r="A17893" t="n">
        <v>17892</v>
      </c>
      <c r="B17893" t="inlineStr">
        <is>
          <t>x̄V̅MMDCCCXCII</t>
        </is>
      </c>
      <c r="C17893">
        <f>ROMAN(17892)</f>
        <v/>
      </c>
      <c r="D17893">
        <f>IF(B17893=C17893, "YES", "WRONG")</f>
        <v/>
      </c>
    </row>
    <row r="17894">
      <c r="A17894" t="n">
        <v>17893</v>
      </c>
      <c r="B17894" t="inlineStr">
        <is>
          <t>x̄V̅MMDCCCXCIII</t>
        </is>
      </c>
      <c r="C17894">
        <f>ROMAN(17893)</f>
        <v/>
      </c>
      <c r="D17894">
        <f>IF(B17894=C17894, "YES", "WRONG")</f>
        <v/>
      </c>
    </row>
    <row r="17895">
      <c r="A17895" t="n">
        <v>17894</v>
      </c>
      <c r="B17895" t="inlineStr">
        <is>
          <t>x̄V̅MMDCCCXCIV</t>
        </is>
      </c>
      <c r="C17895">
        <f>ROMAN(17894)</f>
        <v/>
      </c>
      <c r="D17895">
        <f>IF(B17895=C17895, "YES", "WRONG")</f>
        <v/>
      </c>
    </row>
    <row r="17896">
      <c r="A17896" t="n">
        <v>17895</v>
      </c>
      <c r="B17896" t="inlineStr">
        <is>
          <t>x̄V̅MMDCCCXCV</t>
        </is>
      </c>
      <c r="C17896">
        <f>ROMAN(17895)</f>
        <v/>
      </c>
      <c r="D17896">
        <f>IF(B17896=C17896, "YES", "WRONG")</f>
        <v/>
      </c>
    </row>
    <row r="17897">
      <c r="A17897" t="n">
        <v>17896</v>
      </c>
      <c r="B17897" t="inlineStr">
        <is>
          <t>x̄V̅MMDCCCXCVI</t>
        </is>
      </c>
      <c r="C17897">
        <f>ROMAN(17896)</f>
        <v/>
      </c>
      <c r="D17897">
        <f>IF(B17897=C17897, "YES", "WRONG")</f>
        <v/>
      </c>
    </row>
    <row r="17898">
      <c r="A17898" t="n">
        <v>17897</v>
      </c>
      <c r="B17898" t="inlineStr">
        <is>
          <t>x̄V̅MMDCCCXCVII</t>
        </is>
      </c>
      <c r="C17898">
        <f>ROMAN(17897)</f>
        <v/>
      </c>
      <c r="D17898">
        <f>IF(B17898=C17898, "YES", "WRONG")</f>
        <v/>
      </c>
    </row>
    <row r="17899">
      <c r="A17899" t="n">
        <v>17898</v>
      </c>
      <c r="B17899" t="inlineStr">
        <is>
          <t>x̄V̅MMDCCCXCVIII</t>
        </is>
      </c>
      <c r="C17899">
        <f>ROMAN(17898)</f>
        <v/>
      </c>
      <c r="D17899">
        <f>IF(B17899=C17899, "YES", "WRONG")</f>
        <v/>
      </c>
    </row>
    <row r="17900">
      <c r="A17900" t="n">
        <v>17899</v>
      </c>
      <c r="B17900" t="inlineStr">
        <is>
          <t>x̄V̅MMDCCCXCIX</t>
        </is>
      </c>
      <c r="C17900">
        <f>ROMAN(17899)</f>
        <v/>
      </c>
      <c r="D17900">
        <f>IF(B17900=C17900, "YES", "WRONG")</f>
        <v/>
      </c>
    </row>
    <row r="17901">
      <c r="A17901" t="n">
        <v>17900</v>
      </c>
      <c r="B17901" t="inlineStr">
        <is>
          <t>x̄V̅MMCM</t>
        </is>
      </c>
      <c r="C17901">
        <f>ROMAN(17900)</f>
        <v/>
      </c>
      <c r="D17901">
        <f>IF(B17901=C17901, "YES", "WRONG")</f>
        <v/>
      </c>
    </row>
    <row r="17902">
      <c r="A17902" t="n">
        <v>17901</v>
      </c>
      <c r="B17902" t="inlineStr">
        <is>
          <t>x̄V̅MMCMI</t>
        </is>
      </c>
      <c r="C17902">
        <f>ROMAN(17901)</f>
        <v/>
      </c>
      <c r="D17902">
        <f>IF(B17902=C17902, "YES", "WRONG")</f>
        <v/>
      </c>
    </row>
    <row r="17903">
      <c r="A17903" t="n">
        <v>17902</v>
      </c>
      <c r="B17903" t="inlineStr">
        <is>
          <t>x̄V̅MMCMII</t>
        </is>
      </c>
      <c r="C17903">
        <f>ROMAN(17902)</f>
        <v/>
      </c>
      <c r="D17903">
        <f>IF(B17903=C17903, "YES", "WRONG")</f>
        <v/>
      </c>
    </row>
    <row r="17904">
      <c r="A17904" t="n">
        <v>17903</v>
      </c>
      <c r="B17904" t="inlineStr">
        <is>
          <t>x̄V̅MMCMIII</t>
        </is>
      </c>
      <c r="C17904">
        <f>ROMAN(17903)</f>
        <v/>
      </c>
      <c r="D17904">
        <f>IF(B17904=C17904, "YES", "WRONG")</f>
        <v/>
      </c>
    </row>
    <row r="17905">
      <c r="A17905" t="n">
        <v>17904</v>
      </c>
      <c r="B17905" t="inlineStr">
        <is>
          <t>x̄V̅MMCMIV</t>
        </is>
      </c>
      <c r="C17905">
        <f>ROMAN(17904)</f>
        <v/>
      </c>
      <c r="D17905">
        <f>IF(B17905=C17905, "YES", "WRONG")</f>
        <v/>
      </c>
    </row>
    <row r="17906">
      <c r="A17906" t="n">
        <v>17905</v>
      </c>
      <c r="B17906" t="inlineStr">
        <is>
          <t>x̄V̅MMCMV</t>
        </is>
      </c>
      <c r="C17906">
        <f>ROMAN(17905)</f>
        <v/>
      </c>
      <c r="D17906">
        <f>IF(B17906=C17906, "YES", "WRONG")</f>
        <v/>
      </c>
    </row>
    <row r="17907">
      <c r="A17907" t="n">
        <v>17906</v>
      </c>
      <c r="B17907" t="inlineStr">
        <is>
          <t>x̄V̅MMCMVI</t>
        </is>
      </c>
      <c r="C17907">
        <f>ROMAN(17906)</f>
        <v/>
      </c>
      <c r="D17907">
        <f>IF(B17907=C17907, "YES", "WRONG")</f>
        <v/>
      </c>
    </row>
    <row r="17908">
      <c r="A17908" t="n">
        <v>17907</v>
      </c>
      <c r="B17908" t="inlineStr">
        <is>
          <t>x̄V̅MMCMVII</t>
        </is>
      </c>
      <c r="C17908">
        <f>ROMAN(17907)</f>
        <v/>
      </c>
      <c r="D17908">
        <f>IF(B17908=C17908, "YES", "WRONG")</f>
        <v/>
      </c>
    </row>
    <row r="17909">
      <c r="A17909" t="n">
        <v>17908</v>
      </c>
      <c r="B17909" t="inlineStr">
        <is>
          <t>x̄V̅MMCMVIII</t>
        </is>
      </c>
      <c r="C17909">
        <f>ROMAN(17908)</f>
        <v/>
      </c>
      <c r="D17909">
        <f>IF(B17909=C17909, "YES", "WRONG")</f>
        <v/>
      </c>
    </row>
    <row r="17910">
      <c r="A17910" t="n">
        <v>17909</v>
      </c>
      <c r="B17910" t="inlineStr">
        <is>
          <t>x̄V̅MMCMIX</t>
        </is>
      </c>
      <c r="C17910">
        <f>ROMAN(17909)</f>
        <v/>
      </c>
      <c r="D17910">
        <f>IF(B17910=C17910, "YES", "WRONG")</f>
        <v/>
      </c>
    </row>
    <row r="17911">
      <c r="A17911" t="n">
        <v>17910</v>
      </c>
      <c r="B17911" t="inlineStr">
        <is>
          <t>x̄V̅MMCMX</t>
        </is>
      </c>
      <c r="C17911">
        <f>ROMAN(17910)</f>
        <v/>
      </c>
      <c r="D17911">
        <f>IF(B17911=C17911, "YES", "WRONG")</f>
        <v/>
      </c>
    </row>
    <row r="17912">
      <c r="A17912" t="n">
        <v>17911</v>
      </c>
      <c r="B17912" t="inlineStr">
        <is>
          <t>x̄V̅MMCMXI</t>
        </is>
      </c>
      <c r="C17912">
        <f>ROMAN(17911)</f>
        <v/>
      </c>
      <c r="D17912">
        <f>IF(B17912=C17912, "YES", "WRONG")</f>
        <v/>
      </c>
    </row>
    <row r="17913">
      <c r="A17913" t="n">
        <v>17912</v>
      </c>
      <c r="B17913" t="inlineStr">
        <is>
          <t>x̄V̅MMCMXII</t>
        </is>
      </c>
      <c r="C17913">
        <f>ROMAN(17912)</f>
        <v/>
      </c>
      <c r="D17913">
        <f>IF(B17913=C17913, "YES", "WRONG")</f>
        <v/>
      </c>
    </row>
    <row r="17914">
      <c r="A17914" t="n">
        <v>17913</v>
      </c>
      <c r="B17914" t="inlineStr">
        <is>
          <t>x̄V̅MMCMXIII</t>
        </is>
      </c>
      <c r="C17914">
        <f>ROMAN(17913)</f>
        <v/>
      </c>
      <c r="D17914">
        <f>IF(B17914=C17914, "YES", "WRONG")</f>
        <v/>
      </c>
    </row>
    <row r="17915">
      <c r="A17915" t="n">
        <v>17914</v>
      </c>
      <c r="B17915" t="inlineStr">
        <is>
          <t>x̄V̅MMCMXIV</t>
        </is>
      </c>
      <c r="C17915">
        <f>ROMAN(17914)</f>
        <v/>
      </c>
      <c r="D17915">
        <f>IF(B17915=C17915, "YES", "WRONG")</f>
        <v/>
      </c>
    </row>
    <row r="17916">
      <c r="A17916" t="n">
        <v>17915</v>
      </c>
      <c r="B17916" t="inlineStr">
        <is>
          <t>x̄V̅MMCMXV</t>
        </is>
      </c>
      <c r="C17916">
        <f>ROMAN(17915)</f>
        <v/>
      </c>
      <c r="D17916">
        <f>IF(B17916=C17916, "YES", "WRONG")</f>
        <v/>
      </c>
    </row>
    <row r="17917">
      <c r="A17917" t="n">
        <v>17916</v>
      </c>
      <c r="B17917" t="inlineStr">
        <is>
          <t>x̄V̅MMCMXVI</t>
        </is>
      </c>
      <c r="C17917">
        <f>ROMAN(17916)</f>
        <v/>
      </c>
      <c r="D17917">
        <f>IF(B17917=C17917, "YES", "WRONG")</f>
        <v/>
      </c>
    </row>
    <row r="17918">
      <c r="A17918" t="n">
        <v>17917</v>
      </c>
      <c r="B17918" t="inlineStr">
        <is>
          <t>x̄V̅MMCMXVII</t>
        </is>
      </c>
      <c r="C17918">
        <f>ROMAN(17917)</f>
        <v/>
      </c>
      <c r="D17918">
        <f>IF(B17918=C17918, "YES", "WRONG")</f>
        <v/>
      </c>
    </row>
    <row r="17919">
      <c r="A17919" t="n">
        <v>17918</v>
      </c>
      <c r="B17919" t="inlineStr">
        <is>
          <t>x̄V̅MMCMXVIII</t>
        </is>
      </c>
      <c r="C17919">
        <f>ROMAN(17918)</f>
        <v/>
      </c>
      <c r="D17919">
        <f>IF(B17919=C17919, "YES", "WRONG")</f>
        <v/>
      </c>
    </row>
    <row r="17920">
      <c r="A17920" t="n">
        <v>17919</v>
      </c>
      <c r="B17920" t="inlineStr">
        <is>
          <t>x̄V̅MMCMXIX</t>
        </is>
      </c>
      <c r="C17920">
        <f>ROMAN(17919)</f>
        <v/>
      </c>
      <c r="D17920">
        <f>IF(B17920=C17920, "YES", "WRONG")</f>
        <v/>
      </c>
    </row>
    <row r="17921">
      <c r="A17921" t="n">
        <v>17920</v>
      </c>
      <c r="B17921" t="inlineStr">
        <is>
          <t>x̄V̅MMCMXX</t>
        </is>
      </c>
      <c r="C17921">
        <f>ROMAN(17920)</f>
        <v/>
      </c>
      <c r="D17921">
        <f>IF(B17921=C17921, "YES", "WRONG")</f>
        <v/>
      </c>
    </row>
    <row r="17922">
      <c r="A17922" t="n">
        <v>17921</v>
      </c>
      <c r="B17922" t="inlineStr">
        <is>
          <t>x̄V̅MMCMXXI</t>
        </is>
      </c>
      <c r="C17922">
        <f>ROMAN(17921)</f>
        <v/>
      </c>
      <c r="D17922">
        <f>IF(B17922=C17922, "YES", "WRONG")</f>
        <v/>
      </c>
    </row>
    <row r="17923">
      <c r="A17923" t="n">
        <v>17922</v>
      </c>
      <c r="B17923" t="inlineStr">
        <is>
          <t>x̄V̅MMCMXXII</t>
        </is>
      </c>
      <c r="C17923">
        <f>ROMAN(17922)</f>
        <v/>
      </c>
      <c r="D17923">
        <f>IF(B17923=C17923, "YES", "WRONG")</f>
        <v/>
      </c>
    </row>
    <row r="17924">
      <c r="A17924" t="n">
        <v>17923</v>
      </c>
      <c r="B17924" t="inlineStr">
        <is>
          <t>x̄V̅MMCMXXIII</t>
        </is>
      </c>
      <c r="C17924">
        <f>ROMAN(17923)</f>
        <v/>
      </c>
      <c r="D17924">
        <f>IF(B17924=C17924, "YES", "WRONG")</f>
        <v/>
      </c>
    </row>
    <row r="17925">
      <c r="A17925" t="n">
        <v>17924</v>
      </c>
      <c r="B17925" t="inlineStr">
        <is>
          <t>x̄V̅MMCMXXIV</t>
        </is>
      </c>
      <c r="C17925">
        <f>ROMAN(17924)</f>
        <v/>
      </c>
      <c r="D17925">
        <f>IF(B17925=C17925, "YES", "WRONG")</f>
        <v/>
      </c>
    </row>
    <row r="17926">
      <c r="A17926" t="n">
        <v>17925</v>
      </c>
      <c r="B17926" t="inlineStr">
        <is>
          <t>x̄V̅MMCMXXV</t>
        </is>
      </c>
      <c r="C17926">
        <f>ROMAN(17925)</f>
        <v/>
      </c>
      <c r="D17926">
        <f>IF(B17926=C17926, "YES", "WRONG")</f>
        <v/>
      </c>
    </row>
    <row r="17927">
      <c r="A17927" t="n">
        <v>17926</v>
      </c>
      <c r="B17927" t="inlineStr">
        <is>
          <t>x̄V̅MMCMXXVI</t>
        </is>
      </c>
      <c r="C17927">
        <f>ROMAN(17926)</f>
        <v/>
      </c>
      <c r="D17927">
        <f>IF(B17927=C17927, "YES", "WRONG")</f>
        <v/>
      </c>
    </row>
    <row r="17928">
      <c r="A17928" t="n">
        <v>17927</v>
      </c>
      <c r="B17928" t="inlineStr">
        <is>
          <t>x̄V̅MMCMXXVII</t>
        </is>
      </c>
      <c r="C17928">
        <f>ROMAN(17927)</f>
        <v/>
      </c>
      <c r="D17928">
        <f>IF(B17928=C17928, "YES", "WRONG")</f>
        <v/>
      </c>
    </row>
    <row r="17929">
      <c r="A17929" t="n">
        <v>17928</v>
      </c>
      <c r="B17929" t="inlineStr">
        <is>
          <t>x̄V̅MMCMXXVIII</t>
        </is>
      </c>
      <c r="C17929">
        <f>ROMAN(17928)</f>
        <v/>
      </c>
      <c r="D17929">
        <f>IF(B17929=C17929, "YES", "WRONG")</f>
        <v/>
      </c>
    </row>
    <row r="17930">
      <c r="A17930" t="n">
        <v>17929</v>
      </c>
      <c r="B17930" t="inlineStr">
        <is>
          <t>x̄V̅MMCMXXIX</t>
        </is>
      </c>
      <c r="C17930">
        <f>ROMAN(17929)</f>
        <v/>
      </c>
      <c r="D17930">
        <f>IF(B17930=C17930, "YES", "WRONG")</f>
        <v/>
      </c>
    </row>
    <row r="17931">
      <c r="A17931" t="n">
        <v>17930</v>
      </c>
      <c r="B17931" t="inlineStr">
        <is>
          <t>x̄V̅MMCMXXX</t>
        </is>
      </c>
      <c r="C17931">
        <f>ROMAN(17930)</f>
        <v/>
      </c>
      <c r="D17931">
        <f>IF(B17931=C17931, "YES", "WRONG")</f>
        <v/>
      </c>
    </row>
    <row r="17932">
      <c r="A17932" t="n">
        <v>17931</v>
      </c>
      <c r="B17932" t="inlineStr">
        <is>
          <t>x̄V̅MMCMXXXI</t>
        </is>
      </c>
      <c r="C17932">
        <f>ROMAN(17931)</f>
        <v/>
      </c>
      <c r="D17932">
        <f>IF(B17932=C17932, "YES", "WRONG")</f>
        <v/>
      </c>
    </row>
    <row r="17933">
      <c r="A17933" t="n">
        <v>17932</v>
      </c>
      <c r="B17933" t="inlineStr">
        <is>
          <t>x̄V̅MMCMXXXII</t>
        </is>
      </c>
      <c r="C17933">
        <f>ROMAN(17932)</f>
        <v/>
      </c>
      <c r="D17933">
        <f>IF(B17933=C17933, "YES", "WRONG")</f>
        <v/>
      </c>
    </row>
    <row r="17934">
      <c r="A17934" t="n">
        <v>17933</v>
      </c>
      <c r="B17934" t="inlineStr">
        <is>
          <t>x̄V̅MMCMXXXIII</t>
        </is>
      </c>
      <c r="C17934">
        <f>ROMAN(17933)</f>
        <v/>
      </c>
      <c r="D17934">
        <f>IF(B17934=C17934, "YES", "WRONG")</f>
        <v/>
      </c>
    </row>
    <row r="17935">
      <c r="A17935" t="n">
        <v>17934</v>
      </c>
      <c r="B17935" t="inlineStr">
        <is>
          <t>x̄V̅MMCMXXXIV</t>
        </is>
      </c>
      <c r="C17935">
        <f>ROMAN(17934)</f>
        <v/>
      </c>
      <c r="D17935">
        <f>IF(B17935=C17935, "YES", "WRONG")</f>
        <v/>
      </c>
    </row>
    <row r="17936">
      <c r="A17936" t="n">
        <v>17935</v>
      </c>
      <c r="B17936" t="inlineStr">
        <is>
          <t>x̄V̅MMCMXXXV</t>
        </is>
      </c>
      <c r="C17936">
        <f>ROMAN(17935)</f>
        <v/>
      </c>
      <c r="D17936">
        <f>IF(B17936=C17936, "YES", "WRONG")</f>
        <v/>
      </c>
    </row>
    <row r="17937">
      <c r="A17937" t="n">
        <v>17936</v>
      </c>
      <c r="B17937" t="inlineStr">
        <is>
          <t>x̄V̅MMCMXXXVI</t>
        </is>
      </c>
      <c r="C17937">
        <f>ROMAN(17936)</f>
        <v/>
      </c>
      <c r="D17937">
        <f>IF(B17937=C17937, "YES", "WRONG")</f>
        <v/>
      </c>
    </row>
    <row r="17938">
      <c r="A17938" t="n">
        <v>17937</v>
      </c>
      <c r="B17938" t="inlineStr">
        <is>
          <t>x̄V̅MMCMXXXVII</t>
        </is>
      </c>
      <c r="C17938">
        <f>ROMAN(17937)</f>
        <v/>
      </c>
      <c r="D17938">
        <f>IF(B17938=C17938, "YES", "WRONG")</f>
        <v/>
      </c>
    </row>
    <row r="17939">
      <c r="A17939" t="n">
        <v>17938</v>
      </c>
      <c r="B17939" t="inlineStr">
        <is>
          <t>x̄V̅MMCMXXXVIII</t>
        </is>
      </c>
      <c r="C17939">
        <f>ROMAN(17938)</f>
        <v/>
      </c>
      <c r="D17939">
        <f>IF(B17939=C17939, "YES", "WRONG")</f>
        <v/>
      </c>
    </row>
    <row r="17940">
      <c r="A17940" t="n">
        <v>17939</v>
      </c>
      <c r="B17940" t="inlineStr">
        <is>
          <t>x̄V̅MMCMXXXIX</t>
        </is>
      </c>
      <c r="C17940">
        <f>ROMAN(17939)</f>
        <v/>
      </c>
      <c r="D17940">
        <f>IF(B17940=C17940, "YES", "WRONG")</f>
        <v/>
      </c>
    </row>
    <row r="17941">
      <c r="A17941" t="n">
        <v>17940</v>
      </c>
      <c r="B17941" t="inlineStr">
        <is>
          <t>x̄V̅MMCMXL</t>
        </is>
      </c>
      <c r="C17941">
        <f>ROMAN(17940)</f>
        <v/>
      </c>
      <c r="D17941">
        <f>IF(B17941=C17941, "YES", "WRONG")</f>
        <v/>
      </c>
    </row>
    <row r="17942">
      <c r="A17942" t="n">
        <v>17941</v>
      </c>
      <c r="B17942" t="inlineStr">
        <is>
          <t>x̄V̅MMCMXLI</t>
        </is>
      </c>
      <c r="C17942">
        <f>ROMAN(17941)</f>
        <v/>
      </c>
      <c r="D17942">
        <f>IF(B17942=C17942, "YES", "WRONG")</f>
        <v/>
      </c>
    </row>
    <row r="17943">
      <c r="A17943" t="n">
        <v>17942</v>
      </c>
      <c r="B17943" t="inlineStr">
        <is>
          <t>x̄V̅MMCMXLII</t>
        </is>
      </c>
      <c r="C17943">
        <f>ROMAN(17942)</f>
        <v/>
      </c>
      <c r="D17943">
        <f>IF(B17943=C17943, "YES", "WRONG")</f>
        <v/>
      </c>
    </row>
    <row r="17944">
      <c r="A17944" t="n">
        <v>17943</v>
      </c>
      <c r="B17944" t="inlineStr">
        <is>
          <t>x̄V̅MMCMXLIII</t>
        </is>
      </c>
      <c r="C17944">
        <f>ROMAN(17943)</f>
        <v/>
      </c>
      <c r="D17944">
        <f>IF(B17944=C17944, "YES", "WRONG")</f>
        <v/>
      </c>
    </row>
    <row r="17945">
      <c r="A17945" t="n">
        <v>17944</v>
      </c>
      <c r="B17945" t="inlineStr">
        <is>
          <t>x̄V̅MMCMXLIV</t>
        </is>
      </c>
      <c r="C17945">
        <f>ROMAN(17944)</f>
        <v/>
      </c>
      <c r="D17945">
        <f>IF(B17945=C17945, "YES", "WRONG")</f>
        <v/>
      </c>
    </row>
    <row r="17946">
      <c r="A17946" t="n">
        <v>17945</v>
      </c>
      <c r="B17946" t="inlineStr">
        <is>
          <t>x̄V̅MMCMXLV</t>
        </is>
      </c>
      <c r="C17946">
        <f>ROMAN(17945)</f>
        <v/>
      </c>
      <c r="D17946">
        <f>IF(B17946=C17946, "YES", "WRONG")</f>
        <v/>
      </c>
    </row>
    <row r="17947">
      <c r="A17947" t="n">
        <v>17946</v>
      </c>
      <c r="B17947" t="inlineStr">
        <is>
          <t>x̄V̅MMCMXLVI</t>
        </is>
      </c>
      <c r="C17947">
        <f>ROMAN(17946)</f>
        <v/>
      </c>
      <c r="D17947">
        <f>IF(B17947=C17947, "YES", "WRONG")</f>
        <v/>
      </c>
    </row>
    <row r="17948">
      <c r="A17948" t="n">
        <v>17947</v>
      </c>
      <c r="B17948" t="inlineStr">
        <is>
          <t>x̄V̅MMCMXLVII</t>
        </is>
      </c>
      <c r="C17948">
        <f>ROMAN(17947)</f>
        <v/>
      </c>
      <c r="D17948">
        <f>IF(B17948=C17948, "YES", "WRONG")</f>
        <v/>
      </c>
    </row>
    <row r="17949">
      <c r="A17949" t="n">
        <v>17948</v>
      </c>
      <c r="B17949" t="inlineStr">
        <is>
          <t>x̄V̅MMCMXLVIII</t>
        </is>
      </c>
      <c r="C17949">
        <f>ROMAN(17948)</f>
        <v/>
      </c>
      <c r="D17949">
        <f>IF(B17949=C17949, "YES", "WRONG")</f>
        <v/>
      </c>
    </row>
    <row r="17950">
      <c r="A17950" t="n">
        <v>17949</v>
      </c>
      <c r="B17950" t="inlineStr">
        <is>
          <t>x̄V̅MMCMXLIX</t>
        </is>
      </c>
      <c r="C17950">
        <f>ROMAN(17949)</f>
        <v/>
      </c>
      <c r="D17950">
        <f>IF(B17950=C17950, "YES", "WRONG")</f>
        <v/>
      </c>
    </row>
    <row r="17951">
      <c r="A17951" t="n">
        <v>17950</v>
      </c>
      <c r="B17951" t="inlineStr">
        <is>
          <t>x̄V̅MMCML</t>
        </is>
      </c>
      <c r="C17951">
        <f>ROMAN(17950)</f>
        <v/>
      </c>
      <c r="D17951">
        <f>IF(B17951=C17951, "YES", "WRONG")</f>
        <v/>
      </c>
    </row>
    <row r="17952">
      <c r="A17952" t="n">
        <v>17951</v>
      </c>
      <c r="B17952" t="inlineStr">
        <is>
          <t>x̄V̅MMCMLI</t>
        </is>
      </c>
      <c r="C17952">
        <f>ROMAN(17951)</f>
        <v/>
      </c>
      <c r="D17952">
        <f>IF(B17952=C17952, "YES", "WRONG")</f>
        <v/>
      </c>
    </row>
    <row r="17953">
      <c r="A17953" t="n">
        <v>17952</v>
      </c>
      <c r="B17953" t="inlineStr">
        <is>
          <t>x̄V̅MMCMLII</t>
        </is>
      </c>
      <c r="C17953">
        <f>ROMAN(17952)</f>
        <v/>
      </c>
      <c r="D17953">
        <f>IF(B17953=C17953, "YES", "WRONG")</f>
        <v/>
      </c>
    </row>
    <row r="17954">
      <c r="A17954" t="n">
        <v>17953</v>
      </c>
      <c r="B17954" t="inlineStr">
        <is>
          <t>x̄V̅MMCMLIII</t>
        </is>
      </c>
      <c r="C17954">
        <f>ROMAN(17953)</f>
        <v/>
      </c>
      <c r="D17954">
        <f>IF(B17954=C17954, "YES", "WRONG")</f>
        <v/>
      </c>
    </row>
    <row r="17955">
      <c r="A17955" t="n">
        <v>17954</v>
      </c>
      <c r="B17955" t="inlineStr">
        <is>
          <t>x̄V̅MMCMLIV</t>
        </is>
      </c>
      <c r="C17955">
        <f>ROMAN(17954)</f>
        <v/>
      </c>
      <c r="D17955">
        <f>IF(B17955=C17955, "YES", "WRONG")</f>
        <v/>
      </c>
    </row>
    <row r="17956">
      <c r="A17956" t="n">
        <v>17955</v>
      </c>
      <c r="B17956" t="inlineStr">
        <is>
          <t>x̄V̅MMCMLV</t>
        </is>
      </c>
      <c r="C17956">
        <f>ROMAN(17955)</f>
        <v/>
      </c>
      <c r="D17956">
        <f>IF(B17956=C17956, "YES", "WRONG")</f>
        <v/>
      </c>
    </row>
    <row r="17957">
      <c r="A17957" t="n">
        <v>17956</v>
      </c>
      <c r="B17957" t="inlineStr">
        <is>
          <t>x̄V̅MMCMLVI</t>
        </is>
      </c>
      <c r="C17957">
        <f>ROMAN(17956)</f>
        <v/>
      </c>
      <c r="D17957">
        <f>IF(B17957=C17957, "YES", "WRONG")</f>
        <v/>
      </c>
    </row>
    <row r="17958">
      <c r="A17958" t="n">
        <v>17957</v>
      </c>
      <c r="B17958" t="inlineStr">
        <is>
          <t>x̄V̅MMCMLVII</t>
        </is>
      </c>
      <c r="C17958">
        <f>ROMAN(17957)</f>
        <v/>
      </c>
      <c r="D17958">
        <f>IF(B17958=C17958, "YES", "WRONG")</f>
        <v/>
      </c>
    </row>
    <row r="17959">
      <c r="A17959" t="n">
        <v>17958</v>
      </c>
      <c r="B17959" t="inlineStr">
        <is>
          <t>x̄V̅MMCMLVIII</t>
        </is>
      </c>
      <c r="C17959">
        <f>ROMAN(17958)</f>
        <v/>
      </c>
      <c r="D17959">
        <f>IF(B17959=C17959, "YES", "WRONG")</f>
        <v/>
      </c>
    </row>
    <row r="17960">
      <c r="A17960" t="n">
        <v>17959</v>
      </c>
      <c r="B17960" t="inlineStr">
        <is>
          <t>x̄V̅MMCMLIX</t>
        </is>
      </c>
      <c r="C17960">
        <f>ROMAN(17959)</f>
        <v/>
      </c>
      <c r="D17960">
        <f>IF(B17960=C17960, "YES", "WRONG")</f>
        <v/>
      </c>
    </row>
    <row r="17961">
      <c r="A17961" t="n">
        <v>17960</v>
      </c>
      <c r="B17961" t="inlineStr">
        <is>
          <t>x̄V̅MMCMLX</t>
        </is>
      </c>
      <c r="C17961">
        <f>ROMAN(17960)</f>
        <v/>
      </c>
      <c r="D17961">
        <f>IF(B17961=C17961, "YES", "WRONG")</f>
        <v/>
      </c>
    </row>
    <row r="17962">
      <c r="A17962" t="n">
        <v>17961</v>
      </c>
      <c r="B17962" t="inlineStr">
        <is>
          <t>x̄V̅MMCMLXI</t>
        </is>
      </c>
      <c r="C17962">
        <f>ROMAN(17961)</f>
        <v/>
      </c>
      <c r="D17962">
        <f>IF(B17962=C17962, "YES", "WRONG")</f>
        <v/>
      </c>
    </row>
    <row r="17963">
      <c r="A17963" t="n">
        <v>17962</v>
      </c>
      <c r="B17963" t="inlineStr">
        <is>
          <t>x̄V̅MMCMLXII</t>
        </is>
      </c>
      <c r="C17963">
        <f>ROMAN(17962)</f>
        <v/>
      </c>
      <c r="D17963">
        <f>IF(B17963=C17963, "YES", "WRONG")</f>
        <v/>
      </c>
    </row>
    <row r="17964">
      <c r="A17964" t="n">
        <v>17963</v>
      </c>
      <c r="B17964" t="inlineStr">
        <is>
          <t>x̄V̅MMCMLXIII</t>
        </is>
      </c>
      <c r="C17964">
        <f>ROMAN(17963)</f>
        <v/>
      </c>
      <c r="D17964">
        <f>IF(B17964=C17964, "YES", "WRONG")</f>
        <v/>
      </c>
    </row>
    <row r="17965">
      <c r="A17965" t="n">
        <v>17964</v>
      </c>
      <c r="B17965" t="inlineStr">
        <is>
          <t>x̄V̅MMCMLXIV</t>
        </is>
      </c>
      <c r="C17965">
        <f>ROMAN(17964)</f>
        <v/>
      </c>
      <c r="D17965">
        <f>IF(B17965=C17965, "YES", "WRONG")</f>
        <v/>
      </c>
    </row>
    <row r="17966">
      <c r="A17966" t="n">
        <v>17965</v>
      </c>
      <c r="B17966" t="inlineStr">
        <is>
          <t>x̄V̅MMCMLXV</t>
        </is>
      </c>
      <c r="C17966">
        <f>ROMAN(17965)</f>
        <v/>
      </c>
      <c r="D17966">
        <f>IF(B17966=C17966, "YES", "WRONG")</f>
        <v/>
      </c>
    </row>
    <row r="17967">
      <c r="A17967" t="n">
        <v>17966</v>
      </c>
      <c r="B17967" t="inlineStr">
        <is>
          <t>x̄V̅MMCMLXVI</t>
        </is>
      </c>
      <c r="C17967">
        <f>ROMAN(17966)</f>
        <v/>
      </c>
      <c r="D17967">
        <f>IF(B17967=C17967, "YES", "WRONG")</f>
        <v/>
      </c>
    </row>
    <row r="17968">
      <c r="A17968" t="n">
        <v>17967</v>
      </c>
      <c r="B17968" t="inlineStr">
        <is>
          <t>x̄V̅MMCMLXVII</t>
        </is>
      </c>
      <c r="C17968">
        <f>ROMAN(17967)</f>
        <v/>
      </c>
      <c r="D17968">
        <f>IF(B17968=C17968, "YES", "WRONG")</f>
        <v/>
      </c>
    </row>
    <row r="17969">
      <c r="A17969" t="n">
        <v>17968</v>
      </c>
      <c r="B17969" t="inlineStr">
        <is>
          <t>x̄V̅MMCMLXVIII</t>
        </is>
      </c>
      <c r="C17969">
        <f>ROMAN(17968)</f>
        <v/>
      </c>
      <c r="D17969">
        <f>IF(B17969=C17969, "YES", "WRONG")</f>
        <v/>
      </c>
    </row>
    <row r="17970">
      <c r="A17970" t="n">
        <v>17969</v>
      </c>
      <c r="B17970" t="inlineStr">
        <is>
          <t>x̄V̅MMCMLXIX</t>
        </is>
      </c>
      <c r="C17970">
        <f>ROMAN(17969)</f>
        <v/>
      </c>
      <c r="D17970">
        <f>IF(B17970=C17970, "YES", "WRONG")</f>
        <v/>
      </c>
    </row>
    <row r="17971">
      <c r="A17971" t="n">
        <v>17970</v>
      </c>
      <c r="B17971" t="inlineStr">
        <is>
          <t>x̄V̅MMCMLXX</t>
        </is>
      </c>
      <c r="C17971">
        <f>ROMAN(17970)</f>
        <v/>
      </c>
      <c r="D17971">
        <f>IF(B17971=C17971, "YES", "WRONG")</f>
        <v/>
      </c>
    </row>
    <row r="17972">
      <c r="A17972" t="n">
        <v>17971</v>
      </c>
      <c r="B17972" t="inlineStr">
        <is>
          <t>x̄V̅MMCMLXXI</t>
        </is>
      </c>
      <c r="C17972">
        <f>ROMAN(17971)</f>
        <v/>
      </c>
      <c r="D17972">
        <f>IF(B17972=C17972, "YES", "WRONG")</f>
        <v/>
      </c>
    </row>
    <row r="17973">
      <c r="A17973" t="n">
        <v>17972</v>
      </c>
      <c r="B17973" t="inlineStr">
        <is>
          <t>x̄V̅MMCMLXXII</t>
        </is>
      </c>
      <c r="C17973">
        <f>ROMAN(17972)</f>
        <v/>
      </c>
      <c r="D17973">
        <f>IF(B17973=C17973, "YES", "WRONG")</f>
        <v/>
      </c>
    </row>
    <row r="17974">
      <c r="A17974" t="n">
        <v>17973</v>
      </c>
      <c r="B17974" t="inlineStr">
        <is>
          <t>x̄V̅MMCMLXXIII</t>
        </is>
      </c>
      <c r="C17974">
        <f>ROMAN(17973)</f>
        <v/>
      </c>
      <c r="D17974">
        <f>IF(B17974=C17974, "YES", "WRONG")</f>
        <v/>
      </c>
    </row>
    <row r="17975">
      <c r="A17975" t="n">
        <v>17974</v>
      </c>
      <c r="B17975" t="inlineStr">
        <is>
          <t>x̄V̅MMCMLXXIV</t>
        </is>
      </c>
      <c r="C17975">
        <f>ROMAN(17974)</f>
        <v/>
      </c>
      <c r="D17975">
        <f>IF(B17975=C17975, "YES", "WRONG")</f>
        <v/>
      </c>
    </row>
    <row r="17976">
      <c r="A17976" t="n">
        <v>17975</v>
      </c>
      <c r="B17976" t="inlineStr">
        <is>
          <t>x̄V̅MMCMLXXV</t>
        </is>
      </c>
      <c r="C17976">
        <f>ROMAN(17975)</f>
        <v/>
      </c>
      <c r="D17976">
        <f>IF(B17976=C17976, "YES", "WRONG")</f>
        <v/>
      </c>
    </row>
    <row r="17977">
      <c r="A17977" t="n">
        <v>17976</v>
      </c>
      <c r="B17977" t="inlineStr">
        <is>
          <t>x̄V̅MMCMLXXVI</t>
        </is>
      </c>
      <c r="C17977">
        <f>ROMAN(17976)</f>
        <v/>
      </c>
      <c r="D17977">
        <f>IF(B17977=C17977, "YES", "WRONG")</f>
        <v/>
      </c>
    </row>
    <row r="17978">
      <c r="A17978" t="n">
        <v>17977</v>
      </c>
      <c r="B17978" t="inlineStr">
        <is>
          <t>x̄V̅MMCMLXXVII</t>
        </is>
      </c>
      <c r="C17978">
        <f>ROMAN(17977)</f>
        <v/>
      </c>
      <c r="D17978">
        <f>IF(B17978=C17978, "YES", "WRONG")</f>
        <v/>
      </c>
    </row>
    <row r="17979">
      <c r="A17979" t="n">
        <v>17978</v>
      </c>
      <c r="B17979" t="inlineStr">
        <is>
          <t>x̄V̅MMCMLXXVIII</t>
        </is>
      </c>
      <c r="C17979">
        <f>ROMAN(17978)</f>
        <v/>
      </c>
      <c r="D17979">
        <f>IF(B17979=C17979, "YES", "WRONG")</f>
        <v/>
      </c>
    </row>
    <row r="17980">
      <c r="A17980" t="n">
        <v>17979</v>
      </c>
      <c r="B17980" t="inlineStr">
        <is>
          <t>x̄V̅MMCMLXXIX</t>
        </is>
      </c>
      <c r="C17980">
        <f>ROMAN(17979)</f>
        <v/>
      </c>
      <c r="D17980">
        <f>IF(B17980=C17980, "YES", "WRONG")</f>
        <v/>
      </c>
    </row>
    <row r="17981">
      <c r="A17981" t="n">
        <v>17980</v>
      </c>
      <c r="B17981" t="inlineStr">
        <is>
          <t>x̄V̅MMCMLXXX</t>
        </is>
      </c>
      <c r="C17981">
        <f>ROMAN(17980)</f>
        <v/>
      </c>
      <c r="D17981">
        <f>IF(B17981=C17981, "YES", "WRONG")</f>
        <v/>
      </c>
    </row>
    <row r="17982">
      <c r="A17982" t="n">
        <v>17981</v>
      </c>
      <c r="B17982" t="inlineStr">
        <is>
          <t>x̄V̅MMCMLXXXI</t>
        </is>
      </c>
      <c r="C17982">
        <f>ROMAN(17981)</f>
        <v/>
      </c>
      <c r="D17982">
        <f>IF(B17982=C17982, "YES", "WRONG")</f>
        <v/>
      </c>
    </row>
    <row r="17983">
      <c r="A17983" t="n">
        <v>17982</v>
      </c>
      <c r="B17983" t="inlineStr">
        <is>
          <t>x̄V̅MMCMLXXXII</t>
        </is>
      </c>
      <c r="C17983">
        <f>ROMAN(17982)</f>
        <v/>
      </c>
      <c r="D17983">
        <f>IF(B17983=C17983, "YES", "WRONG")</f>
        <v/>
      </c>
    </row>
    <row r="17984">
      <c r="A17984" t="n">
        <v>17983</v>
      </c>
      <c r="B17984" t="inlineStr">
        <is>
          <t>x̄V̅MMCMLXXXIII</t>
        </is>
      </c>
      <c r="C17984">
        <f>ROMAN(17983)</f>
        <v/>
      </c>
      <c r="D17984">
        <f>IF(B17984=C17984, "YES", "WRONG")</f>
        <v/>
      </c>
    </row>
    <row r="17985">
      <c r="A17985" t="n">
        <v>17984</v>
      </c>
      <c r="B17985" t="inlineStr">
        <is>
          <t>x̄V̅MMCMLXXXIV</t>
        </is>
      </c>
      <c r="C17985">
        <f>ROMAN(17984)</f>
        <v/>
      </c>
      <c r="D17985">
        <f>IF(B17985=C17985, "YES", "WRONG")</f>
        <v/>
      </c>
    </row>
    <row r="17986">
      <c r="A17986" t="n">
        <v>17985</v>
      </c>
      <c r="B17986" t="inlineStr">
        <is>
          <t>x̄V̅MMCMLXXXV</t>
        </is>
      </c>
      <c r="C17986">
        <f>ROMAN(17985)</f>
        <v/>
      </c>
      <c r="D17986">
        <f>IF(B17986=C17986, "YES", "WRONG")</f>
        <v/>
      </c>
    </row>
    <row r="17987">
      <c r="A17987" t="n">
        <v>17986</v>
      </c>
      <c r="B17987" t="inlineStr">
        <is>
          <t>x̄V̅MMCMLXXXVI</t>
        </is>
      </c>
      <c r="C17987">
        <f>ROMAN(17986)</f>
        <v/>
      </c>
      <c r="D17987">
        <f>IF(B17987=C17987, "YES", "WRONG")</f>
        <v/>
      </c>
    </row>
    <row r="17988">
      <c r="A17988" t="n">
        <v>17987</v>
      </c>
      <c r="B17988" t="inlineStr">
        <is>
          <t>x̄V̅MMCMLXXXVII</t>
        </is>
      </c>
      <c r="C17988">
        <f>ROMAN(17987)</f>
        <v/>
      </c>
      <c r="D17988">
        <f>IF(B17988=C17988, "YES", "WRONG")</f>
        <v/>
      </c>
    </row>
    <row r="17989">
      <c r="A17989" t="n">
        <v>17988</v>
      </c>
      <c r="B17989" t="inlineStr">
        <is>
          <t>x̄V̅MMCMLXXXVIII</t>
        </is>
      </c>
      <c r="C17989">
        <f>ROMAN(17988)</f>
        <v/>
      </c>
      <c r="D17989">
        <f>IF(B17989=C17989, "YES", "WRONG")</f>
        <v/>
      </c>
    </row>
    <row r="17990">
      <c r="A17990" t="n">
        <v>17989</v>
      </c>
      <c r="B17990" t="inlineStr">
        <is>
          <t>x̄V̅MMCMLXXXIX</t>
        </is>
      </c>
      <c r="C17990">
        <f>ROMAN(17989)</f>
        <v/>
      </c>
      <c r="D17990">
        <f>IF(B17990=C17990, "YES", "WRONG")</f>
        <v/>
      </c>
    </row>
    <row r="17991">
      <c r="A17991" t="n">
        <v>17990</v>
      </c>
      <c r="B17991" t="inlineStr">
        <is>
          <t>x̄V̅MMCMXC</t>
        </is>
      </c>
      <c r="C17991">
        <f>ROMAN(17990)</f>
        <v/>
      </c>
      <c r="D17991">
        <f>IF(B17991=C17991, "YES", "WRONG")</f>
        <v/>
      </c>
    </row>
    <row r="17992">
      <c r="A17992" t="n">
        <v>17991</v>
      </c>
      <c r="B17992" t="inlineStr">
        <is>
          <t>x̄V̅MMCMXCI</t>
        </is>
      </c>
      <c r="C17992">
        <f>ROMAN(17991)</f>
        <v/>
      </c>
      <c r="D17992">
        <f>IF(B17992=C17992, "YES", "WRONG")</f>
        <v/>
      </c>
    </row>
    <row r="17993">
      <c r="A17993" t="n">
        <v>17992</v>
      </c>
      <c r="B17993" t="inlineStr">
        <is>
          <t>x̄V̅MMCMXCII</t>
        </is>
      </c>
      <c r="C17993">
        <f>ROMAN(17992)</f>
        <v/>
      </c>
      <c r="D17993">
        <f>IF(B17993=C17993, "YES", "WRONG")</f>
        <v/>
      </c>
    </row>
    <row r="17994">
      <c r="A17994" t="n">
        <v>17993</v>
      </c>
      <c r="B17994" t="inlineStr">
        <is>
          <t>x̄V̅MMCMXCIII</t>
        </is>
      </c>
      <c r="C17994">
        <f>ROMAN(17993)</f>
        <v/>
      </c>
      <c r="D17994">
        <f>IF(B17994=C17994, "YES", "WRONG")</f>
        <v/>
      </c>
    </row>
    <row r="17995">
      <c r="A17995" t="n">
        <v>17994</v>
      </c>
      <c r="B17995" t="inlineStr">
        <is>
          <t>x̄V̅MMCMXCIV</t>
        </is>
      </c>
      <c r="C17995">
        <f>ROMAN(17994)</f>
        <v/>
      </c>
      <c r="D17995">
        <f>IF(B17995=C17995, "YES", "WRONG")</f>
        <v/>
      </c>
    </row>
    <row r="17996">
      <c r="A17996" t="n">
        <v>17995</v>
      </c>
      <c r="B17996" t="inlineStr">
        <is>
          <t>x̄V̅MMCMXCV</t>
        </is>
      </c>
      <c r="C17996">
        <f>ROMAN(17995)</f>
        <v/>
      </c>
      <c r="D17996">
        <f>IF(B17996=C17996, "YES", "WRONG")</f>
        <v/>
      </c>
    </row>
    <row r="17997">
      <c r="A17997" t="n">
        <v>17996</v>
      </c>
      <c r="B17997" t="inlineStr">
        <is>
          <t>x̄V̅MMCMXCVI</t>
        </is>
      </c>
      <c r="C17997">
        <f>ROMAN(17996)</f>
        <v/>
      </c>
      <c r="D17997">
        <f>IF(B17997=C17997, "YES", "WRONG")</f>
        <v/>
      </c>
    </row>
    <row r="17998">
      <c r="A17998" t="n">
        <v>17997</v>
      </c>
      <c r="B17998" t="inlineStr">
        <is>
          <t>x̄V̅MMCMXCVII</t>
        </is>
      </c>
      <c r="C17998">
        <f>ROMAN(17997)</f>
        <v/>
      </c>
      <c r="D17998">
        <f>IF(B17998=C17998, "YES", "WRONG")</f>
        <v/>
      </c>
    </row>
    <row r="17999">
      <c r="A17999" t="n">
        <v>17998</v>
      </c>
      <c r="B17999" t="inlineStr">
        <is>
          <t>x̄V̅MMCMXCVIII</t>
        </is>
      </c>
      <c r="C17999">
        <f>ROMAN(17998)</f>
        <v/>
      </c>
      <c r="D17999">
        <f>IF(B17999=C17999, "YES", "WRONG")</f>
        <v/>
      </c>
    </row>
    <row r="18000">
      <c r="A18000" t="n">
        <v>17999</v>
      </c>
      <c r="B18000" t="inlineStr">
        <is>
          <t>x̄V̅MMCMXCIX</t>
        </is>
      </c>
      <c r="C18000">
        <f>ROMAN(17999)</f>
        <v/>
      </c>
      <c r="D18000">
        <f>IF(B18000=C18000, "YES", "WRONG")</f>
        <v/>
      </c>
    </row>
    <row r="18001">
      <c r="A18001" t="n">
        <v>18000</v>
      </c>
      <c r="B18001" t="inlineStr">
        <is>
          <t>x̄V̅MMM</t>
        </is>
      </c>
      <c r="C18001">
        <f>ROMAN(18000)</f>
        <v/>
      </c>
      <c r="D18001">
        <f>IF(B18001=C18001, "YES", "WRONG")</f>
        <v/>
      </c>
    </row>
    <row r="18002">
      <c r="A18002" t="n">
        <v>18001</v>
      </c>
      <c r="B18002" t="inlineStr">
        <is>
          <t>x̄V̅MMMI</t>
        </is>
      </c>
      <c r="C18002">
        <f>ROMAN(18001)</f>
        <v/>
      </c>
      <c r="D18002">
        <f>IF(B18002=C18002, "YES", "WRONG")</f>
        <v/>
      </c>
    </row>
    <row r="18003">
      <c r="A18003" t="n">
        <v>18002</v>
      </c>
      <c r="B18003" t="inlineStr">
        <is>
          <t>x̄V̅MMMII</t>
        </is>
      </c>
      <c r="C18003">
        <f>ROMAN(18002)</f>
        <v/>
      </c>
      <c r="D18003">
        <f>IF(B18003=C18003, "YES", "WRONG")</f>
        <v/>
      </c>
    </row>
    <row r="18004">
      <c r="A18004" t="n">
        <v>18003</v>
      </c>
      <c r="B18004" t="inlineStr">
        <is>
          <t>x̄V̅MMMIII</t>
        </is>
      </c>
      <c r="C18004">
        <f>ROMAN(18003)</f>
        <v/>
      </c>
      <c r="D18004">
        <f>IF(B18004=C18004, "YES", "WRONG")</f>
        <v/>
      </c>
    </row>
    <row r="18005">
      <c r="A18005" t="n">
        <v>18004</v>
      </c>
      <c r="B18005" t="inlineStr">
        <is>
          <t>x̄V̅MMMIV</t>
        </is>
      </c>
      <c r="C18005">
        <f>ROMAN(18004)</f>
        <v/>
      </c>
      <c r="D18005">
        <f>IF(B18005=C18005, "YES", "WRONG")</f>
        <v/>
      </c>
    </row>
    <row r="18006">
      <c r="A18006" t="n">
        <v>18005</v>
      </c>
      <c r="B18006" t="inlineStr">
        <is>
          <t>x̄V̅MMMV</t>
        </is>
      </c>
      <c r="C18006">
        <f>ROMAN(18005)</f>
        <v/>
      </c>
      <c r="D18006">
        <f>IF(B18006=C18006, "YES", "WRONG")</f>
        <v/>
      </c>
    </row>
    <row r="18007">
      <c r="A18007" t="n">
        <v>18006</v>
      </c>
      <c r="B18007" t="inlineStr">
        <is>
          <t>x̄V̅MMMVI</t>
        </is>
      </c>
      <c r="C18007">
        <f>ROMAN(18006)</f>
        <v/>
      </c>
      <c r="D18007">
        <f>IF(B18007=C18007, "YES", "WRONG")</f>
        <v/>
      </c>
    </row>
    <row r="18008">
      <c r="A18008" t="n">
        <v>18007</v>
      </c>
      <c r="B18008" t="inlineStr">
        <is>
          <t>x̄V̅MMMVII</t>
        </is>
      </c>
      <c r="C18008">
        <f>ROMAN(18007)</f>
        <v/>
      </c>
      <c r="D18008">
        <f>IF(B18008=C18008, "YES", "WRONG")</f>
        <v/>
      </c>
    </row>
    <row r="18009">
      <c r="A18009" t="n">
        <v>18008</v>
      </c>
      <c r="B18009" t="inlineStr">
        <is>
          <t>x̄V̅MMMVIII</t>
        </is>
      </c>
      <c r="C18009">
        <f>ROMAN(18008)</f>
        <v/>
      </c>
      <c r="D18009">
        <f>IF(B18009=C18009, "YES", "WRONG")</f>
        <v/>
      </c>
    </row>
    <row r="18010">
      <c r="A18010" t="n">
        <v>18009</v>
      </c>
      <c r="B18010" t="inlineStr">
        <is>
          <t>x̄V̅MMMIX</t>
        </is>
      </c>
      <c r="C18010">
        <f>ROMAN(18009)</f>
        <v/>
      </c>
      <c r="D18010">
        <f>IF(B18010=C18010, "YES", "WRONG")</f>
        <v/>
      </c>
    </row>
    <row r="18011">
      <c r="A18011" t="n">
        <v>18010</v>
      </c>
      <c r="B18011" t="inlineStr">
        <is>
          <t>x̄V̅MMMX</t>
        </is>
      </c>
      <c r="C18011">
        <f>ROMAN(18010)</f>
        <v/>
      </c>
      <c r="D18011">
        <f>IF(B18011=C18011, "YES", "WRONG")</f>
        <v/>
      </c>
    </row>
    <row r="18012">
      <c r="A18012" t="n">
        <v>18011</v>
      </c>
      <c r="B18012" t="inlineStr">
        <is>
          <t>x̄V̅MMMXI</t>
        </is>
      </c>
      <c r="C18012">
        <f>ROMAN(18011)</f>
        <v/>
      </c>
      <c r="D18012">
        <f>IF(B18012=C18012, "YES", "WRONG")</f>
        <v/>
      </c>
    </row>
    <row r="18013">
      <c r="A18013" t="n">
        <v>18012</v>
      </c>
      <c r="B18013" t="inlineStr">
        <is>
          <t>x̄V̅MMMXII</t>
        </is>
      </c>
      <c r="C18013">
        <f>ROMAN(18012)</f>
        <v/>
      </c>
      <c r="D18013">
        <f>IF(B18013=C18013, "YES", "WRONG")</f>
        <v/>
      </c>
    </row>
    <row r="18014">
      <c r="A18014" t="n">
        <v>18013</v>
      </c>
      <c r="B18014" t="inlineStr">
        <is>
          <t>x̄V̅MMMXIII</t>
        </is>
      </c>
      <c r="C18014">
        <f>ROMAN(18013)</f>
        <v/>
      </c>
      <c r="D18014">
        <f>IF(B18014=C18014, "YES", "WRONG")</f>
        <v/>
      </c>
    </row>
    <row r="18015">
      <c r="A18015" t="n">
        <v>18014</v>
      </c>
      <c r="B18015" t="inlineStr">
        <is>
          <t>x̄V̅MMMXIV</t>
        </is>
      </c>
      <c r="C18015">
        <f>ROMAN(18014)</f>
        <v/>
      </c>
      <c r="D18015">
        <f>IF(B18015=C18015, "YES", "WRONG")</f>
        <v/>
      </c>
    </row>
    <row r="18016">
      <c r="A18016" t="n">
        <v>18015</v>
      </c>
      <c r="B18016" t="inlineStr">
        <is>
          <t>x̄V̅MMMXV</t>
        </is>
      </c>
      <c r="C18016">
        <f>ROMAN(18015)</f>
        <v/>
      </c>
      <c r="D18016">
        <f>IF(B18016=C18016, "YES", "WRONG")</f>
        <v/>
      </c>
    </row>
    <row r="18017">
      <c r="A18017" t="n">
        <v>18016</v>
      </c>
      <c r="B18017" t="inlineStr">
        <is>
          <t>x̄V̅MMMXVI</t>
        </is>
      </c>
      <c r="C18017">
        <f>ROMAN(18016)</f>
        <v/>
      </c>
      <c r="D18017">
        <f>IF(B18017=C18017, "YES", "WRONG")</f>
        <v/>
      </c>
    </row>
    <row r="18018">
      <c r="A18018" t="n">
        <v>18017</v>
      </c>
      <c r="B18018" t="inlineStr">
        <is>
          <t>x̄V̅MMMXVII</t>
        </is>
      </c>
      <c r="C18018">
        <f>ROMAN(18017)</f>
        <v/>
      </c>
      <c r="D18018">
        <f>IF(B18018=C18018, "YES", "WRONG")</f>
        <v/>
      </c>
    </row>
    <row r="18019">
      <c r="A18019" t="n">
        <v>18018</v>
      </c>
      <c r="B18019" t="inlineStr">
        <is>
          <t>x̄V̅MMMXVIII</t>
        </is>
      </c>
      <c r="C18019">
        <f>ROMAN(18018)</f>
        <v/>
      </c>
      <c r="D18019">
        <f>IF(B18019=C18019, "YES", "WRONG")</f>
        <v/>
      </c>
    </row>
    <row r="18020">
      <c r="A18020" t="n">
        <v>18019</v>
      </c>
      <c r="B18020" t="inlineStr">
        <is>
          <t>x̄V̅MMMXIX</t>
        </is>
      </c>
      <c r="C18020">
        <f>ROMAN(18019)</f>
        <v/>
      </c>
      <c r="D18020">
        <f>IF(B18020=C18020, "YES", "WRONG")</f>
        <v/>
      </c>
    </row>
    <row r="18021">
      <c r="A18021" t="n">
        <v>18020</v>
      </c>
      <c r="B18021" t="inlineStr">
        <is>
          <t>x̄V̅MMMXX</t>
        </is>
      </c>
      <c r="C18021">
        <f>ROMAN(18020)</f>
        <v/>
      </c>
      <c r="D18021">
        <f>IF(B18021=C18021, "YES", "WRONG")</f>
        <v/>
      </c>
    </row>
    <row r="18022">
      <c r="A18022" t="n">
        <v>18021</v>
      </c>
      <c r="B18022" t="inlineStr">
        <is>
          <t>x̄V̅MMMXXI</t>
        </is>
      </c>
      <c r="C18022">
        <f>ROMAN(18021)</f>
        <v/>
      </c>
      <c r="D18022">
        <f>IF(B18022=C18022, "YES", "WRONG")</f>
        <v/>
      </c>
    </row>
    <row r="18023">
      <c r="A18023" t="n">
        <v>18022</v>
      </c>
      <c r="B18023" t="inlineStr">
        <is>
          <t>x̄V̅MMMXXII</t>
        </is>
      </c>
      <c r="C18023">
        <f>ROMAN(18022)</f>
        <v/>
      </c>
      <c r="D18023">
        <f>IF(B18023=C18023, "YES", "WRONG")</f>
        <v/>
      </c>
    </row>
    <row r="18024">
      <c r="A18024" t="n">
        <v>18023</v>
      </c>
      <c r="B18024" t="inlineStr">
        <is>
          <t>x̄V̅MMMXXIII</t>
        </is>
      </c>
      <c r="C18024">
        <f>ROMAN(18023)</f>
        <v/>
      </c>
      <c r="D18024">
        <f>IF(B18024=C18024, "YES", "WRONG")</f>
        <v/>
      </c>
    </row>
    <row r="18025">
      <c r="A18025" t="n">
        <v>18024</v>
      </c>
      <c r="B18025" t="inlineStr">
        <is>
          <t>x̄V̅MMMXXIV</t>
        </is>
      </c>
      <c r="C18025">
        <f>ROMAN(18024)</f>
        <v/>
      </c>
      <c r="D18025">
        <f>IF(B18025=C18025, "YES", "WRONG")</f>
        <v/>
      </c>
    </row>
    <row r="18026">
      <c r="A18026" t="n">
        <v>18025</v>
      </c>
      <c r="B18026" t="inlineStr">
        <is>
          <t>x̄V̅MMMXXV</t>
        </is>
      </c>
      <c r="C18026">
        <f>ROMAN(18025)</f>
        <v/>
      </c>
      <c r="D18026">
        <f>IF(B18026=C18026, "YES", "WRONG")</f>
        <v/>
      </c>
    </row>
    <row r="18027">
      <c r="A18027" t="n">
        <v>18026</v>
      </c>
      <c r="B18027" t="inlineStr">
        <is>
          <t>x̄V̅MMMXXVI</t>
        </is>
      </c>
      <c r="C18027">
        <f>ROMAN(18026)</f>
        <v/>
      </c>
      <c r="D18027">
        <f>IF(B18027=C18027, "YES", "WRONG")</f>
        <v/>
      </c>
    </row>
    <row r="18028">
      <c r="A18028" t="n">
        <v>18027</v>
      </c>
      <c r="B18028" t="inlineStr">
        <is>
          <t>x̄V̅MMMXXVII</t>
        </is>
      </c>
      <c r="C18028">
        <f>ROMAN(18027)</f>
        <v/>
      </c>
      <c r="D18028">
        <f>IF(B18028=C18028, "YES", "WRONG")</f>
        <v/>
      </c>
    </row>
    <row r="18029">
      <c r="A18029" t="n">
        <v>18028</v>
      </c>
      <c r="B18029" t="inlineStr">
        <is>
          <t>x̄V̅MMMXXVIII</t>
        </is>
      </c>
      <c r="C18029">
        <f>ROMAN(18028)</f>
        <v/>
      </c>
      <c r="D18029">
        <f>IF(B18029=C18029, "YES", "WRONG")</f>
        <v/>
      </c>
    </row>
    <row r="18030">
      <c r="A18030" t="n">
        <v>18029</v>
      </c>
      <c r="B18030" t="inlineStr">
        <is>
          <t>x̄V̅MMMXXIX</t>
        </is>
      </c>
      <c r="C18030">
        <f>ROMAN(18029)</f>
        <v/>
      </c>
      <c r="D18030">
        <f>IF(B18030=C18030, "YES", "WRONG")</f>
        <v/>
      </c>
    </row>
    <row r="18031">
      <c r="A18031" t="n">
        <v>18030</v>
      </c>
      <c r="B18031" t="inlineStr">
        <is>
          <t>x̄V̅MMMXXX</t>
        </is>
      </c>
      <c r="C18031">
        <f>ROMAN(18030)</f>
        <v/>
      </c>
      <c r="D18031">
        <f>IF(B18031=C18031, "YES", "WRONG")</f>
        <v/>
      </c>
    </row>
    <row r="18032">
      <c r="A18032" t="n">
        <v>18031</v>
      </c>
      <c r="B18032" t="inlineStr">
        <is>
          <t>x̄V̅MMMXXXI</t>
        </is>
      </c>
      <c r="C18032">
        <f>ROMAN(18031)</f>
        <v/>
      </c>
      <c r="D18032">
        <f>IF(B18032=C18032, "YES", "WRONG")</f>
        <v/>
      </c>
    </row>
    <row r="18033">
      <c r="A18033" t="n">
        <v>18032</v>
      </c>
      <c r="B18033" t="inlineStr">
        <is>
          <t>x̄V̅MMMXXXII</t>
        </is>
      </c>
      <c r="C18033">
        <f>ROMAN(18032)</f>
        <v/>
      </c>
      <c r="D18033">
        <f>IF(B18033=C18033, "YES", "WRONG")</f>
        <v/>
      </c>
    </row>
    <row r="18034">
      <c r="A18034" t="n">
        <v>18033</v>
      </c>
      <c r="B18034" t="inlineStr">
        <is>
          <t>x̄V̅MMMXXXIII</t>
        </is>
      </c>
      <c r="C18034">
        <f>ROMAN(18033)</f>
        <v/>
      </c>
      <c r="D18034">
        <f>IF(B18034=C18034, "YES", "WRONG")</f>
        <v/>
      </c>
    </row>
    <row r="18035">
      <c r="A18035" t="n">
        <v>18034</v>
      </c>
      <c r="B18035" t="inlineStr">
        <is>
          <t>x̄V̅MMMXXXIV</t>
        </is>
      </c>
      <c r="C18035">
        <f>ROMAN(18034)</f>
        <v/>
      </c>
      <c r="D18035">
        <f>IF(B18035=C18035, "YES", "WRONG")</f>
        <v/>
      </c>
    </row>
    <row r="18036">
      <c r="A18036" t="n">
        <v>18035</v>
      </c>
      <c r="B18036" t="inlineStr">
        <is>
          <t>x̄V̅MMMXXXV</t>
        </is>
      </c>
      <c r="C18036">
        <f>ROMAN(18035)</f>
        <v/>
      </c>
      <c r="D18036">
        <f>IF(B18036=C18036, "YES", "WRONG")</f>
        <v/>
      </c>
    </row>
    <row r="18037">
      <c r="A18037" t="n">
        <v>18036</v>
      </c>
      <c r="B18037" t="inlineStr">
        <is>
          <t>x̄V̅MMMXXXVI</t>
        </is>
      </c>
      <c r="C18037">
        <f>ROMAN(18036)</f>
        <v/>
      </c>
      <c r="D18037">
        <f>IF(B18037=C18037, "YES", "WRONG")</f>
        <v/>
      </c>
    </row>
    <row r="18038">
      <c r="A18038" t="n">
        <v>18037</v>
      </c>
      <c r="B18038" t="inlineStr">
        <is>
          <t>x̄V̅MMMXXXVII</t>
        </is>
      </c>
      <c r="C18038">
        <f>ROMAN(18037)</f>
        <v/>
      </c>
      <c r="D18038">
        <f>IF(B18038=C18038, "YES", "WRONG")</f>
        <v/>
      </c>
    </row>
    <row r="18039">
      <c r="A18039" t="n">
        <v>18038</v>
      </c>
      <c r="B18039" t="inlineStr">
        <is>
          <t>x̄V̅MMMXXXVIII</t>
        </is>
      </c>
      <c r="C18039">
        <f>ROMAN(18038)</f>
        <v/>
      </c>
      <c r="D18039">
        <f>IF(B18039=C18039, "YES", "WRONG")</f>
        <v/>
      </c>
    </row>
    <row r="18040">
      <c r="A18040" t="n">
        <v>18039</v>
      </c>
      <c r="B18040" t="inlineStr">
        <is>
          <t>x̄V̅MMMXXXIX</t>
        </is>
      </c>
      <c r="C18040">
        <f>ROMAN(18039)</f>
        <v/>
      </c>
      <c r="D18040">
        <f>IF(B18040=C18040, "YES", "WRONG")</f>
        <v/>
      </c>
    </row>
    <row r="18041">
      <c r="A18041" t="n">
        <v>18040</v>
      </c>
      <c r="B18041" t="inlineStr">
        <is>
          <t>x̄V̅MMMXL</t>
        </is>
      </c>
      <c r="C18041">
        <f>ROMAN(18040)</f>
        <v/>
      </c>
      <c r="D18041">
        <f>IF(B18041=C18041, "YES", "WRONG")</f>
        <v/>
      </c>
    </row>
    <row r="18042">
      <c r="A18042" t="n">
        <v>18041</v>
      </c>
      <c r="B18042" t="inlineStr">
        <is>
          <t>x̄V̅MMMXLI</t>
        </is>
      </c>
      <c r="C18042">
        <f>ROMAN(18041)</f>
        <v/>
      </c>
      <c r="D18042">
        <f>IF(B18042=C18042, "YES", "WRONG")</f>
        <v/>
      </c>
    </row>
    <row r="18043">
      <c r="A18043" t="n">
        <v>18042</v>
      </c>
      <c r="B18043" t="inlineStr">
        <is>
          <t>x̄V̅MMMXLII</t>
        </is>
      </c>
      <c r="C18043">
        <f>ROMAN(18042)</f>
        <v/>
      </c>
      <c r="D18043">
        <f>IF(B18043=C18043, "YES", "WRONG")</f>
        <v/>
      </c>
    </row>
    <row r="18044">
      <c r="A18044" t="n">
        <v>18043</v>
      </c>
      <c r="B18044" t="inlineStr">
        <is>
          <t>x̄V̅MMMXLIII</t>
        </is>
      </c>
      <c r="C18044">
        <f>ROMAN(18043)</f>
        <v/>
      </c>
      <c r="D18044">
        <f>IF(B18044=C18044, "YES", "WRONG")</f>
        <v/>
      </c>
    </row>
    <row r="18045">
      <c r="A18045" t="n">
        <v>18044</v>
      </c>
      <c r="B18045" t="inlineStr">
        <is>
          <t>x̄V̅MMMXLIV</t>
        </is>
      </c>
      <c r="C18045">
        <f>ROMAN(18044)</f>
        <v/>
      </c>
      <c r="D18045">
        <f>IF(B18045=C18045, "YES", "WRONG")</f>
        <v/>
      </c>
    </row>
    <row r="18046">
      <c r="A18046" t="n">
        <v>18045</v>
      </c>
      <c r="B18046" t="inlineStr">
        <is>
          <t>x̄V̅MMMXLV</t>
        </is>
      </c>
      <c r="C18046">
        <f>ROMAN(18045)</f>
        <v/>
      </c>
      <c r="D18046">
        <f>IF(B18046=C18046, "YES", "WRONG")</f>
        <v/>
      </c>
    </row>
    <row r="18047">
      <c r="A18047" t="n">
        <v>18046</v>
      </c>
      <c r="B18047" t="inlineStr">
        <is>
          <t>x̄V̅MMMXLVI</t>
        </is>
      </c>
      <c r="C18047">
        <f>ROMAN(18046)</f>
        <v/>
      </c>
      <c r="D18047">
        <f>IF(B18047=C18047, "YES", "WRONG")</f>
        <v/>
      </c>
    </row>
    <row r="18048">
      <c r="A18048" t="n">
        <v>18047</v>
      </c>
      <c r="B18048" t="inlineStr">
        <is>
          <t>x̄V̅MMMXLVII</t>
        </is>
      </c>
      <c r="C18048">
        <f>ROMAN(18047)</f>
        <v/>
      </c>
      <c r="D18048">
        <f>IF(B18048=C18048, "YES", "WRONG")</f>
        <v/>
      </c>
    </row>
    <row r="18049">
      <c r="A18049" t="n">
        <v>18048</v>
      </c>
      <c r="B18049" t="inlineStr">
        <is>
          <t>x̄V̅MMMXLVIII</t>
        </is>
      </c>
      <c r="C18049">
        <f>ROMAN(18048)</f>
        <v/>
      </c>
      <c r="D18049">
        <f>IF(B18049=C18049, "YES", "WRONG")</f>
        <v/>
      </c>
    </row>
    <row r="18050">
      <c r="A18050" t="n">
        <v>18049</v>
      </c>
      <c r="B18050" t="inlineStr">
        <is>
          <t>x̄V̅MMMXLIX</t>
        </is>
      </c>
      <c r="C18050">
        <f>ROMAN(18049)</f>
        <v/>
      </c>
      <c r="D18050">
        <f>IF(B18050=C18050, "YES", "WRONG")</f>
        <v/>
      </c>
    </row>
    <row r="18051">
      <c r="A18051" t="n">
        <v>18050</v>
      </c>
      <c r="B18051" t="inlineStr">
        <is>
          <t>x̄V̅MMML</t>
        </is>
      </c>
      <c r="C18051">
        <f>ROMAN(18050)</f>
        <v/>
      </c>
      <c r="D18051">
        <f>IF(B18051=C18051, "YES", "WRONG")</f>
        <v/>
      </c>
    </row>
    <row r="18052">
      <c r="A18052" t="n">
        <v>18051</v>
      </c>
      <c r="B18052" t="inlineStr">
        <is>
          <t>x̄V̅MMMLI</t>
        </is>
      </c>
      <c r="C18052">
        <f>ROMAN(18051)</f>
        <v/>
      </c>
      <c r="D18052">
        <f>IF(B18052=C18052, "YES", "WRONG")</f>
        <v/>
      </c>
    </row>
    <row r="18053">
      <c r="A18053" t="n">
        <v>18052</v>
      </c>
      <c r="B18053" t="inlineStr">
        <is>
          <t>x̄V̅MMMLII</t>
        </is>
      </c>
      <c r="C18053">
        <f>ROMAN(18052)</f>
        <v/>
      </c>
      <c r="D18053">
        <f>IF(B18053=C18053, "YES", "WRONG")</f>
        <v/>
      </c>
    </row>
    <row r="18054">
      <c r="A18054" t="n">
        <v>18053</v>
      </c>
      <c r="B18054" t="inlineStr">
        <is>
          <t>x̄V̅MMMLIII</t>
        </is>
      </c>
      <c r="C18054">
        <f>ROMAN(18053)</f>
        <v/>
      </c>
      <c r="D18054">
        <f>IF(B18054=C18054, "YES", "WRONG")</f>
        <v/>
      </c>
    </row>
    <row r="18055">
      <c r="A18055" t="n">
        <v>18054</v>
      </c>
      <c r="B18055" t="inlineStr">
        <is>
          <t>x̄V̅MMMLIV</t>
        </is>
      </c>
      <c r="C18055">
        <f>ROMAN(18054)</f>
        <v/>
      </c>
      <c r="D18055">
        <f>IF(B18055=C18055, "YES", "WRONG")</f>
        <v/>
      </c>
    </row>
    <row r="18056">
      <c r="A18056" t="n">
        <v>18055</v>
      </c>
      <c r="B18056" t="inlineStr">
        <is>
          <t>x̄V̅MMMLV</t>
        </is>
      </c>
      <c r="C18056">
        <f>ROMAN(18055)</f>
        <v/>
      </c>
      <c r="D18056">
        <f>IF(B18056=C18056, "YES", "WRONG")</f>
        <v/>
      </c>
    </row>
    <row r="18057">
      <c r="A18057" t="n">
        <v>18056</v>
      </c>
      <c r="B18057" t="inlineStr">
        <is>
          <t>x̄V̅MMMLVI</t>
        </is>
      </c>
      <c r="C18057">
        <f>ROMAN(18056)</f>
        <v/>
      </c>
      <c r="D18057">
        <f>IF(B18057=C18057, "YES", "WRONG")</f>
        <v/>
      </c>
    </row>
    <row r="18058">
      <c r="A18058" t="n">
        <v>18057</v>
      </c>
      <c r="B18058" t="inlineStr">
        <is>
          <t>x̄V̅MMMLVII</t>
        </is>
      </c>
      <c r="C18058">
        <f>ROMAN(18057)</f>
        <v/>
      </c>
      <c r="D18058">
        <f>IF(B18058=C18058, "YES", "WRONG")</f>
        <v/>
      </c>
    </row>
    <row r="18059">
      <c r="A18059" t="n">
        <v>18058</v>
      </c>
      <c r="B18059" t="inlineStr">
        <is>
          <t>x̄V̅MMMLVIII</t>
        </is>
      </c>
      <c r="C18059">
        <f>ROMAN(18058)</f>
        <v/>
      </c>
      <c r="D18059">
        <f>IF(B18059=C18059, "YES", "WRONG")</f>
        <v/>
      </c>
    </row>
    <row r="18060">
      <c r="A18060" t="n">
        <v>18059</v>
      </c>
      <c r="B18060" t="inlineStr">
        <is>
          <t>x̄V̅MMMLIX</t>
        </is>
      </c>
      <c r="C18060">
        <f>ROMAN(18059)</f>
        <v/>
      </c>
      <c r="D18060">
        <f>IF(B18060=C18060, "YES", "WRONG")</f>
        <v/>
      </c>
    </row>
    <row r="18061">
      <c r="A18061" t="n">
        <v>18060</v>
      </c>
      <c r="B18061" t="inlineStr">
        <is>
          <t>x̄V̅MMMLX</t>
        </is>
      </c>
      <c r="C18061">
        <f>ROMAN(18060)</f>
        <v/>
      </c>
      <c r="D18061">
        <f>IF(B18061=C18061, "YES", "WRONG")</f>
        <v/>
      </c>
    </row>
    <row r="18062">
      <c r="A18062" t="n">
        <v>18061</v>
      </c>
      <c r="B18062" t="inlineStr">
        <is>
          <t>x̄V̅MMMLXI</t>
        </is>
      </c>
      <c r="C18062">
        <f>ROMAN(18061)</f>
        <v/>
      </c>
      <c r="D18062">
        <f>IF(B18062=C18062, "YES", "WRONG")</f>
        <v/>
      </c>
    </row>
    <row r="18063">
      <c r="A18063" t="n">
        <v>18062</v>
      </c>
      <c r="B18063" t="inlineStr">
        <is>
          <t>x̄V̅MMMLXII</t>
        </is>
      </c>
      <c r="C18063">
        <f>ROMAN(18062)</f>
        <v/>
      </c>
      <c r="D18063">
        <f>IF(B18063=C18063, "YES", "WRONG")</f>
        <v/>
      </c>
    </row>
    <row r="18064">
      <c r="A18064" t="n">
        <v>18063</v>
      </c>
      <c r="B18064" t="inlineStr">
        <is>
          <t>x̄V̅MMMLXIII</t>
        </is>
      </c>
      <c r="C18064">
        <f>ROMAN(18063)</f>
        <v/>
      </c>
      <c r="D18064">
        <f>IF(B18064=C18064, "YES", "WRONG")</f>
        <v/>
      </c>
    </row>
    <row r="18065">
      <c r="A18065" t="n">
        <v>18064</v>
      </c>
      <c r="B18065" t="inlineStr">
        <is>
          <t>x̄V̅MMMLXIV</t>
        </is>
      </c>
      <c r="C18065">
        <f>ROMAN(18064)</f>
        <v/>
      </c>
      <c r="D18065">
        <f>IF(B18065=C18065, "YES", "WRONG")</f>
        <v/>
      </c>
    </row>
    <row r="18066">
      <c r="A18066" t="n">
        <v>18065</v>
      </c>
      <c r="B18066" t="inlineStr">
        <is>
          <t>x̄V̅MMMLXV</t>
        </is>
      </c>
      <c r="C18066">
        <f>ROMAN(18065)</f>
        <v/>
      </c>
      <c r="D18066">
        <f>IF(B18066=C18066, "YES", "WRONG")</f>
        <v/>
      </c>
    </row>
    <row r="18067">
      <c r="A18067" t="n">
        <v>18066</v>
      </c>
      <c r="B18067" t="inlineStr">
        <is>
          <t>x̄V̅MMMLXVI</t>
        </is>
      </c>
      <c r="C18067">
        <f>ROMAN(18066)</f>
        <v/>
      </c>
      <c r="D18067">
        <f>IF(B18067=C18067, "YES", "WRONG")</f>
        <v/>
      </c>
    </row>
    <row r="18068">
      <c r="A18068" t="n">
        <v>18067</v>
      </c>
      <c r="B18068" t="inlineStr">
        <is>
          <t>x̄V̅MMMLXVII</t>
        </is>
      </c>
      <c r="C18068">
        <f>ROMAN(18067)</f>
        <v/>
      </c>
      <c r="D18068">
        <f>IF(B18068=C18068, "YES", "WRONG")</f>
        <v/>
      </c>
    </row>
    <row r="18069">
      <c r="A18069" t="n">
        <v>18068</v>
      </c>
      <c r="B18069" t="inlineStr">
        <is>
          <t>x̄V̅MMMLXVIII</t>
        </is>
      </c>
      <c r="C18069">
        <f>ROMAN(18068)</f>
        <v/>
      </c>
      <c r="D18069">
        <f>IF(B18069=C18069, "YES", "WRONG")</f>
        <v/>
      </c>
    </row>
    <row r="18070">
      <c r="A18070" t="n">
        <v>18069</v>
      </c>
      <c r="B18070" t="inlineStr">
        <is>
          <t>x̄V̅MMMLXIX</t>
        </is>
      </c>
      <c r="C18070">
        <f>ROMAN(18069)</f>
        <v/>
      </c>
      <c r="D18070">
        <f>IF(B18070=C18070, "YES", "WRONG")</f>
        <v/>
      </c>
    </row>
    <row r="18071">
      <c r="A18071" t="n">
        <v>18070</v>
      </c>
      <c r="B18071" t="inlineStr">
        <is>
          <t>x̄V̅MMMLXX</t>
        </is>
      </c>
      <c r="C18071">
        <f>ROMAN(18070)</f>
        <v/>
      </c>
      <c r="D18071">
        <f>IF(B18071=C18071, "YES", "WRONG")</f>
        <v/>
      </c>
    </row>
    <row r="18072">
      <c r="A18072" t="n">
        <v>18071</v>
      </c>
      <c r="B18072" t="inlineStr">
        <is>
          <t>x̄V̅MMMLXXI</t>
        </is>
      </c>
      <c r="C18072">
        <f>ROMAN(18071)</f>
        <v/>
      </c>
      <c r="D18072">
        <f>IF(B18072=C18072, "YES", "WRONG")</f>
        <v/>
      </c>
    </row>
    <row r="18073">
      <c r="A18073" t="n">
        <v>18072</v>
      </c>
      <c r="B18073" t="inlineStr">
        <is>
          <t>x̄V̅MMMLXXII</t>
        </is>
      </c>
      <c r="C18073">
        <f>ROMAN(18072)</f>
        <v/>
      </c>
      <c r="D18073">
        <f>IF(B18073=C18073, "YES", "WRONG")</f>
        <v/>
      </c>
    </row>
    <row r="18074">
      <c r="A18074" t="n">
        <v>18073</v>
      </c>
      <c r="B18074" t="inlineStr">
        <is>
          <t>x̄V̅MMMLXXIII</t>
        </is>
      </c>
      <c r="C18074">
        <f>ROMAN(18073)</f>
        <v/>
      </c>
      <c r="D18074">
        <f>IF(B18074=C18074, "YES", "WRONG")</f>
        <v/>
      </c>
    </row>
    <row r="18075">
      <c r="A18075" t="n">
        <v>18074</v>
      </c>
      <c r="B18075" t="inlineStr">
        <is>
          <t>x̄V̅MMMLXXIV</t>
        </is>
      </c>
      <c r="C18075">
        <f>ROMAN(18074)</f>
        <v/>
      </c>
      <c r="D18075">
        <f>IF(B18075=C18075, "YES", "WRONG")</f>
        <v/>
      </c>
    </row>
    <row r="18076">
      <c r="A18076" t="n">
        <v>18075</v>
      </c>
      <c r="B18076" t="inlineStr">
        <is>
          <t>x̄V̅MMMLXXV</t>
        </is>
      </c>
      <c r="C18076">
        <f>ROMAN(18075)</f>
        <v/>
      </c>
      <c r="D18076">
        <f>IF(B18076=C18076, "YES", "WRONG")</f>
        <v/>
      </c>
    </row>
    <row r="18077">
      <c r="A18077" t="n">
        <v>18076</v>
      </c>
      <c r="B18077" t="inlineStr">
        <is>
          <t>x̄V̅MMMLXXVI</t>
        </is>
      </c>
      <c r="C18077">
        <f>ROMAN(18076)</f>
        <v/>
      </c>
      <c r="D18077">
        <f>IF(B18077=C18077, "YES", "WRONG")</f>
        <v/>
      </c>
    </row>
    <row r="18078">
      <c r="A18078" t="n">
        <v>18077</v>
      </c>
      <c r="B18078" t="inlineStr">
        <is>
          <t>x̄V̅MMMLXXVII</t>
        </is>
      </c>
      <c r="C18078">
        <f>ROMAN(18077)</f>
        <v/>
      </c>
      <c r="D18078">
        <f>IF(B18078=C18078, "YES", "WRONG")</f>
        <v/>
      </c>
    </row>
    <row r="18079">
      <c r="A18079" t="n">
        <v>18078</v>
      </c>
      <c r="B18079" t="inlineStr">
        <is>
          <t>x̄V̅MMMLXXVIII</t>
        </is>
      </c>
      <c r="C18079">
        <f>ROMAN(18078)</f>
        <v/>
      </c>
      <c r="D18079">
        <f>IF(B18079=C18079, "YES", "WRONG")</f>
        <v/>
      </c>
    </row>
    <row r="18080">
      <c r="A18080" t="n">
        <v>18079</v>
      </c>
      <c r="B18080" t="inlineStr">
        <is>
          <t>x̄V̅MMMLXXIX</t>
        </is>
      </c>
      <c r="C18080">
        <f>ROMAN(18079)</f>
        <v/>
      </c>
      <c r="D18080">
        <f>IF(B18080=C18080, "YES", "WRONG")</f>
        <v/>
      </c>
    </row>
    <row r="18081">
      <c r="A18081" t="n">
        <v>18080</v>
      </c>
      <c r="B18081" t="inlineStr">
        <is>
          <t>x̄V̅MMMLXXX</t>
        </is>
      </c>
      <c r="C18081">
        <f>ROMAN(18080)</f>
        <v/>
      </c>
      <c r="D18081">
        <f>IF(B18081=C18081, "YES", "WRONG")</f>
        <v/>
      </c>
    </row>
    <row r="18082">
      <c r="A18082" t="n">
        <v>18081</v>
      </c>
      <c r="B18082" t="inlineStr">
        <is>
          <t>x̄V̅MMMLXXXI</t>
        </is>
      </c>
      <c r="C18082">
        <f>ROMAN(18081)</f>
        <v/>
      </c>
      <c r="D18082">
        <f>IF(B18082=C18082, "YES", "WRONG")</f>
        <v/>
      </c>
    </row>
    <row r="18083">
      <c r="A18083" t="n">
        <v>18082</v>
      </c>
      <c r="B18083" t="inlineStr">
        <is>
          <t>x̄V̅MMMLXXXII</t>
        </is>
      </c>
      <c r="C18083">
        <f>ROMAN(18082)</f>
        <v/>
      </c>
      <c r="D18083">
        <f>IF(B18083=C18083, "YES", "WRONG")</f>
        <v/>
      </c>
    </row>
    <row r="18084">
      <c r="A18084" t="n">
        <v>18083</v>
      </c>
      <c r="B18084" t="inlineStr">
        <is>
          <t>x̄V̅MMMLXXXIII</t>
        </is>
      </c>
      <c r="C18084">
        <f>ROMAN(18083)</f>
        <v/>
      </c>
      <c r="D18084">
        <f>IF(B18084=C18084, "YES", "WRONG")</f>
        <v/>
      </c>
    </row>
    <row r="18085">
      <c r="A18085" t="n">
        <v>18084</v>
      </c>
      <c r="B18085" t="inlineStr">
        <is>
          <t>x̄V̅MMMLXXXIV</t>
        </is>
      </c>
      <c r="C18085">
        <f>ROMAN(18084)</f>
        <v/>
      </c>
      <c r="D18085">
        <f>IF(B18085=C18085, "YES", "WRONG")</f>
        <v/>
      </c>
    </row>
    <row r="18086">
      <c r="A18086" t="n">
        <v>18085</v>
      </c>
      <c r="B18086" t="inlineStr">
        <is>
          <t>x̄V̅MMMLXXXV</t>
        </is>
      </c>
      <c r="C18086">
        <f>ROMAN(18085)</f>
        <v/>
      </c>
      <c r="D18086">
        <f>IF(B18086=C18086, "YES", "WRONG")</f>
        <v/>
      </c>
    </row>
    <row r="18087">
      <c r="A18087" t="n">
        <v>18086</v>
      </c>
      <c r="B18087" t="inlineStr">
        <is>
          <t>x̄V̅MMMLXXXVI</t>
        </is>
      </c>
      <c r="C18087">
        <f>ROMAN(18086)</f>
        <v/>
      </c>
      <c r="D18087">
        <f>IF(B18087=C18087, "YES", "WRONG")</f>
        <v/>
      </c>
    </row>
    <row r="18088">
      <c r="A18088" t="n">
        <v>18087</v>
      </c>
      <c r="B18088" t="inlineStr">
        <is>
          <t>x̄V̅MMMLXXXVII</t>
        </is>
      </c>
      <c r="C18088">
        <f>ROMAN(18087)</f>
        <v/>
      </c>
      <c r="D18088">
        <f>IF(B18088=C18088, "YES", "WRONG")</f>
        <v/>
      </c>
    </row>
    <row r="18089">
      <c r="A18089" t="n">
        <v>18088</v>
      </c>
      <c r="B18089" t="inlineStr">
        <is>
          <t>x̄V̅MMMLXXXVIII</t>
        </is>
      </c>
      <c r="C18089">
        <f>ROMAN(18088)</f>
        <v/>
      </c>
      <c r="D18089">
        <f>IF(B18089=C18089, "YES", "WRONG")</f>
        <v/>
      </c>
    </row>
    <row r="18090">
      <c r="A18090" t="n">
        <v>18089</v>
      </c>
      <c r="B18090" t="inlineStr">
        <is>
          <t>x̄V̅MMMLXXXIX</t>
        </is>
      </c>
      <c r="C18090">
        <f>ROMAN(18089)</f>
        <v/>
      </c>
      <c r="D18090">
        <f>IF(B18090=C18090, "YES", "WRONG")</f>
        <v/>
      </c>
    </row>
    <row r="18091">
      <c r="A18091" t="n">
        <v>18090</v>
      </c>
      <c r="B18091" t="inlineStr">
        <is>
          <t>x̄V̅MMMXC</t>
        </is>
      </c>
      <c r="C18091">
        <f>ROMAN(18090)</f>
        <v/>
      </c>
      <c r="D18091">
        <f>IF(B18091=C18091, "YES", "WRONG")</f>
        <v/>
      </c>
    </row>
    <row r="18092">
      <c r="A18092" t="n">
        <v>18091</v>
      </c>
      <c r="B18092" t="inlineStr">
        <is>
          <t>x̄V̅MMMXCI</t>
        </is>
      </c>
      <c r="C18092">
        <f>ROMAN(18091)</f>
        <v/>
      </c>
      <c r="D18092">
        <f>IF(B18092=C18092, "YES", "WRONG")</f>
        <v/>
      </c>
    </row>
    <row r="18093">
      <c r="A18093" t="n">
        <v>18092</v>
      </c>
      <c r="B18093" t="inlineStr">
        <is>
          <t>x̄V̅MMMXCII</t>
        </is>
      </c>
      <c r="C18093">
        <f>ROMAN(18092)</f>
        <v/>
      </c>
      <c r="D18093">
        <f>IF(B18093=C18093, "YES", "WRONG")</f>
        <v/>
      </c>
    </row>
    <row r="18094">
      <c r="A18094" t="n">
        <v>18093</v>
      </c>
      <c r="B18094" t="inlineStr">
        <is>
          <t>x̄V̅MMMXCIII</t>
        </is>
      </c>
      <c r="C18094">
        <f>ROMAN(18093)</f>
        <v/>
      </c>
      <c r="D18094">
        <f>IF(B18094=C18094, "YES", "WRONG")</f>
        <v/>
      </c>
    </row>
    <row r="18095">
      <c r="A18095" t="n">
        <v>18094</v>
      </c>
      <c r="B18095" t="inlineStr">
        <is>
          <t>x̄V̅MMMXCIV</t>
        </is>
      </c>
      <c r="C18095">
        <f>ROMAN(18094)</f>
        <v/>
      </c>
      <c r="D18095">
        <f>IF(B18095=C18095, "YES", "WRONG")</f>
        <v/>
      </c>
    </row>
    <row r="18096">
      <c r="A18096" t="n">
        <v>18095</v>
      </c>
      <c r="B18096" t="inlineStr">
        <is>
          <t>x̄V̅MMMXCV</t>
        </is>
      </c>
      <c r="C18096">
        <f>ROMAN(18095)</f>
        <v/>
      </c>
      <c r="D18096">
        <f>IF(B18096=C18096, "YES", "WRONG")</f>
        <v/>
      </c>
    </row>
    <row r="18097">
      <c r="A18097" t="n">
        <v>18096</v>
      </c>
      <c r="B18097" t="inlineStr">
        <is>
          <t>x̄V̅MMMXCVI</t>
        </is>
      </c>
      <c r="C18097">
        <f>ROMAN(18096)</f>
        <v/>
      </c>
      <c r="D18097">
        <f>IF(B18097=C18097, "YES", "WRONG")</f>
        <v/>
      </c>
    </row>
    <row r="18098">
      <c r="A18098" t="n">
        <v>18097</v>
      </c>
      <c r="B18098" t="inlineStr">
        <is>
          <t>x̄V̅MMMXCVII</t>
        </is>
      </c>
      <c r="C18098">
        <f>ROMAN(18097)</f>
        <v/>
      </c>
      <c r="D18098">
        <f>IF(B18098=C18098, "YES", "WRONG")</f>
        <v/>
      </c>
    </row>
    <row r="18099">
      <c r="A18099" t="n">
        <v>18098</v>
      </c>
      <c r="B18099" t="inlineStr">
        <is>
          <t>x̄V̅MMMXCVIII</t>
        </is>
      </c>
      <c r="C18099">
        <f>ROMAN(18098)</f>
        <v/>
      </c>
      <c r="D18099">
        <f>IF(B18099=C18099, "YES", "WRONG")</f>
        <v/>
      </c>
    </row>
    <row r="18100">
      <c r="A18100" t="n">
        <v>18099</v>
      </c>
      <c r="B18100" t="inlineStr">
        <is>
          <t>x̄V̅MMMXCIX</t>
        </is>
      </c>
      <c r="C18100">
        <f>ROMAN(18099)</f>
        <v/>
      </c>
      <c r="D18100">
        <f>IF(B18100=C18100, "YES", "WRONG")</f>
        <v/>
      </c>
    </row>
    <row r="18101">
      <c r="A18101" t="n">
        <v>18100</v>
      </c>
      <c r="B18101" t="inlineStr">
        <is>
          <t>x̄V̅MMMC</t>
        </is>
      </c>
      <c r="C18101">
        <f>ROMAN(18100)</f>
        <v/>
      </c>
      <c r="D18101">
        <f>IF(B18101=C18101, "YES", "WRONG")</f>
        <v/>
      </c>
    </row>
    <row r="18102">
      <c r="A18102" t="n">
        <v>18101</v>
      </c>
      <c r="B18102" t="inlineStr">
        <is>
          <t>x̄V̅MMMCI</t>
        </is>
      </c>
      <c r="C18102">
        <f>ROMAN(18101)</f>
        <v/>
      </c>
      <c r="D18102">
        <f>IF(B18102=C18102, "YES", "WRONG")</f>
        <v/>
      </c>
    </row>
    <row r="18103">
      <c r="A18103" t="n">
        <v>18102</v>
      </c>
      <c r="B18103" t="inlineStr">
        <is>
          <t>x̄V̅MMMCII</t>
        </is>
      </c>
      <c r="C18103">
        <f>ROMAN(18102)</f>
        <v/>
      </c>
      <c r="D18103">
        <f>IF(B18103=C18103, "YES", "WRONG")</f>
        <v/>
      </c>
    </row>
    <row r="18104">
      <c r="A18104" t="n">
        <v>18103</v>
      </c>
      <c r="B18104" t="inlineStr">
        <is>
          <t>x̄V̅MMMCIII</t>
        </is>
      </c>
      <c r="C18104">
        <f>ROMAN(18103)</f>
        <v/>
      </c>
      <c r="D18104">
        <f>IF(B18104=C18104, "YES", "WRONG")</f>
        <v/>
      </c>
    </row>
    <row r="18105">
      <c r="A18105" t="n">
        <v>18104</v>
      </c>
      <c r="B18105" t="inlineStr">
        <is>
          <t>x̄V̅MMMCIV</t>
        </is>
      </c>
      <c r="C18105">
        <f>ROMAN(18104)</f>
        <v/>
      </c>
      <c r="D18105">
        <f>IF(B18105=C18105, "YES", "WRONG")</f>
        <v/>
      </c>
    </row>
    <row r="18106">
      <c r="A18106" t="n">
        <v>18105</v>
      </c>
      <c r="B18106" t="inlineStr">
        <is>
          <t>x̄V̅MMMCV</t>
        </is>
      </c>
      <c r="C18106">
        <f>ROMAN(18105)</f>
        <v/>
      </c>
      <c r="D18106">
        <f>IF(B18106=C18106, "YES", "WRONG")</f>
        <v/>
      </c>
    </row>
    <row r="18107">
      <c r="A18107" t="n">
        <v>18106</v>
      </c>
      <c r="B18107" t="inlineStr">
        <is>
          <t>x̄V̅MMMCVI</t>
        </is>
      </c>
      <c r="C18107">
        <f>ROMAN(18106)</f>
        <v/>
      </c>
      <c r="D18107">
        <f>IF(B18107=C18107, "YES", "WRONG")</f>
        <v/>
      </c>
    </row>
    <row r="18108">
      <c r="A18108" t="n">
        <v>18107</v>
      </c>
      <c r="B18108" t="inlineStr">
        <is>
          <t>x̄V̅MMMCVII</t>
        </is>
      </c>
      <c r="C18108">
        <f>ROMAN(18107)</f>
        <v/>
      </c>
      <c r="D18108">
        <f>IF(B18108=C18108, "YES", "WRONG")</f>
        <v/>
      </c>
    </row>
    <row r="18109">
      <c r="A18109" t="n">
        <v>18108</v>
      </c>
      <c r="B18109" t="inlineStr">
        <is>
          <t>x̄V̅MMMCVIII</t>
        </is>
      </c>
      <c r="C18109">
        <f>ROMAN(18108)</f>
        <v/>
      </c>
      <c r="D18109">
        <f>IF(B18109=C18109, "YES", "WRONG")</f>
        <v/>
      </c>
    </row>
    <row r="18110">
      <c r="A18110" t="n">
        <v>18109</v>
      </c>
      <c r="B18110" t="inlineStr">
        <is>
          <t>x̄V̅MMMCIX</t>
        </is>
      </c>
      <c r="C18110">
        <f>ROMAN(18109)</f>
        <v/>
      </c>
      <c r="D18110">
        <f>IF(B18110=C18110, "YES", "WRONG")</f>
        <v/>
      </c>
    </row>
    <row r="18111">
      <c r="A18111" t="n">
        <v>18110</v>
      </c>
      <c r="B18111" t="inlineStr">
        <is>
          <t>x̄V̅MMMCX</t>
        </is>
      </c>
      <c r="C18111">
        <f>ROMAN(18110)</f>
        <v/>
      </c>
      <c r="D18111">
        <f>IF(B18111=C18111, "YES", "WRONG")</f>
        <v/>
      </c>
    </row>
    <row r="18112">
      <c r="A18112" t="n">
        <v>18111</v>
      </c>
      <c r="B18112" t="inlineStr">
        <is>
          <t>x̄V̅MMMCXI</t>
        </is>
      </c>
      <c r="C18112">
        <f>ROMAN(18111)</f>
        <v/>
      </c>
      <c r="D18112">
        <f>IF(B18112=C18112, "YES", "WRONG")</f>
        <v/>
      </c>
    </row>
    <row r="18113">
      <c r="A18113" t="n">
        <v>18112</v>
      </c>
      <c r="B18113" t="inlineStr">
        <is>
          <t>x̄V̅MMMCXII</t>
        </is>
      </c>
      <c r="C18113">
        <f>ROMAN(18112)</f>
        <v/>
      </c>
      <c r="D18113">
        <f>IF(B18113=C18113, "YES", "WRONG")</f>
        <v/>
      </c>
    </row>
    <row r="18114">
      <c r="A18114" t="n">
        <v>18113</v>
      </c>
      <c r="B18114" t="inlineStr">
        <is>
          <t>x̄V̅MMMCXIII</t>
        </is>
      </c>
      <c r="C18114">
        <f>ROMAN(18113)</f>
        <v/>
      </c>
      <c r="D18114">
        <f>IF(B18114=C18114, "YES", "WRONG")</f>
        <v/>
      </c>
    </row>
    <row r="18115">
      <c r="A18115" t="n">
        <v>18114</v>
      </c>
      <c r="B18115" t="inlineStr">
        <is>
          <t>x̄V̅MMMCXIV</t>
        </is>
      </c>
      <c r="C18115">
        <f>ROMAN(18114)</f>
        <v/>
      </c>
      <c r="D18115">
        <f>IF(B18115=C18115, "YES", "WRONG")</f>
        <v/>
      </c>
    </row>
    <row r="18116">
      <c r="A18116" t="n">
        <v>18115</v>
      </c>
      <c r="B18116" t="inlineStr">
        <is>
          <t>x̄V̅MMMCXV</t>
        </is>
      </c>
      <c r="C18116">
        <f>ROMAN(18115)</f>
        <v/>
      </c>
      <c r="D18116">
        <f>IF(B18116=C18116, "YES", "WRONG")</f>
        <v/>
      </c>
    </row>
    <row r="18117">
      <c r="A18117" t="n">
        <v>18116</v>
      </c>
      <c r="B18117" t="inlineStr">
        <is>
          <t>x̄V̅MMMCXVI</t>
        </is>
      </c>
      <c r="C18117">
        <f>ROMAN(18116)</f>
        <v/>
      </c>
      <c r="D18117">
        <f>IF(B18117=C18117, "YES", "WRONG")</f>
        <v/>
      </c>
    </row>
    <row r="18118">
      <c r="A18118" t="n">
        <v>18117</v>
      </c>
      <c r="B18118" t="inlineStr">
        <is>
          <t>x̄V̅MMMCXVII</t>
        </is>
      </c>
      <c r="C18118">
        <f>ROMAN(18117)</f>
        <v/>
      </c>
      <c r="D18118">
        <f>IF(B18118=C18118, "YES", "WRONG")</f>
        <v/>
      </c>
    </row>
    <row r="18119">
      <c r="A18119" t="n">
        <v>18118</v>
      </c>
      <c r="B18119" t="inlineStr">
        <is>
          <t>x̄V̅MMMCXVIII</t>
        </is>
      </c>
      <c r="C18119">
        <f>ROMAN(18118)</f>
        <v/>
      </c>
      <c r="D18119">
        <f>IF(B18119=C18119, "YES", "WRONG")</f>
        <v/>
      </c>
    </row>
    <row r="18120">
      <c r="A18120" t="n">
        <v>18119</v>
      </c>
      <c r="B18120" t="inlineStr">
        <is>
          <t>x̄V̅MMMCXIX</t>
        </is>
      </c>
      <c r="C18120">
        <f>ROMAN(18119)</f>
        <v/>
      </c>
      <c r="D18120">
        <f>IF(B18120=C18120, "YES", "WRONG")</f>
        <v/>
      </c>
    </row>
    <row r="18121">
      <c r="A18121" t="n">
        <v>18120</v>
      </c>
      <c r="B18121" t="inlineStr">
        <is>
          <t>x̄V̅MMMCXX</t>
        </is>
      </c>
      <c r="C18121">
        <f>ROMAN(18120)</f>
        <v/>
      </c>
      <c r="D18121">
        <f>IF(B18121=C18121, "YES", "WRONG")</f>
        <v/>
      </c>
    </row>
    <row r="18122">
      <c r="A18122" t="n">
        <v>18121</v>
      </c>
      <c r="B18122" t="inlineStr">
        <is>
          <t>x̄V̅MMMCXXI</t>
        </is>
      </c>
      <c r="C18122">
        <f>ROMAN(18121)</f>
        <v/>
      </c>
      <c r="D18122">
        <f>IF(B18122=C18122, "YES", "WRONG")</f>
        <v/>
      </c>
    </row>
    <row r="18123">
      <c r="A18123" t="n">
        <v>18122</v>
      </c>
      <c r="B18123" t="inlineStr">
        <is>
          <t>x̄V̅MMMCXXII</t>
        </is>
      </c>
      <c r="C18123">
        <f>ROMAN(18122)</f>
        <v/>
      </c>
      <c r="D18123">
        <f>IF(B18123=C18123, "YES", "WRONG")</f>
        <v/>
      </c>
    </row>
    <row r="18124">
      <c r="A18124" t="n">
        <v>18123</v>
      </c>
      <c r="B18124" t="inlineStr">
        <is>
          <t>x̄V̅MMMCXXIII</t>
        </is>
      </c>
      <c r="C18124">
        <f>ROMAN(18123)</f>
        <v/>
      </c>
      <c r="D18124">
        <f>IF(B18124=C18124, "YES", "WRONG")</f>
        <v/>
      </c>
    </row>
    <row r="18125">
      <c r="A18125" t="n">
        <v>18124</v>
      </c>
      <c r="B18125" t="inlineStr">
        <is>
          <t>x̄V̅MMMCXXIV</t>
        </is>
      </c>
      <c r="C18125">
        <f>ROMAN(18124)</f>
        <v/>
      </c>
      <c r="D18125">
        <f>IF(B18125=C18125, "YES", "WRONG")</f>
        <v/>
      </c>
    </row>
    <row r="18126">
      <c r="A18126" t="n">
        <v>18125</v>
      </c>
      <c r="B18126" t="inlineStr">
        <is>
          <t>x̄V̅MMMCXXV</t>
        </is>
      </c>
      <c r="C18126">
        <f>ROMAN(18125)</f>
        <v/>
      </c>
      <c r="D18126">
        <f>IF(B18126=C18126, "YES", "WRONG")</f>
        <v/>
      </c>
    </row>
    <row r="18127">
      <c r="A18127" t="n">
        <v>18126</v>
      </c>
      <c r="B18127" t="inlineStr">
        <is>
          <t>x̄V̅MMMCXXVI</t>
        </is>
      </c>
      <c r="C18127">
        <f>ROMAN(18126)</f>
        <v/>
      </c>
      <c r="D18127">
        <f>IF(B18127=C18127, "YES", "WRONG")</f>
        <v/>
      </c>
    </row>
    <row r="18128">
      <c r="A18128" t="n">
        <v>18127</v>
      </c>
      <c r="B18128" t="inlineStr">
        <is>
          <t>x̄V̅MMMCXXVII</t>
        </is>
      </c>
      <c r="C18128">
        <f>ROMAN(18127)</f>
        <v/>
      </c>
      <c r="D18128">
        <f>IF(B18128=C18128, "YES", "WRONG")</f>
        <v/>
      </c>
    </row>
    <row r="18129">
      <c r="A18129" t="n">
        <v>18128</v>
      </c>
      <c r="B18129" t="inlineStr">
        <is>
          <t>x̄V̅MMMCXXVIII</t>
        </is>
      </c>
      <c r="C18129">
        <f>ROMAN(18128)</f>
        <v/>
      </c>
      <c r="D18129">
        <f>IF(B18129=C18129, "YES", "WRONG")</f>
        <v/>
      </c>
    </row>
    <row r="18130">
      <c r="A18130" t="n">
        <v>18129</v>
      </c>
      <c r="B18130" t="inlineStr">
        <is>
          <t>x̄V̅MMMCXXIX</t>
        </is>
      </c>
      <c r="C18130">
        <f>ROMAN(18129)</f>
        <v/>
      </c>
      <c r="D18130">
        <f>IF(B18130=C18130, "YES", "WRONG")</f>
        <v/>
      </c>
    </row>
    <row r="18131">
      <c r="A18131" t="n">
        <v>18130</v>
      </c>
      <c r="B18131" t="inlineStr">
        <is>
          <t>x̄V̅MMMCXXX</t>
        </is>
      </c>
      <c r="C18131">
        <f>ROMAN(18130)</f>
        <v/>
      </c>
      <c r="D18131">
        <f>IF(B18131=C18131, "YES", "WRONG")</f>
        <v/>
      </c>
    </row>
    <row r="18132">
      <c r="A18132" t="n">
        <v>18131</v>
      </c>
      <c r="B18132" t="inlineStr">
        <is>
          <t>x̄V̅MMMCXXXI</t>
        </is>
      </c>
      <c r="C18132">
        <f>ROMAN(18131)</f>
        <v/>
      </c>
      <c r="D18132">
        <f>IF(B18132=C18132, "YES", "WRONG")</f>
        <v/>
      </c>
    </row>
    <row r="18133">
      <c r="A18133" t="n">
        <v>18132</v>
      </c>
      <c r="B18133" t="inlineStr">
        <is>
          <t>x̄V̅MMMCXXXII</t>
        </is>
      </c>
      <c r="C18133">
        <f>ROMAN(18132)</f>
        <v/>
      </c>
      <c r="D18133">
        <f>IF(B18133=C18133, "YES", "WRONG")</f>
        <v/>
      </c>
    </row>
    <row r="18134">
      <c r="A18134" t="n">
        <v>18133</v>
      </c>
      <c r="B18134" t="inlineStr">
        <is>
          <t>x̄V̅MMMCXXXIII</t>
        </is>
      </c>
      <c r="C18134">
        <f>ROMAN(18133)</f>
        <v/>
      </c>
      <c r="D18134">
        <f>IF(B18134=C18134, "YES", "WRONG")</f>
        <v/>
      </c>
    </row>
    <row r="18135">
      <c r="A18135" t="n">
        <v>18134</v>
      </c>
      <c r="B18135" t="inlineStr">
        <is>
          <t>x̄V̅MMMCXXXIV</t>
        </is>
      </c>
      <c r="C18135">
        <f>ROMAN(18134)</f>
        <v/>
      </c>
      <c r="D18135">
        <f>IF(B18135=C18135, "YES", "WRONG")</f>
        <v/>
      </c>
    </row>
    <row r="18136">
      <c r="A18136" t="n">
        <v>18135</v>
      </c>
      <c r="B18136" t="inlineStr">
        <is>
          <t>x̄V̅MMMCXXXV</t>
        </is>
      </c>
      <c r="C18136">
        <f>ROMAN(18135)</f>
        <v/>
      </c>
      <c r="D18136">
        <f>IF(B18136=C18136, "YES", "WRONG")</f>
        <v/>
      </c>
    </row>
    <row r="18137">
      <c r="A18137" t="n">
        <v>18136</v>
      </c>
      <c r="B18137" t="inlineStr">
        <is>
          <t>x̄V̅MMMCXXXVI</t>
        </is>
      </c>
      <c r="C18137">
        <f>ROMAN(18136)</f>
        <v/>
      </c>
      <c r="D18137">
        <f>IF(B18137=C18137, "YES", "WRONG")</f>
        <v/>
      </c>
    </row>
    <row r="18138">
      <c r="A18138" t="n">
        <v>18137</v>
      </c>
      <c r="B18138" t="inlineStr">
        <is>
          <t>x̄V̅MMMCXXXVII</t>
        </is>
      </c>
      <c r="C18138">
        <f>ROMAN(18137)</f>
        <v/>
      </c>
      <c r="D18138">
        <f>IF(B18138=C18138, "YES", "WRONG")</f>
        <v/>
      </c>
    </row>
    <row r="18139">
      <c r="A18139" t="n">
        <v>18138</v>
      </c>
      <c r="B18139" t="inlineStr">
        <is>
          <t>x̄V̅MMMCXXXVIII</t>
        </is>
      </c>
      <c r="C18139">
        <f>ROMAN(18138)</f>
        <v/>
      </c>
      <c r="D18139">
        <f>IF(B18139=C18139, "YES", "WRONG")</f>
        <v/>
      </c>
    </row>
    <row r="18140">
      <c r="A18140" t="n">
        <v>18139</v>
      </c>
      <c r="B18140" t="inlineStr">
        <is>
          <t>x̄V̅MMMCXXXIX</t>
        </is>
      </c>
      <c r="C18140">
        <f>ROMAN(18139)</f>
        <v/>
      </c>
      <c r="D18140">
        <f>IF(B18140=C18140, "YES", "WRONG")</f>
        <v/>
      </c>
    </row>
    <row r="18141">
      <c r="A18141" t="n">
        <v>18140</v>
      </c>
      <c r="B18141" t="inlineStr">
        <is>
          <t>x̄V̅MMMCXL</t>
        </is>
      </c>
      <c r="C18141">
        <f>ROMAN(18140)</f>
        <v/>
      </c>
      <c r="D18141">
        <f>IF(B18141=C18141, "YES", "WRONG")</f>
        <v/>
      </c>
    </row>
    <row r="18142">
      <c r="A18142" t="n">
        <v>18141</v>
      </c>
      <c r="B18142" t="inlineStr">
        <is>
          <t>x̄V̅MMMCXLI</t>
        </is>
      </c>
      <c r="C18142">
        <f>ROMAN(18141)</f>
        <v/>
      </c>
      <c r="D18142">
        <f>IF(B18142=C18142, "YES", "WRONG")</f>
        <v/>
      </c>
    </row>
    <row r="18143">
      <c r="A18143" t="n">
        <v>18142</v>
      </c>
      <c r="B18143" t="inlineStr">
        <is>
          <t>x̄V̅MMMCXLII</t>
        </is>
      </c>
      <c r="C18143">
        <f>ROMAN(18142)</f>
        <v/>
      </c>
      <c r="D18143">
        <f>IF(B18143=C18143, "YES", "WRONG")</f>
        <v/>
      </c>
    </row>
    <row r="18144">
      <c r="A18144" t="n">
        <v>18143</v>
      </c>
      <c r="B18144" t="inlineStr">
        <is>
          <t>x̄V̅MMMCXLIII</t>
        </is>
      </c>
      <c r="C18144">
        <f>ROMAN(18143)</f>
        <v/>
      </c>
      <c r="D18144">
        <f>IF(B18144=C18144, "YES", "WRONG")</f>
        <v/>
      </c>
    </row>
    <row r="18145">
      <c r="A18145" t="n">
        <v>18144</v>
      </c>
      <c r="B18145" t="inlineStr">
        <is>
          <t>x̄V̅MMMCXLIV</t>
        </is>
      </c>
      <c r="C18145">
        <f>ROMAN(18144)</f>
        <v/>
      </c>
      <c r="D18145">
        <f>IF(B18145=C18145, "YES", "WRONG")</f>
        <v/>
      </c>
    </row>
    <row r="18146">
      <c r="A18146" t="n">
        <v>18145</v>
      </c>
      <c r="B18146" t="inlineStr">
        <is>
          <t>x̄V̅MMMCXLV</t>
        </is>
      </c>
      <c r="C18146">
        <f>ROMAN(18145)</f>
        <v/>
      </c>
      <c r="D18146">
        <f>IF(B18146=C18146, "YES", "WRONG")</f>
        <v/>
      </c>
    </row>
    <row r="18147">
      <c r="A18147" t="n">
        <v>18146</v>
      </c>
      <c r="B18147" t="inlineStr">
        <is>
          <t>x̄V̅MMMCXLVI</t>
        </is>
      </c>
      <c r="C18147">
        <f>ROMAN(18146)</f>
        <v/>
      </c>
      <c r="D18147">
        <f>IF(B18147=C18147, "YES", "WRONG")</f>
        <v/>
      </c>
    </row>
    <row r="18148">
      <c r="A18148" t="n">
        <v>18147</v>
      </c>
      <c r="B18148" t="inlineStr">
        <is>
          <t>x̄V̅MMMCXLVII</t>
        </is>
      </c>
      <c r="C18148">
        <f>ROMAN(18147)</f>
        <v/>
      </c>
      <c r="D18148">
        <f>IF(B18148=C18148, "YES", "WRONG")</f>
        <v/>
      </c>
    </row>
    <row r="18149">
      <c r="A18149" t="n">
        <v>18148</v>
      </c>
      <c r="B18149" t="inlineStr">
        <is>
          <t>x̄V̅MMMCXLVIII</t>
        </is>
      </c>
      <c r="C18149">
        <f>ROMAN(18148)</f>
        <v/>
      </c>
      <c r="D18149">
        <f>IF(B18149=C18149, "YES", "WRONG")</f>
        <v/>
      </c>
    </row>
    <row r="18150">
      <c r="A18150" t="n">
        <v>18149</v>
      </c>
      <c r="B18150" t="inlineStr">
        <is>
          <t>x̄V̅MMMCXLIX</t>
        </is>
      </c>
      <c r="C18150">
        <f>ROMAN(18149)</f>
        <v/>
      </c>
      <c r="D18150">
        <f>IF(B18150=C18150, "YES", "WRONG")</f>
        <v/>
      </c>
    </row>
    <row r="18151">
      <c r="A18151" t="n">
        <v>18150</v>
      </c>
      <c r="B18151" t="inlineStr">
        <is>
          <t>x̄V̅MMMCL</t>
        </is>
      </c>
      <c r="C18151">
        <f>ROMAN(18150)</f>
        <v/>
      </c>
      <c r="D18151">
        <f>IF(B18151=C18151, "YES", "WRONG")</f>
        <v/>
      </c>
    </row>
    <row r="18152">
      <c r="A18152" t="n">
        <v>18151</v>
      </c>
      <c r="B18152" t="inlineStr">
        <is>
          <t>x̄V̅MMMCLI</t>
        </is>
      </c>
      <c r="C18152">
        <f>ROMAN(18151)</f>
        <v/>
      </c>
      <c r="D18152">
        <f>IF(B18152=C18152, "YES", "WRONG")</f>
        <v/>
      </c>
    </row>
    <row r="18153">
      <c r="A18153" t="n">
        <v>18152</v>
      </c>
      <c r="B18153" t="inlineStr">
        <is>
          <t>x̄V̅MMMCLII</t>
        </is>
      </c>
      <c r="C18153">
        <f>ROMAN(18152)</f>
        <v/>
      </c>
      <c r="D18153">
        <f>IF(B18153=C18153, "YES", "WRONG")</f>
        <v/>
      </c>
    </row>
    <row r="18154">
      <c r="A18154" t="n">
        <v>18153</v>
      </c>
      <c r="B18154" t="inlineStr">
        <is>
          <t>x̄V̅MMMCLIII</t>
        </is>
      </c>
      <c r="C18154">
        <f>ROMAN(18153)</f>
        <v/>
      </c>
      <c r="D18154">
        <f>IF(B18154=C18154, "YES", "WRONG")</f>
        <v/>
      </c>
    </row>
    <row r="18155">
      <c r="A18155" t="n">
        <v>18154</v>
      </c>
      <c r="B18155" t="inlineStr">
        <is>
          <t>x̄V̅MMMCLIV</t>
        </is>
      </c>
      <c r="C18155">
        <f>ROMAN(18154)</f>
        <v/>
      </c>
      <c r="D18155">
        <f>IF(B18155=C18155, "YES", "WRONG")</f>
        <v/>
      </c>
    </row>
    <row r="18156">
      <c r="A18156" t="n">
        <v>18155</v>
      </c>
      <c r="B18156" t="inlineStr">
        <is>
          <t>x̄V̅MMMCLV</t>
        </is>
      </c>
      <c r="C18156">
        <f>ROMAN(18155)</f>
        <v/>
      </c>
      <c r="D18156">
        <f>IF(B18156=C18156, "YES", "WRONG")</f>
        <v/>
      </c>
    </row>
    <row r="18157">
      <c r="A18157" t="n">
        <v>18156</v>
      </c>
      <c r="B18157" t="inlineStr">
        <is>
          <t>x̄V̅MMMCLVI</t>
        </is>
      </c>
      <c r="C18157">
        <f>ROMAN(18156)</f>
        <v/>
      </c>
      <c r="D18157">
        <f>IF(B18157=C18157, "YES", "WRONG")</f>
        <v/>
      </c>
    </row>
    <row r="18158">
      <c r="A18158" t="n">
        <v>18157</v>
      </c>
      <c r="B18158" t="inlineStr">
        <is>
          <t>x̄V̅MMMCLVII</t>
        </is>
      </c>
      <c r="C18158">
        <f>ROMAN(18157)</f>
        <v/>
      </c>
      <c r="D18158">
        <f>IF(B18158=C18158, "YES", "WRONG")</f>
        <v/>
      </c>
    </row>
    <row r="18159">
      <c r="A18159" t="n">
        <v>18158</v>
      </c>
      <c r="B18159" t="inlineStr">
        <is>
          <t>x̄V̅MMMCLVIII</t>
        </is>
      </c>
      <c r="C18159">
        <f>ROMAN(18158)</f>
        <v/>
      </c>
      <c r="D18159">
        <f>IF(B18159=C18159, "YES", "WRONG")</f>
        <v/>
      </c>
    </row>
    <row r="18160">
      <c r="A18160" t="n">
        <v>18159</v>
      </c>
      <c r="B18160" t="inlineStr">
        <is>
          <t>x̄V̅MMMCLIX</t>
        </is>
      </c>
      <c r="C18160">
        <f>ROMAN(18159)</f>
        <v/>
      </c>
      <c r="D18160">
        <f>IF(B18160=C18160, "YES", "WRONG")</f>
        <v/>
      </c>
    </row>
    <row r="18161">
      <c r="A18161" t="n">
        <v>18160</v>
      </c>
      <c r="B18161" t="inlineStr">
        <is>
          <t>x̄V̅MMMCLX</t>
        </is>
      </c>
      <c r="C18161">
        <f>ROMAN(18160)</f>
        <v/>
      </c>
      <c r="D18161">
        <f>IF(B18161=C18161, "YES", "WRONG")</f>
        <v/>
      </c>
    </row>
    <row r="18162">
      <c r="A18162" t="n">
        <v>18161</v>
      </c>
      <c r="B18162" t="inlineStr">
        <is>
          <t>x̄V̅MMMCLXI</t>
        </is>
      </c>
      <c r="C18162">
        <f>ROMAN(18161)</f>
        <v/>
      </c>
      <c r="D18162">
        <f>IF(B18162=C18162, "YES", "WRONG")</f>
        <v/>
      </c>
    </row>
    <row r="18163">
      <c r="A18163" t="n">
        <v>18162</v>
      </c>
      <c r="B18163" t="inlineStr">
        <is>
          <t>x̄V̅MMMCLXII</t>
        </is>
      </c>
      <c r="C18163">
        <f>ROMAN(18162)</f>
        <v/>
      </c>
      <c r="D18163">
        <f>IF(B18163=C18163, "YES", "WRONG")</f>
        <v/>
      </c>
    </row>
    <row r="18164">
      <c r="A18164" t="n">
        <v>18163</v>
      </c>
      <c r="B18164" t="inlineStr">
        <is>
          <t>x̄V̅MMMCLXIII</t>
        </is>
      </c>
      <c r="C18164">
        <f>ROMAN(18163)</f>
        <v/>
      </c>
      <c r="D18164">
        <f>IF(B18164=C18164, "YES", "WRONG")</f>
        <v/>
      </c>
    </row>
    <row r="18165">
      <c r="A18165" t="n">
        <v>18164</v>
      </c>
      <c r="B18165" t="inlineStr">
        <is>
          <t>x̄V̅MMMCLXIV</t>
        </is>
      </c>
      <c r="C18165">
        <f>ROMAN(18164)</f>
        <v/>
      </c>
      <c r="D18165">
        <f>IF(B18165=C18165, "YES", "WRONG")</f>
        <v/>
      </c>
    </row>
    <row r="18166">
      <c r="A18166" t="n">
        <v>18165</v>
      </c>
      <c r="B18166" t="inlineStr">
        <is>
          <t>x̄V̅MMMCLXV</t>
        </is>
      </c>
      <c r="C18166">
        <f>ROMAN(18165)</f>
        <v/>
      </c>
      <c r="D18166">
        <f>IF(B18166=C18166, "YES", "WRONG")</f>
        <v/>
      </c>
    </row>
    <row r="18167">
      <c r="A18167" t="n">
        <v>18166</v>
      </c>
      <c r="B18167" t="inlineStr">
        <is>
          <t>x̄V̅MMMCLXVI</t>
        </is>
      </c>
      <c r="C18167">
        <f>ROMAN(18166)</f>
        <v/>
      </c>
      <c r="D18167">
        <f>IF(B18167=C18167, "YES", "WRONG")</f>
        <v/>
      </c>
    </row>
    <row r="18168">
      <c r="A18168" t="n">
        <v>18167</v>
      </c>
      <c r="B18168" t="inlineStr">
        <is>
          <t>x̄V̅MMMCLXVII</t>
        </is>
      </c>
      <c r="C18168">
        <f>ROMAN(18167)</f>
        <v/>
      </c>
      <c r="D18168">
        <f>IF(B18168=C18168, "YES", "WRONG")</f>
        <v/>
      </c>
    </row>
    <row r="18169">
      <c r="A18169" t="n">
        <v>18168</v>
      </c>
      <c r="B18169" t="inlineStr">
        <is>
          <t>x̄V̅MMMCLXVIII</t>
        </is>
      </c>
      <c r="C18169">
        <f>ROMAN(18168)</f>
        <v/>
      </c>
      <c r="D18169">
        <f>IF(B18169=C18169, "YES", "WRONG")</f>
        <v/>
      </c>
    </row>
    <row r="18170">
      <c r="A18170" t="n">
        <v>18169</v>
      </c>
      <c r="B18170" t="inlineStr">
        <is>
          <t>x̄V̅MMMCLXIX</t>
        </is>
      </c>
      <c r="C18170">
        <f>ROMAN(18169)</f>
        <v/>
      </c>
      <c r="D18170">
        <f>IF(B18170=C18170, "YES", "WRONG")</f>
        <v/>
      </c>
    </row>
    <row r="18171">
      <c r="A18171" t="n">
        <v>18170</v>
      </c>
      <c r="B18171" t="inlineStr">
        <is>
          <t>x̄V̅MMMCLXX</t>
        </is>
      </c>
      <c r="C18171">
        <f>ROMAN(18170)</f>
        <v/>
      </c>
      <c r="D18171">
        <f>IF(B18171=C18171, "YES", "WRONG")</f>
        <v/>
      </c>
    </row>
    <row r="18172">
      <c r="A18172" t="n">
        <v>18171</v>
      </c>
      <c r="B18172" t="inlineStr">
        <is>
          <t>x̄V̅MMMCLXXI</t>
        </is>
      </c>
      <c r="C18172">
        <f>ROMAN(18171)</f>
        <v/>
      </c>
      <c r="D18172">
        <f>IF(B18172=C18172, "YES", "WRONG")</f>
        <v/>
      </c>
    </row>
    <row r="18173">
      <c r="A18173" t="n">
        <v>18172</v>
      </c>
      <c r="B18173" t="inlineStr">
        <is>
          <t>x̄V̅MMMCLXXII</t>
        </is>
      </c>
      <c r="C18173">
        <f>ROMAN(18172)</f>
        <v/>
      </c>
      <c r="D18173">
        <f>IF(B18173=C18173, "YES", "WRONG")</f>
        <v/>
      </c>
    </row>
    <row r="18174">
      <c r="A18174" t="n">
        <v>18173</v>
      </c>
      <c r="B18174" t="inlineStr">
        <is>
          <t>x̄V̅MMMCLXXIII</t>
        </is>
      </c>
      <c r="C18174">
        <f>ROMAN(18173)</f>
        <v/>
      </c>
      <c r="D18174">
        <f>IF(B18174=C18174, "YES", "WRONG")</f>
        <v/>
      </c>
    </row>
    <row r="18175">
      <c r="A18175" t="n">
        <v>18174</v>
      </c>
      <c r="B18175" t="inlineStr">
        <is>
          <t>x̄V̅MMMCLXXIV</t>
        </is>
      </c>
      <c r="C18175">
        <f>ROMAN(18174)</f>
        <v/>
      </c>
      <c r="D18175">
        <f>IF(B18175=C18175, "YES", "WRONG")</f>
        <v/>
      </c>
    </row>
    <row r="18176">
      <c r="A18176" t="n">
        <v>18175</v>
      </c>
      <c r="B18176" t="inlineStr">
        <is>
          <t>x̄V̅MMMCLXXV</t>
        </is>
      </c>
      <c r="C18176">
        <f>ROMAN(18175)</f>
        <v/>
      </c>
      <c r="D18176">
        <f>IF(B18176=C18176, "YES", "WRONG")</f>
        <v/>
      </c>
    </row>
    <row r="18177">
      <c r="A18177" t="n">
        <v>18176</v>
      </c>
      <c r="B18177" t="inlineStr">
        <is>
          <t>x̄V̅MMMCLXXVI</t>
        </is>
      </c>
      <c r="C18177">
        <f>ROMAN(18176)</f>
        <v/>
      </c>
      <c r="D18177">
        <f>IF(B18177=C18177, "YES", "WRONG")</f>
        <v/>
      </c>
    </row>
    <row r="18178">
      <c r="A18178" t="n">
        <v>18177</v>
      </c>
      <c r="B18178" t="inlineStr">
        <is>
          <t>x̄V̅MMMCLXXVII</t>
        </is>
      </c>
      <c r="C18178">
        <f>ROMAN(18177)</f>
        <v/>
      </c>
      <c r="D18178">
        <f>IF(B18178=C18178, "YES", "WRONG")</f>
        <v/>
      </c>
    </row>
    <row r="18179">
      <c r="A18179" t="n">
        <v>18178</v>
      </c>
      <c r="B18179" t="inlineStr">
        <is>
          <t>x̄V̅MMMCLXXVIII</t>
        </is>
      </c>
      <c r="C18179">
        <f>ROMAN(18178)</f>
        <v/>
      </c>
      <c r="D18179">
        <f>IF(B18179=C18179, "YES", "WRONG")</f>
        <v/>
      </c>
    </row>
    <row r="18180">
      <c r="A18180" t="n">
        <v>18179</v>
      </c>
      <c r="B18180" t="inlineStr">
        <is>
          <t>x̄V̅MMMCLXXIX</t>
        </is>
      </c>
      <c r="C18180">
        <f>ROMAN(18179)</f>
        <v/>
      </c>
      <c r="D18180">
        <f>IF(B18180=C18180, "YES", "WRONG")</f>
        <v/>
      </c>
    </row>
    <row r="18181">
      <c r="A18181" t="n">
        <v>18180</v>
      </c>
      <c r="B18181" t="inlineStr">
        <is>
          <t>x̄V̅MMMCLXXX</t>
        </is>
      </c>
      <c r="C18181">
        <f>ROMAN(18180)</f>
        <v/>
      </c>
      <c r="D18181">
        <f>IF(B18181=C18181, "YES", "WRONG")</f>
        <v/>
      </c>
    </row>
    <row r="18182">
      <c r="A18182" t="n">
        <v>18181</v>
      </c>
      <c r="B18182" t="inlineStr">
        <is>
          <t>x̄V̅MMMCLXXXI</t>
        </is>
      </c>
      <c r="C18182">
        <f>ROMAN(18181)</f>
        <v/>
      </c>
      <c r="D18182">
        <f>IF(B18182=C18182, "YES", "WRONG")</f>
        <v/>
      </c>
    </row>
    <row r="18183">
      <c r="A18183" t="n">
        <v>18182</v>
      </c>
      <c r="B18183" t="inlineStr">
        <is>
          <t>x̄V̅MMMCLXXXII</t>
        </is>
      </c>
      <c r="C18183">
        <f>ROMAN(18182)</f>
        <v/>
      </c>
      <c r="D18183">
        <f>IF(B18183=C18183, "YES", "WRONG")</f>
        <v/>
      </c>
    </row>
    <row r="18184">
      <c r="A18184" t="n">
        <v>18183</v>
      </c>
      <c r="B18184" t="inlineStr">
        <is>
          <t>x̄V̅MMMCLXXXIII</t>
        </is>
      </c>
      <c r="C18184">
        <f>ROMAN(18183)</f>
        <v/>
      </c>
      <c r="D18184">
        <f>IF(B18184=C18184, "YES", "WRONG")</f>
        <v/>
      </c>
    </row>
    <row r="18185">
      <c r="A18185" t="n">
        <v>18184</v>
      </c>
      <c r="B18185" t="inlineStr">
        <is>
          <t>x̄V̅MMMCLXXXIV</t>
        </is>
      </c>
      <c r="C18185">
        <f>ROMAN(18184)</f>
        <v/>
      </c>
      <c r="D18185">
        <f>IF(B18185=C18185, "YES", "WRONG")</f>
        <v/>
      </c>
    </row>
    <row r="18186">
      <c r="A18186" t="n">
        <v>18185</v>
      </c>
      <c r="B18186" t="inlineStr">
        <is>
          <t>x̄V̅MMMCLXXXV</t>
        </is>
      </c>
      <c r="C18186">
        <f>ROMAN(18185)</f>
        <v/>
      </c>
      <c r="D18186">
        <f>IF(B18186=C18186, "YES", "WRONG")</f>
        <v/>
      </c>
    </row>
    <row r="18187">
      <c r="A18187" t="n">
        <v>18186</v>
      </c>
      <c r="B18187" t="inlineStr">
        <is>
          <t>x̄V̅MMMCLXXXVI</t>
        </is>
      </c>
      <c r="C18187">
        <f>ROMAN(18186)</f>
        <v/>
      </c>
      <c r="D18187">
        <f>IF(B18187=C18187, "YES", "WRONG")</f>
        <v/>
      </c>
    </row>
    <row r="18188">
      <c r="A18188" t="n">
        <v>18187</v>
      </c>
      <c r="B18188" t="inlineStr">
        <is>
          <t>x̄V̅MMMCLXXXVII</t>
        </is>
      </c>
      <c r="C18188">
        <f>ROMAN(18187)</f>
        <v/>
      </c>
      <c r="D18188">
        <f>IF(B18188=C18188, "YES", "WRONG")</f>
        <v/>
      </c>
    </row>
    <row r="18189">
      <c r="A18189" t="n">
        <v>18188</v>
      </c>
      <c r="B18189" t="inlineStr">
        <is>
          <t>x̄V̅MMMCLXXXVIII</t>
        </is>
      </c>
      <c r="C18189">
        <f>ROMAN(18188)</f>
        <v/>
      </c>
      <c r="D18189">
        <f>IF(B18189=C18189, "YES", "WRONG")</f>
        <v/>
      </c>
    </row>
    <row r="18190">
      <c r="A18190" t="n">
        <v>18189</v>
      </c>
      <c r="B18190" t="inlineStr">
        <is>
          <t>x̄V̅MMMCLXXXIX</t>
        </is>
      </c>
      <c r="C18190">
        <f>ROMAN(18189)</f>
        <v/>
      </c>
      <c r="D18190">
        <f>IF(B18190=C18190, "YES", "WRONG")</f>
        <v/>
      </c>
    </row>
    <row r="18191">
      <c r="A18191" t="n">
        <v>18190</v>
      </c>
      <c r="B18191" t="inlineStr">
        <is>
          <t>x̄V̅MMMCXC</t>
        </is>
      </c>
      <c r="C18191">
        <f>ROMAN(18190)</f>
        <v/>
      </c>
      <c r="D18191">
        <f>IF(B18191=C18191, "YES", "WRONG")</f>
        <v/>
      </c>
    </row>
    <row r="18192">
      <c r="A18192" t="n">
        <v>18191</v>
      </c>
      <c r="B18192" t="inlineStr">
        <is>
          <t>x̄V̅MMMCXCI</t>
        </is>
      </c>
      <c r="C18192">
        <f>ROMAN(18191)</f>
        <v/>
      </c>
      <c r="D18192">
        <f>IF(B18192=C18192, "YES", "WRONG")</f>
        <v/>
      </c>
    </row>
    <row r="18193">
      <c r="A18193" t="n">
        <v>18192</v>
      </c>
      <c r="B18193" t="inlineStr">
        <is>
          <t>x̄V̅MMMCXCII</t>
        </is>
      </c>
      <c r="C18193">
        <f>ROMAN(18192)</f>
        <v/>
      </c>
      <c r="D18193">
        <f>IF(B18193=C18193, "YES", "WRONG")</f>
        <v/>
      </c>
    </row>
    <row r="18194">
      <c r="A18194" t="n">
        <v>18193</v>
      </c>
      <c r="B18194" t="inlineStr">
        <is>
          <t>x̄V̅MMMCXCIII</t>
        </is>
      </c>
      <c r="C18194">
        <f>ROMAN(18193)</f>
        <v/>
      </c>
      <c r="D18194">
        <f>IF(B18194=C18194, "YES", "WRONG")</f>
        <v/>
      </c>
    </row>
    <row r="18195">
      <c r="A18195" t="n">
        <v>18194</v>
      </c>
      <c r="B18195" t="inlineStr">
        <is>
          <t>x̄V̅MMMCXCIV</t>
        </is>
      </c>
      <c r="C18195">
        <f>ROMAN(18194)</f>
        <v/>
      </c>
      <c r="D18195">
        <f>IF(B18195=C18195, "YES", "WRONG")</f>
        <v/>
      </c>
    </row>
    <row r="18196">
      <c r="A18196" t="n">
        <v>18195</v>
      </c>
      <c r="B18196" t="inlineStr">
        <is>
          <t>x̄V̅MMMCXCV</t>
        </is>
      </c>
      <c r="C18196">
        <f>ROMAN(18195)</f>
        <v/>
      </c>
      <c r="D18196">
        <f>IF(B18196=C18196, "YES", "WRONG")</f>
        <v/>
      </c>
    </row>
    <row r="18197">
      <c r="A18197" t="n">
        <v>18196</v>
      </c>
      <c r="B18197" t="inlineStr">
        <is>
          <t>x̄V̅MMMCXCVI</t>
        </is>
      </c>
      <c r="C18197">
        <f>ROMAN(18196)</f>
        <v/>
      </c>
      <c r="D18197">
        <f>IF(B18197=C18197, "YES", "WRONG")</f>
        <v/>
      </c>
    </row>
    <row r="18198">
      <c r="A18198" t="n">
        <v>18197</v>
      </c>
      <c r="B18198" t="inlineStr">
        <is>
          <t>x̄V̅MMMCXCVII</t>
        </is>
      </c>
      <c r="C18198">
        <f>ROMAN(18197)</f>
        <v/>
      </c>
      <c r="D18198">
        <f>IF(B18198=C18198, "YES", "WRONG")</f>
        <v/>
      </c>
    </row>
    <row r="18199">
      <c r="A18199" t="n">
        <v>18198</v>
      </c>
      <c r="B18199" t="inlineStr">
        <is>
          <t>x̄V̅MMMCXCVIII</t>
        </is>
      </c>
      <c r="C18199">
        <f>ROMAN(18198)</f>
        <v/>
      </c>
      <c r="D18199">
        <f>IF(B18199=C18199, "YES", "WRONG")</f>
        <v/>
      </c>
    </row>
    <row r="18200">
      <c r="A18200" t="n">
        <v>18199</v>
      </c>
      <c r="B18200" t="inlineStr">
        <is>
          <t>x̄V̅MMMCXCIX</t>
        </is>
      </c>
      <c r="C18200">
        <f>ROMAN(18199)</f>
        <v/>
      </c>
      <c r="D18200">
        <f>IF(B18200=C18200, "YES", "WRONG")</f>
        <v/>
      </c>
    </row>
    <row r="18201">
      <c r="A18201" t="n">
        <v>18200</v>
      </c>
      <c r="B18201" t="inlineStr">
        <is>
          <t>x̄V̅MMMCC</t>
        </is>
      </c>
      <c r="C18201">
        <f>ROMAN(18200)</f>
        <v/>
      </c>
      <c r="D18201">
        <f>IF(B18201=C18201, "YES", "WRONG")</f>
        <v/>
      </c>
    </row>
    <row r="18202">
      <c r="A18202" t="n">
        <v>18201</v>
      </c>
      <c r="B18202" t="inlineStr">
        <is>
          <t>x̄V̅MMMCCI</t>
        </is>
      </c>
      <c r="C18202">
        <f>ROMAN(18201)</f>
        <v/>
      </c>
      <c r="D18202">
        <f>IF(B18202=C18202, "YES", "WRONG")</f>
        <v/>
      </c>
    </row>
    <row r="18203">
      <c r="A18203" t="n">
        <v>18202</v>
      </c>
      <c r="B18203" t="inlineStr">
        <is>
          <t>x̄V̅MMMCCII</t>
        </is>
      </c>
      <c r="C18203">
        <f>ROMAN(18202)</f>
        <v/>
      </c>
      <c r="D18203">
        <f>IF(B18203=C18203, "YES", "WRONG")</f>
        <v/>
      </c>
    </row>
    <row r="18204">
      <c r="A18204" t="n">
        <v>18203</v>
      </c>
      <c r="B18204" t="inlineStr">
        <is>
          <t>x̄V̅MMMCCIII</t>
        </is>
      </c>
      <c r="C18204">
        <f>ROMAN(18203)</f>
        <v/>
      </c>
      <c r="D18204">
        <f>IF(B18204=C18204, "YES", "WRONG")</f>
        <v/>
      </c>
    </row>
    <row r="18205">
      <c r="A18205" t="n">
        <v>18204</v>
      </c>
      <c r="B18205" t="inlineStr">
        <is>
          <t>x̄V̅MMMCCIV</t>
        </is>
      </c>
      <c r="C18205">
        <f>ROMAN(18204)</f>
        <v/>
      </c>
      <c r="D18205">
        <f>IF(B18205=C18205, "YES", "WRONG")</f>
        <v/>
      </c>
    </row>
    <row r="18206">
      <c r="A18206" t="n">
        <v>18205</v>
      </c>
      <c r="B18206" t="inlineStr">
        <is>
          <t>x̄V̅MMMCCV</t>
        </is>
      </c>
      <c r="C18206">
        <f>ROMAN(18205)</f>
        <v/>
      </c>
      <c r="D18206">
        <f>IF(B18206=C18206, "YES", "WRONG")</f>
        <v/>
      </c>
    </row>
    <row r="18207">
      <c r="A18207" t="n">
        <v>18206</v>
      </c>
      <c r="B18207" t="inlineStr">
        <is>
          <t>x̄V̅MMMCCVI</t>
        </is>
      </c>
      <c r="C18207">
        <f>ROMAN(18206)</f>
        <v/>
      </c>
      <c r="D18207">
        <f>IF(B18207=C18207, "YES", "WRONG")</f>
        <v/>
      </c>
    </row>
    <row r="18208">
      <c r="A18208" t="n">
        <v>18207</v>
      </c>
      <c r="B18208" t="inlineStr">
        <is>
          <t>x̄V̅MMMCCVII</t>
        </is>
      </c>
      <c r="C18208">
        <f>ROMAN(18207)</f>
        <v/>
      </c>
      <c r="D18208">
        <f>IF(B18208=C18208, "YES", "WRONG")</f>
        <v/>
      </c>
    </row>
    <row r="18209">
      <c r="A18209" t="n">
        <v>18208</v>
      </c>
      <c r="B18209" t="inlineStr">
        <is>
          <t>x̄V̅MMMCCVIII</t>
        </is>
      </c>
      <c r="C18209">
        <f>ROMAN(18208)</f>
        <v/>
      </c>
      <c r="D18209">
        <f>IF(B18209=C18209, "YES", "WRONG")</f>
        <v/>
      </c>
    </row>
    <row r="18210">
      <c r="A18210" t="n">
        <v>18209</v>
      </c>
      <c r="B18210" t="inlineStr">
        <is>
          <t>x̄V̅MMMCCIX</t>
        </is>
      </c>
      <c r="C18210">
        <f>ROMAN(18209)</f>
        <v/>
      </c>
      <c r="D18210">
        <f>IF(B18210=C18210, "YES", "WRONG")</f>
        <v/>
      </c>
    </row>
    <row r="18211">
      <c r="A18211" t="n">
        <v>18210</v>
      </c>
      <c r="B18211" t="inlineStr">
        <is>
          <t>x̄V̅MMMCCX</t>
        </is>
      </c>
      <c r="C18211">
        <f>ROMAN(18210)</f>
        <v/>
      </c>
      <c r="D18211">
        <f>IF(B18211=C18211, "YES", "WRONG")</f>
        <v/>
      </c>
    </row>
    <row r="18212">
      <c r="A18212" t="n">
        <v>18211</v>
      </c>
      <c r="B18212" t="inlineStr">
        <is>
          <t>x̄V̅MMMCCXI</t>
        </is>
      </c>
      <c r="C18212">
        <f>ROMAN(18211)</f>
        <v/>
      </c>
      <c r="D18212">
        <f>IF(B18212=C18212, "YES", "WRONG")</f>
        <v/>
      </c>
    </row>
    <row r="18213">
      <c r="A18213" t="n">
        <v>18212</v>
      </c>
      <c r="B18213" t="inlineStr">
        <is>
          <t>x̄V̅MMMCCXII</t>
        </is>
      </c>
      <c r="C18213">
        <f>ROMAN(18212)</f>
        <v/>
      </c>
      <c r="D18213">
        <f>IF(B18213=C18213, "YES", "WRONG")</f>
        <v/>
      </c>
    </row>
    <row r="18214">
      <c r="A18214" t="n">
        <v>18213</v>
      </c>
      <c r="B18214" t="inlineStr">
        <is>
          <t>x̄V̅MMMCCXIII</t>
        </is>
      </c>
      <c r="C18214">
        <f>ROMAN(18213)</f>
        <v/>
      </c>
      <c r="D18214">
        <f>IF(B18214=C18214, "YES", "WRONG")</f>
        <v/>
      </c>
    </row>
    <row r="18215">
      <c r="A18215" t="n">
        <v>18214</v>
      </c>
      <c r="B18215" t="inlineStr">
        <is>
          <t>x̄V̅MMMCCXIV</t>
        </is>
      </c>
      <c r="C18215">
        <f>ROMAN(18214)</f>
        <v/>
      </c>
      <c r="D18215">
        <f>IF(B18215=C18215, "YES", "WRONG")</f>
        <v/>
      </c>
    </row>
    <row r="18216">
      <c r="A18216" t="n">
        <v>18215</v>
      </c>
      <c r="B18216" t="inlineStr">
        <is>
          <t>x̄V̅MMMCCXV</t>
        </is>
      </c>
      <c r="C18216">
        <f>ROMAN(18215)</f>
        <v/>
      </c>
      <c r="D18216">
        <f>IF(B18216=C18216, "YES", "WRONG")</f>
        <v/>
      </c>
    </row>
    <row r="18217">
      <c r="A18217" t="n">
        <v>18216</v>
      </c>
      <c r="B18217" t="inlineStr">
        <is>
          <t>x̄V̅MMMCCXVI</t>
        </is>
      </c>
      <c r="C18217">
        <f>ROMAN(18216)</f>
        <v/>
      </c>
      <c r="D18217">
        <f>IF(B18217=C18217, "YES", "WRONG")</f>
        <v/>
      </c>
    </row>
    <row r="18218">
      <c r="A18218" t="n">
        <v>18217</v>
      </c>
      <c r="B18218" t="inlineStr">
        <is>
          <t>x̄V̅MMMCCXVII</t>
        </is>
      </c>
      <c r="C18218">
        <f>ROMAN(18217)</f>
        <v/>
      </c>
      <c r="D18218">
        <f>IF(B18218=C18218, "YES", "WRONG")</f>
        <v/>
      </c>
    </row>
    <row r="18219">
      <c r="A18219" t="n">
        <v>18218</v>
      </c>
      <c r="B18219" t="inlineStr">
        <is>
          <t>x̄V̅MMMCCXVIII</t>
        </is>
      </c>
      <c r="C18219">
        <f>ROMAN(18218)</f>
        <v/>
      </c>
      <c r="D18219">
        <f>IF(B18219=C18219, "YES", "WRONG")</f>
        <v/>
      </c>
    </row>
    <row r="18220">
      <c r="A18220" t="n">
        <v>18219</v>
      </c>
      <c r="B18220" t="inlineStr">
        <is>
          <t>x̄V̅MMMCCXIX</t>
        </is>
      </c>
      <c r="C18220">
        <f>ROMAN(18219)</f>
        <v/>
      </c>
      <c r="D18220">
        <f>IF(B18220=C18220, "YES", "WRONG")</f>
        <v/>
      </c>
    </row>
    <row r="18221">
      <c r="A18221" t="n">
        <v>18220</v>
      </c>
      <c r="B18221" t="inlineStr">
        <is>
          <t>x̄V̅MMMCCXX</t>
        </is>
      </c>
      <c r="C18221">
        <f>ROMAN(18220)</f>
        <v/>
      </c>
      <c r="D18221">
        <f>IF(B18221=C18221, "YES", "WRONG")</f>
        <v/>
      </c>
    </row>
    <row r="18222">
      <c r="A18222" t="n">
        <v>18221</v>
      </c>
      <c r="B18222" t="inlineStr">
        <is>
          <t>x̄V̅MMMCCXXI</t>
        </is>
      </c>
      <c r="C18222">
        <f>ROMAN(18221)</f>
        <v/>
      </c>
      <c r="D18222">
        <f>IF(B18222=C18222, "YES", "WRONG")</f>
        <v/>
      </c>
    </row>
    <row r="18223">
      <c r="A18223" t="n">
        <v>18222</v>
      </c>
      <c r="B18223" t="inlineStr">
        <is>
          <t>x̄V̅MMMCCXXII</t>
        </is>
      </c>
      <c r="C18223">
        <f>ROMAN(18222)</f>
        <v/>
      </c>
      <c r="D18223">
        <f>IF(B18223=C18223, "YES", "WRONG")</f>
        <v/>
      </c>
    </row>
    <row r="18224">
      <c r="A18224" t="n">
        <v>18223</v>
      </c>
      <c r="B18224" t="inlineStr">
        <is>
          <t>x̄V̅MMMCCXXIII</t>
        </is>
      </c>
      <c r="C18224">
        <f>ROMAN(18223)</f>
        <v/>
      </c>
      <c r="D18224">
        <f>IF(B18224=C18224, "YES", "WRONG")</f>
        <v/>
      </c>
    </row>
    <row r="18225">
      <c r="A18225" t="n">
        <v>18224</v>
      </c>
      <c r="B18225" t="inlineStr">
        <is>
          <t>x̄V̅MMMCCXXIV</t>
        </is>
      </c>
      <c r="C18225">
        <f>ROMAN(18224)</f>
        <v/>
      </c>
      <c r="D18225">
        <f>IF(B18225=C18225, "YES", "WRONG")</f>
        <v/>
      </c>
    </row>
    <row r="18226">
      <c r="A18226" t="n">
        <v>18225</v>
      </c>
      <c r="B18226" t="inlineStr">
        <is>
          <t>x̄V̅MMMCCXXV</t>
        </is>
      </c>
      <c r="C18226">
        <f>ROMAN(18225)</f>
        <v/>
      </c>
      <c r="D18226">
        <f>IF(B18226=C18226, "YES", "WRONG")</f>
        <v/>
      </c>
    </row>
    <row r="18227">
      <c r="A18227" t="n">
        <v>18226</v>
      </c>
      <c r="B18227" t="inlineStr">
        <is>
          <t>x̄V̅MMMCCXXVI</t>
        </is>
      </c>
      <c r="C18227">
        <f>ROMAN(18226)</f>
        <v/>
      </c>
      <c r="D18227">
        <f>IF(B18227=C18227, "YES", "WRONG")</f>
        <v/>
      </c>
    </row>
    <row r="18228">
      <c r="A18228" t="n">
        <v>18227</v>
      </c>
      <c r="B18228" t="inlineStr">
        <is>
          <t>x̄V̅MMMCCXXVII</t>
        </is>
      </c>
      <c r="C18228">
        <f>ROMAN(18227)</f>
        <v/>
      </c>
      <c r="D18228">
        <f>IF(B18228=C18228, "YES", "WRONG")</f>
        <v/>
      </c>
    </row>
    <row r="18229">
      <c r="A18229" t="n">
        <v>18228</v>
      </c>
      <c r="B18229" t="inlineStr">
        <is>
          <t>x̄V̅MMMCCXXVIII</t>
        </is>
      </c>
      <c r="C18229">
        <f>ROMAN(18228)</f>
        <v/>
      </c>
      <c r="D18229">
        <f>IF(B18229=C18229, "YES", "WRONG")</f>
        <v/>
      </c>
    </row>
    <row r="18230">
      <c r="A18230" t="n">
        <v>18229</v>
      </c>
      <c r="B18230" t="inlineStr">
        <is>
          <t>x̄V̅MMMCCXXIX</t>
        </is>
      </c>
      <c r="C18230">
        <f>ROMAN(18229)</f>
        <v/>
      </c>
      <c r="D18230">
        <f>IF(B18230=C18230, "YES", "WRONG")</f>
        <v/>
      </c>
    </row>
    <row r="18231">
      <c r="A18231" t="n">
        <v>18230</v>
      </c>
      <c r="B18231" t="inlineStr">
        <is>
          <t>x̄V̅MMMCCXXX</t>
        </is>
      </c>
      <c r="C18231">
        <f>ROMAN(18230)</f>
        <v/>
      </c>
      <c r="D18231">
        <f>IF(B18231=C18231, "YES", "WRONG")</f>
        <v/>
      </c>
    </row>
    <row r="18232">
      <c r="A18232" t="n">
        <v>18231</v>
      </c>
      <c r="B18232" t="inlineStr">
        <is>
          <t>x̄V̅MMMCCXXXI</t>
        </is>
      </c>
      <c r="C18232">
        <f>ROMAN(18231)</f>
        <v/>
      </c>
      <c r="D18232">
        <f>IF(B18232=C18232, "YES", "WRONG")</f>
        <v/>
      </c>
    </row>
    <row r="18233">
      <c r="A18233" t="n">
        <v>18232</v>
      </c>
      <c r="B18233" t="inlineStr">
        <is>
          <t>x̄V̅MMMCCXXXII</t>
        </is>
      </c>
      <c r="C18233">
        <f>ROMAN(18232)</f>
        <v/>
      </c>
      <c r="D18233">
        <f>IF(B18233=C18233, "YES", "WRONG")</f>
        <v/>
      </c>
    </row>
    <row r="18234">
      <c r="A18234" t="n">
        <v>18233</v>
      </c>
      <c r="B18234" t="inlineStr">
        <is>
          <t>x̄V̅MMMCCXXXIII</t>
        </is>
      </c>
      <c r="C18234">
        <f>ROMAN(18233)</f>
        <v/>
      </c>
      <c r="D18234">
        <f>IF(B18234=C18234, "YES", "WRONG")</f>
        <v/>
      </c>
    </row>
    <row r="18235">
      <c r="A18235" t="n">
        <v>18234</v>
      </c>
      <c r="B18235" t="inlineStr">
        <is>
          <t>x̄V̅MMMCCXXXIV</t>
        </is>
      </c>
      <c r="C18235">
        <f>ROMAN(18234)</f>
        <v/>
      </c>
      <c r="D18235">
        <f>IF(B18235=C18235, "YES", "WRONG")</f>
        <v/>
      </c>
    </row>
    <row r="18236">
      <c r="A18236" t="n">
        <v>18235</v>
      </c>
      <c r="B18236" t="inlineStr">
        <is>
          <t>x̄V̅MMMCCXXXV</t>
        </is>
      </c>
      <c r="C18236">
        <f>ROMAN(18235)</f>
        <v/>
      </c>
      <c r="D18236">
        <f>IF(B18236=C18236, "YES", "WRONG")</f>
        <v/>
      </c>
    </row>
    <row r="18237">
      <c r="A18237" t="n">
        <v>18236</v>
      </c>
      <c r="B18237" t="inlineStr">
        <is>
          <t>x̄V̅MMMCCXXXVI</t>
        </is>
      </c>
      <c r="C18237">
        <f>ROMAN(18236)</f>
        <v/>
      </c>
      <c r="D18237">
        <f>IF(B18237=C18237, "YES", "WRONG")</f>
        <v/>
      </c>
    </row>
    <row r="18238">
      <c r="A18238" t="n">
        <v>18237</v>
      </c>
      <c r="B18238" t="inlineStr">
        <is>
          <t>x̄V̅MMMCCXXXVII</t>
        </is>
      </c>
      <c r="C18238">
        <f>ROMAN(18237)</f>
        <v/>
      </c>
      <c r="D18238">
        <f>IF(B18238=C18238, "YES", "WRONG")</f>
        <v/>
      </c>
    </row>
    <row r="18239">
      <c r="A18239" t="n">
        <v>18238</v>
      </c>
      <c r="B18239" t="inlineStr">
        <is>
          <t>x̄V̅MMMCCXXXVIII</t>
        </is>
      </c>
      <c r="C18239">
        <f>ROMAN(18238)</f>
        <v/>
      </c>
      <c r="D18239">
        <f>IF(B18239=C18239, "YES", "WRONG")</f>
        <v/>
      </c>
    </row>
    <row r="18240">
      <c r="A18240" t="n">
        <v>18239</v>
      </c>
      <c r="B18240" t="inlineStr">
        <is>
          <t>x̄V̅MMMCCXXXIX</t>
        </is>
      </c>
      <c r="C18240">
        <f>ROMAN(18239)</f>
        <v/>
      </c>
      <c r="D18240">
        <f>IF(B18240=C18240, "YES", "WRONG")</f>
        <v/>
      </c>
    </row>
    <row r="18241">
      <c r="A18241" t="n">
        <v>18240</v>
      </c>
      <c r="B18241" t="inlineStr">
        <is>
          <t>x̄V̅MMMCCXL</t>
        </is>
      </c>
      <c r="C18241">
        <f>ROMAN(18240)</f>
        <v/>
      </c>
      <c r="D18241">
        <f>IF(B18241=C18241, "YES", "WRONG")</f>
        <v/>
      </c>
    </row>
    <row r="18242">
      <c r="A18242" t="n">
        <v>18241</v>
      </c>
      <c r="B18242" t="inlineStr">
        <is>
          <t>x̄V̅MMMCCXLI</t>
        </is>
      </c>
      <c r="C18242">
        <f>ROMAN(18241)</f>
        <v/>
      </c>
      <c r="D18242">
        <f>IF(B18242=C18242, "YES", "WRONG")</f>
        <v/>
      </c>
    </row>
    <row r="18243">
      <c r="A18243" t="n">
        <v>18242</v>
      </c>
      <c r="B18243" t="inlineStr">
        <is>
          <t>x̄V̅MMMCCXLII</t>
        </is>
      </c>
      <c r="C18243">
        <f>ROMAN(18242)</f>
        <v/>
      </c>
      <c r="D18243">
        <f>IF(B18243=C18243, "YES", "WRONG")</f>
        <v/>
      </c>
    </row>
    <row r="18244">
      <c r="A18244" t="n">
        <v>18243</v>
      </c>
      <c r="B18244" t="inlineStr">
        <is>
          <t>x̄V̅MMMCCXLIII</t>
        </is>
      </c>
      <c r="C18244">
        <f>ROMAN(18243)</f>
        <v/>
      </c>
      <c r="D18244">
        <f>IF(B18244=C18244, "YES", "WRONG")</f>
        <v/>
      </c>
    </row>
    <row r="18245">
      <c r="A18245" t="n">
        <v>18244</v>
      </c>
      <c r="B18245" t="inlineStr">
        <is>
          <t>x̄V̅MMMCCXLIV</t>
        </is>
      </c>
      <c r="C18245">
        <f>ROMAN(18244)</f>
        <v/>
      </c>
      <c r="D18245">
        <f>IF(B18245=C18245, "YES", "WRONG")</f>
        <v/>
      </c>
    </row>
    <row r="18246">
      <c r="A18246" t="n">
        <v>18245</v>
      </c>
      <c r="B18246" t="inlineStr">
        <is>
          <t>x̄V̅MMMCCXLV</t>
        </is>
      </c>
      <c r="C18246">
        <f>ROMAN(18245)</f>
        <v/>
      </c>
      <c r="D18246">
        <f>IF(B18246=C18246, "YES", "WRONG")</f>
        <v/>
      </c>
    </row>
    <row r="18247">
      <c r="A18247" t="n">
        <v>18246</v>
      </c>
      <c r="B18247" t="inlineStr">
        <is>
          <t>x̄V̅MMMCCXLVI</t>
        </is>
      </c>
      <c r="C18247">
        <f>ROMAN(18246)</f>
        <v/>
      </c>
      <c r="D18247">
        <f>IF(B18247=C18247, "YES", "WRONG")</f>
        <v/>
      </c>
    </row>
    <row r="18248">
      <c r="A18248" t="n">
        <v>18247</v>
      </c>
      <c r="B18248" t="inlineStr">
        <is>
          <t>x̄V̅MMMCCXLVII</t>
        </is>
      </c>
      <c r="C18248">
        <f>ROMAN(18247)</f>
        <v/>
      </c>
      <c r="D18248">
        <f>IF(B18248=C18248, "YES", "WRONG")</f>
        <v/>
      </c>
    </row>
    <row r="18249">
      <c r="A18249" t="n">
        <v>18248</v>
      </c>
      <c r="B18249" t="inlineStr">
        <is>
          <t>x̄V̅MMMCCXLVIII</t>
        </is>
      </c>
      <c r="C18249">
        <f>ROMAN(18248)</f>
        <v/>
      </c>
      <c r="D18249">
        <f>IF(B18249=C18249, "YES", "WRONG")</f>
        <v/>
      </c>
    </row>
    <row r="18250">
      <c r="A18250" t="n">
        <v>18249</v>
      </c>
      <c r="B18250" t="inlineStr">
        <is>
          <t>x̄V̅MMMCCXLIX</t>
        </is>
      </c>
      <c r="C18250">
        <f>ROMAN(18249)</f>
        <v/>
      </c>
      <c r="D18250">
        <f>IF(B18250=C18250, "YES", "WRONG")</f>
        <v/>
      </c>
    </row>
    <row r="18251">
      <c r="A18251" t="n">
        <v>18250</v>
      </c>
      <c r="B18251" t="inlineStr">
        <is>
          <t>x̄V̅MMMCCL</t>
        </is>
      </c>
      <c r="C18251">
        <f>ROMAN(18250)</f>
        <v/>
      </c>
      <c r="D18251">
        <f>IF(B18251=C18251, "YES", "WRONG")</f>
        <v/>
      </c>
    </row>
    <row r="18252">
      <c r="A18252" t="n">
        <v>18251</v>
      </c>
      <c r="B18252" t="inlineStr">
        <is>
          <t>x̄V̅MMMCCLI</t>
        </is>
      </c>
      <c r="C18252">
        <f>ROMAN(18251)</f>
        <v/>
      </c>
      <c r="D18252">
        <f>IF(B18252=C18252, "YES", "WRONG")</f>
        <v/>
      </c>
    </row>
    <row r="18253">
      <c r="A18253" t="n">
        <v>18252</v>
      </c>
      <c r="B18253" t="inlineStr">
        <is>
          <t>x̄V̅MMMCCLII</t>
        </is>
      </c>
      <c r="C18253">
        <f>ROMAN(18252)</f>
        <v/>
      </c>
      <c r="D18253">
        <f>IF(B18253=C18253, "YES", "WRONG")</f>
        <v/>
      </c>
    </row>
    <row r="18254">
      <c r="A18254" t="n">
        <v>18253</v>
      </c>
      <c r="B18254" t="inlineStr">
        <is>
          <t>x̄V̅MMMCCLIII</t>
        </is>
      </c>
      <c r="C18254">
        <f>ROMAN(18253)</f>
        <v/>
      </c>
      <c r="D18254">
        <f>IF(B18254=C18254, "YES", "WRONG")</f>
        <v/>
      </c>
    </row>
    <row r="18255">
      <c r="A18255" t="n">
        <v>18254</v>
      </c>
      <c r="B18255" t="inlineStr">
        <is>
          <t>x̄V̅MMMCCLIV</t>
        </is>
      </c>
      <c r="C18255">
        <f>ROMAN(18254)</f>
        <v/>
      </c>
      <c r="D18255">
        <f>IF(B18255=C18255, "YES", "WRONG")</f>
        <v/>
      </c>
    </row>
    <row r="18256">
      <c r="A18256" t="n">
        <v>18255</v>
      </c>
      <c r="B18256" t="inlineStr">
        <is>
          <t>x̄V̅MMMCCLV</t>
        </is>
      </c>
      <c r="C18256">
        <f>ROMAN(18255)</f>
        <v/>
      </c>
      <c r="D18256">
        <f>IF(B18256=C18256, "YES", "WRONG")</f>
        <v/>
      </c>
    </row>
    <row r="18257">
      <c r="A18257" t="n">
        <v>18256</v>
      </c>
      <c r="B18257" t="inlineStr">
        <is>
          <t>x̄V̅MMMCCLVI</t>
        </is>
      </c>
      <c r="C18257">
        <f>ROMAN(18256)</f>
        <v/>
      </c>
      <c r="D18257">
        <f>IF(B18257=C18257, "YES", "WRONG")</f>
        <v/>
      </c>
    </row>
    <row r="18258">
      <c r="A18258" t="n">
        <v>18257</v>
      </c>
      <c r="B18258" t="inlineStr">
        <is>
          <t>x̄V̅MMMCCLVII</t>
        </is>
      </c>
      <c r="C18258">
        <f>ROMAN(18257)</f>
        <v/>
      </c>
      <c r="D18258">
        <f>IF(B18258=C18258, "YES", "WRONG")</f>
        <v/>
      </c>
    </row>
    <row r="18259">
      <c r="A18259" t="n">
        <v>18258</v>
      </c>
      <c r="B18259" t="inlineStr">
        <is>
          <t>x̄V̅MMMCCLVIII</t>
        </is>
      </c>
      <c r="C18259">
        <f>ROMAN(18258)</f>
        <v/>
      </c>
      <c r="D18259">
        <f>IF(B18259=C18259, "YES", "WRONG")</f>
        <v/>
      </c>
    </row>
    <row r="18260">
      <c r="A18260" t="n">
        <v>18259</v>
      </c>
      <c r="B18260" t="inlineStr">
        <is>
          <t>x̄V̅MMMCCLIX</t>
        </is>
      </c>
      <c r="C18260">
        <f>ROMAN(18259)</f>
        <v/>
      </c>
      <c r="D18260">
        <f>IF(B18260=C18260, "YES", "WRONG")</f>
        <v/>
      </c>
    </row>
    <row r="18261">
      <c r="A18261" t="n">
        <v>18260</v>
      </c>
      <c r="B18261" t="inlineStr">
        <is>
          <t>x̄V̅MMMCCLX</t>
        </is>
      </c>
      <c r="C18261">
        <f>ROMAN(18260)</f>
        <v/>
      </c>
      <c r="D18261">
        <f>IF(B18261=C18261, "YES", "WRONG")</f>
        <v/>
      </c>
    </row>
    <row r="18262">
      <c r="A18262" t="n">
        <v>18261</v>
      </c>
      <c r="B18262" t="inlineStr">
        <is>
          <t>x̄V̅MMMCCLXI</t>
        </is>
      </c>
      <c r="C18262">
        <f>ROMAN(18261)</f>
        <v/>
      </c>
      <c r="D18262">
        <f>IF(B18262=C18262, "YES", "WRONG")</f>
        <v/>
      </c>
    </row>
    <row r="18263">
      <c r="A18263" t="n">
        <v>18262</v>
      </c>
      <c r="B18263" t="inlineStr">
        <is>
          <t>x̄V̅MMMCCLXII</t>
        </is>
      </c>
      <c r="C18263">
        <f>ROMAN(18262)</f>
        <v/>
      </c>
      <c r="D18263">
        <f>IF(B18263=C18263, "YES", "WRONG")</f>
        <v/>
      </c>
    </row>
    <row r="18264">
      <c r="A18264" t="n">
        <v>18263</v>
      </c>
      <c r="B18264" t="inlineStr">
        <is>
          <t>x̄V̅MMMCCLXIII</t>
        </is>
      </c>
      <c r="C18264">
        <f>ROMAN(18263)</f>
        <v/>
      </c>
      <c r="D18264">
        <f>IF(B18264=C18264, "YES", "WRONG")</f>
        <v/>
      </c>
    </row>
    <row r="18265">
      <c r="A18265" t="n">
        <v>18264</v>
      </c>
      <c r="B18265" t="inlineStr">
        <is>
          <t>x̄V̅MMMCCLXIV</t>
        </is>
      </c>
      <c r="C18265">
        <f>ROMAN(18264)</f>
        <v/>
      </c>
      <c r="D18265">
        <f>IF(B18265=C18265, "YES", "WRONG")</f>
        <v/>
      </c>
    </row>
    <row r="18266">
      <c r="A18266" t="n">
        <v>18265</v>
      </c>
      <c r="B18266" t="inlineStr">
        <is>
          <t>x̄V̅MMMCCLXV</t>
        </is>
      </c>
      <c r="C18266">
        <f>ROMAN(18265)</f>
        <v/>
      </c>
      <c r="D18266">
        <f>IF(B18266=C18266, "YES", "WRONG")</f>
        <v/>
      </c>
    </row>
    <row r="18267">
      <c r="A18267" t="n">
        <v>18266</v>
      </c>
      <c r="B18267" t="inlineStr">
        <is>
          <t>x̄V̅MMMCCLXVI</t>
        </is>
      </c>
      <c r="C18267">
        <f>ROMAN(18266)</f>
        <v/>
      </c>
      <c r="D18267">
        <f>IF(B18267=C18267, "YES", "WRONG")</f>
        <v/>
      </c>
    </row>
    <row r="18268">
      <c r="A18268" t="n">
        <v>18267</v>
      </c>
      <c r="B18268" t="inlineStr">
        <is>
          <t>x̄V̅MMMCCLXVII</t>
        </is>
      </c>
      <c r="C18268">
        <f>ROMAN(18267)</f>
        <v/>
      </c>
      <c r="D18268">
        <f>IF(B18268=C18268, "YES", "WRONG")</f>
        <v/>
      </c>
    </row>
    <row r="18269">
      <c r="A18269" t="n">
        <v>18268</v>
      </c>
      <c r="B18269" t="inlineStr">
        <is>
          <t>x̄V̅MMMCCLXVIII</t>
        </is>
      </c>
      <c r="C18269">
        <f>ROMAN(18268)</f>
        <v/>
      </c>
      <c r="D18269">
        <f>IF(B18269=C18269, "YES", "WRONG")</f>
        <v/>
      </c>
    </row>
    <row r="18270">
      <c r="A18270" t="n">
        <v>18269</v>
      </c>
      <c r="B18270" t="inlineStr">
        <is>
          <t>x̄V̅MMMCCLXIX</t>
        </is>
      </c>
      <c r="C18270">
        <f>ROMAN(18269)</f>
        <v/>
      </c>
      <c r="D18270">
        <f>IF(B18270=C18270, "YES", "WRONG")</f>
        <v/>
      </c>
    </row>
    <row r="18271">
      <c r="A18271" t="n">
        <v>18270</v>
      </c>
      <c r="B18271" t="inlineStr">
        <is>
          <t>x̄V̅MMMCCLXX</t>
        </is>
      </c>
      <c r="C18271">
        <f>ROMAN(18270)</f>
        <v/>
      </c>
      <c r="D18271">
        <f>IF(B18271=C18271, "YES", "WRONG")</f>
        <v/>
      </c>
    </row>
    <row r="18272">
      <c r="A18272" t="n">
        <v>18271</v>
      </c>
      <c r="B18272" t="inlineStr">
        <is>
          <t>x̄V̅MMMCCLXXI</t>
        </is>
      </c>
      <c r="C18272">
        <f>ROMAN(18271)</f>
        <v/>
      </c>
      <c r="D18272">
        <f>IF(B18272=C18272, "YES", "WRONG")</f>
        <v/>
      </c>
    </row>
    <row r="18273">
      <c r="A18273" t="n">
        <v>18272</v>
      </c>
      <c r="B18273" t="inlineStr">
        <is>
          <t>x̄V̅MMMCCLXXII</t>
        </is>
      </c>
      <c r="C18273">
        <f>ROMAN(18272)</f>
        <v/>
      </c>
      <c r="D18273">
        <f>IF(B18273=C18273, "YES", "WRONG")</f>
        <v/>
      </c>
    </row>
    <row r="18274">
      <c r="A18274" t="n">
        <v>18273</v>
      </c>
      <c r="B18274" t="inlineStr">
        <is>
          <t>x̄V̅MMMCCLXXIII</t>
        </is>
      </c>
      <c r="C18274">
        <f>ROMAN(18273)</f>
        <v/>
      </c>
      <c r="D18274">
        <f>IF(B18274=C18274, "YES", "WRONG")</f>
        <v/>
      </c>
    </row>
    <row r="18275">
      <c r="A18275" t="n">
        <v>18274</v>
      </c>
      <c r="B18275" t="inlineStr">
        <is>
          <t>x̄V̅MMMCCLXXIV</t>
        </is>
      </c>
      <c r="C18275">
        <f>ROMAN(18274)</f>
        <v/>
      </c>
      <c r="D18275">
        <f>IF(B18275=C18275, "YES", "WRONG")</f>
        <v/>
      </c>
    </row>
    <row r="18276">
      <c r="A18276" t="n">
        <v>18275</v>
      </c>
      <c r="B18276" t="inlineStr">
        <is>
          <t>x̄V̅MMMCCLXXV</t>
        </is>
      </c>
      <c r="C18276">
        <f>ROMAN(18275)</f>
        <v/>
      </c>
      <c r="D18276">
        <f>IF(B18276=C18276, "YES", "WRONG")</f>
        <v/>
      </c>
    </row>
    <row r="18277">
      <c r="A18277" t="n">
        <v>18276</v>
      </c>
      <c r="B18277" t="inlineStr">
        <is>
          <t>x̄V̅MMMCCLXXVI</t>
        </is>
      </c>
      <c r="C18277">
        <f>ROMAN(18276)</f>
        <v/>
      </c>
      <c r="D18277">
        <f>IF(B18277=C18277, "YES", "WRONG")</f>
        <v/>
      </c>
    </row>
    <row r="18278">
      <c r="A18278" t="n">
        <v>18277</v>
      </c>
      <c r="B18278" t="inlineStr">
        <is>
          <t>x̄V̅MMMCCLXXVII</t>
        </is>
      </c>
      <c r="C18278">
        <f>ROMAN(18277)</f>
        <v/>
      </c>
      <c r="D18278">
        <f>IF(B18278=C18278, "YES", "WRONG")</f>
        <v/>
      </c>
    </row>
    <row r="18279">
      <c r="A18279" t="n">
        <v>18278</v>
      </c>
      <c r="B18279" t="inlineStr">
        <is>
          <t>x̄V̅MMMCCLXXVIII</t>
        </is>
      </c>
      <c r="C18279">
        <f>ROMAN(18278)</f>
        <v/>
      </c>
      <c r="D18279">
        <f>IF(B18279=C18279, "YES", "WRONG")</f>
        <v/>
      </c>
    </row>
    <row r="18280">
      <c r="A18280" t="n">
        <v>18279</v>
      </c>
      <c r="B18280" t="inlineStr">
        <is>
          <t>x̄V̅MMMCCLXXIX</t>
        </is>
      </c>
      <c r="C18280">
        <f>ROMAN(18279)</f>
        <v/>
      </c>
      <c r="D18280">
        <f>IF(B18280=C18280, "YES", "WRONG")</f>
        <v/>
      </c>
    </row>
    <row r="18281">
      <c r="A18281" t="n">
        <v>18280</v>
      </c>
      <c r="B18281" t="inlineStr">
        <is>
          <t>x̄V̅MMMCCLXXX</t>
        </is>
      </c>
      <c r="C18281">
        <f>ROMAN(18280)</f>
        <v/>
      </c>
      <c r="D18281">
        <f>IF(B18281=C18281, "YES", "WRONG")</f>
        <v/>
      </c>
    </row>
    <row r="18282">
      <c r="A18282" t="n">
        <v>18281</v>
      </c>
      <c r="B18282" t="inlineStr">
        <is>
          <t>x̄V̅MMMCCLXXXI</t>
        </is>
      </c>
      <c r="C18282">
        <f>ROMAN(18281)</f>
        <v/>
      </c>
      <c r="D18282">
        <f>IF(B18282=C18282, "YES", "WRONG")</f>
        <v/>
      </c>
    </row>
    <row r="18283">
      <c r="A18283" t="n">
        <v>18282</v>
      </c>
      <c r="B18283" t="inlineStr">
        <is>
          <t>x̄V̅MMMCCLXXXII</t>
        </is>
      </c>
      <c r="C18283">
        <f>ROMAN(18282)</f>
        <v/>
      </c>
      <c r="D18283">
        <f>IF(B18283=C18283, "YES", "WRONG")</f>
        <v/>
      </c>
    </row>
    <row r="18284">
      <c r="A18284" t="n">
        <v>18283</v>
      </c>
      <c r="B18284" t="inlineStr">
        <is>
          <t>x̄V̅MMMCCLXXXIII</t>
        </is>
      </c>
      <c r="C18284">
        <f>ROMAN(18283)</f>
        <v/>
      </c>
      <c r="D18284">
        <f>IF(B18284=C18284, "YES", "WRONG")</f>
        <v/>
      </c>
    </row>
    <row r="18285">
      <c r="A18285" t="n">
        <v>18284</v>
      </c>
      <c r="B18285" t="inlineStr">
        <is>
          <t>x̄V̅MMMCCLXXXIV</t>
        </is>
      </c>
      <c r="C18285">
        <f>ROMAN(18284)</f>
        <v/>
      </c>
      <c r="D18285">
        <f>IF(B18285=C18285, "YES", "WRONG")</f>
        <v/>
      </c>
    </row>
    <row r="18286">
      <c r="A18286" t="n">
        <v>18285</v>
      </c>
      <c r="B18286" t="inlineStr">
        <is>
          <t>x̄V̅MMMCCLXXXV</t>
        </is>
      </c>
      <c r="C18286">
        <f>ROMAN(18285)</f>
        <v/>
      </c>
      <c r="D18286">
        <f>IF(B18286=C18286, "YES", "WRONG")</f>
        <v/>
      </c>
    </row>
    <row r="18287">
      <c r="A18287" t="n">
        <v>18286</v>
      </c>
      <c r="B18287" t="inlineStr">
        <is>
          <t>x̄V̅MMMCCLXXXVI</t>
        </is>
      </c>
      <c r="C18287">
        <f>ROMAN(18286)</f>
        <v/>
      </c>
      <c r="D18287">
        <f>IF(B18287=C18287, "YES", "WRONG")</f>
        <v/>
      </c>
    </row>
    <row r="18288">
      <c r="A18288" t="n">
        <v>18287</v>
      </c>
      <c r="B18288" t="inlineStr">
        <is>
          <t>x̄V̅MMMCCLXXXVII</t>
        </is>
      </c>
      <c r="C18288">
        <f>ROMAN(18287)</f>
        <v/>
      </c>
      <c r="D18288">
        <f>IF(B18288=C18288, "YES", "WRONG")</f>
        <v/>
      </c>
    </row>
    <row r="18289">
      <c r="A18289" t="n">
        <v>18288</v>
      </c>
      <c r="B18289" t="inlineStr">
        <is>
          <t>x̄V̅MMMCCLXXXVIII</t>
        </is>
      </c>
      <c r="C18289">
        <f>ROMAN(18288)</f>
        <v/>
      </c>
      <c r="D18289">
        <f>IF(B18289=C18289, "YES", "WRONG")</f>
        <v/>
      </c>
    </row>
    <row r="18290">
      <c r="A18290" t="n">
        <v>18289</v>
      </c>
      <c r="B18290" t="inlineStr">
        <is>
          <t>x̄V̅MMMCCLXXXIX</t>
        </is>
      </c>
      <c r="C18290">
        <f>ROMAN(18289)</f>
        <v/>
      </c>
      <c r="D18290">
        <f>IF(B18290=C18290, "YES", "WRONG")</f>
        <v/>
      </c>
    </row>
    <row r="18291">
      <c r="A18291" t="n">
        <v>18290</v>
      </c>
      <c r="B18291" t="inlineStr">
        <is>
          <t>x̄V̅MMMCCXC</t>
        </is>
      </c>
      <c r="C18291">
        <f>ROMAN(18290)</f>
        <v/>
      </c>
      <c r="D18291">
        <f>IF(B18291=C18291, "YES", "WRONG")</f>
        <v/>
      </c>
    </row>
    <row r="18292">
      <c r="A18292" t="n">
        <v>18291</v>
      </c>
      <c r="B18292" t="inlineStr">
        <is>
          <t>x̄V̅MMMCCXCI</t>
        </is>
      </c>
      <c r="C18292">
        <f>ROMAN(18291)</f>
        <v/>
      </c>
      <c r="D18292">
        <f>IF(B18292=C18292, "YES", "WRONG")</f>
        <v/>
      </c>
    </row>
    <row r="18293">
      <c r="A18293" t="n">
        <v>18292</v>
      </c>
      <c r="B18293" t="inlineStr">
        <is>
          <t>x̄V̅MMMCCXCII</t>
        </is>
      </c>
      <c r="C18293">
        <f>ROMAN(18292)</f>
        <v/>
      </c>
      <c r="D18293">
        <f>IF(B18293=C18293, "YES", "WRONG")</f>
        <v/>
      </c>
    </row>
    <row r="18294">
      <c r="A18294" t="n">
        <v>18293</v>
      </c>
      <c r="B18294" t="inlineStr">
        <is>
          <t>x̄V̅MMMCCXCIII</t>
        </is>
      </c>
      <c r="C18294">
        <f>ROMAN(18293)</f>
        <v/>
      </c>
      <c r="D18294">
        <f>IF(B18294=C18294, "YES", "WRONG")</f>
        <v/>
      </c>
    </row>
    <row r="18295">
      <c r="A18295" t="n">
        <v>18294</v>
      </c>
      <c r="B18295" t="inlineStr">
        <is>
          <t>x̄V̅MMMCCXCIV</t>
        </is>
      </c>
      <c r="C18295">
        <f>ROMAN(18294)</f>
        <v/>
      </c>
      <c r="D18295">
        <f>IF(B18295=C18295, "YES", "WRONG")</f>
        <v/>
      </c>
    </row>
    <row r="18296">
      <c r="A18296" t="n">
        <v>18295</v>
      </c>
      <c r="B18296" t="inlineStr">
        <is>
          <t>x̄V̅MMMCCXCV</t>
        </is>
      </c>
      <c r="C18296">
        <f>ROMAN(18295)</f>
        <v/>
      </c>
      <c r="D18296">
        <f>IF(B18296=C18296, "YES", "WRONG")</f>
        <v/>
      </c>
    </row>
    <row r="18297">
      <c r="A18297" t="n">
        <v>18296</v>
      </c>
      <c r="B18297" t="inlineStr">
        <is>
          <t>x̄V̅MMMCCXCVI</t>
        </is>
      </c>
      <c r="C18297">
        <f>ROMAN(18296)</f>
        <v/>
      </c>
      <c r="D18297">
        <f>IF(B18297=C18297, "YES", "WRONG")</f>
        <v/>
      </c>
    </row>
    <row r="18298">
      <c r="A18298" t="n">
        <v>18297</v>
      </c>
      <c r="B18298" t="inlineStr">
        <is>
          <t>x̄V̅MMMCCXCVII</t>
        </is>
      </c>
      <c r="C18298">
        <f>ROMAN(18297)</f>
        <v/>
      </c>
      <c r="D18298">
        <f>IF(B18298=C18298, "YES", "WRONG")</f>
        <v/>
      </c>
    </row>
    <row r="18299">
      <c r="A18299" t="n">
        <v>18298</v>
      </c>
      <c r="B18299" t="inlineStr">
        <is>
          <t>x̄V̅MMMCCXCVIII</t>
        </is>
      </c>
      <c r="C18299">
        <f>ROMAN(18298)</f>
        <v/>
      </c>
      <c r="D18299">
        <f>IF(B18299=C18299, "YES", "WRONG")</f>
        <v/>
      </c>
    </row>
    <row r="18300">
      <c r="A18300" t="n">
        <v>18299</v>
      </c>
      <c r="B18300" t="inlineStr">
        <is>
          <t>x̄V̅MMMCCXCIX</t>
        </is>
      </c>
      <c r="C18300">
        <f>ROMAN(18299)</f>
        <v/>
      </c>
      <c r="D18300">
        <f>IF(B18300=C18300, "YES", "WRONG")</f>
        <v/>
      </c>
    </row>
    <row r="18301">
      <c r="A18301" t="n">
        <v>18300</v>
      </c>
      <c r="B18301" t="inlineStr">
        <is>
          <t>x̄V̅MMMCCC</t>
        </is>
      </c>
      <c r="C18301">
        <f>ROMAN(18300)</f>
        <v/>
      </c>
      <c r="D18301">
        <f>IF(B18301=C18301, "YES", "WRONG")</f>
        <v/>
      </c>
    </row>
    <row r="18302">
      <c r="A18302" t="n">
        <v>18301</v>
      </c>
      <c r="B18302" t="inlineStr">
        <is>
          <t>x̄V̅MMMCCCI</t>
        </is>
      </c>
      <c r="C18302">
        <f>ROMAN(18301)</f>
        <v/>
      </c>
      <c r="D18302">
        <f>IF(B18302=C18302, "YES", "WRONG")</f>
        <v/>
      </c>
    </row>
    <row r="18303">
      <c r="A18303" t="n">
        <v>18302</v>
      </c>
      <c r="B18303" t="inlineStr">
        <is>
          <t>x̄V̅MMMCCCII</t>
        </is>
      </c>
      <c r="C18303">
        <f>ROMAN(18302)</f>
        <v/>
      </c>
      <c r="D18303">
        <f>IF(B18303=C18303, "YES", "WRONG")</f>
        <v/>
      </c>
    </row>
    <row r="18304">
      <c r="A18304" t="n">
        <v>18303</v>
      </c>
      <c r="B18304" t="inlineStr">
        <is>
          <t>x̄V̅MMMCCCIII</t>
        </is>
      </c>
      <c r="C18304">
        <f>ROMAN(18303)</f>
        <v/>
      </c>
      <c r="D18304">
        <f>IF(B18304=C18304, "YES", "WRONG")</f>
        <v/>
      </c>
    </row>
    <row r="18305">
      <c r="A18305" t="n">
        <v>18304</v>
      </c>
      <c r="B18305" t="inlineStr">
        <is>
          <t>x̄V̅MMMCCCIV</t>
        </is>
      </c>
      <c r="C18305">
        <f>ROMAN(18304)</f>
        <v/>
      </c>
      <c r="D18305">
        <f>IF(B18305=C18305, "YES", "WRONG")</f>
        <v/>
      </c>
    </row>
    <row r="18306">
      <c r="A18306" t="n">
        <v>18305</v>
      </c>
      <c r="B18306" t="inlineStr">
        <is>
          <t>x̄V̅MMMCCCV</t>
        </is>
      </c>
      <c r="C18306">
        <f>ROMAN(18305)</f>
        <v/>
      </c>
      <c r="D18306">
        <f>IF(B18306=C18306, "YES", "WRONG")</f>
        <v/>
      </c>
    </row>
    <row r="18307">
      <c r="A18307" t="n">
        <v>18306</v>
      </c>
      <c r="B18307" t="inlineStr">
        <is>
          <t>x̄V̅MMMCCCVI</t>
        </is>
      </c>
      <c r="C18307">
        <f>ROMAN(18306)</f>
        <v/>
      </c>
      <c r="D18307">
        <f>IF(B18307=C18307, "YES", "WRONG")</f>
        <v/>
      </c>
    </row>
    <row r="18308">
      <c r="A18308" t="n">
        <v>18307</v>
      </c>
      <c r="B18308" t="inlineStr">
        <is>
          <t>x̄V̅MMMCCCVII</t>
        </is>
      </c>
      <c r="C18308">
        <f>ROMAN(18307)</f>
        <v/>
      </c>
      <c r="D18308">
        <f>IF(B18308=C18308, "YES", "WRONG")</f>
        <v/>
      </c>
    </row>
    <row r="18309">
      <c r="A18309" t="n">
        <v>18308</v>
      </c>
      <c r="B18309" t="inlineStr">
        <is>
          <t>x̄V̅MMMCCCVIII</t>
        </is>
      </c>
      <c r="C18309">
        <f>ROMAN(18308)</f>
        <v/>
      </c>
      <c r="D18309">
        <f>IF(B18309=C18309, "YES", "WRONG")</f>
        <v/>
      </c>
    </row>
    <row r="18310">
      <c r="A18310" t="n">
        <v>18309</v>
      </c>
      <c r="B18310" t="inlineStr">
        <is>
          <t>x̄V̅MMMCCCIX</t>
        </is>
      </c>
      <c r="C18310">
        <f>ROMAN(18309)</f>
        <v/>
      </c>
      <c r="D18310">
        <f>IF(B18310=C18310, "YES", "WRONG")</f>
        <v/>
      </c>
    </row>
    <row r="18311">
      <c r="A18311" t="n">
        <v>18310</v>
      </c>
      <c r="B18311" t="inlineStr">
        <is>
          <t>x̄V̅MMMCCCX</t>
        </is>
      </c>
      <c r="C18311">
        <f>ROMAN(18310)</f>
        <v/>
      </c>
      <c r="D18311">
        <f>IF(B18311=C18311, "YES", "WRONG")</f>
        <v/>
      </c>
    </row>
    <row r="18312">
      <c r="A18312" t="n">
        <v>18311</v>
      </c>
      <c r="B18312" t="inlineStr">
        <is>
          <t>x̄V̅MMMCCCXI</t>
        </is>
      </c>
      <c r="C18312">
        <f>ROMAN(18311)</f>
        <v/>
      </c>
      <c r="D18312">
        <f>IF(B18312=C18312, "YES", "WRONG")</f>
        <v/>
      </c>
    </row>
    <row r="18313">
      <c r="A18313" t="n">
        <v>18312</v>
      </c>
      <c r="B18313" t="inlineStr">
        <is>
          <t>x̄V̅MMMCCCXII</t>
        </is>
      </c>
      <c r="C18313">
        <f>ROMAN(18312)</f>
        <v/>
      </c>
      <c r="D18313">
        <f>IF(B18313=C18313, "YES", "WRONG")</f>
        <v/>
      </c>
    </row>
    <row r="18314">
      <c r="A18314" t="n">
        <v>18313</v>
      </c>
      <c r="B18314" t="inlineStr">
        <is>
          <t>x̄V̅MMMCCCXIII</t>
        </is>
      </c>
      <c r="C18314">
        <f>ROMAN(18313)</f>
        <v/>
      </c>
      <c r="D18314">
        <f>IF(B18314=C18314, "YES", "WRONG")</f>
        <v/>
      </c>
    </row>
    <row r="18315">
      <c r="A18315" t="n">
        <v>18314</v>
      </c>
      <c r="B18315" t="inlineStr">
        <is>
          <t>x̄V̅MMMCCCXIV</t>
        </is>
      </c>
      <c r="C18315">
        <f>ROMAN(18314)</f>
        <v/>
      </c>
      <c r="D18315">
        <f>IF(B18315=C18315, "YES", "WRONG")</f>
        <v/>
      </c>
    </row>
    <row r="18316">
      <c r="A18316" t="n">
        <v>18315</v>
      </c>
      <c r="B18316" t="inlineStr">
        <is>
          <t>x̄V̅MMMCCCXV</t>
        </is>
      </c>
      <c r="C18316">
        <f>ROMAN(18315)</f>
        <v/>
      </c>
      <c r="D18316">
        <f>IF(B18316=C18316, "YES", "WRONG")</f>
        <v/>
      </c>
    </row>
    <row r="18317">
      <c r="A18317" t="n">
        <v>18316</v>
      </c>
      <c r="B18317" t="inlineStr">
        <is>
          <t>x̄V̅MMMCCCXVI</t>
        </is>
      </c>
      <c r="C18317">
        <f>ROMAN(18316)</f>
        <v/>
      </c>
      <c r="D18317">
        <f>IF(B18317=C18317, "YES", "WRONG")</f>
        <v/>
      </c>
    </row>
    <row r="18318">
      <c r="A18318" t="n">
        <v>18317</v>
      </c>
      <c r="B18318" t="inlineStr">
        <is>
          <t>x̄V̅MMMCCCXVII</t>
        </is>
      </c>
      <c r="C18318">
        <f>ROMAN(18317)</f>
        <v/>
      </c>
      <c r="D18318">
        <f>IF(B18318=C18318, "YES", "WRONG")</f>
        <v/>
      </c>
    </row>
    <row r="18319">
      <c r="A18319" t="n">
        <v>18318</v>
      </c>
      <c r="B18319" t="inlineStr">
        <is>
          <t>x̄V̅MMMCCCXVIII</t>
        </is>
      </c>
      <c r="C18319">
        <f>ROMAN(18318)</f>
        <v/>
      </c>
      <c r="D18319">
        <f>IF(B18319=C18319, "YES", "WRONG")</f>
        <v/>
      </c>
    </row>
    <row r="18320">
      <c r="A18320" t="n">
        <v>18319</v>
      </c>
      <c r="B18320" t="inlineStr">
        <is>
          <t>x̄V̅MMMCCCXIX</t>
        </is>
      </c>
      <c r="C18320">
        <f>ROMAN(18319)</f>
        <v/>
      </c>
      <c r="D18320">
        <f>IF(B18320=C18320, "YES", "WRONG")</f>
        <v/>
      </c>
    </row>
    <row r="18321">
      <c r="A18321" t="n">
        <v>18320</v>
      </c>
      <c r="B18321" t="inlineStr">
        <is>
          <t>x̄V̅MMMCCCXX</t>
        </is>
      </c>
      <c r="C18321">
        <f>ROMAN(18320)</f>
        <v/>
      </c>
      <c r="D18321">
        <f>IF(B18321=C18321, "YES", "WRONG")</f>
        <v/>
      </c>
    </row>
    <row r="18322">
      <c r="A18322" t="n">
        <v>18321</v>
      </c>
      <c r="B18322" t="inlineStr">
        <is>
          <t>x̄V̅MMMCCCXXI</t>
        </is>
      </c>
      <c r="C18322">
        <f>ROMAN(18321)</f>
        <v/>
      </c>
      <c r="D18322">
        <f>IF(B18322=C18322, "YES", "WRONG")</f>
        <v/>
      </c>
    </row>
    <row r="18323">
      <c r="A18323" t="n">
        <v>18322</v>
      </c>
      <c r="B18323" t="inlineStr">
        <is>
          <t>x̄V̅MMMCCCXXII</t>
        </is>
      </c>
      <c r="C18323">
        <f>ROMAN(18322)</f>
        <v/>
      </c>
      <c r="D18323">
        <f>IF(B18323=C18323, "YES", "WRONG")</f>
        <v/>
      </c>
    </row>
    <row r="18324">
      <c r="A18324" t="n">
        <v>18323</v>
      </c>
      <c r="B18324" t="inlineStr">
        <is>
          <t>x̄V̅MMMCCCXXIII</t>
        </is>
      </c>
      <c r="C18324">
        <f>ROMAN(18323)</f>
        <v/>
      </c>
      <c r="D18324">
        <f>IF(B18324=C18324, "YES", "WRONG")</f>
        <v/>
      </c>
    </row>
    <row r="18325">
      <c r="A18325" t="n">
        <v>18324</v>
      </c>
      <c r="B18325" t="inlineStr">
        <is>
          <t>x̄V̅MMMCCCXXIV</t>
        </is>
      </c>
      <c r="C18325">
        <f>ROMAN(18324)</f>
        <v/>
      </c>
      <c r="D18325">
        <f>IF(B18325=C18325, "YES", "WRONG")</f>
        <v/>
      </c>
    </row>
    <row r="18326">
      <c r="A18326" t="n">
        <v>18325</v>
      </c>
      <c r="B18326" t="inlineStr">
        <is>
          <t>x̄V̅MMMCCCXXV</t>
        </is>
      </c>
      <c r="C18326">
        <f>ROMAN(18325)</f>
        <v/>
      </c>
      <c r="D18326">
        <f>IF(B18326=C18326, "YES", "WRONG")</f>
        <v/>
      </c>
    </row>
    <row r="18327">
      <c r="A18327" t="n">
        <v>18326</v>
      </c>
      <c r="B18327" t="inlineStr">
        <is>
          <t>x̄V̅MMMCCCXXVI</t>
        </is>
      </c>
      <c r="C18327">
        <f>ROMAN(18326)</f>
        <v/>
      </c>
      <c r="D18327">
        <f>IF(B18327=C18327, "YES", "WRONG")</f>
        <v/>
      </c>
    </row>
    <row r="18328">
      <c r="A18328" t="n">
        <v>18327</v>
      </c>
      <c r="B18328" t="inlineStr">
        <is>
          <t>x̄V̅MMMCCCXXVII</t>
        </is>
      </c>
      <c r="C18328">
        <f>ROMAN(18327)</f>
        <v/>
      </c>
      <c r="D18328">
        <f>IF(B18328=C18328, "YES", "WRONG")</f>
        <v/>
      </c>
    </row>
    <row r="18329">
      <c r="A18329" t="n">
        <v>18328</v>
      </c>
      <c r="B18329" t="inlineStr">
        <is>
          <t>x̄V̅MMMCCCXXVIII</t>
        </is>
      </c>
      <c r="C18329">
        <f>ROMAN(18328)</f>
        <v/>
      </c>
      <c r="D18329">
        <f>IF(B18329=C18329, "YES", "WRONG")</f>
        <v/>
      </c>
    </row>
    <row r="18330">
      <c r="A18330" t="n">
        <v>18329</v>
      </c>
      <c r="B18330" t="inlineStr">
        <is>
          <t>x̄V̅MMMCCCXXIX</t>
        </is>
      </c>
      <c r="C18330">
        <f>ROMAN(18329)</f>
        <v/>
      </c>
      <c r="D18330">
        <f>IF(B18330=C18330, "YES", "WRONG")</f>
        <v/>
      </c>
    </row>
    <row r="18331">
      <c r="A18331" t="n">
        <v>18330</v>
      </c>
      <c r="B18331" t="inlineStr">
        <is>
          <t>x̄V̅MMMCCCXXX</t>
        </is>
      </c>
      <c r="C18331">
        <f>ROMAN(18330)</f>
        <v/>
      </c>
      <c r="D18331">
        <f>IF(B18331=C18331, "YES", "WRONG")</f>
        <v/>
      </c>
    </row>
    <row r="18332">
      <c r="A18332" t="n">
        <v>18331</v>
      </c>
      <c r="B18332" t="inlineStr">
        <is>
          <t>x̄V̅MMMCCCXXXI</t>
        </is>
      </c>
      <c r="C18332">
        <f>ROMAN(18331)</f>
        <v/>
      </c>
      <c r="D18332">
        <f>IF(B18332=C18332, "YES", "WRONG")</f>
        <v/>
      </c>
    </row>
    <row r="18333">
      <c r="A18333" t="n">
        <v>18332</v>
      </c>
      <c r="B18333" t="inlineStr">
        <is>
          <t>x̄V̅MMMCCCXXXII</t>
        </is>
      </c>
      <c r="C18333">
        <f>ROMAN(18332)</f>
        <v/>
      </c>
      <c r="D18333">
        <f>IF(B18333=C18333, "YES", "WRONG")</f>
        <v/>
      </c>
    </row>
    <row r="18334">
      <c r="A18334" t="n">
        <v>18333</v>
      </c>
      <c r="B18334" t="inlineStr">
        <is>
          <t>x̄V̅MMMCCCXXXIII</t>
        </is>
      </c>
      <c r="C18334">
        <f>ROMAN(18333)</f>
        <v/>
      </c>
      <c r="D18334">
        <f>IF(B18334=C18334, "YES", "WRONG")</f>
        <v/>
      </c>
    </row>
    <row r="18335">
      <c r="A18335" t="n">
        <v>18334</v>
      </c>
      <c r="B18335" t="inlineStr">
        <is>
          <t>x̄V̅MMMCCCXXXIV</t>
        </is>
      </c>
      <c r="C18335">
        <f>ROMAN(18334)</f>
        <v/>
      </c>
      <c r="D18335">
        <f>IF(B18335=C18335, "YES", "WRONG")</f>
        <v/>
      </c>
    </row>
    <row r="18336">
      <c r="A18336" t="n">
        <v>18335</v>
      </c>
      <c r="B18336" t="inlineStr">
        <is>
          <t>x̄V̅MMMCCCXXXV</t>
        </is>
      </c>
      <c r="C18336">
        <f>ROMAN(18335)</f>
        <v/>
      </c>
      <c r="D18336">
        <f>IF(B18336=C18336, "YES", "WRONG")</f>
        <v/>
      </c>
    </row>
    <row r="18337">
      <c r="A18337" t="n">
        <v>18336</v>
      </c>
      <c r="B18337" t="inlineStr">
        <is>
          <t>x̄V̅MMMCCCXXXVI</t>
        </is>
      </c>
      <c r="C18337">
        <f>ROMAN(18336)</f>
        <v/>
      </c>
      <c r="D18337">
        <f>IF(B18337=C18337, "YES", "WRONG")</f>
        <v/>
      </c>
    </row>
    <row r="18338">
      <c r="A18338" t="n">
        <v>18337</v>
      </c>
      <c r="B18338" t="inlineStr">
        <is>
          <t>x̄V̅MMMCCCXXXVII</t>
        </is>
      </c>
      <c r="C18338">
        <f>ROMAN(18337)</f>
        <v/>
      </c>
      <c r="D18338">
        <f>IF(B18338=C18338, "YES", "WRONG")</f>
        <v/>
      </c>
    </row>
    <row r="18339">
      <c r="A18339" t="n">
        <v>18338</v>
      </c>
      <c r="B18339" t="inlineStr">
        <is>
          <t>x̄V̅MMMCCCXXXVIII</t>
        </is>
      </c>
      <c r="C18339">
        <f>ROMAN(18338)</f>
        <v/>
      </c>
      <c r="D18339">
        <f>IF(B18339=C18339, "YES", "WRONG")</f>
        <v/>
      </c>
    </row>
    <row r="18340">
      <c r="A18340" t="n">
        <v>18339</v>
      </c>
      <c r="B18340" t="inlineStr">
        <is>
          <t>x̄V̅MMMCCCXXXIX</t>
        </is>
      </c>
      <c r="C18340">
        <f>ROMAN(18339)</f>
        <v/>
      </c>
      <c r="D18340">
        <f>IF(B18340=C18340, "YES", "WRONG")</f>
        <v/>
      </c>
    </row>
    <row r="18341">
      <c r="A18341" t="n">
        <v>18340</v>
      </c>
      <c r="B18341" t="inlineStr">
        <is>
          <t>x̄V̅MMMCCCXL</t>
        </is>
      </c>
      <c r="C18341">
        <f>ROMAN(18340)</f>
        <v/>
      </c>
      <c r="D18341">
        <f>IF(B18341=C18341, "YES", "WRONG")</f>
        <v/>
      </c>
    </row>
    <row r="18342">
      <c r="A18342" t="n">
        <v>18341</v>
      </c>
      <c r="B18342" t="inlineStr">
        <is>
          <t>x̄V̅MMMCCCXLI</t>
        </is>
      </c>
      <c r="C18342">
        <f>ROMAN(18341)</f>
        <v/>
      </c>
      <c r="D18342">
        <f>IF(B18342=C18342, "YES", "WRONG")</f>
        <v/>
      </c>
    </row>
    <row r="18343">
      <c r="A18343" t="n">
        <v>18342</v>
      </c>
      <c r="B18343" t="inlineStr">
        <is>
          <t>x̄V̅MMMCCCXLII</t>
        </is>
      </c>
      <c r="C18343">
        <f>ROMAN(18342)</f>
        <v/>
      </c>
      <c r="D18343">
        <f>IF(B18343=C18343, "YES", "WRONG")</f>
        <v/>
      </c>
    </row>
    <row r="18344">
      <c r="A18344" t="n">
        <v>18343</v>
      </c>
      <c r="B18344" t="inlineStr">
        <is>
          <t>x̄V̅MMMCCCXLIII</t>
        </is>
      </c>
      <c r="C18344">
        <f>ROMAN(18343)</f>
        <v/>
      </c>
      <c r="D18344">
        <f>IF(B18344=C18344, "YES", "WRONG")</f>
        <v/>
      </c>
    </row>
    <row r="18345">
      <c r="A18345" t="n">
        <v>18344</v>
      </c>
      <c r="B18345" t="inlineStr">
        <is>
          <t>x̄V̅MMMCCCXLIV</t>
        </is>
      </c>
      <c r="C18345">
        <f>ROMAN(18344)</f>
        <v/>
      </c>
      <c r="D18345">
        <f>IF(B18345=C18345, "YES", "WRONG")</f>
        <v/>
      </c>
    </row>
    <row r="18346">
      <c r="A18346" t="n">
        <v>18345</v>
      </c>
      <c r="B18346" t="inlineStr">
        <is>
          <t>x̄V̅MMMCCCXLV</t>
        </is>
      </c>
      <c r="C18346">
        <f>ROMAN(18345)</f>
        <v/>
      </c>
      <c r="D18346">
        <f>IF(B18346=C18346, "YES", "WRONG")</f>
        <v/>
      </c>
    </row>
    <row r="18347">
      <c r="A18347" t="n">
        <v>18346</v>
      </c>
      <c r="B18347" t="inlineStr">
        <is>
          <t>x̄V̅MMMCCCXLVI</t>
        </is>
      </c>
      <c r="C18347">
        <f>ROMAN(18346)</f>
        <v/>
      </c>
      <c r="D18347">
        <f>IF(B18347=C18347, "YES", "WRONG")</f>
        <v/>
      </c>
    </row>
    <row r="18348">
      <c r="A18348" t="n">
        <v>18347</v>
      </c>
      <c r="B18348" t="inlineStr">
        <is>
          <t>x̄V̅MMMCCCXLVII</t>
        </is>
      </c>
      <c r="C18348">
        <f>ROMAN(18347)</f>
        <v/>
      </c>
      <c r="D18348">
        <f>IF(B18348=C18348, "YES", "WRONG")</f>
        <v/>
      </c>
    </row>
    <row r="18349">
      <c r="A18349" t="n">
        <v>18348</v>
      </c>
      <c r="B18349" t="inlineStr">
        <is>
          <t>x̄V̅MMMCCCXLVIII</t>
        </is>
      </c>
      <c r="C18349">
        <f>ROMAN(18348)</f>
        <v/>
      </c>
      <c r="D18349">
        <f>IF(B18349=C18349, "YES", "WRONG")</f>
        <v/>
      </c>
    </row>
    <row r="18350">
      <c r="A18350" t="n">
        <v>18349</v>
      </c>
      <c r="B18350" t="inlineStr">
        <is>
          <t>x̄V̅MMMCCCXLIX</t>
        </is>
      </c>
      <c r="C18350">
        <f>ROMAN(18349)</f>
        <v/>
      </c>
      <c r="D18350">
        <f>IF(B18350=C18350, "YES", "WRONG")</f>
        <v/>
      </c>
    </row>
    <row r="18351">
      <c r="A18351" t="n">
        <v>18350</v>
      </c>
      <c r="B18351" t="inlineStr">
        <is>
          <t>x̄V̅MMMCCCL</t>
        </is>
      </c>
      <c r="C18351">
        <f>ROMAN(18350)</f>
        <v/>
      </c>
      <c r="D18351">
        <f>IF(B18351=C18351, "YES", "WRONG")</f>
        <v/>
      </c>
    </row>
    <row r="18352">
      <c r="A18352" t="n">
        <v>18351</v>
      </c>
      <c r="B18352" t="inlineStr">
        <is>
          <t>x̄V̅MMMCCCLI</t>
        </is>
      </c>
      <c r="C18352">
        <f>ROMAN(18351)</f>
        <v/>
      </c>
      <c r="D18352">
        <f>IF(B18352=C18352, "YES", "WRONG")</f>
        <v/>
      </c>
    </row>
    <row r="18353">
      <c r="A18353" t="n">
        <v>18352</v>
      </c>
      <c r="B18353" t="inlineStr">
        <is>
          <t>x̄V̅MMMCCCLII</t>
        </is>
      </c>
      <c r="C18353">
        <f>ROMAN(18352)</f>
        <v/>
      </c>
      <c r="D18353">
        <f>IF(B18353=C18353, "YES", "WRONG")</f>
        <v/>
      </c>
    </row>
    <row r="18354">
      <c r="A18354" t="n">
        <v>18353</v>
      </c>
      <c r="B18354" t="inlineStr">
        <is>
          <t>x̄V̅MMMCCCLIII</t>
        </is>
      </c>
      <c r="C18354">
        <f>ROMAN(18353)</f>
        <v/>
      </c>
      <c r="D18354">
        <f>IF(B18354=C18354, "YES", "WRONG")</f>
        <v/>
      </c>
    </row>
    <row r="18355">
      <c r="A18355" t="n">
        <v>18354</v>
      </c>
      <c r="B18355" t="inlineStr">
        <is>
          <t>x̄V̅MMMCCCLIV</t>
        </is>
      </c>
      <c r="C18355">
        <f>ROMAN(18354)</f>
        <v/>
      </c>
      <c r="D18355">
        <f>IF(B18355=C18355, "YES", "WRONG")</f>
        <v/>
      </c>
    </row>
    <row r="18356">
      <c r="A18356" t="n">
        <v>18355</v>
      </c>
      <c r="B18356" t="inlineStr">
        <is>
          <t>x̄V̅MMMCCCLV</t>
        </is>
      </c>
      <c r="C18356">
        <f>ROMAN(18355)</f>
        <v/>
      </c>
      <c r="D18356">
        <f>IF(B18356=C18356, "YES", "WRONG")</f>
        <v/>
      </c>
    </row>
    <row r="18357">
      <c r="A18357" t="n">
        <v>18356</v>
      </c>
      <c r="B18357" t="inlineStr">
        <is>
          <t>x̄V̅MMMCCCLVI</t>
        </is>
      </c>
      <c r="C18357">
        <f>ROMAN(18356)</f>
        <v/>
      </c>
      <c r="D18357">
        <f>IF(B18357=C18357, "YES", "WRONG")</f>
        <v/>
      </c>
    </row>
    <row r="18358">
      <c r="A18358" t="n">
        <v>18357</v>
      </c>
      <c r="B18358" t="inlineStr">
        <is>
          <t>x̄V̅MMMCCCLVII</t>
        </is>
      </c>
      <c r="C18358">
        <f>ROMAN(18357)</f>
        <v/>
      </c>
      <c r="D18358">
        <f>IF(B18358=C18358, "YES", "WRONG")</f>
        <v/>
      </c>
    </row>
    <row r="18359">
      <c r="A18359" t="n">
        <v>18358</v>
      </c>
      <c r="B18359" t="inlineStr">
        <is>
          <t>x̄V̅MMMCCCLVIII</t>
        </is>
      </c>
      <c r="C18359">
        <f>ROMAN(18358)</f>
        <v/>
      </c>
      <c r="D18359">
        <f>IF(B18359=C18359, "YES", "WRONG")</f>
        <v/>
      </c>
    </row>
    <row r="18360">
      <c r="A18360" t="n">
        <v>18359</v>
      </c>
      <c r="B18360" t="inlineStr">
        <is>
          <t>x̄V̅MMMCCCLIX</t>
        </is>
      </c>
      <c r="C18360">
        <f>ROMAN(18359)</f>
        <v/>
      </c>
      <c r="D18360">
        <f>IF(B18360=C18360, "YES", "WRONG")</f>
        <v/>
      </c>
    </row>
    <row r="18361">
      <c r="A18361" t="n">
        <v>18360</v>
      </c>
      <c r="B18361" t="inlineStr">
        <is>
          <t>x̄V̅MMMCCCLX</t>
        </is>
      </c>
      <c r="C18361">
        <f>ROMAN(18360)</f>
        <v/>
      </c>
      <c r="D18361">
        <f>IF(B18361=C18361, "YES", "WRONG")</f>
        <v/>
      </c>
    </row>
    <row r="18362">
      <c r="A18362" t="n">
        <v>18361</v>
      </c>
      <c r="B18362" t="inlineStr">
        <is>
          <t>x̄V̅MMMCCCLXI</t>
        </is>
      </c>
      <c r="C18362">
        <f>ROMAN(18361)</f>
        <v/>
      </c>
      <c r="D18362">
        <f>IF(B18362=C18362, "YES", "WRONG")</f>
        <v/>
      </c>
    </row>
    <row r="18363">
      <c r="A18363" t="n">
        <v>18362</v>
      </c>
      <c r="B18363" t="inlineStr">
        <is>
          <t>x̄V̅MMMCCCLXII</t>
        </is>
      </c>
      <c r="C18363">
        <f>ROMAN(18362)</f>
        <v/>
      </c>
      <c r="D18363">
        <f>IF(B18363=C18363, "YES", "WRONG")</f>
        <v/>
      </c>
    </row>
    <row r="18364">
      <c r="A18364" t="n">
        <v>18363</v>
      </c>
      <c r="B18364" t="inlineStr">
        <is>
          <t>x̄V̅MMMCCCLXIII</t>
        </is>
      </c>
      <c r="C18364">
        <f>ROMAN(18363)</f>
        <v/>
      </c>
      <c r="D18364">
        <f>IF(B18364=C18364, "YES", "WRONG")</f>
        <v/>
      </c>
    </row>
    <row r="18365">
      <c r="A18365" t="n">
        <v>18364</v>
      </c>
      <c r="B18365" t="inlineStr">
        <is>
          <t>x̄V̅MMMCCCLXIV</t>
        </is>
      </c>
      <c r="C18365">
        <f>ROMAN(18364)</f>
        <v/>
      </c>
      <c r="D18365">
        <f>IF(B18365=C18365, "YES", "WRONG")</f>
        <v/>
      </c>
    </row>
    <row r="18366">
      <c r="A18366" t="n">
        <v>18365</v>
      </c>
      <c r="B18366" t="inlineStr">
        <is>
          <t>x̄V̅MMMCCCLXV</t>
        </is>
      </c>
      <c r="C18366">
        <f>ROMAN(18365)</f>
        <v/>
      </c>
      <c r="D18366">
        <f>IF(B18366=C18366, "YES", "WRONG")</f>
        <v/>
      </c>
    </row>
    <row r="18367">
      <c r="A18367" t="n">
        <v>18366</v>
      </c>
      <c r="B18367" t="inlineStr">
        <is>
          <t>x̄V̅MMMCCCLXVI</t>
        </is>
      </c>
      <c r="C18367">
        <f>ROMAN(18366)</f>
        <v/>
      </c>
      <c r="D18367">
        <f>IF(B18367=C18367, "YES", "WRONG")</f>
        <v/>
      </c>
    </row>
    <row r="18368">
      <c r="A18368" t="n">
        <v>18367</v>
      </c>
      <c r="B18368" t="inlineStr">
        <is>
          <t>x̄V̅MMMCCCLXVII</t>
        </is>
      </c>
      <c r="C18368">
        <f>ROMAN(18367)</f>
        <v/>
      </c>
      <c r="D18368">
        <f>IF(B18368=C18368, "YES", "WRONG")</f>
        <v/>
      </c>
    </row>
    <row r="18369">
      <c r="A18369" t="n">
        <v>18368</v>
      </c>
      <c r="B18369" t="inlineStr">
        <is>
          <t>x̄V̅MMMCCCLXVIII</t>
        </is>
      </c>
      <c r="C18369">
        <f>ROMAN(18368)</f>
        <v/>
      </c>
      <c r="D18369">
        <f>IF(B18369=C18369, "YES", "WRONG")</f>
        <v/>
      </c>
    </row>
    <row r="18370">
      <c r="A18370" t="n">
        <v>18369</v>
      </c>
      <c r="B18370" t="inlineStr">
        <is>
          <t>x̄V̅MMMCCCLXIX</t>
        </is>
      </c>
      <c r="C18370">
        <f>ROMAN(18369)</f>
        <v/>
      </c>
      <c r="D18370">
        <f>IF(B18370=C18370, "YES", "WRONG")</f>
        <v/>
      </c>
    </row>
    <row r="18371">
      <c r="A18371" t="n">
        <v>18370</v>
      </c>
      <c r="B18371" t="inlineStr">
        <is>
          <t>x̄V̅MMMCCCLXX</t>
        </is>
      </c>
      <c r="C18371">
        <f>ROMAN(18370)</f>
        <v/>
      </c>
      <c r="D18371">
        <f>IF(B18371=C18371, "YES", "WRONG")</f>
        <v/>
      </c>
    </row>
    <row r="18372">
      <c r="A18372" t="n">
        <v>18371</v>
      </c>
      <c r="B18372" t="inlineStr">
        <is>
          <t>x̄V̅MMMCCCLXXI</t>
        </is>
      </c>
      <c r="C18372">
        <f>ROMAN(18371)</f>
        <v/>
      </c>
      <c r="D18372">
        <f>IF(B18372=C18372, "YES", "WRONG")</f>
        <v/>
      </c>
    </row>
    <row r="18373">
      <c r="A18373" t="n">
        <v>18372</v>
      </c>
      <c r="B18373" t="inlineStr">
        <is>
          <t>x̄V̅MMMCCCLXXII</t>
        </is>
      </c>
      <c r="C18373">
        <f>ROMAN(18372)</f>
        <v/>
      </c>
      <c r="D18373">
        <f>IF(B18373=C18373, "YES", "WRONG")</f>
        <v/>
      </c>
    </row>
    <row r="18374">
      <c r="A18374" t="n">
        <v>18373</v>
      </c>
      <c r="B18374" t="inlineStr">
        <is>
          <t>x̄V̅MMMCCCLXXIII</t>
        </is>
      </c>
      <c r="C18374">
        <f>ROMAN(18373)</f>
        <v/>
      </c>
      <c r="D18374">
        <f>IF(B18374=C18374, "YES", "WRONG")</f>
        <v/>
      </c>
    </row>
    <row r="18375">
      <c r="A18375" t="n">
        <v>18374</v>
      </c>
      <c r="B18375" t="inlineStr">
        <is>
          <t>x̄V̅MMMCCCLXXIV</t>
        </is>
      </c>
      <c r="C18375">
        <f>ROMAN(18374)</f>
        <v/>
      </c>
      <c r="D18375">
        <f>IF(B18375=C18375, "YES", "WRONG")</f>
        <v/>
      </c>
    </row>
    <row r="18376">
      <c r="A18376" t="n">
        <v>18375</v>
      </c>
      <c r="B18376" t="inlineStr">
        <is>
          <t>x̄V̅MMMCCCLXXV</t>
        </is>
      </c>
      <c r="C18376">
        <f>ROMAN(18375)</f>
        <v/>
      </c>
      <c r="D18376">
        <f>IF(B18376=C18376, "YES", "WRONG")</f>
        <v/>
      </c>
    </row>
    <row r="18377">
      <c r="A18377" t="n">
        <v>18376</v>
      </c>
      <c r="B18377" t="inlineStr">
        <is>
          <t>x̄V̅MMMCCCLXXVI</t>
        </is>
      </c>
      <c r="C18377">
        <f>ROMAN(18376)</f>
        <v/>
      </c>
      <c r="D18377">
        <f>IF(B18377=C18377, "YES", "WRONG")</f>
        <v/>
      </c>
    </row>
    <row r="18378">
      <c r="A18378" t="n">
        <v>18377</v>
      </c>
      <c r="B18378" t="inlineStr">
        <is>
          <t>x̄V̅MMMCCCLXXVII</t>
        </is>
      </c>
      <c r="C18378">
        <f>ROMAN(18377)</f>
        <v/>
      </c>
      <c r="D18378">
        <f>IF(B18378=C18378, "YES", "WRONG")</f>
        <v/>
      </c>
    </row>
    <row r="18379">
      <c r="A18379" t="n">
        <v>18378</v>
      </c>
      <c r="B18379" t="inlineStr">
        <is>
          <t>x̄V̅MMMCCCLXXVIII</t>
        </is>
      </c>
      <c r="C18379">
        <f>ROMAN(18378)</f>
        <v/>
      </c>
      <c r="D18379">
        <f>IF(B18379=C18379, "YES", "WRONG")</f>
        <v/>
      </c>
    </row>
    <row r="18380">
      <c r="A18380" t="n">
        <v>18379</v>
      </c>
      <c r="B18380" t="inlineStr">
        <is>
          <t>x̄V̅MMMCCCLXXIX</t>
        </is>
      </c>
      <c r="C18380">
        <f>ROMAN(18379)</f>
        <v/>
      </c>
      <c r="D18380">
        <f>IF(B18380=C18380, "YES", "WRONG")</f>
        <v/>
      </c>
    </row>
    <row r="18381">
      <c r="A18381" t="n">
        <v>18380</v>
      </c>
      <c r="B18381" t="inlineStr">
        <is>
          <t>x̄V̅MMMCCCLXXX</t>
        </is>
      </c>
      <c r="C18381">
        <f>ROMAN(18380)</f>
        <v/>
      </c>
      <c r="D18381">
        <f>IF(B18381=C18381, "YES", "WRONG")</f>
        <v/>
      </c>
    </row>
    <row r="18382">
      <c r="A18382" t="n">
        <v>18381</v>
      </c>
      <c r="B18382" t="inlineStr">
        <is>
          <t>x̄V̅MMMCCCLXXXI</t>
        </is>
      </c>
      <c r="C18382">
        <f>ROMAN(18381)</f>
        <v/>
      </c>
      <c r="D18382">
        <f>IF(B18382=C18382, "YES", "WRONG")</f>
        <v/>
      </c>
    </row>
    <row r="18383">
      <c r="A18383" t="n">
        <v>18382</v>
      </c>
      <c r="B18383" t="inlineStr">
        <is>
          <t>x̄V̅MMMCCCLXXXII</t>
        </is>
      </c>
      <c r="C18383">
        <f>ROMAN(18382)</f>
        <v/>
      </c>
      <c r="D18383">
        <f>IF(B18383=C18383, "YES", "WRONG")</f>
        <v/>
      </c>
    </row>
    <row r="18384">
      <c r="A18384" t="n">
        <v>18383</v>
      </c>
      <c r="B18384" t="inlineStr">
        <is>
          <t>x̄V̅MMMCCCLXXXIII</t>
        </is>
      </c>
      <c r="C18384">
        <f>ROMAN(18383)</f>
        <v/>
      </c>
      <c r="D18384">
        <f>IF(B18384=C18384, "YES", "WRONG")</f>
        <v/>
      </c>
    </row>
    <row r="18385">
      <c r="A18385" t="n">
        <v>18384</v>
      </c>
      <c r="B18385" t="inlineStr">
        <is>
          <t>x̄V̅MMMCCCLXXXIV</t>
        </is>
      </c>
      <c r="C18385">
        <f>ROMAN(18384)</f>
        <v/>
      </c>
      <c r="D18385">
        <f>IF(B18385=C18385, "YES", "WRONG")</f>
        <v/>
      </c>
    </row>
    <row r="18386">
      <c r="A18386" t="n">
        <v>18385</v>
      </c>
      <c r="B18386" t="inlineStr">
        <is>
          <t>x̄V̅MMMCCCLXXXV</t>
        </is>
      </c>
      <c r="C18386">
        <f>ROMAN(18385)</f>
        <v/>
      </c>
      <c r="D18386">
        <f>IF(B18386=C18386, "YES", "WRONG")</f>
        <v/>
      </c>
    </row>
    <row r="18387">
      <c r="A18387" t="n">
        <v>18386</v>
      </c>
      <c r="B18387" t="inlineStr">
        <is>
          <t>x̄V̅MMMCCCLXXXVI</t>
        </is>
      </c>
      <c r="C18387">
        <f>ROMAN(18386)</f>
        <v/>
      </c>
      <c r="D18387">
        <f>IF(B18387=C18387, "YES", "WRONG")</f>
        <v/>
      </c>
    </row>
    <row r="18388">
      <c r="A18388" t="n">
        <v>18387</v>
      </c>
      <c r="B18388" t="inlineStr">
        <is>
          <t>x̄V̅MMMCCCLXXXVII</t>
        </is>
      </c>
      <c r="C18388">
        <f>ROMAN(18387)</f>
        <v/>
      </c>
      <c r="D18388">
        <f>IF(B18388=C18388, "YES", "WRONG")</f>
        <v/>
      </c>
    </row>
    <row r="18389">
      <c r="A18389" t="n">
        <v>18388</v>
      </c>
      <c r="B18389" t="inlineStr">
        <is>
          <t>x̄V̅MMMCCCLXXXVIII</t>
        </is>
      </c>
      <c r="C18389">
        <f>ROMAN(18388)</f>
        <v/>
      </c>
      <c r="D18389">
        <f>IF(B18389=C18389, "YES", "WRONG")</f>
        <v/>
      </c>
    </row>
    <row r="18390">
      <c r="A18390" t="n">
        <v>18389</v>
      </c>
      <c r="B18390" t="inlineStr">
        <is>
          <t>x̄V̅MMMCCCLXXXIX</t>
        </is>
      </c>
      <c r="C18390">
        <f>ROMAN(18389)</f>
        <v/>
      </c>
      <c r="D18390">
        <f>IF(B18390=C18390, "YES", "WRONG")</f>
        <v/>
      </c>
    </row>
    <row r="18391">
      <c r="A18391" t="n">
        <v>18390</v>
      </c>
      <c r="B18391" t="inlineStr">
        <is>
          <t>x̄V̅MMMCCCXC</t>
        </is>
      </c>
      <c r="C18391">
        <f>ROMAN(18390)</f>
        <v/>
      </c>
      <c r="D18391">
        <f>IF(B18391=C18391, "YES", "WRONG")</f>
        <v/>
      </c>
    </row>
    <row r="18392">
      <c r="A18392" t="n">
        <v>18391</v>
      </c>
      <c r="B18392" t="inlineStr">
        <is>
          <t>x̄V̅MMMCCCXCI</t>
        </is>
      </c>
      <c r="C18392">
        <f>ROMAN(18391)</f>
        <v/>
      </c>
      <c r="D18392">
        <f>IF(B18392=C18392, "YES", "WRONG")</f>
        <v/>
      </c>
    </row>
    <row r="18393">
      <c r="A18393" t="n">
        <v>18392</v>
      </c>
      <c r="B18393" t="inlineStr">
        <is>
          <t>x̄V̅MMMCCCXCII</t>
        </is>
      </c>
      <c r="C18393">
        <f>ROMAN(18392)</f>
        <v/>
      </c>
      <c r="D18393">
        <f>IF(B18393=C18393, "YES", "WRONG")</f>
        <v/>
      </c>
    </row>
    <row r="18394">
      <c r="A18394" t="n">
        <v>18393</v>
      </c>
      <c r="B18394" t="inlineStr">
        <is>
          <t>x̄V̅MMMCCCXCIII</t>
        </is>
      </c>
      <c r="C18394">
        <f>ROMAN(18393)</f>
        <v/>
      </c>
      <c r="D18394">
        <f>IF(B18394=C18394, "YES", "WRONG")</f>
        <v/>
      </c>
    </row>
    <row r="18395">
      <c r="A18395" t="n">
        <v>18394</v>
      </c>
      <c r="B18395" t="inlineStr">
        <is>
          <t>x̄V̅MMMCCCXCIV</t>
        </is>
      </c>
      <c r="C18395">
        <f>ROMAN(18394)</f>
        <v/>
      </c>
      <c r="D18395">
        <f>IF(B18395=C18395, "YES", "WRONG")</f>
        <v/>
      </c>
    </row>
    <row r="18396">
      <c r="A18396" t="n">
        <v>18395</v>
      </c>
      <c r="B18396" t="inlineStr">
        <is>
          <t>x̄V̅MMMCCCXCV</t>
        </is>
      </c>
      <c r="C18396">
        <f>ROMAN(18395)</f>
        <v/>
      </c>
      <c r="D18396">
        <f>IF(B18396=C18396, "YES", "WRONG")</f>
        <v/>
      </c>
    </row>
    <row r="18397">
      <c r="A18397" t="n">
        <v>18396</v>
      </c>
      <c r="B18397" t="inlineStr">
        <is>
          <t>x̄V̅MMMCCCXCVI</t>
        </is>
      </c>
      <c r="C18397">
        <f>ROMAN(18396)</f>
        <v/>
      </c>
      <c r="D18397">
        <f>IF(B18397=C18397, "YES", "WRONG")</f>
        <v/>
      </c>
    </row>
    <row r="18398">
      <c r="A18398" t="n">
        <v>18397</v>
      </c>
      <c r="B18398" t="inlineStr">
        <is>
          <t>x̄V̅MMMCCCXCVII</t>
        </is>
      </c>
      <c r="C18398">
        <f>ROMAN(18397)</f>
        <v/>
      </c>
      <c r="D18398">
        <f>IF(B18398=C18398, "YES", "WRONG")</f>
        <v/>
      </c>
    </row>
    <row r="18399">
      <c r="A18399" t="n">
        <v>18398</v>
      </c>
      <c r="B18399" t="inlineStr">
        <is>
          <t>x̄V̅MMMCCCXCVIII</t>
        </is>
      </c>
      <c r="C18399">
        <f>ROMAN(18398)</f>
        <v/>
      </c>
      <c r="D18399">
        <f>IF(B18399=C18399, "YES", "WRONG")</f>
        <v/>
      </c>
    </row>
    <row r="18400">
      <c r="A18400" t="n">
        <v>18399</v>
      </c>
      <c r="B18400" t="inlineStr">
        <is>
          <t>x̄V̅MMMCCCXCIX</t>
        </is>
      </c>
      <c r="C18400">
        <f>ROMAN(18399)</f>
        <v/>
      </c>
      <c r="D18400">
        <f>IF(B18400=C18400, "YES", "WRONG")</f>
        <v/>
      </c>
    </row>
    <row r="18401">
      <c r="A18401" t="n">
        <v>18400</v>
      </c>
      <c r="B18401" t="inlineStr">
        <is>
          <t>x̄V̅MMMCD</t>
        </is>
      </c>
      <c r="C18401">
        <f>ROMAN(18400)</f>
        <v/>
      </c>
      <c r="D18401">
        <f>IF(B18401=C18401, "YES", "WRONG")</f>
        <v/>
      </c>
    </row>
    <row r="18402">
      <c r="A18402" t="n">
        <v>18401</v>
      </c>
      <c r="B18402" t="inlineStr">
        <is>
          <t>x̄V̅MMMCDI</t>
        </is>
      </c>
      <c r="C18402">
        <f>ROMAN(18401)</f>
        <v/>
      </c>
      <c r="D18402">
        <f>IF(B18402=C18402, "YES", "WRONG")</f>
        <v/>
      </c>
    </row>
    <row r="18403">
      <c r="A18403" t="n">
        <v>18402</v>
      </c>
      <c r="B18403" t="inlineStr">
        <is>
          <t>x̄V̅MMMCDII</t>
        </is>
      </c>
      <c r="C18403">
        <f>ROMAN(18402)</f>
        <v/>
      </c>
      <c r="D18403">
        <f>IF(B18403=C18403, "YES", "WRONG")</f>
        <v/>
      </c>
    </row>
    <row r="18404">
      <c r="A18404" t="n">
        <v>18403</v>
      </c>
      <c r="B18404" t="inlineStr">
        <is>
          <t>x̄V̅MMMCDIII</t>
        </is>
      </c>
      <c r="C18404">
        <f>ROMAN(18403)</f>
        <v/>
      </c>
      <c r="D18404">
        <f>IF(B18404=C18404, "YES", "WRONG")</f>
        <v/>
      </c>
    </row>
    <row r="18405">
      <c r="A18405" t="n">
        <v>18404</v>
      </c>
      <c r="B18405" t="inlineStr">
        <is>
          <t>x̄V̅MMMCDIV</t>
        </is>
      </c>
      <c r="C18405">
        <f>ROMAN(18404)</f>
        <v/>
      </c>
      <c r="D18405">
        <f>IF(B18405=C18405, "YES", "WRONG")</f>
        <v/>
      </c>
    </row>
    <row r="18406">
      <c r="A18406" t="n">
        <v>18405</v>
      </c>
      <c r="B18406" t="inlineStr">
        <is>
          <t>x̄V̅MMMCDV</t>
        </is>
      </c>
      <c r="C18406">
        <f>ROMAN(18405)</f>
        <v/>
      </c>
      <c r="D18406">
        <f>IF(B18406=C18406, "YES", "WRONG")</f>
        <v/>
      </c>
    </row>
    <row r="18407">
      <c r="A18407" t="n">
        <v>18406</v>
      </c>
      <c r="B18407" t="inlineStr">
        <is>
          <t>x̄V̅MMMCDVI</t>
        </is>
      </c>
      <c r="C18407">
        <f>ROMAN(18406)</f>
        <v/>
      </c>
      <c r="D18407">
        <f>IF(B18407=C18407, "YES", "WRONG")</f>
        <v/>
      </c>
    </row>
    <row r="18408">
      <c r="A18408" t="n">
        <v>18407</v>
      </c>
      <c r="B18408" t="inlineStr">
        <is>
          <t>x̄V̅MMMCDVII</t>
        </is>
      </c>
      <c r="C18408">
        <f>ROMAN(18407)</f>
        <v/>
      </c>
      <c r="D18408">
        <f>IF(B18408=C18408, "YES", "WRONG")</f>
        <v/>
      </c>
    </row>
    <row r="18409">
      <c r="A18409" t="n">
        <v>18408</v>
      </c>
      <c r="B18409" t="inlineStr">
        <is>
          <t>x̄V̅MMMCDVIII</t>
        </is>
      </c>
      <c r="C18409">
        <f>ROMAN(18408)</f>
        <v/>
      </c>
      <c r="D18409">
        <f>IF(B18409=C18409, "YES", "WRONG")</f>
        <v/>
      </c>
    </row>
    <row r="18410">
      <c r="A18410" t="n">
        <v>18409</v>
      </c>
      <c r="B18410" t="inlineStr">
        <is>
          <t>x̄V̅MMMCDIX</t>
        </is>
      </c>
      <c r="C18410">
        <f>ROMAN(18409)</f>
        <v/>
      </c>
      <c r="D18410">
        <f>IF(B18410=C18410, "YES", "WRONG")</f>
        <v/>
      </c>
    </row>
    <row r="18411">
      <c r="A18411" t="n">
        <v>18410</v>
      </c>
      <c r="B18411" t="inlineStr">
        <is>
          <t>x̄V̅MMMCDX</t>
        </is>
      </c>
      <c r="C18411">
        <f>ROMAN(18410)</f>
        <v/>
      </c>
      <c r="D18411">
        <f>IF(B18411=C18411, "YES", "WRONG")</f>
        <v/>
      </c>
    </row>
    <row r="18412">
      <c r="A18412" t="n">
        <v>18411</v>
      </c>
      <c r="B18412" t="inlineStr">
        <is>
          <t>x̄V̅MMMCDXI</t>
        </is>
      </c>
      <c r="C18412">
        <f>ROMAN(18411)</f>
        <v/>
      </c>
      <c r="D18412">
        <f>IF(B18412=C18412, "YES", "WRONG")</f>
        <v/>
      </c>
    </row>
    <row r="18413">
      <c r="A18413" t="n">
        <v>18412</v>
      </c>
      <c r="B18413" t="inlineStr">
        <is>
          <t>x̄V̅MMMCDXII</t>
        </is>
      </c>
      <c r="C18413">
        <f>ROMAN(18412)</f>
        <v/>
      </c>
      <c r="D18413">
        <f>IF(B18413=C18413, "YES", "WRONG")</f>
        <v/>
      </c>
    </row>
    <row r="18414">
      <c r="A18414" t="n">
        <v>18413</v>
      </c>
      <c r="B18414" t="inlineStr">
        <is>
          <t>x̄V̅MMMCDXIII</t>
        </is>
      </c>
      <c r="C18414">
        <f>ROMAN(18413)</f>
        <v/>
      </c>
      <c r="D18414">
        <f>IF(B18414=C18414, "YES", "WRONG")</f>
        <v/>
      </c>
    </row>
    <row r="18415">
      <c r="A18415" t="n">
        <v>18414</v>
      </c>
      <c r="B18415" t="inlineStr">
        <is>
          <t>x̄V̅MMMCDXIV</t>
        </is>
      </c>
      <c r="C18415">
        <f>ROMAN(18414)</f>
        <v/>
      </c>
      <c r="D18415">
        <f>IF(B18415=C18415, "YES", "WRONG")</f>
        <v/>
      </c>
    </row>
    <row r="18416">
      <c r="A18416" t="n">
        <v>18415</v>
      </c>
      <c r="B18416" t="inlineStr">
        <is>
          <t>x̄V̅MMMCDXV</t>
        </is>
      </c>
      <c r="C18416">
        <f>ROMAN(18415)</f>
        <v/>
      </c>
      <c r="D18416">
        <f>IF(B18416=C18416, "YES", "WRONG")</f>
        <v/>
      </c>
    </row>
    <row r="18417">
      <c r="A18417" t="n">
        <v>18416</v>
      </c>
      <c r="B18417" t="inlineStr">
        <is>
          <t>x̄V̅MMMCDXVI</t>
        </is>
      </c>
      <c r="C18417">
        <f>ROMAN(18416)</f>
        <v/>
      </c>
      <c r="D18417">
        <f>IF(B18417=C18417, "YES", "WRONG")</f>
        <v/>
      </c>
    </row>
    <row r="18418">
      <c r="A18418" t="n">
        <v>18417</v>
      </c>
      <c r="B18418" t="inlineStr">
        <is>
          <t>x̄V̅MMMCDXVII</t>
        </is>
      </c>
      <c r="C18418">
        <f>ROMAN(18417)</f>
        <v/>
      </c>
      <c r="D18418">
        <f>IF(B18418=C18418, "YES", "WRONG")</f>
        <v/>
      </c>
    </row>
    <row r="18419">
      <c r="A18419" t="n">
        <v>18418</v>
      </c>
      <c r="B18419" t="inlineStr">
        <is>
          <t>x̄V̅MMMCDXVIII</t>
        </is>
      </c>
      <c r="C18419">
        <f>ROMAN(18418)</f>
        <v/>
      </c>
      <c r="D18419">
        <f>IF(B18419=C18419, "YES", "WRONG")</f>
        <v/>
      </c>
    </row>
    <row r="18420">
      <c r="A18420" t="n">
        <v>18419</v>
      </c>
      <c r="B18420" t="inlineStr">
        <is>
          <t>x̄V̅MMMCDXIX</t>
        </is>
      </c>
      <c r="C18420">
        <f>ROMAN(18419)</f>
        <v/>
      </c>
      <c r="D18420">
        <f>IF(B18420=C18420, "YES", "WRONG")</f>
        <v/>
      </c>
    </row>
    <row r="18421">
      <c r="A18421" t="n">
        <v>18420</v>
      </c>
      <c r="B18421" t="inlineStr">
        <is>
          <t>x̄V̅MMMCDXX</t>
        </is>
      </c>
      <c r="C18421">
        <f>ROMAN(18420)</f>
        <v/>
      </c>
      <c r="D18421">
        <f>IF(B18421=C18421, "YES", "WRONG")</f>
        <v/>
      </c>
    </row>
    <row r="18422">
      <c r="A18422" t="n">
        <v>18421</v>
      </c>
      <c r="B18422" t="inlineStr">
        <is>
          <t>x̄V̅MMMCDXXI</t>
        </is>
      </c>
      <c r="C18422">
        <f>ROMAN(18421)</f>
        <v/>
      </c>
      <c r="D18422">
        <f>IF(B18422=C18422, "YES", "WRONG")</f>
        <v/>
      </c>
    </row>
    <row r="18423">
      <c r="A18423" t="n">
        <v>18422</v>
      </c>
      <c r="B18423" t="inlineStr">
        <is>
          <t>x̄V̅MMMCDXXII</t>
        </is>
      </c>
      <c r="C18423">
        <f>ROMAN(18422)</f>
        <v/>
      </c>
      <c r="D18423">
        <f>IF(B18423=C18423, "YES", "WRONG")</f>
        <v/>
      </c>
    </row>
    <row r="18424">
      <c r="A18424" t="n">
        <v>18423</v>
      </c>
      <c r="B18424" t="inlineStr">
        <is>
          <t>x̄V̅MMMCDXXIII</t>
        </is>
      </c>
      <c r="C18424">
        <f>ROMAN(18423)</f>
        <v/>
      </c>
      <c r="D18424">
        <f>IF(B18424=C18424, "YES", "WRONG")</f>
        <v/>
      </c>
    </row>
    <row r="18425">
      <c r="A18425" t="n">
        <v>18424</v>
      </c>
      <c r="B18425" t="inlineStr">
        <is>
          <t>x̄V̅MMMCDXXIV</t>
        </is>
      </c>
      <c r="C18425">
        <f>ROMAN(18424)</f>
        <v/>
      </c>
      <c r="D18425">
        <f>IF(B18425=C18425, "YES", "WRONG")</f>
        <v/>
      </c>
    </row>
    <row r="18426">
      <c r="A18426" t="n">
        <v>18425</v>
      </c>
      <c r="B18426" t="inlineStr">
        <is>
          <t>x̄V̅MMMCDXXV</t>
        </is>
      </c>
      <c r="C18426">
        <f>ROMAN(18425)</f>
        <v/>
      </c>
      <c r="D18426">
        <f>IF(B18426=C18426, "YES", "WRONG")</f>
        <v/>
      </c>
    </row>
    <row r="18427">
      <c r="A18427" t="n">
        <v>18426</v>
      </c>
      <c r="B18427" t="inlineStr">
        <is>
          <t>x̄V̅MMMCDXXVI</t>
        </is>
      </c>
      <c r="C18427">
        <f>ROMAN(18426)</f>
        <v/>
      </c>
      <c r="D18427">
        <f>IF(B18427=C18427, "YES", "WRONG")</f>
        <v/>
      </c>
    </row>
    <row r="18428">
      <c r="A18428" t="n">
        <v>18427</v>
      </c>
      <c r="B18428" t="inlineStr">
        <is>
          <t>x̄V̅MMMCDXXVII</t>
        </is>
      </c>
      <c r="C18428">
        <f>ROMAN(18427)</f>
        <v/>
      </c>
      <c r="D18428">
        <f>IF(B18428=C18428, "YES", "WRONG")</f>
        <v/>
      </c>
    </row>
    <row r="18429">
      <c r="A18429" t="n">
        <v>18428</v>
      </c>
      <c r="B18429" t="inlineStr">
        <is>
          <t>x̄V̅MMMCDXXVIII</t>
        </is>
      </c>
      <c r="C18429">
        <f>ROMAN(18428)</f>
        <v/>
      </c>
      <c r="D18429">
        <f>IF(B18429=C18429, "YES", "WRONG")</f>
        <v/>
      </c>
    </row>
    <row r="18430">
      <c r="A18430" t="n">
        <v>18429</v>
      </c>
      <c r="B18430" t="inlineStr">
        <is>
          <t>x̄V̅MMMCDXXIX</t>
        </is>
      </c>
      <c r="C18430">
        <f>ROMAN(18429)</f>
        <v/>
      </c>
      <c r="D18430">
        <f>IF(B18430=C18430, "YES", "WRONG")</f>
        <v/>
      </c>
    </row>
    <row r="18431">
      <c r="A18431" t="n">
        <v>18430</v>
      </c>
      <c r="B18431" t="inlineStr">
        <is>
          <t>x̄V̅MMMCDXXX</t>
        </is>
      </c>
      <c r="C18431">
        <f>ROMAN(18430)</f>
        <v/>
      </c>
      <c r="D18431">
        <f>IF(B18431=C18431, "YES", "WRONG")</f>
        <v/>
      </c>
    </row>
    <row r="18432">
      <c r="A18432" t="n">
        <v>18431</v>
      </c>
      <c r="B18432" t="inlineStr">
        <is>
          <t>x̄V̅MMMCDXXXI</t>
        </is>
      </c>
      <c r="C18432">
        <f>ROMAN(18431)</f>
        <v/>
      </c>
      <c r="D18432">
        <f>IF(B18432=C18432, "YES", "WRONG")</f>
        <v/>
      </c>
    </row>
    <row r="18433">
      <c r="A18433" t="n">
        <v>18432</v>
      </c>
      <c r="B18433" t="inlineStr">
        <is>
          <t>x̄V̅MMMCDXXXII</t>
        </is>
      </c>
      <c r="C18433">
        <f>ROMAN(18432)</f>
        <v/>
      </c>
      <c r="D18433">
        <f>IF(B18433=C18433, "YES", "WRONG")</f>
        <v/>
      </c>
    </row>
    <row r="18434">
      <c r="A18434" t="n">
        <v>18433</v>
      </c>
      <c r="B18434" t="inlineStr">
        <is>
          <t>x̄V̅MMMCDXXXIII</t>
        </is>
      </c>
      <c r="C18434">
        <f>ROMAN(18433)</f>
        <v/>
      </c>
      <c r="D18434">
        <f>IF(B18434=C18434, "YES", "WRONG")</f>
        <v/>
      </c>
    </row>
    <row r="18435">
      <c r="A18435" t="n">
        <v>18434</v>
      </c>
      <c r="B18435" t="inlineStr">
        <is>
          <t>x̄V̅MMMCDXXXIV</t>
        </is>
      </c>
      <c r="C18435">
        <f>ROMAN(18434)</f>
        <v/>
      </c>
      <c r="D18435">
        <f>IF(B18435=C18435, "YES", "WRONG")</f>
        <v/>
      </c>
    </row>
    <row r="18436">
      <c r="A18436" t="n">
        <v>18435</v>
      </c>
      <c r="B18436" t="inlineStr">
        <is>
          <t>x̄V̅MMMCDXXXV</t>
        </is>
      </c>
      <c r="C18436">
        <f>ROMAN(18435)</f>
        <v/>
      </c>
      <c r="D18436">
        <f>IF(B18436=C18436, "YES", "WRONG")</f>
        <v/>
      </c>
    </row>
    <row r="18437">
      <c r="A18437" t="n">
        <v>18436</v>
      </c>
      <c r="B18437" t="inlineStr">
        <is>
          <t>x̄V̅MMMCDXXXVI</t>
        </is>
      </c>
      <c r="C18437">
        <f>ROMAN(18436)</f>
        <v/>
      </c>
      <c r="D18437">
        <f>IF(B18437=C18437, "YES", "WRONG")</f>
        <v/>
      </c>
    </row>
    <row r="18438">
      <c r="A18438" t="n">
        <v>18437</v>
      </c>
      <c r="B18438" t="inlineStr">
        <is>
          <t>x̄V̅MMMCDXXXVII</t>
        </is>
      </c>
      <c r="C18438">
        <f>ROMAN(18437)</f>
        <v/>
      </c>
      <c r="D18438">
        <f>IF(B18438=C18438, "YES", "WRONG")</f>
        <v/>
      </c>
    </row>
    <row r="18439">
      <c r="A18439" t="n">
        <v>18438</v>
      </c>
      <c r="B18439" t="inlineStr">
        <is>
          <t>x̄V̅MMMCDXXXVIII</t>
        </is>
      </c>
      <c r="C18439">
        <f>ROMAN(18438)</f>
        <v/>
      </c>
      <c r="D18439">
        <f>IF(B18439=C18439, "YES", "WRONG")</f>
        <v/>
      </c>
    </row>
    <row r="18440">
      <c r="A18440" t="n">
        <v>18439</v>
      </c>
      <c r="B18440" t="inlineStr">
        <is>
          <t>x̄V̅MMMCDXXXIX</t>
        </is>
      </c>
      <c r="C18440">
        <f>ROMAN(18439)</f>
        <v/>
      </c>
      <c r="D18440">
        <f>IF(B18440=C18440, "YES", "WRONG")</f>
        <v/>
      </c>
    </row>
    <row r="18441">
      <c r="A18441" t="n">
        <v>18440</v>
      </c>
      <c r="B18441" t="inlineStr">
        <is>
          <t>x̄V̅MMMCDXL</t>
        </is>
      </c>
      <c r="C18441">
        <f>ROMAN(18440)</f>
        <v/>
      </c>
      <c r="D18441">
        <f>IF(B18441=C18441, "YES", "WRONG")</f>
        <v/>
      </c>
    </row>
    <row r="18442">
      <c r="A18442" t="n">
        <v>18441</v>
      </c>
      <c r="B18442" t="inlineStr">
        <is>
          <t>x̄V̅MMMCDXLI</t>
        </is>
      </c>
      <c r="C18442">
        <f>ROMAN(18441)</f>
        <v/>
      </c>
      <c r="D18442">
        <f>IF(B18442=C18442, "YES", "WRONG")</f>
        <v/>
      </c>
    </row>
    <row r="18443">
      <c r="A18443" t="n">
        <v>18442</v>
      </c>
      <c r="B18443" t="inlineStr">
        <is>
          <t>x̄V̅MMMCDXLII</t>
        </is>
      </c>
      <c r="C18443">
        <f>ROMAN(18442)</f>
        <v/>
      </c>
      <c r="D18443">
        <f>IF(B18443=C18443, "YES", "WRONG")</f>
        <v/>
      </c>
    </row>
    <row r="18444">
      <c r="A18444" t="n">
        <v>18443</v>
      </c>
      <c r="B18444" t="inlineStr">
        <is>
          <t>x̄V̅MMMCDXLIII</t>
        </is>
      </c>
      <c r="C18444">
        <f>ROMAN(18443)</f>
        <v/>
      </c>
      <c r="D18444">
        <f>IF(B18444=C18444, "YES", "WRONG")</f>
        <v/>
      </c>
    </row>
    <row r="18445">
      <c r="A18445" t="n">
        <v>18444</v>
      </c>
      <c r="B18445" t="inlineStr">
        <is>
          <t>x̄V̅MMMCDXLIV</t>
        </is>
      </c>
      <c r="C18445">
        <f>ROMAN(18444)</f>
        <v/>
      </c>
      <c r="D18445">
        <f>IF(B18445=C18445, "YES", "WRONG")</f>
        <v/>
      </c>
    </row>
    <row r="18446">
      <c r="A18446" t="n">
        <v>18445</v>
      </c>
      <c r="B18446" t="inlineStr">
        <is>
          <t>x̄V̅MMMCDXLV</t>
        </is>
      </c>
      <c r="C18446">
        <f>ROMAN(18445)</f>
        <v/>
      </c>
      <c r="D18446">
        <f>IF(B18446=C18446, "YES", "WRONG")</f>
        <v/>
      </c>
    </row>
    <row r="18447">
      <c r="A18447" t="n">
        <v>18446</v>
      </c>
      <c r="B18447" t="inlineStr">
        <is>
          <t>x̄V̅MMMCDXLVI</t>
        </is>
      </c>
      <c r="C18447">
        <f>ROMAN(18446)</f>
        <v/>
      </c>
      <c r="D18447">
        <f>IF(B18447=C18447, "YES", "WRONG")</f>
        <v/>
      </c>
    </row>
    <row r="18448">
      <c r="A18448" t="n">
        <v>18447</v>
      </c>
      <c r="B18448" t="inlineStr">
        <is>
          <t>x̄V̅MMMCDXLVII</t>
        </is>
      </c>
      <c r="C18448">
        <f>ROMAN(18447)</f>
        <v/>
      </c>
      <c r="D18448">
        <f>IF(B18448=C18448, "YES", "WRONG")</f>
        <v/>
      </c>
    </row>
    <row r="18449">
      <c r="A18449" t="n">
        <v>18448</v>
      </c>
      <c r="B18449" t="inlineStr">
        <is>
          <t>x̄V̅MMMCDXLVIII</t>
        </is>
      </c>
      <c r="C18449">
        <f>ROMAN(18448)</f>
        <v/>
      </c>
      <c r="D18449">
        <f>IF(B18449=C18449, "YES", "WRONG")</f>
        <v/>
      </c>
    </row>
    <row r="18450">
      <c r="A18450" t="n">
        <v>18449</v>
      </c>
      <c r="B18450" t="inlineStr">
        <is>
          <t>x̄V̅MMMCDXLIX</t>
        </is>
      </c>
      <c r="C18450">
        <f>ROMAN(18449)</f>
        <v/>
      </c>
      <c r="D18450">
        <f>IF(B18450=C18450, "YES", "WRONG")</f>
        <v/>
      </c>
    </row>
    <row r="18451">
      <c r="A18451" t="n">
        <v>18450</v>
      </c>
      <c r="B18451" t="inlineStr">
        <is>
          <t>x̄V̅MMMCDL</t>
        </is>
      </c>
      <c r="C18451">
        <f>ROMAN(18450)</f>
        <v/>
      </c>
      <c r="D18451">
        <f>IF(B18451=C18451, "YES", "WRONG")</f>
        <v/>
      </c>
    </row>
    <row r="18452">
      <c r="A18452" t="n">
        <v>18451</v>
      </c>
      <c r="B18452" t="inlineStr">
        <is>
          <t>x̄V̅MMMCDLI</t>
        </is>
      </c>
      <c r="C18452">
        <f>ROMAN(18451)</f>
        <v/>
      </c>
      <c r="D18452">
        <f>IF(B18452=C18452, "YES", "WRONG")</f>
        <v/>
      </c>
    </row>
    <row r="18453">
      <c r="A18453" t="n">
        <v>18452</v>
      </c>
      <c r="B18453" t="inlineStr">
        <is>
          <t>x̄V̅MMMCDLII</t>
        </is>
      </c>
      <c r="C18453">
        <f>ROMAN(18452)</f>
        <v/>
      </c>
      <c r="D18453">
        <f>IF(B18453=C18453, "YES", "WRONG")</f>
        <v/>
      </c>
    </row>
    <row r="18454">
      <c r="A18454" t="n">
        <v>18453</v>
      </c>
      <c r="B18454" t="inlineStr">
        <is>
          <t>x̄V̅MMMCDLIII</t>
        </is>
      </c>
      <c r="C18454">
        <f>ROMAN(18453)</f>
        <v/>
      </c>
      <c r="D18454">
        <f>IF(B18454=C18454, "YES", "WRONG")</f>
        <v/>
      </c>
    </row>
    <row r="18455">
      <c r="A18455" t="n">
        <v>18454</v>
      </c>
      <c r="B18455" t="inlineStr">
        <is>
          <t>x̄V̅MMMCDLIV</t>
        </is>
      </c>
      <c r="C18455">
        <f>ROMAN(18454)</f>
        <v/>
      </c>
      <c r="D18455">
        <f>IF(B18455=C18455, "YES", "WRONG")</f>
        <v/>
      </c>
    </row>
    <row r="18456">
      <c r="A18456" t="n">
        <v>18455</v>
      </c>
      <c r="B18456" t="inlineStr">
        <is>
          <t>x̄V̅MMMCDLV</t>
        </is>
      </c>
      <c r="C18456">
        <f>ROMAN(18455)</f>
        <v/>
      </c>
      <c r="D18456">
        <f>IF(B18456=C18456, "YES", "WRONG")</f>
        <v/>
      </c>
    </row>
    <row r="18457">
      <c r="A18457" t="n">
        <v>18456</v>
      </c>
      <c r="B18457" t="inlineStr">
        <is>
          <t>x̄V̅MMMCDLVI</t>
        </is>
      </c>
      <c r="C18457">
        <f>ROMAN(18456)</f>
        <v/>
      </c>
      <c r="D18457">
        <f>IF(B18457=C18457, "YES", "WRONG")</f>
        <v/>
      </c>
    </row>
    <row r="18458">
      <c r="A18458" t="n">
        <v>18457</v>
      </c>
      <c r="B18458" t="inlineStr">
        <is>
          <t>x̄V̅MMMCDLVII</t>
        </is>
      </c>
      <c r="C18458">
        <f>ROMAN(18457)</f>
        <v/>
      </c>
      <c r="D18458">
        <f>IF(B18458=C18458, "YES", "WRONG")</f>
        <v/>
      </c>
    </row>
    <row r="18459">
      <c r="A18459" t="n">
        <v>18458</v>
      </c>
      <c r="B18459" t="inlineStr">
        <is>
          <t>x̄V̅MMMCDLVIII</t>
        </is>
      </c>
      <c r="C18459">
        <f>ROMAN(18458)</f>
        <v/>
      </c>
      <c r="D18459">
        <f>IF(B18459=C18459, "YES", "WRONG")</f>
        <v/>
      </c>
    </row>
    <row r="18460">
      <c r="A18460" t="n">
        <v>18459</v>
      </c>
      <c r="B18460" t="inlineStr">
        <is>
          <t>x̄V̅MMMCDLIX</t>
        </is>
      </c>
      <c r="C18460">
        <f>ROMAN(18459)</f>
        <v/>
      </c>
      <c r="D18460">
        <f>IF(B18460=C18460, "YES", "WRONG")</f>
        <v/>
      </c>
    </row>
    <row r="18461">
      <c r="A18461" t="n">
        <v>18460</v>
      </c>
      <c r="B18461" t="inlineStr">
        <is>
          <t>x̄V̅MMMCDLX</t>
        </is>
      </c>
      <c r="C18461">
        <f>ROMAN(18460)</f>
        <v/>
      </c>
      <c r="D18461">
        <f>IF(B18461=C18461, "YES", "WRONG")</f>
        <v/>
      </c>
    </row>
    <row r="18462">
      <c r="A18462" t="n">
        <v>18461</v>
      </c>
      <c r="B18462" t="inlineStr">
        <is>
          <t>x̄V̅MMMCDLXI</t>
        </is>
      </c>
      <c r="C18462">
        <f>ROMAN(18461)</f>
        <v/>
      </c>
      <c r="D18462">
        <f>IF(B18462=C18462, "YES", "WRONG")</f>
        <v/>
      </c>
    </row>
    <row r="18463">
      <c r="A18463" t="n">
        <v>18462</v>
      </c>
      <c r="B18463" t="inlineStr">
        <is>
          <t>x̄V̅MMMCDLXII</t>
        </is>
      </c>
      <c r="C18463">
        <f>ROMAN(18462)</f>
        <v/>
      </c>
      <c r="D18463">
        <f>IF(B18463=C18463, "YES", "WRONG")</f>
        <v/>
      </c>
    </row>
    <row r="18464">
      <c r="A18464" t="n">
        <v>18463</v>
      </c>
      <c r="B18464" t="inlineStr">
        <is>
          <t>x̄V̅MMMCDLXIII</t>
        </is>
      </c>
      <c r="C18464">
        <f>ROMAN(18463)</f>
        <v/>
      </c>
      <c r="D18464">
        <f>IF(B18464=C18464, "YES", "WRONG")</f>
        <v/>
      </c>
    </row>
    <row r="18465">
      <c r="A18465" t="n">
        <v>18464</v>
      </c>
      <c r="B18465" t="inlineStr">
        <is>
          <t>x̄V̅MMMCDLXIV</t>
        </is>
      </c>
      <c r="C18465">
        <f>ROMAN(18464)</f>
        <v/>
      </c>
      <c r="D18465">
        <f>IF(B18465=C18465, "YES", "WRONG")</f>
        <v/>
      </c>
    </row>
    <row r="18466">
      <c r="A18466" t="n">
        <v>18465</v>
      </c>
      <c r="B18466" t="inlineStr">
        <is>
          <t>x̄V̅MMMCDLXV</t>
        </is>
      </c>
      <c r="C18466">
        <f>ROMAN(18465)</f>
        <v/>
      </c>
      <c r="D18466">
        <f>IF(B18466=C18466, "YES", "WRONG")</f>
        <v/>
      </c>
    </row>
    <row r="18467">
      <c r="A18467" t="n">
        <v>18466</v>
      </c>
      <c r="B18467" t="inlineStr">
        <is>
          <t>x̄V̅MMMCDLXVI</t>
        </is>
      </c>
      <c r="C18467">
        <f>ROMAN(18466)</f>
        <v/>
      </c>
      <c r="D18467">
        <f>IF(B18467=C18467, "YES", "WRONG")</f>
        <v/>
      </c>
    </row>
    <row r="18468">
      <c r="A18468" t="n">
        <v>18467</v>
      </c>
      <c r="B18468" t="inlineStr">
        <is>
          <t>x̄V̅MMMCDLXVII</t>
        </is>
      </c>
      <c r="C18468">
        <f>ROMAN(18467)</f>
        <v/>
      </c>
      <c r="D18468">
        <f>IF(B18468=C18468, "YES", "WRONG")</f>
        <v/>
      </c>
    </row>
    <row r="18469">
      <c r="A18469" t="n">
        <v>18468</v>
      </c>
      <c r="B18469" t="inlineStr">
        <is>
          <t>x̄V̅MMMCDLXVIII</t>
        </is>
      </c>
      <c r="C18469">
        <f>ROMAN(18468)</f>
        <v/>
      </c>
      <c r="D18469">
        <f>IF(B18469=C18469, "YES", "WRONG")</f>
        <v/>
      </c>
    </row>
    <row r="18470">
      <c r="A18470" t="n">
        <v>18469</v>
      </c>
      <c r="B18470" t="inlineStr">
        <is>
          <t>x̄V̅MMMCDLXIX</t>
        </is>
      </c>
      <c r="C18470">
        <f>ROMAN(18469)</f>
        <v/>
      </c>
      <c r="D18470">
        <f>IF(B18470=C18470, "YES", "WRONG")</f>
        <v/>
      </c>
    </row>
    <row r="18471">
      <c r="A18471" t="n">
        <v>18470</v>
      </c>
      <c r="B18471" t="inlineStr">
        <is>
          <t>x̄V̅MMMCDLXX</t>
        </is>
      </c>
      <c r="C18471">
        <f>ROMAN(18470)</f>
        <v/>
      </c>
      <c r="D18471">
        <f>IF(B18471=C18471, "YES", "WRONG")</f>
        <v/>
      </c>
    </row>
    <row r="18472">
      <c r="A18472" t="n">
        <v>18471</v>
      </c>
      <c r="B18472" t="inlineStr">
        <is>
          <t>x̄V̅MMMCDLXXI</t>
        </is>
      </c>
      <c r="C18472">
        <f>ROMAN(18471)</f>
        <v/>
      </c>
      <c r="D18472">
        <f>IF(B18472=C18472, "YES", "WRONG")</f>
        <v/>
      </c>
    </row>
    <row r="18473">
      <c r="A18473" t="n">
        <v>18472</v>
      </c>
      <c r="B18473" t="inlineStr">
        <is>
          <t>x̄V̅MMMCDLXXII</t>
        </is>
      </c>
      <c r="C18473">
        <f>ROMAN(18472)</f>
        <v/>
      </c>
      <c r="D18473">
        <f>IF(B18473=C18473, "YES", "WRONG")</f>
        <v/>
      </c>
    </row>
    <row r="18474">
      <c r="A18474" t="n">
        <v>18473</v>
      </c>
      <c r="B18474" t="inlineStr">
        <is>
          <t>x̄V̅MMMCDLXXIII</t>
        </is>
      </c>
      <c r="C18474">
        <f>ROMAN(18473)</f>
        <v/>
      </c>
      <c r="D18474">
        <f>IF(B18474=C18474, "YES", "WRONG")</f>
        <v/>
      </c>
    </row>
    <row r="18475">
      <c r="A18475" t="n">
        <v>18474</v>
      </c>
      <c r="B18475" t="inlineStr">
        <is>
          <t>x̄V̅MMMCDLXXIV</t>
        </is>
      </c>
      <c r="C18475">
        <f>ROMAN(18474)</f>
        <v/>
      </c>
      <c r="D18475">
        <f>IF(B18475=C18475, "YES", "WRONG")</f>
        <v/>
      </c>
    </row>
    <row r="18476">
      <c r="A18476" t="n">
        <v>18475</v>
      </c>
      <c r="B18476" t="inlineStr">
        <is>
          <t>x̄V̅MMMCDLXXV</t>
        </is>
      </c>
      <c r="C18476">
        <f>ROMAN(18475)</f>
        <v/>
      </c>
      <c r="D18476">
        <f>IF(B18476=C18476, "YES", "WRONG")</f>
        <v/>
      </c>
    </row>
    <row r="18477">
      <c r="A18477" t="n">
        <v>18476</v>
      </c>
      <c r="B18477" t="inlineStr">
        <is>
          <t>x̄V̅MMMCDLXXVI</t>
        </is>
      </c>
      <c r="C18477">
        <f>ROMAN(18476)</f>
        <v/>
      </c>
      <c r="D18477">
        <f>IF(B18477=C18477, "YES", "WRONG")</f>
        <v/>
      </c>
    </row>
    <row r="18478">
      <c r="A18478" t="n">
        <v>18477</v>
      </c>
      <c r="B18478" t="inlineStr">
        <is>
          <t>x̄V̅MMMCDLXXVII</t>
        </is>
      </c>
      <c r="C18478">
        <f>ROMAN(18477)</f>
        <v/>
      </c>
      <c r="D18478">
        <f>IF(B18478=C18478, "YES", "WRONG")</f>
        <v/>
      </c>
    </row>
    <row r="18479">
      <c r="A18479" t="n">
        <v>18478</v>
      </c>
      <c r="B18479" t="inlineStr">
        <is>
          <t>x̄V̅MMMCDLXXVIII</t>
        </is>
      </c>
      <c r="C18479">
        <f>ROMAN(18478)</f>
        <v/>
      </c>
      <c r="D18479">
        <f>IF(B18479=C18479, "YES", "WRONG")</f>
        <v/>
      </c>
    </row>
    <row r="18480">
      <c r="A18480" t="n">
        <v>18479</v>
      </c>
      <c r="B18480" t="inlineStr">
        <is>
          <t>x̄V̅MMMCDLXXIX</t>
        </is>
      </c>
      <c r="C18480">
        <f>ROMAN(18479)</f>
        <v/>
      </c>
      <c r="D18480">
        <f>IF(B18480=C18480, "YES", "WRONG")</f>
        <v/>
      </c>
    </row>
    <row r="18481">
      <c r="A18481" t="n">
        <v>18480</v>
      </c>
      <c r="B18481" t="inlineStr">
        <is>
          <t>x̄V̅MMMCDLXXX</t>
        </is>
      </c>
      <c r="C18481">
        <f>ROMAN(18480)</f>
        <v/>
      </c>
      <c r="D18481">
        <f>IF(B18481=C18481, "YES", "WRONG")</f>
        <v/>
      </c>
    </row>
    <row r="18482">
      <c r="A18482" t="n">
        <v>18481</v>
      </c>
      <c r="B18482" t="inlineStr">
        <is>
          <t>x̄V̅MMMCDLXXXI</t>
        </is>
      </c>
      <c r="C18482">
        <f>ROMAN(18481)</f>
        <v/>
      </c>
      <c r="D18482">
        <f>IF(B18482=C18482, "YES", "WRONG")</f>
        <v/>
      </c>
    </row>
    <row r="18483">
      <c r="A18483" t="n">
        <v>18482</v>
      </c>
      <c r="B18483" t="inlineStr">
        <is>
          <t>x̄V̅MMMCDLXXXII</t>
        </is>
      </c>
      <c r="C18483">
        <f>ROMAN(18482)</f>
        <v/>
      </c>
      <c r="D18483">
        <f>IF(B18483=C18483, "YES", "WRONG")</f>
        <v/>
      </c>
    </row>
    <row r="18484">
      <c r="A18484" t="n">
        <v>18483</v>
      </c>
      <c r="B18484" t="inlineStr">
        <is>
          <t>x̄V̅MMMCDLXXXIII</t>
        </is>
      </c>
      <c r="C18484">
        <f>ROMAN(18483)</f>
        <v/>
      </c>
      <c r="D18484">
        <f>IF(B18484=C18484, "YES", "WRONG")</f>
        <v/>
      </c>
    </row>
    <row r="18485">
      <c r="A18485" t="n">
        <v>18484</v>
      </c>
      <c r="B18485" t="inlineStr">
        <is>
          <t>x̄V̅MMMCDLXXXIV</t>
        </is>
      </c>
      <c r="C18485">
        <f>ROMAN(18484)</f>
        <v/>
      </c>
      <c r="D18485">
        <f>IF(B18485=C18485, "YES", "WRONG")</f>
        <v/>
      </c>
    </row>
    <row r="18486">
      <c r="A18486" t="n">
        <v>18485</v>
      </c>
      <c r="B18486" t="inlineStr">
        <is>
          <t>x̄V̅MMMCDLXXXV</t>
        </is>
      </c>
      <c r="C18486">
        <f>ROMAN(18485)</f>
        <v/>
      </c>
      <c r="D18486">
        <f>IF(B18486=C18486, "YES", "WRONG")</f>
        <v/>
      </c>
    </row>
    <row r="18487">
      <c r="A18487" t="n">
        <v>18486</v>
      </c>
      <c r="B18487" t="inlineStr">
        <is>
          <t>x̄V̅MMMCDLXXXVI</t>
        </is>
      </c>
      <c r="C18487">
        <f>ROMAN(18486)</f>
        <v/>
      </c>
      <c r="D18487">
        <f>IF(B18487=C18487, "YES", "WRONG")</f>
        <v/>
      </c>
    </row>
    <row r="18488">
      <c r="A18488" t="n">
        <v>18487</v>
      </c>
      <c r="B18488" t="inlineStr">
        <is>
          <t>x̄V̅MMMCDLXXXVII</t>
        </is>
      </c>
      <c r="C18488">
        <f>ROMAN(18487)</f>
        <v/>
      </c>
      <c r="D18488">
        <f>IF(B18488=C18488, "YES", "WRONG")</f>
        <v/>
      </c>
    </row>
    <row r="18489">
      <c r="A18489" t="n">
        <v>18488</v>
      </c>
      <c r="B18489" t="inlineStr">
        <is>
          <t>x̄V̅MMMCDLXXXVIII</t>
        </is>
      </c>
      <c r="C18489">
        <f>ROMAN(18488)</f>
        <v/>
      </c>
      <c r="D18489">
        <f>IF(B18489=C18489, "YES", "WRONG")</f>
        <v/>
      </c>
    </row>
    <row r="18490">
      <c r="A18490" t="n">
        <v>18489</v>
      </c>
      <c r="B18490" t="inlineStr">
        <is>
          <t>x̄V̅MMMCDLXXXIX</t>
        </is>
      </c>
      <c r="C18490">
        <f>ROMAN(18489)</f>
        <v/>
      </c>
      <c r="D18490">
        <f>IF(B18490=C18490, "YES", "WRONG")</f>
        <v/>
      </c>
    </row>
    <row r="18491">
      <c r="A18491" t="n">
        <v>18490</v>
      </c>
      <c r="B18491" t="inlineStr">
        <is>
          <t>x̄V̅MMMCDXC</t>
        </is>
      </c>
      <c r="C18491">
        <f>ROMAN(18490)</f>
        <v/>
      </c>
      <c r="D18491">
        <f>IF(B18491=C18491, "YES", "WRONG")</f>
        <v/>
      </c>
    </row>
    <row r="18492">
      <c r="A18492" t="n">
        <v>18491</v>
      </c>
      <c r="B18492" t="inlineStr">
        <is>
          <t>x̄V̅MMMCDXCI</t>
        </is>
      </c>
      <c r="C18492">
        <f>ROMAN(18491)</f>
        <v/>
      </c>
      <c r="D18492">
        <f>IF(B18492=C18492, "YES", "WRONG")</f>
        <v/>
      </c>
    </row>
    <row r="18493">
      <c r="A18493" t="n">
        <v>18492</v>
      </c>
      <c r="B18493" t="inlineStr">
        <is>
          <t>x̄V̅MMMCDXCII</t>
        </is>
      </c>
      <c r="C18493">
        <f>ROMAN(18492)</f>
        <v/>
      </c>
      <c r="D18493">
        <f>IF(B18493=C18493, "YES", "WRONG")</f>
        <v/>
      </c>
    </row>
    <row r="18494">
      <c r="A18494" t="n">
        <v>18493</v>
      </c>
      <c r="B18494" t="inlineStr">
        <is>
          <t>x̄V̅MMMCDXCIII</t>
        </is>
      </c>
      <c r="C18494">
        <f>ROMAN(18493)</f>
        <v/>
      </c>
      <c r="D18494">
        <f>IF(B18494=C18494, "YES", "WRONG")</f>
        <v/>
      </c>
    </row>
    <row r="18495">
      <c r="A18495" t="n">
        <v>18494</v>
      </c>
      <c r="B18495" t="inlineStr">
        <is>
          <t>x̄V̅MMMCDXCIV</t>
        </is>
      </c>
      <c r="C18495">
        <f>ROMAN(18494)</f>
        <v/>
      </c>
      <c r="D18495">
        <f>IF(B18495=C18495, "YES", "WRONG")</f>
        <v/>
      </c>
    </row>
    <row r="18496">
      <c r="A18496" t="n">
        <v>18495</v>
      </c>
      <c r="B18496" t="inlineStr">
        <is>
          <t>x̄V̅MMMCDXCV</t>
        </is>
      </c>
      <c r="C18496">
        <f>ROMAN(18495)</f>
        <v/>
      </c>
      <c r="D18496">
        <f>IF(B18496=C18496, "YES", "WRONG")</f>
        <v/>
      </c>
    </row>
    <row r="18497">
      <c r="A18497" t="n">
        <v>18496</v>
      </c>
      <c r="B18497" t="inlineStr">
        <is>
          <t>x̄V̅MMMCDXCVI</t>
        </is>
      </c>
      <c r="C18497">
        <f>ROMAN(18496)</f>
        <v/>
      </c>
      <c r="D18497">
        <f>IF(B18497=C18497, "YES", "WRONG")</f>
        <v/>
      </c>
    </row>
    <row r="18498">
      <c r="A18498" t="n">
        <v>18497</v>
      </c>
      <c r="B18498" t="inlineStr">
        <is>
          <t>x̄V̅MMMCDXCVII</t>
        </is>
      </c>
      <c r="C18498">
        <f>ROMAN(18497)</f>
        <v/>
      </c>
      <c r="D18498">
        <f>IF(B18498=C18498, "YES", "WRONG")</f>
        <v/>
      </c>
    </row>
    <row r="18499">
      <c r="A18499" t="n">
        <v>18498</v>
      </c>
      <c r="B18499" t="inlineStr">
        <is>
          <t>x̄V̅MMMCDXCVIII</t>
        </is>
      </c>
      <c r="C18499">
        <f>ROMAN(18498)</f>
        <v/>
      </c>
      <c r="D18499">
        <f>IF(B18499=C18499, "YES", "WRONG")</f>
        <v/>
      </c>
    </row>
    <row r="18500">
      <c r="A18500" t="n">
        <v>18499</v>
      </c>
      <c r="B18500" t="inlineStr">
        <is>
          <t>x̄V̅MMMCDXCIX</t>
        </is>
      </c>
      <c r="C18500">
        <f>ROMAN(18499)</f>
        <v/>
      </c>
      <c r="D18500">
        <f>IF(B18500=C18500, "YES", "WRONG")</f>
        <v/>
      </c>
    </row>
    <row r="18501">
      <c r="A18501" t="n">
        <v>18500</v>
      </c>
      <c r="B18501" t="inlineStr">
        <is>
          <t>x̄V̅MMMD</t>
        </is>
      </c>
      <c r="C18501">
        <f>ROMAN(18500)</f>
        <v/>
      </c>
      <c r="D18501">
        <f>IF(B18501=C18501, "YES", "WRONG")</f>
        <v/>
      </c>
    </row>
    <row r="18502">
      <c r="A18502" t="n">
        <v>18501</v>
      </c>
      <c r="B18502" t="inlineStr">
        <is>
          <t>x̄V̅MMMDI</t>
        </is>
      </c>
      <c r="C18502">
        <f>ROMAN(18501)</f>
        <v/>
      </c>
      <c r="D18502">
        <f>IF(B18502=C18502, "YES", "WRONG")</f>
        <v/>
      </c>
    </row>
    <row r="18503">
      <c r="A18503" t="n">
        <v>18502</v>
      </c>
      <c r="B18503" t="inlineStr">
        <is>
          <t>x̄V̅MMMDII</t>
        </is>
      </c>
      <c r="C18503">
        <f>ROMAN(18502)</f>
        <v/>
      </c>
      <c r="D18503">
        <f>IF(B18503=C18503, "YES", "WRONG")</f>
        <v/>
      </c>
    </row>
    <row r="18504">
      <c r="A18504" t="n">
        <v>18503</v>
      </c>
      <c r="B18504" t="inlineStr">
        <is>
          <t>x̄V̅MMMDIII</t>
        </is>
      </c>
      <c r="C18504">
        <f>ROMAN(18503)</f>
        <v/>
      </c>
      <c r="D18504">
        <f>IF(B18504=C18504, "YES", "WRONG")</f>
        <v/>
      </c>
    </row>
    <row r="18505">
      <c r="A18505" t="n">
        <v>18504</v>
      </c>
      <c r="B18505" t="inlineStr">
        <is>
          <t>x̄V̅MMMDIV</t>
        </is>
      </c>
      <c r="C18505">
        <f>ROMAN(18504)</f>
        <v/>
      </c>
      <c r="D18505">
        <f>IF(B18505=C18505, "YES", "WRONG")</f>
        <v/>
      </c>
    </row>
    <row r="18506">
      <c r="A18506" t="n">
        <v>18505</v>
      </c>
      <c r="B18506" t="inlineStr">
        <is>
          <t>x̄V̅MMMDV</t>
        </is>
      </c>
      <c r="C18506">
        <f>ROMAN(18505)</f>
        <v/>
      </c>
      <c r="D18506">
        <f>IF(B18506=C18506, "YES", "WRONG")</f>
        <v/>
      </c>
    </row>
    <row r="18507">
      <c r="A18507" t="n">
        <v>18506</v>
      </c>
      <c r="B18507" t="inlineStr">
        <is>
          <t>x̄V̅MMMDVI</t>
        </is>
      </c>
      <c r="C18507">
        <f>ROMAN(18506)</f>
        <v/>
      </c>
      <c r="D18507">
        <f>IF(B18507=C18507, "YES", "WRONG")</f>
        <v/>
      </c>
    </row>
    <row r="18508">
      <c r="A18508" t="n">
        <v>18507</v>
      </c>
      <c r="B18508" t="inlineStr">
        <is>
          <t>x̄V̅MMMDVII</t>
        </is>
      </c>
      <c r="C18508">
        <f>ROMAN(18507)</f>
        <v/>
      </c>
      <c r="D18508">
        <f>IF(B18508=C18508, "YES", "WRONG")</f>
        <v/>
      </c>
    </row>
    <row r="18509">
      <c r="A18509" t="n">
        <v>18508</v>
      </c>
      <c r="B18509" t="inlineStr">
        <is>
          <t>x̄V̅MMMDVIII</t>
        </is>
      </c>
      <c r="C18509">
        <f>ROMAN(18508)</f>
        <v/>
      </c>
      <c r="D18509">
        <f>IF(B18509=C18509, "YES", "WRONG")</f>
        <v/>
      </c>
    </row>
    <row r="18510">
      <c r="A18510" t="n">
        <v>18509</v>
      </c>
      <c r="B18510" t="inlineStr">
        <is>
          <t>x̄V̅MMMDIX</t>
        </is>
      </c>
      <c r="C18510">
        <f>ROMAN(18509)</f>
        <v/>
      </c>
      <c r="D18510">
        <f>IF(B18510=C18510, "YES", "WRONG")</f>
        <v/>
      </c>
    </row>
    <row r="18511">
      <c r="A18511" t="n">
        <v>18510</v>
      </c>
      <c r="B18511" t="inlineStr">
        <is>
          <t>x̄V̅MMMDX</t>
        </is>
      </c>
      <c r="C18511">
        <f>ROMAN(18510)</f>
        <v/>
      </c>
      <c r="D18511">
        <f>IF(B18511=C18511, "YES", "WRONG")</f>
        <v/>
      </c>
    </row>
    <row r="18512">
      <c r="A18512" t="n">
        <v>18511</v>
      </c>
      <c r="B18512" t="inlineStr">
        <is>
          <t>x̄V̅MMMDXI</t>
        </is>
      </c>
      <c r="C18512">
        <f>ROMAN(18511)</f>
        <v/>
      </c>
      <c r="D18512">
        <f>IF(B18512=C18512, "YES", "WRONG")</f>
        <v/>
      </c>
    </row>
    <row r="18513">
      <c r="A18513" t="n">
        <v>18512</v>
      </c>
      <c r="B18513" t="inlineStr">
        <is>
          <t>x̄V̅MMMDXII</t>
        </is>
      </c>
      <c r="C18513">
        <f>ROMAN(18512)</f>
        <v/>
      </c>
      <c r="D18513">
        <f>IF(B18513=C18513, "YES", "WRONG")</f>
        <v/>
      </c>
    </row>
    <row r="18514">
      <c r="A18514" t="n">
        <v>18513</v>
      </c>
      <c r="B18514" t="inlineStr">
        <is>
          <t>x̄V̅MMMDXIII</t>
        </is>
      </c>
      <c r="C18514">
        <f>ROMAN(18513)</f>
        <v/>
      </c>
      <c r="D18514">
        <f>IF(B18514=C18514, "YES", "WRONG")</f>
        <v/>
      </c>
    </row>
    <row r="18515">
      <c r="A18515" t="n">
        <v>18514</v>
      </c>
      <c r="B18515" t="inlineStr">
        <is>
          <t>x̄V̅MMMDXIV</t>
        </is>
      </c>
      <c r="C18515">
        <f>ROMAN(18514)</f>
        <v/>
      </c>
      <c r="D18515">
        <f>IF(B18515=C18515, "YES", "WRONG")</f>
        <v/>
      </c>
    </row>
    <row r="18516">
      <c r="A18516" t="n">
        <v>18515</v>
      </c>
      <c r="B18516" t="inlineStr">
        <is>
          <t>x̄V̅MMMDXV</t>
        </is>
      </c>
      <c r="C18516">
        <f>ROMAN(18515)</f>
        <v/>
      </c>
      <c r="D18516">
        <f>IF(B18516=C18516, "YES", "WRONG")</f>
        <v/>
      </c>
    </row>
    <row r="18517">
      <c r="A18517" t="n">
        <v>18516</v>
      </c>
      <c r="B18517" t="inlineStr">
        <is>
          <t>x̄V̅MMMDXVI</t>
        </is>
      </c>
      <c r="C18517">
        <f>ROMAN(18516)</f>
        <v/>
      </c>
      <c r="D18517">
        <f>IF(B18517=C18517, "YES", "WRONG")</f>
        <v/>
      </c>
    </row>
    <row r="18518">
      <c r="A18518" t="n">
        <v>18517</v>
      </c>
      <c r="B18518" t="inlineStr">
        <is>
          <t>x̄V̅MMMDXVII</t>
        </is>
      </c>
      <c r="C18518">
        <f>ROMAN(18517)</f>
        <v/>
      </c>
      <c r="D18518">
        <f>IF(B18518=C18518, "YES", "WRONG")</f>
        <v/>
      </c>
    </row>
    <row r="18519">
      <c r="A18519" t="n">
        <v>18518</v>
      </c>
      <c r="B18519" t="inlineStr">
        <is>
          <t>x̄V̅MMMDXVIII</t>
        </is>
      </c>
      <c r="C18519">
        <f>ROMAN(18518)</f>
        <v/>
      </c>
      <c r="D18519">
        <f>IF(B18519=C18519, "YES", "WRONG")</f>
        <v/>
      </c>
    </row>
    <row r="18520">
      <c r="A18520" t="n">
        <v>18519</v>
      </c>
      <c r="B18520" t="inlineStr">
        <is>
          <t>x̄V̅MMMDXIX</t>
        </is>
      </c>
      <c r="C18520">
        <f>ROMAN(18519)</f>
        <v/>
      </c>
      <c r="D18520">
        <f>IF(B18520=C18520, "YES", "WRONG")</f>
        <v/>
      </c>
    </row>
    <row r="18521">
      <c r="A18521" t="n">
        <v>18520</v>
      </c>
      <c r="B18521" t="inlineStr">
        <is>
          <t>x̄V̅MMMDXX</t>
        </is>
      </c>
      <c r="C18521">
        <f>ROMAN(18520)</f>
        <v/>
      </c>
      <c r="D18521">
        <f>IF(B18521=C18521, "YES", "WRONG")</f>
        <v/>
      </c>
    </row>
    <row r="18522">
      <c r="A18522" t="n">
        <v>18521</v>
      </c>
      <c r="B18522" t="inlineStr">
        <is>
          <t>x̄V̅MMMDXXI</t>
        </is>
      </c>
      <c r="C18522">
        <f>ROMAN(18521)</f>
        <v/>
      </c>
      <c r="D18522">
        <f>IF(B18522=C18522, "YES", "WRONG")</f>
        <v/>
      </c>
    </row>
    <row r="18523">
      <c r="A18523" t="n">
        <v>18522</v>
      </c>
      <c r="B18523" t="inlineStr">
        <is>
          <t>x̄V̅MMMDXXII</t>
        </is>
      </c>
      <c r="C18523">
        <f>ROMAN(18522)</f>
        <v/>
      </c>
      <c r="D18523">
        <f>IF(B18523=C18523, "YES", "WRONG")</f>
        <v/>
      </c>
    </row>
    <row r="18524">
      <c r="A18524" t="n">
        <v>18523</v>
      </c>
      <c r="B18524" t="inlineStr">
        <is>
          <t>x̄V̅MMMDXXIII</t>
        </is>
      </c>
      <c r="C18524">
        <f>ROMAN(18523)</f>
        <v/>
      </c>
      <c r="D18524">
        <f>IF(B18524=C18524, "YES", "WRONG")</f>
        <v/>
      </c>
    </row>
    <row r="18525">
      <c r="A18525" t="n">
        <v>18524</v>
      </c>
      <c r="B18525" t="inlineStr">
        <is>
          <t>x̄V̅MMMDXXIV</t>
        </is>
      </c>
      <c r="C18525">
        <f>ROMAN(18524)</f>
        <v/>
      </c>
      <c r="D18525">
        <f>IF(B18525=C18525, "YES", "WRONG")</f>
        <v/>
      </c>
    </row>
    <row r="18526">
      <c r="A18526" t="n">
        <v>18525</v>
      </c>
      <c r="B18526" t="inlineStr">
        <is>
          <t>x̄V̅MMMDXXV</t>
        </is>
      </c>
      <c r="C18526">
        <f>ROMAN(18525)</f>
        <v/>
      </c>
      <c r="D18526">
        <f>IF(B18526=C18526, "YES", "WRONG")</f>
        <v/>
      </c>
    </row>
    <row r="18527">
      <c r="A18527" t="n">
        <v>18526</v>
      </c>
      <c r="B18527" t="inlineStr">
        <is>
          <t>x̄V̅MMMDXXVI</t>
        </is>
      </c>
      <c r="C18527">
        <f>ROMAN(18526)</f>
        <v/>
      </c>
      <c r="D18527">
        <f>IF(B18527=C18527, "YES", "WRONG")</f>
        <v/>
      </c>
    </row>
    <row r="18528">
      <c r="A18528" t="n">
        <v>18527</v>
      </c>
      <c r="B18528" t="inlineStr">
        <is>
          <t>x̄V̅MMMDXXVII</t>
        </is>
      </c>
      <c r="C18528">
        <f>ROMAN(18527)</f>
        <v/>
      </c>
      <c r="D18528">
        <f>IF(B18528=C18528, "YES", "WRONG")</f>
        <v/>
      </c>
    </row>
    <row r="18529">
      <c r="A18529" t="n">
        <v>18528</v>
      </c>
      <c r="B18529" t="inlineStr">
        <is>
          <t>x̄V̅MMMDXXVIII</t>
        </is>
      </c>
      <c r="C18529">
        <f>ROMAN(18528)</f>
        <v/>
      </c>
      <c r="D18529">
        <f>IF(B18529=C18529, "YES", "WRONG")</f>
        <v/>
      </c>
    </row>
    <row r="18530">
      <c r="A18530" t="n">
        <v>18529</v>
      </c>
      <c r="B18530" t="inlineStr">
        <is>
          <t>x̄V̅MMMDXXIX</t>
        </is>
      </c>
      <c r="C18530">
        <f>ROMAN(18529)</f>
        <v/>
      </c>
      <c r="D18530">
        <f>IF(B18530=C18530, "YES", "WRONG")</f>
        <v/>
      </c>
    </row>
    <row r="18531">
      <c r="A18531" t="n">
        <v>18530</v>
      </c>
      <c r="B18531" t="inlineStr">
        <is>
          <t>x̄V̅MMMDXXX</t>
        </is>
      </c>
      <c r="C18531">
        <f>ROMAN(18530)</f>
        <v/>
      </c>
      <c r="D18531">
        <f>IF(B18531=C18531, "YES", "WRONG")</f>
        <v/>
      </c>
    </row>
    <row r="18532">
      <c r="A18532" t="n">
        <v>18531</v>
      </c>
      <c r="B18532" t="inlineStr">
        <is>
          <t>x̄V̅MMMDXXXI</t>
        </is>
      </c>
      <c r="C18532">
        <f>ROMAN(18531)</f>
        <v/>
      </c>
      <c r="D18532">
        <f>IF(B18532=C18532, "YES", "WRONG")</f>
        <v/>
      </c>
    </row>
    <row r="18533">
      <c r="A18533" t="n">
        <v>18532</v>
      </c>
      <c r="B18533" t="inlineStr">
        <is>
          <t>x̄V̅MMMDXXXII</t>
        </is>
      </c>
      <c r="C18533">
        <f>ROMAN(18532)</f>
        <v/>
      </c>
      <c r="D18533">
        <f>IF(B18533=C18533, "YES", "WRONG")</f>
        <v/>
      </c>
    </row>
    <row r="18534">
      <c r="A18534" t="n">
        <v>18533</v>
      </c>
      <c r="B18534" t="inlineStr">
        <is>
          <t>x̄V̅MMMDXXXIII</t>
        </is>
      </c>
      <c r="C18534">
        <f>ROMAN(18533)</f>
        <v/>
      </c>
      <c r="D18534">
        <f>IF(B18534=C18534, "YES", "WRONG")</f>
        <v/>
      </c>
    </row>
    <row r="18535">
      <c r="A18535" t="n">
        <v>18534</v>
      </c>
      <c r="B18535" t="inlineStr">
        <is>
          <t>x̄V̅MMMDXXXIV</t>
        </is>
      </c>
      <c r="C18535">
        <f>ROMAN(18534)</f>
        <v/>
      </c>
      <c r="D18535">
        <f>IF(B18535=C18535, "YES", "WRONG")</f>
        <v/>
      </c>
    </row>
    <row r="18536">
      <c r="A18536" t="n">
        <v>18535</v>
      </c>
      <c r="B18536" t="inlineStr">
        <is>
          <t>x̄V̅MMMDXXXV</t>
        </is>
      </c>
      <c r="C18536">
        <f>ROMAN(18535)</f>
        <v/>
      </c>
      <c r="D18536">
        <f>IF(B18536=C18536, "YES", "WRONG")</f>
        <v/>
      </c>
    </row>
    <row r="18537">
      <c r="A18537" t="n">
        <v>18536</v>
      </c>
      <c r="B18537" t="inlineStr">
        <is>
          <t>x̄V̅MMMDXXXVI</t>
        </is>
      </c>
      <c r="C18537">
        <f>ROMAN(18536)</f>
        <v/>
      </c>
      <c r="D18537">
        <f>IF(B18537=C18537, "YES", "WRONG")</f>
        <v/>
      </c>
    </row>
    <row r="18538">
      <c r="A18538" t="n">
        <v>18537</v>
      </c>
      <c r="B18538" t="inlineStr">
        <is>
          <t>x̄V̅MMMDXXXVII</t>
        </is>
      </c>
      <c r="C18538">
        <f>ROMAN(18537)</f>
        <v/>
      </c>
      <c r="D18538">
        <f>IF(B18538=C18538, "YES", "WRONG")</f>
        <v/>
      </c>
    </row>
    <row r="18539">
      <c r="A18539" t="n">
        <v>18538</v>
      </c>
      <c r="B18539" t="inlineStr">
        <is>
          <t>x̄V̅MMMDXXXVIII</t>
        </is>
      </c>
      <c r="C18539">
        <f>ROMAN(18538)</f>
        <v/>
      </c>
      <c r="D18539">
        <f>IF(B18539=C18539, "YES", "WRONG")</f>
        <v/>
      </c>
    </row>
    <row r="18540">
      <c r="A18540" t="n">
        <v>18539</v>
      </c>
      <c r="B18540" t="inlineStr">
        <is>
          <t>x̄V̅MMMDXXXIX</t>
        </is>
      </c>
      <c r="C18540">
        <f>ROMAN(18539)</f>
        <v/>
      </c>
      <c r="D18540">
        <f>IF(B18540=C18540, "YES", "WRONG")</f>
        <v/>
      </c>
    </row>
    <row r="18541">
      <c r="A18541" t="n">
        <v>18540</v>
      </c>
      <c r="B18541" t="inlineStr">
        <is>
          <t>x̄V̅MMMDXL</t>
        </is>
      </c>
      <c r="C18541">
        <f>ROMAN(18540)</f>
        <v/>
      </c>
      <c r="D18541">
        <f>IF(B18541=C18541, "YES", "WRONG")</f>
        <v/>
      </c>
    </row>
    <row r="18542">
      <c r="A18542" t="n">
        <v>18541</v>
      </c>
      <c r="B18542" t="inlineStr">
        <is>
          <t>x̄V̅MMMDXLI</t>
        </is>
      </c>
      <c r="C18542">
        <f>ROMAN(18541)</f>
        <v/>
      </c>
      <c r="D18542">
        <f>IF(B18542=C18542, "YES", "WRONG")</f>
        <v/>
      </c>
    </row>
    <row r="18543">
      <c r="A18543" t="n">
        <v>18542</v>
      </c>
      <c r="B18543" t="inlineStr">
        <is>
          <t>x̄V̅MMMDXLII</t>
        </is>
      </c>
      <c r="C18543">
        <f>ROMAN(18542)</f>
        <v/>
      </c>
      <c r="D18543">
        <f>IF(B18543=C18543, "YES", "WRONG")</f>
        <v/>
      </c>
    </row>
    <row r="18544">
      <c r="A18544" t="n">
        <v>18543</v>
      </c>
      <c r="B18544" t="inlineStr">
        <is>
          <t>x̄V̅MMMDXLIII</t>
        </is>
      </c>
      <c r="C18544">
        <f>ROMAN(18543)</f>
        <v/>
      </c>
      <c r="D18544">
        <f>IF(B18544=C18544, "YES", "WRONG")</f>
        <v/>
      </c>
    </row>
    <row r="18545">
      <c r="A18545" t="n">
        <v>18544</v>
      </c>
      <c r="B18545" t="inlineStr">
        <is>
          <t>x̄V̅MMMDXLIV</t>
        </is>
      </c>
      <c r="C18545">
        <f>ROMAN(18544)</f>
        <v/>
      </c>
      <c r="D18545">
        <f>IF(B18545=C18545, "YES", "WRONG")</f>
        <v/>
      </c>
    </row>
    <row r="18546">
      <c r="A18546" t="n">
        <v>18545</v>
      </c>
      <c r="B18546" t="inlineStr">
        <is>
          <t>x̄V̅MMMDXLV</t>
        </is>
      </c>
      <c r="C18546">
        <f>ROMAN(18545)</f>
        <v/>
      </c>
      <c r="D18546">
        <f>IF(B18546=C18546, "YES", "WRONG")</f>
        <v/>
      </c>
    </row>
    <row r="18547">
      <c r="A18547" t="n">
        <v>18546</v>
      </c>
      <c r="B18547" t="inlineStr">
        <is>
          <t>x̄V̅MMMDXLVI</t>
        </is>
      </c>
      <c r="C18547">
        <f>ROMAN(18546)</f>
        <v/>
      </c>
      <c r="D18547">
        <f>IF(B18547=C18547, "YES", "WRONG")</f>
        <v/>
      </c>
    </row>
    <row r="18548">
      <c r="A18548" t="n">
        <v>18547</v>
      </c>
      <c r="B18548" t="inlineStr">
        <is>
          <t>x̄V̅MMMDXLVII</t>
        </is>
      </c>
      <c r="C18548">
        <f>ROMAN(18547)</f>
        <v/>
      </c>
      <c r="D18548">
        <f>IF(B18548=C18548, "YES", "WRONG")</f>
        <v/>
      </c>
    </row>
    <row r="18549">
      <c r="A18549" t="n">
        <v>18548</v>
      </c>
      <c r="B18549" t="inlineStr">
        <is>
          <t>x̄V̅MMMDXLVIII</t>
        </is>
      </c>
      <c r="C18549">
        <f>ROMAN(18548)</f>
        <v/>
      </c>
      <c r="D18549">
        <f>IF(B18549=C18549, "YES", "WRONG")</f>
        <v/>
      </c>
    </row>
    <row r="18550">
      <c r="A18550" t="n">
        <v>18549</v>
      </c>
      <c r="B18550" t="inlineStr">
        <is>
          <t>x̄V̅MMMDXLIX</t>
        </is>
      </c>
      <c r="C18550">
        <f>ROMAN(18549)</f>
        <v/>
      </c>
      <c r="D18550">
        <f>IF(B18550=C18550, "YES", "WRONG")</f>
        <v/>
      </c>
    </row>
    <row r="18551">
      <c r="A18551" t="n">
        <v>18550</v>
      </c>
      <c r="B18551" t="inlineStr">
        <is>
          <t>x̄V̅MMMDL</t>
        </is>
      </c>
      <c r="C18551">
        <f>ROMAN(18550)</f>
        <v/>
      </c>
      <c r="D18551">
        <f>IF(B18551=C18551, "YES", "WRONG")</f>
        <v/>
      </c>
    </row>
    <row r="18552">
      <c r="A18552" t="n">
        <v>18551</v>
      </c>
      <c r="B18552" t="inlineStr">
        <is>
          <t>x̄V̅MMMDLI</t>
        </is>
      </c>
      <c r="C18552">
        <f>ROMAN(18551)</f>
        <v/>
      </c>
      <c r="D18552">
        <f>IF(B18552=C18552, "YES", "WRONG")</f>
        <v/>
      </c>
    </row>
    <row r="18553">
      <c r="A18553" t="n">
        <v>18552</v>
      </c>
      <c r="B18553" t="inlineStr">
        <is>
          <t>x̄V̅MMMDLII</t>
        </is>
      </c>
      <c r="C18553">
        <f>ROMAN(18552)</f>
        <v/>
      </c>
      <c r="D18553">
        <f>IF(B18553=C18553, "YES", "WRONG")</f>
        <v/>
      </c>
    </row>
    <row r="18554">
      <c r="A18554" t="n">
        <v>18553</v>
      </c>
      <c r="B18554" t="inlineStr">
        <is>
          <t>x̄V̅MMMDLIII</t>
        </is>
      </c>
      <c r="C18554">
        <f>ROMAN(18553)</f>
        <v/>
      </c>
      <c r="D18554">
        <f>IF(B18554=C18554, "YES", "WRONG")</f>
        <v/>
      </c>
    </row>
    <row r="18555">
      <c r="A18555" t="n">
        <v>18554</v>
      </c>
      <c r="B18555" t="inlineStr">
        <is>
          <t>x̄V̅MMMDLIV</t>
        </is>
      </c>
      <c r="C18555">
        <f>ROMAN(18554)</f>
        <v/>
      </c>
      <c r="D18555">
        <f>IF(B18555=C18555, "YES", "WRONG")</f>
        <v/>
      </c>
    </row>
    <row r="18556">
      <c r="A18556" t="n">
        <v>18555</v>
      </c>
      <c r="B18556" t="inlineStr">
        <is>
          <t>x̄V̅MMMDLV</t>
        </is>
      </c>
      <c r="C18556">
        <f>ROMAN(18555)</f>
        <v/>
      </c>
      <c r="D18556">
        <f>IF(B18556=C18556, "YES", "WRONG")</f>
        <v/>
      </c>
    </row>
    <row r="18557">
      <c r="A18557" t="n">
        <v>18556</v>
      </c>
      <c r="B18557" t="inlineStr">
        <is>
          <t>x̄V̅MMMDLVI</t>
        </is>
      </c>
      <c r="C18557">
        <f>ROMAN(18556)</f>
        <v/>
      </c>
      <c r="D18557">
        <f>IF(B18557=C18557, "YES", "WRONG")</f>
        <v/>
      </c>
    </row>
    <row r="18558">
      <c r="A18558" t="n">
        <v>18557</v>
      </c>
      <c r="B18558" t="inlineStr">
        <is>
          <t>x̄V̅MMMDLVII</t>
        </is>
      </c>
      <c r="C18558">
        <f>ROMAN(18557)</f>
        <v/>
      </c>
      <c r="D18558">
        <f>IF(B18558=C18558, "YES", "WRONG")</f>
        <v/>
      </c>
    </row>
    <row r="18559">
      <c r="A18559" t="n">
        <v>18558</v>
      </c>
      <c r="B18559" t="inlineStr">
        <is>
          <t>x̄V̅MMMDLVIII</t>
        </is>
      </c>
      <c r="C18559">
        <f>ROMAN(18558)</f>
        <v/>
      </c>
      <c r="D18559">
        <f>IF(B18559=C18559, "YES", "WRONG")</f>
        <v/>
      </c>
    </row>
    <row r="18560">
      <c r="A18560" t="n">
        <v>18559</v>
      </c>
      <c r="B18560" t="inlineStr">
        <is>
          <t>x̄V̅MMMDLIX</t>
        </is>
      </c>
      <c r="C18560">
        <f>ROMAN(18559)</f>
        <v/>
      </c>
      <c r="D18560">
        <f>IF(B18560=C18560, "YES", "WRONG")</f>
        <v/>
      </c>
    </row>
    <row r="18561">
      <c r="A18561" t="n">
        <v>18560</v>
      </c>
      <c r="B18561" t="inlineStr">
        <is>
          <t>x̄V̅MMMDLX</t>
        </is>
      </c>
      <c r="C18561">
        <f>ROMAN(18560)</f>
        <v/>
      </c>
      <c r="D18561">
        <f>IF(B18561=C18561, "YES", "WRONG")</f>
        <v/>
      </c>
    </row>
    <row r="18562">
      <c r="A18562" t="n">
        <v>18561</v>
      </c>
      <c r="B18562" t="inlineStr">
        <is>
          <t>x̄V̅MMMDLXI</t>
        </is>
      </c>
      <c r="C18562">
        <f>ROMAN(18561)</f>
        <v/>
      </c>
      <c r="D18562">
        <f>IF(B18562=C18562, "YES", "WRONG")</f>
        <v/>
      </c>
    </row>
    <row r="18563">
      <c r="A18563" t="n">
        <v>18562</v>
      </c>
      <c r="B18563" t="inlineStr">
        <is>
          <t>x̄V̅MMMDLXII</t>
        </is>
      </c>
      <c r="C18563">
        <f>ROMAN(18562)</f>
        <v/>
      </c>
      <c r="D18563">
        <f>IF(B18563=C18563, "YES", "WRONG")</f>
        <v/>
      </c>
    </row>
    <row r="18564">
      <c r="A18564" t="n">
        <v>18563</v>
      </c>
      <c r="B18564" t="inlineStr">
        <is>
          <t>x̄V̅MMMDLXIII</t>
        </is>
      </c>
      <c r="C18564">
        <f>ROMAN(18563)</f>
        <v/>
      </c>
      <c r="D18564">
        <f>IF(B18564=C18564, "YES", "WRONG")</f>
        <v/>
      </c>
    </row>
    <row r="18565">
      <c r="A18565" t="n">
        <v>18564</v>
      </c>
      <c r="B18565" t="inlineStr">
        <is>
          <t>x̄V̅MMMDLXIV</t>
        </is>
      </c>
      <c r="C18565">
        <f>ROMAN(18564)</f>
        <v/>
      </c>
      <c r="D18565">
        <f>IF(B18565=C18565, "YES", "WRONG")</f>
        <v/>
      </c>
    </row>
    <row r="18566">
      <c r="A18566" t="n">
        <v>18565</v>
      </c>
      <c r="B18566" t="inlineStr">
        <is>
          <t>x̄V̅MMMDLXV</t>
        </is>
      </c>
      <c r="C18566">
        <f>ROMAN(18565)</f>
        <v/>
      </c>
      <c r="D18566">
        <f>IF(B18566=C18566, "YES", "WRONG")</f>
        <v/>
      </c>
    </row>
    <row r="18567">
      <c r="A18567" t="n">
        <v>18566</v>
      </c>
      <c r="B18567" t="inlineStr">
        <is>
          <t>x̄V̅MMMDLXVI</t>
        </is>
      </c>
      <c r="C18567">
        <f>ROMAN(18566)</f>
        <v/>
      </c>
      <c r="D18567">
        <f>IF(B18567=C18567, "YES", "WRONG")</f>
        <v/>
      </c>
    </row>
    <row r="18568">
      <c r="A18568" t="n">
        <v>18567</v>
      </c>
      <c r="B18568" t="inlineStr">
        <is>
          <t>x̄V̅MMMDLXVII</t>
        </is>
      </c>
      <c r="C18568">
        <f>ROMAN(18567)</f>
        <v/>
      </c>
      <c r="D18568">
        <f>IF(B18568=C18568, "YES", "WRONG")</f>
        <v/>
      </c>
    </row>
    <row r="18569">
      <c r="A18569" t="n">
        <v>18568</v>
      </c>
      <c r="B18569" t="inlineStr">
        <is>
          <t>x̄V̅MMMDLXVIII</t>
        </is>
      </c>
      <c r="C18569">
        <f>ROMAN(18568)</f>
        <v/>
      </c>
      <c r="D18569">
        <f>IF(B18569=C18569, "YES", "WRONG")</f>
        <v/>
      </c>
    </row>
    <row r="18570">
      <c r="A18570" t="n">
        <v>18569</v>
      </c>
      <c r="B18570" t="inlineStr">
        <is>
          <t>x̄V̅MMMDLXIX</t>
        </is>
      </c>
      <c r="C18570">
        <f>ROMAN(18569)</f>
        <v/>
      </c>
      <c r="D18570">
        <f>IF(B18570=C18570, "YES", "WRONG")</f>
        <v/>
      </c>
    </row>
    <row r="18571">
      <c r="A18571" t="n">
        <v>18570</v>
      </c>
      <c r="B18571" t="inlineStr">
        <is>
          <t>x̄V̅MMMDLXX</t>
        </is>
      </c>
      <c r="C18571">
        <f>ROMAN(18570)</f>
        <v/>
      </c>
      <c r="D18571">
        <f>IF(B18571=C18571, "YES", "WRONG")</f>
        <v/>
      </c>
    </row>
    <row r="18572">
      <c r="A18572" t="n">
        <v>18571</v>
      </c>
      <c r="B18572" t="inlineStr">
        <is>
          <t>x̄V̅MMMDLXXI</t>
        </is>
      </c>
      <c r="C18572">
        <f>ROMAN(18571)</f>
        <v/>
      </c>
      <c r="D18572">
        <f>IF(B18572=C18572, "YES", "WRONG")</f>
        <v/>
      </c>
    </row>
    <row r="18573">
      <c r="A18573" t="n">
        <v>18572</v>
      </c>
      <c r="B18573" t="inlineStr">
        <is>
          <t>x̄V̅MMMDLXXII</t>
        </is>
      </c>
      <c r="C18573">
        <f>ROMAN(18572)</f>
        <v/>
      </c>
      <c r="D18573">
        <f>IF(B18573=C18573, "YES", "WRONG")</f>
        <v/>
      </c>
    </row>
    <row r="18574">
      <c r="A18574" t="n">
        <v>18573</v>
      </c>
      <c r="B18574" t="inlineStr">
        <is>
          <t>x̄V̅MMMDLXXIII</t>
        </is>
      </c>
      <c r="C18574">
        <f>ROMAN(18573)</f>
        <v/>
      </c>
      <c r="D18574">
        <f>IF(B18574=C18574, "YES", "WRONG")</f>
        <v/>
      </c>
    </row>
    <row r="18575">
      <c r="A18575" t="n">
        <v>18574</v>
      </c>
      <c r="B18575" t="inlineStr">
        <is>
          <t>x̄V̅MMMDLXXIV</t>
        </is>
      </c>
      <c r="C18575">
        <f>ROMAN(18574)</f>
        <v/>
      </c>
      <c r="D18575">
        <f>IF(B18575=C18575, "YES", "WRONG")</f>
        <v/>
      </c>
    </row>
    <row r="18576">
      <c r="A18576" t="n">
        <v>18575</v>
      </c>
      <c r="B18576" t="inlineStr">
        <is>
          <t>x̄V̅MMMDLXXV</t>
        </is>
      </c>
      <c r="C18576">
        <f>ROMAN(18575)</f>
        <v/>
      </c>
      <c r="D18576">
        <f>IF(B18576=C18576, "YES", "WRONG")</f>
        <v/>
      </c>
    </row>
    <row r="18577">
      <c r="A18577" t="n">
        <v>18576</v>
      </c>
      <c r="B18577" t="inlineStr">
        <is>
          <t>x̄V̅MMMDLXXVI</t>
        </is>
      </c>
      <c r="C18577">
        <f>ROMAN(18576)</f>
        <v/>
      </c>
      <c r="D18577">
        <f>IF(B18577=C18577, "YES", "WRONG")</f>
        <v/>
      </c>
    </row>
    <row r="18578">
      <c r="A18578" t="n">
        <v>18577</v>
      </c>
      <c r="B18578" t="inlineStr">
        <is>
          <t>x̄V̅MMMDLXXVII</t>
        </is>
      </c>
      <c r="C18578">
        <f>ROMAN(18577)</f>
        <v/>
      </c>
      <c r="D18578">
        <f>IF(B18578=C18578, "YES", "WRONG")</f>
        <v/>
      </c>
    </row>
    <row r="18579">
      <c r="A18579" t="n">
        <v>18578</v>
      </c>
      <c r="B18579" t="inlineStr">
        <is>
          <t>x̄V̅MMMDLXXVIII</t>
        </is>
      </c>
      <c r="C18579">
        <f>ROMAN(18578)</f>
        <v/>
      </c>
      <c r="D18579">
        <f>IF(B18579=C18579, "YES", "WRONG")</f>
        <v/>
      </c>
    </row>
    <row r="18580">
      <c r="A18580" t="n">
        <v>18579</v>
      </c>
      <c r="B18580" t="inlineStr">
        <is>
          <t>x̄V̅MMMDLXXIX</t>
        </is>
      </c>
      <c r="C18580">
        <f>ROMAN(18579)</f>
        <v/>
      </c>
      <c r="D18580">
        <f>IF(B18580=C18580, "YES", "WRONG")</f>
        <v/>
      </c>
    </row>
    <row r="18581">
      <c r="A18581" t="n">
        <v>18580</v>
      </c>
      <c r="B18581" t="inlineStr">
        <is>
          <t>x̄V̅MMMDLXXX</t>
        </is>
      </c>
      <c r="C18581">
        <f>ROMAN(18580)</f>
        <v/>
      </c>
      <c r="D18581">
        <f>IF(B18581=C18581, "YES", "WRONG")</f>
        <v/>
      </c>
    </row>
    <row r="18582">
      <c r="A18582" t="n">
        <v>18581</v>
      </c>
      <c r="B18582" t="inlineStr">
        <is>
          <t>x̄V̅MMMDLXXXI</t>
        </is>
      </c>
      <c r="C18582">
        <f>ROMAN(18581)</f>
        <v/>
      </c>
      <c r="D18582">
        <f>IF(B18582=C18582, "YES", "WRONG")</f>
        <v/>
      </c>
    </row>
    <row r="18583">
      <c r="A18583" t="n">
        <v>18582</v>
      </c>
      <c r="B18583" t="inlineStr">
        <is>
          <t>x̄V̅MMMDLXXXII</t>
        </is>
      </c>
      <c r="C18583">
        <f>ROMAN(18582)</f>
        <v/>
      </c>
      <c r="D18583">
        <f>IF(B18583=C18583, "YES", "WRONG")</f>
        <v/>
      </c>
    </row>
    <row r="18584">
      <c r="A18584" t="n">
        <v>18583</v>
      </c>
      <c r="B18584" t="inlineStr">
        <is>
          <t>x̄V̅MMMDLXXXIII</t>
        </is>
      </c>
      <c r="C18584">
        <f>ROMAN(18583)</f>
        <v/>
      </c>
      <c r="D18584">
        <f>IF(B18584=C18584, "YES", "WRONG")</f>
        <v/>
      </c>
    </row>
    <row r="18585">
      <c r="A18585" t="n">
        <v>18584</v>
      </c>
      <c r="B18585" t="inlineStr">
        <is>
          <t>x̄V̅MMMDLXXXIV</t>
        </is>
      </c>
      <c r="C18585">
        <f>ROMAN(18584)</f>
        <v/>
      </c>
      <c r="D18585">
        <f>IF(B18585=C18585, "YES", "WRONG")</f>
        <v/>
      </c>
    </row>
    <row r="18586">
      <c r="A18586" t="n">
        <v>18585</v>
      </c>
      <c r="B18586" t="inlineStr">
        <is>
          <t>x̄V̅MMMDLXXXV</t>
        </is>
      </c>
      <c r="C18586">
        <f>ROMAN(18585)</f>
        <v/>
      </c>
      <c r="D18586">
        <f>IF(B18586=C18586, "YES", "WRONG")</f>
        <v/>
      </c>
    </row>
    <row r="18587">
      <c r="A18587" t="n">
        <v>18586</v>
      </c>
      <c r="B18587" t="inlineStr">
        <is>
          <t>x̄V̅MMMDLXXXVI</t>
        </is>
      </c>
      <c r="C18587">
        <f>ROMAN(18586)</f>
        <v/>
      </c>
      <c r="D18587">
        <f>IF(B18587=C18587, "YES", "WRONG")</f>
        <v/>
      </c>
    </row>
    <row r="18588">
      <c r="A18588" t="n">
        <v>18587</v>
      </c>
      <c r="B18588" t="inlineStr">
        <is>
          <t>x̄V̅MMMDLXXXVII</t>
        </is>
      </c>
      <c r="C18588">
        <f>ROMAN(18587)</f>
        <v/>
      </c>
      <c r="D18588">
        <f>IF(B18588=C18588, "YES", "WRONG")</f>
        <v/>
      </c>
    </row>
    <row r="18589">
      <c r="A18589" t="n">
        <v>18588</v>
      </c>
      <c r="B18589" t="inlineStr">
        <is>
          <t>x̄V̅MMMDLXXXVIII</t>
        </is>
      </c>
      <c r="C18589">
        <f>ROMAN(18588)</f>
        <v/>
      </c>
      <c r="D18589">
        <f>IF(B18589=C18589, "YES", "WRONG")</f>
        <v/>
      </c>
    </row>
    <row r="18590">
      <c r="A18590" t="n">
        <v>18589</v>
      </c>
      <c r="B18590" t="inlineStr">
        <is>
          <t>x̄V̅MMMDLXXXIX</t>
        </is>
      </c>
      <c r="C18590">
        <f>ROMAN(18589)</f>
        <v/>
      </c>
      <c r="D18590">
        <f>IF(B18590=C18590, "YES", "WRONG")</f>
        <v/>
      </c>
    </row>
    <row r="18591">
      <c r="A18591" t="n">
        <v>18590</v>
      </c>
      <c r="B18591" t="inlineStr">
        <is>
          <t>x̄V̅MMMDXC</t>
        </is>
      </c>
      <c r="C18591">
        <f>ROMAN(18590)</f>
        <v/>
      </c>
      <c r="D18591">
        <f>IF(B18591=C18591, "YES", "WRONG")</f>
        <v/>
      </c>
    </row>
    <row r="18592">
      <c r="A18592" t="n">
        <v>18591</v>
      </c>
      <c r="B18592" t="inlineStr">
        <is>
          <t>x̄V̅MMMDXCI</t>
        </is>
      </c>
      <c r="C18592">
        <f>ROMAN(18591)</f>
        <v/>
      </c>
      <c r="D18592">
        <f>IF(B18592=C18592, "YES", "WRONG")</f>
        <v/>
      </c>
    </row>
    <row r="18593">
      <c r="A18593" t="n">
        <v>18592</v>
      </c>
      <c r="B18593" t="inlineStr">
        <is>
          <t>x̄V̅MMMDXCII</t>
        </is>
      </c>
      <c r="C18593">
        <f>ROMAN(18592)</f>
        <v/>
      </c>
      <c r="D18593">
        <f>IF(B18593=C18593, "YES", "WRONG")</f>
        <v/>
      </c>
    </row>
    <row r="18594">
      <c r="A18594" t="n">
        <v>18593</v>
      </c>
      <c r="B18594" t="inlineStr">
        <is>
          <t>x̄V̅MMMDXCIII</t>
        </is>
      </c>
      <c r="C18594">
        <f>ROMAN(18593)</f>
        <v/>
      </c>
      <c r="D18594">
        <f>IF(B18594=C18594, "YES", "WRONG")</f>
        <v/>
      </c>
    </row>
    <row r="18595">
      <c r="A18595" t="n">
        <v>18594</v>
      </c>
      <c r="B18595" t="inlineStr">
        <is>
          <t>x̄V̅MMMDXCIV</t>
        </is>
      </c>
      <c r="C18595">
        <f>ROMAN(18594)</f>
        <v/>
      </c>
      <c r="D18595">
        <f>IF(B18595=C18595, "YES", "WRONG")</f>
        <v/>
      </c>
    </row>
    <row r="18596">
      <c r="A18596" t="n">
        <v>18595</v>
      </c>
      <c r="B18596" t="inlineStr">
        <is>
          <t>x̄V̅MMMDXCV</t>
        </is>
      </c>
      <c r="C18596">
        <f>ROMAN(18595)</f>
        <v/>
      </c>
      <c r="D18596">
        <f>IF(B18596=C18596, "YES", "WRONG")</f>
        <v/>
      </c>
    </row>
    <row r="18597">
      <c r="A18597" t="n">
        <v>18596</v>
      </c>
      <c r="B18597" t="inlineStr">
        <is>
          <t>x̄V̅MMMDXCVI</t>
        </is>
      </c>
      <c r="C18597">
        <f>ROMAN(18596)</f>
        <v/>
      </c>
      <c r="D18597">
        <f>IF(B18597=C18597, "YES", "WRONG")</f>
        <v/>
      </c>
    </row>
    <row r="18598">
      <c r="A18598" t="n">
        <v>18597</v>
      </c>
      <c r="B18598" t="inlineStr">
        <is>
          <t>x̄V̅MMMDXCVII</t>
        </is>
      </c>
      <c r="C18598">
        <f>ROMAN(18597)</f>
        <v/>
      </c>
      <c r="D18598">
        <f>IF(B18598=C18598, "YES", "WRONG")</f>
        <v/>
      </c>
    </row>
    <row r="18599">
      <c r="A18599" t="n">
        <v>18598</v>
      </c>
      <c r="B18599" t="inlineStr">
        <is>
          <t>x̄V̅MMMDXCVIII</t>
        </is>
      </c>
      <c r="C18599">
        <f>ROMAN(18598)</f>
        <v/>
      </c>
      <c r="D18599">
        <f>IF(B18599=C18599, "YES", "WRONG")</f>
        <v/>
      </c>
    </row>
    <row r="18600">
      <c r="A18600" t="n">
        <v>18599</v>
      </c>
      <c r="B18600" t="inlineStr">
        <is>
          <t>x̄V̅MMMDXCIX</t>
        </is>
      </c>
      <c r="C18600">
        <f>ROMAN(18599)</f>
        <v/>
      </c>
      <c r="D18600">
        <f>IF(B18600=C18600, "YES", "WRONG")</f>
        <v/>
      </c>
    </row>
    <row r="18601">
      <c r="A18601" t="n">
        <v>18600</v>
      </c>
      <c r="B18601" t="inlineStr">
        <is>
          <t>x̄V̅MMMDC</t>
        </is>
      </c>
      <c r="C18601">
        <f>ROMAN(18600)</f>
        <v/>
      </c>
      <c r="D18601">
        <f>IF(B18601=C18601, "YES", "WRONG")</f>
        <v/>
      </c>
    </row>
    <row r="18602">
      <c r="A18602" t="n">
        <v>18601</v>
      </c>
      <c r="B18602" t="inlineStr">
        <is>
          <t>x̄V̅MMMDCI</t>
        </is>
      </c>
      <c r="C18602">
        <f>ROMAN(18601)</f>
        <v/>
      </c>
      <c r="D18602">
        <f>IF(B18602=C18602, "YES", "WRONG")</f>
        <v/>
      </c>
    </row>
    <row r="18603">
      <c r="A18603" t="n">
        <v>18602</v>
      </c>
      <c r="B18603" t="inlineStr">
        <is>
          <t>x̄V̅MMMDCII</t>
        </is>
      </c>
      <c r="C18603">
        <f>ROMAN(18602)</f>
        <v/>
      </c>
      <c r="D18603">
        <f>IF(B18603=C18603, "YES", "WRONG")</f>
        <v/>
      </c>
    </row>
    <row r="18604">
      <c r="A18604" t="n">
        <v>18603</v>
      </c>
      <c r="B18604" t="inlineStr">
        <is>
          <t>x̄V̅MMMDCIII</t>
        </is>
      </c>
      <c r="C18604">
        <f>ROMAN(18603)</f>
        <v/>
      </c>
      <c r="D18604">
        <f>IF(B18604=C18604, "YES", "WRONG")</f>
        <v/>
      </c>
    </row>
    <row r="18605">
      <c r="A18605" t="n">
        <v>18604</v>
      </c>
      <c r="B18605" t="inlineStr">
        <is>
          <t>x̄V̅MMMDCIV</t>
        </is>
      </c>
      <c r="C18605">
        <f>ROMAN(18604)</f>
        <v/>
      </c>
      <c r="D18605">
        <f>IF(B18605=C18605, "YES", "WRONG")</f>
        <v/>
      </c>
    </row>
    <row r="18606">
      <c r="A18606" t="n">
        <v>18605</v>
      </c>
      <c r="B18606" t="inlineStr">
        <is>
          <t>x̄V̅MMMDCV</t>
        </is>
      </c>
      <c r="C18606">
        <f>ROMAN(18605)</f>
        <v/>
      </c>
      <c r="D18606">
        <f>IF(B18606=C18606, "YES", "WRONG")</f>
        <v/>
      </c>
    </row>
    <row r="18607">
      <c r="A18607" t="n">
        <v>18606</v>
      </c>
      <c r="B18607" t="inlineStr">
        <is>
          <t>x̄V̅MMMDCVI</t>
        </is>
      </c>
      <c r="C18607">
        <f>ROMAN(18606)</f>
        <v/>
      </c>
      <c r="D18607">
        <f>IF(B18607=C18607, "YES", "WRONG")</f>
        <v/>
      </c>
    </row>
    <row r="18608">
      <c r="A18608" t="n">
        <v>18607</v>
      </c>
      <c r="B18608" t="inlineStr">
        <is>
          <t>x̄V̅MMMDCVII</t>
        </is>
      </c>
      <c r="C18608">
        <f>ROMAN(18607)</f>
        <v/>
      </c>
      <c r="D18608">
        <f>IF(B18608=C18608, "YES", "WRONG")</f>
        <v/>
      </c>
    </row>
    <row r="18609">
      <c r="A18609" t="n">
        <v>18608</v>
      </c>
      <c r="B18609" t="inlineStr">
        <is>
          <t>x̄V̅MMMDCVIII</t>
        </is>
      </c>
      <c r="C18609">
        <f>ROMAN(18608)</f>
        <v/>
      </c>
      <c r="D18609">
        <f>IF(B18609=C18609, "YES", "WRONG")</f>
        <v/>
      </c>
    </row>
    <row r="18610">
      <c r="A18610" t="n">
        <v>18609</v>
      </c>
      <c r="B18610" t="inlineStr">
        <is>
          <t>x̄V̅MMMDCIX</t>
        </is>
      </c>
      <c r="C18610">
        <f>ROMAN(18609)</f>
        <v/>
      </c>
      <c r="D18610">
        <f>IF(B18610=C18610, "YES", "WRONG")</f>
        <v/>
      </c>
    </row>
    <row r="18611">
      <c r="A18611" t="n">
        <v>18610</v>
      </c>
      <c r="B18611" t="inlineStr">
        <is>
          <t>x̄V̅MMMDCX</t>
        </is>
      </c>
      <c r="C18611">
        <f>ROMAN(18610)</f>
        <v/>
      </c>
      <c r="D18611">
        <f>IF(B18611=C18611, "YES", "WRONG")</f>
        <v/>
      </c>
    </row>
    <row r="18612">
      <c r="A18612" t="n">
        <v>18611</v>
      </c>
      <c r="B18612" t="inlineStr">
        <is>
          <t>x̄V̅MMMDCXI</t>
        </is>
      </c>
      <c r="C18612">
        <f>ROMAN(18611)</f>
        <v/>
      </c>
      <c r="D18612">
        <f>IF(B18612=C18612, "YES", "WRONG")</f>
        <v/>
      </c>
    </row>
    <row r="18613">
      <c r="A18613" t="n">
        <v>18612</v>
      </c>
      <c r="B18613" t="inlineStr">
        <is>
          <t>x̄V̅MMMDCXII</t>
        </is>
      </c>
      <c r="C18613">
        <f>ROMAN(18612)</f>
        <v/>
      </c>
      <c r="D18613">
        <f>IF(B18613=C18613, "YES", "WRONG")</f>
        <v/>
      </c>
    </row>
    <row r="18614">
      <c r="A18614" t="n">
        <v>18613</v>
      </c>
      <c r="B18614" t="inlineStr">
        <is>
          <t>x̄V̅MMMDCXIII</t>
        </is>
      </c>
      <c r="C18614">
        <f>ROMAN(18613)</f>
        <v/>
      </c>
      <c r="D18614">
        <f>IF(B18614=C18614, "YES", "WRONG")</f>
        <v/>
      </c>
    </row>
    <row r="18615">
      <c r="A18615" t="n">
        <v>18614</v>
      </c>
      <c r="B18615" t="inlineStr">
        <is>
          <t>x̄V̅MMMDCXIV</t>
        </is>
      </c>
      <c r="C18615">
        <f>ROMAN(18614)</f>
        <v/>
      </c>
      <c r="D18615">
        <f>IF(B18615=C18615, "YES", "WRONG")</f>
        <v/>
      </c>
    </row>
    <row r="18616">
      <c r="A18616" t="n">
        <v>18615</v>
      </c>
      <c r="B18616" t="inlineStr">
        <is>
          <t>x̄V̅MMMDCXV</t>
        </is>
      </c>
      <c r="C18616">
        <f>ROMAN(18615)</f>
        <v/>
      </c>
      <c r="D18616">
        <f>IF(B18616=C18616, "YES", "WRONG")</f>
        <v/>
      </c>
    </row>
    <row r="18617">
      <c r="A18617" t="n">
        <v>18616</v>
      </c>
      <c r="B18617" t="inlineStr">
        <is>
          <t>x̄V̅MMMDCXVI</t>
        </is>
      </c>
      <c r="C18617">
        <f>ROMAN(18616)</f>
        <v/>
      </c>
      <c r="D18617">
        <f>IF(B18617=C18617, "YES", "WRONG")</f>
        <v/>
      </c>
    </row>
    <row r="18618">
      <c r="A18618" t="n">
        <v>18617</v>
      </c>
      <c r="B18618" t="inlineStr">
        <is>
          <t>x̄V̅MMMDCXVII</t>
        </is>
      </c>
      <c r="C18618">
        <f>ROMAN(18617)</f>
        <v/>
      </c>
      <c r="D18618">
        <f>IF(B18618=C18618, "YES", "WRONG")</f>
        <v/>
      </c>
    </row>
    <row r="18619">
      <c r="A18619" t="n">
        <v>18618</v>
      </c>
      <c r="B18619" t="inlineStr">
        <is>
          <t>x̄V̅MMMDCXVIII</t>
        </is>
      </c>
      <c r="C18619">
        <f>ROMAN(18618)</f>
        <v/>
      </c>
      <c r="D18619">
        <f>IF(B18619=C18619, "YES", "WRONG")</f>
        <v/>
      </c>
    </row>
    <row r="18620">
      <c r="A18620" t="n">
        <v>18619</v>
      </c>
      <c r="B18620" t="inlineStr">
        <is>
          <t>x̄V̅MMMDCXIX</t>
        </is>
      </c>
      <c r="C18620">
        <f>ROMAN(18619)</f>
        <v/>
      </c>
      <c r="D18620">
        <f>IF(B18620=C18620, "YES", "WRONG")</f>
        <v/>
      </c>
    </row>
    <row r="18621">
      <c r="A18621" t="n">
        <v>18620</v>
      </c>
      <c r="B18621" t="inlineStr">
        <is>
          <t>x̄V̅MMMDCXX</t>
        </is>
      </c>
      <c r="C18621">
        <f>ROMAN(18620)</f>
        <v/>
      </c>
      <c r="D18621">
        <f>IF(B18621=C18621, "YES", "WRONG")</f>
        <v/>
      </c>
    </row>
    <row r="18622">
      <c r="A18622" t="n">
        <v>18621</v>
      </c>
      <c r="B18622" t="inlineStr">
        <is>
          <t>x̄V̅MMMDCXXI</t>
        </is>
      </c>
      <c r="C18622">
        <f>ROMAN(18621)</f>
        <v/>
      </c>
      <c r="D18622">
        <f>IF(B18622=C18622, "YES", "WRONG")</f>
        <v/>
      </c>
    </row>
    <row r="18623">
      <c r="A18623" t="n">
        <v>18622</v>
      </c>
      <c r="B18623" t="inlineStr">
        <is>
          <t>x̄V̅MMMDCXXII</t>
        </is>
      </c>
      <c r="C18623">
        <f>ROMAN(18622)</f>
        <v/>
      </c>
      <c r="D18623">
        <f>IF(B18623=C18623, "YES", "WRONG")</f>
        <v/>
      </c>
    </row>
    <row r="18624">
      <c r="A18624" t="n">
        <v>18623</v>
      </c>
      <c r="B18624" t="inlineStr">
        <is>
          <t>x̄V̅MMMDCXXIII</t>
        </is>
      </c>
      <c r="C18624">
        <f>ROMAN(18623)</f>
        <v/>
      </c>
      <c r="D18624">
        <f>IF(B18624=C18624, "YES", "WRONG")</f>
        <v/>
      </c>
    </row>
    <row r="18625">
      <c r="A18625" t="n">
        <v>18624</v>
      </c>
      <c r="B18625" t="inlineStr">
        <is>
          <t>x̄V̅MMMDCXXIV</t>
        </is>
      </c>
      <c r="C18625">
        <f>ROMAN(18624)</f>
        <v/>
      </c>
      <c r="D18625">
        <f>IF(B18625=C18625, "YES", "WRONG")</f>
        <v/>
      </c>
    </row>
    <row r="18626">
      <c r="A18626" t="n">
        <v>18625</v>
      </c>
      <c r="B18626" t="inlineStr">
        <is>
          <t>x̄V̅MMMDCXXV</t>
        </is>
      </c>
      <c r="C18626">
        <f>ROMAN(18625)</f>
        <v/>
      </c>
      <c r="D18626">
        <f>IF(B18626=C18626, "YES", "WRONG")</f>
        <v/>
      </c>
    </row>
    <row r="18627">
      <c r="A18627" t="n">
        <v>18626</v>
      </c>
      <c r="B18627" t="inlineStr">
        <is>
          <t>x̄V̅MMMDCXXVI</t>
        </is>
      </c>
      <c r="C18627">
        <f>ROMAN(18626)</f>
        <v/>
      </c>
      <c r="D18627">
        <f>IF(B18627=C18627, "YES", "WRONG")</f>
        <v/>
      </c>
    </row>
    <row r="18628">
      <c r="A18628" t="n">
        <v>18627</v>
      </c>
      <c r="B18628" t="inlineStr">
        <is>
          <t>x̄V̅MMMDCXXVII</t>
        </is>
      </c>
      <c r="C18628">
        <f>ROMAN(18627)</f>
        <v/>
      </c>
      <c r="D18628">
        <f>IF(B18628=C18628, "YES", "WRONG")</f>
        <v/>
      </c>
    </row>
    <row r="18629">
      <c r="A18629" t="n">
        <v>18628</v>
      </c>
      <c r="B18629" t="inlineStr">
        <is>
          <t>x̄V̅MMMDCXXVIII</t>
        </is>
      </c>
      <c r="C18629">
        <f>ROMAN(18628)</f>
        <v/>
      </c>
      <c r="D18629">
        <f>IF(B18629=C18629, "YES", "WRONG")</f>
        <v/>
      </c>
    </row>
    <row r="18630">
      <c r="A18630" t="n">
        <v>18629</v>
      </c>
      <c r="B18630" t="inlineStr">
        <is>
          <t>x̄V̅MMMDCXXIX</t>
        </is>
      </c>
      <c r="C18630">
        <f>ROMAN(18629)</f>
        <v/>
      </c>
      <c r="D18630">
        <f>IF(B18630=C18630, "YES", "WRONG")</f>
        <v/>
      </c>
    </row>
    <row r="18631">
      <c r="A18631" t="n">
        <v>18630</v>
      </c>
      <c r="B18631" t="inlineStr">
        <is>
          <t>x̄V̅MMMDCXXX</t>
        </is>
      </c>
      <c r="C18631">
        <f>ROMAN(18630)</f>
        <v/>
      </c>
      <c r="D18631">
        <f>IF(B18631=C18631, "YES", "WRONG")</f>
        <v/>
      </c>
    </row>
    <row r="18632">
      <c r="A18632" t="n">
        <v>18631</v>
      </c>
      <c r="B18632" t="inlineStr">
        <is>
          <t>x̄V̅MMMDCXXXI</t>
        </is>
      </c>
      <c r="C18632">
        <f>ROMAN(18631)</f>
        <v/>
      </c>
      <c r="D18632">
        <f>IF(B18632=C18632, "YES", "WRONG")</f>
        <v/>
      </c>
    </row>
    <row r="18633">
      <c r="A18633" t="n">
        <v>18632</v>
      </c>
      <c r="B18633" t="inlineStr">
        <is>
          <t>x̄V̅MMMDCXXXII</t>
        </is>
      </c>
      <c r="C18633">
        <f>ROMAN(18632)</f>
        <v/>
      </c>
      <c r="D18633">
        <f>IF(B18633=C18633, "YES", "WRONG")</f>
        <v/>
      </c>
    </row>
    <row r="18634">
      <c r="A18634" t="n">
        <v>18633</v>
      </c>
      <c r="B18634" t="inlineStr">
        <is>
          <t>x̄V̅MMMDCXXXIII</t>
        </is>
      </c>
      <c r="C18634">
        <f>ROMAN(18633)</f>
        <v/>
      </c>
      <c r="D18634">
        <f>IF(B18634=C18634, "YES", "WRONG")</f>
        <v/>
      </c>
    </row>
    <row r="18635">
      <c r="A18635" t="n">
        <v>18634</v>
      </c>
      <c r="B18635" t="inlineStr">
        <is>
          <t>x̄V̅MMMDCXXXIV</t>
        </is>
      </c>
      <c r="C18635">
        <f>ROMAN(18634)</f>
        <v/>
      </c>
      <c r="D18635">
        <f>IF(B18635=C18635, "YES", "WRONG")</f>
        <v/>
      </c>
    </row>
    <row r="18636">
      <c r="A18636" t="n">
        <v>18635</v>
      </c>
      <c r="B18636" t="inlineStr">
        <is>
          <t>x̄V̅MMMDCXXXV</t>
        </is>
      </c>
      <c r="C18636">
        <f>ROMAN(18635)</f>
        <v/>
      </c>
      <c r="D18636">
        <f>IF(B18636=C18636, "YES", "WRONG")</f>
        <v/>
      </c>
    </row>
    <row r="18637">
      <c r="A18637" t="n">
        <v>18636</v>
      </c>
      <c r="B18637" t="inlineStr">
        <is>
          <t>x̄V̅MMMDCXXXVI</t>
        </is>
      </c>
      <c r="C18637">
        <f>ROMAN(18636)</f>
        <v/>
      </c>
      <c r="D18637">
        <f>IF(B18637=C18637, "YES", "WRONG")</f>
        <v/>
      </c>
    </row>
    <row r="18638">
      <c r="A18638" t="n">
        <v>18637</v>
      </c>
      <c r="B18638" t="inlineStr">
        <is>
          <t>x̄V̅MMMDCXXXVII</t>
        </is>
      </c>
      <c r="C18638">
        <f>ROMAN(18637)</f>
        <v/>
      </c>
      <c r="D18638">
        <f>IF(B18638=C18638, "YES", "WRONG")</f>
        <v/>
      </c>
    </row>
    <row r="18639">
      <c r="A18639" t="n">
        <v>18638</v>
      </c>
      <c r="B18639" t="inlineStr">
        <is>
          <t>x̄V̅MMMDCXXXVIII</t>
        </is>
      </c>
      <c r="C18639">
        <f>ROMAN(18638)</f>
        <v/>
      </c>
      <c r="D18639">
        <f>IF(B18639=C18639, "YES", "WRONG")</f>
        <v/>
      </c>
    </row>
    <row r="18640">
      <c r="A18640" t="n">
        <v>18639</v>
      </c>
      <c r="B18640" t="inlineStr">
        <is>
          <t>x̄V̅MMMDCXXXIX</t>
        </is>
      </c>
      <c r="C18640">
        <f>ROMAN(18639)</f>
        <v/>
      </c>
      <c r="D18640">
        <f>IF(B18640=C18640, "YES", "WRONG")</f>
        <v/>
      </c>
    </row>
    <row r="18641">
      <c r="A18641" t="n">
        <v>18640</v>
      </c>
      <c r="B18641" t="inlineStr">
        <is>
          <t>x̄V̅MMMDCXL</t>
        </is>
      </c>
      <c r="C18641">
        <f>ROMAN(18640)</f>
        <v/>
      </c>
      <c r="D18641">
        <f>IF(B18641=C18641, "YES", "WRONG")</f>
        <v/>
      </c>
    </row>
    <row r="18642">
      <c r="A18642" t="n">
        <v>18641</v>
      </c>
      <c r="B18642" t="inlineStr">
        <is>
          <t>x̄V̅MMMDCXLI</t>
        </is>
      </c>
      <c r="C18642">
        <f>ROMAN(18641)</f>
        <v/>
      </c>
      <c r="D18642">
        <f>IF(B18642=C18642, "YES", "WRONG")</f>
        <v/>
      </c>
    </row>
    <row r="18643">
      <c r="A18643" t="n">
        <v>18642</v>
      </c>
      <c r="B18643" t="inlineStr">
        <is>
          <t>x̄V̅MMMDCXLII</t>
        </is>
      </c>
      <c r="C18643">
        <f>ROMAN(18642)</f>
        <v/>
      </c>
      <c r="D18643">
        <f>IF(B18643=C18643, "YES", "WRONG")</f>
        <v/>
      </c>
    </row>
    <row r="18644">
      <c r="A18644" t="n">
        <v>18643</v>
      </c>
      <c r="B18644" t="inlineStr">
        <is>
          <t>x̄V̅MMMDCXLIII</t>
        </is>
      </c>
      <c r="C18644">
        <f>ROMAN(18643)</f>
        <v/>
      </c>
      <c r="D18644">
        <f>IF(B18644=C18644, "YES", "WRONG")</f>
        <v/>
      </c>
    </row>
    <row r="18645">
      <c r="A18645" t="n">
        <v>18644</v>
      </c>
      <c r="B18645" t="inlineStr">
        <is>
          <t>x̄V̅MMMDCXLIV</t>
        </is>
      </c>
      <c r="C18645">
        <f>ROMAN(18644)</f>
        <v/>
      </c>
      <c r="D18645">
        <f>IF(B18645=C18645, "YES", "WRONG")</f>
        <v/>
      </c>
    </row>
    <row r="18646">
      <c r="A18646" t="n">
        <v>18645</v>
      </c>
      <c r="B18646" t="inlineStr">
        <is>
          <t>x̄V̅MMMDCXLV</t>
        </is>
      </c>
      <c r="C18646">
        <f>ROMAN(18645)</f>
        <v/>
      </c>
      <c r="D18646">
        <f>IF(B18646=C18646, "YES", "WRONG")</f>
        <v/>
      </c>
    </row>
    <row r="18647">
      <c r="A18647" t="n">
        <v>18646</v>
      </c>
      <c r="B18647" t="inlineStr">
        <is>
          <t>x̄V̅MMMDCXLVI</t>
        </is>
      </c>
      <c r="C18647">
        <f>ROMAN(18646)</f>
        <v/>
      </c>
      <c r="D18647">
        <f>IF(B18647=C18647, "YES", "WRONG")</f>
        <v/>
      </c>
    </row>
    <row r="18648">
      <c r="A18648" t="n">
        <v>18647</v>
      </c>
      <c r="B18648" t="inlineStr">
        <is>
          <t>x̄V̅MMMDCXLVII</t>
        </is>
      </c>
      <c r="C18648">
        <f>ROMAN(18647)</f>
        <v/>
      </c>
      <c r="D18648">
        <f>IF(B18648=C18648, "YES", "WRONG")</f>
        <v/>
      </c>
    </row>
    <row r="18649">
      <c r="A18649" t="n">
        <v>18648</v>
      </c>
      <c r="B18649" t="inlineStr">
        <is>
          <t>x̄V̅MMMDCXLVIII</t>
        </is>
      </c>
      <c r="C18649">
        <f>ROMAN(18648)</f>
        <v/>
      </c>
      <c r="D18649">
        <f>IF(B18649=C18649, "YES", "WRONG")</f>
        <v/>
      </c>
    </row>
    <row r="18650">
      <c r="A18650" t="n">
        <v>18649</v>
      </c>
      <c r="B18650" t="inlineStr">
        <is>
          <t>x̄V̅MMMDCXLIX</t>
        </is>
      </c>
      <c r="C18650">
        <f>ROMAN(18649)</f>
        <v/>
      </c>
      <c r="D18650">
        <f>IF(B18650=C18650, "YES", "WRONG")</f>
        <v/>
      </c>
    </row>
    <row r="18651">
      <c r="A18651" t="n">
        <v>18650</v>
      </c>
      <c r="B18651" t="inlineStr">
        <is>
          <t>x̄V̅MMMDCL</t>
        </is>
      </c>
      <c r="C18651">
        <f>ROMAN(18650)</f>
        <v/>
      </c>
      <c r="D18651">
        <f>IF(B18651=C18651, "YES", "WRONG")</f>
        <v/>
      </c>
    </row>
    <row r="18652">
      <c r="A18652" t="n">
        <v>18651</v>
      </c>
      <c r="B18652" t="inlineStr">
        <is>
          <t>x̄V̅MMMDCLI</t>
        </is>
      </c>
      <c r="C18652">
        <f>ROMAN(18651)</f>
        <v/>
      </c>
      <c r="D18652">
        <f>IF(B18652=C18652, "YES", "WRONG")</f>
        <v/>
      </c>
    </row>
    <row r="18653">
      <c r="A18653" t="n">
        <v>18652</v>
      </c>
      <c r="B18653" t="inlineStr">
        <is>
          <t>x̄V̅MMMDCLII</t>
        </is>
      </c>
      <c r="C18653">
        <f>ROMAN(18652)</f>
        <v/>
      </c>
      <c r="D18653">
        <f>IF(B18653=C18653, "YES", "WRONG")</f>
        <v/>
      </c>
    </row>
    <row r="18654">
      <c r="A18654" t="n">
        <v>18653</v>
      </c>
      <c r="B18654" t="inlineStr">
        <is>
          <t>x̄V̅MMMDCLIII</t>
        </is>
      </c>
      <c r="C18654">
        <f>ROMAN(18653)</f>
        <v/>
      </c>
      <c r="D18654">
        <f>IF(B18654=C18654, "YES", "WRONG")</f>
        <v/>
      </c>
    </row>
    <row r="18655">
      <c r="A18655" t="n">
        <v>18654</v>
      </c>
      <c r="B18655" t="inlineStr">
        <is>
          <t>x̄V̅MMMDCLIV</t>
        </is>
      </c>
      <c r="C18655">
        <f>ROMAN(18654)</f>
        <v/>
      </c>
      <c r="D18655">
        <f>IF(B18655=C18655, "YES", "WRONG")</f>
        <v/>
      </c>
    </row>
    <row r="18656">
      <c r="A18656" t="n">
        <v>18655</v>
      </c>
      <c r="B18656" t="inlineStr">
        <is>
          <t>x̄V̅MMMDCLV</t>
        </is>
      </c>
      <c r="C18656">
        <f>ROMAN(18655)</f>
        <v/>
      </c>
      <c r="D18656">
        <f>IF(B18656=C18656, "YES", "WRONG")</f>
        <v/>
      </c>
    </row>
    <row r="18657">
      <c r="A18657" t="n">
        <v>18656</v>
      </c>
      <c r="B18657" t="inlineStr">
        <is>
          <t>x̄V̅MMMDCLVI</t>
        </is>
      </c>
      <c r="C18657">
        <f>ROMAN(18656)</f>
        <v/>
      </c>
      <c r="D18657">
        <f>IF(B18657=C18657, "YES", "WRONG")</f>
        <v/>
      </c>
    </row>
    <row r="18658">
      <c r="A18658" t="n">
        <v>18657</v>
      </c>
      <c r="B18658" t="inlineStr">
        <is>
          <t>x̄V̅MMMDCLVII</t>
        </is>
      </c>
      <c r="C18658">
        <f>ROMAN(18657)</f>
        <v/>
      </c>
      <c r="D18658">
        <f>IF(B18658=C18658, "YES", "WRONG")</f>
        <v/>
      </c>
    </row>
    <row r="18659">
      <c r="A18659" t="n">
        <v>18658</v>
      </c>
      <c r="B18659" t="inlineStr">
        <is>
          <t>x̄V̅MMMDCLVIII</t>
        </is>
      </c>
      <c r="C18659">
        <f>ROMAN(18658)</f>
        <v/>
      </c>
      <c r="D18659">
        <f>IF(B18659=C18659, "YES", "WRONG")</f>
        <v/>
      </c>
    </row>
    <row r="18660">
      <c r="A18660" t="n">
        <v>18659</v>
      </c>
      <c r="B18660" t="inlineStr">
        <is>
          <t>x̄V̅MMMDCLIX</t>
        </is>
      </c>
      <c r="C18660">
        <f>ROMAN(18659)</f>
        <v/>
      </c>
      <c r="D18660">
        <f>IF(B18660=C18660, "YES", "WRONG")</f>
        <v/>
      </c>
    </row>
    <row r="18661">
      <c r="A18661" t="n">
        <v>18660</v>
      </c>
      <c r="B18661" t="inlineStr">
        <is>
          <t>x̄V̅MMMDCLX</t>
        </is>
      </c>
      <c r="C18661">
        <f>ROMAN(18660)</f>
        <v/>
      </c>
      <c r="D18661">
        <f>IF(B18661=C18661, "YES", "WRONG")</f>
        <v/>
      </c>
    </row>
    <row r="18662">
      <c r="A18662" t="n">
        <v>18661</v>
      </c>
      <c r="B18662" t="inlineStr">
        <is>
          <t>x̄V̅MMMDCLXI</t>
        </is>
      </c>
      <c r="C18662">
        <f>ROMAN(18661)</f>
        <v/>
      </c>
      <c r="D18662">
        <f>IF(B18662=C18662, "YES", "WRONG")</f>
        <v/>
      </c>
    </row>
    <row r="18663">
      <c r="A18663" t="n">
        <v>18662</v>
      </c>
      <c r="B18663" t="inlineStr">
        <is>
          <t>x̄V̅MMMDCLXII</t>
        </is>
      </c>
      <c r="C18663">
        <f>ROMAN(18662)</f>
        <v/>
      </c>
      <c r="D18663">
        <f>IF(B18663=C18663, "YES", "WRONG")</f>
        <v/>
      </c>
    </row>
    <row r="18664">
      <c r="A18664" t="n">
        <v>18663</v>
      </c>
      <c r="B18664" t="inlineStr">
        <is>
          <t>x̄V̅MMMDCLXIII</t>
        </is>
      </c>
      <c r="C18664">
        <f>ROMAN(18663)</f>
        <v/>
      </c>
      <c r="D18664">
        <f>IF(B18664=C18664, "YES", "WRONG")</f>
        <v/>
      </c>
    </row>
    <row r="18665">
      <c r="A18665" t="n">
        <v>18664</v>
      </c>
      <c r="B18665" t="inlineStr">
        <is>
          <t>x̄V̅MMMDCLXIV</t>
        </is>
      </c>
      <c r="C18665">
        <f>ROMAN(18664)</f>
        <v/>
      </c>
      <c r="D18665">
        <f>IF(B18665=C18665, "YES", "WRONG")</f>
        <v/>
      </c>
    </row>
    <row r="18666">
      <c r="A18666" t="n">
        <v>18665</v>
      </c>
      <c r="B18666" t="inlineStr">
        <is>
          <t>x̄V̅MMMDCLXV</t>
        </is>
      </c>
      <c r="C18666">
        <f>ROMAN(18665)</f>
        <v/>
      </c>
      <c r="D18666">
        <f>IF(B18666=C18666, "YES", "WRONG")</f>
        <v/>
      </c>
    </row>
    <row r="18667">
      <c r="A18667" t="n">
        <v>18666</v>
      </c>
      <c r="B18667" t="inlineStr">
        <is>
          <t>x̄V̅MMMDCLXVI</t>
        </is>
      </c>
      <c r="C18667">
        <f>ROMAN(18666)</f>
        <v/>
      </c>
      <c r="D18667">
        <f>IF(B18667=C18667, "YES", "WRONG")</f>
        <v/>
      </c>
    </row>
    <row r="18668">
      <c r="A18668" t="n">
        <v>18667</v>
      </c>
      <c r="B18668" t="inlineStr">
        <is>
          <t>x̄V̅MMMDCLXVII</t>
        </is>
      </c>
      <c r="C18668">
        <f>ROMAN(18667)</f>
        <v/>
      </c>
      <c r="D18668">
        <f>IF(B18668=C18668, "YES", "WRONG")</f>
        <v/>
      </c>
    </row>
    <row r="18669">
      <c r="A18669" t="n">
        <v>18668</v>
      </c>
      <c r="B18669" t="inlineStr">
        <is>
          <t>x̄V̅MMMDCLXVIII</t>
        </is>
      </c>
      <c r="C18669">
        <f>ROMAN(18668)</f>
        <v/>
      </c>
      <c r="D18669">
        <f>IF(B18669=C18669, "YES", "WRONG")</f>
        <v/>
      </c>
    </row>
    <row r="18670">
      <c r="A18670" t="n">
        <v>18669</v>
      </c>
      <c r="B18670" t="inlineStr">
        <is>
          <t>x̄V̅MMMDCLXIX</t>
        </is>
      </c>
      <c r="C18670">
        <f>ROMAN(18669)</f>
        <v/>
      </c>
      <c r="D18670">
        <f>IF(B18670=C18670, "YES", "WRONG")</f>
        <v/>
      </c>
    </row>
    <row r="18671">
      <c r="A18671" t="n">
        <v>18670</v>
      </c>
      <c r="B18671" t="inlineStr">
        <is>
          <t>x̄V̅MMMDCLXX</t>
        </is>
      </c>
      <c r="C18671">
        <f>ROMAN(18670)</f>
        <v/>
      </c>
      <c r="D18671">
        <f>IF(B18671=C18671, "YES", "WRONG")</f>
        <v/>
      </c>
    </row>
    <row r="18672">
      <c r="A18672" t="n">
        <v>18671</v>
      </c>
      <c r="B18672" t="inlineStr">
        <is>
          <t>x̄V̅MMMDCLXXI</t>
        </is>
      </c>
      <c r="C18672">
        <f>ROMAN(18671)</f>
        <v/>
      </c>
      <c r="D18672">
        <f>IF(B18672=C18672, "YES", "WRONG")</f>
        <v/>
      </c>
    </row>
    <row r="18673">
      <c r="A18673" t="n">
        <v>18672</v>
      </c>
      <c r="B18673" t="inlineStr">
        <is>
          <t>x̄V̅MMMDCLXXII</t>
        </is>
      </c>
      <c r="C18673">
        <f>ROMAN(18672)</f>
        <v/>
      </c>
      <c r="D18673">
        <f>IF(B18673=C18673, "YES", "WRONG")</f>
        <v/>
      </c>
    </row>
    <row r="18674">
      <c r="A18674" t="n">
        <v>18673</v>
      </c>
      <c r="B18674" t="inlineStr">
        <is>
          <t>x̄V̅MMMDCLXXIII</t>
        </is>
      </c>
      <c r="C18674">
        <f>ROMAN(18673)</f>
        <v/>
      </c>
      <c r="D18674">
        <f>IF(B18674=C18674, "YES", "WRONG")</f>
        <v/>
      </c>
    </row>
    <row r="18675">
      <c r="A18675" t="n">
        <v>18674</v>
      </c>
      <c r="B18675" t="inlineStr">
        <is>
          <t>x̄V̅MMMDCLXXIV</t>
        </is>
      </c>
      <c r="C18675">
        <f>ROMAN(18674)</f>
        <v/>
      </c>
      <c r="D18675">
        <f>IF(B18675=C18675, "YES", "WRONG")</f>
        <v/>
      </c>
    </row>
    <row r="18676">
      <c r="A18676" t="n">
        <v>18675</v>
      </c>
      <c r="B18676" t="inlineStr">
        <is>
          <t>x̄V̅MMMDCLXXV</t>
        </is>
      </c>
      <c r="C18676">
        <f>ROMAN(18675)</f>
        <v/>
      </c>
      <c r="D18676">
        <f>IF(B18676=C18676, "YES", "WRONG")</f>
        <v/>
      </c>
    </row>
    <row r="18677">
      <c r="A18677" t="n">
        <v>18676</v>
      </c>
      <c r="B18677" t="inlineStr">
        <is>
          <t>x̄V̅MMMDCLXXVI</t>
        </is>
      </c>
      <c r="C18677">
        <f>ROMAN(18676)</f>
        <v/>
      </c>
      <c r="D18677">
        <f>IF(B18677=C18677, "YES", "WRONG")</f>
        <v/>
      </c>
    </row>
    <row r="18678">
      <c r="A18678" t="n">
        <v>18677</v>
      </c>
      <c r="B18678" t="inlineStr">
        <is>
          <t>x̄V̅MMMDCLXXVII</t>
        </is>
      </c>
      <c r="C18678">
        <f>ROMAN(18677)</f>
        <v/>
      </c>
      <c r="D18678">
        <f>IF(B18678=C18678, "YES", "WRONG")</f>
        <v/>
      </c>
    </row>
    <row r="18679">
      <c r="A18679" t="n">
        <v>18678</v>
      </c>
      <c r="B18679" t="inlineStr">
        <is>
          <t>x̄V̅MMMDCLXXVIII</t>
        </is>
      </c>
      <c r="C18679">
        <f>ROMAN(18678)</f>
        <v/>
      </c>
      <c r="D18679">
        <f>IF(B18679=C18679, "YES", "WRONG")</f>
        <v/>
      </c>
    </row>
    <row r="18680">
      <c r="A18680" t="n">
        <v>18679</v>
      </c>
      <c r="B18680" t="inlineStr">
        <is>
          <t>x̄V̅MMMDCLXXIX</t>
        </is>
      </c>
      <c r="C18680">
        <f>ROMAN(18679)</f>
        <v/>
      </c>
      <c r="D18680">
        <f>IF(B18680=C18680, "YES", "WRONG")</f>
        <v/>
      </c>
    </row>
    <row r="18681">
      <c r="A18681" t="n">
        <v>18680</v>
      </c>
      <c r="B18681" t="inlineStr">
        <is>
          <t>x̄V̅MMMDCLXXX</t>
        </is>
      </c>
      <c r="C18681">
        <f>ROMAN(18680)</f>
        <v/>
      </c>
      <c r="D18681">
        <f>IF(B18681=C18681, "YES", "WRONG")</f>
        <v/>
      </c>
    </row>
    <row r="18682">
      <c r="A18682" t="n">
        <v>18681</v>
      </c>
      <c r="B18682" t="inlineStr">
        <is>
          <t>x̄V̅MMMDCLXXXI</t>
        </is>
      </c>
      <c r="C18682">
        <f>ROMAN(18681)</f>
        <v/>
      </c>
      <c r="D18682">
        <f>IF(B18682=C18682, "YES", "WRONG")</f>
        <v/>
      </c>
    </row>
    <row r="18683">
      <c r="A18683" t="n">
        <v>18682</v>
      </c>
      <c r="B18683" t="inlineStr">
        <is>
          <t>x̄V̅MMMDCLXXXII</t>
        </is>
      </c>
      <c r="C18683">
        <f>ROMAN(18682)</f>
        <v/>
      </c>
      <c r="D18683">
        <f>IF(B18683=C18683, "YES", "WRONG")</f>
        <v/>
      </c>
    </row>
    <row r="18684">
      <c r="A18684" t="n">
        <v>18683</v>
      </c>
      <c r="B18684" t="inlineStr">
        <is>
          <t>x̄V̅MMMDCLXXXIII</t>
        </is>
      </c>
      <c r="C18684">
        <f>ROMAN(18683)</f>
        <v/>
      </c>
      <c r="D18684">
        <f>IF(B18684=C18684, "YES", "WRONG")</f>
        <v/>
      </c>
    </row>
    <row r="18685">
      <c r="A18685" t="n">
        <v>18684</v>
      </c>
      <c r="B18685" t="inlineStr">
        <is>
          <t>x̄V̅MMMDCLXXXIV</t>
        </is>
      </c>
      <c r="C18685">
        <f>ROMAN(18684)</f>
        <v/>
      </c>
      <c r="D18685">
        <f>IF(B18685=C18685, "YES", "WRONG")</f>
        <v/>
      </c>
    </row>
    <row r="18686">
      <c r="A18686" t="n">
        <v>18685</v>
      </c>
      <c r="B18686" t="inlineStr">
        <is>
          <t>x̄V̅MMMDCLXXXV</t>
        </is>
      </c>
      <c r="C18686">
        <f>ROMAN(18685)</f>
        <v/>
      </c>
      <c r="D18686">
        <f>IF(B18686=C18686, "YES", "WRONG")</f>
        <v/>
      </c>
    </row>
    <row r="18687">
      <c r="A18687" t="n">
        <v>18686</v>
      </c>
      <c r="B18687" t="inlineStr">
        <is>
          <t>x̄V̅MMMDCLXXXVI</t>
        </is>
      </c>
      <c r="C18687">
        <f>ROMAN(18686)</f>
        <v/>
      </c>
      <c r="D18687">
        <f>IF(B18687=C18687, "YES", "WRONG")</f>
        <v/>
      </c>
    </row>
    <row r="18688">
      <c r="A18688" t="n">
        <v>18687</v>
      </c>
      <c r="B18688" t="inlineStr">
        <is>
          <t>x̄V̅MMMDCLXXXVII</t>
        </is>
      </c>
      <c r="C18688">
        <f>ROMAN(18687)</f>
        <v/>
      </c>
      <c r="D18688">
        <f>IF(B18688=C18688, "YES", "WRONG")</f>
        <v/>
      </c>
    </row>
    <row r="18689">
      <c r="A18689" t="n">
        <v>18688</v>
      </c>
      <c r="B18689" t="inlineStr">
        <is>
          <t>x̄V̅MMMDCLXXXVIII</t>
        </is>
      </c>
      <c r="C18689">
        <f>ROMAN(18688)</f>
        <v/>
      </c>
      <c r="D18689">
        <f>IF(B18689=C18689, "YES", "WRONG")</f>
        <v/>
      </c>
    </row>
    <row r="18690">
      <c r="A18690" t="n">
        <v>18689</v>
      </c>
      <c r="B18690" t="inlineStr">
        <is>
          <t>x̄V̅MMMDCLXXXIX</t>
        </is>
      </c>
      <c r="C18690">
        <f>ROMAN(18689)</f>
        <v/>
      </c>
      <c r="D18690">
        <f>IF(B18690=C18690, "YES", "WRONG")</f>
        <v/>
      </c>
    </row>
    <row r="18691">
      <c r="A18691" t="n">
        <v>18690</v>
      </c>
      <c r="B18691" t="inlineStr">
        <is>
          <t>x̄V̅MMMDCXC</t>
        </is>
      </c>
      <c r="C18691">
        <f>ROMAN(18690)</f>
        <v/>
      </c>
      <c r="D18691">
        <f>IF(B18691=C18691, "YES", "WRONG")</f>
        <v/>
      </c>
    </row>
    <row r="18692">
      <c r="A18692" t="n">
        <v>18691</v>
      </c>
      <c r="B18692" t="inlineStr">
        <is>
          <t>x̄V̅MMMDCXCI</t>
        </is>
      </c>
      <c r="C18692">
        <f>ROMAN(18691)</f>
        <v/>
      </c>
      <c r="D18692">
        <f>IF(B18692=C18692, "YES", "WRONG")</f>
        <v/>
      </c>
    </row>
    <row r="18693">
      <c r="A18693" t="n">
        <v>18692</v>
      </c>
      <c r="B18693" t="inlineStr">
        <is>
          <t>x̄V̅MMMDCXCII</t>
        </is>
      </c>
      <c r="C18693">
        <f>ROMAN(18692)</f>
        <v/>
      </c>
      <c r="D18693">
        <f>IF(B18693=C18693, "YES", "WRONG")</f>
        <v/>
      </c>
    </row>
    <row r="18694">
      <c r="A18694" t="n">
        <v>18693</v>
      </c>
      <c r="B18694" t="inlineStr">
        <is>
          <t>x̄V̅MMMDCXCIII</t>
        </is>
      </c>
      <c r="C18694">
        <f>ROMAN(18693)</f>
        <v/>
      </c>
      <c r="D18694">
        <f>IF(B18694=C18694, "YES", "WRONG")</f>
        <v/>
      </c>
    </row>
    <row r="18695">
      <c r="A18695" t="n">
        <v>18694</v>
      </c>
      <c r="B18695" t="inlineStr">
        <is>
          <t>x̄V̅MMMDCXCIV</t>
        </is>
      </c>
      <c r="C18695">
        <f>ROMAN(18694)</f>
        <v/>
      </c>
      <c r="D18695">
        <f>IF(B18695=C18695, "YES", "WRONG")</f>
        <v/>
      </c>
    </row>
    <row r="18696">
      <c r="A18696" t="n">
        <v>18695</v>
      </c>
      <c r="B18696" t="inlineStr">
        <is>
          <t>x̄V̅MMMDCXCV</t>
        </is>
      </c>
      <c r="C18696">
        <f>ROMAN(18695)</f>
        <v/>
      </c>
      <c r="D18696">
        <f>IF(B18696=C18696, "YES", "WRONG")</f>
        <v/>
      </c>
    </row>
    <row r="18697">
      <c r="A18697" t="n">
        <v>18696</v>
      </c>
      <c r="B18697" t="inlineStr">
        <is>
          <t>x̄V̅MMMDCXCVI</t>
        </is>
      </c>
      <c r="C18697">
        <f>ROMAN(18696)</f>
        <v/>
      </c>
      <c r="D18697">
        <f>IF(B18697=C18697, "YES", "WRONG")</f>
        <v/>
      </c>
    </row>
    <row r="18698">
      <c r="A18698" t="n">
        <v>18697</v>
      </c>
      <c r="B18698" t="inlineStr">
        <is>
          <t>x̄V̅MMMDCXCVII</t>
        </is>
      </c>
      <c r="C18698">
        <f>ROMAN(18697)</f>
        <v/>
      </c>
      <c r="D18698">
        <f>IF(B18698=C18698, "YES", "WRONG")</f>
        <v/>
      </c>
    </row>
    <row r="18699">
      <c r="A18699" t="n">
        <v>18698</v>
      </c>
      <c r="B18699" t="inlineStr">
        <is>
          <t>x̄V̅MMMDCXCVIII</t>
        </is>
      </c>
      <c r="C18699">
        <f>ROMAN(18698)</f>
        <v/>
      </c>
      <c r="D18699">
        <f>IF(B18699=C18699, "YES", "WRONG")</f>
        <v/>
      </c>
    </row>
    <row r="18700">
      <c r="A18700" t="n">
        <v>18699</v>
      </c>
      <c r="B18700" t="inlineStr">
        <is>
          <t>x̄V̅MMMDCXCIX</t>
        </is>
      </c>
      <c r="C18700">
        <f>ROMAN(18699)</f>
        <v/>
      </c>
      <c r="D18700">
        <f>IF(B18700=C18700, "YES", "WRONG")</f>
        <v/>
      </c>
    </row>
    <row r="18701">
      <c r="A18701" t="n">
        <v>18700</v>
      </c>
      <c r="B18701" t="inlineStr">
        <is>
          <t>x̄V̅MMMDCC</t>
        </is>
      </c>
      <c r="C18701">
        <f>ROMAN(18700)</f>
        <v/>
      </c>
      <c r="D18701">
        <f>IF(B18701=C18701, "YES", "WRONG")</f>
        <v/>
      </c>
    </row>
    <row r="18702">
      <c r="A18702" t="n">
        <v>18701</v>
      </c>
      <c r="B18702" t="inlineStr">
        <is>
          <t>x̄V̅MMMDCCI</t>
        </is>
      </c>
      <c r="C18702">
        <f>ROMAN(18701)</f>
        <v/>
      </c>
      <c r="D18702">
        <f>IF(B18702=C18702, "YES", "WRONG")</f>
        <v/>
      </c>
    </row>
    <row r="18703">
      <c r="A18703" t="n">
        <v>18702</v>
      </c>
      <c r="B18703" t="inlineStr">
        <is>
          <t>x̄V̅MMMDCCII</t>
        </is>
      </c>
      <c r="C18703">
        <f>ROMAN(18702)</f>
        <v/>
      </c>
      <c r="D18703">
        <f>IF(B18703=C18703, "YES", "WRONG")</f>
        <v/>
      </c>
    </row>
    <row r="18704">
      <c r="A18704" t="n">
        <v>18703</v>
      </c>
      <c r="B18704" t="inlineStr">
        <is>
          <t>x̄V̅MMMDCCIII</t>
        </is>
      </c>
      <c r="C18704">
        <f>ROMAN(18703)</f>
        <v/>
      </c>
      <c r="D18704">
        <f>IF(B18704=C18704, "YES", "WRONG")</f>
        <v/>
      </c>
    </row>
    <row r="18705">
      <c r="A18705" t="n">
        <v>18704</v>
      </c>
      <c r="B18705" t="inlineStr">
        <is>
          <t>x̄V̅MMMDCCIV</t>
        </is>
      </c>
      <c r="C18705">
        <f>ROMAN(18704)</f>
        <v/>
      </c>
      <c r="D18705">
        <f>IF(B18705=C18705, "YES", "WRONG")</f>
        <v/>
      </c>
    </row>
    <row r="18706">
      <c r="A18706" t="n">
        <v>18705</v>
      </c>
      <c r="B18706" t="inlineStr">
        <is>
          <t>x̄V̅MMMDCCV</t>
        </is>
      </c>
      <c r="C18706">
        <f>ROMAN(18705)</f>
        <v/>
      </c>
      <c r="D18706">
        <f>IF(B18706=C18706, "YES", "WRONG")</f>
        <v/>
      </c>
    </row>
    <row r="18707">
      <c r="A18707" t="n">
        <v>18706</v>
      </c>
      <c r="B18707" t="inlineStr">
        <is>
          <t>x̄V̅MMMDCCVI</t>
        </is>
      </c>
      <c r="C18707">
        <f>ROMAN(18706)</f>
        <v/>
      </c>
      <c r="D18707">
        <f>IF(B18707=C18707, "YES", "WRONG")</f>
        <v/>
      </c>
    </row>
    <row r="18708">
      <c r="A18708" t="n">
        <v>18707</v>
      </c>
      <c r="B18708" t="inlineStr">
        <is>
          <t>x̄V̅MMMDCCVII</t>
        </is>
      </c>
      <c r="C18708">
        <f>ROMAN(18707)</f>
        <v/>
      </c>
      <c r="D18708">
        <f>IF(B18708=C18708, "YES", "WRONG")</f>
        <v/>
      </c>
    </row>
    <row r="18709">
      <c r="A18709" t="n">
        <v>18708</v>
      </c>
      <c r="B18709" t="inlineStr">
        <is>
          <t>x̄V̅MMMDCCVIII</t>
        </is>
      </c>
      <c r="C18709">
        <f>ROMAN(18708)</f>
        <v/>
      </c>
      <c r="D18709">
        <f>IF(B18709=C18709, "YES", "WRONG")</f>
        <v/>
      </c>
    </row>
    <row r="18710">
      <c r="A18710" t="n">
        <v>18709</v>
      </c>
      <c r="B18710" t="inlineStr">
        <is>
          <t>x̄V̅MMMDCCIX</t>
        </is>
      </c>
      <c r="C18710">
        <f>ROMAN(18709)</f>
        <v/>
      </c>
      <c r="D18710">
        <f>IF(B18710=C18710, "YES", "WRONG")</f>
        <v/>
      </c>
    </row>
    <row r="18711">
      <c r="A18711" t="n">
        <v>18710</v>
      </c>
      <c r="B18711" t="inlineStr">
        <is>
          <t>x̄V̅MMMDCCX</t>
        </is>
      </c>
      <c r="C18711">
        <f>ROMAN(18710)</f>
        <v/>
      </c>
      <c r="D18711">
        <f>IF(B18711=C18711, "YES", "WRONG")</f>
        <v/>
      </c>
    </row>
    <row r="18712">
      <c r="A18712" t="n">
        <v>18711</v>
      </c>
      <c r="B18712" t="inlineStr">
        <is>
          <t>x̄V̅MMMDCCXI</t>
        </is>
      </c>
      <c r="C18712">
        <f>ROMAN(18711)</f>
        <v/>
      </c>
      <c r="D18712">
        <f>IF(B18712=C18712, "YES", "WRONG")</f>
        <v/>
      </c>
    </row>
    <row r="18713">
      <c r="A18713" t="n">
        <v>18712</v>
      </c>
      <c r="B18713" t="inlineStr">
        <is>
          <t>x̄V̅MMMDCCXII</t>
        </is>
      </c>
      <c r="C18713">
        <f>ROMAN(18712)</f>
        <v/>
      </c>
      <c r="D18713">
        <f>IF(B18713=C18713, "YES", "WRONG")</f>
        <v/>
      </c>
    </row>
    <row r="18714">
      <c r="A18714" t="n">
        <v>18713</v>
      </c>
      <c r="B18714" t="inlineStr">
        <is>
          <t>x̄V̅MMMDCCXIII</t>
        </is>
      </c>
      <c r="C18714">
        <f>ROMAN(18713)</f>
        <v/>
      </c>
      <c r="D18714">
        <f>IF(B18714=C18714, "YES", "WRONG")</f>
        <v/>
      </c>
    </row>
    <row r="18715">
      <c r="A18715" t="n">
        <v>18714</v>
      </c>
      <c r="B18715" t="inlineStr">
        <is>
          <t>x̄V̅MMMDCCXIV</t>
        </is>
      </c>
      <c r="C18715">
        <f>ROMAN(18714)</f>
        <v/>
      </c>
      <c r="D18715">
        <f>IF(B18715=C18715, "YES", "WRONG")</f>
        <v/>
      </c>
    </row>
    <row r="18716">
      <c r="A18716" t="n">
        <v>18715</v>
      </c>
      <c r="B18716" t="inlineStr">
        <is>
          <t>x̄V̅MMMDCCXV</t>
        </is>
      </c>
      <c r="C18716">
        <f>ROMAN(18715)</f>
        <v/>
      </c>
      <c r="D18716">
        <f>IF(B18716=C18716, "YES", "WRONG")</f>
        <v/>
      </c>
    </row>
    <row r="18717">
      <c r="A18717" t="n">
        <v>18716</v>
      </c>
      <c r="B18717" t="inlineStr">
        <is>
          <t>x̄V̅MMMDCCXVI</t>
        </is>
      </c>
      <c r="C18717">
        <f>ROMAN(18716)</f>
        <v/>
      </c>
      <c r="D18717">
        <f>IF(B18717=C18717, "YES", "WRONG")</f>
        <v/>
      </c>
    </row>
    <row r="18718">
      <c r="A18718" t="n">
        <v>18717</v>
      </c>
      <c r="B18718" t="inlineStr">
        <is>
          <t>x̄V̅MMMDCCXVII</t>
        </is>
      </c>
      <c r="C18718">
        <f>ROMAN(18717)</f>
        <v/>
      </c>
      <c r="D18718">
        <f>IF(B18718=C18718, "YES", "WRONG")</f>
        <v/>
      </c>
    </row>
    <row r="18719">
      <c r="A18719" t="n">
        <v>18718</v>
      </c>
      <c r="B18719" t="inlineStr">
        <is>
          <t>x̄V̅MMMDCCXVIII</t>
        </is>
      </c>
      <c r="C18719">
        <f>ROMAN(18718)</f>
        <v/>
      </c>
      <c r="D18719">
        <f>IF(B18719=C18719, "YES", "WRONG")</f>
        <v/>
      </c>
    </row>
    <row r="18720">
      <c r="A18720" t="n">
        <v>18719</v>
      </c>
      <c r="B18720" t="inlineStr">
        <is>
          <t>x̄V̅MMMDCCXIX</t>
        </is>
      </c>
      <c r="C18720">
        <f>ROMAN(18719)</f>
        <v/>
      </c>
      <c r="D18720">
        <f>IF(B18720=C18720, "YES", "WRONG")</f>
        <v/>
      </c>
    </row>
    <row r="18721">
      <c r="A18721" t="n">
        <v>18720</v>
      </c>
      <c r="B18721" t="inlineStr">
        <is>
          <t>x̄V̅MMMDCCXX</t>
        </is>
      </c>
      <c r="C18721">
        <f>ROMAN(18720)</f>
        <v/>
      </c>
      <c r="D18721">
        <f>IF(B18721=C18721, "YES", "WRONG")</f>
        <v/>
      </c>
    </row>
    <row r="18722">
      <c r="A18722" t="n">
        <v>18721</v>
      </c>
      <c r="B18722" t="inlineStr">
        <is>
          <t>x̄V̅MMMDCCXXI</t>
        </is>
      </c>
      <c r="C18722">
        <f>ROMAN(18721)</f>
        <v/>
      </c>
      <c r="D18722">
        <f>IF(B18722=C18722, "YES", "WRONG")</f>
        <v/>
      </c>
    </row>
    <row r="18723">
      <c r="A18723" t="n">
        <v>18722</v>
      </c>
      <c r="B18723" t="inlineStr">
        <is>
          <t>x̄V̅MMMDCCXXII</t>
        </is>
      </c>
      <c r="C18723">
        <f>ROMAN(18722)</f>
        <v/>
      </c>
      <c r="D18723">
        <f>IF(B18723=C18723, "YES", "WRONG")</f>
        <v/>
      </c>
    </row>
    <row r="18724">
      <c r="A18724" t="n">
        <v>18723</v>
      </c>
      <c r="B18724" t="inlineStr">
        <is>
          <t>x̄V̅MMMDCCXXIII</t>
        </is>
      </c>
      <c r="C18724">
        <f>ROMAN(18723)</f>
        <v/>
      </c>
      <c r="D18724">
        <f>IF(B18724=C18724, "YES", "WRONG")</f>
        <v/>
      </c>
    </row>
    <row r="18725">
      <c r="A18725" t="n">
        <v>18724</v>
      </c>
      <c r="B18725" t="inlineStr">
        <is>
          <t>x̄V̅MMMDCCXXIV</t>
        </is>
      </c>
      <c r="C18725">
        <f>ROMAN(18724)</f>
        <v/>
      </c>
      <c r="D18725">
        <f>IF(B18725=C18725, "YES", "WRONG")</f>
        <v/>
      </c>
    </row>
    <row r="18726">
      <c r="A18726" t="n">
        <v>18725</v>
      </c>
      <c r="B18726" t="inlineStr">
        <is>
          <t>x̄V̅MMMDCCXXV</t>
        </is>
      </c>
      <c r="C18726">
        <f>ROMAN(18725)</f>
        <v/>
      </c>
      <c r="D18726">
        <f>IF(B18726=C18726, "YES", "WRONG")</f>
        <v/>
      </c>
    </row>
    <row r="18727">
      <c r="A18727" t="n">
        <v>18726</v>
      </c>
      <c r="B18727" t="inlineStr">
        <is>
          <t>x̄V̅MMMDCCXXVI</t>
        </is>
      </c>
      <c r="C18727">
        <f>ROMAN(18726)</f>
        <v/>
      </c>
      <c r="D18727">
        <f>IF(B18727=C18727, "YES", "WRONG")</f>
        <v/>
      </c>
    </row>
    <row r="18728">
      <c r="A18728" t="n">
        <v>18727</v>
      </c>
      <c r="B18728" t="inlineStr">
        <is>
          <t>x̄V̅MMMDCCXXVII</t>
        </is>
      </c>
      <c r="C18728">
        <f>ROMAN(18727)</f>
        <v/>
      </c>
      <c r="D18728">
        <f>IF(B18728=C18728, "YES", "WRONG")</f>
        <v/>
      </c>
    </row>
    <row r="18729">
      <c r="A18729" t="n">
        <v>18728</v>
      </c>
      <c r="B18729" t="inlineStr">
        <is>
          <t>x̄V̅MMMDCCXXVIII</t>
        </is>
      </c>
      <c r="C18729">
        <f>ROMAN(18728)</f>
        <v/>
      </c>
      <c r="D18729">
        <f>IF(B18729=C18729, "YES", "WRONG")</f>
        <v/>
      </c>
    </row>
    <row r="18730">
      <c r="A18730" t="n">
        <v>18729</v>
      </c>
      <c r="B18730" t="inlineStr">
        <is>
          <t>x̄V̅MMMDCCXXIX</t>
        </is>
      </c>
      <c r="C18730">
        <f>ROMAN(18729)</f>
        <v/>
      </c>
      <c r="D18730">
        <f>IF(B18730=C18730, "YES", "WRONG")</f>
        <v/>
      </c>
    </row>
    <row r="18731">
      <c r="A18731" t="n">
        <v>18730</v>
      </c>
      <c r="B18731" t="inlineStr">
        <is>
          <t>x̄V̅MMMDCCXXX</t>
        </is>
      </c>
      <c r="C18731">
        <f>ROMAN(18730)</f>
        <v/>
      </c>
      <c r="D18731">
        <f>IF(B18731=C18731, "YES", "WRONG")</f>
        <v/>
      </c>
    </row>
    <row r="18732">
      <c r="A18732" t="n">
        <v>18731</v>
      </c>
      <c r="B18732" t="inlineStr">
        <is>
          <t>x̄V̅MMMDCCXXXI</t>
        </is>
      </c>
      <c r="C18732">
        <f>ROMAN(18731)</f>
        <v/>
      </c>
      <c r="D18732">
        <f>IF(B18732=C18732, "YES", "WRONG")</f>
        <v/>
      </c>
    </row>
    <row r="18733">
      <c r="A18733" t="n">
        <v>18732</v>
      </c>
      <c r="B18733" t="inlineStr">
        <is>
          <t>x̄V̅MMMDCCXXXII</t>
        </is>
      </c>
      <c r="C18733">
        <f>ROMAN(18732)</f>
        <v/>
      </c>
      <c r="D18733">
        <f>IF(B18733=C18733, "YES", "WRONG")</f>
        <v/>
      </c>
    </row>
    <row r="18734">
      <c r="A18734" t="n">
        <v>18733</v>
      </c>
      <c r="B18734" t="inlineStr">
        <is>
          <t>x̄V̅MMMDCCXXXIII</t>
        </is>
      </c>
      <c r="C18734">
        <f>ROMAN(18733)</f>
        <v/>
      </c>
      <c r="D18734">
        <f>IF(B18734=C18734, "YES", "WRONG")</f>
        <v/>
      </c>
    </row>
    <row r="18735">
      <c r="A18735" t="n">
        <v>18734</v>
      </c>
      <c r="B18735" t="inlineStr">
        <is>
          <t>x̄V̅MMMDCCXXXIV</t>
        </is>
      </c>
      <c r="C18735">
        <f>ROMAN(18734)</f>
        <v/>
      </c>
      <c r="D18735">
        <f>IF(B18735=C18735, "YES", "WRONG")</f>
        <v/>
      </c>
    </row>
    <row r="18736">
      <c r="A18736" t="n">
        <v>18735</v>
      </c>
      <c r="B18736" t="inlineStr">
        <is>
          <t>x̄V̅MMMDCCXXXV</t>
        </is>
      </c>
      <c r="C18736">
        <f>ROMAN(18735)</f>
        <v/>
      </c>
      <c r="D18736">
        <f>IF(B18736=C18736, "YES", "WRONG")</f>
        <v/>
      </c>
    </row>
    <row r="18737">
      <c r="A18737" t="n">
        <v>18736</v>
      </c>
      <c r="B18737" t="inlineStr">
        <is>
          <t>x̄V̅MMMDCCXXXVI</t>
        </is>
      </c>
      <c r="C18737">
        <f>ROMAN(18736)</f>
        <v/>
      </c>
      <c r="D18737">
        <f>IF(B18737=C18737, "YES", "WRONG")</f>
        <v/>
      </c>
    </row>
    <row r="18738">
      <c r="A18738" t="n">
        <v>18737</v>
      </c>
      <c r="B18738" t="inlineStr">
        <is>
          <t>x̄V̅MMMDCCXXXVII</t>
        </is>
      </c>
      <c r="C18738">
        <f>ROMAN(18737)</f>
        <v/>
      </c>
      <c r="D18738">
        <f>IF(B18738=C18738, "YES", "WRONG")</f>
        <v/>
      </c>
    </row>
    <row r="18739">
      <c r="A18739" t="n">
        <v>18738</v>
      </c>
      <c r="B18739" t="inlineStr">
        <is>
          <t>x̄V̅MMMDCCXXXVIII</t>
        </is>
      </c>
      <c r="C18739">
        <f>ROMAN(18738)</f>
        <v/>
      </c>
      <c r="D18739">
        <f>IF(B18739=C18739, "YES", "WRONG")</f>
        <v/>
      </c>
    </row>
    <row r="18740">
      <c r="A18740" t="n">
        <v>18739</v>
      </c>
      <c r="B18740" t="inlineStr">
        <is>
          <t>x̄V̅MMMDCCXXXIX</t>
        </is>
      </c>
      <c r="C18740">
        <f>ROMAN(18739)</f>
        <v/>
      </c>
      <c r="D18740">
        <f>IF(B18740=C18740, "YES", "WRONG")</f>
        <v/>
      </c>
    </row>
    <row r="18741">
      <c r="A18741" t="n">
        <v>18740</v>
      </c>
      <c r="B18741" t="inlineStr">
        <is>
          <t>x̄V̅MMMDCCXL</t>
        </is>
      </c>
      <c r="C18741">
        <f>ROMAN(18740)</f>
        <v/>
      </c>
      <c r="D18741">
        <f>IF(B18741=C18741, "YES", "WRONG")</f>
        <v/>
      </c>
    </row>
    <row r="18742">
      <c r="A18742" t="n">
        <v>18741</v>
      </c>
      <c r="B18742" t="inlineStr">
        <is>
          <t>x̄V̅MMMDCCXLI</t>
        </is>
      </c>
      <c r="C18742">
        <f>ROMAN(18741)</f>
        <v/>
      </c>
      <c r="D18742">
        <f>IF(B18742=C18742, "YES", "WRONG")</f>
        <v/>
      </c>
    </row>
    <row r="18743">
      <c r="A18743" t="n">
        <v>18742</v>
      </c>
      <c r="B18743" t="inlineStr">
        <is>
          <t>x̄V̅MMMDCCXLII</t>
        </is>
      </c>
      <c r="C18743">
        <f>ROMAN(18742)</f>
        <v/>
      </c>
      <c r="D18743">
        <f>IF(B18743=C18743, "YES", "WRONG")</f>
        <v/>
      </c>
    </row>
    <row r="18744">
      <c r="A18744" t="n">
        <v>18743</v>
      </c>
      <c r="B18744" t="inlineStr">
        <is>
          <t>x̄V̅MMMDCCXLIII</t>
        </is>
      </c>
      <c r="C18744">
        <f>ROMAN(18743)</f>
        <v/>
      </c>
      <c r="D18744">
        <f>IF(B18744=C18744, "YES", "WRONG")</f>
        <v/>
      </c>
    </row>
    <row r="18745">
      <c r="A18745" t="n">
        <v>18744</v>
      </c>
      <c r="B18745" t="inlineStr">
        <is>
          <t>x̄V̅MMMDCCXLIV</t>
        </is>
      </c>
      <c r="C18745">
        <f>ROMAN(18744)</f>
        <v/>
      </c>
      <c r="D18745">
        <f>IF(B18745=C18745, "YES", "WRONG")</f>
        <v/>
      </c>
    </row>
    <row r="18746">
      <c r="A18746" t="n">
        <v>18745</v>
      </c>
      <c r="B18746" t="inlineStr">
        <is>
          <t>x̄V̅MMMDCCXLV</t>
        </is>
      </c>
      <c r="C18746">
        <f>ROMAN(18745)</f>
        <v/>
      </c>
      <c r="D18746">
        <f>IF(B18746=C18746, "YES", "WRONG")</f>
        <v/>
      </c>
    </row>
    <row r="18747">
      <c r="A18747" t="n">
        <v>18746</v>
      </c>
      <c r="B18747" t="inlineStr">
        <is>
          <t>x̄V̅MMMDCCXLVI</t>
        </is>
      </c>
      <c r="C18747">
        <f>ROMAN(18746)</f>
        <v/>
      </c>
      <c r="D18747">
        <f>IF(B18747=C18747, "YES", "WRONG")</f>
        <v/>
      </c>
    </row>
    <row r="18748">
      <c r="A18748" t="n">
        <v>18747</v>
      </c>
      <c r="B18748" t="inlineStr">
        <is>
          <t>x̄V̅MMMDCCXLVII</t>
        </is>
      </c>
      <c r="C18748">
        <f>ROMAN(18747)</f>
        <v/>
      </c>
      <c r="D18748">
        <f>IF(B18748=C18748, "YES", "WRONG")</f>
        <v/>
      </c>
    </row>
    <row r="18749">
      <c r="A18749" t="n">
        <v>18748</v>
      </c>
      <c r="B18749" t="inlineStr">
        <is>
          <t>x̄V̅MMMDCCXLVIII</t>
        </is>
      </c>
      <c r="C18749">
        <f>ROMAN(18748)</f>
        <v/>
      </c>
      <c r="D18749">
        <f>IF(B18749=C18749, "YES", "WRONG")</f>
        <v/>
      </c>
    </row>
    <row r="18750">
      <c r="A18750" t="n">
        <v>18749</v>
      </c>
      <c r="B18750" t="inlineStr">
        <is>
          <t>x̄V̅MMMDCCXLIX</t>
        </is>
      </c>
      <c r="C18750">
        <f>ROMAN(18749)</f>
        <v/>
      </c>
      <c r="D18750">
        <f>IF(B18750=C18750, "YES", "WRONG")</f>
        <v/>
      </c>
    </row>
    <row r="18751">
      <c r="A18751" t="n">
        <v>18750</v>
      </c>
      <c r="B18751" t="inlineStr">
        <is>
          <t>x̄V̅MMMDCCL</t>
        </is>
      </c>
      <c r="C18751">
        <f>ROMAN(18750)</f>
        <v/>
      </c>
      <c r="D18751">
        <f>IF(B18751=C18751, "YES", "WRONG")</f>
        <v/>
      </c>
    </row>
    <row r="18752">
      <c r="A18752" t="n">
        <v>18751</v>
      </c>
      <c r="B18752" t="inlineStr">
        <is>
          <t>x̄V̅MMMDCCLI</t>
        </is>
      </c>
      <c r="C18752">
        <f>ROMAN(18751)</f>
        <v/>
      </c>
      <c r="D18752">
        <f>IF(B18752=C18752, "YES", "WRONG")</f>
        <v/>
      </c>
    </row>
    <row r="18753">
      <c r="A18753" t="n">
        <v>18752</v>
      </c>
      <c r="B18753" t="inlineStr">
        <is>
          <t>x̄V̅MMMDCCLII</t>
        </is>
      </c>
      <c r="C18753">
        <f>ROMAN(18752)</f>
        <v/>
      </c>
      <c r="D18753">
        <f>IF(B18753=C18753, "YES", "WRONG")</f>
        <v/>
      </c>
    </row>
    <row r="18754">
      <c r="A18754" t="n">
        <v>18753</v>
      </c>
      <c r="B18754" t="inlineStr">
        <is>
          <t>x̄V̅MMMDCCLIII</t>
        </is>
      </c>
      <c r="C18754">
        <f>ROMAN(18753)</f>
        <v/>
      </c>
      <c r="D18754">
        <f>IF(B18754=C18754, "YES", "WRONG")</f>
        <v/>
      </c>
    </row>
    <row r="18755">
      <c r="A18755" t="n">
        <v>18754</v>
      </c>
      <c r="B18755" t="inlineStr">
        <is>
          <t>x̄V̅MMMDCCLIV</t>
        </is>
      </c>
      <c r="C18755">
        <f>ROMAN(18754)</f>
        <v/>
      </c>
      <c r="D18755">
        <f>IF(B18755=C18755, "YES", "WRONG")</f>
        <v/>
      </c>
    </row>
    <row r="18756">
      <c r="A18756" t="n">
        <v>18755</v>
      </c>
      <c r="B18756" t="inlineStr">
        <is>
          <t>x̄V̅MMMDCCLV</t>
        </is>
      </c>
      <c r="C18756">
        <f>ROMAN(18755)</f>
        <v/>
      </c>
      <c r="D18756">
        <f>IF(B18756=C18756, "YES", "WRONG")</f>
        <v/>
      </c>
    </row>
    <row r="18757">
      <c r="A18757" t="n">
        <v>18756</v>
      </c>
      <c r="B18757" t="inlineStr">
        <is>
          <t>x̄V̅MMMDCCLVI</t>
        </is>
      </c>
      <c r="C18757">
        <f>ROMAN(18756)</f>
        <v/>
      </c>
      <c r="D18757">
        <f>IF(B18757=C18757, "YES", "WRONG")</f>
        <v/>
      </c>
    </row>
    <row r="18758">
      <c r="A18758" t="n">
        <v>18757</v>
      </c>
      <c r="B18758" t="inlineStr">
        <is>
          <t>x̄V̅MMMDCCLVII</t>
        </is>
      </c>
      <c r="C18758">
        <f>ROMAN(18757)</f>
        <v/>
      </c>
      <c r="D18758">
        <f>IF(B18758=C18758, "YES", "WRONG")</f>
        <v/>
      </c>
    </row>
    <row r="18759">
      <c r="A18759" t="n">
        <v>18758</v>
      </c>
      <c r="B18759" t="inlineStr">
        <is>
          <t>x̄V̅MMMDCCLVIII</t>
        </is>
      </c>
      <c r="C18759">
        <f>ROMAN(18758)</f>
        <v/>
      </c>
      <c r="D18759">
        <f>IF(B18759=C18759, "YES", "WRONG")</f>
        <v/>
      </c>
    </row>
    <row r="18760">
      <c r="A18760" t="n">
        <v>18759</v>
      </c>
      <c r="B18760" t="inlineStr">
        <is>
          <t>x̄V̅MMMDCCLIX</t>
        </is>
      </c>
      <c r="C18760">
        <f>ROMAN(18759)</f>
        <v/>
      </c>
      <c r="D18760">
        <f>IF(B18760=C18760, "YES", "WRONG")</f>
        <v/>
      </c>
    </row>
    <row r="18761">
      <c r="A18761" t="n">
        <v>18760</v>
      </c>
      <c r="B18761" t="inlineStr">
        <is>
          <t>x̄V̅MMMDCCLX</t>
        </is>
      </c>
      <c r="C18761">
        <f>ROMAN(18760)</f>
        <v/>
      </c>
      <c r="D18761">
        <f>IF(B18761=C18761, "YES", "WRONG")</f>
        <v/>
      </c>
    </row>
    <row r="18762">
      <c r="A18762" t="n">
        <v>18761</v>
      </c>
      <c r="B18762" t="inlineStr">
        <is>
          <t>x̄V̅MMMDCCLXI</t>
        </is>
      </c>
      <c r="C18762">
        <f>ROMAN(18761)</f>
        <v/>
      </c>
      <c r="D18762">
        <f>IF(B18762=C18762, "YES", "WRONG")</f>
        <v/>
      </c>
    </row>
    <row r="18763">
      <c r="A18763" t="n">
        <v>18762</v>
      </c>
      <c r="B18763" t="inlineStr">
        <is>
          <t>x̄V̅MMMDCCLXII</t>
        </is>
      </c>
      <c r="C18763">
        <f>ROMAN(18762)</f>
        <v/>
      </c>
      <c r="D18763">
        <f>IF(B18763=C18763, "YES", "WRONG")</f>
        <v/>
      </c>
    </row>
    <row r="18764">
      <c r="A18764" t="n">
        <v>18763</v>
      </c>
      <c r="B18764" t="inlineStr">
        <is>
          <t>x̄V̅MMMDCCLXIII</t>
        </is>
      </c>
      <c r="C18764">
        <f>ROMAN(18763)</f>
        <v/>
      </c>
      <c r="D18764">
        <f>IF(B18764=C18764, "YES", "WRONG")</f>
        <v/>
      </c>
    </row>
    <row r="18765">
      <c r="A18765" t="n">
        <v>18764</v>
      </c>
      <c r="B18765" t="inlineStr">
        <is>
          <t>x̄V̅MMMDCCLXIV</t>
        </is>
      </c>
      <c r="C18765">
        <f>ROMAN(18764)</f>
        <v/>
      </c>
      <c r="D18765">
        <f>IF(B18765=C18765, "YES", "WRONG")</f>
        <v/>
      </c>
    </row>
    <row r="18766">
      <c r="A18766" t="n">
        <v>18765</v>
      </c>
      <c r="B18766" t="inlineStr">
        <is>
          <t>x̄V̅MMMDCCLXV</t>
        </is>
      </c>
      <c r="C18766">
        <f>ROMAN(18765)</f>
        <v/>
      </c>
      <c r="D18766">
        <f>IF(B18766=C18766, "YES", "WRONG")</f>
        <v/>
      </c>
    </row>
    <row r="18767">
      <c r="A18767" t="n">
        <v>18766</v>
      </c>
      <c r="B18767" t="inlineStr">
        <is>
          <t>x̄V̅MMMDCCLXVI</t>
        </is>
      </c>
      <c r="C18767">
        <f>ROMAN(18766)</f>
        <v/>
      </c>
      <c r="D18767">
        <f>IF(B18767=C18767, "YES", "WRONG")</f>
        <v/>
      </c>
    </row>
    <row r="18768">
      <c r="A18768" t="n">
        <v>18767</v>
      </c>
      <c r="B18768" t="inlineStr">
        <is>
          <t>x̄V̅MMMDCCLXVII</t>
        </is>
      </c>
      <c r="C18768">
        <f>ROMAN(18767)</f>
        <v/>
      </c>
      <c r="D18768">
        <f>IF(B18768=C18768, "YES", "WRONG")</f>
        <v/>
      </c>
    </row>
    <row r="18769">
      <c r="A18769" t="n">
        <v>18768</v>
      </c>
      <c r="B18769" t="inlineStr">
        <is>
          <t>x̄V̅MMMDCCLXVIII</t>
        </is>
      </c>
      <c r="C18769">
        <f>ROMAN(18768)</f>
        <v/>
      </c>
      <c r="D18769">
        <f>IF(B18769=C18769, "YES", "WRONG")</f>
        <v/>
      </c>
    </row>
    <row r="18770">
      <c r="A18770" t="n">
        <v>18769</v>
      </c>
      <c r="B18770" t="inlineStr">
        <is>
          <t>x̄V̅MMMDCCLXIX</t>
        </is>
      </c>
      <c r="C18770">
        <f>ROMAN(18769)</f>
        <v/>
      </c>
      <c r="D18770">
        <f>IF(B18770=C18770, "YES", "WRONG")</f>
        <v/>
      </c>
    </row>
    <row r="18771">
      <c r="A18771" t="n">
        <v>18770</v>
      </c>
      <c r="B18771" t="inlineStr">
        <is>
          <t>x̄V̅MMMDCCLXX</t>
        </is>
      </c>
      <c r="C18771">
        <f>ROMAN(18770)</f>
        <v/>
      </c>
      <c r="D18771">
        <f>IF(B18771=C18771, "YES", "WRONG")</f>
        <v/>
      </c>
    </row>
    <row r="18772">
      <c r="A18772" t="n">
        <v>18771</v>
      </c>
      <c r="B18772" t="inlineStr">
        <is>
          <t>x̄V̅MMMDCCLXXI</t>
        </is>
      </c>
      <c r="C18772">
        <f>ROMAN(18771)</f>
        <v/>
      </c>
      <c r="D18772">
        <f>IF(B18772=C18772, "YES", "WRONG")</f>
        <v/>
      </c>
    </row>
    <row r="18773">
      <c r="A18773" t="n">
        <v>18772</v>
      </c>
      <c r="B18773" t="inlineStr">
        <is>
          <t>x̄V̅MMMDCCLXXII</t>
        </is>
      </c>
      <c r="C18773">
        <f>ROMAN(18772)</f>
        <v/>
      </c>
      <c r="D18773">
        <f>IF(B18773=C18773, "YES", "WRONG")</f>
        <v/>
      </c>
    </row>
    <row r="18774">
      <c r="A18774" t="n">
        <v>18773</v>
      </c>
      <c r="B18774" t="inlineStr">
        <is>
          <t>x̄V̅MMMDCCLXXIII</t>
        </is>
      </c>
      <c r="C18774">
        <f>ROMAN(18773)</f>
        <v/>
      </c>
      <c r="D18774">
        <f>IF(B18774=C18774, "YES", "WRONG")</f>
        <v/>
      </c>
    </row>
    <row r="18775">
      <c r="A18775" t="n">
        <v>18774</v>
      </c>
      <c r="B18775" t="inlineStr">
        <is>
          <t>x̄V̅MMMDCCLXXIV</t>
        </is>
      </c>
      <c r="C18775">
        <f>ROMAN(18774)</f>
        <v/>
      </c>
      <c r="D18775">
        <f>IF(B18775=C18775, "YES", "WRONG")</f>
        <v/>
      </c>
    </row>
    <row r="18776">
      <c r="A18776" t="n">
        <v>18775</v>
      </c>
      <c r="B18776" t="inlineStr">
        <is>
          <t>x̄V̅MMMDCCLXXV</t>
        </is>
      </c>
      <c r="C18776">
        <f>ROMAN(18775)</f>
        <v/>
      </c>
      <c r="D18776">
        <f>IF(B18776=C18776, "YES", "WRONG")</f>
        <v/>
      </c>
    </row>
    <row r="18777">
      <c r="A18777" t="n">
        <v>18776</v>
      </c>
      <c r="B18777" t="inlineStr">
        <is>
          <t>x̄V̅MMMDCCLXXVI</t>
        </is>
      </c>
      <c r="C18777">
        <f>ROMAN(18776)</f>
        <v/>
      </c>
      <c r="D18777">
        <f>IF(B18777=C18777, "YES", "WRONG")</f>
        <v/>
      </c>
    </row>
    <row r="18778">
      <c r="A18778" t="n">
        <v>18777</v>
      </c>
      <c r="B18778" t="inlineStr">
        <is>
          <t>x̄V̅MMMDCCLXXVII</t>
        </is>
      </c>
      <c r="C18778">
        <f>ROMAN(18777)</f>
        <v/>
      </c>
      <c r="D18778">
        <f>IF(B18778=C18778, "YES", "WRONG")</f>
        <v/>
      </c>
    </row>
    <row r="18779">
      <c r="A18779" t="n">
        <v>18778</v>
      </c>
      <c r="B18779" t="inlineStr">
        <is>
          <t>x̄V̅MMMDCCLXXVIII</t>
        </is>
      </c>
      <c r="C18779">
        <f>ROMAN(18778)</f>
        <v/>
      </c>
      <c r="D18779">
        <f>IF(B18779=C18779, "YES", "WRONG")</f>
        <v/>
      </c>
    </row>
    <row r="18780">
      <c r="A18780" t="n">
        <v>18779</v>
      </c>
      <c r="B18780" t="inlineStr">
        <is>
          <t>x̄V̅MMMDCCLXXIX</t>
        </is>
      </c>
      <c r="C18780">
        <f>ROMAN(18779)</f>
        <v/>
      </c>
      <c r="D18780">
        <f>IF(B18780=C18780, "YES", "WRONG")</f>
        <v/>
      </c>
    </row>
    <row r="18781">
      <c r="A18781" t="n">
        <v>18780</v>
      </c>
      <c r="B18781" t="inlineStr">
        <is>
          <t>x̄V̅MMMDCCLXXX</t>
        </is>
      </c>
      <c r="C18781">
        <f>ROMAN(18780)</f>
        <v/>
      </c>
      <c r="D18781">
        <f>IF(B18781=C18781, "YES", "WRONG")</f>
        <v/>
      </c>
    </row>
    <row r="18782">
      <c r="A18782" t="n">
        <v>18781</v>
      </c>
      <c r="B18782" t="inlineStr">
        <is>
          <t>x̄V̅MMMDCCLXXXI</t>
        </is>
      </c>
      <c r="C18782">
        <f>ROMAN(18781)</f>
        <v/>
      </c>
      <c r="D18782">
        <f>IF(B18782=C18782, "YES", "WRONG")</f>
        <v/>
      </c>
    </row>
    <row r="18783">
      <c r="A18783" t="n">
        <v>18782</v>
      </c>
      <c r="B18783" t="inlineStr">
        <is>
          <t>x̄V̅MMMDCCLXXXII</t>
        </is>
      </c>
      <c r="C18783">
        <f>ROMAN(18782)</f>
        <v/>
      </c>
      <c r="D18783">
        <f>IF(B18783=C18783, "YES", "WRONG")</f>
        <v/>
      </c>
    </row>
    <row r="18784">
      <c r="A18784" t="n">
        <v>18783</v>
      </c>
      <c r="B18784" t="inlineStr">
        <is>
          <t>x̄V̅MMMDCCLXXXIII</t>
        </is>
      </c>
      <c r="C18784">
        <f>ROMAN(18783)</f>
        <v/>
      </c>
      <c r="D18784">
        <f>IF(B18784=C18784, "YES", "WRONG")</f>
        <v/>
      </c>
    </row>
    <row r="18785">
      <c r="A18785" t="n">
        <v>18784</v>
      </c>
      <c r="B18785" t="inlineStr">
        <is>
          <t>x̄V̅MMMDCCLXXXIV</t>
        </is>
      </c>
      <c r="C18785">
        <f>ROMAN(18784)</f>
        <v/>
      </c>
      <c r="D18785">
        <f>IF(B18785=C18785, "YES", "WRONG")</f>
        <v/>
      </c>
    </row>
    <row r="18786">
      <c r="A18786" t="n">
        <v>18785</v>
      </c>
      <c r="B18786" t="inlineStr">
        <is>
          <t>x̄V̅MMMDCCLXXXV</t>
        </is>
      </c>
      <c r="C18786">
        <f>ROMAN(18785)</f>
        <v/>
      </c>
      <c r="D18786">
        <f>IF(B18786=C18786, "YES", "WRONG")</f>
        <v/>
      </c>
    </row>
    <row r="18787">
      <c r="A18787" t="n">
        <v>18786</v>
      </c>
      <c r="B18787" t="inlineStr">
        <is>
          <t>x̄V̅MMMDCCLXXXVI</t>
        </is>
      </c>
      <c r="C18787">
        <f>ROMAN(18786)</f>
        <v/>
      </c>
      <c r="D18787">
        <f>IF(B18787=C18787, "YES", "WRONG")</f>
        <v/>
      </c>
    </row>
    <row r="18788">
      <c r="A18788" t="n">
        <v>18787</v>
      </c>
      <c r="B18788" t="inlineStr">
        <is>
          <t>x̄V̅MMMDCCLXXXVII</t>
        </is>
      </c>
      <c r="C18788">
        <f>ROMAN(18787)</f>
        <v/>
      </c>
      <c r="D18788">
        <f>IF(B18788=C18788, "YES", "WRONG")</f>
        <v/>
      </c>
    </row>
    <row r="18789">
      <c r="A18789" t="n">
        <v>18788</v>
      </c>
      <c r="B18789" t="inlineStr">
        <is>
          <t>x̄V̅MMMDCCLXXXVIII</t>
        </is>
      </c>
      <c r="C18789">
        <f>ROMAN(18788)</f>
        <v/>
      </c>
      <c r="D18789">
        <f>IF(B18789=C18789, "YES", "WRONG")</f>
        <v/>
      </c>
    </row>
    <row r="18790">
      <c r="A18790" t="n">
        <v>18789</v>
      </c>
      <c r="B18790" t="inlineStr">
        <is>
          <t>x̄V̅MMMDCCLXXXIX</t>
        </is>
      </c>
      <c r="C18790">
        <f>ROMAN(18789)</f>
        <v/>
      </c>
      <c r="D18790">
        <f>IF(B18790=C18790, "YES", "WRONG")</f>
        <v/>
      </c>
    </row>
    <row r="18791">
      <c r="A18791" t="n">
        <v>18790</v>
      </c>
      <c r="B18791" t="inlineStr">
        <is>
          <t>x̄V̅MMMDCCXC</t>
        </is>
      </c>
      <c r="C18791">
        <f>ROMAN(18790)</f>
        <v/>
      </c>
      <c r="D18791">
        <f>IF(B18791=C18791, "YES", "WRONG")</f>
        <v/>
      </c>
    </row>
    <row r="18792">
      <c r="A18792" t="n">
        <v>18791</v>
      </c>
      <c r="B18792" t="inlineStr">
        <is>
          <t>x̄V̅MMMDCCXCI</t>
        </is>
      </c>
      <c r="C18792">
        <f>ROMAN(18791)</f>
        <v/>
      </c>
      <c r="D18792">
        <f>IF(B18792=C18792, "YES", "WRONG")</f>
        <v/>
      </c>
    </row>
    <row r="18793">
      <c r="A18793" t="n">
        <v>18792</v>
      </c>
      <c r="B18793" t="inlineStr">
        <is>
          <t>x̄V̅MMMDCCXCII</t>
        </is>
      </c>
      <c r="C18793">
        <f>ROMAN(18792)</f>
        <v/>
      </c>
      <c r="D18793">
        <f>IF(B18793=C18793, "YES", "WRONG")</f>
        <v/>
      </c>
    </row>
    <row r="18794">
      <c r="A18794" t="n">
        <v>18793</v>
      </c>
      <c r="B18794" t="inlineStr">
        <is>
          <t>x̄V̅MMMDCCXCIII</t>
        </is>
      </c>
      <c r="C18794">
        <f>ROMAN(18793)</f>
        <v/>
      </c>
      <c r="D18794">
        <f>IF(B18794=C18794, "YES", "WRONG")</f>
        <v/>
      </c>
    </row>
    <row r="18795">
      <c r="A18795" t="n">
        <v>18794</v>
      </c>
      <c r="B18795" t="inlineStr">
        <is>
          <t>x̄V̅MMMDCCXCIV</t>
        </is>
      </c>
      <c r="C18795">
        <f>ROMAN(18794)</f>
        <v/>
      </c>
      <c r="D18795">
        <f>IF(B18795=C18795, "YES", "WRONG")</f>
        <v/>
      </c>
    </row>
    <row r="18796">
      <c r="A18796" t="n">
        <v>18795</v>
      </c>
      <c r="B18796" t="inlineStr">
        <is>
          <t>x̄V̅MMMDCCXCV</t>
        </is>
      </c>
      <c r="C18796">
        <f>ROMAN(18795)</f>
        <v/>
      </c>
      <c r="D18796">
        <f>IF(B18796=C18796, "YES", "WRONG")</f>
        <v/>
      </c>
    </row>
    <row r="18797">
      <c r="A18797" t="n">
        <v>18796</v>
      </c>
      <c r="B18797" t="inlineStr">
        <is>
          <t>x̄V̅MMMDCCXCVI</t>
        </is>
      </c>
      <c r="C18797">
        <f>ROMAN(18796)</f>
        <v/>
      </c>
      <c r="D18797">
        <f>IF(B18797=C18797, "YES", "WRONG")</f>
        <v/>
      </c>
    </row>
    <row r="18798">
      <c r="A18798" t="n">
        <v>18797</v>
      </c>
      <c r="B18798" t="inlineStr">
        <is>
          <t>x̄V̅MMMDCCXCVII</t>
        </is>
      </c>
      <c r="C18798">
        <f>ROMAN(18797)</f>
        <v/>
      </c>
      <c r="D18798">
        <f>IF(B18798=C18798, "YES", "WRONG")</f>
        <v/>
      </c>
    </row>
    <row r="18799">
      <c r="A18799" t="n">
        <v>18798</v>
      </c>
      <c r="B18799" t="inlineStr">
        <is>
          <t>x̄V̅MMMDCCXCVIII</t>
        </is>
      </c>
      <c r="C18799">
        <f>ROMAN(18798)</f>
        <v/>
      </c>
      <c r="D18799">
        <f>IF(B18799=C18799, "YES", "WRONG")</f>
        <v/>
      </c>
    </row>
    <row r="18800">
      <c r="A18800" t="n">
        <v>18799</v>
      </c>
      <c r="B18800" t="inlineStr">
        <is>
          <t>x̄V̅MMMDCCXCIX</t>
        </is>
      </c>
      <c r="C18800">
        <f>ROMAN(18799)</f>
        <v/>
      </c>
      <c r="D18800">
        <f>IF(B18800=C18800, "YES", "WRONG")</f>
        <v/>
      </c>
    </row>
    <row r="18801">
      <c r="A18801" t="n">
        <v>18800</v>
      </c>
      <c r="B18801" t="inlineStr">
        <is>
          <t>x̄V̅MMMDCCC</t>
        </is>
      </c>
      <c r="C18801">
        <f>ROMAN(18800)</f>
        <v/>
      </c>
      <c r="D18801">
        <f>IF(B18801=C18801, "YES", "WRONG")</f>
        <v/>
      </c>
    </row>
    <row r="18802">
      <c r="A18802" t="n">
        <v>18801</v>
      </c>
      <c r="B18802" t="inlineStr">
        <is>
          <t>x̄V̅MMMDCCCI</t>
        </is>
      </c>
      <c r="C18802">
        <f>ROMAN(18801)</f>
        <v/>
      </c>
      <c r="D18802">
        <f>IF(B18802=C18802, "YES", "WRONG")</f>
        <v/>
      </c>
    </row>
    <row r="18803">
      <c r="A18803" t="n">
        <v>18802</v>
      </c>
      <c r="B18803" t="inlineStr">
        <is>
          <t>x̄V̅MMMDCCCII</t>
        </is>
      </c>
      <c r="C18803">
        <f>ROMAN(18802)</f>
        <v/>
      </c>
      <c r="D18803">
        <f>IF(B18803=C18803, "YES", "WRONG")</f>
        <v/>
      </c>
    </row>
    <row r="18804">
      <c r="A18804" t="n">
        <v>18803</v>
      </c>
      <c r="B18804" t="inlineStr">
        <is>
          <t>x̄V̅MMMDCCCIII</t>
        </is>
      </c>
      <c r="C18804">
        <f>ROMAN(18803)</f>
        <v/>
      </c>
      <c r="D18804">
        <f>IF(B18804=C18804, "YES", "WRONG")</f>
        <v/>
      </c>
    </row>
    <row r="18805">
      <c r="A18805" t="n">
        <v>18804</v>
      </c>
      <c r="B18805" t="inlineStr">
        <is>
          <t>x̄V̅MMMDCCCIV</t>
        </is>
      </c>
      <c r="C18805">
        <f>ROMAN(18804)</f>
        <v/>
      </c>
      <c r="D18805">
        <f>IF(B18805=C18805, "YES", "WRONG")</f>
        <v/>
      </c>
    </row>
    <row r="18806">
      <c r="A18806" t="n">
        <v>18805</v>
      </c>
      <c r="B18806" t="inlineStr">
        <is>
          <t>x̄V̅MMMDCCCV</t>
        </is>
      </c>
      <c r="C18806">
        <f>ROMAN(18805)</f>
        <v/>
      </c>
      <c r="D18806">
        <f>IF(B18806=C18806, "YES", "WRONG")</f>
        <v/>
      </c>
    </row>
    <row r="18807">
      <c r="A18807" t="n">
        <v>18806</v>
      </c>
      <c r="B18807" t="inlineStr">
        <is>
          <t>x̄V̅MMMDCCCVI</t>
        </is>
      </c>
      <c r="C18807">
        <f>ROMAN(18806)</f>
        <v/>
      </c>
      <c r="D18807">
        <f>IF(B18807=C18807, "YES", "WRONG")</f>
        <v/>
      </c>
    </row>
    <row r="18808">
      <c r="A18808" t="n">
        <v>18807</v>
      </c>
      <c r="B18808" t="inlineStr">
        <is>
          <t>x̄V̅MMMDCCCVII</t>
        </is>
      </c>
      <c r="C18808">
        <f>ROMAN(18807)</f>
        <v/>
      </c>
      <c r="D18808">
        <f>IF(B18808=C18808, "YES", "WRONG")</f>
        <v/>
      </c>
    </row>
    <row r="18809">
      <c r="A18809" t="n">
        <v>18808</v>
      </c>
      <c r="B18809" t="inlineStr">
        <is>
          <t>x̄V̅MMMDCCCVIII</t>
        </is>
      </c>
      <c r="C18809">
        <f>ROMAN(18808)</f>
        <v/>
      </c>
      <c r="D18809">
        <f>IF(B18809=C18809, "YES", "WRONG")</f>
        <v/>
      </c>
    </row>
    <row r="18810">
      <c r="A18810" t="n">
        <v>18809</v>
      </c>
      <c r="B18810" t="inlineStr">
        <is>
          <t>x̄V̅MMMDCCCIX</t>
        </is>
      </c>
      <c r="C18810">
        <f>ROMAN(18809)</f>
        <v/>
      </c>
      <c r="D18810">
        <f>IF(B18810=C18810, "YES", "WRONG")</f>
        <v/>
      </c>
    </row>
    <row r="18811">
      <c r="A18811" t="n">
        <v>18810</v>
      </c>
      <c r="B18811" t="inlineStr">
        <is>
          <t>x̄V̅MMMDCCCX</t>
        </is>
      </c>
      <c r="C18811">
        <f>ROMAN(18810)</f>
        <v/>
      </c>
      <c r="D18811">
        <f>IF(B18811=C18811, "YES", "WRONG")</f>
        <v/>
      </c>
    </row>
    <row r="18812">
      <c r="A18812" t="n">
        <v>18811</v>
      </c>
      <c r="B18812" t="inlineStr">
        <is>
          <t>x̄V̅MMMDCCCXI</t>
        </is>
      </c>
      <c r="C18812">
        <f>ROMAN(18811)</f>
        <v/>
      </c>
      <c r="D18812">
        <f>IF(B18812=C18812, "YES", "WRONG")</f>
        <v/>
      </c>
    </row>
    <row r="18813">
      <c r="A18813" t="n">
        <v>18812</v>
      </c>
      <c r="B18813" t="inlineStr">
        <is>
          <t>x̄V̅MMMDCCCXII</t>
        </is>
      </c>
      <c r="C18813">
        <f>ROMAN(18812)</f>
        <v/>
      </c>
      <c r="D18813">
        <f>IF(B18813=C18813, "YES", "WRONG")</f>
        <v/>
      </c>
    </row>
    <row r="18814">
      <c r="A18814" t="n">
        <v>18813</v>
      </c>
      <c r="B18814" t="inlineStr">
        <is>
          <t>x̄V̅MMMDCCCXIII</t>
        </is>
      </c>
      <c r="C18814">
        <f>ROMAN(18813)</f>
        <v/>
      </c>
      <c r="D18814">
        <f>IF(B18814=C18814, "YES", "WRONG")</f>
        <v/>
      </c>
    </row>
    <row r="18815">
      <c r="A18815" t="n">
        <v>18814</v>
      </c>
      <c r="B18815" t="inlineStr">
        <is>
          <t>x̄V̅MMMDCCCXIV</t>
        </is>
      </c>
      <c r="C18815">
        <f>ROMAN(18814)</f>
        <v/>
      </c>
      <c r="D18815">
        <f>IF(B18815=C18815, "YES", "WRONG")</f>
        <v/>
      </c>
    </row>
    <row r="18816">
      <c r="A18816" t="n">
        <v>18815</v>
      </c>
      <c r="B18816" t="inlineStr">
        <is>
          <t>x̄V̅MMMDCCCXV</t>
        </is>
      </c>
      <c r="C18816">
        <f>ROMAN(18815)</f>
        <v/>
      </c>
      <c r="D18816">
        <f>IF(B18816=C18816, "YES", "WRONG")</f>
        <v/>
      </c>
    </row>
    <row r="18817">
      <c r="A18817" t="n">
        <v>18816</v>
      </c>
      <c r="B18817" t="inlineStr">
        <is>
          <t>x̄V̅MMMDCCCXVI</t>
        </is>
      </c>
      <c r="C18817">
        <f>ROMAN(18816)</f>
        <v/>
      </c>
      <c r="D18817">
        <f>IF(B18817=C18817, "YES", "WRONG")</f>
        <v/>
      </c>
    </row>
    <row r="18818">
      <c r="A18818" t="n">
        <v>18817</v>
      </c>
      <c r="B18818" t="inlineStr">
        <is>
          <t>x̄V̅MMMDCCCXVII</t>
        </is>
      </c>
      <c r="C18818">
        <f>ROMAN(18817)</f>
        <v/>
      </c>
      <c r="D18818">
        <f>IF(B18818=C18818, "YES", "WRONG")</f>
        <v/>
      </c>
    </row>
    <row r="18819">
      <c r="A18819" t="n">
        <v>18818</v>
      </c>
      <c r="B18819" t="inlineStr">
        <is>
          <t>x̄V̅MMMDCCCXVIII</t>
        </is>
      </c>
      <c r="C18819">
        <f>ROMAN(18818)</f>
        <v/>
      </c>
      <c r="D18819">
        <f>IF(B18819=C18819, "YES", "WRONG")</f>
        <v/>
      </c>
    </row>
    <row r="18820">
      <c r="A18820" t="n">
        <v>18819</v>
      </c>
      <c r="B18820" t="inlineStr">
        <is>
          <t>x̄V̅MMMDCCCXIX</t>
        </is>
      </c>
      <c r="C18820">
        <f>ROMAN(18819)</f>
        <v/>
      </c>
      <c r="D18820">
        <f>IF(B18820=C18820, "YES", "WRONG")</f>
        <v/>
      </c>
    </row>
    <row r="18821">
      <c r="A18821" t="n">
        <v>18820</v>
      </c>
      <c r="B18821" t="inlineStr">
        <is>
          <t>x̄V̅MMMDCCCXX</t>
        </is>
      </c>
      <c r="C18821">
        <f>ROMAN(18820)</f>
        <v/>
      </c>
      <c r="D18821">
        <f>IF(B18821=C18821, "YES", "WRONG")</f>
        <v/>
      </c>
    </row>
    <row r="18822">
      <c r="A18822" t="n">
        <v>18821</v>
      </c>
      <c r="B18822" t="inlineStr">
        <is>
          <t>x̄V̅MMMDCCCXXI</t>
        </is>
      </c>
      <c r="C18822">
        <f>ROMAN(18821)</f>
        <v/>
      </c>
      <c r="D18822">
        <f>IF(B18822=C18822, "YES", "WRONG")</f>
        <v/>
      </c>
    </row>
    <row r="18823">
      <c r="A18823" t="n">
        <v>18822</v>
      </c>
      <c r="B18823" t="inlineStr">
        <is>
          <t>x̄V̅MMMDCCCXXII</t>
        </is>
      </c>
      <c r="C18823">
        <f>ROMAN(18822)</f>
        <v/>
      </c>
      <c r="D18823">
        <f>IF(B18823=C18823, "YES", "WRONG")</f>
        <v/>
      </c>
    </row>
    <row r="18824">
      <c r="A18824" t="n">
        <v>18823</v>
      </c>
      <c r="B18824" t="inlineStr">
        <is>
          <t>x̄V̅MMMDCCCXXIII</t>
        </is>
      </c>
      <c r="C18824">
        <f>ROMAN(18823)</f>
        <v/>
      </c>
      <c r="D18824">
        <f>IF(B18824=C18824, "YES", "WRONG")</f>
        <v/>
      </c>
    </row>
    <row r="18825">
      <c r="A18825" t="n">
        <v>18824</v>
      </c>
      <c r="B18825" t="inlineStr">
        <is>
          <t>x̄V̅MMMDCCCXXIV</t>
        </is>
      </c>
      <c r="C18825">
        <f>ROMAN(18824)</f>
        <v/>
      </c>
      <c r="D18825">
        <f>IF(B18825=C18825, "YES", "WRONG")</f>
        <v/>
      </c>
    </row>
    <row r="18826">
      <c r="A18826" t="n">
        <v>18825</v>
      </c>
      <c r="B18826" t="inlineStr">
        <is>
          <t>x̄V̅MMMDCCCXXV</t>
        </is>
      </c>
      <c r="C18826">
        <f>ROMAN(18825)</f>
        <v/>
      </c>
      <c r="D18826">
        <f>IF(B18826=C18826, "YES", "WRONG")</f>
        <v/>
      </c>
    </row>
    <row r="18827">
      <c r="A18827" t="n">
        <v>18826</v>
      </c>
      <c r="B18827" t="inlineStr">
        <is>
          <t>x̄V̅MMMDCCCXXVI</t>
        </is>
      </c>
      <c r="C18827">
        <f>ROMAN(18826)</f>
        <v/>
      </c>
      <c r="D18827">
        <f>IF(B18827=C18827, "YES", "WRONG")</f>
        <v/>
      </c>
    </row>
    <row r="18828">
      <c r="A18828" t="n">
        <v>18827</v>
      </c>
      <c r="B18828" t="inlineStr">
        <is>
          <t>x̄V̅MMMDCCCXXVII</t>
        </is>
      </c>
      <c r="C18828">
        <f>ROMAN(18827)</f>
        <v/>
      </c>
      <c r="D18828">
        <f>IF(B18828=C18828, "YES", "WRONG")</f>
        <v/>
      </c>
    </row>
    <row r="18829">
      <c r="A18829" t="n">
        <v>18828</v>
      </c>
      <c r="B18829" t="inlineStr">
        <is>
          <t>x̄V̅MMMDCCCXXVIII</t>
        </is>
      </c>
      <c r="C18829">
        <f>ROMAN(18828)</f>
        <v/>
      </c>
      <c r="D18829">
        <f>IF(B18829=C18829, "YES", "WRONG")</f>
        <v/>
      </c>
    </row>
    <row r="18830">
      <c r="A18830" t="n">
        <v>18829</v>
      </c>
      <c r="B18830" t="inlineStr">
        <is>
          <t>x̄V̅MMMDCCCXXIX</t>
        </is>
      </c>
      <c r="C18830">
        <f>ROMAN(18829)</f>
        <v/>
      </c>
      <c r="D18830">
        <f>IF(B18830=C18830, "YES", "WRONG")</f>
        <v/>
      </c>
    </row>
    <row r="18831">
      <c r="A18831" t="n">
        <v>18830</v>
      </c>
      <c r="B18831" t="inlineStr">
        <is>
          <t>x̄V̅MMMDCCCXXX</t>
        </is>
      </c>
      <c r="C18831">
        <f>ROMAN(18830)</f>
        <v/>
      </c>
      <c r="D18831">
        <f>IF(B18831=C18831, "YES", "WRONG")</f>
        <v/>
      </c>
    </row>
    <row r="18832">
      <c r="A18832" t="n">
        <v>18831</v>
      </c>
      <c r="B18832" t="inlineStr">
        <is>
          <t>x̄V̅MMMDCCCXXXI</t>
        </is>
      </c>
      <c r="C18832">
        <f>ROMAN(18831)</f>
        <v/>
      </c>
      <c r="D18832">
        <f>IF(B18832=C18832, "YES", "WRONG")</f>
        <v/>
      </c>
    </row>
    <row r="18833">
      <c r="A18833" t="n">
        <v>18832</v>
      </c>
      <c r="B18833" t="inlineStr">
        <is>
          <t>x̄V̅MMMDCCCXXXII</t>
        </is>
      </c>
      <c r="C18833">
        <f>ROMAN(18832)</f>
        <v/>
      </c>
      <c r="D18833">
        <f>IF(B18833=C18833, "YES", "WRONG")</f>
        <v/>
      </c>
    </row>
    <row r="18834">
      <c r="A18834" t="n">
        <v>18833</v>
      </c>
      <c r="B18834" t="inlineStr">
        <is>
          <t>x̄V̅MMMDCCCXXXIII</t>
        </is>
      </c>
      <c r="C18834">
        <f>ROMAN(18833)</f>
        <v/>
      </c>
      <c r="D18834">
        <f>IF(B18834=C18834, "YES", "WRONG")</f>
        <v/>
      </c>
    </row>
    <row r="18835">
      <c r="A18835" t="n">
        <v>18834</v>
      </c>
      <c r="B18835" t="inlineStr">
        <is>
          <t>x̄V̅MMMDCCCXXXIV</t>
        </is>
      </c>
      <c r="C18835">
        <f>ROMAN(18834)</f>
        <v/>
      </c>
      <c r="D18835">
        <f>IF(B18835=C18835, "YES", "WRONG")</f>
        <v/>
      </c>
    </row>
    <row r="18836">
      <c r="A18836" t="n">
        <v>18835</v>
      </c>
      <c r="B18836" t="inlineStr">
        <is>
          <t>x̄V̅MMMDCCCXXXV</t>
        </is>
      </c>
      <c r="C18836">
        <f>ROMAN(18835)</f>
        <v/>
      </c>
      <c r="D18836">
        <f>IF(B18836=C18836, "YES", "WRONG")</f>
        <v/>
      </c>
    </row>
    <row r="18837">
      <c r="A18837" t="n">
        <v>18836</v>
      </c>
      <c r="B18837" t="inlineStr">
        <is>
          <t>x̄V̅MMMDCCCXXXVI</t>
        </is>
      </c>
      <c r="C18837">
        <f>ROMAN(18836)</f>
        <v/>
      </c>
      <c r="D18837">
        <f>IF(B18837=C18837, "YES", "WRONG")</f>
        <v/>
      </c>
    </row>
    <row r="18838">
      <c r="A18838" t="n">
        <v>18837</v>
      </c>
      <c r="B18838" t="inlineStr">
        <is>
          <t>x̄V̅MMMDCCCXXXVII</t>
        </is>
      </c>
      <c r="C18838">
        <f>ROMAN(18837)</f>
        <v/>
      </c>
      <c r="D18838">
        <f>IF(B18838=C18838, "YES", "WRONG")</f>
        <v/>
      </c>
    </row>
    <row r="18839">
      <c r="A18839" t="n">
        <v>18838</v>
      </c>
      <c r="B18839" t="inlineStr">
        <is>
          <t>x̄V̅MMMDCCCXXXVIII</t>
        </is>
      </c>
      <c r="C18839">
        <f>ROMAN(18838)</f>
        <v/>
      </c>
      <c r="D18839">
        <f>IF(B18839=C18839, "YES", "WRONG")</f>
        <v/>
      </c>
    </row>
    <row r="18840">
      <c r="A18840" t="n">
        <v>18839</v>
      </c>
      <c r="B18840" t="inlineStr">
        <is>
          <t>x̄V̅MMMDCCCXXXIX</t>
        </is>
      </c>
      <c r="C18840">
        <f>ROMAN(18839)</f>
        <v/>
      </c>
      <c r="D18840">
        <f>IF(B18840=C18840, "YES", "WRONG")</f>
        <v/>
      </c>
    </row>
    <row r="18841">
      <c r="A18841" t="n">
        <v>18840</v>
      </c>
      <c r="B18841" t="inlineStr">
        <is>
          <t>x̄V̅MMMDCCCXL</t>
        </is>
      </c>
      <c r="C18841">
        <f>ROMAN(18840)</f>
        <v/>
      </c>
      <c r="D18841">
        <f>IF(B18841=C18841, "YES", "WRONG")</f>
        <v/>
      </c>
    </row>
    <row r="18842">
      <c r="A18842" t="n">
        <v>18841</v>
      </c>
      <c r="B18842" t="inlineStr">
        <is>
          <t>x̄V̅MMMDCCCXLI</t>
        </is>
      </c>
      <c r="C18842">
        <f>ROMAN(18841)</f>
        <v/>
      </c>
      <c r="D18842">
        <f>IF(B18842=C18842, "YES", "WRONG")</f>
        <v/>
      </c>
    </row>
    <row r="18843">
      <c r="A18843" t="n">
        <v>18842</v>
      </c>
      <c r="B18843" t="inlineStr">
        <is>
          <t>x̄V̅MMMDCCCXLII</t>
        </is>
      </c>
      <c r="C18843">
        <f>ROMAN(18842)</f>
        <v/>
      </c>
      <c r="D18843">
        <f>IF(B18843=C18843, "YES", "WRONG")</f>
        <v/>
      </c>
    </row>
    <row r="18844">
      <c r="A18844" t="n">
        <v>18843</v>
      </c>
      <c r="B18844" t="inlineStr">
        <is>
          <t>x̄V̅MMMDCCCXLIII</t>
        </is>
      </c>
      <c r="C18844">
        <f>ROMAN(18843)</f>
        <v/>
      </c>
      <c r="D18844">
        <f>IF(B18844=C18844, "YES", "WRONG")</f>
        <v/>
      </c>
    </row>
    <row r="18845">
      <c r="A18845" t="n">
        <v>18844</v>
      </c>
      <c r="B18845" t="inlineStr">
        <is>
          <t>x̄V̅MMMDCCCXLIV</t>
        </is>
      </c>
      <c r="C18845">
        <f>ROMAN(18844)</f>
        <v/>
      </c>
      <c r="D18845">
        <f>IF(B18845=C18845, "YES", "WRONG")</f>
        <v/>
      </c>
    </row>
    <row r="18846">
      <c r="A18846" t="n">
        <v>18845</v>
      </c>
      <c r="B18846" t="inlineStr">
        <is>
          <t>x̄V̅MMMDCCCXLV</t>
        </is>
      </c>
      <c r="C18846">
        <f>ROMAN(18845)</f>
        <v/>
      </c>
      <c r="D18846">
        <f>IF(B18846=C18846, "YES", "WRONG")</f>
        <v/>
      </c>
    </row>
    <row r="18847">
      <c r="A18847" t="n">
        <v>18846</v>
      </c>
      <c r="B18847" t="inlineStr">
        <is>
          <t>x̄V̅MMMDCCCXLVI</t>
        </is>
      </c>
      <c r="C18847">
        <f>ROMAN(18846)</f>
        <v/>
      </c>
      <c r="D18847">
        <f>IF(B18847=C18847, "YES", "WRONG")</f>
        <v/>
      </c>
    </row>
    <row r="18848">
      <c r="A18848" t="n">
        <v>18847</v>
      </c>
      <c r="B18848" t="inlineStr">
        <is>
          <t>x̄V̅MMMDCCCXLVII</t>
        </is>
      </c>
      <c r="C18848">
        <f>ROMAN(18847)</f>
        <v/>
      </c>
      <c r="D18848">
        <f>IF(B18848=C18848, "YES", "WRONG")</f>
        <v/>
      </c>
    </row>
    <row r="18849">
      <c r="A18849" t="n">
        <v>18848</v>
      </c>
      <c r="B18849" t="inlineStr">
        <is>
          <t>x̄V̅MMMDCCCXLVIII</t>
        </is>
      </c>
      <c r="C18849">
        <f>ROMAN(18848)</f>
        <v/>
      </c>
      <c r="D18849">
        <f>IF(B18849=C18849, "YES", "WRONG")</f>
        <v/>
      </c>
    </row>
    <row r="18850">
      <c r="A18850" t="n">
        <v>18849</v>
      </c>
      <c r="B18850" t="inlineStr">
        <is>
          <t>x̄V̅MMMDCCCXLIX</t>
        </is>
      </c>
      <c r="C18850">
        <f>ROMAN(18849)</f>
        <v/>
      </c>
      <c r="D18850">
        <f>IF(B18850=C18850, "YES", "WRONG")</f>
        <v/>
      </c>
    </row>
    <row r="18851">
      <c r="A18851" t="n">
        <v>18850</v>
      </c>
      <c r="B18851" t="inlineStr">
        <is>
          <t>x̄V̅MMMDCCCL</t>
        </is>
      </c>
      <c r="C18851">
        <f>ROMAN(18850)</f>
        <v/>
      </c>
      <c r="D18851">
        <f>IF(B18851=C18851, "YES", "WRONG")</f>
        <v/>
      </c>
    </row>
    <row r="18852">
      <c r="A18852" t="n">
        <v>18851</v>
      </c>
      <c r="B18852" t="inlineStr">
        <is>
          <t>x̄V̅MMMDCCCLI</t>
        </is>
      </c>
      <c r="C18852">
        <f>ROMAN(18851)</f>
        <v/>
      </c>
      <c r="D18852">
        <f>IF(B18852=C18852, "YES", "WRONG")</f>
        <v/>
      </c>
    </row>
    <row r="18853">
      <c r="A18853" t="n">
        <v>18852</v>
      </c>
      <c r="B18853" t="inlineStr">
        <is>
          <t>x̄V̅MMMDCCCLII</t>
        </is>
      </c>
      <c r="C18853">
        <f>ROMAN(18852)</f>
        <v/>
      </c>
      <c r="D18853">
        <f>IF(B18853=C18853, "YES", "WRONG")</f>
        <v/>
      </c>
    </row>
    <row r="18854">
      <c r="A18854" t="n">
        <v>18853</v>
      </c>
      <c r="B18854" t="inlineStr">
        <is>
          <t>x̄V̅MMMDCCCLIII</t>
        </is>
      </c>
      <c r="C18854">
        <f>ROMAN(18853)</f>
        <v/>
      </c>
      <c r="D18854">
        <f>IF(B18854=C18854, "YES", "WRONG")</f>
        <v/>
      </c>
    </row>
    <row r="18855">
      <c r="A18855" t="n">
        <v>18854</v>
      </c>
      <c r="B18855" t="inlineStr">
        <is>
          <t>x̄V̅MMMDCCCLIV</t>
        </is>
      </c>
      <c r="C18855">
        <f>ROMAN(18854)</f>
        <v/>
      </c>
      <c r="D18855">
        <f>IF(B18855=C18855, "YES", "WRONG")</f>
        <v/>
      </c>
    </row>
    <row r="18856">
      <c r="A18856" t="n">
        <v>18855</v>
      </c>
      <c r="B18856" t="inlineStr">
        <is>
          <t>x̄V̅MMMDCCCLV</t>
        </is>
      </c>
      <c r="C18856">
        <f>ROMAN(18855)</f>
        <v/>
      </c>
      <c r="D18856">
        <f>IF(B18856=C18856, "YES", "WRONG")</f>
        <v/>
      </c>
    </row>
    <row r="18857">
      <c r="A18857" t="n">
        <v>18856</v>
      </c>
      <c r="B18857" t="inlineStr">
        <is>
          <t>x̄V̅MMMDCCCLVI</t>
        </is>
      </c>
      <c r="C18857">
        <f>ROMAN(18856)</f>
        <v/>
      </c>
      <c r="D18857">
        <f>IF(B18857=C18857, "YES", "WRONG")</f>
        <v/>
      </c>
    </row>
    <row r="18858">
      <c r="A18858" t="n">
        <v>18857</v>
      </c>
      <c r="B18858" t="inlineStr">
        <is>
          <t>x̄V̅MMMDCCCLVII</t>
        </is>
      </c>
      <c r="C18858">
        <f>ROMAN(18857)</f>
        <v/>
      </c>
      <c r="D18858">
        <f>IF(B18858=C18858, "YES", "WRONG")</f>
        <v/>
      </c>
    </row>
    <row r="18859">
      <c r="A18859" t="n">
        <v>18858</v>
      </c>
      <c r="B18859" t="inlineStr">
        <is>
          <t>x̄V̅MMMDCCCLVIII</t>
        </is>
      </c>
      <c r="C18859">
        <f>ROMAN(18858)</f>
        <v/>
      </c>
      <c r="D18859">
        <f>IF(B18859=C18859, "YES", "WRONG")</f>
        <v/>
      </c>
    </row>
    <row r="18860">
      <c r="A18860" t="n">
        <v>18859</v>
      </c>
      <c r="B18860" t="inlineStr">
        <is>
          <t>x̄V̅MMMDCCCLIX</t>
        </is>
      </c>
      <c r="C18860">
        <f>ROMAN(18859)</f>
        <v/>
      </c>
      <c r="D18860">
        <f>IF(B18860=C18860, "YES", "WRONG")</f>
        <v/>
      </c>
    </row>
    <row r="18861">
      <c r="A18861" t="n">
        <v>18860</v>
      </c>
      <c r="B18861" t="inlineStr">
        <is>
          <t>x̄V̅MMMDCCCLX</t>
        </is>
      </c>
      <c r="C18861">
        <f>ROMAN(18860)</f>
        <v/>
      </c>
      <c r="D18861">
        <f>IF(B18861=C18861, "YES", "WRONG")</f>
        <v/>
      </c>
    </row>
    <row r="18862">
      <c r="A18862" t="n">
        <v>18861</v>
      </c>
      <c r="B18862" t="inlineStr">
        <is>
          <t>x̄V̅MMMDCCCLXI</t>
        </is>
      </c>
      <c r="C18862">
        <f>ROMAN(18861)</f>
        <v/>
      </c>
      <c r="D18862">
        <f>IF(B18862=C18862, "YES", "WRONG")</f>
        <v/>
      </c>
    </row>
    <row r="18863">
      <c r="A18863" t="n">
        <v>18862</v>
      </c>
      <c r="B18863" t="inlineStr">
        <is>
          <t>x̄V̅MMMDCCCLXII</t>
        </is>
      </c>
      <c r="C18863">
        <f>ROMAN(18862)</f>
        <v/>
      </c>
      <c r="D18863">
        <f>IF(B18863=C18863, "YES", "WRONG")</f>
        <v/>
      </c>
    </row>
    <row r="18864">
      <c r="A18864" t="n">
        <v>18863</v>
      </c>
      <c r="B18864" t="inlineStr">
        <is>
          <t>x̄V̅MMMDCCCLXIII</t>
        </is>
      </c>
      <c r="C18864">
        <f>ROMAN(18863)</f>
        <v/>
      </c>
      <c r="D18864">
        <f>IF(B18864=C18864, "YES", "WRONG")</f>
        <v/>
      </c>
    </row>
    <row r="18865">
      <c r="A18865" t="n">
        <v>18864</v>
      </c>
      <c r="B18865" t="inlineStr">
        <is>
          <t>x̄V̅MMMDCCCLXIV</t>
        </is>
      </c>
      <c r="C18865">
        <f>ROMAN(18864)</f>
        <v/>
      </c>
      <c r="D18865">
        <f>IF(B18865=C18865, "YES", "WRONG")</f>
        <v/>
      </c>
    </row>
    <row r="18866">
      <c r="A18866" t="n">
        <v>18865</v>
      </c>
      <c r="B18866" t="inlineStr">
        <is>
          <t>x̄V̅MMMDCCCLXV</t>
        </is>
      </c>
      <c r="C18866">
        <f>ROMAN(18865)</f>
        <v/>
      </c>
      <c r="D18866">
        <f>IF(B18866=C18866, "YES", "WRONG")</f>
        <v/>
      </c>
    </row>
    <row r="18867">
      <c r="A18867" t="n">
        <v>18866</v>
      </c>
      <c r="B18867" t="inlineStr">
        <is>
          <t>x̄V̅MMMDCCCLXVI</t>
        </is>
      </c>
      <c r="C18867">
        <f>ROMAN(18866)</f>
        <v/>
      </c>
      <c r="D18867">
        <f>IF(B18867=C18867, "YES", "WRONG")</f>
        <v/>
      </c>
    </row>
    <row r="18868">
      <c r="A18868" t="n">
        <v>18867</v>
      </c>
      <c r="B18868" t="inlineStr">
        <is>
          <t>x̄V̅MMMDCCCLXVII</t>
        </is>
      </c>
      <c r="C18868">
        <f>ROMAN(18867)</f>
        <v/>
      </c>
      <c r="D18868">
        <f>IF(B18868=C18868, "YES", "WRONG")</f>
        <v/>
      </c>
    </row>
    <row r="18869">
      <c r="A18869" t="n">
        <v>18868</v>
      </c>
      <c r="B18869" t="inlineStr">
        <is>
          <t>x̄V̅MMMDCCCLXVIII</t>
        </is>
      </c>
      <c r="C18869">
        <f>ROMAN(18868)</f>
        <v/>
      </c>
      <c r="D18869">
        <f>IF(B18869=C18869, "YES", "WRONG")</f>
        <v/>
      </c>
    </row>
    <row r="18870">
      <c r="A18870" t="n">
        <v>18869</v>
      </c>
      <c r="B18870" t="inlineStr">
        <is>
          <t>x̄V̅MMMDCCCLXIX</t>
        </is>
      </c>
      <c r="C18870">
        <f>ROMAN(18869)</f>
        <v/>
      </c>
      <c r="D18870">
        <f>IF(B18870=C18870, "YES", "WRONG")</f>
        <v/>
      </c>
    </row>
    <row r="18871">
      <c r="A18871" t="n">
        <v>18870</v>
      </c>
      <c r="B18871" t="inlineStr">
        <is>
          <t>x̄V̅MMMDCCCLXX</t>
        </is>
      </c>
      <c r="C18871">
        <f>ROMAN(18870)</f>
        <v/>
      </c>
      <c r="D18871">
        <f>IF(B18871=C18871, "YES", "WRONG")</f>
        <v/>
      </c>
    </row>
    <row r="18872">
      <c r="A18872" t="n">
        <v>18871</v>
      </c>
      <c r="B18872" t="inlineStr">
        <is>
          <t>x̄V̅MMMDCCCLXXI</t>
        </is>
      </c>
      <c r="C18872">
        <f>ROMAN(18871)</f>
        <v/>
      </c>
      <c r="D18872">
        <f>IF(B18872=C18872, "YES", "WRONG")</f>
        <v/>
      </c>
    </row>
    <row r="18873">
      <c r="A18873" t="n">
        <v>18872</v>
      </c>
      <c r="B18873" t="inlineStr">
        <is>
          <t>x̄V̅MMMDCCCLXXII</t>
        </is>
      </c>
      <c r="C18873">
        <f>ROMAN(18872)</f>
        <v/>
      </c>
      <c r="D18873">
        <f>IF(B18873=C18873, "YES", "WRONG")</f>
        <v/>
      </c>
    </row>
    <row r="18874">
      <c r="A18874" t="n">
        <v>18873</v>
      </c>
      <c r="B18874" t="inlineStr">
        <is>
          <t>x̄V̅MMMDCCCLXXIII</t>
        </is>
      </c>
      <c r="C18874">
        <f>ROMAN(18873)</f>
        <v/>
      </c>
      <c r="D18874">
        <f>IF(B18874=C18874, "YES", "WRONG")</f>
        <v/>
      </c>
    </row>
    <row r="18875">
      <c r="A18875" t="n">
        <v>18874</v>
      </c>
      <c r="B18875" t="inlineStr">
        <is>
          <t>x̄V̅MMMDCCCLXXIV</t>
        </is>
      </c>
      <c r="C18875">
        <f>ROMAN(18874)</f>
        <v/>
      </c>
      <c r="D18875">
        <f>IF(B18875=C18875, "YES", "WRONG")</f>
        <v/>
      </c>
    </row>
    <row r="18876">
      <c r="A18876" t="n">
        <v>18875</v>
      </c>
      <c r="B18876" t="inlineStr">
        <is>
          <t>x̄V̅MMMDCCCLXXV</t>
        </is>
      </c>
      <c r="C18876">
        <f>ROMAN(18875)</f>
        <v/>
      </c>
      <c r="D18876">
        <f>IF(B18876=C18876, "YES", "WRONG")</f>
        <v/>
      </c>
    </row>
    <row r="18877">
      <c r="A18877" t="n">
        <v>18876</v>
      </c>
      <c r="B18877" t="inlineStr">
        <is>
          <t>x̄V̅MMMDCCCLXXVI</t>
        </is>
      </c>
      <c r="C18877">
        <f>ROMAN(18876)</f>
        <v/>
      </c>
      <c r="D18877">
        <f>IF(B18877=C18877, "YES", "WRONG")</f>
        <v/>
      </c>
    </row>
    <row r="18878">
      <c r="A18878" t="n">
        <v>18877</v>
      </c>
      <c r="B18878" t="inlineStr">
        <is>
          <t>x̄V̅MMMDCCCLXXVII</t>
        </is>
      </c>
      <c r="C18878">
        <f>ROMAN(18877)</f>
        <v/>
      </c>
      <c r="D18878">
        <f>IF(B18878=C18878, "YES", "WRONG")</f>
        <v/>
      </c>
    </row>
    <row r="18879">
      <c r="A18879" t="n">
        <v>18878</v>
      </c>
      <c r="B18879" t="inlineStr">
        <is>
          <t>x̄V̅MMMDCCCLXXVIII</t>
        </is>
      </c>
      <c r="C18879">
        <f>ROMAN(18878)</f>
        <v/>
      </c>
      <c r="D18879">
        <f>IF(B18879=C18879, "YES", "WRONG")</f>
        <v/>
      </c>
    </row>
    <row r="18880">
      <c r="A18880" t="n">
        <v>18879</v>
      </c>
      <c r="B18880" t="inlineStr">
        <is>
          <t>x̄V̅MMMDCCCLXXIX</t>
        </is>
      </c>
      <c r="C18880">
        <f>ROMAN(18879)</f>
        <v/>
      </c>
      <c r="D18880">
        <f>IF(B18880=C18880, "YES", "WRONG")</f>
        <v/>
      </c>
    </row>
    <row r="18881">
      <c r="A18881" t="n">
        <v>18880</v>
      </c>
      <c r="B18881" t="inlineStr">
        <is>
          <t>x̄V̅MMMDCCCLXXX</t>
        </is>
      </c>
      <c r="C18881">
        <f>ROMAN(18880)</f>
        <v/>
      </c>
      <c r="D18881">
        <f>IF(B18881=C18881, "YES", "WRONG")</f>
        <v/>
      </c>
    </row>
    <row r="18882">
      <c r="A18882" t="n">
        <v>18881</v>
      </c>
      <c r="B18882" t="inlineStr">
        <is>
          <t>x̄V̅MMMDCCCLXXXI</t>
        </is>
      </c>
      <c r="C18882">
        <f>ROMAN(18881)</f>
        <v/>
      </c>
      <c r="D18882">
        <f>IF(B18882=C18882, "YES", "WRONG")</f>
        <v/>
      </c>
    </row>
    <row r="18883">
      <c r="A18883" t="n">
        <v>18882</v>
      </c>
      <c r="B18883" t="inlineStr">
        <is>
          <t>x̄V̅MMMDCCCLXXXII</t>
        </is>
      </c>
      <c r="C18883">
        <f>ROMAN(18882)</f>
        <v/>
      </c>
      <c r="D18883">
        <f>IF(B18883=C18883, "YES", "WRONG")</f>
        <v/>
      </c>
    </row>
    <row r="18884">
      <c r="A18884" t="n">
        <v>18883</v>
      </c>
      <c r="B18884" t="inlineStr">
        <is>
          <t>x̄V̅MMMDCCCLXXXIII</t>
        </is>
      </c>
      <c r="C18884">
        <f>ROMAN(18883)</f>
        <v/>
      </c>
      <c r="D18884">
        <f>IF(B18884=C18884, "YES", "WRONG")</f>
        <v/>
      </c>
    </row>
    <row r="18885">
      <c r="A18885" t="n">
        <v>18884</v>
      </c>
      <c r="B18885" t="inlineStr">
        <is>
          <t>x̄V̅MMMDCCCLXXXIV</t>
        </is>
      </c>
      <c r="C18885">
        <f>ROMAN(18884)</f>
        <v/>
      </c>
      <c r="D18885">
        <f>IF(B18885=C18885, "YES", "WRONG")</f>
        <v/>
      </c>
    </row>
    <row r="18886">
      <c r="A18886" t="n">
        <v>18885</v>
      </c>
      <c r="B18886" t="inlineStr">
        <is>
          <t>x̄V̅MMMDCCCLXXXV</t>
        </is>
      </c>
      <c r="C18886">
        <f>ROMAN(18885)</f>
        <v/>
      </c>
      <c r="D18886">
        <f>IF(B18886=C18886, "YES", "WRONG")</f>
        <v/>
      </c>
    </row>
    <row r="18887">
      <c r="A18887" t="n">
        <v>18886</v>
      </c>
      <c r="B18887" t="inlineStr">
        <is>
          <t>x̄V̅MMMDCCCLXXXVI</t>
        </is>
      </c>
      <c r="C18887">
        <f>ROMAN(18886)</f>
        <v/>
      </c>
      <c r="D18887">
        <f>IF(B18887=C18887, "YES", "WRONG")</f>
        <v/>
      </c>
    </row>
    <row r="18888">
      <c r="A18888" t="n">
        <v>18887</v>
      </c>
      <c r="B18888" t="inlineStr">
        <is>
          <t>x̄V̅MMMDCCCLXXXVII</t>
        </is>
      </c>
      <c r="C18888">
        <f>ROMAN(18887)</f>
        <v/>
      </c>
      <c r="D18888">
        <f>IF(B18888=C18888, "YES", "WRONG")</f>
        <v/>
      </c>
    </row>
    <row r="18889">
      <c r="A18889" t="n">
        <v>18888</v>
      </c>
      <c r="B18889" t="inlineStr">
        <is>
          <t>x̄V̅MMMDCCCLXXXVIII</t>
        </is>
      </c>
      <c r="C18889">
        <f>ROMAN(18888)</f>
        <v/>
      </c>
      <c r="D18889">
        <f>IF(B18889=C18889, "YES", "WRONG")</f>
        <v/>
      </c>
    </row>
    <row r="18890">
      <c r="A18890" t="n">
        <v>18889</v>
      </c>
      <c r="B18890" t="inlineStr">
        <is>
          <t>x̄V̅MMMDCCCLXXXIX</t>
        </is>
      </c>
      <c r="C18890">
        <f>ROMAN(18889)</f>
        <v/>
      </c>
      <c r="D18890">
        <f>IF(B18890=C18890, "YES", "WRONG")</f>
        <v/>
      </c>
    </row>
    <row r="18891">
      <c r="A18891" t="n">
        <v>18890</v>
      </c>
      <c r="B18891" t="inlineStr">
        <is>
          <t>x̄V̅MMMDCCCXC</t>
        </is>
      </c>
      <c r="C18891">
        <f>ROMAN(18890)</f>
        <v/>
      </c>
      <c r="D18891">
        <f>IF(B18891=C18891, "YES", "WRONG")</f>
        <v/>
      </c>
    </row>
    <row r="18892">
      <c r="A18892" t="n">
        <v>18891</v>
      </c>
      <c r="B18892" t="inlineStr">
        <is>
          <t>x̄V̅MMMDCCCXCI</t>
        </is>
      </c>
      <c r="C18892">
        <f>ROMAN(18891)</f>
        <v/>
      </c>
      <c r="D18892">
        <f>IF(B18892=C18892, "YES", "WRONG")</f>
        <v/>
      </c>
    </row>
    <row r="18893">
      <c r="A18893" t="n">
        <v>18892</v>
      </c>
      <c r="B18893" t="inlineStr">
        <is>
          <t>x̄V̅MMMDCCCXCII</t>
        </is>
      </c>
      <c r="C18893">
        <f>ROMAN(18892)</f>
        <v/>
      </c>
      <c r="D18893">
        <f>IF(B18893=C18893, "YES", "WRONG")</f>
        <v/>
      </c>
    </row>
    <row r="18894">
      <c r="A18894" t="n">
        <v>18893</v>
      </c>
      <c r="B18894" t="inlineStr">
        <is>
          <t>x̄V̅MMMDCCCXCIII</t>
        </is>
      </c>
      <c r="C18894">
        <f>ROMAN(18893)</f>
        <v/>
      </c>
      <c r="D18894">
        <f>IF(B18894=C18894, "YES", "WRONG")</f>
        <v/>
      </c>
    </row>
    <row r="18895">
      <c r="A18895" t="n">
        <v>18894</v>
      </c>
      <c r="B18895" t="inlineStr">
        <is>
          <t>x̄V̅MMMDCCCXCIV</t>
        </is>
      </c>
      <c r="C18895">
        <f>ROMAN(18894)</f>
        <v/>
      </c>
      <c r="D18895">
        <f>IF(B18895=C18895, "YES", "WRONG")</f>
        <v/>
      </c>
    </row>
    <row r="18896">
      <c r="A18896" t="n">
        <v>18895</v>
      </c>
      <c r="B18896" t="inlineStr">
        <is>
          <t>x̄V̅MMMDCCCXCV</t>
        </is>
      </c>
      <c r="C18896">
        <f>ROMAN(18895)</f>
        <v/>
      </c>
      <c r="D18896">
        <f>IF(B18896=C18896, "YES", "WRONG")</f>
        <v/>
      </c>
    </row>
    <row r="18897">
      <c r="A18897" t="n">
        <v>18896</v>
      </c>
      <c r="B18897" t="inlineStr">
        <is>
          <t>x̄V̅MMMDCCCXCVI</t>
        </is>
      </c>
      <c r="C18897">
        <f>ROMAN(18896)</f>
        <v/>
      </c>
      <c r="D18897">
        <f>IF(B18897=C18897, "YES", "WRONG")</f>
        <v/>
      </c>
    </row>
    <row r="18898">
      <c r="A18898" t="n">
        <v>18897</v>
      </c>
      <c r="B18898" t="inlineStr">
        <is>
          <t>x̄V̅MMMDCCCXCVII</t>
        </is>
      </c>
      <c r="C18898">
        <f>ROMAN(18897)</f>
        <v/>
      </c>
      <c r="D18898">
        <f>IF(B18898=C18898, "YES", "WRONG")</f>
        <v/>
      </c>
    </row>
    <row r="18899">
      <c r="A18899" t="n">
        <v>18898</v>
      </c>
      <c r="B18899" t="inlineStr">
        <is>
          <t>x̄V̅MMMDCCCXCVIII</t>
        </is>
      </c>
      <c r="C18899">
        <f>ROMAN(18898)</f>
        <v/>
      </c>
      <c r="D18899">
        <f>IF(B18899=C18899, "YES", "WRONG")</f>
        <v/>
      </c>
    </row>
    <row r="18900">
      <c r="A18900" t="n">
        <v>18899</v>
      </c>
      <c r="B18900" t="inlineStr">
        <is>
          <t>x̄V̅MMMDCCCXCIX</t>
        </is>
      </c>
      <c r="C18900">
        <f>ROMAN(18899)</f>
        <v/>
      </c>
      <c r="D18900">
        <f>IF(B18900=C18900, "YES", "WRONG")</f>
        <v/>
      </c>
    </row>
    <row r="18901">
      <c r="A18901" t="n">
        <v>18900</v>
      </c>
      <c r="B18901" t="inlineStr">
        <is>
          <t>x̄V̅MMMCM</t>
        </is>
      </c>
      <c r="C18901">
        <f>ROMAN(18900)</f>
        <v/>
      </c>
      <c r="D18901">
        <f>IF(B18901=C18901, "YES", "WRONG")</f>
        <v/>
      </c>
    </row>
    <row r="18902">
      <c r="A18902" t="n">
        <v>18901</v>
      </c>
      <c r="B18902" t="inlineStr">
        <is>
          <t>x̄V̅MMMCMI</t>
        </is>
      </c>
      <c r="C18902">
        <f>ROMAN(18901)</f>
        <v/>
      </c>
      <c r="D18902">
        <f>IF(B18902=C18902, "YES", "WRONG")</f>
        <v/>
      </c>
    </row>
    <row r="18903">
      <c r="A18903" t="n">
        <v>18902</v>
      </c>
      <c r="B18903" t="inlineStr">
        <is>
          <t>x̄V̅MMMCMII</t>
        </is>
      </c>
      <c r="C18903">
        <f>ROMAN(18902)</f>
        <v/>
      </c>
      <c r="D18903">
        <f>IF(B18903=C18903, "YES", "WRONG")</f>
        <v/>
      </c>
    </row>
    <row r="18904">
      <c r="A18904" t="n">
        <v>18903</v>
      </c>
      <c r="B18904" t="inlineStr">
        <is>
          <t>x̄V̅MMMCMIII</t>
        </is>
      </c>
      <c r="C18904">
        <f>ROMAN(18903)</f>
        <v/>
      </c>
      <c r="D18904">
        <f>IF(B18904=C18904, "YES", "WRONG")</f>
        <v/>
      </c>
    </row>
    <row r="18905">
      <c r="A18905" t="n">
        <v>18904</v>
      </c>
      <c r="B18905" t="inlineStr">
        <is>
          <t>x̄V̅MMMCMIV</t>
        </is>
      </c>
      <c r="C18905">
        <f>ROMAN(18904)</f>
        <v/>
      </c>
      <c r="D18905">
        <f>IF(B18905=C18905, "YES", "WRONG")</f>
        <v/>
      </c>
    </row>
    <row r="18906">
      <c r="A18906" t="n">
        <v>18905</v>
      </c>
      <c r="B18906" t="inlineStr">
        <is>
          <t>x̄V̅MMMCMV</t>
        </is>
      </c>
      <c r="C18906">
        <f>ROMAN(18905)</f>
        <v/>
      </c>
      <c r="D18906">
        <f>IF(B18906=C18906, "YES", "WRONG")</f>
        <v/>
      </c>
    </row>
    <row r="18907">
      <c r="A18907" t="n">
        <v>18906</v>
      </c>
      <c r="B18907" t="inlineStr">
        <is>
          <t>x̄V̅MMMCMVI</t>
        </is>
      </c>
      <c r="C18907">
        <f>ROMAN(18906)</f>
        <v/>
      </c>
      <c r="D18907">
        <f>IF(B18907=C18907, "YES", "WRONG")</f>
        <v/>
      </c>
    </row>
    <row r="18908">
      <c r="A18908" t="n">
        <v>18907</v>
      </c>
      <c r="B18908" t="inlineStr">
        <is>
          <t>x̄V̅MMMCMVII</t>
        </is>
      </c>
      <c r="C18908">
        <f>ROMAN(18907)</f>
        <v/>
      </c>
      <c r="D18908">
        <f>IF(B18908=C18908, "YES", "WRONG")</f>
        <v/>
      </c>
    </row>
    <row r="18909">
      <c r="A18909" t="n">
        <v>18908</v>
      </c>
      <c r="B18909" t="inlineStr">
        <is>
          <t>x̄V̅MMMCMVIII</t>
        </is>
      </c>
      <c r="C18909">
        <f>ROMAN(18908)</f>
        <v/>
      </c>
      <c r="D18909">
        <f>IF(B18909=C18909, "YES", "WRONG")</f>
        <v/>
      </c>
    </row>
    <row r="18910">
      <c r="A18910" t="n">
        <v>18909</v>
      </c>
      <c r="B18910" t="inlineStr">
        <is>
          <t>x̄V̅MMMCMIX</t>
        </is>
      </c>
      <c r="C18910">
        <f>ROMAN(18909)</f>
        <v/>
      </c>
      <c r="D18910">
        <f>IF(B18910=C18910, "YES", "WRONG")</f>
        <v/>
      </c>
    </row>
    <row r="18911">
      <c r="A18911" t="n">
        <v>18910</v>
      </c>
      <c r="B18911" t="inlineStr">
        <is>
          <t>x̄V̅MMMCMX</t>
        </is>
      </c>
      <c r="C18911">
        <f>ROMAN(18910)</f>
        <v/>
      </c>
      <c r="D18911">
        <f>IF(B18911=C18911, "YES", "WRONG")</f>
        <v/>
      </c>
    </row>
    <row r="18912">
      <c r="A18912" t="n">
        <v>18911</v>
      </c>
      <c r="B18912" t="inlineStr">
        <is>
          <t>x̄V̅MMMCMXI</t>
        </is>
      </c>
      <c r="C18912">
        <f>ROMAN(18911)</f>
        <v/>
      </c>
      <c r="D18912">
        <f>IF(B18912=C18912, "YES", "WRONG")</f>
        <v/>
      </c>
    </row>
    <row r="18913">
      <c r="A18913" t="n">
        <v>18912</v>
      </c>
      <c r="B18913" t="inlineStr">
        <is>
          <t>x̄V̅MMMCMXII</t>
        </is>
      </c>
      <c r="C18913">
        <f>ROMAN(18912)</f>
        <v/>
      </c>
      <c r="D18913">
        <f>IF(B18913=C18913, "YES", "WRONG")</f>
        <v/>
      </c>
    </row>
    <row r="18914">
      <c r="A18914" t="n">
        <v>18913</v>
      </c>
      <c r="B18914" t="inlineStr">
        <is>
          <t>x̄V̅MMMCMXIII</t>
        </is>
      </c>
      <c r="C18914">
        <f>ROMAN(18913)</f>
        <v/>
      </c>
      <c r="D18914">
        <f>IF(B18914=C18914, "YES", "WRONG")</f>
        <v/>
      </c>
    </row>
    <row r="18915">
      <c r="A18915" t="n">
        <v>18914</v>
      </c>
      <c r="B18915" t="inlineStr">
        <is>
          <t>x̄V̅MMMCMXIV</t>
        </is>
      </c>
      <c r="C18915">
        <f>ROMAN(18914)</f>
        <v/>
      </c>
      <c r="D18915">
        <f>IF(B18915=C18915, "YES", "WRONG")</f>
        <v/>
      </c>
    </row>
    <row r="18916">
      <c r="A18916" t="n">
        <v>18915</v>
      </c>
      <c r="B18916" t="inlineStr">
        <is>
          <t>x̄V̅MMMCMXV</t>
        </is>
      </c>
      <c r="C18916">
        <f>ROMAN(18915)</f>
        <v/>
      </c>
      <c r="D18916">
        <f>IF(B18916=C18916, "YES", "WRONG")</f>
        <v/>
      </c>
    </row>
    <row r="18917">
      <c r="A18917" t="n">
        <v>18916</v>
      </c>
      <c r="B18917" t="inlineStr">
        <is>
          <t>x̄V̅MMMCMXVI</t>
        </is>
      </c>
      <c r="C18917">
        <f>ROMAN(18916)</f>
        <v/>
      </c>
      <c r="D18917">
        <f>IF(B18917=C18917, "YES", "WRONG")</f>
        <v/>
      </c>
    </row>
    <row r="18918">
      <c r="A18918" t="n">
        <v>18917</v>
      </c>
      <c r="B18918" t="inlineStr">
        <is>
          <t>x̄V̅MMMCMXVII</t>
        </is>
      </c>
      <c r="C18918">
        <f>ROMAN(18917)</f>
        <v/>
      </c>
      <c r="D18918">
        <f>IF(B18918=C18918, "YES", "WRONG")</f>
        <v/>
      </c>
    </row>
    <row r="18919">
      <c r="A18919" t="n">
        <v>18918</v>
      </c>
      <c r="B18919" t="inlineStr">
        <is>
          <t>x̄V̅MMMCMXVIII</t>
        </is>
      </c>
      <c r="C18919">
        <f>ROMAN(18918)</f>
        <v/>
      </c>
      <c r="D18919">
        <f>IF(B18919=C18919, "YES", "WRONG")</f>
        <v/>
      </c>
    </row>
    <row r="18920">
      <c r="A18920" t="n">
        <v>18919</v>
      </c>
      <c r="B18920" t="inlineStr">
        <is>
          <t>x̄V̅MMMCMXIX</t>
        </is>
      </c>
      <c r="C18920">
        <f>ROMAN(18919)</f>
        <v/>
      </c>
      <c r="D18920">
        <f>IF(B18920=C18920, "YES", "WRONG")</f>
        <v/>
      </c>
    </row>
    <row r="18921">
      <c r="A18921" t="n">
        <v>18920</v>
      </c>
      <c r="B18921" t="inlineStr">
        <is>
          <t>x̄V̅MMMCMXX</t>
        </is>
      </c>
      <c r="C18921">
        <f>ROMAN(18920)</f>
        <v/>
      </c>
      <c r="D18921">
        <f>IF(B18921=C18921, "YES", "WRONG")</f>
        <v/>
      </c>
    </row>
    <row r="18922">
      <c r="A18922" t="n">
        <v>18921</v>
      </c>
      <c r="B18922" t="inlineStr">
        <is>
          <t>x̄V̅MMMCMXXI</t>
        </is>
      </c>
      <c r="C18922">
        <f>ROMAN(18921)</f>
        <v/>
      </c>
      <c r="D18922">
        <f>IF(B18922=C18922, "YES", "WRONG")</f>
        <v/>
      </c>
    </row>
    <row r="18923">
      <c r="A18923" t="n">
        <v>18922</v>
      </c>
      <c r="B18923" t="inlineStr">
        <is>
          <t>x̄V̅MMMCMXXII</t>
        </is>
      </c>
      <c r="C18923">
        <f>ROMAN(18922)</f>
        <v/>
      </c>
      <c r="D18923">
        <f>IF(B18923=C18923, "YES", "WRONG")</f>
        <v/>
      </c>
    </row>
    <row r="18924">
      <c r="A18924" t="n">
        <v>18923</v>
      </c>
      <c r="B18924" t="inlineStr">
        <is>
          <t>x̄V̅MMMCMXXIII</t>
        </is>
      </c>
      <c r="C18924">
        <f>ROMAN(18923)</f>
        <v/>
      </c>
      <c r="D18924">
        <f>IF(B18924=C18924, "YES", "WRONG")</f>
        <v/>
      </c>
    </row>
    <row r="18925">
      <c r="A18925" t="n">
        <v>18924</v>
      </c>
      <c r="B18925" t="inlineStr">
        <is>
          <t>x̄V̅MMMCMXXIV</t>
        </is>
      </c>
      <c r="C18925">
        <f>ROMAN(18924)</f>
        <v/>
      </c>
      <c r="D18925">
        <f>IF(B18925=C18925, "YES", "WRONG")</f>
        <v/>
      </c>
    </row>
    <row r="18926">
      <c r="A18926" t="n">
        <v>18925</v>
      </c>
      <c r="B18926" t="inlineStr">
        <is>
          <t>x̄V̅MMMCMXXV</t>
        </is>
      </c>
      <c r="C18926">
        <f>ROMAN(18925)</f>
        <v/>
      </c>
      <c r="D18926">
        <f>IF(B18926=C18926, "YES", "WRONG")</f>
        <v/>
      </c>
    </row>
    <row r="18927">
      <c r="A18927" t="n">
        <v>18926</v>
      </c>
      <c r="B18927" t="inlineStr">
        <is>
          <t>x̄V̅MMMCMXXVI</t>
        </is>
      </c>
      <c r="C18927">
        <f>ROMAN(18926)</f>
        <v/>
      </c>
      <c r="D18927">
        <f>IF(B18927=C18927, "YES", "WRONG")</f>
        <v/>
      </c>
    </row>
    <row r="18928">
      <c r="A18928" t="n">
        <v>18927</v>
      </c>
      <c r="B18928" t="inlineStr">
        <is>
          <t>x̄V̅MMMCMXXVII</t>
        </is>
      </c>
      <c r="C18928">
        <f>ROMAN(18927)</f>
        <v/>
      </c>
      <c r="D18928">
        <f>IF(B18928=C18928, "YES", "WRONG")</f>
        <v/>
      </c>
    </row>
    <row r="18929">
      <c r="A18929" t="n">
        <v>18928</v>
      </c>
      <c r="B18929" t="inlineStr">
        <is>
          <t>x̄V̅MMMCMXXVIII</t>
        </is>
      </c>
      <c r="C18929">
        <f>ROMAN(18928)</f>
        <v/>
      </c>
      <c r="D18929">
        <f>IF(B18929=C18929, "YES", "WRONG")</f>
        <v/>
      </c>
    </row>
    <row r="18930">
      <c r="A18930" t="n">
        <v>18929</v>
      </c>
      <c r="B18930" t="inlineStr">
        <is>
          <t>x̄V̅MMMCMXXIX</t>
        </is>
      </c>
      <c r="C18930">
        <f>ROMAN(18929)</f>
        <v/>
      </c>
      <c r="D18930">
        <f>IF(B18930=C18930, "YES", "WRONG")</f>
        <v/>
      </c>
    </row>
    <row r="18931">
      <c r="A18931" t="n">
        <v>18930</v>
      </c>
      <c r="B18931" t="inlineStr">
        <is>
          <t>x̄V̅MMMCMXXX</t>
        </is>
      </c>
      <c r="C18931">
        <f>ROMAN(18930)</f>
        <v/>
      </c>
      <c r="D18931">
        <f>IF(B18931=C18931, "YES", "WRONG")</f>
        <v/>
      </c>
    </row>
    <row r="18932">
      <c r="A18932" t="n">
        <v>18931</v>
      </c>
      <c r="B18932" t="inlineStr">
        <is>
          <t>x̄V̅MMMCMXXXI</t>
        </is>
      </c>
      <c r="C18932">
        <f>ROMAN(18931)</f>
        <v/>
      </c>
      <c r="D18932">
        <f>IF(B18932=C18932, "YES", "WRONG")</f>
        <v/>
      </c>
    </row>
    <row r="18933">
      <c r="A18933" t="n">
        <v>18932</v>
      </c>
      <c r="B18933" t="inlineStr">
        <is>
          <t>x̄V̅MMMCMXXXII</t>
        </is>
      </c>
      <c r="C18933">
        <f>ROMAN(18932)</f>
        <v/>
      </c>
      <c r="D18933">
        <f>IF(B18933=C18933, "YES", "WRONG")</f>
        <v/>
      </c>
    </row>
    <row r="18934">
      <c r="A18934" t="n">
        <v>18933</v>
      </c>
      <c r="B18934" t="inlineStr">
        <is>
          <t>x̄V̅MMMCMXXXIII</t>
        </is>
      </c>
      <c r="C18934">
        <f>ROMAN(18933)</f>
        <v/>
      </c>
      <c r="D18934">
        <f>IF(B18934=C18934, "YES", "WRONG")</f>
        <v/>
      </c>
    </row>
    <row r="18935">
      <c r="A18935" t="n">
        <v>18934</v>
      </c>
      <c r="B18935" t="inlineStr">
        <is>
          <t>x̄V̅MMMCMXXXIV</t>
        </is>
      </c>
      <c r="C18935">
        <f>ROMAN(18934)</f>
        <v/>
      </c>
      <c r="D18935">
        <f>IF(B18935=C18935, "YES", "WRONG")</f>
        <v/>
      </c>
    </row>
    <row r="18936">
      <c r="A18936" t="n">
        <v>18935</v>
      </c>
      <c r="B18936" t="inlineStr">
        <is>
          <t>x̄V̅MMMCMXXXV</t>
        </is>
      </c>
      <c r="C18936">
        <f>ROMAN(18935)</f>
        <v/>
      </c>
      <c r="D18936">
        <f>IF(B18936=C18936, "YES", "WRONG")</f>
        <v/>
      </c>
    </row>
    <row r="18937">
      <c r="A18937" t="n">
        <v>18936</v>
      </c>
      <c r="B18937" t="inlineStr">
        <is>
          <t>x̄V̅MMMCMXXXVI</t>
        </is>
      </c>
      <c r="C18937">
        <f>ROMAN(18936)</f>
        <v/>
      </c>
      <c r="D18937">
        <f>IF(B18937=C18937, "YES", "WRONG")</f>
        <v/>
      </c>
    </row>
    <row r="18938">
      <c r="A18938" t="n">
        <v>18937</v>
      </c>
      <c r="B18938" t="inlineStr">
        <is>
          <t>x̄V̅MMMCMXXXVII</t>
        </is>
      </c>
      <c r="C18938">
        <f>ROMAN(18937)</f>
        <v/>
      </c>
      <c r="D18938">
        <f>IF(B18938=C18938, "YES", "WRONG")</f>
        <v/>
      </c>
    </row>
    <row r="18939">
      <c r="A18939" t="n">
        <v>18938</v>
      </c>
      <c r="B18939" t="inlineStr">
        <is>
          <t>x̄V̅MMMCMXXXVIII</t>
        </is>
      </c>
      <c r="C18939">
        <f>ROMAN(18938)</f>
        <v/>
      </c>
      <c r="D18939">
        <f>IF(B18939=C18939, "YES", "WRONG")</f>
        <v/>
      </c>
    </row>
    <row r="18940">
      <c r="A18940" t="n">
        <v>18939</v>
      </c>
      <c r="B18940" t="inlineStr">
        <is>
          <t>x̄V̅MMMCMXXXIX</t>
        </is>
      </c>
      <c r="C18940">
        <f>ROMAN(18939)</f>
        <v/>
      </c>
      <c r="D18940">
        <f>IF(B18940=C18940, "YES", "WRONG")</f>
        <v/>
      </c>
    </row>
    <row r="18941">
      <c r="A18941" t="n">
        <v>18940</v>
      </c>
      <c r="B18941" t="inlineStr">
        <is>
          <t>x̄V̅MMMCMXL</t>
        </is>
      </c>
      <c r="C18941">
        <f>ROMAN(18940)</f>
        <v/>
      </c>
      <c r="D18941">
        <f>IF(B18941=C18941, "YES", "WRONG")</f>
        <v/>
      </c>
    </row>
    <row r="18942">
      <c r="A18942" t="n">
        <v>18941</v>
      </c>
      <c r="B18942" t="inlineStr">
        <is>
          <t>x̄V̅MMMCMXLI</t>
        </is>
      </c>
      <c r="C18942">
        <f>ROMAN(18941)</f>
        <v/>
      </c>
      <c r="D18942">
        <f>IF(B18942=C18942, "YES", "WRONG")</f>
        <v/>
      </c>
    </row>
    <row r="18943">
      <c r="A18943" t="n">
        <v>18942</v>
      </c>
      <c r="B18943" t="inlineStr">
        <is>
          <t>x̄V̅MMMCMXLII</t>
        </is>
      </c>
      <c r="C18943">
        <f>ROMAN(18942)</f>
        <v/>
      </c>
      <c r="D18943">
        <f>IF(B18943=C18943, "YES", "WRONG")</f>
        <v/>
      </c>
    </row>
    <row r="18944">
      <c r="A18944" t="n">
        <v>18943</v>
      </c>
      <c r="B18944" t="inlineStr">
        <is>
          <t>x̄V̅MMMCMXLIII</t>
        </is>
      </c>
      <c r="C18944">
        <f>ROMAN(18943)</f>
        <v/>
      </c>
      <c r="D18944">
        <f>IF(B18944=C18944, "YES", "WRONG")</f>
        <v/>
      </c>
    </row>
    <row r="18945">
      <c r="A18945" t="n">
        <v>18944</v>
      </c>
      <c r="B18945" t="inlineStr">
        <is>
          <t>x̄V̅MMMCMXLIV</t>
        </is>
      </c>
      <c r="C18945">
        <f>ROMAN(18944)</f>
        <v/>
      </c>
      <c r="D18945">
        <f>IF(B18945=C18945, "YES", "WRONG")</f>
        <v/>
      </c>
    </row>
    <row r="18946">
      <c r="A18946" t="n">
        <v>18945</v>
      </c>
      <c r="B18946" t="inlineStr">
        <is>
          <t>x̄V̅MMMCMXLV</t>
        </is>
      </c>
      <c r="C18946">
        <f>ROMAN(18945)</f>
        <v/>
      </c>
      <c r="D18946">
        <f>IF(B18946=C18946, "YES", "WRONG")</f>
        <v/>
      </c>
    </row>
    <row r="18947">
      <c r="A18947" t="n">
        <v>18946</v>
      </c>
      <c r="B18947" t="inlineStr">
        <is>
          <t>x̄V̅MMMCMXLVI</t>
        </is>
      </c>
      <c r="C18947">
        <f>ROMAN(18946)</f>
        <v/>
      </c>
      <c r="D18947">
        <f>IF(B18947=C18947, "YES", "WRONG")</f>
        <v/>
      </c>
    </row>
    <row r="18948">
      <c r="A18948" t="n">
        <v>18947</v>
      </c>
      <c r="B18948" t="inlineStr">
        <is>
          <t>x̄V̅MMMCMXLVII</t>
        </is>
      </c>
      <c r="C18948">
        <f>ROMAN(18947)</f>
        <v/>
      </c>
      <c r="D18948">
        <f>IF(B18948=C18948, "YES", "WRONG")</f>
        <v/>
      </c>
    </row>
    <row r="18949">
      <c r="A18949" t="n">
        <v>18948</v>
      </c>
      <c r="B18949" t="inlineStr">
        <is>
          <t>x̄V̅MMMCMXLVIII</t>
        </is>
      </c>
      <c r="C18949">
        <f>ROMAN(18948)</f>
        <v/>
      </c>
      <c r="D18949">
        <f>IF(B18949=C18949, "YES", "WRONG")</f>
        <v/>
      </c>
    </row>
    <row r="18950">
      <c r="A18950" t="n">
        <v>18949</v>
      </c>
      <c r="B18950" t="inlineStr">
        <is>
          <t>x̄V̅MMMCMXLIX</t>
        </is>
      </c>
      <c r="C18950">
        <f>ROMAN(18949)</f>
        <v/>
      </c>
      <c r="D18950">
        <f>IF(B18950=C18950, "YES", "WRONG")</f>
        <v/>
      </c>
    </row>
    <row r="18951">
      <c r="A18951" t="n">
        <v>18950</v>
      </c>
      <c r="B18951" t="inlineStr">
        <is>
          <t>x̄V̅MMMCML</t>
        </is>
      </c>
      <c r="C18951">
        <f>ROMAN(18950)</f>
        <v/>
      </c>
      <c r="D18951">
        <f>IF(B18951=C18951, "YES", "WRONG")</f>
        <v/>
      </c>
    </row>
    <row r="18952">
      <c r="A18952" t="n">
        <v>18951</v>
      </c>
      <c r="B18952" t="inlineStr">
        <is>
          <t>x̄V̅MMMCMLI</t>
        </is>
      </c>
      <c r="C18952">
        <f>ROMAN(18951)</f>
        <v/>
      </c>
      <c r="D18952">
        <f>IF(B18952=C18952, "YES", "WRONG")</f>
        <v/>
      </c>
    </row>
    <row r="18953">
      <c r="A18953" t="n">
        <v>18952</v>
      </c>
      <c r="B18953" t="inlineStr">
        <is>
          <t>x̄V̅MMMCMLII</t>
        </is>
      </c>
      <c r="C18953">
        <f>ROMAN(18952)</f>
        <v/>
      </c>
      <c r="D18953">
        <f>IF(B18953=C18953, "YES", "WRONG")</f>
        <v/>
      </c>
    </row>
    <row r="18954">
      <c r="A18954" t="n">
        <v>18953</v>
      </c>
      <c r="B18954" t="inlineStr">
        <is>
          <t>x̄V̅MMMCMLIII</t>
        </is>
      </c>
      <c r="C18954">
        <f>ROMAN(18953)</f>
        <v/>
      </c>
      <c r="D18954">
        <f>IF(B18954=C18954, "YES", "WRONG")</f>
        <v/>
      </c>
    </row>
    <row r="18955">
      <c r="A18955" t="n">
        <v>18954</v>
      </c>
      <c r="B18955" t="inlineStr">
        <is>
          <t>x̄V̅MMMCMLIV</t>
        </is>
      </c>
      <c r="C18955">
        <f>ROMAN(18954)</f>
        <v/>
      </c>
      <c r="D18955">
        <f>IF(B18955=C18955, "YES", "WRONG")</f>
        <v/>
      </c>
    </row>
    <row r="18956">
      <c r="A18956" t="n">
        <v>18955</v>
      </c>
      <c r="B18956" t="inlineStr">
        <is>
          <t>x̄V̅MMMCMLV</t>
        </is>
      </c>
      <c r="C18956">
        <f>ROMAN(18955)</f>
        <v/>
      </c>
      <c r="D18956">
        <f>IF(B18956=C18956, "YES", "WRONG")</f>
        <v/>
      </c>
    </row>
    <row r="18957">
      <c r="A18957" t="n">
        <v>18956</v>
      </c>
      <c r="B18957" t="inlineStr">
        <is>
          <t>x̄V̅MMMCMLVI</t>
        </is>
      </c>
      <c r="C18957">
        <f>ROMAN(18956)</f>
        <v/>
      </c>
      <c r="D18957">
        <f>IF(B18957=C18957, "YES", "WRONG")</f>
        <v/>
      </c>
    </row>
    <row r="18958">
      <c r="A18958" t="n">
        <v>18957</v>
      </c>
      <c r="B18958" t="inlineStr">
        <is>
          <t>x̄V̅MMMCMLVII</t>
        </is>
      </c>
      <c r="C18958">
        <f>ROMAN(18957)</f>
        <v/>
      </c>
      <c r="D18958">
        <f>IF(B18958=C18958, "YES", "WRONG")</f>
        <v/>
      </c>
    </row>
    <row r="18959">
      <c r="A18959" t="n">
        <v>18958</v>
      </c>
      <c r="B18959" t="inlineStr">
        <is>
          <t>x̄V̅MMMCMLVIII</t>
        </is>
      </c>
      <c r="C18959">
        <f>ROMAN(18958)</f>
        <v/>
      </c>
      <c r="D18959">
        <f>IF(B18959=C18959, "YES", "WRONG")</f>
        <v/>
      </c>
    </row>
    <row r="18960">
      <c r="A18960" t="n">
        <v>18959</v>
      </c>
      <c r="B18960" t="inlineStr">
        <is>
          <t>x̄V̅MMMCMLIX</t>
        </is>
      </c>
      <c r="C18960">
        <f>ROMAN(18959)</f>
        <v/>
      </c>
      <c r="D18960">
        <f>IF(B18960=C18960, "YES", "WRONG")</f>
        <v/>
      </c>
    </row>
    <row r="18961">
      <c r="A18961" t="n">
        <v>18960</v>
      </c>
      <c r="B18961" t="inlineStr">
        <is>
          <t>x̄V̅MMMCMLX</t>
        </is>
      </c>
      <c r="C18961">
        <f>ROMAN(18960)</f>
        <v/>
      </c>
      <c r="D18961">
        <f>IF(B18961=C18961, "YES", "WRONG")</f>
        <v/>
      </c>
    </row>
    <row r="18962">
      <c r="A18962" t="n">
        <v>18961</v>
      </c>
      <c r="B18962" t="inlineStr">
        <is>
          <t>x̄V̅MMMCMLXI</t>
        </is>
      </c>
      <c r="C18962">
        <f>ROMAN(18961)</f>
        <v/>
      </c>
      <c r="D18962">
        <f>IF(B18962=C18962, "YES", "WRONG")</f>
        <v/>
      </c>
    </row>
    <row r="18963">
      <c r="A18963" t="n">
        <v>18962</v>
      </c>
      <c r="B18963" t="inlineStr">
        <is>
          <t>x̄V̅MMMCMLXII</t>
        </is>
      </c>
      <c r="C18963">
        <f>ROMAN(18962)</f>
        <v/>
      </c>
      <c r="D18963">
        <f>IF(B18963=C18963, "YES", "WRONG")</f>
        <v/>
      </c>
    </row>
    <row r="18964">
      <c r="A18964" t="n">
        <v>18963</v>
      </c>
      <c r="B18964" t="inlineStr">
        <is>
          <t>x̄V̅MMMCMLXIII</t>
        </is>
      </c>
      <c r="C18964">
        <f>ROMAN(18963)</f>
        <v/>
      </c>
      <c r="D18964">
        <f>IF(B18964=C18964, "YES", "WRONG")</f>
        <v/>
      </c>
    </row>
    <row r="18965">
      <c r="A18965" t="n">
        <v>18964</v>
      </c>
      <c r="B18965" t="inlineStr">
        <is>
          <t>x̄V̅MMMCMLXIV</t>
        </is>
      </c>
      <c r="C18965">
        <f>ROMAN(18964)</f>
        <v/>
      </c>
      <c r="D18965">
        <f>IF(B18965=C18965, "YES", "WRONG")</f>
        <v/>
      </c>
    </row>
    <row r="18966">
      <c r="A18966" t="n">
        <v>18965</v>
      </c>
      <c r="B18966" t="inlineStr">
        <is>
          <t>x̄V̅MMMCMLXV</t>
        </is>
      </c>
      <c r="C18966">
        <f>ROMAN(18965)</f>
        <v/>
      </c>
      <c r="D18966">
        <f>IF(B18966=C18966, "YES", "WRONG")</f>
        <v/>
      </c>
    </row>
    <row r="18967">
      <c r="A18967" t="n">
        <v>18966</v>
      </c>
      <c r="B18967" t="inlineStr">
        <is>
          <t>x̄V̅MMMCMLXVI</t>
        </is>
      </c>
      <c r="C18967">
        <f>ROMAN(18966)</f>
        <v/>
      </c>
      <c r="D18967">
        <f>IF(B18967=C18967, "YES", "WRONG")</f>
        <v/>
      </c>
    </row>
    <row r="18968">
      <c r="A18968" t="n">
        <v>18967</v>
      </c>
      <c r="B18968" t="inlineStr">
        <is>
          <t>x̄V̅MMMCMLXVII</t>
        </is>
      </c>
      <c r="C18968">
        <f>ROMAN(18967)</f>
        <v/>
      </c>
      <c r="D18968">
        <f>IF(B18968=C18968, "YES", "WRONG")</f>
        <v/>
      </c>
    </row>
    <row r="18969">
      <c r="A18969" t="n">
        <v>18968</v>
      </c>
      <c r="B18969" t="inlineStr">
        <is>
          <t>x̄V̅MMMCMLXVIII</t>
        </is>
      </c>
      <c r="C18969">
        <f>ROMAN(18968)</f>
        <v/>
      </c>
      <c r="D18969">
        <f>IF(B18969=C18969, "YES", "WRONG")</f>
        <v/>
      </c>
    </row>
    <row r="18970">
      <c r="A18970" t="n">
        <v>18969</v>
      </c>
      <c r="B18970" t="inlineStr">
        <is>
          <t>x̄V̅MMMCMLXIX</t>
        </is>
      </c>
      <c r="C18970">
        <f>ROMAN(18969)</f>
        <v/>
      </c>
      <c r="D18970">
        <f>IF(B18970=C18970, "YES", "WRONG")</f>
        <v/>
      </c>
    </row>
    <row r="18971">
      <c r="A18971" t="n">
        <v>18970</v>
      </c>
      <c r="B18971" t="inlineStr">
        <is>
          <t>x̄V̅MMMCMLXX</t>
        </is>
      </c>
      <c r="C18971">
        <f>ROMAN(18970)</f>
        <v/>
      </c>
      <c r="D18971">
        <f>IF(B18971=C18971, "YES", "WRONG")</f>
        <v/>
      </c>
    </row>
    <row r="18972">
      <c r="A18972" t="n">
        <v>18971</v>
      </c>
      <c r="B18972" t="inlineStr">
        <is>
          <t>x̄V̅MMMCMLXXI</t>
        </is>
      </c>
      <c r="C18972">
        <f>ROMAN(18971)</f>
        <v/>
      </c>
      <c r="D18972">
        <f>IF(B18972=C18972, "YES", "WRONG")</f>
        <v/>
      </c>
    </row>
    <row r="18973">
      <c r="A18973" t="n">
        <v>18972</v>
      </c>
      <c r="B18973" t="inlineStr">
        <is>
          <t>x̄V̅MMMCMLXXII</t>
        </is>
      </c>
      <c r="C18973">
        <f>ROMAN(18972)</f>
        <v/>
      </c>
      <c r="D18973">
        <f>IF(B18973=C18973, "YES", "WRONG")</f>
        <v/>
      </c>
    </row>
    <row r="18974">
      <c r="A18974" t="n">
        <v>18973</v>
      </c>
      <c r="B18974" t="inlineStr">
        <is>
          <t>x̄V̅MMMCMLXXIII</t>
        </is>
      </c>
      <c r="C18974">
        <f>ROMAN(18973)</f>
        <v/>
      </c>
      <c r="D18974">
        <f>IF(B18974=C18974, "YES", "WRONG")</f>
        <v/>
      </c>
    </row>
    <row r="18975">
      <c r="A18975" t="n">
        <v>18974</v>
      </c>
      <c r="B18975" t="inlineStr">
        <is>
          <t>x̄V̅MMMCMLXXIV</t>
        </is>
      </c>
      <c r="C18975">
        <f>ROMAN(18974)</f>
        <v/>
      </c>
      <c r="D18975">
        <f>IF(B18975=C18975, "YES", "WRONG")</f>
        <v/>
      </c>
    </row>
    <row r="18976">
      <c r="A18976" t="n">
        <v>18975</v>
      </c>
      <c r="B18976" t="inlineStr">
        <is>
          <t>x̄V̅MMMCMLXXV</t>
        </is>
      </c>
      <c r="C18976">
        <f>ROMAN(18975)</f>
        <v/>
      </c>
      <c r="D18976">
        <f>IF(B18976=C18976, "YES", "WRONG")</f>
        <v/>
      </c>
    </row>
    <row r="18977">
      <c r="A18977" t="n">
        <v>18976</v>
      </c>
      <c r="B18977" t="inlineStr">
        <is>
          <t>x̄V̅MMMCMLXXVI</t>
        </is>
      </c>
      <c r="C18977">
        <f>ROMAN(18976)</f>
        <v/>
      </c>
      <c r="D18977">
        <f>IF(B18977=C18977, "YES", "WRONG")</f>
        <v/>
      </c>
    </row>
    <row r="18978">
      <c r="A18978" t="n">
        <v>18977</v>
      </c>
      <c r="B18978" t="inlineStr">
        <is>
          <t>x̄V̅MMMCMLXXVII</t>
        </is>
      </c>
      <c r="C18978">
        <f>ROMAN(18977)</f>
        <v/>
      </c>
      <c r="D18978">
        <f>IF(B18978=C18978, "YES", "WRONG")</f>
        <v/>
      </c>
    </row>
    <row r="18979">
      <c r="A18979" t="n">
        <v>18978</v>
      </c>
      <c r="B18979" t="inlineStr">
        <is>
          <t>x̄V̅MMMCMLXXVIII</t>
        </is>
      </c>
      <c r="C18979">
        <f>ROMAN(18978)</f>
        <v/>
      </c>
      <c r="D18979">
        <f>IF(B18979=C18979, "YES", "WRONG")</f>
        <v/>
      </c>
    </row>
    <row r="18980">
      <c r="A18980" t="n">
        <v>18979</v>
      </c>
      <c r="B18980" t="inlineStr">
        <is>
          <t>x̄V̅MMMCMLXXIX</t>
        </is>
      </c>
      <c r="C18980">
        <f>ROMAN(18979)</f>
        <v/>
      </c>
      <c r="D18980">
        <f>IF(B18980=C18980, "YES", "WRONG")</f>
        <v/>
      </c>
    </row>
    <row r="18981">
      <c r="A18981" t="n">
        <v>18980</v>
      </c>
      <c r="B18981" t="inlineStr">
        <is>
          <t>x̄V̅MMMCMLXXX</t>
        </is>
      </c>
      <c r="C18981">
        <f>ROMAN(18980)</f>
        <v/>
      </c>
      <c r="D18981">
        <f>IF(B18981=C18981, "YES", "WRONG")</f>
        <v/>
      </c>
    </row>
    <row r="18982">
      <c r="A18982" t="n">
        <v>18981</v>
      </c>
      <c r="B18982" t="inlineStr">
        <is>
          <t>x̄V̅MMMCMLXXXI</t>
        </is>
      </c>
      <c r="C18982">
        <f>ROMAN(18981)</f>
        <v/>
      </c>
      <c r="D18982">
        <f>IF(B18982=C18982, "YES", "WRONG")</f>
        <v/>
      </c>
    </row>
    <row r="18983">
      <c r="A18983" t="n">
        <v>18982</v>
      </c>
      <c r="B18983" t="inlineStr">
        <is>
          <t>x̄V̅MMMCMLXXXII</t>
        </is>
      </c>
      <c r="C18983">
        <f>ROMAN(18982)</f>
        <v/>
      </c>
      <c r="D18983">
        <f>IF(B18983=C18983, "YES", "WRONG")</f>
        <v/>
      </c>
    </row>
    <row r="18984">
      <c r="A18984" t="n">
        <v>18983</v>
      </c>
      <c r="B18984" t="inlineStr">
        <is>
          <t>x̄V̅MMMCMLXXXIII</t>
        </is>
      </c>
      <c r="C18984">
        <f>ROMAN(18983)</f>
        <v/>
      </c>
      <c r="D18984">
        <f>IF(B18984=C18984, "YES", "WRONG")</f>
        <v/>
      </c>
    </row>
    <row r="18985">
      <c r="A18985" t="n">
        <v>18984</v>
      </c>
      <c r="B18985" t="inlineStr">
        <is>
          <t>x̄V̅MMMCMLXXXIV</t>
        </is>
      </c>
      <c r="C18985">
        <f>ROMAN(18984)</f>
        <v/>
      </c>
      <c r="D18985">
        <f>IF(B18985=C18985, "YES", "WRONG")</f>
        <v/>
      </c>
    </row>
    <row r="18986">
      <c r="A18986" t="n">
        <v>18985</v>
      </c>
      <c r="B18986" t="inlineStr">
        <is>
          <t>x̄V̅MMMCMLXXXV</t>
        </is>
      </c>
      <c r="C18986">
        <f>ROMAN(18985)</f>
        <v/>
      </c>
      <c r="D18986">
        <f>IF(B18986=C18986, "YES", "WRONG")</f>
        <v/>
      </c>
    </row>
    <row r="18987">
      <c r="A18987" t="n">
        <v>18986</v>
      </c>
      <c r="B18987" t="inlineStr">
        <is>
          <t>x̄V̅MMMCMLXXXVI</t>
        </is>
      </c>
      <c r="C18987">
        <f>ROMAN(18986)</f>
        <v/>
      </c>
      <c r="D18987">
        <f>IF(B18987=C18987, "YES", "WRONG")</f>
        <v/>
      </c>
    </row>
    <row r="18988">
      <c r="A18988" t="n">
        <v>18987</v>
      </c>
      <c r="B18988" t="inlineStr">
        <is>
          <t>x̄V̅MMMCMLXXXVII</t>
        </is>
      </c>
      <c r="C18988">
        <f>ROMAN(18987)</f>
        <v/>
      </c>
      <c r="D18988">
        <f>IF(B18988=C18988, "YES", "WRONG")</f>
        <v/>
      </c>
    </row>
    <row r="18989">
      <c r="A18989" t="n">
        <v>18988</v>
      </c>
      <c r="B18989" t="inlineStr">
        <is>
          <t>x̄V̅MMMCMLXXXVIII</t>
        </is>
      </c>
      <c r="C18989">
        <f>ROMAN(18988)</f>
        <v/>
      </c>
      <c r="D18989">
        <f>IF(B18989=C18989, "YES", "WRONG")</f>
        <v/>
      </c>
    </row>
    <row r="18990">
      <c r="A18990" t="n">
        <v>18989</v>
      </c>
      <c r="B18990" t="inlineStr">
        <is>
          <t>x̄V̅MMMCMLXXXIX</t>
        </is>
      </c>
      <c r="C18990">
        <f>ROMAN(18989)</f>
        <v/>
      </c>
      <c r="D18990">
        <f>IF(B18990=C18990, "YES", "WRONG")</f>
        <v/>
      </c>
    </row>
    <row r="18991">
      <c r="A18991" t="n">
        <v>18990</v>
      </c>
      <c r="B18991" t="inlineStr">
        <is>
          <t>x̄V̅MMMCMXC</t>
        </is>
      </c>
      <c r="C18991">
        <f>ROMAN(18990)</f>
        <v/>
      </c>
      <c r="D18991">
        <f>IF(B18991=C18991, "YES", "WRONG")</f>
        <v/>
      </c>
    </row>
    <row r="18992">
      <c r="A18992" t="n">
        <v>18991</v>
      </c>
      <c r="B18992" t="inlineStr">
        <is>
          <t>x̄V̅MMMCMXCI</t>
        </is>
      </c>
      <c r="C18992">
        <f>ROMAN(18991)</f>
        <v/>
      </c>
      <c r="D18992">
        <f>IF(B18992=C18992, "YES", "WRONG")</f>
        <v/>
      </c>
    </row>
    <row r="18993">
      <c r="A18993" t="n">
        <v>18992</v>
      </c>
      <c r="B18993" t="inlineStr">
        <is>
          <t>x̄V̅MMMCMXCII</t>
        </is>
      </c>
      <c r="C18993">
        <f>ROMAN(18992)</f>
        <v/>
      </c>
      <c r="D18993">
        <f>IF(B18993=C18993, "YES", "WRONG")</f>
        <v/>
      </c>
    </row>
    <row r="18994">
      <c r="A18994" t="n">
        <v>18993</v>
      </c>
      <c r="B18994" t="inlineStr">
        <is>
          <t>x̄V̅MMMCMXCIII</t>
        </is>
      </c>
      <c r="C18994">
        <f>ROMAN(18993)</f>
        <v/>
      </c>
      <c r="D18994">
        <f>IF(B18994=C18994, "YES", "WRONG")</f>
        <v/>
      </c>
    </row>
    <row r="18995">
      <c r="A18995" t="n">
        <v>18994</v>
      </c>
      <c r="B18995" t="inlineStr">
        <is>
          <t>x̄V̅MMMCMXCIV</t>
        </is>
      </c>
      <c r="C18995">
        <f>ROMAN(18994)</f>
        <v/>
      </c>
      <c r="D18995">
        <f>IF(B18995=C18995, "YES", "WRONG")</f>
        <v/>
      </c>
    </row>
    <row r="18996">
      <c r="A18996" t="n">
        <v>18995</v>
      </c>
      <c r="B18996" t="inlineStr">
        <is>
          <t>x̄V̅MMMCMXCV</t>
        </is>
      </c>
      <c r="C18996">
        <f>ROMAN(18995)</f>
        <v/>
      </c>
      <c r="D18996">
        <f>IF(B18996=C18996, "YES", "WRONG")</f>
        <v/>
      </c>
    </row>
    <row r="18997">
      <c r="A18997" t="n">
        <v>18996</v>
      </c>
      <c r="B18997" t="inlineStr">
        <is>
          <t>x̄V̅MMMCMXCVI</t>
        </is>
      </c>
      <c r="C18997">
        <f>ROMAN(18996)</f>
        <v/>
      </c>
      <c r="D18997">
        <f>IF(B18997=C18997, "YES", "WRONG")</f>
        <v/>
      </c>
    </row>
    <row r="18998">
      <c r="A18998" t="n">
        <v>18997</v>
      </c>
      <c r="B18998" t="inlineStr">
        <is>
          <t>x̄V̅MMMCMXCVII</t>
        </is>
      </c>
      <c r="C18998">
        <f>ROMAN(18997)</f>
        <v/>
      </c>
      <c r="D18998">
        <f>IF(B18998=C18998, "YES", "WRONG")</f>
        <v/>
      </c>
    </row>
    <row r="18999">
      <c r="A18999" t="n">
        <v>18998</v>
      </c>
      <c r="B18999" t="inlineStr">
        <is>
          <t>x̄V̅MMMCMXCVIII</t>
        </is>
      </c>
      <c r="C18999">
        <f>ROMAN(18998)</f>
        <v/>
      </c>
      <c r="D18999">
        <f>IF(B18999=C18999, "YES", "WRONG")</f>
        <v/>
      </c>
    </row>
    <row r="19000">
      <c r="A19000" t="n">
        <v>18999</v>
      </c>
      <c r="B19000" t="inlineStr">
        <is>
          <t>x̄V̅MMMCMXCIX</t>
        </is>
      </c>
      <c r="C19000">
        <f>ROMAN(18999)</f>
        <v/>
      </c>
      <c r="D19000">
        <f>IF(B19000=C19000, "YES", "WRONG")</f>
        <v/>
      </c>
    </row>
    <row r="19001">
      <c r="A19001" t="n">
        <v>19000</v>
      </c>
      <c r="B19001" t="inlineStr">
        <is>
          <t>x̄Mx̄</t>
        </is>
      </c>
      <c r="C19001">
        <f>ROMAN(19000)</f>
        <v/>
      </c>
      <c r="D19001">
        <f>IF(B19001=C19001, "YES", "WRONG")</f>
        <v/>
      </c>
    </row>
    <row r="19002">
      <c r="A19002" t="n">
        <v>19001</v>
      </c>
      <c r="B19002" t="inlineStr">
        <is>
          <t>x̄Mx̄I</t>
        </is>
      </c>
      <c r="C19002">
        <f>ROMAN(19001)</f>
        <v/>
      </c>
      <c r="D19002">
        <f>IF(B19002=C19002, "YES", "WRONG")</f>
        <v/>
      </c>
    </row>
    <row r="19003">
      <c r="A19003" t="n">
        <v>19002</v>
      </c>
      <c r="B19003" t="inlineStr">
        <is>
          <t>x̄Mx̄II</t>
        </is>
      </c>
      <c r="C19003">
        <f>ROMAN(19002)</f>
        <v/>
      </c>
      <c r="D19003">
        <f>IF(B19003=C19003, "YES", "WRONG")</f>
        <v/>
      </c>
    </row>
    <row r="19004">
      <c r="A19004" t="n">
        <v>19003</v>
      </c>
      <c r="B19004" t="inlineStr">
        <is>
          <t>x̄Mx̄III</t>
        </is>
      </c>
      <c r="C19004">
        <f>ROMAN(19003)</f>
        <v/>
      </c>
      <c r="D19004">
        <f>IF(B19004=C19004, "YES", "WRONG")</f>
        <v/>
      </c>
    </row>
    <row r="19005">
      <c r="A19005" t="n">
        <v>19004</v>
      </c>
      <c r="B19005" t="inlineStr">
        <is>
          <t>x̄Mx̄IV</t>
        </is>
      </c>
      <c r="C19005">
        <f>ROMAN(19004)</f>
        <v/>
      </c>
      <c r="D19005">
        <f>IF(B19005=C19005, "YES", "WRONG")</f>
        <v/>
      </c>
    </row>
    <row r="19006">
      <c r="A19006" t="n">
        <v>19005</v>
      </c>
      <c r="B19006" t="inlineStr">
        <is>
          <t>x̄Mx̄V</t>
        </is>
      </c>
      <c r="C19006">
        <f>ROMAN(19005)</f>
        <v/>
      </c>
      <c r="D19006">
        <f>IF(B19006=C19006, "YES", "WRONG")</f>
        <v/>
      </c>
    </row>
    <row r="19007">
      <c r="A19007" t="n">
        <v>19006</v>
      </c>
      <c r="B19007" t="inlineStr">
        <is>
          <t>x̄Mx̄VI</t>
        </is>
      </c>
      <c r="C19007">
        <f>ROMAN(19006)</f>
        <v/>
      </c>
      <c r="D19007">
        <f>IF(B19007=C19007, "YES", "WRONG")</f>
        <v/>
      </c>
    </row>
    <row r="19008">
      <c r="A19008" t="n">
        <v>19007</v>
      </c>
      <c r="B19008" t="inlineStr">
        <is>
          <t>x̄Mx̄VII</t>
        </is>
      </c>
      <c r="C19008">
        <f>ROMAN(19007)</f>
        <v/>
      </c>
      <c r="D19008">
        <f>IF(B19008=C19008, "YES", "WRONG")</f>
        <v/>
      </c>
    </row>
    <row r="19009">
      <c r="A19009" t="n">
        <v>19008</v>
      </c>
      <c r="B19009" t="inlineStr">
        <is>
          <t>x̄Mx̄VIII</t>
        </is>
      </c>
      <c r="C19009">
        <f>ROMAN(19008)</f>
        <v/>
      </c>
      <c r="D19009">
        <f>IF(B19009=C19009, "YES", "WRONG")</f>
        <v/>
      </c>
    </row>
    <row r="19010">
      <c r="A19010" t="n">
        <v>19009</v>
      </c>
      <c r="B19010" t="inlineStr">
        <is>
          <t>x̄Mx̄IX</t>
        </is>
      </c>
      <c r="C19010">
        <f>ROMAN(19009)</f>
        <v/>
      </c>
      <c r="D19010">
        <f>IF(B19010=C19010, "YES", "WRONG")</f>
        <v/>
      </c>
    </row>
    <row r="19011">
      <c r="A19011" t="n">
        <v>19010</v>
      </c>
      <c r="B19011" t="inlineStr">
        <is>
          <t>x̄Mx̄X</t>
        </is>
      </c>
      <c r="C19011">
        <f>ROMAN(19010)</f>
        <v/>
      </c>
      <c r="D19011">
        <f>IF(B19011=C19011, "YES", "WRONG")</f>
        <v/>
      </c>
    </row>
    <row r="19012">
      <c r="A19012" t="n">
        <v>19011</v>
      </c>
      <c r="B19012" t="inlineStr">
        <is>
          <t>x̄Mx̄XI</t>
        </is>
      </c>
      <c r="C19012">
        <f>ROMAN(19011)</f>
        <v/>
      </c>
      <c r="D19012">
        <f>IF(B19012=C19012, "YES", "WRONG")</f>
        <v/>
      </c>
    </row>
    <row r="19013">
      <c r="A19013" t="n">
        <v>19012</v>
      </c>
      <c r="B19013" t="inlineStr">
        <is>
          <t>x̄Mx̄XII</t>
        </is>
      </c>
      <c r="C19013">
        <f>ROMAN(19012)</f>
        <v/>
      </c>
      <c r="D19013">
        <f>IF(B19013=C19013, "YES", "WRONG")</f>
        <v/>
      </c>
    </row>
    <row r="19014">
      <c r="A19014" t="n">
        <v>19013</v>
      </c>
      <c r="B19014" t="inlineStr">
        <is>
          <t>x̄Mx̄XIII</t>
        </is>
      </c>
      <c r="C19014">
        <f>ROMAN(19013)</f>
        <v/>
      </c>
      <c r="D19014">
        <f>IF(B19014=C19014, "YES", "WRONG")</f>
        <v/>
      </c>
    </row>
    <row r="19015">
      <c r="A19015" t="n">
        <v>19014</v>
      </c>
      <c r="B19015" t="inlineStr">
        <is>
          <t>x̄Mx̄XIV</t>
        </is>
      </c>
      <c r="C19015">
        <f>ROMAN(19014)</f>
        <v/>
      </c>
      <c r="D19015">
        <f>IF(B19015=C19015, "YES", "WRONG")</f>
        <v/>
      </c>
    </row>
    <row r="19016">
      <c r="A19016" t="n">
        <v>19015</v>
      </c>
      <c r="B19016" t="inlineStr">
        <is>
          <t>x̄Mx̄XV</t>
        </is>
      </c>
      <c r="C19016">
        <f>ROMAN(19015)</f>
        <v/>
      </c>
      <c r="D19016">
        <f>IF(B19016=C19016, "YES", "WRONG")</f>
        <v/>
      </c>
    </row>
    <row r="19017">
      <c r="A19017" t="n">
        <v>19016</v>
      </c>
      <c r="B19017" t="inlineStr">
        <is>
          <t>x̄Mx̄XVI</t>
        </is>
      </c>
      <c r="C19017">
        <f>ROMAN(19016)</f>
        <v/>
      </c>
      <c r="D19017">
        <f>IF(B19017=C19017, "YES", "WRONG")</f>
        <v/>
      </c>
    </row>
    <row r="19018">
      <c r="A19018" t="n">
        <v>19017</v>
      </c>
      <c r="B19018" t="inlineStr">
        <is>
          <t>x̄Mx̄XVII</t>
        </is>
      </c>
      <c r="C19018">
        <f>ROMAN(19017)</f>
        <v/>
      </c>
      <c r="D19018">
        <f>IF(B19018=C19018, "YES", "WRONG")</f>
        <v/>
      </c>
    </row>
    <row r="19019">
      <c r="A19019" t="n">
        <v>19018</v>
      </c>
      <c r="B19019" t="inlineStr">
        <is>
          <t>x̄Mx̄XVIII</t>
        </is>
      </c>
      <c r="C19019">
        <f>ROMAN(19018)</f>
        <v/>
      </c>
      <c r="D19019">
        <f>IF(B19019=C19019, "YES", "WRONG")</f>
        <v/>
      </c>
    </row>
    <row r="19020">
      <c r="A19020" t="n">
        <v>19019</v>
      </c>
      <c r="B19020" t="inlineStr">
        <is>
          <t>x̄Mx̄XIX</t>
        </is>
      </c>
      <c r="C19020">
        <f>ROMAN(19019)</f>
        <v/>
      </c>
      <c r="D19020">
        <f>IF(B19020=C19020, "YES", "WRONG")</f>
        <v/>
      </c>
    </row>
    <row r="19021">
      <c r="A19021" t="n">
        <v>19020</v>
      </c>
      <c r="B19021" t="inlineStr">
        <is>
          <t>x̄Mx̄XX</t>
        </is>
      </c>
      <c r="C19021">
        <f>ROMAN(19020)</f>
        <v/>
      </c>
      <c r="D19021">
        <f>IF(B19021=C19021, "YES", "WRONG")</f>
        <v/>
      </c>
    </row>
    <row r="19022">
      <c r="A19022" t="n">
        <v>19021</v>
      </c>
      <c r="B19022" t="inlineStr">
        <is>
          <t>x̄Mx̄XXI</t>
        </is>
      </c>
      <c r="C19022">
        <f>ROMAN(19021)</f>
        <v/>
      </c>
      <c r="D19022">
        <f>IF(B19022=C19022, "YES", "WRONG")</f>
        <v/>
      </c>
    </row>
    <row r="19023">
      <c r="A19023" t="n">
        <v>19022</v>
      </c>
      <c r="B19023" t="inlineStr">
        <is>
          <t>x̄Mx̄XXII</t>
        </is>
      </c>
      <c r="C19023">
        <f>ROMAN(19022)</f>
        <v/>
      </c>
      <c r="D19023">
        <f>IF(B19023=C19023, "YES", "WRONG")</f>
        <v/>
      </c>
    </row>
    <row r="19024">
      <c r="A19024" t="n">
        <v>19023</v>
      </c>
      <c r="B19024" t="inlineStr">
        <is>
          <t>x̄Mx̄XXIII</t>
        </is>
      </c>
      <c r="C19024">
        <f>ROMAN(19023)</f>
        <v/>
      </c>
      <c r="D19024">
        <f>IF(B19024=C19024, "YES", "WRONG")</f>
        <v/>
      </c>
    </row>
    <row r="19025">
      <c r="A19025" t="n">
        <v>19024</v>
      </c>
      <c r="B19025" t="inlineStr">
        <is>
          <t>x̄Mx̄XXIV</t>
        </is>
      </c>
      <c r="C19025">
        <f>ROMAN(19024)</f>
        <v/>
      </c>
      <c r="D19025">
        <f>IF(B19025=C19025, "YES", "WRONG")</f>
        <v/>
      </c>
    </row>
    <row r="19026">
      <c r="A19026" t="n">
        <v>19025</v>
      </c>
      <c r="B19026" t="inlineStr">
        <is>
          <t>x̄Mx̄XXV</t>
        </is>
      </c>
      <c r="C19026">
        <f>ROMAN(19025)</f>
        <v/>
      </c>
      <c r="D19026">
        <f>IF(B19026=C19026, "YES", "WRONG")</f>
        <v/>
      </c>
    </row>
    <row r="19027">
      <c r="A19027" t="n">
        <v>19026</v>
      </c>
      <c r="B19027" t="inlineStr">
        <is>
          <t>x̄Mx̄XXVI</t>
        </is>
      </c>
      <c r="C19027">
        <f>ROMAN(19026)</f>
        <v/>
      </c>
      <c r="D19027">
        <f>IF(B19027=C19027, "YES", "WRONG")</f>
        <v/>
      </c>
    </row>
    <row r="19028">
      <c r="A19028" t="n">
        <v>19027</v>
      </c>
      <c r="B19028" t="inlineStr">
        <is>
          <t>x̄Mx̄XXVII</t>
        </is>
      </c>
      <c r="C19028">
        <f>ROMAN(19027)</f>
        <v/>
      </c>
      <c r="D19028">
        <f>IF(B19028=C19028, "YES", "WRONG")</f>
        <v/>
      </c>
    </row>
    <row r="19029">
      <c r="A19029" t="n">
        <v>19028</v>
      </c>
      <c r="B19029" t="inlineStr">
        <is>
          <t>x̄Mx̄XXVIII</t>
        </is>
      </c>
      <c r="C19029">
        <f>ROMAN(19028)</f>
        <v/>
      </c>
      <c r="D19029">
        <f>IF(B19029=C19029, "YES", "WRONG")</f>
        <v/>
      </c>
    </row>
    <row r="19030">
      <c r="A19030" t="n">
        <v>19029</v>
      </c>
      <c r="B19030" t="inlineStr">
        <is>
          <t>x̄Mx̄XXIX</t>
        </is>
      </c>
      <c r="C19030">
        <f>ROMAN(19029)</f>
        <v/>
      </c>
      <c r="D19030">
        <f>IF(B19030=C19030, "YES", "WRONG")</f>
        <v/>
      </c>
    </row>
    <row r="19031">
      <c r="A19031" t="n">
        <v>19030</v>
      </c>
      <c r="B19031" t="inlineStr">
        <is>
          <t>x̄Mx̄XXX</t>
        </is>
      </c>
      <c r="C19031">
        <f>ROMAN(19030)</f>
        <v/>
      </c>
      <c r="D19031">
        <f>IF(B19031=C19031, "YES", "WRONG")</f>
        <v/>
      </c>
    </row>
    <row r="19032">
      <c r="A19032" t="n">
        <v>19031</v>
      </c>
      <c r="B19032" t="inlineStr">
        <is>
          <t>x̄Mx̄XXXI</t>
        </is>
      </c>
      <c r="C19032">
        <f>ROMAN(19031)</f>
        <v/>
      </c>
      <c r="D19032">
        <f>IF(B19032=C19032, "YES", "WRONG")</f>
        <v/>
      </c>
    </row>
    <row r="19033">
      <c r="A19033" t="n">
        <v>19032</v>
      </c>
      <c r="B19033" t="inlineStr">
        <is>
          <t>x̄Mx̄XXXII</t>
        </is>
      </c>
      <c r="C19033">
        <f>ROMAN(19032)</f>
        <v/>
      </c>
      <c r="D19033">
        <f>IF(B19033=C19033, "YES", "WRONG")</f>
        <v/>
      </c>
    </row>
    <row r="19034">
      <c r="A19034" t="n">
        <v>19033</v>
      </c>
      <c r="B19034" t="inlineStr">
        <is>
          <t>x̄Mx̄XXXIII</t>
        </is>
      </c>
      <c r="C19034">
        <f>ROMAN(19033)</f>
        <v/>
      </c>
      <c r="D19034">
        <f>IF(B19034=C19034, "YES", "WRONG")</f>
        <v/>
      </c>
    </row>
    <row r="19035">
      <c r="A19035" t="n">
        <v>19034</v>
      </c>
      <c r="B19035" t="inlineStr">
        <is>
          <t>x̄Mx̄XXXIV</t>
        </is>
      </c>
      <c r="C19035">
        <f>ROMAN(19034)</f>
        <v/>
      </c>
      <c r="D19035">
        <f>IF(B19035=C19035, "YES", "WRONG")</f>
        <v/>
      </c>
    </row>
    <row r="19036">
      <c r="A19036" t="n">
        <v>19035</v>
      </c>
      <c r="B19036" t="inlineStr">
        <is>
          <t>x̄Mx̄XXXV</t>
        </is>
      </c>
      <c r="C19036">
        <f>ROMAN(19035)</f>
        <v/>
      </c>
      <c r="D19036">
        <f>IF(B19036=C19036, "YES", "WRONG")</f>
        <v/>
      </c>
    </row>
    <row r="19037">
      <c r="A19037" t="n">
        <v>19036</v>
      </c>
      <c r="B19037" t="inlineStr">
        <is>
          <t>x̄Mx̄XXXVI</t>
        </is>
      </c>
      <c r="C19037">
        <f>ROMAN(19036)</f>
        <v/>
      </c>
      <c r="D19037">
        <f>IF(B19037=C19037, "YES", "WRONG")</f>
        <v/>
      </c>
    </row>
    <row r="19038">
      <c r="A19038" t="n">
        <v>19037</v>
      </c>
      <c r="B19038" t="inlineStr">
        <is>
          <t>x̄Mx̄XXXVII</t>
        </is>
      </c>
      <c r="C19038">
        <f>ROMAN(19037)</f>
        <v/>
      </c>
      <c r="D19038">
        <f>IF(B19038=C19038, "YES", "WRONG")</f>
        <v/>
      </c>
    </row>
    <row r="19039">
      <c r="A19039" t="n">
        <v>19038</v>
      </c>
      <c r="B19039" t="inlineStr">
        <is>
          <t>x̄Mx̄XXXVIII</t>
        </is>
      </c>
      <c r="C19039">
        <f>ROMAN(19038)</f>
        <v/>
      </c>
      <c r="D19039">
        <f>IF(B19039=C19039, "YES", "WRONG")</f>
        <v/>
      </c>
    </row>
    <row r="19040">
      <c r="A19040" t="n">
        <v>19039</v>
      </c>
      <c r="B19040" t="inlineStr">
        <is>
          <t>x̄Mx̄XXXIX</t>
        </is>
      </c>
      <c r="C19040">
        <f>ROMAN(19039)</f>
        <v/>
      </c>
      <c r="D19040">
        <f>IF(B19040=C19040, "YES", "WRONG")</f>
        <v/>
      </c>
    </row>
    <row r="19041">
      <c r="A19041" t="n">
        <v>19040</v>
      </c>
      <c r="B19041" t="inlineStr">
        <is>
          <t>x̄Mx̄XL</t>
        </is>
      </c>
      <c r="C19041">
        <f>ROMAN(19040)</f>
        <v/>
      </c>
      <c r="D19041">
        <f>IF(B19041=C19041, "YES", "WRONG")</f>
        <v/>
      </c>
    </row>
    <row r="19042">
      <c r="A19042" t="n">
        <v>19041</v>
      </c>
      <c r="B19042" t="inlineStr">
        <is>
          <t>x̄Mx̄XLI</t>
        </is>
      </c>
      <c r="C19042">
        <f>ROMAN(19041)</f>
        <v/>
      </c>
      <c r="D19042">
        <f>IF(B19042=C19042, "YES", "WRONG")</f>
        <v/>
      </c>
    </row>
    <row r="19043">
      <c r="A19043" t="n">
        <v>19042</v>
      </c>
      <c r="B19043" t="inlineStr">
        <is>
          <t>x̄Mx̄XLII</t>
        </is>
      </c>
      <c r="C19043">
        <f>ROMAN(19042)</f>
        <v/>
      </c>
      <c r="D19043">
        <f>IF(B19043=C19043, "YES", "WRONG")</f>
        <v/>
      </c>
    </row>
    <row r="19044">
      <c r="A19044" t="n">
        <v>19043</v>
      </c>
      <c r="B19044" t="inlineStr">
        <is>
          <t>x̄Mx̄XLIII</t>
        </is>
      </c>
      <c r="C19044">
        <f>ROMAN(19043)</f>
        <v/>
      </c>
      <c r="D19044">
        <f>IF(B19044=C19044, "YES", "WRONG")</f>
        <v/>
      </c>
    </row>
    <row r="19045">
      <c r="A19045" t="n">
        <v>19044</v>
      </c>
      <c r="B19045" t="inlineStr">
        <is>
          <t>x̄Mx̄XLIV</t>
        </is>
      </c>
      <c r="C19045">
        <f>ROMAN(19044)</f>
        <v/>
      </c>
      <c r="D19045">
        <f>IF(B19045=C19045, "YES", "WRONG")</f>
        <v/>
      </c>
    </row>
    <row r="19046">
      <c r="A19046" t="n">
        <v>19045</v>
      </c>
      <c r="B19046" t="inlineStr">
        <is>
          <t>x̄Mx̄XLV</t>
        </is>
      </c>
      <c r="C19046">
        <f>ROMAN(19045)</f>
        <v/>
      </c>
      <c r="D19046">
        <f>IF(B19046=C19046, "YES", "WRONG")</f>
        <v/>
      </c>
    </row>
    <row r="19047">
      <c r="A19047" t="n">
        <v>19046</v>
      </c>
      <c r="B19047" t="inlineStr">
        <is>
          <t>x̄Mx̄XLVI</t>
        </is>
      </c>
      <c r="C19047">
        <f>ROMAN(19046)</f>
        <v/>
      </c>
      <c r="D19047">
        <f>IF(B19047=C19047, "YES", "WRONG")</f>
        <v/>
      </c>
    </row>
    <row r="19048">
      <c r="A19048" t="n">
        <v>19047</v>
      </c>
      <c r="B19048" t="inlineStr">
        <is>
          <t>x̄Mx̄XLVII</t>
        </is>
      </c>
      <c r="C19048">
        <f>ROMAN(19047)</f>
        <v/>
      </c>
      <c r="D19048">
        <f>IF(B19048=C19048, "YES", "WRONG")</f>
        <v/>
      </c>
    </row>
    <row r="19049">
      <c r="A19049" t="n">
        <v>19048</v>
      </c>
      <c r="B19049" t="inlineStr">
        <is>
          <t>x̄Mx̄XLVIII</t>
        </is>
      </c>
      <c r="C19049">
        <f>ROMAN(19048)</f>
        <v/>
      </c>
      <c r="D19049">
        <f>IF(B19049=C19049, "YES", "WRONG")</f>
        <v/>
      </c>
    </row>
    <row r="19050">
      <c r="A19050" t="n">
        <v>19049</v>
      </c>
      <c r="B19050" t="inlineStr">
        <is>
          <t>x̄Mx̄XLIX</t>
        </is>
      </c>
      <c r="C19050">
        <f>ROMAN(19049)</f>
        <v/>
      </c>
      <c r="D19050">
        <f>IF(B19050=C19050, "YES", "WRONG")</f>
        <v/>
      </c>
    </row>
    <row r="19051">
      <c r="A19051" t="n">
        <v>19050</v>
      </c>
      <c r="B19051" t="inlineStr">
        <is>
          <t>x̄Mx̄L</t>
        </is>
      </c>
      <c r="C19051">
        <f>ROMAN(19050)</f>
        <v/>
      </c>
      <c r="D19051">
        <f>IF(B19051=C19051, "YES", "WRONG")</f>
        <v/>
      </c>
    </row>
    <row r="19052">
      <c r="A19052" t="n">
        <v>19051</v>
      </c>
      <c r="B19052" t="inlineStr">
        <is>
          <t>x̄Mx̄LI</t>
        </is>
      </c>
      <c r="C19052">
        <f>ROMAN(19051)</f>
        <v/>
      </c>
      <c r="D19052">
        <f>IF(B19052=C19052, "YES", "WRONG")</f>
        <v/>
      </c>
    </row>
    <row r="19053">
      <c r="A19053" t="n">
        <v>19052</v>
      </c>
      <c r="B19053" t="inlineStr">
        <is>
          <t>x̄Mx̄LII</t>
        </is>
      </c>
      <c r="C19053">
        <f>ROMAN(19052)</f>
        <v/>
      </c>
      <c r="D19053">
        <f>IF(B19053=C19053, "YES", "WRONG")</f>
        <v/>
      </c>
    </row>
    <row r="19054">
      <c r="A19054" t="n">
        <v>19053</v>
      </c>
      <c r="B19054" t="inlineStr">
        <is>
          <t>x̄Mx̄LIII</t>
        </is>
      </c>
      <c r="C19054">
        <f>ROMAN(19053)</f>
        <v/>
      </c>
      <c r="D19054">
        <f>IF(B19054=C19054, "YES", "WRONG")</f>
        <v/>
      </c>
    </row>
    <row r="19055">
      <c r="A19055" t="n">
        <v>19054</v>
      </c>
      <c r="B19055" t="inlineStr">
        <is>
          <t>x̄Mx̄LIV</t>
        </is>
      </c>
      <c r="C19055">
        <f>ROMAN(19054)</f>
        <v/>
      </c>
      <c r="D19055">
        <f>IF(B19055=C19055, "YES", "WRONG")</f>
        <v/>
      </c>
    </row>
    <row r="19056">
      <c r="A19056" t="n">
        <v>19055</v>
      </c>
      <c r="B19056" t="inlineStr">
        <is>
          <t>x̄Mx̄LV</t>
        </is>
      </c>
      <c r="C19056">
        <f>ROMAN(19055)</f>
        <v/>
      </c>
      <c r="D19056">
        <f>IF(B19056=C19056, "YES", "WRONG")</f>
        <v/>
      </c>
    </row>
    <row r="19057">
      <c r="A19057" t="n">
        <v>19056</v>
      </c>
      <c r="B19057" t="inlineStr">
        <is>
          <t>x̄Mx̄LVI</t>
        </is>
      </c>
      <c r="C19057">
        <f>ROMAN(19056)</f>
        <v/>
      </c>
      <c r="D19057">
        <f>IF(B19057=C19057, "YES", "WRONG")</f>
        <v/>
      </c>
    </row>
    <row r="19058">
      <c r="A19058" t="n">
        <v>19057</v>
      </c>
      <c r="B19058" t="inlineStr">
        <is>
          <t>x̄Mx̄LVII</t>
        </is>
      </c>
      <c r="C19058">
        <f>ROMAN(19057)</f>
        <v/>
      </c>
      <c r="D19058">
        <f>IF(B19058=C19058, "YES", "WRONG")</f>
        <v/>
      </c>
    </row>
    <row r="19059">
      <c r="A19059" t="n">
        <v>19058</v>
      </c>
      <c r="B19059" t="inlineStr">
        <is>
          <t>x̄Mx̄LVIII</t>
        </is>
      </c>
      <c r="C19059">
        <f>ROMAN(19058)</f>
        <v/>
      </c>
      <c r="D19059">
        <f>IF(B19059=C19059, "YES", "WRONG")</f>
        <v/>
      </c>
    </row>
    <row r="19060">
      <c r="A19060" t="n">
        <v>19059</v>
      </c>
      <c r="B19060" t="inlineStr">
        <is>
          <t>x̄Mx̄LIX</t>
        </is>
      </c>
      <c r="C19060">
        <f>ROMAN(19059)</f>
        <v/>
      </c>
      <c r="D19060">
        <f>IF(B19060=C19060, "YES", "WRONG")</f>
        <v/>
      </c>
    </row>
    <row r="19061">
      <c r="A19061" t="n">
        <v>19060</v>
      </c>
      <c r="B19061" t="inlineStr">
        <is>
          <t>x̄Mx̄LX</t>
        </is>
      </c>
      <c r="C19061">
        <f>ROMAN(19060)</f>
        <v/>
      </c>
      <c r="D19061">
        <f>IF(B19061=C19061, "YES", "WRONG")</f>
        <v/>
      </c>
    </row>
    <row r="19062">
      <c r="A19062" t="n">
        <v>19061</v>
      </c>
      <c r="B19062" t="inlineStr">
        <is>
          <t>x̄Mx̄LXI</t>
        </is>
      </c>
      <c r="C19062">
        <f>ROMAN(19061)</f>
        <v/>
      </c>
      <c r="D19062">
        <f>IF(B19062=C19062, "YES", "WRONG")</f>
        <v/>
      </c>
    </row>
    <row r="19063">
      <c r="A19063" t="n">
        <v>19062</v>
      </c>
      <c r="B19063" t="inlineStr">
        <is>
          <t>x̄Mx̄LXII</t>
        </is>
      </c>
      <c r="C19063">
        <f>ROMAN(19062)</f>
        <v/>
      </c>
      <c r="D19063">
        <f>IF(B19063=C19063, "YES", "WRONG")</f>
        <v/>
      </c>
    </row>
    <row r="19064">
      <c r="A19064" t="n">
        <v>19063</v>
      </c>
      <c r="B19064" t="inlineStr">
        <is>
          <t>x̄Mx̄LXIII</t>
        </is>
      </c>
      <c r="C19064">
        <f>ROMAN(19063)</f>
        <v/>
      </c>
      <c r="D19064">
        <f>IF(B19064=C19064, "YES", "WRONG")</f>
        <v/>
      </c>
    </row>
    <row r="19065">
      <c r="A19065" t="n">
        <v>19064</v>
      </c>
      <c r="B19065" t="inlineStr">
        <is>
          <t>x̄Mx̄LXIV</t>
        </is>
      </c>
      <c r="C19065">
        <f>ROMAN(19064)</f>
        <v/>
      </c>
      <c r="D19065">
        <f>IF(B19065=C19065, "YES", "WRONG")</f>
        <v/>
      </c>
    </row>
    <row r="19066">
      <c r="A19066" t="n">
        <v>19065</v>
      </c>
      <c r="B19066" t="inlineStr">
        <is>
          <t>x̄Mx̄LXV</t>
        </is>
      </c>
      <c r="C19066">
        <f>ROMAN(19065)</f>
        <v/>
      </c>
      <c r="D19066">
        <f>IF(B19066=C19066, "YES", "WRONG")</f>
        <v/>
      </c>
    </row>
    <row r="19067">
      <c r="A19067" t="n">
        <v>19066</v>
      </c>
      <c r="B19067" t="inlineStr">
        <is>
          <t>x̄Mx̄LXVI</t>
        </is>
      </c>
      <c r="C19067">
        <f>ROMAN(19066)</f>
        <v/>
      </c>
      <c r="D19067">
        <f>IF(B19067=C19067, "YES", "WRONG")</f>
        <v/>
      </c>
    </row>
    <row r="19068">
      <c r="A19068" t="n">
        <v>19067</v>
      </c>
      <c r="B19068" t="inlineStr">
        <is>
          <t>x̄Mx̄LXVII</t>
        </is>
      </c>
      <c r="C19068">
        <f>ROMAN(19067)</f>
        <v/>
      </c>
      <c r="D19068">
        <f>IF(B19068=C19068, "YES", "WRONG")</f>
        <v/>
      </c>
    </row>
    <row r="19069">
      <c r="A19069" t="n">
        <v>19068</v>
      </c>
      <c r="B19069" t="inlineStr">
        <is>
          <t>x̄Mx̄LXVIII</t>
        </is>
      </c>
      <c r="C19069">
        <f>ROMAN(19068)</f>
        <v/>
      </c>
      <c r="D19069">
        <f>IF(B19069=C19069, "YES", "WRONG")</f>
        <v/>
      </c>
    </row>
    <row r="19070">
      <c r="A19070" t="n">
        <v>19069</v>
      </c>
      <c r="B19070" t="inlineStr">
        <is>
          <t>x̄Mx̄LXIX</t>
        </is>
      </c>
      <c r="C19070">
        <f>ROMAN(19069)</f>
        <v/>
      </c>
      <c r="D19070">
        <f>IF(B19070=C19070, "YES", "WRONG")</f>
        <v/>
      </c>
    </row>
    <row r="19071">
      <c r="A19071" t="n">
        <v>19070</v>
      </c>
      <c r="B19071" t="inlineStr">
        <is>
          <t>x̄Mx̄LXX</t>
        </is>
      </c>
      <c r="C19071">
        <f>ROMAN(19070)</f>
        <v/>
      </c>
      <c r="D19071">
        <f>IF(B19071=C19071, "YES", "WRONG")</f>
        <v/>
      </c>
    </row>
    <row r="19072">
      <c r="A19072" t="n">
        <v>19071</v>
      </c>
      <c r="B19072" t="inlineStr">
        <is>
          <t>x̄Mx̄LXXI</t>
        </is>
      </c>
      <c r="C19072">
        <f>ROMAN(19071)</f>
        <v/>
      </c>
      <c r="D19072">
        <f>IF(B19072=C19072, "YES", "WRONG")</f>
        <v/>
      </c>
    </row>
    <row r="19073">
      <c r="A19073" t="n">
        <v>19072</v>
      </c>
      <c r="B19073" t="inlineStr">
        <is>
          <t>x̄Mx̄LXXII</t>
        </is>
      </c>
      <c r="C19073">
        <f>ROMAN(19072)</f>
        <v/>
      </c>
      <c r="D19073">
        <f>IF(B19073=C19073, "YES", "WRONG")</f>
        <v/>
      </c>
    </row>
    <row r="19074">
      <c r="A19074" t="n">
        <v>19073</v>
      </c>
      <c r="B19074" t="inlineStr">
        <is>
          <t>x̄Mx̄LXXIII</t>
        </is>
      </c>
      <c r="C19074">
        <f>ROMAN(19073)</f>
        <v/>
      </c>
      <c r="D19074">
        <f>IF(B19074=C19074, "YES", "WRONG")</f>
        <v/>
      </c>
    </row>
    <row r="19075">
      <c r="A19075" t="n">
        <v>19074</v>
      </c>
      <c r="B19075" t="inlineStr">
        <is>
          <t>x̄Mx̄LXXIV</t>
        </is>
      </c>
      <c r="C19075">
        <f>ROMAN(19074)</f>
        <v/>
      </c>
      <c r="D19075">
        <f>IF(B19075=C19075, "YES", "WRONG")</f>
        <v/>
      </c>
    </row>
    <row r="19076">
      <c r="A19076" t="n">
        <v>19075</v>
      </c>
      <c r="B19076" t="inlineStr">
        <is>
          <t>x̄Mx̄LXXV</t>
        </is>
      </c>
      <c r="C19076">
        <f>ROMAN(19075)</f>
        <v/>
      </c>
      <c r="D19076">
        <f>IF(B19076=C19076, "YES", "WRONG")</f>
        <v/>
      </c>
    </row>
    <row r="19077">
      <c r="A19077" t="n">
        <v>19076</v>
      </c>
      <c r="B19077" t="inlineStr">
        <is>
          <t>x̄Mx̄LXXVI</t>
        </is>
      </c>
      <c r="C19077">
        <f>ROMAN(19076)</f>
        <v/>
      </c>
      <c r="D19077">
        <f>IF(B19077=C19077, "YES", "WRONG")</f>
        <v/>
      </c>
    </row>
    <row r="19078">
      <c r="A19078" t="n">
        <v>19077</v>
      </c>
      <c r="B19078" t="inlineStr">
        <is>
          <t>x̄Mx̄LXXVII</t>
        </is>
      </c>
      <c r="C19078">
        <f>ROMAN(19077)</f>
        <v/>
      </c>
      <c r="D19078">
        <f>IF(B19078=C19078, "YES", "WRONG")</f>
        <v/>
      </c>
    </row>
    <row r="19079">
      <c r="A19079" t="n">
        <v>19078</v>
      </c>
      <c r="B19079" t="inlineStr">
        <is>
          <t>x̄Mx̄LXXVIII</t>
        </is>
      </c>
      <c r="C19079">
        <f>ROMAN(19078)</f>
        <v/>
      </c>
      <c r="D19079">
        <f>IF(B19079=C19079, "YES", "WRONG")</f>
        <v/>
      </c>
    </row>
    <row r="19080">
      <c r="A19080" t="n">
        <v>19079</v>
      </c>
      <c r="B19080" t="inlineStr">
        <is>
          <t>x̄Mx̄LXXIX</t>
        </is>
      </c>
      <c r="C19080">
        <f>ROMAN(19079)</f>
        <v/>
      </c>
      <c r="D19080">
        <f>IF(B19080=C19080, "YES", "WRONG")</f>
        <v/>
      </c>
    </row>
    <row r="19081">
      <c r="A19081" t="n">
        <v>19080</v>
      </c>
      <c r="B19081" t="inlineStr">
        <is>
          <t>x̄Mx̄LXXX</t>
        </is>
      </c>
      <c r="C19081">
        <f>ROMAN(19080)</f>
        <v/>
      </c>
      <c r="D19081">
        <f>IF(B19081=C19081, "YES", "WRONG")</f>
        <v/>
      </c>
    </row>
    <row r="19082">
      <c r="A19082" t="n">
        <v>19081</v>
      </c>
      <c r="B19082" t="inlineStr">
        <is>
          <t>x̄Mx̄LXXXI</t>
        </is>
      </c>
      <c r="C19082">
        <f>ROMAN(19081)</f>
        <v/>
      </c>
      <c r="D19082">
        <f>IF(B19082=C19082, "YES", "WRONG")</f>
        <v/>
      </c>
    </row>
    <row r="19083">
      <c r="A19083" t="n">
        <v>19082</v>
      </c>
      <c r="B19083" t="inlineStr">
        <is>
          <t>x̄Mx̄LXXXII</t>
        </is>
      </c>
      <c r="C19083">
        <f>ROMAN(19082)</f>
        <v/>
      </c>
      <c r="D19083">
        <f>IF(B19083=C19083, "YES", "WRONG")</f>
        <v/>
      </c>
    </row>
    <row r="19084">
      <c r="A19084" t="n">
        <v>19083</v>
      </c>
      <c r="B19084" t="inlineStr">
        <is>
          <t>x̄Mx̄LXXXIII</t>
        </is>
      </c>
      <c r="C19084">
        <f>ROMAN(19083)</f>
        <v/>
      </c>
      <c r="D19084">
        <f>IF(B19084=C19084, "YES", "WRONG")</f>
        <v/>
      </c>
    </row>
    <row r="19085">
      <c r="A19085" t="n">
        <v>19084</v>
      </c>
      <c r="B19085" t="inlineStr">
        <is>
          <t>x̄Mx̄LXXXIV</t>
        </is>
      </c>
      <c r="C19085">
        <f>ROMAN(19084)</f>
        <v/>
      </c>
      <c r="D19085">
        <f>IF(B19085=C19085, "YES", "WRONG")</f>
        <v/>
      </c>
    </row>
    <row r="19086">
      <c r="A19086" t="n">
        <v>19085</v>
      </c>
      <c r="B19086" t="inlineStr">
        <is>
          <t>x̄Mx̄LXXXV</t>
        </is>
      </c>
      <c r="C19086">
        <f>ROMAN(19085)</f>
        <v/>
      </c>
      <c r="D19086">
        <f>IF(B19086=C19086, "YES", "WRONG")</f>
        <v/>
      </c>
    </row>
    <row r="19087">
      <c r="A19087" t="n">
        <v>19086</v>
      </c>
      <c r="B19087" t="inlineStr">
        <is>
          <t>x̄Mx̄LXXXVI</t>
        </is>
      </c>
      <c r="C19087">
        <f>ROMAN(19086)</f>
        <v/>
      </c>
      <c r="D19087">
        <f>IF(B19087=C19087, "YES", "WRONG")</f>
        <v/>
      </c>
    </row>
    <row r="19088">
      <c r="A19088" t="n">
        <v>19087</v>
      </c>
      <c r="B19088" t="inlineStr">
        <is>
          <t>x̄Mx̄LXXXVII</t>
        </is>
      </c>
      <c r="C19088">
        <f>ROMAN(19087)</f>
        <v/>
      </c>
      <c r="D19088">
        <f>IF(B19088=C19088, "YES", "WRONG")</f>
        <v/>
      </c>
    </row>
    <row r="19089">
      <c r="A19089" t="n">
        <v>19088</v>
      </c>
      <c r="B19089" t="inlineStr">
        <is>
          <t>x̄Mx̄LXXXVIII</t>
        </is>
      </c>
      <c r="C19089">
        <f>ROMAN(19088)</f>
        <v/>
      </c>
      <c r="D19089">
        <f>IF(B19089=C19089, "YES", "WRONG")</f>
        <v/>
      </c>
    </row>
    <row r="19090">
      <c r="A19090" t="n">
        <v>19089</v>
      </c>
      <c r="B19090" t="inlineStr">
        <is>
          <t>x̄Mx̄LXXXIX</t>
        </is>
      </c>
      <c r="C19090">
        <f>ROMAN(19089)</f>
        <v/>
      </c>
      <c r="D19090">
        <f>IF(B19090=C19090, "YES", "WRONG")</f>
        <v/>
      </c>
    </row>
    <row r="19091">
      <c r="A19091" t="n">
        <v>19090</v>
      </c>
      <c r="B19091" t="inlineStr">
        <is>
          <t>x̄Mx̄XC</t>
        </is>
      </c>
      <c r="C19091">
        <f>ROMAN(19090)</f>
        <v/>
      </c>
      <c r="D19091">
        <f>IF(B19091=C19091, "YES", "WRONG")</f>
        <v/>
      </c>
    </row>
    <row r="19092">
      <c r="A19092" t="n">
        <v>19091</v>
      </c>
      <c r="B19092" t="inlineStr">
        <is>
          <t>x̄Mx̄XCI</t>
        </is>
      </c>
      <c r="C19092">
        <f>ROMAN(19091)</f>
        <v/>
      </c>
      <c r="D19092">
        <f>IF(B19092=C19092, "YES", "WRONG")</f>
        <v/>
      </c>
    </row>
    <row r="19093">
      <c r="A19093" t="n">
        <v>19092</v>
      </c>
      <c r="B19093" t="inlineStr">
        <is>
          <t>x̄Mx̄XCII</t>
        </is>
      </c>
      <c r="C19093">
        <f>ROMAN(19092)</f>
        <v/>
      </c>
      <c r="D19093">
        <f>IF(B19093=C19093, "YES", "WRONG")</f>
        <v/>
      </c>
    </row>
    <row r="19094">
      <c r="A19094" t="n">
        <v>19093</v>
      </c>
      <c r="B19094" t="inlineStr">
        <is>
          <t>x̄Mx̄XCIII</t>
        </is>
      </c>
      <c r="C19094">
        <f>ROMAN(19093)</f>
        <v/>
      </c>
      <c r="D19094">
        <f>IF(B19094=C19094, "YES", "WRONG")</f>
        <v/>
      </c>
    </row>
    <row r="19095">
      <c r="A19095" t="n">
        <v>19094</v>
      </c>
      <c r="B19095" t="inlineStr">
        <is>
          <t>x̄Mx̄XCIV</t>
        </is>
      </c>
      <c r="C19095">
        <f>ROMAN(19094)</f>
        <v/>
      </c>
      <c r="D19095">
        <f>IF(B19095=C19095, "YES", "WRONG")</f>
        <v/>
      </c>
    </row>
    <row r="19096">
      <c r="A19096" t="n">
        <v>19095</v>
      </c>
      <c r="B19096" t="inlineStr">
        <is>
          <t>x̄Mx̄XCV</t>
        </is>
      </c>
      <c r="C19096">
        <f>ROMAN(19095)</f>
        <v/>
      </c>
      <c r="D19096">
        <f>IF(B19096=C19096, "YES", "WRONG")</f>
        <v/>
      </c>
    </row>
    <row r="19097">
      <c r="A19097" t="n">
        <v>19096</v>
      </c>
      <c r="B19097" t="inlineStr">
        <is>
          <t>x̄Mx̄XCVI</t>
        </is>
      </c>
      <c r="C19097">
        <f>ROMAN(19096)</f>
        <v/>
      </c>
      <c r="D19097">
        <f>IF(B19097=C19097, "YES", "WRONG")</f>
        <v/>
      </c>
    </row>
    <row r="19098">
      <c r="A19098" t="n">
        <v>19097</v>
      </c>
      <c r="B19098" t="inlineStr">
        <is>
          <t>x̄Mx̄XCVII</t>
        </is>
      </c>
      <c r="C19098">
        <f>ROMAN(19097)</f>
        <v/>
      </c>
      <c r="D19098">
        <f>IF(B19098=C19098, "YES", "WRONG")</f>
        <v/>
      </c>
    </row>
    <row r="19099">
      <c r="A19099" t="n">
        <v>19098</v>
      </c>
      <c r="B19099" t="inlineStr">
        <is>
          <t>x̄Mx̄XCVIII</t>
        </is>
      </c>
      <c r="C19099">
        <f>ROMAN(19098)</f>
        <v/>
      </c>
      <c r="D19099">
        <f>IF(B19099=C19099, "YES", "WRONG")</f>
        <v/>
      </c>
    </row>
    <row r="19100">
      <c r="A19100" t="n">
        <v>19099</v>
      </c>
      <c r="B19100" t="inlineStr">
        <is>
          <t>x̄Mx̄XCIX</t>
        </is>
      </c>
      <c r="C19100">
        <f>ROMAN(19099)</f>
        <v/>
      </c>
      <c r="D19100">
        <f>IF(B19100=C19100, "YES", "WRONG")</f>
        <v/>
      </c>
    </row>
    <row r="19101">
      <c r="A19101" t="n">
        <v>19100</v>
      </c>
      <c r="B19101" t="inlineStr">
        <is>
          <t>x̄Mx̄C</t>
        </is>
      </c>
      <c r="C19101">
        <f>ROMAN(19100)</f>
        <v/>
      </c>
      <c r="D19101">
        <f>IF(B19101=C19101, "YES", "WRONG")</f>
        <v/>
      </c>
    </row>
    <row r="19102">
      <c r="A19102" t="n">
        <v>19101</v>
      </c>
      <c r="B19102" t="inlineStr">
        <is>
          <t>x̄Mx̄CI</t>
        </is>
      </c>
      <c r="C19102">
        <f>ROMAN(19101)</f>
        <v/>
      </c>
      <c r="D19102">
        <f>IF(B19102=C19102, "YES", "WRONG")</f>
        <v/>
      </c>
    </row>
    <row r="19103">
      <c r="A19103" t="n">
        <v>19102</v>
      </c>
      <c r="B19103" t="inlineStr">
        <is>
          <t>x̄Mx̄CII</t>
        </is>
      </c>
      <c r="C19103">
        <f>ROMAN(19102)</f>
        <v/>
      </c>
      <c r="D19103">
        <f>IF(B19103=C19103, "YES", "WRONG")</f>
        <v/>
      </c>
    </row>
    <row r="19104">
      <c r="A19104" t="n">
        <v>19103</v>
      </c>
      <c r="B19104" t="inlineStr">
        <is>
          <t>x̄Mx̄CIII</t>
        </is>
      </c>
      <c r="C19104">
        <f>ROMAN(19103)</f>
        <v/>
      </c>
      <c r="D19104">
        <f>IF(B19104=C19104, "YES", "WRONG")</f>
        <v/>
      </c>
    </row>
    <row r="19105">
      <c r="A19105" t="n">
        <v>19104</v>
      </c>
      <c r="B19105" t="inlineStr">
        <is>
          <t>x̄Mx̄CIV</t>
        </is>
      </c>
      <c r="C19105">
        <f>ROMAN(19104)</f>
        <v/>
      </c>
      <c r="D19105">
        <f>IF(B19105=C19105, "YES", "WRONG")</f>
        <v/>
      </c>
    </row>
    <row r="19106">
      <c r="A19106" t="n">
        <v>19105</v>
      </c>
      <c r="B19106" t="inlineStr">
        <is>
          <t>x̄Mx̄CV</t>
        </is>
      </c>
      <c r="C19106">
        <f>ROMAN(19105)</f>
        <v/>
      </c>
      <c r="D19106">
        <f>IF(B19106=C19106, "YES", "WRONG")</f>
        <v/>
      </c>
    </row>
    <row r="19107">
      <c r="A19107" t="n">
        <v>19106</v>
      </c>
      <c r="B19107" t="inlineStr">
        <is>
          <t>x̄Mx̄CVI</t>
        </is>
      </c>
      <c r="C19107">
        <f>ROMAN(19106)</f>
        <v/>
      </c>
      <c r="D19107">
        <f>IF(B19107=C19107, "YES", "WRONG")</f>
        <v/>
      </c>
    </row>
    <row r="19108">
      <c r="A19108" t="n">
        <v>19107</v>
      </c>
      <c r="B19108" t="inlineStr">
        <is>
          <t>x̄Mx̄CVII</t>
        </is>
      </c>
      <c r="C19108">
        <f>ROMAN(19107)</f>
        <v/>
      </c>
      <c r="D19108">
        <f>IF(B19108=C19108, "YES", "WRONG")</f>
        <v/>
      </c>
    </row>
    <row r="19109">
      <c r="A19109" t="n">
        <v>19108</v>
      </c>
      <c r="B19109" t="inlineStr">
        <is>
          <t>x̄Mx̄CVIII</t>
        </is>
      </c>
      <c r="C19109">
        <f>ROMAN(19108)</f>
        <v/>
      </c>
      <c r="D19109">
        <f>IF(B19109=C19109, "YES", "WRONG")</f>
        <v/>
      </c>
    </row>
    <row r="19110">
      <c r="A19110" t="n">
        <v>19109</v>
      </c>
      <c r="B19110" t="inlineStr">
        <is>
          <t>x̄Mx̄CIX</t>
        </is>
      </c>
      <c r="C19110">
        <f>ROMAN(19109)</f>
        <v/>
      </c>
      <c r="D19110">
        <f>IF(B19110=C19110, "YES", "WRONG")</f>
        <v/>
      </c>
    </row>
    <row r="19111">
      <c r="A19111" t="n">
        <v>19110</v>
      </c>
      <c r="B19111" t="inlineStr">
        <is>
          <t>x̄Mx̄CX</t>
        </is>
      </c>
      <c r="C19111">
        <f>ROMAN(19110)</f>
        <v/>
      </c>
      <c r="D19111">
        <f>IF(B19111=C19111, "YES", "WRONG")</f>
        <v/>
      </c>
    </row>
    <row r="19112">
      <c r="A19112" t="n">
        <v>19111</v>
      </c>
      <c r="B19112" t="inlineStr">
        <is>
          <t>x̄Mx̄CXI</t>
        </is>
      </c>
      <c r="C19112">
        <f>ROMAN(19111)</f>
        <v/>
      </c>
      <c r="D19112">
        <f>IF(B19112=C19112, "YES", "WRONG")</f>
        <v/>
      </c>
    </row>
    <row r="19113">
      <c r="A19113" t="n">
        <v>19112</v>
      </c>
      <c r="B19113" t="inlineStr">
        <is>
          <t>x̄Mx̄CXII</t>
        </is>
      </c>
      <c r="C19113">
        <f>ROMAN(19112)</f>
        <v/>
      </c>
      <c r="D19113">
        <f>IF(B19113=C19113, "YES", "WRONG")</f>
        <v/>
      </c>
    </row>
    <row r="19114">
      <c r="A19114" t="n">
        <v>19113</v>
      </c>
      <c r="B19114" t="inlineStr">
        <is>
          <t>x̄Mx̄CXIII</t>
        </is>
      </c>
      <c r="C19114">
        <f>ROMAN(19113)</f>
        <v/>
      </c>
      <c r="D19114">
        <f>IF(B19114=C19114, "YES", "WRONG")</f>
        <v/>
      </c>
    </row>
    <row r="19115">
      <c r="A19115" t="n">
        <v>19114</v>
      </c>
      <c r="B19115" t="inlineStr">
        <is>
          <t>x̄Mx̄CXIV</t>
        </is>
      </c>
      <c r="C19115">
        <f>ROMAN(19114)</f>
        <v/>
      </c>
      <c r="D19115">
        <f>IF(B19115=C19115, "YES", "WRONG")</f>
        <v/>
      </c>
    </row>
    <row r="19116">
      <c r="A19116" t="n">
        <v>19115</v>
      </c>
      <c r="B19116" t="inlineStr">
        <is>
          <t>x̄Mx̄CXV</t>
        </is>
      </c>
      <c r="C19116">
        <f>ROMAN(19115)</f>
        <v/>
      </c>
      <c r="D19116">
        <f>IF(B19116=C19116, "YES", "WRONG")</f>
        <v/>
      </c>
    </row>
    <row r="19117">
      <c r="A19117" t="n">
        <v>19116</v>
      </c>
      <c r="B19117" t="inlineStr">
        <is>
          <t>x̄Mx̄CXVI</t>
        </is>
      </c>
      <c r="C19117">
        <f>ROMAN(19116)</f>
        <v/>
      </c>
      <c r="D19117">
        <f>IF(B19117=C19117, "YES", "WRONG")</f>
        <v/>
      </c>
    </row>
    <row r="19118">
      <c r="A19118" t="n">
        <v>19117</v>
      </c>
      <c r="B19118" t="inlineStr">
        <is>
          <t>x̄Mx̄CXVII</t>
        </is>
      </c>
      <c r="C19118">
        <f>ROMAN(19117)</f>
        <v/>
      </c>
      <c r="D19118">
        <f>IF(B19118=C19118, "YES", "WRONG")</f>
        <v/>
      </c>
    </row>
    <row r="19119">
      <c r="A19119" t="n">
        <v>19118</v>
      </c>
      <c r="B19119" t="inlineStr">
        <is>
          <t>x̄Mx̄CXVIII</t>
        </is>
      </c>
      <c r="C19119">
        <f>ROMAN(19118)</f>
        <v/>
      </c>
      <c r="D19119">
        <f>IF(B19119=C19119, "YES", "WRONG")</f>
        <v/>
      </c>
    </row>
    <row r="19120">
      <c r="A19120" t="n">
        <v>19119</v>
      </c>
      <c r="B19120" t="inlineStr">
        <is>
          <t>x̄Mx̄CXIX</t>
        </is>
      </c>
      <c r="C19120">
        <f>ROMAN(19119)</f>
        <v/>
      </c>
      <c r="D19120">
        <f>IF(B19120=C19120, "YES", "WRONG")</f>
        <v/>
      </c>
    </row>
    <row r="19121">
      <c r="A19121" t="n">
        <v>19120</v>
      </c>
      <c r="B19121" t="inlineStr">
        <is>
          <t>x̄Mx̄CXX</t>
        </is>
      </c>
      <c r="C19121">
        <f>ROMAN(19120)</f>
        <v/>
      </c>
      <c r="D19121">
        <f>IF(B19121=C19121, "YES", "WRONG")</f>
        <v/>
      </c>
    </row>
    <row r="19122">
      <c r="A19122" t="n">
        <v>19121</v>
      </c>
      <c r="B19122" t="inlineStr">
        <is>
          <t>x̄Mx̄CXXI</t>
        </is>
      </c>
      <c r="C19122">
        <f>ROMAN(19121)</f>
        <v/>
      </c>
      <c r="D19122">
        <f>IF(B19122=C19122, "YES", "WRONG")</f>
        <v/>
      </c>
    </row>
    <row r="19123">
      <c r="A19123" t="n">
        <v>19122</v>
      </c>
      <c r="B19123" t="inlineStr">
        <is>
          <t>x̄Mx̄CXXII</t>
        </is>
      </c>
      <c r="C19123">
        <f>ROMAN(19122)</f>
        <v/>
      </c>
      <c r="D19123">
        <f>IF(B19123=C19123, "YES", "WRONG")</f>
        <v/>
      </c>
    </row>
    <row r="19124">
      <c r="A19124" t="n">
        <v>19123</v>
      </c>
      <c r="B19124" t="inlineStr">
        <is>
          <t>x̄Mx̄CXXIII</t>
        </is>
      </c>
      <c r="C19124">
        <f>ROMAN(19123)</f>
        <v/>
      </c>
      <c r="D19124">
        <f>IF(B19124=C19124, "YES", "WRONG")</f>
        <v/>
      </c>
    </row>
    <row r="19125">
      <c r="A19125" t="n">
        <v>19124</v>
      </c>
      <c r="B19125" t="inlineStr">
        <is>
          <t>x̄Mx̄CXXIV</t>
        </is>
      </c>
      <c r="C19125">
        <f>ROMAN(19124)</f>
        <v/>
      </c>
      <c r="D19125">
        <f>IF(B19125=C19125, "YES", "WRONG")</f>
        <v/>
      </c>
    </row>
    <row r="19126">
      <c r="A19126" t="n">
        <v>19125</v>
      </c>
      <c r="B19126" t="inlineStr">
        <is>
          <t>x̄Mx̄CXXV</t>
        </is>
      </c>
      <c r="C19126">
        <f>ROMAN(19125)</f>
        <v/>
      </c>
      <c r="D19126">
        <f>IF(B19126=C19126, "YES", "WRONG")</f>
        <v/>
      </c>
    </row>
    <row r="19127">
      <c r="A19127" t="n">
        <v>19126</v>
      </c>
      <c r="B19127" t="inlineStr">
        <is>
          <t>x̄Mx̄CXXVI</t>
        </is>
      </c>
      <c r="C19127">
        <f>ROMAN(19126)</f>
        <v/>
      </c>
      <c r="D19127">
        <f>IF(B19127=C19127, "YES", "WRONG")</f>
        <v/>
      </c>
    </row>
    <row r="19128">
      <c r="A19128" t="n">
        <v>19127</v>
      </c>
      <c r="B19128" t="inlineStr">
        <is>
          <t>x̄Mx̄CXXVII</t>
        </is>
      </c>
      <c r="C19128">
        <f>ROMAN(19127)</f>
        <v/>
      </c>
      <c r="D19128">
        <f>IF(B19128=C19128, "YES", "WRONG")</f>
        <v/>
      </c>
    </row>
    <row r="19129">
      <c r="A19129" t="n">
        <v>19128</v>
      </c>
      <c r="B19129" t="inlineStr">
        <is>
          <t>x̄Mx̄CXXVIII</t>
        </is>
      </c>
      <c r="C19129">
        <f>ROMAN(19128)</f>
        <v/>
      </c>
      <c r="D19129">
        <f>IF(B19129=C19129, "YES", "WRONG")</f>
        <v/>
      </c>
    </row>
    <row r="19130">
      <c r="A19130" t="n">
        <v>19129</v>
      </c>
      <c r="B19130" t="inlineStr">
        <is>
          <t>x̄Mx̄CXXIX</t>
        </is>
      </c>
      <c r="C19130">
        <f>ROMAN(19129)</f>
        <v/>
      </c>
      <c r="D19130">
        <f>IF(B19130=C19130, "YES", "WRONG")</f>
        <v/>
      </c>
    </row>
    <row r="19131">
      <c r="A19131" t="n">
        <v>19130</v>
      </c>
      <c r="B19131" t="inlineStr">
        <is>
          <t>x̄Mx̄CXXX</t>
        </is>
      </c>
      <c r="C19131">
        <f>ROMAN(19130)</f>
        <v/>
      </c>
      <c r="D19131">
        <f>IF(B19131=C19131, "YES", "WRONG")</f>
        <v/>
      </c>
    </row>
    <row r="19132">
      <c r="A19132" t="n">
        <v>19131</v>
      </c>
      <c r="B19132" t="inlineStr">
        <is>
          <t>x̄Mx̄CXXXI</t>
        </is>
      </c>
      <c r="C19132">
        <f>ROMAN(19131)</f>
        <v/>
      </c>
      <c r="D19132">
        <f>IF(B19132=C19132, "YES", "WRONG")</f>
        <v/>
      </c>
    </row>
    <row r="19133">
      <c r="A19133" t="n">
        <v>19132</v>
      </c>
      <c r="B19133" t="inlineStr">
        <is>
          <t>x̄Mx̄CXXXII</t>
        </is>
      </c>
      <c r="C19133">
        <f>ROMAN(19132)</f>
        <v/>
      </c>
      <c r="D19133">
        <f>IF(B19133=C19133, "YES", "WRONG")</f>
        <v/>
      </c>
    </row>
    <row r="19134">
      <c r="A19134" t="n">
        <v>19133</v>
      </c>
      <c r="B19134" t="inlineStr">
        <is>
          <t>x̄Mx̄CXXXIII</t>
        </is>
      </c>
      <c r="C19134">
        <f>ROMAN(19133)</f>
        <v/>
      </c>
      <c r="D19134">
        <f>IF(B19134=C19134, "YES", "WRONG")</f>
        <v/>
      </c>
    </row>
    <row r="19135">
      <c r="A19135" t="n">
        <v>19134</v>
      </c>
      <c r="B19135" t="inlineStr">
        <is>
          <t>x̄Mx̄CXXXIV</t>
        </is>
      </c>
      <c r="C19135">
        <f>ROMAN(19134)</f>
        <v/>
      </c>
      <c r="D19135">
        <f>IF(B19135=C19135, "YES", "WRONG")</f>
        <v/>
      </c>
    </row>
    <row r="19136">
      <c r="A19136" t="n">
        <v>19135</v>
      </c>
      <c r="B19136" t="inlineStr">
        <is>
          <t>x̄Mx̄CXXXV</t>
        </is>
      </c>
      <c r="C19136">
        <f>ROMAN(19135)</f>
        <v/>
      </c>
      <c r="D19136">
        <f>IF(B19136=C19136, "YES", "WRONG")</f>
        <v/>
      </c>
    </row>
    <row r="19137">
      <c r="A19137" t="n">
        <v>19136</v>
      </c>
      <c r="B19137" t="inlineStr">
        <is>
          <t>x̄Mx̄CXXXVI</t>
        </is>
      </c>
      <c r="C19137">
        <f>ROMAN(19136)</f>
        <v/>
      </c>
      <c r="D19137">
        <f>IF(B19137=C19137, "YES", "WRONG")</f>
        <v/>
      </c>
    </row>
    <row r="19138">
      <c r="A19138" t="n">
        <v>19137</v>
      </c>
      <c r="B19138" t="inlineStr">
        <is>
          <t>x̄Mx̄CXXXVII</t>
        </is>
      </c>
      <c r="C19138">
        <f>ROMAN(19137)</f>
        <v/>
      </c>
      <c r="D19138">
        <f>IF(B19138=C19138, "YES", "WRONG")</f>
        <v/>
      </c>
    </row>
    <row r="19139">
      <c r="A19139" t="n">
        <v>19138</v>
      </c>
      <c r="B19139" t="inlineStr">
        <is>
          <t>x̄Mx̄CXXXVIII</t>
        </is>
      </c>
      <c r="C19139">
        <f>ROMAN(19138)</f>
        <v/>
      </c>
      <c r="D19139">
        <f>IF(B19139=C19139, "YES", "WRONG")</f>
        <v/>
      </c>
    </row>
    <row r="19140">
      <c r="A19140" t="n">
        <v>19139</v>
      </c>
      <c r="B19140" t="inlineStr">
        <is>
          <t>x̄Mx̄CXXXIX</t>
        </is>
      </c>
      <c r="C19140">
        <f>ROMAN(19139)</f>
        <v/>
      </c>
      <c r="D19140">
        <f>IF(B19140=C19140, "YES", "WRONG")</f>
        <v/>
      </c>
    </row>
    <row r="19141">
      <c r="A19141" t="n">
        <v>19140</v>
      </c>
      <c r="B19141" t="inlineStr">
        <is>
          <t>x̄Mx̄CXL</t>
        </is>
      </c>
      <c r="C19141">
        <f>ROMAN(19140)</f>
        <v/>
      </c>
      <c r="D19141">
        <f>IF(B19141=C19141, "YES", "WRONG")</f>
        <v/>
      </c>
    </row>
    <row r="19142">
      <c r="A19142" t="n">
        <v>19141</v>
      </c>
      <c r="B19142" t="inlineStr">
        <is>
          <t>x̄Mx̄CXLI</t>
        </is>
      </c>
      <c r="C19142">
        <f>ROMAN(19141)</f>
        <v/>
      </c>
      <c r="D19142">
        <f>IF(B19142=C19142, "YES", "WRONG")</f>
        <v/>
      </c>
    </row>
    <row r="19143">
      <c r="A19143" t="n">
        <v>19142</v>
      </c>
      <c r="B19143" t="inlineStr">
        <is>
          <t>x̄Mx̄CXLII</t>
        </is>
      </c>
      <c r="C19143">
        <f>ROMAN(19142)</f>
        <v/>
      </c>
      <c r="D19143">
        <f>IF(B19143=C19143, "YES", "WRONG")</f>
        <v/>
      </c>
    </row>
    <row r="19144">
      <c r="A19144" t="n">
        <v>19143</v>
      </c>
      <c r="B19144" t="inlineStr">
        <is>
          <t>x̄Mx̄CXLIII</t>
        </is>
      </c>
      <c r="C19144">
        <f>ROMAN(19143)</f>
        <v/>
      </c>
      <c r="D19144">
        <f>IF(B19144=C19144, "YES", "WRONG")</f>
        <v/>
      </c>
    </row>
    <row r="19145">
      <c r="A19145" t="n">
        <v>19144</v>
      </c>
      <c r="B19145" t="inlineStr">
        <is>
          <t>x̄Mx̄CXLIV</t>
        </is>
      </c>
      <c r="C19145">
        <f>ROMAN(19144)</f>
        <v/>
      </c>
      <c r="D19145">
        <f>IF(B19145=C19145, "YES", "WRONG")</f>
        <v/>
      </c>
    </row>
    <row r="19146">
      <c r="A19146" t="n">
        <v>19145</v>
      </c>
      <c r="B19146" t="inlineStr">
        <is>
          <t>x̄Mx̄CXLV</t>
        </is>
      </c>
      <c r="C19146">
        <f>ROMAN(19145)</f>
        <v/>
      </c>
      <c r="D19146">
        <f>IF(B19146=C19146, "YES", "WRONG")</f>
        <v/>
      </c>
    </row>
    <row r="19147">
      <c r="A19147" t="n">
        <v>19146</v>
      </c>
      <c r="B19147" t="inlineStr">
        <is>
          <t>x̄Mx̄CXLVI</t>
        </is>
      </c>
      <c r="C19147">
        <f>ROMAN(19146)</f>
        <v/>
      </c>
      <c r="D19147">
        <f>IF(B19147=C19147, "YES", "WRONG")</f>
        <v/>
      </c>
    </row>
    <row r="19148">
      <c r="A19148" t="n">
        <v>19147</v>
      </c>
      <c r="B19148" t="inlineStr">
        <is>
          <t>x̄Mx̄CXLVII</t>
        </is>
      </c>
      <c r="C19148">
        <f>ROMAN(19147)</f>
        <v/>
      </c>
      <c r="D19148">
        <f>IF(B19148=C19148, "YES", "WRONG")</f>
        <v/>
      </c>
    </row>
    <row r="19149">
      <c r="A19149" t="n">
        <v>19148</v>
      </c>
      <c r="B19149" t="inlineStr">
        <is>
          <t>x̄Mx̄CXLVIII</t>
        </is>
      </c>
      <c r="C19149">
        <f>ROMAN(19148)</f>
        <v/>
      </c>
      <c r="D19149">
        <f>IF(B19149=C19149, "YES", "WRONG")</f>
        <v/>
      </c>
    </row>
    <row r="19150">
      <c r="A19150" t="n">
        <v>19149</v>
      </c>
      <c r="B19150" t="inlineStr">
        <is>
          <t>x̄Mx̄CXLIX</t>
        </is>
      </c>
      <c r="C19150">
        <f>ROMAN(19149)</f>
        <v/>
      </c>
      <c r="D19150">
        <f>IF(B19150=C19150, "YES", "WRONG")</f>
        <v/>
      </c>
    </row>
    <row r="19151">
      <c r="A19151" t="n">
        <v>19150</v>
      </c>
      <c r="B19151" t="inlineStr">
        <is>
          <t>x̄Mx̄CL</t>
        </is>
      </c>
      <c r="C19151">
        <f>ROMAN(19150)</f>
        <v/>
      </c>
      <c r="D19151">
        <f>IF(B19151=C19151, "YES", "WRONG")</f>
        <v/>
      </c>
    </row>
    <row r="19152">
      <c r="A19152" t="n">
        <v>19151</v>
      </c>
      <c r="B19152" t="inlineStr">
        <is>
          <t>x̄Mx̄CLI</t>
        </is>
      </c>
      <c r="C19152">
        <f>ROMAN(19151)</f>
        <v/>
      </c>
      <c r="D19152">
        <f>IF(B19152=C19152, "YES", "WRONG")</f>
        <v/>
      </c>
    </row>
    <row r="19153">
      <c r="A19153" t="n">
        <v>19152</v>
      </c>
      <c r="B19153" t="inlineStr">
        <is>
          <t>x̄Mx̄CLII</t>
        </is>
      </c>
      <c r="C19153">
        <f>ROMAN(19152)</f>
        <v/>
      </c>
      <c r="D19153">
        <f>IF(B19153=C19153, "YES", "WRONG")</f>
        <v/>
      </c>
    </row>
    <row r="19154">
      <c r="A19154" t="n">
        <v>19153</v>
      </c>
      <c r="B19154" t="inlineStr">
        <is>
          <t>x̄Mx̄CLIII</t>
        </is>
      </c>
      <c r="C19154">
        <f>ROMAN(19153)</f>
        <v/>
      </c>
      <c r="D19154">
        <f>IF(B19154=C19154, "YES", "WRONG")</f>
        <v/>
      </c>
    </row>
    <row r="19155">
      <c r="A19155" t="n">
        <v>19154</v>
      </c>
      <c r="B19155" t="inlineStr">
        <is>
          <t>x̄Mx̄CLIV</t>
        </is>
      </c>
      <c r="C19155">
        <f>ROMAN(19154)</f>
        <v/>
      </c>
      <c r="D19155">
        <f>IF(B19155=C19155, "YES", "WRONG")</f>
        <v/>
      </c>
    </row>
    <row r="19156">
      <c r="A19156" t="n">
        <v>19155</v>
      </c>
      <c r="B19156" t="inlineStr">
        <is>
          <t>x̄Mx̄CLV</t>
        </is>
      </c>
      <c r="C19156">
        <f>ROMAN(19155)</f>
        <v/>
      </c>
      <c r="D19156">
        <f>IF(B19156=C19156, "YES", "WRONG")</f>
        <v/>
      </c>
    </row>
    <row r="19157">
      <c r="A19157" t="n">
        <v>19156</v>
      </c>
      <c r="B19157" t="inlineStr">
        <is>
          <t>x̄Mx̄CLVI</t>
        </is>
      </c>
      <c r="C19157">
        <f>ROMAN(19156)</f>
        <v/>
      </c>
      <c r="D19157">
        <f>IF(B19157=C19157, "YES", "WRONG")</f>
        <v/>
      </c>
    </row>
    <row r="19158">
      <c r="A19158" t="n">
        <v>19157</v>
      </c>
      <c r="B19158" t="inlineStr">
        <is>
          <t>x̄Mx̄CLVII</t>
        </is>
      </c>
      <c r="C19158">
        <f>ROMAN(19157)</f>
        <v/>
      </c>
      <c r="D19158">
        <f>IF(B19158=C19158, "YES", "WRONG")</f>
        <v/>
      </c>
    </row>
    <row r="19159">
      <c r="A19159" t="n">
        <v>19158</v>
      </c>
      <c r="B19159" t="inlineStr">
        <is>
          <t>x̄Mx̄CLVIII</t>
        </is>
      </c>
      <c r="C19159">
        <f>ROMAN(19158)</f>
        <v/>
      </c>
      <c r="D19159">
        <f>IF(B19159=C19159, "YES", "WRONG")</f>
        <v/>
      </c>
    </row>
    <row r="19160">
      <c r="A19160" t="n">
        <v>19159</v>
      </c>
      <c r="B19160" t="inlineStr">
        <is>
          <t>x̄Mx̄CLIX</t>
        </is>
      </c>
      <c r="C19160">
        <f>ROMAN(19159)</f>
        <v/>
      </c>
      <c r="D19160">
        <f>IF(B19160=C19160, "YES", "WRONG")</f>
        <v/>
      </c>
    </row>
    <row r="19161">
      <c r="A19161" t="n">
        <v>19160</v>
      </c>
      <c r="B19161" t="inlineStr">
        <is>
          <t>x̄Mx̄CLX</t>
        </is>
      </c>
      <c r="C19161">
        <f>ROMAN(19160)</f>
        <v/>
      </c>
      <c r="D19161">
        <f>IF(B19161=C19161, "YES", "WRONG")</f>
        <v/>
      </c>
    </row>
    <row r="19162">
      <c r="A19162" t="n">
        <v>19161</v>
      </c>
      <c r="B19162" t="inlineStr">
        <is>
          <t>x̄Mx̄CLXI</t>
        </is>
      </c>
      <c r="C19162">
        <f>ROMAN(19161)</f>
        <v/>
      </c>
      <c r="D19162">
        <f>IF(B19162=C19162, "YES", "WRONG")</f>
        <v/>
      </c>
    </row>
    <row r="19163">
      <c r="A19163" t="n">
        <v>19162</v>
      </c>
      <c r="B19163" t="inlineStr">
        <is>
          <t>x̄Mx̄CLXII</t>
        </is>
      </c>
      <c r="C19163">
        <f>ROMAN(19162)</f>
        <v/>
      </c>
      <c r="D19163">
        <f>IF(B19163=C19163, "YES", "WRONG")</f>
        <v/>
      </c>
    </row>
    <row r="19164">
      <c r="A19164" t="n">
        <v>19163</v>
      </c>
      <c r="B19164" t="inlineStr">
        <is>
          <t>x̄Mx̄CLXIII</t>
        </is>
      </c>
      <c r="C19164">
        <f>ROMAN(19163)</f>
        <v/>
      </c>
      <c r="D19164">
        <f>IF(B19164=C19164, "YES", "WRONG")</f>
        <v/>
      </c>
    </row>
    <row r="19165">
      <c r="A19165" t="n">
        <v>19164</v>
      </c>
      <c r="B19165" t="inlineStr">
        <is>
          <t>x̄Mx̄CLXIV</t>
        </is>
      </c>
      <c r="C19165">
        <f>ROMAN(19164)</f>
        <v/>
      </c>
      <c r="D19165">
        <f>IF(B19165=C19165, "YES", "WRONG")</f>
        <v/>
      </c>
    </row>
    <row r="19166">
      <c r="A19166" t="n">
        <v>19165</v>
      </c>
      <c r="B19166" t="inlineStr">
        <is>
          <t>x̄Mx̄CLXV</t>
        </is>
      </c>
      <c r="C19166">
        <f>ROMAN(19165)</f>
        <v/>
      </c>
      <c r="D19166">
        <f>IF(B19166=C19166, "YES", "WRONG")</f>
        <v/>
      </c>
    </row>
    <row r="19167">
      <c r="A19167" t="n">
        <v>19166</v>
      </c>
      <c r="B19167" t="inlineStr">
        <is>
          <t>x̄Mx̄CLXVI</t>
        </is>
      </c>
      <c r="C19167">
        <f>ROMAN(19166)</f>
        <v/>
      </c>
      <c r="D19167">
        <f>IF(B19167=C19167, "YES", "WRONG")</f>
        <v/>
      </c>
    </row>
    <row r="19168">
      <c r="A19168" t="n">
        <v>19167</v>
      </c>
      <c r="B19168" t="inlineStr">
        <is>
          <t>x̄Mx̄CLXVII</t>
        </is>
      </c>
      <c r="C19168">
        <f>ROMAN(19167)</f>
        <v/>
      </c>
      <c r="D19168">
        <f>IF(B19168=C19168, "YES", "WRONG")</f>
        <v/>
      </c>
    </row>
    <row r="19169">
      <c r="A19169" t="n">
        <v>19168</v>
      </c>
      <c r="B19169" t="inlineStr">
        <is>
          <t>x̄Mx̄CLXVIII</t>
        </is>
      </c>
      <c r="C19169">
        <f>ROMAN(19168)</f>
        <v/>
      </c>
      <c r="D19169">
        <f>IF(B19169=C19169, "YES", "WRONG")</f>
        <v/>
      </c>
    </row>
    <row r="19170">
      <c r="A19170" t="n">
        <v>19169</v>
      </c>
      <c r="B19170" t="inlineStr">
        <is>
          <t>x̄Mx̄CLXIX</t>
        </is>
      </c>
      <c r="C19170">
        <f>ROMAN(19169)</f>
        <v/>
      </c>
      <c r="D19170">
        <f>IF(B19170=C19170, "YES", "WRONG")</f>
        <v/>
      </c>
    </row>
    <row r="19171">
      <c r="A19171" t="n">
        <v>19170</v>
      </c>
      <c r="B19171" t="inlineStr">
        <is>
          <t>x̄Mx̄CLXX</t>
        </is>
      </c>
      <c r="C19171">
        <f>ROMAN(19170)</f>
        <v/>
      </c>
      <c r="D19171">
        <f>IF(B19171=C19171, "YES", "WRONG")</f>
        <v/>
      </c>
    </row>
    <row r="19172">
      <c r="A19172" t="n">
        <v>19171</v>
      </c>
      <c r="B19172" t="inlineStr">
        <is>
          <t>x̄Mx̄CLXXI</t>
        </is>
      </c>
      <c r="C19172">
        <f>ROMAN(19171)</f>
        <v/>
      </c>
      <c r="D19172">
        <f>IF(B19172=C19172, "YES", "WRONG")</f>
        <v/>
      </c>
    </row>
    <row r="19173">
      <c r="A19173" t="n">
        <v>19172</v>
      </c>
      <c r="B19173" t="inlineStr">
        <is>
          <t>x̄Mx̄CLXXII</t>
        </is>
      </c>
      <c r="C19173">
        <f>ROMAN(19172)</f>
        <v/>
      </c>
      <c r="D19173">
        <f>IF(B19173=C19173, "YES", "WRONG")</f>
        <v/>
      </c>
    </row>
    <row r="19174">
      <c r="A19174" t="n">
        <v>19173</v>
      </c>
      <c r="B19174" t="inlineStr">
        <is>
          <t>x̄Mx̄CLXXIII</t>
        </is>
      </c>
      <c r="C19174">
        <f>ROMAN(19173)</f>
        <v/>
      </c>
      <c r="D19174">
        <f>IF(B19174=C19174, "YES", "WRONG")</f>
        <v/>
      </c>
    </row>
    <row r="19175">
      <c r="A19175" t="n">
        <v>19174</v>
      </c>
      <c r="B19175" t="inlineStr">
        <is>
          <t>x̄Mx̄CLXXIV</t>
        </is>
      </c>
      <c r="C19175">
        <f>ROMAN(19174)</f>
        <v/>
      </c>
      <c r="D19175">
        <f>IF(B19175=C19175, "YES", "WRONG")</f>
        <v/>
      </c>
    </row>
    <row r="19176">
      <c r="A19176" t="n">
        <v>19175</v>
      </c>
      <c r="B19176" t="inlineStr">
        <is>
          <t>x̄Mx̄CLXXV</t>
        </is>
      </c>
      <c r="C19176">
        <f>ROMAN(19175)</f>
        <v/>
      </c>
      <c r="D19176">
        <f>IF(B19176=C19176, "YES", "WRONG")</f>
        <v/>
      </c>
    </row>
    <row r="19177">
      <c r="A19177" t="n">
        <v>19176</v>
      </c>
      <c r="B19177" t="inlineStr">
        <is>
          <t>x̄Mx̄CLXXVI</t>
        </is>
      </c>
      <c r="C19177">
        <f>ROMAN(19176)</f>
        <v/>
      </c>
      <c r="D19177">
        <f>IF(B19177=C19177, "YES", "WRONG")</f>
        <v/>
      </c>
    </row>
    <row r="19178">
      <c r="A19178" t="n">
        <v>19177</v>
      </c>
      <c r="B19178" t="inlineStr">
        <is>
          <t>x̄Mx̄CLXXVII</t>
        </is>
      </c>
      <c r="C19178">
        <f>ROMAN(19177)</f>
        <v/>
      </c>
      <c r="D19178">
        <f>IF(B19178=C19178, "YES", "WRONG")</f>
        <v/>
      </c>
    </row>
    <row r="19179">
      <c r="A19179" t="n">
        <v>19178</v>
      </c>
      <c r="B19179" t="inlineStr">
        <is>
          <t>x̄Mx̄CLXXVIII</t>
        </is>
      </c>
      <c r="C19179">
        <f>ROMAN(19178)</f>
        <v/>
      </c>
      <c r="D19179">
        <f>IF(B19179=C19179, "YES", "WRONG")</f>
        <v/>
      </c>
    </row>
    <row r="19180">
      <c r="A19180" t="n">
        <v>19179</v>
      </c>
      <c r="B19180" t="inlineStr">
        <is>
          <t>x̄Mx̄CLXXIX</t>
        </is>
      </c>
      <c r="C19180">
        <f>ROMAN(19179)</f>
        <v/>
      </c>
      <c r="D19180">
        <f>IF(B19180=C19180, "YES", "WRONG")</f>
        <v/>
      </c>
    </row>
    <row r="19181">
      <c r="A19181" t="n">
        <v>19180</v>
      </c>
      <c r="B19181" t="inlineStr">
        <is>
          <t>x̄Mx̄CLXXX</t>
        </is>
      </c>
      <c r="C19181">
        <f>ROMAN(19180)</f>
        <v/>
      </c>
      <c r="D19181">
        <f>IF(B19181=C19181, "YES", "WRONG")</f>
        <v/>
      </c>
    </row>
    <row r="19182">
      <c r="A19182" t="n">
        <v>19181</v>
      </c>
      <c r="B19182" t="inlineStr">
        <is>
          <t>x̄Mx̄CLXXXI</t>
        </is>
      </c>
      <c r="C19182">
        <f>ROMAN(19181)</f>
        <v/>
      </c>
      <c r="D19182">
        <f>IF(B19182=C19182, "YES", "WRONG")</f>
        <v/>
      </c>
    </row>
    <row r="19183">
      <c r="A19183" t="n">
        <v>19182</v>
      </c>
      <c r="B19183" t="inlineStr">
        <is>
          <t>x̄Mx̄CLXXXII</t>
        </is>
      </c>
      <c r="C19183">
        <f>ROMAN(19182)</f>
        <v/>
      </c>
      <c r="D19183">
        <f>IF(B19183=C19183, "YES", "WRONG")</f>
        <v/>
      </c>
    </row>
    <row r="19184">
      <c r="A19184" t="n">
        <v>19183</v>
      </c>
      <c r="B19184" t="inlineStr">
        <is>
          <t>x̄Mx̄CLXXXIII</t>
        </is>
      </c>
      <c r="C19184">
        <f>ROMAN(19183)</f>
        <v/>
      </c>
      <c r="D19184">
        <f>IF(B19184=C19184, "YES", "WRONG")</f>
        <v/>
      </c>
    </row>
    <row r="19185">
      <c r="A19185" t="n">
        <v>19184</v>
      </c>
      <c r="B19185" t="inlineStr">
        <is>
          <t>x̄Mx̄CLXXXIV</t>
        </is>
      </c>
      <c r="C19185">
        <f>ROMAN(19184)</f>
        <v/>
      </c>
      <c r="D19185">
        <f>IF(B19185=C19185, "YES", "WRONG")</f>
        <v/>
      </c>
    </row>
    <row r="19186">
      <c r="A19186" t="n">
        <v>19185</v>
      </c>
      <c r="B19186" t="inlineStr">
        <is>
          <t>x̄Mx̄CLXXXV</t>
        </is>
      </c>
      <c r="C19186">
        <f>ROMAN(19185)</f>
        <v/>
      </c>
      <c r="D19186">
        <f>IF(B19186=C19186, "YES", "WRONG")</f>
        <v/>
      </c>
    </row>
    <row r="19187">
      <c r="A19187" t="n">
        <v>19186</v>
      </c>
      <c r="B19187" t="inlineStr">
        <is>
          <t>x̄Mx̄CLXXXVI</t>
        </is>
      </c>
      <c r="C19187">
        <f>ROMAN(19186)</f>
        <v/>
      </c>
      <c r="D19187">
        <f>IF(B19187=C19187, "YES", "WRONG")</f>
        <v/>
      </c>
    </row>
    <row r="19188">
      <c r="A19188" t="n">
        <v>19187</v>
      </c>
      <c r="B19188" t="inlineStr">
        <is>
          <t>x̄Mx̄CLXXXVII</t>
        </is>
      </c>
      <c r="C19188">
        <f>ROMAN(19187)</f>
        <v/>
      </c>
      <c r="D19188">
        <f>IF(B19188=C19188, "YES", "WRONG")</f>
        <v/>
      </c>
    </row>
    <row r="19189">
      <c r="A19189" t="n">
        <v>19188</v>
      </c>
      <c r="B19189" t="inlineStr">
        <is>
          <t>x̄Mx̄CLXXXVIII</t>
        </is>
      </c>
      <c r="C19189">
        <f>ROMAN(19188)</f>
        <v/>
      </c>
      <c r="D19189">
        <f>IF(B19189=C19189, "YES", "WRONG")</f>
        <v/>
      </c>
    </row>
    <row r="19190">
      <c r="A19190" t="n">
        <v>19189</v>
      </c>
      <c r="B19190" t="inlineStr">
        <is>
          <t>x̄Mx̄CLXXXIX</t>
        </is>
      </c>
      <c r="C19190">
        <f>ROMAN(19189)</f>
        <v/>
      </c>
      <c r="D19190">
        <f>IF(B19190=C19190, "YES", "WRONG")</f>
        <v/>
      </c>
    </row>
    <row r="19191">
      <c r="A19191" t="n">
        <v>19190</v>
      </c>
      <c r="B19191" t="inlineStr">
        <is>
          <t>x̄Mx̄CXC</t>
        </is>
      </c>
      <c r="C19191">
        <f>ROMAN(19190)</f>
        <v/>
      </c>
      <c r="D19191">
        <f>IF(B19191=C19191, "YES", "WRONG")</f>
        <v/>
      </c>
    </row>
    <row r="19192">
      <c r="A19192" t="n">
        <v>19191</v>
      </c>
      <c r="B19192" t="inlineStr">
        <is>
          <t>x̄Mx̄CXCI</t>
        </is>
      </c>
      <c r="C19192">
        <f>ROMAN(19191)</f>
        <v/>
      </c>
      <c r="D19192">
        <f>IF(B19192=C19192, "YES", "WRONG")</f>
        <v/>
      </c>
    </row>
    <row r="19193">
      <c r="A19193" t="n">
        <v>19192</v>
      </c>
      <c r="B19193" t="inlineStr">
        <is>
          <t>x̄Mx̄CXCII</t>
        </is>
      </c>
      <c r="C19193">
        <f>ROMAN(19192)</f>
        <v/>
      </c>
      <c r="D19193">
        <f>IF(B19193=C19193, "YES", "WRONG")</f>
        <v/>
      </c>
    </row>
    <row r="19194">
      <c r="A19194" t="n">
        <v>19193</v>
      </c>
      <c r="B19194" t="inlineStr">
        <is>
          <t>x̄Mx̄CXCIII</t>
        </is>
      </c>
      <c r="C19194">
        <f>ROMAN(19193)</f>
        <v/>
      </c>
      <c r="D19194">
        <f>IF(B19194=C19194, "YES", "WRONG")</f>
        <v/>
      </c>
    </row>
    <row r="19195">
      <c r="A19195" t="n">
        <v>19194</v>
      </c>
      <c r="B19195" t="inlineStr">
        <is>
          <t>x̄Mx̄CXCIV</t>
        </is>
      </c>
      <c r="C19195">
        <f>ROMAN(19194)</f>
        <v/>
      </c>
      <c r="D19195">
        <f>IF(B19195=C19195, "YES", "WRONG")</f>
        <v/>
      </c>
    </row>
    <row r="19196">
      <c r="A19196" t="n">
        <v>19195</v>
      </c>
      <c r="B19196" t="inlineStr">
        <is>
          <t>x̄Mx̄CXCV</t>
        </is>
      </c>
      <c r="C19196">
        <f>ROMAN(19195)</f>
        <v/>
      </c>
      <c r="D19196">
        <f>IF(B19196=C19196, "YES", "WRONG")</f>
        <v/>
      </c>
    </row>
    <row r="19197">
      <c r="A19197" t="n">
        <v>19196</v>
      </c>
      <c r="B19197" t="inlineStr">
        <is>
          <t>x̄Mx̄CXCVI</t>
        </is>
      </c>
      <c r="C19197">
        <f>ROMAN(19196)</f>
        <v/>
      </c>
      <c r="D19197">
        <f>IF(B19197=C19197, "YES", "WRONG")</f>
        <v/>
      </c>
    </row>
    <row r="19198">
      <c r="A19198" t="n">
        <v>19197</v>
      </c>
      <c r="B19198" t="inlineStr">
        <is>
          <t>x̄Mx̄CXCVII</t>
        </is>
      </c>
      <c r="C19198">
        <f>ROMAN(19197)</f>
        <v/>
      </c>
      <c r="D19198">
        <f>IF(B19198=C19198, "YES", "WRONG")</f>
        <v/>
      </c>
    </row>
    <row r="19199">
      <c r="A19199" t="n">
        <v>19198</v>
      </c>
      <c r="B19199" t="inlineStr">
        <is>
          <t>x̄Mx̄CXCVIII</t>
        </is>
      </c>
      <c r="C19199">
        <f>ROMAN(19198)</f>
        <v/>
      </c>
      <c r="D19199">
        <f>IF(B19199=C19199, "YES", "WRONG")</f>
        <v/>
      </c>
    </row>
    <row r="19200">
      <c r="A19200" t="n">
        <v>19199</v>
      </c>
      <c r="B19200" t="inlineStr">
        <is>
          <t>x̄Mx̄CXCIX</t>
        </is>
      </c>
      <c r="C19200">
        <f>ROMAN(19199)</f>
        <v/>
      </c>
      <c r="D19200">
        <f>IF(B19200=C19200, "YES", "WRONG")</f>
        <v/>
      </c>
    </row>
    <row r="19201">
      <c r="A19201" t="n">
        <v>19200</v>
      </c>
      <c r="B19201" t="inlineStr">
        <is>
          <t>x̄Mx̄CC</t>
        </is>
      </c>
      <c r="C19201">
        <f>ROMAN(19200)</f>
        <v/>
      </c>
      <c r="D19201">
        <f>IF(B19201=C19201, "YES", "WRONG")</f>
        <v/>
      </c>
    </row>
    <row r="19202">
      <c r="A19202" t="n">
        <v>19201</v>
      </c>
      <c r="B19202" t="inlineStr">
        <is>
          <t>x̄Mx̄CCI</t>
        </is>
      </c>
      <c r="C19202">
        <f>ROMAN(19201)</f>
        <v/>
      </c>
      <c r="D19202">
        <f>IF(B19202=C19202, "YES", "WRONG")</f>
        <v/>
      </c>
    </row>
    <row r="19203">
      <c r="A19203" t="n">
        <v>19202</v>
      </c>
      <c r="B19203" t="inlineStr">
        <is>
          <t>x̄Mx̄CCII</t>
        </is>
      </c>
      <c r="C19203">
        <f>ROMAN(19202)</f>
        <v/>
      </c>
      <c r="D19203">
        <f>IF(B19203=C19203, "YES", "WRONG")</f>
        <v/>
      </c>
    </row>
    <row r="19204">
      <c r="A19204" t="n">
        <v>19203</v>
      </c>
      <c r="B19204" t="inlineStr">
        <is>
          <t>x̄Mx̄CCIII</t>
        </is>
      </c>
      <c r="C19204">
        <f>ROMAN(19203)</f>
        <v/>
      </c>
      <c r="D19204">
        <f>IF(B19204=C19204, "YES", "WRONG")</f>
        <v/>
      </c>
    </row>
    <row r="19205">
      <c r="A19205" t="n">
        <v>19204</v>
      </c>
      <c r="B19205" t="inlineStr">
        <is>
          <t>x̄Mx̄CCIV</t>
        </is>
      </c>
      <c r="C19205">
        <f>ROMAN(19204)</f>
        <v/>
      </c>
      <c r="D19205">
        <f>IF(B19205=C19205, "YES", "WRONG")</f>
        <v/>
      </c>
    </row>
    <row r="19206">
      <c r="A19206" t="n">
        <v>19205</v>
      </c>
      <c r="B19206" t="inlineStr">
        <is>
          <t>x̄Mx̄CCV</t>
        </is>
      </c>
      <c r="C19206">
        <f>ROMAN(19205)</f>
        <v/>
      </c>
      <c r="D19206">
        <f>IF(B19206=C19206, "YES", "WRONG")</f>
        <v/>
      </c>
    </row>
    <row r="19207">
      <c r="A19207" t="n">
        <v>19206</v>
      </c>
      <c r="B19207" t="inlineStr">
        <is>
          <t>x̄Mx̄CCVI</t>
        </is>
      </c>
      <c r="C19207">
        <f>ROMAN(19206)</f>
        <v/>
      </c>
      <c r="D19207">
        <f>IF(B19207=C19207, "YES", "WRONG")</f>
        <v/>
      </c>
    </row>
    <row r="19208">
      <c r="A19208" t="n">
        <v>19207</v>
      </c>
      <c r="B19208" t="inlineStr">
        <is>
          <t>x̄Mx̄CCVII</t>
        </is>
      </c>
      <c r="C19208">
        <f>ROMAN(19207)</f>
        <v/>
      </c>
      <c r="D19208">
        <f>IF(B19208=C19208, "YES", "WRONG")</f>
        <v/>
      </c>
    </row>
    <row r="19209">
      <c r="A19209" t="n">
        <v>19208</v>
      </c>
      <c r="B19209" t="inlineStr">
        <is>
          <t>x̄Mx̄CCVIII</t>
        </is>
      </c>
      <c r="C19209">
        <f>ROMAN(19208)</f>
        <v/>
      </c>
      <c r="D19209">
        <f>IF(B19209=C19209, "YES", "WRONG")</f>
        <v/>
      </c>
    </row>
    <row r="19210">
      <c r="A19210" t="n">
        <v>19209</v>
      </c>
      <c r="B19210" t="inlineStr">
        <is>
          <t>x̄Mx̄CCIX</t>
        </is>
      </c>
      <c r="C19210">
        <f>ROMAN(19209)</f>
        <v/>
      </c>
      <c r="D19210">
        <f>IF(B19210=C19210, "YES", "WRONG")</f>
        <v/>
      </c>
    </row>
    <row r="19211">
      <c r="A19211" t="n">
        <v>19210</v>
      </c>
      <c r="B19211" t="inlineStr">
        <is>
          <t>x̄Mx̄CCX</t>
        </is>
      </c>
      <c r="C19211">
        <f>ROMAN(19210)</f>
        <v/>
      </c>
      <c r="D19211">
        <f>IF(B19211=C19211, "YES", "WRONG")</f>
        <v/>
      </c>
    </row>
    <row r="19212">
      <c r="A19212" t="n">
        <v>19211</v>
      </c>
      <c r="B19212" t="inlineStr">
        <is>
          <t>x̄Mx̄CCXI</t>
        </is>
      </c>
      <c r="C19212">
        <f>ROMAN(19211)</f>
        <v/>
      </c>
      <c r="D19212">
        <f>IF(B19212=C19212, "YES", "WRONG")</f>
        <v/>
      </c>
    </row>
    <row r="19213">
      <c r="A19213" t="n">
        <v>19212</v>
      </c>
      <c r="B19213" t="inlineStr">
        <is>
          <t>x̄Mx̄CCXII</t>
        </is>
      </c>
      <c r="C19213">
        <f>ROMAN(19212)</f>
        <v/>
      </c>
      <c r="D19213">
        <f>IF(B19213=C19213, "YES", "WRONG")</f>
        <v/>
      </c>
    </row>
    <row r="19214">
      <c r="A19214" t="n">
        <v>19213</v>
      </c>
      <c r="B19214" t="inlineStr">
        <is>
          <t>x̄Mx̄CCXIII</t>
        </is>
      </c>
      <c r="C19214">
        <f>ROMAN(19213)</f>
        <v/>
      </c>
      <c r="D19214">
        <f>IF(B19214=C19214, "YES", "WRONG")</f>
        <v/>
      </c>
    </row>
    <row r="19215">
      <c r="A19215" t="n">
        <v>19214</v>
      </c>
      <c r="B19215" t="inlineStr">
        <is>
          <t>x̄Mx̄CCXIV</t>
        </is>
      </c>
      <c r="C19215">
        <f>ROMAN(19214)</f>
        <v/>
      </c>
      <c r="D19215">
        <f>IF(B19215=C19215, "YES", "WRONG")</f>
        <v/>
      </c>
    </row>
    <row r="19216">
      <c r="A19216" t="n">
        <v>19215</v>
      </c>
      <c r="B19216" t="inlineStr">
        <is>
          <t>x̄Mx̄CCXV</t>
        </is>
      </c>
      <c r="C19216">
        <f>ROMAN(19215)</f>
        <v/>
      </c>
      <c r="D19216">
        <f>IF(B19216=C19216, "YES", "WRONG")</f>
        <v/>
      </c>
    </row>
    <row r="19217">
      <c r="A19217" t="n">
        <v>19216</v>
      </c>
      <c r="B19217" t="inlineStr">
        <is>
          <t>x̄Mx̄CCXVI</t>
        </is>
      </c>
      <c r="C19217">
        <f>ROMAN(19216)</f>
        <v/>
      </c>
      <c r="D19217">
        <f>IF(B19217=C19217, "YES", "WRONG")</f>
        <v/>
      </c>
    </row>
    <row r="19218">
      <c r="A19218" t="n">
        <v>19217</v>
      </c>
      <c r="B19218" t="inlineStr">
        <is>
          <t>x̄Mx̄CCXVII</t>
        </is>
      </c>
      <c r="C19218">
        <f>ROMAN(19217)</f>
        <v/>
      </c>
      <c r="D19218">
        <f>IF(B19218=C19218, "YES", "WRONG")</f>
        <v/>
      </c>
    </row>
    <row r="19219">
      <c r="A19219" t="n">
        <v>19218</v>
      </c>
      <c r="B19219" t="inlineStr">
        <is>
          <t>x̄Mx̄CCXVIII</t>
        </is>
      </c>
      <c r="C19219">
        <f>ROMAN(19218)</f>
        <v/>
      </c>
      <c r="D19219">
        <f>IF(B19219=C19219, "YES", "WRONG")</f>
        <v/>
      </c>
    </row>
    <row r="19220">
      <c r="A19220" t="n">
        <v>19219</v>
      </c>
      <c r="B19220" t="inlineStr">
        <is>
          <t>x̄Mx̄CCXIX</t>
        </is>
      </c>
      <c r="C19220">
        <f>ROMAN(19219)</f>
        <v/>
      </c>
      <c r="D19220">
        <f>IF(B19220=C19220, "YES", "WRONG")</f>
        <v/>
      </c>
    </row>
    <row r="19221">
      <c r="A19221" t="n">
        <v>19220</v>
      </c>
      <c r="B19221" t="inlineStr">
        <is>
          <t>x̄Mx̄CCXX</t>
        </is>
      </c>
      <c r="C19221">
        <f>ROMAN(19220)</f>
        <v/>
      </c>
      <c r="D19221">
        <f>IF(B19221=C19221, "YES", "WRONG")</f>
        <v/>
      </c>
    </row>
    <row r="19222">
      <c r="A19222" t="n">
        <v>19221</v>
      </c>
      <c r="B19222" t="inlineStr">
        <is>
          <t>x̄Mx̄CCXXI</t>
        </is>
      </c>
      <c r="C19222">
        <f>ROMAN(19221)</f>
        <v/>
      </c>
      <c r="D19222">
        <f>IF(B19222=C19222, "YES", "WRONG")</f>
        <v/>
      </c>
    </row>
    <row r="19223">
      <c r="A19223" t="n">
        <v>19222</v>
      </c>
      <c r="B19223" t="inlineStr">
        <is>
          <t>x̄Mx̄CCXXII</t>
        </is>
      </c>
      <c r="C19223">
        <f>ROMAN(19222)</f>
        <v/>
      </c>
      <c r="D19223">
        <f>IF(B19223=C19223, "YES", "WRONG")</f>
        <v/>
      </c>
    </row>
    <row r="19224">
      <c r="A19224" t="n">
        <v>19223</v>
      </c>
      <c r="B19224" t="inlineStr">
        <is>
          <t>x̄Mx̄CCXXIII</t>
        </is>
      </c>
      <c r="C19224">
        <f>ROMAN(19223)</f>
        <v/>
      </c>
      <c r="D19224">
        <f>IF(B19224=C19224, "YES", "WRONG")</f>
        <v/>
      </c>
    </row>
    <row r="19225">
      <c r="A19225" t="n">
        <v>19224</v>
      </c>
      <c r="B19225" t="inlineStr">
        <is>
          <t>x̄Mx̄CCXXIV</t>
        </is>
      </c>
      <c r="C19225">
        <f>ROMAN(19224)</f>
        <v/>
      </c>
      <c r="D19225">
        <f>IF(B19225=C19225, "YES", "WRONG")</f>
        <v/>
      </c>
    </row>
    <row r="19226">
      <c r="A19226" t="n">
        <v>19225</v>
      </c>
      <c r="B19226" t="inlineStr">
        <is>
          <t>x̄Mx̄CCXXV</t>
        </is>
      </c>
      <c r="C19226">
        <f>ROMAN(19225)</f>
        <v/>
      </c>
      <c r="D19226">
        <f>IF(B19226=C19226, "YES", "WRONG")</f>
        <v/>
      </c>
    </row>
    <row r="19227">
      <c r="A19227" t="n">
        <v>19226</v>
      </c>
      <c r="B19227" t="inlineStr">
        <is>
          <t>x̄Mx̄CCXXVI</t>
        </is>
      </c>
      <c r="C19227">
        <f>ROMAN(19226)</f>
        <v/>
      </c>
      <c r="D19227">
        <f>IF(B19227=C19227, "YES", "WRONG")</f>
        <v/>
      </c>
    </row>
    <row r="19228">
      <c r="A19228" t="n">
        <v>19227</v>
      </c>
      <c r="B19228" t="inlineStr">
        <is>
          <t>x̄Mx̄CCXXVII</t>
        </is>
      </c>
      <c r="C19228">
        <f>ROMAN(19227)</f>
        <v/>
      </c>
      <c r="D19228">
        <f>IF(B19228=C19228, "YES", "WRONG")</f>
        <v/>
      </c>
    </row>
    <row r="19229">
      <c r="A19229" t="n">
        <v>19228</v>
      </c>
      <c r="B19229" t="inlineStr">
        <is>
          <t>x̄Mx̄CCXXVIII</t>
        </is>
      </c>
      <c r="C19229">
        <f>ROMAN(19228)</f>
        <v/>
      </c>
      <c r="D19229">
        <f>IF(B19229=C19229, "YES", "WRONG")</f>
        <v/>
      </c>
    </row>
    <row r="19230">
      <c r="A19230" t="n">
        <v>19229</v>
      </c>
      <c r="B19230" t="inlineStr">
        <is>
          <t>x̄Mx̄CCXXIX</t>
        </is>
      </c>
      <c r="C19230">
        <f>ROMAN(19229)</f>
        <v/>
      </c>
      <c r="D19230">
        <f>IF(B19230=C19230, "YES", "WRONG")</f>
        <v/>
      </c>
    </row>
    <row r="19231">
      <c r="A19231" t="n">
        <v>19230</v>
      </c>
      <c r="B19231" t="inlineStr">
        <is>
          <t>x̄Mx̄CCXXX</t>
        </is>
      </c>
      <c r="C19231">
        <f>ROMAN(19230)</f>
        <v/>
      </c>
      <c r="D19231">
        <f>IF(B19231=C19231, "YES", "WRONG")</f>
        <v/>
      </c>
    </row>
    <row r="19232">
      <c r="A19232" t="n">
        <v>19231</v>
      </c>
      <c r="B19232" t="inlineStr">
        <is>
          <t>x̄Mx̄CCXXXI</t>
        </is>
      </c>
      <c r="C19232">
        <f>ROMAN(19231)</f>
        <v/>
      </c>
      <c r="D19232">
        <f>IF(B19232=C19232, "YES", "WRONG")</f>
        <v/>
      </c>
    </row>
    <row r="19233">
      <c r="A19233" t="n">
        <v>19232</v>
      </c>
      <c r="B19233" t="inlineStr">
        <is>
          <t>x̄Mx̄CCXXXII</t>
        </is>
      </c>
      <c r="C19233">
        <f>ROMAN(19232)</f>
        <v/>
      </c>
      <c r="D19233">
        <f>IF(B19233=C19233, "YES", "WRONG")</f>
        <v/>
      </c>
    </row>
    <row r="19234">
      <c r="A19234" t="n">
        <v>19233</v>
      </c>
      <c r="B19234" t="inlineStr">
        <is>
          <t>x̄Mx̄CCXXXIII</t>
        </is>
      </c>
      <c r="C19234">
        <f>ROMAN(19233)</f>
        <v/>
      </c>
      <c r="D19234">
        <f>IF(B19234=C19234, "YES", "WRONG")</f>
        <v/>
      </c>
    </row>
    <row r="19235">
      <c r="A19235" t="n">
        <v>19234</v>
      </c>
      <c r="B19235" t="inlineStr">
        <is>
          <t>x̄Mx̄CCXXXIV</t>
        </is>
      </c>
      <c r="C19235">
        <f>ROMAN(19234)</f>
        <v/>
      </c>
      <c r="D19235">
        <f>IF(B19235=C19235, "YES", "WRONG")</f>
        <v/>
      </c>
    </row>
    <row r="19236">
      <c r="A19236" t="n">
        <v>19235</v>
      </c>
      <c r="B19236" t="inlineStr">
        <is>
          <t>x̄Mx̄CCXXXV</t>
        </is>
      </c>
      <c r="C19236">
        <f>ROMAN(19235)</f>
        <v/>
      </c>
      <c r="D19236">
        <f>IF(B19236=C19236, "YES", "WRONG")</f>
        <v/>
      </c>
    </row>
    <row r="19237">
      <c r="A19237" t="n">
        <v>19236</v>
      </c>
      <c r="B19237" t="inlineStr">
        <is>
          <t>x̄Mx̄CCXXXVI</t>
        </is>
      </c>
      <c r="C19237">
        <f>ROMAN(19236)</f>
        <v/>
      </c>
      <c r="D19237">
        <f>IF(B19237=C19237, "YES", "WRONG")</f>
        <v/>
      </c>
    </row>
    <row r="19238">
      <c r="A19238" t="n">
        <v>19237</v>
      </c>
      <c r="B19238" t="inlineStr">
        <is>
          <t>x̄Mx̄CCXXXVII</t>
        </is>
      </c>
      <c r="C19238">
        <f>ROMAN(19237)</f>
        <v/>
      </c>
      <c r="D19238">
        <f>IF(B19238=C19238, "YES", "WRONG")</f>
        <v/>
      </c>
    </row>
    <row r="19239">
      <c r="A19239" t="n">
        <v>19238</v>
      </c>
      <c r="B19239" t="inlineStr">
        <is>
          <t>x̄Mx̄CCXXXVIII</t>
        </is>
      </c>
      <c r="C19239">
        <f>ROMAN(19238)</f>
        <v/>
      </c>
      <c r="D19239">
        <f>IF(B19239=C19239, "YES", "WRONG")</f>
        <v/>
      </c>
    </row>
    <row r="19240">
      <c r="A19240" t="n">
        <v>19239</v>
      </c>
      <c r="B19240" t="inlineStr">
        <is>
          <t>x̄Mx̄CCXXXIX</t>
        </is>
      </c>
      <c r="C19240">
        <f>ROMAN(19239)</f>
        <v/>
      </c>
      <c r="D19240">
        <f>IF(B19240=C19240, "YES", "WRONG")</f>
        <v/>
      </c>
    </row>
    <row r="19241">
      <c r="A19241" t="n">
        <v>19240</v>
      </c>
      <c r="B19241" t="inlineStr">
        <is>
          <t>x̄Mx̄CCXL</t>
        </is>
      </c>
      <c r="C19241">
        <f>ROMAN(19240)</f>
        <v/>
      </c>
      <c r="D19241">
        <f>IF(B19241=C19241, "YES", "WRONG")</f>
        <v/>
      </c>
    </row>
    <row r="19242">
      <c r="A19242" t="n">
        <v>19241</v>
      </c>
      <c r="B19242" t="inlineStr">
        <is>
          <t>x̄Mx̄CCXLI</t>
        </is>
      </c>
      <c r="C19242">
        <f>ROMAN(19241)</f>
        <v/>
      </c>
      <c r="D19242">
        <f>IF(B19242=C19242, "YES", "WRONG")</f>
        <v/>
      </c>
    </row>
    <row r="19243">
      <c r="A19243" t="n">
        <v>19242</v>
      </c>
      <c r="B19243" t="inlineStr">
        <is>
          <t>x̄Mx̄CCXLII</t>
        </is>
      </c>
      <c r="C19243">
        <f>ROMAN(19242)</f>
        <v/>
      </c>
      <c r="D19243">
        <f>IF(B19243=C19243, "YES", "WRONG")</f>
        <v/>
      </c>
    </row>
    <row r="19244">
      <c r="A19244" t="n">
        <v>19243</v>
      </c>
      <c r="B19244" t="inlineStr">
        <is>
          <t>x̄Mx̄CCXLIII</t>
        </is>
      </c>
      <c r="C19244">
        <f>ROMAN(19243)</f>
        <v/>
      </c>
      <c r="D19244">
        <f>IF(B19244=C19244, "YES", "WRONG")</f>
        <v/>
      </c>
    </row>
    <row r="19245">
      <c r="A19245" t="n">
        <v>19244</v>
      </c>
      <c r="B19245" t="inlineStr">
        <is>
          <t>x̄Mx̄CCXLIV</t>
        </is>
      </c>
      <c r="C19245">
        <f>ROMAN(19244)</f>
        <v/>
      </c>
      <c r="D19245">
        <f>IF(B19245=C19245, "YES", "WRONG")</f>
        <v/>
      </c>
    </row>
    <row r="19246">
      <c r="A19246" t="n">
        <v>19245</v>
      </c>
      <c r="B19246" t="inlineStr">
        <is>
          <t>x̄Mx̄CCXLV</t>
        </is>
      </c>
      <c r="C19246">
        <f>ROMAN(19245)</f>
        <v/>
      </c>
      <c r="D19246">
        <f>IF(B19246=C19246, "YES", "WRONG")</f>
        <v/>
      </c>
    </row>
    <row r="19247">
      <c r="A19247" t="n">
        <v>19246</v>
      </c>
      <c r="B19247" t="inlineStr">
        <is>
          <t>x̄Mx̄CCXLVI</t>
        </is>
      </c>
      <c r="C19247">
        <f>ROMAN(19246)</f>
        <v/>
      </c>
      <c r="D19247">
        <f>IF(B19247=C19247, "YES", "WRONG")</f>
        <v/>
      </c>
    </row>
    <row r="19248">
      <c r="A19248" t="n">
        <v>19247</v>
      </c>
      <c r="B19248" t="inlineStr">
        <is>
          <t>x̄Mx̄CCXLVII</t>
        </is>
      </c>
      <c r="C19248">
        <f>ROMAN(19247)</f>
        <v/>
      </c>
      <c r="D19248">
        <f>IF(B19248=C19248, "YES", "WRONG")</f>
        <v/>
      </c>
    </row>
    <row r="19249">
      <c r="A19249" t="n">
        <v>19248</v>
      </c>
      <c r="B19249" t="inlineStr">
        <is>
          <t>x̄Mx̄CCXLVIII</t>
        </is>
      </c>
      <c r="C19249">
        <f>ROMAN(19248)</f>
        <v/>
      </c>
      <c r="D19249">
        <f>IF(B19249=C19249, "YES", "WRONG")</f>
        <v/>
      </c>
    </row>
    <row r="19250">
      <c r="A19250" t="n">
        <v>19249</v>
      </c>
      <c r="B19250" t="inlineStr">
        <is>
          <t>x̄Mx̄CCXLIX</t>
        </is>
      </c>
      <c r="C19250">
        <f>ROMAN(19249)</f>
        <v/>
      </c>
      <c r="D19250">
        <f>IF(B19250=C19250, "YES", "WRONG")</f>
        <v/>
      </c>
    </row>
    <row r="19251">
      <c r="A19251" t="n">
        <v>19250</v>
      </c>
      <c r="B19251" t="inlineStr">
        <is>
          <t>x̄Mx̄CCL</t>
        </is>
      </c>
      <c r="C19251">
        <f>ROMAN(19250)</f>
        <v/>
      </c>
      <c r="D19251">
        <f>IF(B19251=C19251, "YES", "WRONG")</f>
        <v/>
      </c>
    </row>
    <row r="19252">
      <c r="A19252" t="n">
        <v>19251</v>
      </c>
      <c r="B19252" t="inlineStr">
        <is>
          <t>x̄Mx̄CCLI</t>
        </is>
      </c>
      <c r="C19252">
        <f>ROMAN(19251)</f>
        <v/>
      </c>
      <c r="D19252">
        <f>IF(B19252=C19252, "YES", "WRONG")</f>
        <v/>
      </c>
    </row>
    <row r="19253">
      <c r="A19253" t="n">
        <v>19252</v>
      </c>
      <c r="B19253" t="inlineStr">
        <is>
          <t>x̄Mx̄CCLII</t>
        </is>
      </c>
      <c r="C19253">
        <f>ROMAN(19252)</f>
        <v/>
      </c>
      <c r="D19253">
        <f>IF(B19253=C19253, "YES", "WRONG")</f>
        <v/>
      </c>
    </row>
    <row r="19254">
      <c r="A19254" t="n">
        <v>19253</v>
      </c>
      <c r="B19254" t="inlineStr">
        <is>
          <t>x̄Mx̄CCLIII</t>
        </is>
      </c>
      <c r="C19254">
        <f>ROMAN(19253)</f>
        <v/>
      </c>
      <c r="D19254">
        <f>IF(B19254=C19254, "YES", "WRONG")</f>
        <v/>
      </c>
    </row>
    <row r="19255">
      <c r="A19255" t="n">
        <v>19254</v>
      </c>
      <c r="B19255" t="inlineStr">
        <is>
          <t>x̄Mx̄CCLIV</t>
        </is>
      </c>
      <c r="C19255">
        <f>ROMAN(19254)</f>
        <v/>
      </c>
      <c r="D19255">
        <f>IF(B19255=C19255, "YES", "WRONG")</f>
        <v/>
      </c>
    </row>
    <row r="19256">
      <c r="A19256" t="n">
        <v>19255</v>
      </c>
      <c r="B19256" t="inlineStr">
        <is>
          <t>x̄Mx̄CCLV</t>
        </is>
      </c>
      <c r="C19256">
        <f>ROMAN(19255)</f>
        <v/>
      </c>
      <c r="D19256">
        <f>IF(B19256=C19256, "YES", "WRONG")</f>
        <v/>
      </c>
    </row>
    <row r="19257">
      <c r="A19257" t="n">
        <v>19256</v>
      </c>
      <c r="B19257" t="inlineStr">
        <is>
          <t>x̄Mx̄CCLVI</t>
        </is>
      </c>
      <c r="C19257">
        <f>ROMAN(19256)</f>
        <v/>
      </c>
      <c r="D19257">
        <f>IF(B19257=C19257, "YES", "WRONG")</f>
        <v/>
      </c>
    </row>
    <row r="19258">
      <c r="A19258" t="n">
        <v>19257</v>
      </c>
      <c r="B19258" t="inlineStr">
        <is>
          <t>x̄Mx̄CCLVII</t>
        </is>
      </c>
      <c r="C19258">
        <f>ROMAN(19257)</f>
        <v/>
      </c>
      <c r="D19258">
        <f>IF(B19258=C19258, "YES", "WRONG")</f>
        <v/>
      </c>
    </row>
    <row r="19259">
      <c r="A19259" t="n">
        <v>19258</v>
      </c>
      <c r="B19259" t="inlineStr">
        <is>
          <t>x̄Mx̄CCLVIII</t>
        </is>
      </c>
      <c r="C19259">
        <f>ROMAN(19258)</f>
        <v/>
      </c>
      <c r="D19259">
        <f>IF(B19259=C19259, "YES", "WRONG")</f>
        <v/>
      </c>
    </row>
    <row r="19260">
      <c r="A19260" t="n">
        <v>19259</v>
      </c>
      <c r="B19260" t="inlineStr">
        <is>
          <t>x̄Mx̄CCLIX</t>
        </is>
      </c>
      <c r="C19260">
        <f>ROMAN(19259)</f>
        <v/>
      </c>
      <c r="D19260">
        <f>IF(B19260=C19260, "YES", "WRONG")</f>
        <v/>
      </c>
    </row>
    <row r="19261">
      <c r="A19261" t="n">
        <v>19260</v>
      </c>
      <c r="B19261" t="inlineStr">
        <is>
          <t>x̄Mx̄CCLX</t>
        </is>
      </c>
      <c r="C19261">
        <f>ROMAN(19260)</f>
        <v/>
      </c>
      <c r="D19261">
        <f>IF(B19261=C19261, "YES", "WRONG")</f>
        <v/>
      </c>
    </row>
    <row r="19262">
      <c r="A19262" t="n">
        <v>19261</v>
      </c>
      <c r="B19262" t="inlineStr">
        <is>
          <t>x̄Mx̄CCLXI</t>
        </is>
      </c>
      <c r="C19262">
        <f>ROMAN(19261)</f>
        <v/>
      </c>
      <c r="D19262">
        <f>IF(B19262=C19262, "YES", "WRONG")</f>
        <v/>
      </c>
    </row>
    <row r="19263">
      <c r="A19263" t="n">
        <v>19262</v>
      </c>
      <c r="B19263" t="inlineStr">
        <is>
          <t>x̄Mx̄CCLXII</t>
        </is>
      </c>
      <c r="C19263">
        <f>ROMAN(19262)</f>
        <v/>
      </c>
      <c r="D19263">
        <f>IF(B19263=C19263, "YES", "WRONG")</f>
        <v/>
      </c>
    </row>
    <row r="19264">
      <c r="A19264" t="n">
        <v>19263</v>
      </c>
      <c r="B19264" t="inlineStr">
        <is>
          <t>x̄Mx̄CCLXIII</t>
        </is>
      </c>
      <c r="C19264">
        <f>ROMAN(19263)</f>
        <v/>
      </c>
      <c r="D19264">
        <f>IF(B19264=C19264, "YES", "WRONG")</f>
        <v/>
      </c>
    </row>
    <row r="19265">
      <c r="A19265" t="n">
        <v>19264</v>
      </c>
      <c r="B19265" t="inlineStr">
        <is>
          <t>x̄Mx̄CCLXIV</t>
        </is>
      </c>
      <c r="C19265">
        <f>ROMAN(19264)</f>
        <v/>
      </c>
      <c r="D19265">
        <f>IF(B19265=C19265, "YES", "WRONG")</f>
        <v/>
      </c>
    </row>
    <row r="19266">
      <c r="A19266" t="n">
        <v>19265</v>
      </c>
      <c r="B19266" t="inlineStr">
        <is>
          <t>x̄Mx̄CCLXV</t>
        </is>
      </c>
      <c r="C19266">
        <f>ROMAN(19265)</f>
        <v/>
      </c>
      <c r="D19266">
        <f>IF(B19266=C19266, "YES", "WRONG")</f>
        <v/>
      </c>
    </row>
    <row r="19267">
      <c r="A19267" t="n">
        <v>19266</v>
      </c>
      <c r="B19267" t="inlineStr">
        <is>
          <t>x̄Mx̄CCLXVI</t>
        </is>
      </c>
      <c r="C19267">
        <f>ROMAN(19266)</f>
        <v/>
      </c>
      <c r="D19267">
        <f>IF(B19267=C19267, "YES", "WRONG")</f>
        <v/>
      </c>
    </row>
    <row r="19268">
      <c r="A19268" t="n">
        <v>19267</v>
      </c>
      <c r="B19268" t="inlineStr">
        <is>
          <t>x̄Mx̄CCLXVII</t>
        </is>
      </c>
      <c r="C19268">
        <f>ROMAN(19267)</f>
        <v/>
      </c>
      <c r="D19268">
        <f>IF(B19268=C19268, "YES", "WRONG")</f>
        <v/>
      </c>
    </row>
    <row r="19269">
      <c r="A19269" t="n">
        <v>19268</v>
      </c>
      <c r="B19269" t="inlineStr">
        <is>
          <t>x̄Mx̄CCLXVIII</t>
        </is>
      </c>
      <c r="C19269">
        <f>ROMAN(19268)</f>
        <v/>
      </c>
      <c r="D19269">
        <f>IF(B19269=C19269, "YES", "WRONG")</f>
        <v/>
      </c>
    </row>
    <row r="19270">
      <c r="A19270" t="n">
        <v>19269</v>
      </c>
      <c r="B19270" t="inlineStr">
        <is>
          <t>x̄Mx̄CCLXIX</t>
        </is>
      </c>
      <c r="C19270">
        <f>ROMAN(19269)</f>
        <v/>
      </c>
      <c r="D19270">
        <f>IF(B19270=C19270, "YES", "WRONG")</f>
        <v/>
      </c>
    </row>
    <row r="19271">
      <c r="A19271" t="n">
        <v>19270</v>
      </c>
      <c r="B19271" t="inlineStr">
        <is>
          <t>x̄Mx̄CCLXX</t>
        </is>
      </c>
      <c r="C19271">
        <f>ROMAN(19270)</f>
        <v/>
      </c>
      <c r="D19271">
        <f>IF(B19271=C19271, "YES", "WRONG")</f>
        <v/>
      </c>
    </row>
    <row r="19272">
      <c r="A19272" t="n">
        <v>19271</v>
      </c>
      <c r="B19272" t="inlineStr">
        <is>
          <t>x̄Mx̄CCLXXI</t>
        </is>
      </c>
      <c r="C19272">
        <f>ROMAN(19271)</f>
        <v/>
      </c>
      <c r="D19272">
        <f>IF(B19272=C19272, "YES", "WRONG")</f>
        <v/>
      </c>
    </row>
    <row r="19273">
      <c r="A19273" t="n">
        <v>19272</v>
      </c>
      <c r="B19273" t="inlineStr">
        <is>
          <t>x̄Mx̄CCLXXII</t>
        </is>
      </c>
      <c r="C19273">
        <f>ROMAN(19272)</f>
        <v/>
      </c>
      <c r="D19273">
        <f>IF(B19273=C19273, "YES", "WRONG")</f>
        <v/>
      </c>
    </row>
    <row r="19274">
      <c r="A19274" t="n">
        <v>19273</v>
      </c>
      <c r="B19274" t="inlineStr">
        <is>
          <t>x̄Mx̄CCLXXIII</t>
        </is>
      </c>
      <c r="C19274">
        <f>ROMAN(19273)</f>
        <v/>
      </c>
      <c r="D19274">
        <f>IF(B19274=C19274, "YES", "WRONG")</f>
        <v/>
      </c>
    </row>
    <row r="19275">
      <c r="A19275" t="n">
        <v>19274</v>
      </c>
      <c r="B19275" t="inlineStr">
        <is>
          <t>x̄Mx̄CCLXXIV</t>
        </is>
      </c>
      <c r="C19275">
        <f>ROMAN(19274)</f>
        <v/>
      </c>
      <c r="D19275">
        <f>IF(B19275=C19275, "YES", "WRONG")</f>
        <v/>
      </c>
    </row>
    <row r="19276">
      <c r="A19276" t="n">
        <v>19275</v>
      </c>
      <c r="B19276" t="inlineStr">
        <is>
          <t>x̄Mx̄CCLXXV</t>
        </is>
      </c>
      <c r="C19276">
        <f>ROMAN(19275)</f>
        <v/>
      </c>
      <c r="D19276">
        <f>IF(B19276=C19276, "YES", "WRONG")</f>
        <v/>
      </c>
    </row>
    <row r="19277">
      <c r="A19277" t="n">
        <v>19276</v>
      </c>
      <c r="B19277" t="inlineStr">
        <is>
          <t>x̄Mx̄CCLXXVI</t>
        </is>
      </c>
      <c r="C19277">
        <f>ROMAN(19276)</f>
        <v/>
      </c>
      <c r="D19277">
        <f>IF(B19277=C19277, "YES", "WRONG")</f>
        <v/>
      </c>
    </row>
    <row r="19278">
      <c r="A19278" t="n">
        <v>19277</v>
      </c>
      <c r="B19278" t="inlineStr">
        <is>
          <t>x̄Mx̄CCLXXVII</t>
        </is>
      </c>
      <c r="C19278">
        <f>ROMAN(19277)</f>
        <v/>
      </c>
      <c r="D19278">
        <f>IF(B19278=C19278, "YES", "WRONG")</f>
        <v/>
      </c>
    </row>
    <row r="19279">
      <c r="A19279" t="n">
        <v>19278</v>
      </c>
      <c r="B19279" t="inlineStr">
        <is>
          <t>x̄Mx̄CCLXXVIII</t>
        </is>
      </c>
      <c r="C19279">
        <f>ROMAN(19278)</f>
        <v/>
      </c>
      <c r="D19279">
        <f>IF(B19279=C19279, "YES", "WRONG")</f>
        <v/>
      </c>
    </row>
    <row r="19280">
      <c r="A19280" t="n">
        <v>19279</v>
      </c>
      <c r="B19280" t="inlineStr">
        <is>
          <t>x̄Mx̄CCLXXIX</t>
        </is>
      </c>
      <c r="C19280">
        <f>ROMAN(19279)</f>
        <v/>
      </c>
      <c r="D19280">
        <f>IF(B19280=C19280, "YES", "WRONG")</f>
        <v/>
      </c>
    </row>
    <row r="19281">
      <c r="A19281" t="n">
        <v>19280</v>
      </c>
      <c r="B19281" t="inlineStr">
        <is>
          <t>x̄Mx̄CCLXXX</t>
        </is>
      </c>
      <c r="C19281">
        <f>ROMAN(19280)</f>
        <v/>
      </c>
      <c r="D19281">
        <f>IF(B19281=C19281, "YES", "WRONG")</f>
        <v/>
      </c>
    </row>
    <row r="19282">
      <c r="A19282" t="n">
        <v>19281</v>
      </c>
      <c r="B19282" t="inlineStr">
        <is>
          <t>x̄Mx̄CCLXXXI</t>
        </is>
      </c>
      <c r="C19282">
        <f>ROMAN(19281)</f>
        <v/>
      </c>
      <c r="D19282">
        <f>IF(B19282=C19282, "YES", "WRONG")</f>
        <v/>
      </c>
    </row>
    <row r="19283">
      <c r="A19283" t="n">
        <v>19282</v>
      </c>
      <c r="B19283" t="inlineStr">
        <is>
          <t>x̄Mx̄CCLXXXII</t>
        </is>
      </c>
      <c r="C19283">
        <f>ROMAN(19282)</f>
        <v/>
      </c>
      <c r="D19283">
        <f>IF(B19283=C19283, "YES", "WRONG")</f>
        <v/>
      </c>
    </row>
    <row r="19284">
      <c r="A19284" t="n">
        <v>19283</v>
      </c>
      <c r="B19284" t="inlineStr">
        <is>
          <t>x̄Mx̄CCLXXXIII</t>
        </is>
      </c>
      <c r="C19284">
        <f>ROMAN(19283)</f>
        <v/>
      </c>
      <c r="D19284">
        <f>IF(B19284=C19284, "YES", "WRONG")</f>
        <v/>
      </c>
    </row>
    <row r="19285">
      <c r="A19285" t="n">
        <v>19284</v>
      </c>
      <c r="B19285" t="inlineStr">
        <is>
          <t>x̄Mx̄CCLXXXIV</t>
        </is>
      </c>
      <c r="C19285">
        <f>ROMAN(19284)</f>
        <v/>
      </c>
      <c r="D19285">
        <f>IF(B19285=C19285, "YES", "WRONG")</f>
        <v/>
      </c>
    </row>
    <row r="19286">
      <c r="A19286" t="n">
        <v>19285</v>
      </c>
      <c r="B19286" t="inlineStr">
        <is>
          <t>x̄Mx̄CCLXXXV</t>
        </is>
      </c>
      <c r="C19286">
        <f>ROMAN(19285)</f>
        <v/>
      </c>
      <c r="D19286">
        <f>IF(B19286=C19286, "YES", "WRONG")</f>
        <v/>
      </c>
    </row>
    <row r="19287">
      <c r="A19287" t="n">
        <v>19286</v>
      </c>
      <c r="B19287" t="inlineStr">
        <is>
          <t>x̄Mx̄CCLXXXVI</t>
        </is>
      </c>
      <c r="C19287">
        <f>ROMAN(19286)</f>
        <v/>
      </c>
      <c r="D19287">
        <f>IF(B19287=C19287, "YES", "WRONG")</f>
        <v/>
      </c>
    </row>
    <row r="19288">
      <c r="A19288" t="n">
        <v>19287</v>
      </c>
      <c r="B19288" t="inlineStr">
        <is>
          <t>x̄Mx̄CCLXXXVII</t>
        </is>
      </c>
      <c r="C19288">
        <f>ROMAN(19287)</f>
        <v/>
      </c>
      <c r="D19288">
        <f>IF(B19288=C19288, "YES", "WRONG")</f>
        <v/>
      </c>
    </row>
    <row r="19289">
      <c r="A19289" t="n">
        <v>19288</v>
      </c>
      <c r="B19289" t="inlineStr">
        <is>
          <t>x̄Mx̄CCLXXXVIII</t>
        </is>
      </c>
      <c r="C19289">
        <f>ROMAN(19288)</f>
        <v/>
      </c>
      <c r="D19289">
        <f>IF(B19289=C19289, "YES", "WRONG")</f>
        <v/>
      </c>
    </row>
    <row r="19290">
      <c r="A19290" t="n">
        <v>19289</v>
      </c>
      <c r="B19290" t="inlineStr">
        <is>
          <t>x̄Mx̄CCLXXXIX</t>
        </is>
      </c>
      <c r="C19290">
        <f>ROMAN(19289)</f>
        <v/>
      </c>
      <c r="D19290">
        <f>IF(B19290=C19290, "YES", "WRONG")</f>
        <v/>
      </c>
    </row>
    <row r="19291">
      <c r="A19291" t="n">
        <v>19290</v>
      </c>
      <c r="B19291" t="inlineStr">
        <is>
          <t>x̄Mx̄CCXC</t>
        </is>
      </c>
      <c r="C19291">
        <f>ROMAN(19290)</f>
        <v/>
      </c>
      <c r="D19291">
        <f>IF(B19291=C19291, "YES", "WRONG")</f>
        <v/>
      </c>
    </row>
    <row r="19292">
      <c r="A19292" t="n">
        <v>19291</v>
      </c>
      <c r="B19292" t="inlineStr">
        <is>
          <t>x̄Mx̄CCXCI</t>
        </is>
      </c>
      <c r="C19292">
        <f>ROMAN(19291)</f>
        <v/>
      </c>
      <c r="D19292">
        <f>IF(B19292=C19292, "YES", "WRONG")</f>
        <v/>
      </c>
    </row>
    <row r="19293">
      <c r="A19293" t="n">
        <v>19292</v>
      </c>
      <c r="B19293" t="inlineStr">
        <is>
          <t>x̄Mx̄CCXCII</t>
        </is>
      </c>
      <c r="C19293">
        <f>ROMAN(19292)</f>
        <v/>
      </c>
      <c r="D19293">
        <f>IF(B19293=C19293, "YES", "WRONG")</f>
        <v/>
      </c>
    </row>
    <row r="19294">
      <c r="A19294" t="n">
        <v>19293</v>
      </c>
      <c r="B19294" t="inlineStr">
        <is>
          <t>x̄Mx̄CCXCIII</t>
        </is>
      </c>
      <c r="C19294">
        <f>ROMAN(19293)</f>
        <v/>
      </c>
      <c r="D19294">
        <f>IF(B19294=C19294, "YES", "WRONG")</f>
        <v/>
      </c>
    </row>
    <row r="19295">
      <c r="A19295" t="n">
        <v>19294</v>
      </c>
      <c r="B19295" t="inlineStr">
        <is>
          <t>x̄Mx̄CCXCIV</t>
        </is>
      </c>
      <c r="C19295">
        <f>ROMAN(19294)</f>
        <v/>
      </c>
      <c r="D19295">
        <f>IF(B19295=C19295, "YES", "WRONG")</f>
        <v/>
      </c>
    </row>
    <row r="19296">
      <c r="A19296" t="n">
        <v>19295</v>
      </c>
      <c r="B19296" t="inlineStr">
        <is>
          <t>x̄Mx̄CCXCV</t>
        </is>
      </c>
      <c r="C19296">
        <f>ROMAN(19295)</f>
        <v/>
      </c>
      <c r="D19296">
        <f>IF(B19296=C19296, "YES", "WRONG")</f>
        <v/>
      </c>
    </row>
    <row r="19297">
      <c r="A19297" t="n">
        <v>19296</v>
      </c>
      <c r="B19297" t="inlineStr">
        <is>
          <t>x̄Mx̄CCXCVI</t>
        </is>
      </c>
      <c r="C19297">
        <f>ROMAN(19296)</f>
        <v/>
      </c>
      <c r="D19297">
        <f>IF(B19297=C19297, "YES", "WRONG")</f>
        <v/>
      </c>
    </row>
    <row r="19298">
      <c r="A19298" t="n">
        <v>19297</v>
      </c>
      <c r="B19298" t="inlineStr">
        <is>
          <t>x̄Mx̄CCXCVII</t>
        </is>
      </c>
      <c r="C19298">
        <f>ROMAN(19297)</f>
        <v/>
      </c>
      <c r="D19298">
        <f>IF(B19298=C19298, "YES", "WRONG")</f>
        <v/>
      </c>
    </row>
    <row r="19299">
      <c r="A19299" t="n">
        <v>19298</v>
      </c>
      <c r="B19299" t="inlineStr">
        <is>
          <t>x̄Mx̄CCXCVIII</t>
        </is>
      </c>
      <c r="C19299">
        <f>ROMAN(19298)</f>
        <v/>
      </c>
      <c r="D19299">
        <f>IF(B19299=C19299, "YES", "WRONG")</f>
        <v/>
      </c>
    </row>
    <row r="19300">
      <c r="A19300" t="n">
        <v>19299</v>
      </c>
      <c r="B19300" t="inlineStr">
        <is>
          <t>x̄Mx̄CCXCIX</t>
        </is>
      </c>
      <c r="C19300">
        <f>ROMAN(19299)</f>
        <v/>
      </c>
      <c r="D19300">
        <f>IF(B19300=C19300, "YES", "WRONG")</f>
        <v/>
      </c>
    </row>
    <row r="19301">
      <c r="A19301" t="n">
        <v>19300</v>
      </c>
      <c r="B19301" t="inlineStr">
        <is>
          <t>x̄Mx̄CCC</t>
        </is>
      </c>
      <c r="C19301">
        <f>ROMAN(19300)</f>
        <v/>
      </c>
      <c r="D19301">
        <f>IF(B19301=C19301, "YES", "WRONG")</f>
        <v/>
      </c>
    </row>
    <row r="19302">
      <c r="A19302" t="n">
        <v>19301</v>
      </c>
      <c r="B19302" t="inlineStr">
        <is>
          <t>x̄Mx̄CCCI</t>
        </is>
      </c>
      <c r="C19302">
        <f>ROMAN(19301)</f>
        <v/>
      </c>
      <c r="D19302">
        <f>IF(B19302=C19302, "YES", "WRONG")</f>
        <v/>
      </c>
    </row>
    <row r="19303">
      <c r="A19303" t="n">
        <v>19302</v>
      </c>
      <c r="B19303" t="inlineStr">
        <is>
          <t>x̄Mx̄CCCII</t>
        </is>
      </c>
      <c r="C19303">
        <f>ROMAN(19302)</f>
        <v/>
      </c>
      <c r="D19303">
        <f>IF(B19303=C19303, "YES", "WRONG")</f>
        <v/>
      </c>
    </row>
    <row r="19304">
      <c r="A19304" t="n">
        <v>19303</v>
      </c>
      <c r="B19304" t="inlineStr">
        <is>
          <t>x̄Mx̄CCCIII</t>
        </is>
      </c>
      <c r="C19304">
        <f>ROMAN(19303)</f>
        <v/>
      </c>
      <c r="D19304">
        <f>IF(B19304=C19304, "YES", "WRONG")</f>
        <v/>
      </c>
    </row>
    <row r="19305">
      <c r="A19305" t="n">
        <v>19304</v>
      </c>
      <c r="B19305" t="inlineStr">
        <is>
          <t>x̄Mx̄CCCIV</t>
        </is>
      </c>
      <c r="C19305">
        <f>ROMAN(19304)</f>
        <v/>
      </c>
      <c r="D19305">
        <f>IF(B19305=C19305, "YES", "WRONG")</f>
        <v/>
      </c>
    </row>
    <row r="19306">
      <c r="A19306" t="n">
        <v>19305</v>
      </c>
      <c r="B19306" t="inlineStr">
        <is>
          <t>x̄Mx̄CCCV</t>
        </is>
      </c>
      <c r="C19306">
        <f>ROMAN(19305)</f>
        <v/>
      </c>
      <c r="D19306">
        <f>IF(B19306=C19306, "YES", "WRONG")</f>
        <v/>
      </c>
    </row>
    <row r="19307">
      <c r="A19307" t="n">
        <v>19306</v>
      </c>
      <c r="B19307" t="inlineStr">
        <is>
          <t>x̄Mx̄CCCVI</t>
        </is>
      </c>
      <c r="C19307">
        <f>ROMAN(19306)</f>
        <v/>
      </c>
      <c r="D19307">
        <f>IF(B19307=C19307, "YES", "WRONG")</f>
        <v/>
      </c>
    </row>
    <row r="19308">
      <c r="A19308" t="n">
        <v>19307</v>
      </c>
      <c r="B19308" t="inlineStr">
        <is>
          <t>x̄Mx̄CCCVII</t>
        </is>
      </c>
      <c r="C19308">
        <f>ROMAN(19307)</f>
        <v/>
      </c>
      <c r="D19308">
        <f>IF(B19308=C19308, "YES", "WRONG")</f>
        <v/>
      </c>
    </row>
    <row r="19309">
      <c r="A19309" t="n">
        <v>19308</v>
      </c>
      <c r="B19309" t="inlineStr">
        <is>
          <t>x̄Mx̄CCCVIII</t>
        </is>
      </c>
      <c r="C19309">
        <f>ROMAN(19308)</f>
        <v/>
      </c>
      <c r="D19309">
        <f>IF(B19309=C19309, "YES", "WRONG")</f>
        <v/>
      </c>
    </row>
    <row r="19310">
      <c r="A19310" t="n">
        <v>19309</v>
      </c>
      <c r="B19310" t="inlineStr">
        <is>
          <t>x̄Mx̄CCCIX</t>
        </is>
      </c>
      <c r="C19310">
        <f>ROMAN(19309)</f>
        <v/>
      </c>
      <c r="D19310">
        <f>IF(B19310=C19310, "YES", "WRONG")</f>
        <v/>
      </c>
    </row>
    <row r="19311">
      <c r="A19311" t="n">
        <v>19310</v>
      </c>
      <c r="B19311" t="inlineStr">
        <is>
          <t>x̄Mx̄CCCX</t>
        </is>
      </c>
      <c r="C19311">
        <f>ROMAN(19310)</f>
        <v/>
      </c>
      <c r="D19311">
        <f>IF(B19311=C19311, "YES", "WRONG")</f>
        <v/>
      </c>
    </row>
    <row r="19312">
      <c r="A19312" t="n">
        <v>19311</v>
      </c>
      <c r="B19312" t="inlineStr">
        <is>
          <t>x̄Mx̄CCCXI</t>
        </is>
      </c>
      <c r="C19312">
        <f>ROMAN(19311)</f>
        <v/>
      </c>
      <c r="D19312">
        <f>IF(B19312=C19312, "YES", "WRONG")</f>
        <v/>
      </c>
    </row>
    <row r="19313">
      <c r="A19313" t="n">
        <v>19312</v>
      </c>
      <c r="B19313" t="inlineStr">
        <is>
          <t>x̄Mx̄CCCXII</t>
        </is>
      </c>
      <c r="C19313">
        <f>ROMAN(19312)</f>
        <v/>
      </c>
      <c r="D19313">
        <f>IF(B19313=C19313, "YES", "WRONG")</f>
        <v/>
      </c>
    </row>
    <row r="19314">
      <c r="A19314" t="n">
        <v>19313</v>
      </c>
      <c r="B19314" t="inlineStr">
        <is>
          <t>x̄Mx̄CCCXIII</t>
        </is>
      </c>
      <c r="C19314">
        <f>ROMAN(19313)</f>
        <v/>
      </c>
      <c r="D19314">
        <f>IF(B19314=C19314, "YES", "WRONG")</f>
        <v/>
      </c>
    </row>
    <row r="19315">
      <c r="A19315" t="n">
        <v>19314</v>
      </c>
      <c r="B19315" t="inlineStr">
        <is>
          <t>x̄Mx̄CCCXIV</t>
        </is>
      </c>
      <c r="C19315">
        <f>ROMAN(19314)</f>
        <v/>
      </c>
      <c r="D19315">
        <f>IF(B19315=C19315, "YES", "WRONG")</f>
        <v/>
      </c>
    </row>
    <row r="19316">
      <c r="A19316" t="n">
        <v>19315</v>
      </c>
      <c r="B19316" t="inlineStr">
        <is>
          <t>x̄Mx̄CCCXV</t>
        </is>
      </c>
      <c r="C19316">
        <f>ROMAN(19315)</f>
        <v/>
      </c>
      <c r="D19316">
        <f>IF(B19316=C19316, "YES", "WRONG")</f>
        <v/>
      </c>
    </row>
    <row r="19317">
      <c r="A19317" t="n">
        <v>19316</v>
      </c>
      <c r="B19317" t="inlineStr">
        <is>
          <t>x̄Mx̄CCCXVI</t>
        </is>
      </c>
      <c r="C19317">
        <f>ROMAN(19316)</f>
        <v/>
      </c>
      <c r="D19317">
        <f>IF(B19317=C19317, "YES", "WRONG")</f>
        <v/>
      </c>
    </row>
    <row r="19318">
      <c r="A19318" t="n">
        <v>19317</v>
      </c>
      <c r="B19318" t="inlineStr">
        <is>
          <t>x̄Mx̄CCCXVII</t>
        </is>
      </c>
      <c r="C19318">
        <f>ROMAN(19317)</f>
        <v/>
      </c>
      <c r="D19318">
        <f>IF(B19318=C19318, "YES", "WRONG")</f>
        <v/>
      </c>
    </row>
    <row r="19319">
      <c r="A19319" t="n">
        <v>19318</v>
      </c>
      <c r="B19319" t="inlineStr">
        <is>
          <t>x̄Mx̄CCCXVIII</t>
        </is>
      </c>
      <c r="C19319">
        <f>ROMAN(19318)</f>
        <v/>
      </c>
      <c r="D19319">
        <f>IF(B19319=C19319, "YES", "WRONG")</f>
        <v/>
      </c>
    </row>
    <row r="19320">
      <c r="A19320" t="n">
        <v>19319</v>
      </c>
      <c r="B19320" t="inlineStr">
        <is>
          <t>x̄Mx̄CCCXIX</t>
        </is>
      </c>
      <c r="C19320">
        <f>ROMAN(19319)</f>
        <v/>
      </c>
      <c r="D19320">
        <f>IF(B19320=C19320, "YES", "WRONG")</f>
        <v/>
      </c>
    </row>
    <row r="19321">
      <c r="A19321" t="n">
        <v>19320</v>
      </c>
      <c r="B19321" t="inlineStr">
        <is>
          <t>x̄Mx̄CCCXX</t>
        </is>
      </c>
      <c r="C19321">
        <f>ROMAN(19320)</f>
        <v/>
      </c>
      <c r="D19321">
        <f>IF(B19321=C19321, "YES", "WRONG")</f>
        <v/>
      </c>
    </row>
    <row r="19322">
      <c r="A19322" t="n">
        <v>19321</v>
      </c>
      <c r="B19322" t="inlineStr">
        <is>
          <t>x̄Mx̄CCCXXI</t>
        </is>
      </c>
      <c r="C19322">
        <f>ROMAN(19321)</f>
        <v/>
      </c>
      <c r="D19322">
        <f>IF(B19322=C19322, "YES", "WRONG")</f>
        <v/>
      </c>
    </row>
    <row r="19323">
      <c r="A19323" t="n">
        <v>19322</v>
      </c>
      <c r="B19323" t="inlineStr">
        <is>
          <t>x̄Mx̄CCCXXII</t>
        </is>
      </c>
      <c r="C19323">
        <f>ROMAN(19322)</f>
        <v/>
      </c>
      <c r="D19323">
        <f>IF(B19323=C19323, "YES", "WRONG")</f>
        <v/>
      </c>
    </row>
    <row r="19324">
      <c r="A19324" t="n">
        <v>19323</v>
      </c>
      <c r="B19324" t="inlineStr">
        <is>
          <t>x̄Mx̄CCCXXIII</t>
        </is>
      </c>
      <c r="C19324">
        <f>ROMAN(19323)</f>
        <v/>
      </c>
      <c r="D19324">
        <f>IF(B19324=C19324, "YES", "WRONG")</f>
        <v/>
      </c>
    </row>
    <row r="19325">
      <c r="A19325" t="n">
        <v>19324</v>
      </c>
      <c r="B19325" t="inlineStr">
        <is>
          <t>x̄Mx̄CCCXXIV</t>
        </is>
      </c>
      <c r="C19325">
        <f>ROMAN(19324)</f>
        <v/>
      </c>
      <c r="D19325">
        <f>IF(B19325=C19325, "YES", "WRONG")</f>
        <v/>
      </c>
    </row>
    <row r="19326">
      <c r="A19326" t="n">
        <v>19325</v>
      </c>
      <c r="B19326" t="inlineStr">
        <is>
          <t>x̄Mx̄CCCXXV</t>
        </is>
      </c>
      <c r="C19326">
        <f>ROMAN(19325)</f>
        <v/>
      </c>
      <c r="D19326">
        <f>IF(B19326=C19326, "YES", "WRONG")</f>
        <v/>
      </c>
    </row>
    <row r="19327">
      <c r="A19327" t="n">
        <v>19326</v>
      </c>
      <c r="B19327" t="inlineStr">
        <is>
          <t>x̄Mx̄CCCXXVI</t>
        </is>
      </c>
      <c r="C19327">
        <f>ROMAN(19326)</f>
        <v/>
      </c>
      <c r="D19327">
        <f>IF(B19327=C19327, "YES", "WRONG")</f>
        <v/>
      </c>
    </row>
    <row r="19328">
      <c r="A19328" t="n">
        <v>19327</v>
      </c>
      <c r="B19328" t="inlineStr">
        <is>
          <t>x̄Mx̄CCCXXVII</t>
        </is>
      </c>
      <c r="C19328">
        <f>ROMAN(19327)</f>
        <v/>
      </c>
      <c r="D19328">
        <f>IF(B19328=C19328, "YES", "WRONG")</f>
        <v/>
      </c>
    </row>
    <row r="19329">
      <c r="A19329" t="n">
        <v>19328</v>
      </c>
      <c r="B19329" t="inlineStr">
        <is>
          <t>x̄Mx̄CCCXXVIII</t>
        </is>
      </c>
      <c r="C19329">
        <f>ROMAN(19328)</f>
        <v/>
      </c>
      <c r="D19329">
        <f>IF(B19329=C19329, "YES", "WRONG")</f>
        <v/>
      </c>
    </row>
    <row r="19330">
      <c r="A19330" t="n">
        <v>19329</v>
      </c>
      <c r="B19330" t="inlineStr">
        <is>
          <t>x̄Mx̄CCCXXIX</t>
        </is>
      </c>
      <c r="C19330">
        <f>ROMAN(19329)</f>
        <v/>
      </c>
      <c r="D19330">
        <f>IF(B19330=C19330, "YES", "WRONG")</f>
        <v/>
      </c>
    </row>
    <row r="19331">
      <c r="A19331" t="n">
        <v>19330</v>
      </c>
      <c r="B19331" t="inlineStr">
        <is>
          <t>x̄Mx̄CCCXXX</t>
        </is>
      </c>
      <c r="C19331">
        <f>ROMAN(19330)</f>
        <v/>
      </c>
      <c r="D19331">
        <f>IF(B19331=C19331, "YES", "WRONG")</f>
        <v/>
      </c>
    </row>
    <row r="19332">
      <c r="A19332" t="n">
        <v>19331</v>
      </c>
      <c r="B19332" t="inlineStr">
        <is>
          <t>x̄Mx̄CCCXXXI</t>
        </is>
      </c>
      <c r="C19332">
        <f>ROMAN(19331)</f>
        <v/>
      </c>
      <c r="D19332">
        <f>IF(B19332=C19332, "YES", "WRONG")</f>
        <v/>
      </c>
    </row>
    <row r="19333">
      <c r="A19333" t="n">
        <v>19332</v>
      </c>
      <c r="B19333" t="inlineStr">
        <is>
          <t>x̄Mx̄CCCXXXII</t>
        </is>
      </c>
      <c r="C19333">
        <f>ROMAN(19332)</f>
        <v/>
      </c>
      <c r="D19333">
        <f>IF(B19333=C19333, "YES", "WRONG")</f>
        <v/>
      </c>
    </row>
    <row r="19334">
      <c r="A19334" t="n">
        <v>19333</v>
      </c>
      <c r="B19334" t="inlineStr">
        <is>
          <t>x̄Mx̄CCCXXXIII</t>
        </is>
      </c>
      <c r="C19334">
        <f>ROMAN(19333)</f>
        <v/>
      </c>
      <c r="D19334">
        <f>IF(B19334=C19334, "YES", "WRONG")</f>
        <v/>
      </c>
    </row>
    <row r="19335">
      <c r="A19335" t="n">
        <v>19334</v>
      </c>
      <c r="B19335" t="inlineStr">
        <is>
          <t>x̄Mx̄CCCXXXIV</t>
        </is>
      </c>
      <c r="C19335">
        <f>ROMAN(19334)</f>
        <v/>
      </c>
      <c r="D19335">
        <f>IF(B19335=C19335, "YES", "WRONG")</f>
        <v/>
      </c>
    </row>
    <row r="19336">
      <c r="A19336" t="n">
        <v>19335</v>
      </c>
      <c r="B19336" t="inlineStr">
        <is>
          <t>x̄Mx̄CCCXXXV</t>
        </is>
      </c>
      <c r="C19336">
        <f>ROMAN(19335)</f>
        <v/>
      </c>
      <c r="D19336">
        <f>IF(B19336=C19336, "YES", "WRONG")</f>
        <v/>
      </c>
    </row>
    <row r="19337">
      <c r="A19337" t="n">
        <v>19336</v>
      </c>
      <c r="B19337" t="inlineStr">
        <is>
          <t>x̄Mx̄CCCXXXVI</t>
        </is>
      </c>
      <c r="C19337">
        <f>ROMAN(19336)</f>
        <v/>
      </c>
      <c r="D19337">
        <f>IF(B19337=C19337, "YES", "WRONG")</f>
        <v/>
      </c>
    </row>
    <row r="19338">
      <c r="A19338" t="n">
        <v>19337</v>
      </c>
      <c r="B19338" t="inlineStr">
        <is>
          <t>x̄Mx̄CCCXXXVII</t>
        </is>
      </c>
      <c r="C19338">
        <f>ROMAN(19337)</f>
        <v/>
      </c>
      <c r="D19338">
        <f>IF(B19338=C19338, "YES", "WRONG")</f>
        <v/>
      </c>
    </row>
    <row r="19339">
      <c r="A19339" t="n">
        <v>19338</v>
      </c>
      <c r="B19339" t="inlineStr">
        <is>
          <t>x̄Mx̄CCCXXXVIII</t>
        </is>
      </c>
      <c r="C19339">
        <f>ROMAN(19338)</f>
        <v/>
      </c>
      <c r="D19339">
        <f>IF(B19339=C19339, "YES", "WRONG")</f>
        <v/>
      </c>
    </row>
    <row r="19340">
      <c r="A19340" t="n">
        <v>19339</v>
      </c>
      <c r="B19340" t="inlineStr">
        <is>
          <t>x̄Mx̄CCCXXXIX</t>
        </is>
      </c>
      <c r="C19340">
        <f>ROMAN(19339)</f>
        <v/>
      </c>
      <c r="D19340">
        <f>IF(B19340=C19340, "YES", "WRONG")</f>
        <v/>
      </c>
    </row>
    <row r="19341">
      <c r="A19341" t="n">
        <v>19340</v>
      </c>
      <c r="B19341" t="inlineStr">
        <is>
          <t>x̄Mx̄CCCXL</t>
        </is>
      </c>
      <c r="C19341">
        <f>ROMAN(19340)</f>
        <v/>
      </c>
      <c r="D19341">
        <f>IF(B19341=C19341, "YES", "WRONG")</f>
        <v/>
      </c>
    </row>
    <row r="19342">
      <c r="A19342" t="n">
        <v>19341</v>
      </c>
      <c r="B19342" t="inlineStr">
        <is>
          <t>x̄Mx̄CCCXLI</t>
        </is>
      </c>
      <c r="C19342">
        <f>ROMAN(19341)</f>
        <v/>
      </c>
      <c r="D19342">
        <f>IF(B19342=C19342, "YES", "WRONG")</f>
        <v/>
      </c>
    </row>
    <row r="19343">
      <c r="A19343" t="n">
        <v>19342</v>
      </c>
      <c r="B19343" t="inlineStr">
        <is>
          <t>x̄Mx̄CCCXLII</t>
        </is>
      </c>
      <c r="C19343">
        <f>ROMAN(19342)</f>
        <v/>
      </c>
      <c r="D19343">
        <f>IF(B19343=C19343, "YES", "WRONG")</f>
        <v/>
      </c>
    </row>
    <row r="19344">
      <c r="A19344" t="n">
        <v>19343</v>
      </c>
      <c r="B19344" t="inlineStr">
        <is>
          <t>x̄Mx̄CCCXLIII</t>
        </is>
      </c>
      <c r="C19344">
        <f>ROMAN(19343)</f>
        <v/>
      </c>
      <c r="D19344">
        <f>IF(B19344=C19344, "YES", "WRONG")</f>
        <v/>
      </c>
    </row>
    <row r="19345">
      <c r="A19345" t="n">
        <v>19344</v>
      </c>
      <c r="B19345" t="inlineStr">
        <is>
          <t>x̄Mx̄CCCXLIV</t>
        </is>
      </c>
      <c r="C19345">
        <f>ROMAN(19344)</f>
        <v/>
      </c>
      <c r="D19345">
        <f>IF(B19345=C19345, "YES", "WRONG")</f>
        <v/>
      </c>
    </row>
    <row r="19346">
      <c r="A19346" t="n">
        <v>19345</v>
      </c>
      <c r="B19346" t="inlineStr">
        <is>
          <t>x̄Mx̄CCCXLV</t>
        </is>
      </c>
      <c r="C19346">
        <f>ROMAN(19345)</f>
        <v/>
      </c>
      <c r="D19346">
        <f>IF(B19346=C19346, "YES", "WRONG")</f>
        <v/>
      </c>
    </row>
    <row r="19347">
      <c r="A19347" t="n">
        <v>19346</v>
      </c>
      <c r="B19347" t="inlineStr">
        <is>
          <t>x̄Mx̄CCCXLVI</t>
        </is>
      </c>
      <c r="C19347">
        <f>ROMAN(19346)</f>
        <v/>
      </c>
      <c r="D19347">
        <f>IF(B19347=C19347, "YES", "WRONG")</f>
        <v/>
      </c>
    </row>
    <row r="19348">
      <c r="A19348" t="n">
        <v>19347</v>
      </c>
      <c r="B19348" t="inlineStr">
        <is>
          <t>x̄Mx̄CCCXLVII</t>
        </is>
      </c>
      <c r="C19348">
        <f>ROMAN(19347)</f>
        <v/>
      </c>
      <c r="D19348">
        <f>IF(B19348=C19348, "YES", "WRONG")</f>
        <v/>
      </c>
    </row>
    <row r="19349">
      <c r="A19349" t="n">
        <v>19348</v>
      </c>
      <c r="B19349" t="inlineStr">
        <is>
          <t>x̄Mx̄CCCXLVIII</t>
        </is>
      </c>
      <c r="C19349">
        <f>ROMAN(19348)</f>
        <v/>
      </c>
      <c r="D19349">
        <f>IF(B19349=C19349, "YES", "WRONG")</f>
        <v/>
      </c>
    </row>
    <row r="19350">
      <c r="A19350" t="n">
        <v>19349</v>
      </c>
      <c r="B19350" t="inlineStr">
        <is>
          <t>x̄Mx̄CCCXLIX</t>
        </is>
      </c>
      <c r="C19350">
        <f>ROMAN(19349)</f>
        <v/>
      </c>
      <c r="D19350">
        <f>IF(B19350=C19350, "YES", "WRONG")</f>
        <v/>
      </c>
    </row>
    <row r="19351">
      <c r="A19351" t="n">
        <v>19350</v>
      </c>
      <c r="B19351" t="inlineStr">
        <is>
          <t>x̄Mx̄CCCL</t>
        </is>
      </c>
      <c r="C19351">
        <f>ROMAN(19350)</f>
        <v/>
      </c>
      <c r="D19351">
        <f>IF(B19351=C19351, "YES", "WRONG")</f>
        <v/>
      </c>
    </row>
    <row r="19352">
      <c r="A19352" t="n">
        <v>19351</v>
      </c>
      <c r="B19352" t="inlineStr">
        <is>
          <t>x̄Mx̄CCCLI</t>
        </is>
      </c>
      <c r="C19352">
        <f>ROMAN(19351)</f>
        <v/>
      </c>
      <c r="D19352">
        <f>IF(B19352=C19352, "YES", "WRONG")</f>
        <v/>
      </c>
    </row>
    <row r="19353">
      <c r="A19353" t="n">
        <v>19352</v>
      </c>
      <c r="B19353" t="inlineStr">
        <is>
          <t>x̄Mx̄CCCLII</t>
        </is>
      </c>
      <c r="C19353">
        <f>ROMAN(19352)</f>
        <v/>
      </c>
      <c r="D19353">
        <f>IF(B19353=C19353, "YES", "WRONG")</f>
        <v/>
      </c>
    </row>
    <row r="19354">
      <c r="A19354" t="n">
        <v>19353</v>
      </c>
      <c r="B19354" t="inlineStr">
        <is>
          <t>x̄Mx̄CCCLIII</t>
        </is>
      </c>
      <c r="C19354">
        <f>ROMAN(19353)</f>
        <v/>
      </c>
      <c r="D19354">
        <f>IF(B19354=C19354, "YES", "WRONG")</f>
        <v/>
      </c>
    </row>
    <row r="19355">
      <c r="A19355" t="n">
        <v>19354</v>
      </c>
      <c r="B19355" t="inlineStr">
        <is>
          <t>x̄Mx̄CCCLIV</t>
        </is>
      </c>
      <c r="C19355">
        <f>ROMAN(19354)</f>
        <v/>
      </c>
      <c r="D19355">
        <f>IF(B19355=C19355, "YES", "WRONG")</f>
        <v/>
      </c>
    </row>
    <row r="19356">
      <c r="A19356" t="n">
        <v>19355</v>
      </c>
      <c r="B19356" t="inlineStr">
        <is>
          <t>x̄Mx̄CCCLV</t>
        </is>
      </c>
      <c r="C19356">
        <f>ROMAN(19355)</f>
        <v/>
      </c>
      <c r="D19356">
        <f>IF(B19356=C19356, "YES", "WRONG")</f>
        <v/>
      </c>
    </row>
    <row r="19357">
      <c r="A19357" t="n">
        <v>19356</v>
      </c>
      <c r="B19357" t="inlineStr">
        <is>
          <t>x̄Mx̄CCCLVI</t>
        </is>
      </c>
      <c r="C19357">
        <f>ROMAN(19356)</f>
        <v/>
      </c>
      <c r="D19357">
        <f>IF(B19357=C19357, "YES", "WRONG")</f>
        <v/>
      </c>
    </row>
    <row r="19358">
      <c r="A19358" t="n">
        <v>19357</v>
      </c>
      <c r="B19358" t="inlineStr">
        <is>
          <t>x̄Mx̄CCCLVII</t>
        </is>
      </c>
      <c r="C19358">
        <f>ROMAN(19357)</f>
        <v/>
      </c>
      <c r="D19358">
        <f>IF(B19358=C19358, "YES", "WRONG")</f>
        <v/>
      </c>
    </row>
    <row r="19359">
      <c r="A19359" t="n">
        <v>19358</v>
      </c>
      <c r="B19359" t="inlineStr">
        <is>
          <t>x̄Mx̄CCCLVIII</t>
        </is>
      </c>
      <c r="C19359">
        <f>ROMAN(19358)</f>
        <v/>
      </c>
      <c r="D19359">
        <f>IF(B19359=C19359, "YES", "WRONG")</f>
        <v/>
      </c>
    </row>
    <row r="19360">
      <c r="A19360" t="n">
        <v>19359</v>
      </c>
      <c r="B19360" t="inlineStr">
        <is>
          <t>x̄Mx̄CCCLIX</t>
        </is>
      </c>
      <c r="C19360">
        <f>ROMAN(19359)</f>
        <v/>
      </c>
      <c r="D19360">
        <f>IF(B19360=C19360, "YES", "WRONG")</f>
        <v/>
      </c>
    </row>
    <row r="19361">
      <c r="A19361" t="n">
        <v>19360</v>
      </c>
      <c r="B19361" t="inlineStr">
        <is>
          <t>x̄Mx̄CCCLX</t>
        </is>
      </c>
      <c r="C19361">
        <f>ROMAN(19360)</f>
        <v/>
      </c>
      <c r="D19361">
        <f>IF(B19361=C19361, "YES", "WRONG")</f>
        <v/>
      </c>
    </row>
    <row r="19362">
      <c r="A19362" t="n">
        <v>19361</v>
      </c>
      <c r="B19362" t="inlineStr">
        <is>
          <t>x̄Mx̄CCCLXI</t>
        </is>
      </c>
      <c r="C19362">
        <f>ROMAN(19361)</f>
        <v/>
      </c>
      <c r="D19362">
        <f>IF(B19362=C19362, "YES", "WRONG")</f>
        <v/>
      </c>
    </row>
    <row r="19363">
      <c r="A19363" t="n">
        <v>19362</v>
      </c>
      <c r="B19363" t="inlineStr">
        <is>
          <t>x̄Mx̄CCCLXII</t>
        </is>
      </c>
      <c r="C19363">
        <f>ROMAN(19362)</f>
        <v/>
      </c>
      <c r="D19363">
        <f>IF(B19363=C19363, "YES", "WRONG")</f>
        <v/>
      </c>
    </row>
    <row r="19364">
      <c r="A19364" t="n">
        <v>19363</v>
      </c>
      <c r="B19364" t="inlineStr">
        <is>
          <t>x̄Mx̄CCCLXIII</t>
        </is>
      </c>
      <c r="C19364">
        <f>ROMAN(19363)</f>
        <v/>
      </c>
      <c r="D19364">
        <f>IF(B19364=C19364, "YES", "WRONG")</f>
        <v/>
      </c>
    </row>
    <row r="19365">
      <c r="A19365" t="n">
        <v>19364</v>
      </c>
      <c r="B19365" t="inlineStr">
        <is>
          <t>x̄Mx̄CCCLXIV</t>
        </is>
      </c>
      <c r="C19365">
        <f>ROMAN(19364)</f>
        <v/>
      </c>
      <c r="D19365">
        <f>IF(B19365=C19365, "YES", "WRONG")</f>
        <v/>
      </c>
    </row>
    <row r="19366">
      <c r="A19366" t="n">
        <v>19365</v>
      </c>
      <c r="B19366" t="inlineStr">
        <is>
          <t>x̄Mx̄CCCLXV</t>
        </is>
      </c>
      <c r="C19366">
        <f>ROMAN(19365)</f>
        <v/>
      </c>
      <c r="D19366">
        <f>IF(B19366=C19366, "YES", "WRONG")</f>
        <v/>
      </c>
    </row>
    <row r="19367">
      <c r="A19367" t="n">
        <v>19366</v>
      </c>
      <c r="B19367" t="inlineStr">
        <is>
          <t>x̄Mx̄CCCLXVI</t>
        </is>
      </c>
      <c r="C19367">
        <f>ROMAN(19366)</f>
        <v/>
      </c>
      <c r="D19367">
        <f>IF(B19367=C19367, "YES", "WRONG")</f>
        <v/>
      </c>
    </row>
    <row r="19368">
      <c r="A19368" t="n">
        <v>19367</v>
      </c>
      <c r="B19368" t="inlineStr">
        <is>
          <t>x̄Mx̄CCCLXVII</t>
        </is>
      </c>
      <c r="C19368">
        <f>ROMAN(19367)</f>
        <v/>
      </c>
      <c r="D19368">
        <f>IF(B19368=C19368, "YES", "WRONG")</f>
        <v/>
      </c>
    </row>
    <row r="19369">
      <c r="A19369" t="n">
        <v>19368</v>
      </c>
      <c r="B19369" t="inlineStr">
        <is>
          <t>x̄Mx̄CCCLXVIII</t>
        </is>
      </c>
      <c r="C19369">
        <f>ROMAN(19368)</f>
        <v/>
      </c>
      <c r="D19369">
        <f>IF(B19369=C19369, "YES", "WRONG")</f>
        <v/>
      </c>
    </row>
    <row r="19370">
      <c r="A19370" t="n">
        <v>19369</v>
      </c>
      <c r="B19370" t="inlineStr">
        <is>
          <t>x̄Mx̄CCCLXIX</t>
        </is>
      </c>
      <c r="C19370">
        <f>ROMAN(19369)</f>
        <v/>
      </c>
      <c r="D19370">
        <f>IF(B19370=C19370, "YES", "WRONG")</f>
        <v/>
      </c>
    </row>
    <row r="19371">
      <c r="A19371" t="n">
        <v>19370</v>
      </c>
      <c r="B19371" t="inlineStr">
        <is>
          <t>x̄Mx̄CCCLXX</t>
        </is>
      </c>
      <c r="C19371">
        <f>ROMAN(19370)</f>
        <v/>
      </c>
      <c r="D19371">
        <f>IF(B19371=C19371, "YES", "WRONG")</f>
        <v/>
      </c>
    </row>
    <row r="19372">
      <c r="A19372" t="n">
        <v>19371</v>
      </c>
      <c r="B19372" t="inlineStr">
        <is>
          <t>x̄Mx̄CCCLXXI</t>
        </is>
      </c>
      <c r="C19372">
        <f>ROMAN(19371)</f>
        <v/>
      </c>
      <c r="D19372">
        <f>IF(B19372=C19372, "YES", "WRONG")</f>
        <v/>
      </c>
    </row>
    <row r="19373">
      <c r="A19373" t="n">
        <v>19372</v>
      </c>
      <c r="B19373" t="inlineStr">
        <is>
          <t>x̄Mx̄CCCLXXII</t>
        </is>
      </c>
      <c r="C19373">
        <f>ROMAN(19372)</f>
        <v/>
      </c>
      <c r="D19373">
        <f>IF(B19373=C19373, "YES", "WRONG")</f>
        <v/>
      </c>
    </row>
    <row r="19374">
      <c r="A19374" t="n">
        <v>19373</v>
      </c>
      <c r="B19374" t="inlineStr">
        <is>
          <t>x̄Mx̄CCCLXXIII</t>
        </is>
      </c>
      <c r="C19374">
        <f>ROMAN(19373)</f>
        <v/>
      </c>
      <c r="D19374">
        <f>IF(B19374=C19374, "YES", "WRONG")</f>
        <v/>
      </c>
    </row>
    <row r="19375">
      <c r="A19375" t="n">
        <v>19374</v>
      </c>
      <c r="B19375" t="inlineStr">
        <is>
          <t>x̄Mx̄CCCLXXIV</t>
        </is>
      </c>
      <c r="C19375">
        <f>ROMAN(19374)</f>
        <v/>
      </c>
      <c r="D19375">
        <f>IF(B19375=C19375, "YES", "WRONG")</f>
        <v/>
      </c>
    </row>
    <row r="19376">
      <c r="A19376" t="n">
        <v>19375</v>
      </c>
      <c r="B19376" t="inlineStr">
        <is>
          <t>x̄Mx̄CCCLXXV</t>
        </is>
      </c>
      <c r="C19376">
        <f>ROMAN(19375)</f>
        <v/>
      </c>
      <c r="D19376">
        <f>IF(B19376=C19376, "YES", "WRONG")</f>
        <v/>
      </c>
    </row>
    <row r="19377">
      <c r="A19377" t="n">
        <v>19376</v>
      </c>
      <c r="B19377" t="inlineStr">
        <is>
          <t>x̄Mx̄CCCLXXVI</t>
        </is>
      </c>
      <c r="C19377">
        <f>ROMAN(19376)</f>
        <v/>
      </c>
      <c r="D19377">
        <f>IF(B19377=C19377, "YES", "WRONG")</f>
        <v/>
      </c>
    </row>
    <row r="19378">
      <c r="A19378" t="n">
        <v>19377</v>
      </c>
      <c r="B19378" t="inlineStr">
        <is>
          <t>x̄Mx̄CCCLXXVII</t>
        </is>
      </c>
      <c r="C19378">
        <f>ROMAN(19377)</f>
        <v/>
      </c>
      <c r="D19378">
        <f>IF(B19378=C19378, "YES", "WRONG")</f>
        <v/>
      </c>
    </row>
    <row r="19379">
      <c r="A19379" t="n">
        <v>19378</v>
      </c>
      <c r="B19379" t="inlineStr">
        <is>
          <t>x̄Mx̄CCCLXXVIII</t>
        </is>
      </c>
      <c r="C19379">
        <f>ROMAN(19378)</f>
        <v/>
      </c>
      <c r="D19379">
        <f>IF(B19379=C19379, "YES", "WRONG")</f>
        <v/>
      </c>
    </row>
    <row r="19380">
      <c r="A19380" t="n">
        <v>19379</v>
      </c>
      <c r="B19380" t="inlineStr">
        <is>
          <t>x̄Mx̄CCCLXXIX</t>
        </is>
      </c>
      <c r="C19380">
        <f>ROMAN(19379)</f>
        <v/>
      </c>
      <c r="D19380">
        <f>IF(B19380=C19380, "YES", "WRONG")</f>
        <v/>
      </c>
    </row>
    <row r="19381">
      <c r="A19381" t="n">
        <v>19380</v>
      </c>
      <c r="B19381" t="inlineStr">
        <is>
          <t>x̄Mx̄CCCLXXX</t>
        </is>
      </c>
      <c r="C19381">
        <f>ROMAN(19380)</f>
        <v/>
      </c>
      <c r="D19381">
        <f>IF(B19381=C19381, "YES", "WRONG")</f>
        <v/>
      </c>
    </row>
    <row r="19382">
      <c r="A19382" t="n">
        <v>19381</v>
      </c>
      <c r="B19382" t="inlineStr">
        <is>
          <t>x̄Mx̄CCCLXXXI</t>
        </is>
      </c>
      <c r="C19382">
        <f>ROMAN(19381)</f>
        <v/>
      </c>
      <c r="D19382">
        <f>IF(B19382=C19382, "YES", "WRONG")</f>
        <v/>
      </c>
    </row>
    <row r="19383">
      <c r="A19383" t="n">
        <v>19382</v>
      </c>
      <c r="B19383" t="inlineStr">
        <is>
          <t>x̄Mx̄CCCLXXXII</t>
        </is>
      </c>
      <c r="C19383">
        <f>ROMAN(19382)</f>
        <v/>
      </c>
      <c r="D19383">
        <f>IF(B19383=C19383, "YES", "WRONG")</f>
        <v/>
      </c>
    </row>
    <row r="19384">
      <c r="A19384" t="n">
        <v>19383</v>
      </c>
      <c r="B19384" t="inlineStr">
        <is>
          <t>x̄Mx̄CCCLXXXIII</t>
        </is>
      </c>
      <c r="C19384">
        <f>ROMAN(19383)</f>
        <v/>
      </c>
      <c r="D19384">
        <f>IF(B19384=C19384, "YES", "WRONG")</f>
        <v/>
      </c>
    </row>
    <row r="19385">
      <c r="A19385" t="n">
        <v>19384</v>
      </c>
      <c r="B19385" t="inlineStr">
        <is>
          <t>x̄Mx̄CCCLXXXIV</t>
        </is>
      </c>
      <c r="C19385">
        <f>ROMAN(19384)</f>
        <v/>
      </c>
      <c r="D19385">
        <f>IF(B19385=C19385, "YES", "WRONG")</f>
        <v/>
      </c>
    </row>
    <row r="19386">
      <c r="A19386" t="n">
        <v>19385</v>
      </c>
      <c r="B19386" t="inlineStr">
        <is>
          <t>x̄Mx̄CCCLXXXV</t>
        </is>
      </c>
      <c r="C19386">
        <f>ROMAN(19385)</f>
        <v/>
      </c>
      <c r="D19386">
        <f>IF(B19386=C19386, "YES", "WRONG")</f>
        <v/>
      </c>
    </row>
    <row r="19387">
      <c r="A19387" t="n">
        <v>19386</v>
      </c>
      <c r="B19387" t="inlineStr">
        <is>
          <t>x̄Mx̄CCCLXXXVI</t>
        </is>
      </c>
      <c r="C19387">
        <f>ROMAN(19386)</f>
        <v/>
      </c>
      <c r="D19387">
        <f>IF(B19387=C19387, "YES", "WRONG")</f>
        <v/>
      </c>
    </row>
    <row r="19388">
      <c r="A19388" t="n">
        <v>19387</v>
      </c>
      <c r="B19388" t="inlineStr">
        <is>
          <t>x̄Mx̄CCCLXXXVII</t>
        </is>
      </c>
      <c r="C19388">
        <f>ROMAN(19387)</f>
        <v/>
      </c>
      <c r="D19388">
        <f>IF(B19388=C19388, "YES", "WRONG")</f>
        <v/>
      </c>
    </row>
    <row r="19389">
      <c r="A19389" t="n">
        <v>19388</v>
      </c>
      <c r="B19389" t="inlineStr">
        <is>
          <t>x̄Mx̄CCCLXXXVIII</t>
        </is>
      </c>
      <c r="C19389">
        <f>ROMAN(19388)</f>
        <v/>
      </c>
      <c r="D19389">
        <f>IF(B19389=C19389, "YES", "WRONG")</f>
        <v/>
      </c>
    </row>
    <row r="19390">
      <c r="A19390" t="n">
        <v>19389</v>
      </c>
      <c r="B19390" t="inlineStr">
        <is>
          <t>x̄Mx̄CCCLXXXIX</t>
        </is>
      </c>
      <c r="C19390">
        <f>ROMAN(19389)</f>
        <v/>
      </c>
      <c r="D19390">
        <f>IF(B19390=C19390, "YES", "WRONG")</f>
        <v/>
      </c>
    </row>
    <row r="19391">
      <c r="A19391" t="n">
        <v>19390</v>
      </c>
      <c r="B19391" t="inlineStr">
        <is>
          <t>x̄Mx̄CCCXC</t>
        </is>
      </c>
      <c r="C19391">
        <f>ROMAN(19390)</f>
        <v/>
      </c>
      <c r="D19391">
        <f>IF(B19391=C19391, "YES", "WRONG")</f>
        <v/>
      </c>
    </row>
    <row r="19392">
      <c r="A19392" t="n">
        <v>19391</v>
      </c>
      <c r="B19392" t="inlineStr">
        <is>
          <t>x̄Mx̄CCCXCI</t>
        </is>
      </c>
      <c r="C19392">
        <f>ROMAN(19391)</f>
        <v/>
      </c>
      <c r="D19392">
        <f>IF(B19392=C19392, "YES", "WRONG")</f>
        <v/>
      </c>
    </row>
    <row r="19393">
      <c r="A19393" t="n">
        <v>19392</v>
      </c>
      <c r="B19393" t="inlineStr">
        <is>
          <t>x̄Mx̄CCCXCII</t>
        </is>
      </c>
      <c r="C19393">
        <f>ROMAN(19392)</f>
        <v/>
      </c>
      <c r="D19393">
        <f>IF(B19393=C19393, "YES", "WRONG")</f>
        <v/>
      </c>
    </row>
    <row r="19394">
      <c r="A19394" t="n">
        <v>19393</v>
      </c>
      <c r="B19394" t="inlineStr">
        <is>
          <t>x̄Mx̄CCCXCIII</t>
        </is>
      </c>
      <c r="C19394">
        <f>ROMAN(19393)</f>
        <v/>
      </c>
      <c r="D19394">
        <f>IF(B19394=C19394, "YES", "WRONG")</f>
        <v/>
      </c>
    </row>
    <row r="19395">
      <c r="A19395" t="n">
        <v>19394</v>
      </c>
      <c r="B19395" t="inlineStr">
        <is>
          <t>x̄Mx̄CCCXCIV</t>
        </is>
      </c>
      <c r="C19395">
        <f>ROMAN(19394)</f>
        <v/>
      </c>
      <c r="D19395">
        <f>IF(B19395=C19395, "YES", "WRONG")</f>
        <v/>
      </c>
    </row>
    <row r="19396">
      <c r="A19396" t="n">
        <v>19395</v>
      </c>
      <c r="B19396" t="inlineStr">
        <is>
          <t>x̄Mx̄CCCXCV</t>
        </is>
      </c>
      <c r="C19396">
        <f>ROMAN(19395)</f>
        <v/>
      </c>
      <c r="D19396">
        <f>IF(B19396=C19396, "YES", "WRONG")</f>
        <v/>
      </c>
    </row>
    <row r="19397">
      <c r="A19397" t="n">
        <v>19396</v>
      </c>
      <c r="B19397" t="inlineStr">
        <is>
          <t>x̄Mx̄CCCXCVI</t>
        </is>
      </c>
      <c r="C19397">
        <f>ROMAN(19396)</f>
        <v/>
      </c>
      <c r="D19397">
        <f>IF(B19397=C19397, "YES", "WRONG")</f>
        <v/>
      </c>
    </row>
    <row r="19398">
      <c r="A19398" t="n">
        <v>19397</v>
      </c>
      <c r="B19398" t="inlineStr">
        <is>
          <t>x̄Mx̄CCCXCVII</t>
        </is>
      </c>
      <c r="C19398">
        <f>ROMAN(19397)</f>
        <v/>
      </c>
      <c r="D19398">
        <f>IF(B19398=C19398, "YES", "WRONG")</f>
        <v/>
      </c>
    </row>
    <row r="19399">
      <c r="A19399" t="n">
        <v>19398</v>
      </c>
      <c r="B19399" t="inlineStr">
        <is>
          <t>x̄Mx̄CCCXCVIII</t>
        </is>
      </c>
      <c r="C19399">
        <f>ROMAN(19398)</f>
        <v/>
      </c>
      <c r="D19399">
        <f>IF(B19399=C19399, "YES", "WRONG")</f>
        <v/>
      </c>
    </row>
    <row r="19400">
      <c r="A19400" t="n">
        <v>19399</v>
      </c>
      <c r="B19400" t="inlineStr">
        <is>
          <t>x̄Mx̄CCCXCIX</t>
        </is>
      </c>
      <c r="C19400">
        <f>ROMAN(19399)</f>
        <v/>
      </c>
      <c r="D19400">
        <f>IF(B19400=C19400, "YES", "WRONG")</f>
        <v/>
      </c>
    </row>
    <row r="19401">
      <c r="A19401" t="n">
        <v>19400</v>
      </c>
      <c r="B19401" t="inlineStr">
        <is>
          <t>x̄Mx̄CD</t>
        </is>
      </c>
      <c r="C19401">
        <f>ROMAN(19400)</f>
        <v/>
      </c>
      <c r="D19401">
        <f>IF(B19401=C19401, "YES", "WRONG")</f>
        <v/>
      </c>
    </row>
    <row r="19402">
      <c r="A19402" t="n">
        <v>19401</v>
      </c>
      <c r="B19402" t="inlineStr">
        <is>
          <t>x̄Mx̄CDI</t>
        </is>
      </c>
      <c r="C19402">
        <f>ROMAN(19401)</f>
        <v/>
      </c>
      <c r="D19402">
        <f>IF(B19402=C19402, "YES", "WRONG")</f>
        <v/>
      </c>
    </row>
    <row r="19403">
      <c r="A19403" t="n">
        <v>19402</v>
      </c>
      <c r="B19403" t="inlineStr">
        <is>
          <t>x̄Mx̄CDII</t>
        </is>
      </c>
      <c r="C19403">
        <f>ROMAN(19402)</f>
        <v/>
      </c>
      <c r="D19403">
        <f>IF(B19403=C19403, "YES", "WRONG")</f>
        <v/>
      </c>
    </row>
    <row r="19404">
      <c r="A19404" t="n">
        <v>19403</v>
      </c>
      <c r="B19404" t="inlineStr">
        <is>
          <t>x̄Mx̄CDIII</t>
        </is>
      </c>
      <c r="C19404">
        <f>ROMAN(19403)</f>
        <v/>
      </c>
      <c r="D19404">
        <f>IF(B19404=C19404, "YES", "WRONG")</f>
        <v/>
      </c>
    </row>
    <row r="19405">
      <c r="A19405" t="n">
        <v>19404</v>
      </c>
      <c r="B19405" t="inlineStr">
        <is>
          <t>x̄Mx̄CDIV</t>
        </is>
      </c>
      <c r="C19405">
        <f>ROMAN(19404)</f>
        <v/>
      </c>
      <c r="D19405">
        <f>IF(B19405=C19405, "YES", "WRONG")</f>
        <v/>
      </c>
    </row>
    <row r="19406">
      <c r="A19406" t="n">
        <v>19405</v>
      </c>
      <c r="B19406" t="inlineStr">
        <is>
          <t>x̄Mx̄CDV</t>
        </is>
      </c>
      <c r="C19406">
        <f>ROMAN(19405)</f>
        <v/>
      </c>
      <c r="D19406">
        <f>IF(B19406=C19406, "YES", "WRONG")</f>
        <v/>
      </c>
    </row>
    <row r="19407">
      <c r="A19407" t="n">
        <v>19406</v>
      </c>
      <c r="B19407" t="inlineStr">
        <is>
          <t>x̄Mx̄CDVI</t>
        </is>
      </c>
      <c r="C19407">
        <f>ROMAN(19406)</f>
        <v/>
      </c>
      <c r="D19407">
        <f>IF(B19407=C19407, "YES", "WRONG")</f>
        <v/>
      </c>
    </row>
    <row r="19408">
      <c r="A19408" t="n">
        <v>19407</v>
      </c>
      <c r="B19408" t="inlineStr">
        <is>
          <t>x̄Mx̄CDVII</t>
        </is>
      </c>
      <c r="C19408">
        <f>ROMAN(19407)</f>
        <v/>
      </c>
      <c r="D19408">
        <f>IF(B19408=C19408, "YES", "WRONG")</f>
        <v/>
      </c>
    </row>
    <row r="19409">
      <c r="A19409" t="n">
        <v>19408</v>
      </c>
      <c r="B19409" t="inlineStr">
        <is>
          <t>x̄Mx̄CDVIII</t>
        </is>
      </c>
      <c r="C19409">
        <f>ROMAN(19408)</f>
        <v/>
      </c>
      <c r="D19409">
        <f>IF(B19409=C19409, "YES", "WRONG")</f>
        <v/>
      </c>
    </row>
    <row r="19410">
      <c r="A19410" t="n">
        <v>19409</v>
      </c>
      <c r="B19410" t="inlineStr">
        <is>
          <t>x̄Mx̄CDIX</t>
        </is>
      </c>
      <c r="C19410">
        <f>ROMAN(19409)</f>
        <v/>
      </c>
      <c r="D19410">
        <f>IF(B19410=C19410, "YES", "WRONG")</f>
        <v/>
      </c>
    </row>
    <row r="19411">
      <c r="A19411" t="n">
        <v>19410</v>
      </c>
      <c r="B19411" t="inlineStr">
        <is>
          <t>x̄Mx̄CDX</t>
        </is>
      </c>
      <c r="C19411">
        <f>ROMAN(19410)</f>
        <v/>
      </c>
      <c r="D19411">
        <f>IF(B19411=C19411, "YES", "WRONG")</f>
        <v/>
      </c>
    </row>
    <row r="19412">
      <c r="A19412" t="n">
        <v>19411</v>
      </c>
      <c r="B19412" t="inlineStr">
        <is>
          <t>x̄Mx̄CDXI</t>
        </is>
      </c>
      <c r="C19412">
        <f>ROMAN(19411)</f>
        <v/>
      </c>
      <c r="D19412">
        <f>IF(B19412=C19412, "YES", "WRONG")</f>
        <v/>
      </c>
    </row>
    <row r="19413">
      <c r="A19413" t="n">
        <v>19412</v>
      </c>
      <c r="B19413" t="inlineStr">
        <is>
          <t>x̄Mx̄CDXII</t>
        </is>
      </c>
      <c r="C19413">
        <f>ROMAN(19412)</f>
        <v/>
      </c>
      <c r="D19413">
        <f>IF(B19413=C19413, "YES", "WRONG")</f>
        <v/>
      </c>
    </row>
    <row r="19414">
      <c r="A19414" t="n">
        <v>19413</v>
      </c>
      <c r="B19414" t="inlineStr">
        <is>
          <t>x̄Mx̄CDXIII</t>
        </is>
      </c>
      <c r="C19414">
        <f>ROMAN(19413)</f>
        <v/>
      </c>
      <c r="D19414">
        <f>IF(B19414=C19414, "YES", "WRONG")</f>
        <v/>
      </c>
    </row>
    <row r="19415">
      <c r="A19415" t="n">
        <v>19414</v>
      </c>
      <c r="B19415" t="inlineStr">
        <is>
          <t>x̄Mx̄CDXIV</t>
        </is>
      </c>
      <c r="C19415">
        <f>ROMAN(19414)</f>
        <v/>
      </c>
      <c r="D19415">
        <f>IF(B19415=C19415, "YES", "WRONG")</f>
        <v/>
      </c>
    </row>
    <row r="19416">
      <c r="A19416" t="n">
        <v>19415</v>
      </c>
      <c r="B19416" t="inlineStr">
        <is>
          <t>x̄Mx̄CDXV</t>
        </is>
      </c>
      <c r="C19416">
        <f>ROMAN(19415)</f>
        <v/>
      </c>
      <c r="D19416">
        <f>IF(B19416=C19416, "YES", "WRONG")</f>
        <v/>
      </c>
    </row>
    <row r="19417">
      <c r="A19417" t="n">
        <v>19416</v>
      </c>
      <c r="B19417" t="inlineStr">
        <is>
          <t>x̄Mx̄CDXVI</t>
        </is>
      </c>
      <c r="C19417">
        <f>ROMAN(19416)</f>
        <v/>
      </c>
      <c r="D19417">
        <f>IF(B19417=C19417, "YES", "WRONG")</f>
        <v/>
      </c>
    </row>
    <row r="19418">
      <c r="A19418" t="n">
        <v>19417</v>
      </c>
      <c r="B19418" t="inlineStr">
        <is>
          <t>x̄Mx̄CDXVII</t>
        </is>
      </c>
      <c r="C19418">
        <f>ROMAN(19417)</f>
        <v/>
      </c>
      <c r="D19418">
        <f>IF(B19418=C19418, "YES", "WRONG")</f>
        <v/>
      </c>
    </row>
    <row r="19419">
      <c r="A19419" t="n">
        <v>19418</v>
      </c>
      <c r="B19419" t="inlineStr">
        <is>
          <t>x̄Mx̄CDXVIII</t>
        </is>
      </c>
      <c r="C19419">
        <f>ROMAN(19418)</f>
        <v/>
      </c>
      <c r="D19419">
        <f>IF(B19419=C19419, "YES", "WRONG")</f>
        <v/>
      </c>
    </row>
    <row r="19420">
      <c r="A19420" t="n">
        <v>19419</v>
      </c>
      <c r="B19420" t="inlineStr">
        <is>
          <t>x̄Mx̄CDXIX</t>
        </is>
      </c>
      <c r="C19420">
        <f>ROMAN(19419)</f>
        <v/>
      </c>
      <c r="D19420">
        <f>IF(B19420=C19420, "YES", "WRONG")</f>
        <v/>
      </c>
    </row>
    <row r="19421">
      <c r="A19421" t="n">
        <v>19420</v>
      </c>
      <c r="B19421" t="inlineStr">
        <is>
          <t>x̄Mx̄CDXX</t>
        </is>
      </c>
      <c r="C19421">
        <f>ROMAN(19420)</f>
        <v/>
      </c>
      <c r="D19421">
        <f>IF(B19421=C19421, "YES", "WRONG")</f>
        <v/>
      </c>
    </row>
    <row r="19422">
      <c r="A19422" t="n">
        <v>19421</v>
      </c>
      <c r="B19422" t="inlineStr">
        <is>
          <t>x̄Mx̄CDXXI</t>
        </is>
      </c>
      <c r="C19422">
        <f>ROMAN(19421)</f>
        <v/>
      </c>
      <c r="D19422">
        <f>IF(B19422=C19422, "YES", "WRONG")</f>
        <v/>
      </c>
    </row>
    <row r="19423">
      <c r="A19423" t="n">
        <v>19422</v>
      </c>
      <c r="B19423" t="inlineStr">
        <is>
          <t>x̄Mx̄CDXXII</t>
        </is>
      </c>
      <c r="C19423">
        <f>ROMAN(19422)</f>
        <v/>
      </c>
      <c r="D19423">
        <f>IF(B19423=C19423, "YES", "WRONG")</f>
        <v/>
      </c>
    </row>
    <row r="19424">
      <c r="A19424" t="n">
        <v>19423</v>
      </c>
      <c r="B19424" t="inlineStr">
        <is>
          <t>x̄Mx̄CDXXIII</t>
        </is>
      </c>
      <c r="C19424">
        <f>ROMAN(19423)</f>
        <v/>
      </c>
      <c r="D19424">
        <f>IF(B19424=C19424, "YES", "WRONG")</f>
        <v/>
      </c>
    </row>
    <row r="19425">
      <c r="A19425" t="n">
        <v>19424</v>
      </c>
      <c r="B19425" t="inlineStr">
        <is>
          <t>x̄Mx̄CDXXIV</t>
        </is>
      </c>
      <c r="C19425">
        <f>ROMAN(19424)</f>
        <v/>
      </c>
      <c r="D19425">
        <f>IF(B19425=C19425, "YES", "WRONG")</f>
        <v/>
      </c>
    </row>
    <row r="19426">
      <c r="A19426" t="n">
        <v>19425</v>
      </c>
      <c r="B19426" t="inlineStr">
        <is>
          <t>x̄Mx̄CDXXV</t>
        </is>
      </c>
      <c r="C19426">
        <f>ROMAN(19425)</f>
        <v/>
      </c>
      <c r="D19426">
        <f>IF(B19426=C19426, "YES", "WRONG")</f>
        <v/>
      </c>
    </row>
    <row r="19427">
      <c r="A19427" t="n">
        <v>19426</v>
      </c>
      <c r="B19427" t="inlineStr">
        <is>
          <t>x̄Mx̄CDXXVI</t>
        </is>
      </c>
      <c r="C19427">
        <f>ROMAN(19426)</f>
        <v/>
      </c>
      <c r="D19427">
        <f>IF(B19427=C19427, "YES", "WRONG")</f>
        <v/>
      </c>
    </row>
    <row r="19428">
      <c r="A19428" t="n">
        <v>19427</v>
      </c>
      <c r="B19428" t="inlineStr">
        <is>
          <t>x̄Mx̄CDXXVII</t>
        </is>
      </c>
      <c r="C19428">
        <f>ROMAN(19427)</f>
        <v/>
      </c>
      <c r="D19428">
        <f>IF(B19428=C19428, "YES", "WRONG")</f>
        <v/>
      </c>
    </row>
    <row r="19429">
      <c r="A19429" t="n">
        <v>19428</v>
      </c>
      <c r="B19429" t="inlineStr">
        <is>
          <t>x̄Mx̄CDXXVIII</t>
        </is>
      </c>
      <c r="C19429">
        <f>ROMAN(19428)</f>
        <v/>
      </c>
      <c r="D19429">
        <f>IF(B19429=C19429, "YES", "WRONG")</f>
        <v/>
      </c>
    </row>
    <row r="19430">
      <c r="A19430" t="n">
        <v>19429</v>
      </c>
      <c r="B19430" t="inlineStr">
        <is>
          <t>x̄Mx̄CDXXIX</t>
        </is>
      </c>
      <c r="C19430">
        <f>ROMAN(19429)</f>
        <v/>
      </c>
      <c r="D19430">
        <f>IF(B19430=C19430, "YES", "WRONG")</f>
        <v/>
      </c>
    </row>
    <row r="19431">
      <c r="A19431" t="n">
        <v>19430</v>
      </c>
      <c r="B19431" t="inlineStr">
        <is>
          <t>x̄Mx̄CDXXX</t>
        </is>
      </c>
      <c r="C19431">
        <f>ROMAN(19430)</f>
        <v/>
      </c>
      <c r="D19431">
        <f>IF(B19431=C19431, "YES", "WRONG")</f>
        <v/>
      </c>
    </row>
    <row r="19432">
      <c r="A19432" t="n">
        <v>19431</v>
      </c>
      <c r="B19432" t="inlineStr">
        <is>
          <t>x̄Mx̄CDXXXI</t>
        </is>
      </c>
      <c r="C19432">
        <f>ROMAN(19431)</f>
        <v/>
      </c>
      <c r="D19432">
        <f>IF(B19432=C19432, "YES", "WRONG")</f>
        <v/>
      </c>
    </row>
    <row r="19433">
      <c r="A19433" t="n">
        <v>19432</v>
      </c>
      <c r="B19433" t="inlineStr">
        <is>
          <t>x̄Mx̄CDXXXII</t>
        </is>
      </c>
      <c r="C19433">
        <f>ROMAN(19432)</f>
        <v/>
      </c>
      <c r="D19433">
        <f>IF(B19433=C19433, "YES", "WRONG")</f>
        <v/>
      </c>
    </row>
    <row r="19434">
      <c r="A19434" t="n">
        <v>19433</v>
      </c>
      <c r="B19434" t="inlineStr">
        <is>
          <t>x̄Mx̄CDXXXIII</t>
        </is>
      </c>
      <c r="C19434">
        <f>ROMAN(19433)</f>
        <v/>
      </c>
      <c r="D19434">
        <f>IF(B19434=C19434, "YES", "WRONG")</f>
        <v/>
      </c>
    </row>
    <row r="19435">
      <c r="A19435" t="n">
        <v>19434</v>
      </c>
      <c r="B19435" t="inlineStr">
        <is>
          <t>x̄Mx̄CDXXXIV</t>
        </is>
      </c>
      <c r="C19435">
        <f>ROMAN(19434)</f>
        <v/>
      </c>
      <c r="D19435">
        <f>IF(B19435=C19435, "YES", "WRONG")</f>
        <v/>
      </c>
    </row>
    <row r="19436">
      <c r="A19436" t="n">
        <v>19435</v>
      </c>
      <c r="B19436" t="inlineStr">
        <is>
          <t>x̄Mx̄CDXXXV</t>
        </is>
      </c>
      <c r="C19436">
        <f>ROMAN(19435)</f>
        <v/>
      </c>
      <c r="D19436">
        <f>IF(B19436=C19436, "YES", "WRONG")</f>
        <v/>
      </c>
    </row>
    <row r="19437">
      <c r="A19437" t="n">
        <v>19436</v>
      </c>
      <c r="B19437" t="inlineStr">
        <is>
          <t>x̄Mx̄CDXXXVI</t>
        </is>
      </c>
      <c r="C19437">
        <f>ROMAN(19436)</f>
        <v/>
      </c>
      <c r="D19437">
        <f>IF(B19437=C19437, "YES", "WRONG")</f>
        <v/>
      </c>
    </row>
    <row r="19438">
      <c r="A19438" t="n">
        <v>19437</v>
      </c>
      <c r="B19438" t="inlineStr">
        <is>
          <t>x̄Mx̄CDXXXVII</t>
        </is>
      </c>
      <c r="C19438">
        <f>ROMAN(19437)</f>
        <v/>
      </c>
      <c r="D19438">
        <f>IF(B19438=C19438, "YES", "WRONG")</f>
        <v/>
      </c>
    </row>
    <row r="19439">
      <c r="A19439" t="n">
        <v>19438</v>
      </c>
      <c r="B19439" t="inlineStr">
        <is>
          <t>x̄Mx̄CDXXXVIII</t>
        </is>
      </c>
      <c r="C19439">
        <f>ROMAN(19438)</f>
        <v/>
      </c>
      <c r="D19439">
        <f>IF(B19439=C19439, "YES", "WRONG")</f>
        <v/>
      </c>
    </row>
    <row r="19440">
      <c r="A19440" t="n">
        <v>19439</v>
      </c>
      <c r="B19440" t="inlineStr">
        <is>
          <t>x̄Mx̄CDXXXIX</t>
        </is>
      </c>
      <c r="C19440">
        <f>ROMAN(19439)</f>
        <v/>
      </c>
      <c r="D19440">
        <f>IF(B19440=C19440, "YES", "WRONG")</f>
        <v/>
      </c>
    </row>
    <row r="19441">
      <c r="A19441" t="n">
        <v>19440</v>
      </c>
      <c r="B19441" t="inlineStr">
        <is>
          <t>x̄Mx̄CDXL</t>
        </is>
      </c>
      <c r="C19441">
        <f>ROMAN(19440)</f>
        <v/>
      </c>
      <c r="D19441">
        <f>IF(B19441=C19441, "YES", "WRONG")</f>
        <v/>
      </c>
    </row>
    <row r="19442">
      <c r="A19442" t="n">
        <v>19441</v>
      </c>
      <c r="B19442" t="inlineStr">
        <is>
          <t>x̄Mx̄CDXLI</t>
        </is>
      </c>
      <c r="C19442">
        <f>ROMAN(19441)</f>
        <v/>
      </c>
      <c r="D19442">
        <f>IF(B19442=C19442, "YES", "WRONG")</f>
        <v/>
      </c>
    </row>
    <row r="19443">
      <c r="A19443" t="n">
        <v>19442</v>
      </c>
      <c r="B19443" t="inlineStr">
        <is>
          <t>x̄Mx̄CDXLII</t>
        </is>
      </c>
      <c r="C19443">
        <f>ROMAN(19442)</f>
        <v/>
      </c>
      <c r="D19443">
        <f>IF(B19443=C19443, "YES", "WRONG")</f>
        <v/>
      </c>
    </row>
    <row r="19444">
      <c r="A19444" t="n">
        <v>19443</v>
      </c>
      <c r="B19444" t="inlineStr">
        <is>
          <t>x̄Mx̄CDXLIII</t>
        </is>
      </c>
      <c r="C19444">
        <f>ROMAN(19443)</f>
        <v/>
      </c>
      <c r="D19444">
        <f>IF(B19444=C19444, "YES", "WRONG")</f>
        <v/>
      </c>
    </row>
    <row r="19445">
      <c r="A19445" t="n">
        <v>19444</v>
      </c>
      <c r="B19445" t="inlineStr">
        <is>
          <t>x̄Mx̄CDXLIV</t>
        </is>
      </c>
      <c r="C19445">
        <f>ROMAN(19444)</f>
        <v/>
      </c>
      <c r="D19445">
        <f>IF(B19445=C19445, "YES", "WRONG")</f>
        <v/>
      </c>
    </row>
    <row r="19446">
      <c r="A19446" t="n">
        <v>19445</v>
      </c>
      <c r="B19446" t="inlineStr">
        <is>
          <t>x̄Mx̄CDXLV</t>
        </is>
      </c>
      <c r="C19446">
        <f>ROMAN(19445)</f>
        <v/>
      </c>
      <c r="D19446">
        <f>IF(B19446=C19446, "YES", "WRONG")</f>
        <v/>
      </c>
    </row>
    <row r="19447">
      <c r="A19447" t="n">
        <v>19446</v>
      </c>
      <c r="B19447" t="inlineStr">
        <is>
          <t>x̄Mx̄CDXLVI</t>
        </is>
      </c>
      <c r="C19447">
        <f>ROMAN(19446)</f>
        <v/>
      </c>
      <c r="D19447">
        <f>IF(B19447=C19447, "YES", "WRONG")</f>
        <v/>
      </c>
    </row>
    <row r="19448">
      <c r="A19448" t="n">
        <v>19447</v>
      </c>
      <c r="B19448" t="inlineStr">
        <is>
          <t>x̄Mx̄CDXLVII</t>
        </is>
      </c>
      <c r="C19448">
        <f>ROMAN(19447)</f>
        <v/>
      </c>
      <c r="D19448">
        <f>IF(B19448=C19448, "YES", "WRONG")</f>
        <v/>
      </c>
    </row>
    <row r="19449">
      <c r="A19449" t="n">
        <v>19448</v>
      </c>
      <c r="B19449" t="inlineStr">
        <is>
          <t>x̄Mx̄CDXLVIII</t>
        </is>
      </c>
      <c r="C19449">
        <f>ROMAN(19448)</f>
        <v/>
      </c>
      <c r="D19449">
        <f>IF(B19449=C19449, "YES", "WRONG")</f>
        <v/>
      </c>
    </row>
    <row r="19450">
      <c r="A19450" t="n">
        <v>19449</v>
      </c>
      <c r="B19450" t="inlineStr">
        <is>
          <t>x̄Mx̄CDXLIX</t>
        </is>
      </c>
      <c r="C19450">
        <f>ROMAN(19449)</f>
        <v/>
      </c>
      <c r="D19450">
        <f>IF(B19450=C19450, "YES", "WRONG")</f>
        <v/>
      </c>
    </row>
    <row r="19451">
      <c r="A19451" t="n">
        <v>19450</v>
      </c>
      <c r="B19451" t="inlineStr">
        <is>
          <t>x̄Mx̄CDL</t>
        </is>
      </c>
      <c r="C19451">
        <f>ROMAN(19450)</f>
        <v/>
      </c>
      <c r="D19451">
        <f>IF(B19451=C19451, "YES", "WRONG")</f>
        <v/>
      </c>
    </row>
    <row r="19452">
      <c r="A19452" t="n">
        <v>19451</v>
      </c>
      <c r="B19452" t="inlineStr">
        <is>
          <t>x̄Mx̄CDLI</t>
        </is>
      </c>
      <c r="C19452">
        <f>ROMAN(19451)</f>
        <v/>
      </c>
      <c r="D19452">
        <f>IF(B19452=C19452, "YES", "WRONG")</f>
        <v/>
      </c>
    </row>
    <row r="19453">
      <c r="A19453" t="n">
        <v>19452</v>
      </c>
      <c r="B19453" t="inlineStr">
        <is>
          <t>x̄Mx̄CDLII</t>
        </is>
      </c>
      <c r="C19453">
        <f>ROMAN(19452)</f>
        <v/>
      </c>
      <c r="D19453">
        <f>IF(B19453=C19453, "YES", "WRONG")</f>
        <v/>
      </c>
    </row>
    <row r="19454">
      <c r="A19454" t="n">
        <v>19453</v>
      </c>
      <c r="B19454" t="inlineStr">
        <is>
          <t>x̄Mx̄CDLIII</t>
        </is>
      </c>
      <c r="C19454">
        <f>ROMAN(19453)</f>
        <v/>
      </c>
      <c r="D19454">
        <f>IF(B19454=C19454, "YES", "WRONG")</f>
        <v/>
      </c>
    </row>
    <row r="19455">
      <c r="A19455" t="n">
        <v>19454</v>
      </c>
      <c r="B19455" t="inlineStr">
        <is>
          <t>x̄Mx̄CDLIV</t>
        </is>
      </c>
      <c r="C19455">
        <f>ROMAN(19454)</f>
        <v/>
      </c>
      <c r="D19455">
        <f>IF(B19455=C19455, "YES", "WRONG")</f>
        <v/>
      </c>
    </row>
    <row r="19456">
      <c r="A19456" t="n">
        <v>19455</v>
      </c>
      <c r="B19456" t="inlineStr">
        <is>
          <t>x̄Mx̄CDLV</t>
        </is>
      </c>
      <c r="C19456">
        <f>ROMAN(19455)</f>
        <v/>
      </c>
      <c r="D19456">
        <f>IF(B19456=C19456, "YES", "WRONG")</f>
        <v/>
      </c>
    </row>
    <row r="19457">
      <c r="A19457" t="n">
        <v>19456</v>
      </c>
      <c r="B19457" t="inlineStr">
        <is>
          <t>x̄Mx̄CDLVI</t>
        </is>
      </c>
      <c r="C19457">
        <f>ROMAN(19456)</f>
        <v/>
      </c>
      <c r="D19457">
        <f>IF(B19457=C19457, "YES", "WRONG")</f>
        <v/>
      </c>
    </row>
    <row r="19458">
      <c r="A19458" t="n">
        <v>19457</v>
      </c>
      <c r="B19458" t="inlineStr">
        <is>
          <t>x̄Mx̄CDLVII</t>
        </is>
      </c>
      <c r="C19458">
        <f>ROMAN(19457)</f>
        <v/>
      </c>
      <c r="D19458">
        <f>IF(B19458=C19458, "YES", "WRONG")</f>
        <v/>
      </c>
    </row>
    <row r="19459">
      <c r="A19459" t="n">
        <v>19458</v>
      </c>
      <c r="B19459" t="inlineStr">
        <is>
          <t>x̄Mx̄CDLVIII</t>
        </is>
      </c>
      <c r="C19459">
        <f>ROMAN(19458)</f>
        <v/>
      </c>
      <c r="D19459">
        <f>IF(B19459=C19459, "YES", "WRONG")</f>
        <v/>
      </c>
    </row>
    <row r="19460">
      <c r="A19460" t="n">
        <v>19459</v>
      </c>
      <c r="B19460" t="inlineStr">
        <is>
          <t>x̄Mx̄CDLIX</t>
        </is>
      </c>
      <c r="C19460">
        <f>ROMAN(19459)</f>
        <v/>
      </c>
      <c r="D19460">
        <f>IF(B19460=C19460, "YES", "WRONG")</f>
        <v/>
      </c>
    </row>
    <row r="19461">
      <c r="A19461" t="n">
        <v>19460</v>
      </c>
      <c r="B19461" t="inlineStr">
        <is>
          <t>x̄Mx̄CDLX</t>
        </is>
      </c>
      <c r="C19461">
        <f>ROMAN(19460)</f>
        <v/>
      </c>
      <c r="D19461">
        <f>IF(B19461=C19461, "YES", "WRONG")</f>
        <v/>
      </c>
    </row>
    <row r="19462">
      <c r="A19462" t="n">
        <v>19461</v>
      </c>
      <c r="B19462" t="inlineStr">
        <is>
          <t>x̄Mx̄CDLXI</t>
        </is>
      </c>
      <c r="C19462">
        <f>ROMAN(19461)</f>
        <v/>
      </c>
      <c r="D19462">
        <f>IF(B19462=C19462, "YES", "WRONG")</f>
        <v/>
      </c>
    </row>
    <row r="19463">
      <c r="A19463" t="n">
        <v>19462</v>
      </c>
      <c r="B19463" t="inlineStr">
        <is>
          <t>x̄Mx̄CDLXII</t>
        </is>
      </c>
      <c r="C19463">
        <f>ROMAN(19462)</f>
        <v/>
      </c>
      <c r="D19463">
        <f>IF(B19463=C19463, "YES", "WRONG")</f>
        <v/>
      </c>
    </row>
    <row r="19464">
      <c r="A19464" t="n">
        <v>19463</v>
      </c>
      <c r="B19464" t="inlineStr">
        <is>
          <t>x̄Mx̄CDLXIII</t>
        </is>
      </c>
      <c r="C19464">
        <f>ROMAN(19463)</f>
        <v/>
      </c>
      <c r="D19464">
        <f>IF(B19464=C19464, "YES", "WRONG")</f>
        <v/>
      </c>
    </row>
    <row r="19465">
      <c r="A19465" t="n">
        <v>19464</v>
      </c>
      <c r="B19465" t="inlineStr">
        <is>
          <t>x̄Mx̄CDLXIV</t>
        </is>
      </c>
      <c r="C19465">
        <f>ROMAN(19464)</f>
        <v/>
      </c>
      <c r="D19465">
        <f>IF(B19465=C19465, "YES", "WRONG")</f>
        <v/>
      </c>
    </row>
    <row r="19466">
      <c r="A19466" t="n">
        <v>19465</v>
      </c>
      <c r="B19466" t="inlineStr">
        <is>
          <t>x̄Mx̄CDLXV</t>
        </is>
      </c>
      <c r="C19466">
        <f>ROMAN(19465)</f>
        <v/>
      </c>
      <c r="D19466">
        <f>IF(B19466=C19466, "YES", "WRONG")</f>
        <v/>
      </c>
    </row>
    <row r="19467">
      <c r="A19467" t="n">
        <v>19466</v>
      </c>
      <c r="B19467" t="inlineStr">
        <is>
          <t>x̄Mx̄CDLXVI</t>
        </is>
      </c>
      <c r="C19467">
        <f>ROMAN(19466)</f>
        <v/>
      </c>
      <c r="D19467">
        <f>IF(B19467=C19467, "YES", "WRONG")</f>
        <v/>
      </c>
    </row>
    <row r="19468">
      <c r="A19468" t="n">
        <v>19467</v>
      </c>
      <c r="B19468" t="inlineStr">
        <is>
          <t>x̄Mx̄CDLXVII</t>
        </is>
      </c>
      <c r="C19468">
        <f>ROMAN(19467)</f>
        <v/>
      </c>
      <c r="D19468">
        <f>IF(B19468=C19468, "YES", "WRONG")</f>
        <v/>
      </c>
    </row>
    <row r="19469">
      <c r="A19469" t="n">
        <v>19468</v>
      </c>
      <c r="B19469" t="inlineStr">
        <is>
          <t>x̄Mx̄CDLXVIII</t>
        </is>
      </c>
      <c r="C19469">
        <f>ROMAN(19468)</f>
        <v/>
      </c>
      <c r="D19469">
        <f>IF(B19469=C19469, "YES", "WRONG")</f>
        <v/>
      </c>
    </row>
    <row r="19470">
      <c r="A19470" t="n">
        <v>19469</v>
      </c>
      <c r="B19470" t="inlineStr">
        <is>
          <t>x̄Mx̄CDLXIX</t>
        </is>
      </c>
      <c r="C19470">
        <f>ROMAN(19469)</f>
        <v/>
      </c>
      <c r="D19470">
        <f>IF(B19470=C19470, "YES", "WRONG")</f>
        <v/>
      </c>
    </row>
    <row r="19471">
      <c r="A19471" t="n">
        <v>19470</v>
      </c>
      <c r="B19471" t="inlineStr">
        <is>
          <t>x̄Mx̄CDLXX</t>
        </is>
      </c>
      <c r="C19471">
        <f>ROMAN(19470)</f>
        <v/>
      </c>
      <c r="D19471">
        <f>IF(B19471=C19471, "YES", "WRONG")</f>
        <v/>
      </c>
    </row>
    <row r="19472">
      <c r="A19472" t="n">
        <v>19471</v>
      </c>
      <c r="B19472" t="inlineStr">
        <is>
          <t>x̄Mx̄CDLXXI</t>
        </is>
      </c>
      <c r="C19472">
        <f>ROMAN(19471)</f>
        <v/>
      </c>
      <c r="D19472">
        <f>IF(B19472=C19472, "YES", "WRONG")</f>
        <v/>
      </c>
    </row>
    <row r="19473">
      <c r="A19473" t="n">
        <v>19472</v>
      </c>
      <c r="B19473" t="inlineStr">
        <is>
          <t>x̄Mx̄CDLXXII</t>
        </is>
      </c>
      <c r="C19473">
        <f>ROMAN(19472)</f>
        <v/>
      </c>
      <c r="D19473">
        <f>IF(B19473=C19473, "YES", "WRONG")</f>
        <v/>
      </c>
    </row>
    <row r="19474">
      <c r="A19474" t="n">
        <v>19473</v>
      </c>
      <c r="B19474" t="inlineStr">
        <is>
          <t>x̄Mx̄CDLXXIII</t>
        </is>
      </c>
      <c r="C19474">
        <f>ROMAN(19473)</f>
        <v/>
      </c>
      <c r="D19474">
        <f>IF(B19474=C19474, "YES", "WRONG")</f>
        <v/>
      </c>
    </row>
    <row r="19475">
      <c r="A19475" t="n">
        <v>19474</v>
      </c>
      <c r="B19475" t="inlineStr">
        <is>
          <t>x̄Mx̄CDLXXIV</t>
        </is>
      </c>
      <c r="C19475">
        <f>ROMAN(19474)</f>
        <v/>
      </c>
      <c r="D19475">
        <f>IF(B19475=C19475, "YES", "WRONG")</f>
        <v/>
      </c>
    </row>
    <row r="19476">
      <c r="A19476" t="n">
        <v>19475</v>
      </c>
      <c r="B19476" t="inlineStr">
        <is>
          <t>x̄Mx̄CDLXXV</t>
        </is>
      </c>
      <c r="C19476">
        <f>ROMAN(19475)</f>
        <v/>
      </c>
      <c r="D19476">
        <f>IF(B19476=C19476, "YES", "WRONG")</f>
        <v/>
      </c>
    </row>
    <row r="19477">
      <c r="A19477" t="n">
        <v>19476</v>
      </c>
      <c r="B19477" t="inlineStr">
        <is>
          <t>x̄Mx̄CDLXXVI</t>
        </is>
      </c>
      <c r="C19477">
        <f>ROMAN(19476)</f>
        <v/>
      </c>
      <c r="D19477">
        <f>IF(B19477=C19477, "YES", "WRONG")</f>
        <v/>
      </c>
    </row>
    <row r="19478">
      <c r="A19478" t="n">
        <v>19477</v>
      </c>
      <c r="B19478" t="inlineStr">
        <is>
          <t>x̄Mx̄CDLXXVII</t>
        </is>
      </c>
      <c r="C19478">
        <f>ROMAN(19477)</f>
        <v/>
      </c>
      <c r="D19478">
        <f>IF(B19478=C19478, "YES", "WRONG")</f>
        <v/>
      </c>
    </row>
    <row r="19479">
      <c r="A19479" t="n">
        <v>19478</v>
      </c>
      <c r="B19479" t="inlineStr">
        <is>
          <t>x̄Mx̄CDLXXVIII</t>
        </is>
      </c>
      <c r="C19479">
        <f>ROMAN(19478)</f>
        <v/>
      </c>
      <c r="D19479">
        <f>IF(B19479=C19479, "YES", "WRONG")</f>
        <v/>
      </c>
    </row>
    <row r="19480">
      <c r="A19480" t="n">
        <v>19479</v>
      </c>
      <c r="B19480" t="inlineStr">
        <is>
          <t>x̄Mx̄CDLXXIX</t>
        </is>
      </c>
      <c r="C19480">
        <f>ROMAN(19479)</f>
        <v/>
      </c>
      <c r="D19480">
        <f>IF(B19480=C19480, "YES", "WRONG")</f>
        <v/>
      </c>
    </row>
    <row r="19481">
      <c r="A19481" t="n">
        <v>19480</v>
      </c>
      <c r="B19481" t="inlineStr">
        <is>
          <t>x̄Mx̄CDLXXX</t>
        </is>
      </c>
      <c r="C19481">
        <f>ROMAN(19480)</f>
        <v/>
      </c>
      <c r="D19481">
        <f>IF(B19481=C19481, "YES", "WRONG")</f>
        <v/>
      </c>
    </row>
    <row r="19482">
      <c r="A19482" t="n">
        <v>19481</v>
      </c>
      <c r="B19482" t="inlineStr">
        <is>
          <t>x̄Mx̄CDLXXXI</t>
        </is>
      </c>
      <c r="C19482">
        <f>ROMAN(19481)</f>
        <v/>
      </c>
      <c r="D19482">
        <f>IF(B19482=C19482, "YES", "WRONG")</f>
        <v/>
      </c>
    </row>
    <row r="19483">
      <c r="A19483" t="n">
        <v>19482</v>
      </c>
      <c r="B19483" t="inlineStr">
        <is>
          <t>x̄Mx̄CDLXXXII</t>
        </is>
      </c>
      <c r="C19483">
        <f>ROMAN(19482)</f>
        <v/>
      </c>
      <c r="D19483">
        <f>IF(B19483=C19483, "YES", "WRONG")</f>
        <v/>
      </c>
    </row>
    <row r="19484">
      <c r="A19484" t="n">
        <v>19483</v>
      </c>
      <c r="B19484" t="inlineStr">
        <is>
          <t>x̄Mx̄CDLXXXIII</t>
        </is>
      </c>
      <c r="C19484">
        <f>ROMAN(19483)</f>
        <v/>
      </c>
      <c r="D19484">
        <f>IF(B19484=C19484, "YES", "WRONG")</f>
        <v/>
      </c>
    </row>
    <row r="19485">
      <c r="A19485" t="n">
        <v>19484</v>
      </c>
      <c r="B19485" t="inlineStr">
        <is>
          <t>x̄Mx̄CDLXXXIV</t>
        </is>
      </c>
      <c r="C19485">
        <f>ROMAN(19484)</f>
        <v/>
      </c>
      <c r="D19485">
        <f>IF(B19485=C19485, "YES", "WRONG")</f>
        <v/>
      </c>
    </row>
    <row r="19486">
      <c r="A19486" t="n">
        <v>19485</v>
      </c>
      <c r="B19486" t="inlineStr">
        <is>
          <t>x̄Mx̄CDLXXXV</t>
        </is>
      </c>
      <c r="C19486">
        <f>ROMAN(19485)</f>
        <v/>
      </c>
      <c r="D19486">
        <f>IF(B19486=C19486, "YES", "WRONG")</f>
        <v/>
      </c>
    </row>
    <row r="19487">
      <c r="A19487" t="n">
        <v>19486</v>
      </c>
      <c r="B19487" t="inlineStr">
        <is>
          <t>x̄Mx̄CDLXXXVI</t>
        </is>
      </c>
      <c r="C19487">
        <f>ROMAN(19486)</f>
        <v/>
      </c>
      <c r="D19487">
        <f>IF(B19487=C19487, "YES", "WRONG")</f>
        <v/>
      </c>
    </row>
    <row r="19488">
      <c r="A19488" t="n">
        <v>19487</v>
      </c>
      <c r="B19488" t="inlineStr">
        <is>
          <t>x̄Mx̄CDLXXXVII</t>
        </is>
      </c>
      <c r="C19488">
        <f>ROMAN(19487)</f>
        <v/>
      </c>
      <c r="D19488">
        <f>IF(B19488=C19488, "YES", "WRONG")</f>
        <v/>
      </c>
    </row>
    <row r="19489">
      <c r="A19489" t="n">
        <v>19488</v>
      </c>
      <c r="B19489" t="inlineStr">
        <is>
          <t>x̄Mx̄CDLXXXVIII</t>
        </is>
      </c>
      <c r="C19489">
        <f>ROMAN(19488)</f>
        <v/>
      </c>
      <c r="D19489">
        <f>IF(B19489=C19489, "YES", "WRONG")</f>
        <v/>
      </c>
    </row>
    <row r="19490">
      <c r="A19490" t="n">
        <v>19489</v>
      </c>
      <c r="B19490" t="inlineStr">
        <is>
          <t>x̄Mx̄CDLXXXIX</t>
        </is>
      </c>
      <c r="C19490">
        <f>ROMAN(19489)</f>
        <v/>
      </c>
      <c r="D19490">
        <f>IF(B19490=C19490, "YES", "WRONG")</f>
        <v/>
      </c>
    </row>
    <row r="19491">
      <c r="A19491" t="n">
        <v>19490</v>
      </c>
      <c r="B19491" t="inlineStr">
        <is>
          <t>x̄Mx̄CDXC</t>
        </is>
      </c>
      <c r="C19491">
        <f>ROMAN(19490)</f>
        <v/>
      </c>
      <c r="D19491">
        <f>IF(B19491=C19491, "YES", "WRONG")</f>
        <v/>
      </c>
    </row>
    <row r="19492">
      <c r="A19492" t="n">
        <v>19491</v>
      </c>
      <c r="B19492" t="inlineStr">
        <is>
          <t>x̄Mx̄CDXCI</t>
        </is>
      </c>
      <c r="C19492">
        <f>ROMAN(19491)</f>
        <v/>
      </c>
      <c r="D19492">
        <f>IF(B19492=C19492, "YES", "WRONG")</f>
        <v/>
      </c>
    </row>
    <row r="19493">
      <c r="A19493" t="n">
        <v>19492</v>
      </c>
      <c r="B19493" t="inlineStr">
        <is>
          <t>x̄Mx̄CDXCII</t>
        </is>
      </c>
      <c r="C19493">
        <f>ROMAN(19492)</f>
        <v/>
      </c>
      <c r="D19493">
        <f>IF(B19493=C19493, "YES", "WRONG")</f>
        <v/>
      </c>
    </row>
    <row r="19494">
      <c r="A19494" t="n">
        <v>19493</v>
      </c>
      <c r="B19494" t="inlineStr">
        <is>
          <t>x̄Mx̄CDXCIII</t>
        </is>
      </c>
      <c r="C19494">
        <f>ROMAN(19493)</f>
        <v/>
      </c>
      <c r="D19494">
        <f>IF(B19494=C19494, "YES", "WRONG")</f>
        <v/>
      </c>
    </row>
    <row r="19495">
      <c r="A19495" t="n">
        <v>19494</v>
      </c>
      <c r="B19495" t="inlineStr">
        <is>
          <t>x̄Mx̄CDXCIV</t>
        </is>
      </c>
      <c r="C19495">
        <f>ROMAN(19494)</f>
        <v/>
      </c>
      <c r="D19495">
        <f>IF(B19495=C19495, "YES", "WRONG")</f>
        <v/>
      </c>
    </row>
    <row r="19496">
      <c r="A19496" t="n">
        <v>19495</v>
      </c>
      <c r="B19496" t="inlineStr">
        <is>
          <t>x̄Mx̄CDXCV</t>
        </is>
      </c>
      <c r="C19496">
        <f>ROMAN(19495)</f>
        <v/>
      </c>
      <c r="D19496">
        <f>IF(B19496=C19496, "YES", "WRONG")</f>
        <v/>
      </c>
    </row>
    <row r="19497">
      <c r="A19497" t="n">
        <v>19496</v>
      </c>
      <c r="B19497" t="inlineStr">
        <is>
          <t>x̄Mx̄CDXCVI</t>
        </is>
      </c>
      <c r="C19497">
        <f>ROMAN(19496)</f>
        <v/>
      </c>
      <c r="D19497">
        <f>IF(B19497=C19497, "YES", "WRONG")</f>
        <v/>
      </c>
    </row>
    <row r="19498">
      <c r="A19498" t="n">
        <v>19497</v>
      </c>
      <c r="B19498" t="inlineStr">
        <is>
          <t>x̄Mx̄CDXCVII</t>
        </is>
      </c>
      <c r="C19498">
        <f>ROMAN(19497)</f>
        <v/>
      </c>
      <c r="D19498">
        <f>IF(B19498=C19498, "YES", "WRONG")</f>
        <v/>
      </c>
    </row>
    <row r="19499">
      <c r="A19499" t="n">
        <v>19498</v>
      </c>
      <c r="B19499" t="inlineStr">
        <is>
          <t>x̄Mx̄CDXCVIII</t>
        </is>
      </c>
      <c r="C19499">
        <f>ROMAN(19498)</f>
        <v/>
      </c>
      <c r="D19499">
        <f>IF(B19499=C19499, "YES", "WRONG")</f>
        <v/>
      </c>
    </row>
    <row r="19500">
      <c r="A19500" t="n">
        <v>19499</v>
      </c>
      <c r="B19500" t="inlineStr">
        <is>
          <t>x̄Mx̄CDXCIX</t>
        </is>
      </c>
      <c r="C19500">
        <f>ROMAN(19499)</f>
        <v/>
      </c>
      <c r="D19500">
        <f>IF(B19500=C19500, "YES", "WRONG")</f>
        <v/>
      </c>
    </row>
    <row r="19501">
      <c r="A19501" t="n">
        <v>19500</v>
      </c>
      <c r="B19501" t="inlineStr">
        <is>
          <t>x̄Mx̄D</t>
        </is>
      </c>
      <c r="C19501">
        <f>ROMAN(19500)</f>
        <v/>
      </c>
      <c r="D19501">
        <f>IF(B19501=C19501, "YES", "WRONG")</f>
        <v/>
      </c>
    </row>
    <row r="19502">
      <c r="A19502" t="n">
        <v>19501</v>
      </c>
      <c r="B19502" t="inlineStr">
        <is>
          <t>x̄Mx̄DI</t>
        </is>
      </c>
      <c r="C19502">
        <f>ROMAN(19501)</f>
        <v/>
      </c>
      <c r="D19502">
        <f>IF(B19502=C19502, "YES", "WRONG")</f>
        <v/>
      </c>
    </row>
    <row r="19503">
      <c r="A19503" t="n">
        <v>19502</v>
      </c>
      <c r="B19503" t="inlineStr">
        <is>
          <t>x̄Mx̄DII</t>
        </is>
      </c>
      <c r="C19503">
        <f>ROMAN(19502)</f>
        <v/>
      </c>
      <c r="D19503">
        <f>IF(B19503=C19503, "YES", "WRONG")</f>
        <v/>
      </c>
    </row>
    <row r="19504">
      <c r="A19504" t="n">
        <v>19503</v>
      </c>
      <c r="B19504" t="inlineStr">
        <is>
          <t>x̄Mx̄DIII</t>
        </is>
      </c>
      <c r="C19504">
        <f>ROMAN(19503)</f>
        <v/>
      </c>
      <c r="D19504">
        <f>IF(B19504=C19504, "YES", "WRONG")</f>
        <v/>
      </c>
    </row>
    <row r="19505">
      <c r="A19505" t="n">
        <v>19504</v>
      </c>
      <c r="B19505" t="inlineStr">
        <is>
          <t>x̄Mx̄DIV</t>
        </is>
      </c>
      <c r="C19505">
        <f>ROMAN(19504)</f>
        <v/>
      </c>
      <c r="D19505">
        <f>IF(B19505=C19505, "YES", "WRONG")</f>
        <v/>
      </c>
    </row>
    <row r="19506">
      <c r="A19506" t="n">
        <v>19505</v>
      </c>
      <c r="B19506" t="inlineStr">
        <is>
          <t>x̄Mx̄DV</t>
        </is>
      </c>
      <c r="C19506">
        <f>ROMAN(19505)</f>
        <v/>
      </c>
      <c r="D19506">
        <f>IF(B19506=C19506, "YES", "WRONG")</f>
        <v/>
      </c>
    </row>
    <row r="19507">
      <c r="A19507" t="n">
        <v>19506</v>
      </c>
      <c r="B19507" t="inlineStr">
        <is>
          <t>x̄Mx̄DVI</t>
        </is>
      </c>
      <c r="C19507">
        <f>ROMAN(19506)</f>
        <v/>
      </c>
      <c r="D19507">
        <f>IF(B19507=C19507, "YES", "WRONG")</f>
        <v/>
      </c>
    </row>
    <row r="19508">
      <c r="A19508" t="n">
        <v>19507</v>
      </c>
      <c r="B19508" t="inlineStr">
        <is>
          <t>x̄Mx̄DVII</t>
        </is>
      </c>
      <c r="C19508">
        <f>ROMAN(19507)</f>
        <v/>
      </c>
      <c r="D19508">
        <f>IF(B19508=C19508, "YES", "WRONG")</f>
        <v/>
      </c>
    </row>
    <row r="19509">
      <c r="A19509" t="n">
        <v>19508</v>
      </c>
      <c r="B19509" t="inlineStr">
        <is>
          <t>x̄Mx̄DVIII</t>
        </is>
      </c>
      <c r="C19509">
        <f>ROMAN(19508)</f>
        <v/>
      </c>
      <c r="D19509">
        <f>IF(B19509=C19509, "YES", "WRONG")</f>
        <v/>
      </c>
    </row>
    <row r="19510">
      <c r="A19510" t="n">
        <v>19509</v>
      </c>
      <c r="B19510" t="inlineStr">
        <is>
          <t>x̄Mx̄DIX</t>
        </is>
      </c>
      <c r="C19510">
        <f>ROMAN(19509)</f>
        <v/>
      </c>
      <c r="D19510">
        <f>IF(B19510=C19510, "YES", "WRONG")</f>
        <v/>
      </c>
    </row>
    <row r="19511">
      <c r="A19511" t="n">
        <v>19510</v>
      </c>
      <c r="B19511" t="inlineStr">
        <is>
          <t>x̄Mx̄DX</t>
        </is>
      </c>
      <c r="C19511">
        <f>ROMAN(19510)</f>
        <v/>
      </c>
      <c r="D19511">
        <f>IF(B19511=C19511, "YES", "WRONG")</f>
        <v/>
      </c>
    </row>
    <row r="19512">
      <c r="A19512" t="n">
        <v>19511</v>
      </c>
      <c r="B19512" t="inlineStr">
        <is>
          <t>x̄Mx̄DXI</t>
        </is>
      </c>
      <c r="C19512">
        <f>ROMAN(19511)</f>
        <v/>
      </c>
      <c r="D19512">
        <f>IF(B19512=C19512, "YES", "WRONG")</f>
        <v/>
      </c>
    </row>
    <row r="19513">
      <c r="A19513" t="n">
        <v>19512</v>
      </c>
      <c r="B19513" t="inlineStr">
        <is>
          <t>x̄Mx̄DXII</t>
        </is>
      </c>
      <c r="C19513">
        <f>ROMAN(19512)</f>
        <v/>
      </c>
      <c r="D19513">
        <f>IF(B19513=C19513, "YES", "WRONG")</f>
        <v/>
      </c>
    </row>
    <row r="19514">
      <c r="A19514" t="n">
        <v>19513</v>
      </c>
      <c r="B19514" t="inlineStr">
        <is>
          <t>x̄Mx̄DXIII</t>
        </is>
      </c>
      <c r="C19514">
        <f>ROMAN(19513)</f>
        <v/>
      </c>
      <c r="D19514">
        <f>IF(B19514=C19514, "YES", "WRONG")</f>
        <v/>
      </c>
    </row>
    <row r="19515">
      <c r="A19515" t="n">
        <v>19514</v>
      </c>
      <c r="B19515" t="inlineStr">
        <is>
          <t>x̄Mx̄DXIV</t>
        </is>
      </c>
      <c r="C19515">
        <f>ROMAN(19514)</f>
        <v/>
      </c>
      <c r="D19515">
        <f>IF(B19515=C19515, "YES", "WRONG")</f>
        <v/>
      </c>
    </row>
    <row r="19516">
      <c r="A19516" t="n">
        <v>19515</v>
      </c>
      <c r="B19516" t="inlineStr">
        <is>
          <t>x̄Mx̄DXV</t>
        </is>
      </c>
      <c r="C19516">
        <f>ROMAN(19515)</f>
        <v/>
      </c>
      <c r="D19516">
        <f>IF(B19516=C19516, "YES", "WRONG")</f>
        <v/>
      </c>
    </row>
    <row r="19517">
      <c r="A19517" t="n">
        <v>19516</v>
      </c>
      <c r="B19517" t="inlineStr">
        <is>
          <t>x̄Mx̄DXVI</t>
        </is>
      </c>
      <c r="C19517">
        <f>ROMAN(19516)</f>
        <v/>
      </c>
      <c r="D19517">
        <f>IF(B19517=C19517, "YES", "WRONG")</f>
        <v/>
      </c>
    </row>
    <row r="19518">
      <c r="A19518" t="n">
        <v>19517</v>
      </c>
      <c r="B19518" t="inlineStr">
        <is>
          <t>x̄Mx̄DXVII</t>
        </is>
      </c>
      <c r="C19518">
        <f>ROMAN(19517)</f>
        <v/>
      </c>
      <c r="D19518">
        <f>IF(B19518=C19518, "YES", "WRONG")</f>
        <v/>
      </c>
    </row>
    <row r="19519">
      <c r="A19519" t="n">
        <v>19518</v>
      </c>
      <c r="B19519" t="inlineStr">
        <is>
          <t>x̄Mx̄DXVIII</t>
        </is>
      </c>
      <c r="C19519">
        <f>ROMAN(19518)</f>
        <v/>
      </c>
      <c r="D19519">
        <f>IF(B19519=C19519, "YES", "WRONG")</f>
        <v/>
      </c>
    </row>
    <row r="19520">
      <c r="A19520" t="n">
        <v>19519</v>
      </c>
      <c r="B19520" t="inlineStr">
        <is>
          <t>x̄Mx̄DXIX</t>
        </is>
      </c>
      <c r="C19520">
        <f>ROMAN(19519)</f>
        <v/>
      </c>
      <c r="D19520">
        <f>IF(B19520=C19520, "YES", "WRONG")</f>
        <v/>
      </c>
    </row>
    <row r="19521">
      <c r="A19521" t="n">
        <v>19520</v>
      </c>
      <c r="B19521" t="inlineStr">
        <is>
          <t>x̄Mx̄DXX</t>
        </is>
      </c>
      <c r="C19521">
        <f>ROMAN(19520)</f>
        <v/>
      </c>
      <c r="D19521">
        <f>IF(B19521=C19521, "YES", "WRONG")</f>
        <v/>
      </c>
    </row>
    <row r="19522">
      <c r="A19522" t="n">
        <v>19521</v>
      </c>
      <c r="B19522" t="inlineStr">
        <is>
          <t>x̄Mx̄DXXI</t>
        </is>
      </c>
      <c r="C19522">
        <f>ROMAN(19521)</f>
        <v/>
      </c>
      <c r="D19522">
        <f>IF(B19522=C19522, "YES", "WRONG")</f>
        <v/>
      </c>
    </row>
    <row r="19523">
      <c r="A19523" t="n">
        <v>19522</v>
      </c>
      <c r="B19523" t="inlineStr">
        <is>
          <t>x̄Mx̄DXXII</t>
        </is>
      </c>
      <c r="C19523">
        <f>ROMAN(19522)</f>
        <v/>
      </c>
      <c r="D19523">
        <f>IF(B19523=C19523, "YES", "WRONG")</f>
        <v/>
      </c>
    </row>
    <row r="19524">
      <c r="A19524" t="n">
        <v>19523</v>
      </c>
      <c r="B19524" t="inlineStr">
        <is>
          <t>x̄Mx̄DXXIII</t>
        </is>
      </c>
      <c r="C19524">
        <f>ROMAN(19523)</f>
        <v/>
      </c>
      <c r="D19524">
        <f>IF(B19524=C19524, "YES", "WRONG")</f>
        <v/>
      </c>
    </row>
    <row r="19525">
      <c r="A19525" t="n">
        <v>19524</v>
      </c>
      <c r="B19525" t="inlineStr">
        <is>
          <t>x̄Mx̄DXXIV</t>
        </is>
      </c>
      <c r="C19525">
        <f>ROMAN(19524)</f>
        <v/>
      </c>
      <c r="D19525">
        <f>IF(B19525=C19525, "YES", "WRONG")</f>
        <v/>
      </c>
    </row>
    <row r="19526">
      <c r="A19526" t="n">
        <v>19525</v>
      </c>
      <c r="B19526" t="inlineStr">
        <is>
          <t>x̄Mx̄DXXV</t>
        </is>
      </c>
      <c r="C19526">
        <f>ROMAN(19525)</f>
        <v/>
      </c>
      <c r="D19526">
        <f>IF(B19526=C19526, "YES", "WRONG")</f>
        <v/>
      </c>
    </row>
    <row r="19527">
      <c r="A19527" t="n">
        <v>19526</v>
      </c>
      <c r="B19527" t="inlineStr">
        <is>
          <t>x̄Mx̄DXXVI</t>
        </is>
      </c>
      <c r="C19527">
        <f>ROMAN(19526)</f>
        <v/>
      </c>
      <c r="D19527">
        <f>IF(B19527=C19527, "YES", "WRONG")</f>
        <v/>
      </c>
    </row>
    <row r="19528">
      <c r="A19528" t="n">
        <v>19527</v>
      </c>
      <c r="B19528" t="inlineStr">
        <is>
          <t>x̄Mx̄DXXVII</t>
        </is>
      </c>
      <c r="C19528">
        <f>ROMAN(19527)</f>
        <v/>
      </c>
      <c r="D19528">
        <f>IF(B19528=C19528, "YES", "WRONG")</f>
        <v/>
      </c>
    </row>
    <row r="19529">
      <c r="A19529" t="n">
        <v>19528</v>
      </c>
      <c r="B19529" t="inlineStr">
        <is>
          <t>x̄Mx̄DXXVIII</t>
        </is>
      </c>
      <c r="C19529">
        <f>ROMAN(19528)</f>
        <v/>
      </c>
      <c r="D19529">
        <f>IF(B19529=C19529, "YES", "WRONG")</f>
        <v/>
      </c>
    </row>
    <row r="19530">
      <c r="A19530" t="n">
        <v>19529</v>
      </c>
      <c r="B19530" t="inlineStr">
        <is>
          <t>x̄Mx̄DXXIX</t>
        </is>
      </c>
      <c r="C19530">
        <f>ROMAN(19529)</f>
        <v/>
      </c>
      <c r="D19530">
        <f>IF(B19530=C19530, "YES", "WRONG")</f>
        <v/>
      </c>
    </row>
    <row r="19531">
      <c r="A19531" t="n">
        <v>19530</v>
      </c>
      <c r="B19531" t="inlineStr">
        <is>
          <t>x̄Mx̄DXXX</t>
        </is>
      </c>
      <c r="C19531">
        <f>ROMAN(19530)</f>
        <v/>
      </c>
      <c r="D19531">
        <f>IF(B19531=C19531, "YES", "WRONG")</f>
        <v/>
      </c>
    </row>
    <row r="19532">
      <c r="A19532" t="n">
        <v>19531</v>
      </c>
      <c r="B19532" t="inlineStr">
        <is>
          <t>x̄Mx̄DXXXI</t>
        </is>
      </c>
      <c r="C19532">
        <f>ROMAN(19531)</f>
        <v/>
      </c>
      <c r="D19532">
        <f>IF(B19532=C19532, "YES", "WRONG")</f>
        <v/>
      </c>
    </row>
    <row r="19533">
      <c r="A19533" t="n">
        <v>19532</v>
      </c>
      <c r="B19533" t="inlineStr">
        <is>
          <t>x̄Mx̄DXXXII</t>
        </is>
      </c>
      <c r="C19533">
        <f>ROMAN(19532)</f>
        <v/>
      </c>
      <c r="D19533">
        <f>IF(B19533=C19533, "YES", "WRONG")</f>
        <v/>
      </c>
    </row>
    <row r="19534">
      <c r="A19534" t="n">
        <v>19533</v>
      </c>
      <c r="B19534" t="inlineStr">
        <is>
          <t>x̄Mx̄DXXXIII</t>
        </is>
      </c>
      <c r="C19534">
        <f>ROMAN(19533)</f>
        <v/>
      </c>
      <c r="D19534">
        <f>IF(B19534=C19534, "YES", "WRONG")</f>
        <v/>
      </c>
    </row>
    <row r="19535">
      <c r="A19535" t="n">
        <v>19534</v>
      </c>
      <c r="B19535" t="inlineStr">
        <is>
          <t>x̄Mx̄DXXXIV</t>
        </is>
      </c>
      <c r="C19535">
        <f>ROMAN(19534)</f>
        <v/>
      </c>
      <c r="D19535">
        <f>IF(B19535=C19535, "YES", "WRONG")</f>
        <v/>
      </c>
    </row>
    <row r="19536">
      <c r="A19536" t="n">
        <v>19535</v>
      </c>
      <c r="B19536" t="inlineStr">
        <is>
          <t>x̄Mx̄DXXXV</t>
        </is>
      </c>
      <c r="C19536">
        <f>ROMAN(19535)</f>
        <v/>
      </c>
      <c r="D19536">
        <f>IF(B19536=C19536, "YES", "WRONG")</f>
        <v/>
      </c>
    </row>
    <row r="19537">
      <c r="A19537" t="n">
        <v>19536</v>
      </c>
      <c r="B19537" t="inlineStr">
        <is>
          <t>x̄Mx̄DXXXVI</t>
        </is>
      </c>
      <c r="C19537">
        <f>ROMAN(19536)</f>
        <v/>
      </c>
      <c r="D19537">
        <f>IF(B19537=C19537, "YES", "WRONG")</f>
        <v/>
      </c>
    </row>
    <row r="19538">
      <c r="A19538" t="n">
        <v>19537</v>
      </c>
      <c r="B19538" t="inlineStr">
        <is>
          <t>x̄Mx̄DXXXVII</t>
        </is>
      </c>
      <c r="C19538">
        <f>ROMAN(19537)</f>
        <v/>
      </c>
      <c r="D19538">
        <f>IF(B19538=C19538, "YES", "WRONG")</f>
        <v/>
      </c>
    </row>
    <row r="19539">
      <c r="A19539" t="n">
        <v>19538</v>
      </c>
      <c r="B19539" t="inlineStr">
        <is>
          <t>x̄Mx̄DXXXVIII</t>
        </is>
      </c>
      <c r="C19539">
        <f>ROMAN(19538)</f>
        <v/>
      </c>
      <c r="D19539">
        <f>IF(B19539=C19539, "YES", "WRONG")</f>
        <v/>
      </c>
    </row>
    <row r="19540">
      <c r="A19540" t="n">
        <v>19539</v>
      </c>
      <c r="B19540" t="inlineStr">
        <is>
          <t>x̄Mx̄DXXXIX</t>
        </is>
      </c>
      <c r="C19540">
        <f>ROMAN(19539)</f>
        <v/>
      </c>
      <c r="D19540">
        <f>IF(B19540=C19540, "YES", "WRONG")</f>
        <v/>
      </c>
    </row>
    <row r="19541">
      <c r="A19541" t="n">
        <v>19540</v>
      </c>
      <c r="B19541" t="inlineStr">
        <is>
          <t>x̄Mx̄DXL</t>
        </is>
      </c>
      <c r="C19541">
        <f>ROMAN(19540)</f>
        <v/>
      </c>
      <c r="D19541">
        <f>IF(B19541=C19541, "YES", "WRONG")</f>
        <v/>
      </c>
    </row>
    <row r="19542">
      <c r="A19542" t="n">
        <v>19541</v>
      </c>
      <c r="B19542" t="inlineStr">
        <is>
          <t>x̄Mx̄DXLI</t>
        </is>
      </c>
      <c r="C19542">
        <f>ROMAN(19541)</f>
        <v/>
      </c>
      <c r="D19542">
        <f>IF(B19542=C19542, "YES", "WRONG")</f>
        <v/>
      </c>
    </row>
    <row r="19543">
      <c r="A19543" t="n">
        <v>19542</v>
      </c>
      <c r="B19543" t="inlineStr">
        <is>
          <t>x̄Mx̄DXLII</t>
        </is>
      </c>
      <c r="C19543">
        <f>ROMAN(19542)</f>
        <v/>
      </c>
      <c r="D19543">
        <f>IF(B19543=C19543, "YES", "WRONG")</f>
        <v/>
      </c>
    </row>
    <row r="19544">
      <c r="A19544" t="n">
        <v>19543</v>
      </c>
      <c r="B19544" t="inlineStr">
        <is>
          <t>x̄Mx̄DXLIII</t>
        </is>
      </c>
      <c r="C19544">
        <f>ROMAN(19543)</f>
        <v/>
      </c>
      <c r="D19544">
        <f>IF(B19544=C19544, "YES", "WRONG")</f>
        <v/>
      </c>
    </row>
    <row r="19545">
      <c r="A19545" t="n">
        <v>19544</v>
      </c>
      <c r="B19545" t="inlineStr">
        <is>
          <t>x̄Mx̄DXLIV</t>
        </is>
      </c>
      <c r="C19545">
        <f>ROMAN(19544)</f>
        <v/>
      </c>
      <c r="D19545">
        <f>IF(B19545=C19545, "YES", "WRONG")</f>
        <v/>
      </c>
    </row>
    <row r="19546">
      <c r="A19546" t="n">
        <v>19545</v>
      </c>
      <c r="B19546" t="inlineStr">
        <is>
          <t>x̄Mx̄DXLV</t>
        </is>
      </c>
      <c r="C19546">
        <f>ROMAN(19545)</f>
        <v/>
      </c>
      <c r="D19546">
        <f>IF(B19546=C19546, "YES", "WRONG")</f>
        <v/>
      </c>
    </row>
    <row r="19547">
      <c r="A19547" t="n">
        <v>19546</v>
      </c>
      <c r="B19547" t="inlineStr">
        <is>
          <t>x̄Mx̄DXLVI</t>
        </is>
      </c>
      <c r="C19547">
        <f>ROMAN(19546)</f>
        <v/>
      </c>
      <c r="D19547">
        <f>IF(B19547=C19547, "YES", "WRONG")</f>
        <v/>
      </c>
    </row>
    <row r="19548">
      <c r="A19548" t="n">
        <v>19547</v>
      </c>
      <c r="B19548" t="inlineStr">
        <is>
          <t>x̄Mx̄DXLVII</t>
        </is>
      </c>
      <c r="C19548">
        <f>ROMAN(19547)</f>
        <v/>
      </c>
      <c r="D19548">
        <f>IF(B19548=C19548, "YES", "WRONG")</f>
        <v/>
      </c>
    </row>
    <row r="19549">
      <c r="A19549" t="n">
        <v>19548</v>
      </c>
      <c r="B19549" t="inlineStr">
        <is>
          <t>x̄Mx̄DXLVIII</t>
        </is>
      </c>
      <c r="C19549">
        <f>ROMAN(19548)</f>
        <v/>
      </c>
      <c r="D19549">
        <f>IF(B19549=C19549, "YES", "WRONG")</f>
        <v/>
      </c>
    </row>
    <row r="19550">
      <c r="A19550" t="n">
        <v>19549</v>
      </c>
      <c r="B19550" t="inlineStr">
        <is>
          <t>x̄Mx̄DXLIX</t>
        </is>
      </c>
      <c r="C19550">
        <f>ROMAN(19549)</f>
        <v/>
      </c>
      <c r="D19550">
        <f>IF(B19550=C19550, "YES", "WRONG")</f>
        <v/>
      </c>
    </row>
    <row r="19551">
      <c r="A19551" t="n">
        <v>19550</v>
      </c>
      <c r="B19551" t="inlineStr">
        <is>
          <t>x̄Mx̄DL</t>
        </is>
      </c>
      <c r="C19551">
        <f>ROMAN(19550)</f>
        <v/>
      </c>
      <c r="D19551">
        <f>IF(B19551=C19551, "YES", "WRONG")</f>
        <v/>
      </c>
    </row>
    <row r="19552">
      <c r="A19552" t="n">
        <v>19551</v>
      </c>
      <c r="B19552" t="inlineStr">
        <is>
          <t>x̄Mx̄DLI</t>
        </is>
      </c>
      <c r="C19552">
        <f>ROMAN(19551)</f>
        <v/>
      </c>
      <c r="D19552">
        <f>IF(B19552=C19552, "YES", "WRONG")</f>
        <v/>
      </c>
    </row>
    <row r="19553">
      <c r="A19553" t="n">
        <v>19552</v>
      </c>
      <c r="B19553" t="inlineStr">
        <is>
          <t>x̄Mx̄DLII</t>
        </is>
      </c>
      <c r="C19553">
        <f>ROMAN(19552)</f>
        <v/>
      </c>
      <c r="D19553">
        <f>IF(B19553=C19553, "YES", "WRONG")</f>
        <v/>
      </c>
    </row>
    <row r="19554">
      <c r="A19554" t="n">
        <v>19553</v>
      </c>
      <c r="B19554" t="inlineStr">
        <is>
          <t>x̄Mx̄DLIII</t>
        </is>
      </c>
      <c r="C19554">
        <f>ROMAN(19553)</f>
        <v/>
      </c>
      <c r="D19554">
        <f>IF(B19554=C19554, "YES", "WRONG")</f>
        <v/>
      </c>
    </row>
    <row r="19555">
      <c r="A19555" t="n">
        <v>19554</v>
      </c>
      <c r="B19555" t="inlineStr">
        <is>
          <t>x̄Mx̄DLIV</t>
        </is>
      </c>
      <c r="C19555">
        <f>ROMAN(19554)</f>
        <v/>
      </c>
      <c r="D19555">
        <f>IF(B19555=C19555, "YES", "WRONG")</f>
        <v/>
      </c>
    </row>
    <row r="19556">
      <c r="A19556" t="n">
        <v>19555</v>
      </c>
      <c r="B19556" t="inlineStr">
        <is>
          <t>x̄Mx̄DLV</t>
        </is>
      </c>
      <c r="C19556">
        <f>ROMAN(19555)</f>
        <v/>
      </c>
      <c r="D19556">
        <f>IF(B19556=C19556, "YES", "WRONG")</f>
        <v/>
      </c>
    </row>
    <row r="19557">
      <c r="A19557" t="n">
        <v>19556</v>
      </c>
      <c r="B19557" t="inlineStr">
        <is>
          <t>x̄Mx̄DLVI</t>
        </is>
      </c>
      <c r="C19557">
        <f>ROMAN(19556)</f>
        <v/>
      </c>
      <c r="D19557">
        <f>IF(B19557=C19557, "YES", "WRONG")</f>
        <v/>
      </c>
    </row>
    <row r="19558">
      <c r="A19558" t="n">
        <v>19557</v>
      </c>
      <c r="B19558" t="inlineStr">
        <is>
          <t>x̄Mx̄DLVII</t>
        </is>
      </c>
      <c r="C19558">
        <f>ROMAN(19557)</f>
        <v/>
      </c>
      <c r="D19558">
        <f>IF(B19558=C19558, "YES", "WRONG")</f>
        <v/>
      </c>
    </row>
    <row r="19559">
      <c r="A19559" t="n">
        <v>19558</v>
      </c>
      <c r="B19559" t="inlineStr">
        <is>
          <t>x̄Mx̄DLVIII</t>
        </is>
      </c>
      <c r="C19559">
        <f>ROMAN(19558)</f>
        <v/>
      </c>
      <c r="D19559">
        <f>IF(B19559=C19559, "YES", "WRONG")</f>
        <v/>
      </c>
    </row>
    <row r="19560">
      <c r="A19560" t="n">
        <v>19559</v>
      </c>
      <c r="B19560" t="inlineStr">
        <is>
          <t>x̄Mx̄DLIX</t>
        </is>
      </c>
      <c r="C19560">
        <f>ROMAN(19559)</f>
        <v/>
      </c>
      <c r="D19560">
        <f>IF(B19560=C19560, "YES", "WRONG")</f>
        <v/>
      </c>
    </row>
    <row r="19561">
      <c r="A19561" t="n">
        <v>19560</v>
      </c>
      <c r="B19561" t="inlineStr">
        <is>
          <t>x̄Mx̄DLX</t>
        </is>
      </c>
      <c r="C19561">
        <f>ROMAN(19560)</f>
        <v/>
      </c>
      <c r="D19561">
        <f>IF(B19561=C19561, "YES", "WRONG")</f>
        <v/>
      </c>
    </row>
    <row r="19562">
      <c r="A19562" t="n">
        <v>19561</v>
      </c>
      <c r="B19562" t="inlineStr">
        <is>
          <t>x̄Mx̄DLXI</t>
        </is>
      </c>
      <c r="C19562">
        <f>ROMAN(19561)</f>
        <v/>
      </c>
      <c r="D19562">
        <f>IF(B19562=C19562, "YES", "WRONG")</f>
        <v/>
      </c>
    </row>
    <row r="19563">
      <c r="A19563" t="n">
        <v>19562</v>
      </c>
      <c r="B19563" t="inlineStr">
        <is>
          <t>x̄Mx̄DLXII</t>
        </is>
      </c>
      <c r="C19563">
        <f>ROMAN(19562)</f>
        <v/>
      </c>
      <c r="D19563">
        <f>IF(B19563=C19563, "YES", "WRONG")</f>
        <v/>
      </c>
    </row>
    <row r="19564">
      <c r="A19564" t="n">
        <v>19563</v>
      </c>
      <c r="B19564" t="inlineStr">
        <is>
          <t>x̄Mx̄DLXIII</t>
        </is>
      </c>
      <c r="C19564">
        <f>ROMAN(19563)</f>
        <v/>
      </c>
      <c r="D19564">
        <f>IF(B19564=C19564, "YES", "WRONG")</f>
        <v/>
      </c>
    </row>
    <row r="19565">
      <c r="A19565" t="n">
        <v>19564</v>
      </c>
      <c r="B19565" t="inlineStr">
        <is>
          <t>x̄Mx̄DLXIV</t>
        </is>
      </c>
      <c r="C19565">
        <f>ROMAN(19564)</f>
        <v/>
      </c>
      <c r="D19565">
        <f>IF(B19565=C19565, "YES", "WRONG")</f>
        <v/>
      </c>
    </row>
    <row r="19566">
      <c r="A19566" t="n">
        <v>19565</v>
      </c>
      <c r="B19566" t="inlineStr">
        <is>
          <t>x̄Mx̄DLXV</t>
        </is>
      </c>
      <c r="C19566">
        <f>ROMAN(19565)</f>
        <v/>
      </c>
      <c r="D19566">
        <f>IF(B19566=C19566, "YES", "WRONG")</f>
        <v/>
      </c>
    </row>
    <row r="19567">
      <c r="A19567" t="n">
        <v>19566</v>
      </c>
      <c r="B19567" t="inlineStr">
        <is>
          <t>x̄Mx̄DLXVI</t>
        </is>
      </c>
      <c r="C19567">
        <f>ROMAN(19566)</f>
        <v/>
      </c>
      <c r="D19567">
        <f>IF(B19567=C19567, "YES", "WRONG")</f>
        <v/>
      </c>
    </row>
    <row r="19568">
      <c r="A19568" t="n">
        <v>19567</v>
      </c>
      <c r="B19568" t="inlineStr">
        <is>
          <t>x̄Mx̄DLXVII</t>
        </is>
      </c>
      <c r="C19568">
        <f>ROMAN(19567)</f>
        <v/>
      </c>
      <c r="D19568">
        <f>IF(B19568=C19568, "YES", "WRONG")</f>
        <v/>
      </c>
    </row>
    <row r="19569">
      <c r="A19569" t="n">
        <v>19568</v>
      </c>
      <c r="B19569" t="inlineStr">
        <is>
          <t>x̄Mx̄DLXVIII</t>
        </is>
      </c>
      <c r="C19569">
        <f>ROMAN(19568)</f>
        <v/>
      </c>
      <c r="D19569">
        <f>IF(B19569=C19569, "YES", "WRONG")</f>
        <v/>
      </c>
    </row>
    <row r="19570">
      <c r="A19570" t="n">
        <v>19569</v>
      </c>
      <c r="B19570" t="inlineStr">
        <is>
          <t>x̄Mx̄DLXIX</t>
        </is>
      </c>
      <c r="C19570">
        <f>ROMAN(19569)</f>
        <v/>
      </c>
      <c r="D19570">
        <f>IF(B19570=C19570, "YES", "WRONG")</f>
        <v/>
      </c>
    </row>
    <row r="19571">
      <c r="A19571" t="n">
        <v>19570</v>
      </c>
      <c r="B19571" t="inlineStr">
        <is>
          <t>x̄Mx̄DLXX</t>
        </is>
      </c>
      <c r="C19571">
        <f>ROMAN(19570)</f>
        <v/>
      </c>
      <c r="D19571">
        <f>IF(B19571=C19571, "YES", "WRONG")</f>
        <v/>
      </c>
    </row>
    <row r="19572">
      <c r="A19572" t="n">
        <v>19571</v>
      </c>
      <c r="B19572" t="inlineStr">
        <is>
          <t>x̄Mx̄DLXXI</t>
        </is>
      </c>
      <c r="C19572">
        <f>ROMAN(19571)</f>
        <v/>
      </c>
      <c r="D19572">
        <f>IF(B19572=C19572, "YES", "WRONG")</f>
        <v/>
      </c>
    </row>
    <row r="19573">
      <c r="A19573" t="n">
        <v>19572</v>
      </c>
      <c r="B19573" t="inlineStr">
        <is>
          <t>x̄Mx̄DLXXII</t>
        </is>
      </c>
      <c r="C19573">
        <f>ROMAN(19572)</f>
        <v/>
      </c>
      <c r="D19573">
        <f>IF(B19573=C19573, "YES", "WRONG")</f>
        <v/>
      </c>
    </row>
    <row r="19574">
      <c r="A19574" t="n">
        <v>19573</v>
      </c>
      <c r="B19574" t="inlineStr">
        <is>
          <t>x̄Mx̄DLXXIII</t>
        </is>
      </c>
      <c r="C19574">
        <f>ROMAN(19573)</f>
        <v/>
      </c>
      <c r="D19574">
        <f>IF(B19574=C19574, "YES", "WRONG")</f>
        <v/>
      </c>
    </row>
    <row r="19575">
      <c r="A19575" t="n">
        <v>19574</v>
      </c>
      <c r="B19575" t="inlineStr">
        <is>
          <t>x̄Mx̄DLXXIV</t>
        </is>
      </c>
      <c r="C19575">
        <f>ROMAN(19574)</f>
        <v/>
      </c>
      <c r="D19575">
        <f>IF(B19575=C19575, "YES", "WRONG")</f>
        <v/>
      </c>
    </row>
    <row r="19576">
      <c r="A19576" t="n">
        <v>19575</v>
      </c>
      <c r="B19576" t="inlineStr">
        <is>
          <t>x̄Mx̄DLXXV</t>
        </is>
      </c>
      <c r="C19576">
        <f>ROMAN(19575)</f>
        <v/>
      </c>
      <c r="D19576">
        <f>IF(B19576=C19576, "YES", "WRONG")</f>
        <v/>
      </c>
    </row>
    <row r="19577">
      <c r="A19577" t="n">
        <v>19576</v>
      </c>
      <c r="B19577" t="inlineStr">
        <is>
          <t>x̄Mx̄DLXXVI</t>
        </is>
      </c>
      <c r="C19577">
        <f>ROMAN(19576)</f>
        <v/>
      </c>
      <c r="D19577">
        <f>IF(B19577=C19577, "YES", "WRONG")</f>
        <v/>
      </c>
    </row>
    <row r="19578">
      <c r="A19578" t="n">
        <v>19577</v>
      </c>
      <c r="B19578" t="inlineStr">
        <is>
          <t>x̄Mx̄DLXXVII</t>
        </is>
      </c>
      <c r="C19578">
        <f>ROMAN(19577)</f>
        <v/>
      </c>
      <c r="D19578">
        <f>IF(B19578=C19578, "YES", "WRONG")</f>
        <v/>
      </c>
    </row>
    <row r="19579">
      <c r="A19579" t="n">
        <v>19578</v>
      </c>
      <c r="B19579" t="inlineStr">
        <is>
          <t>x̄Mx̄DLXXVIII</t>
        </is>
      </c>
      <c r="C19579">
        <f>ROMAN(19578)</f>
        <v/>
      </c>
      <c r="D19579">
        <f>IF(B19579=C19579, "YES", "WRONG")</f>
        <v/>
      </c>
    </row>
    <row r="19580">
      <c r="A19580" t="n">
        <v>19579</v>
      </c>
      <c r="B19580" t="inlineStr">
        <is>
          <t>x̄Mx̄DLXXIX</t>
        </is>
      </c>
      <c r="C19580">
        <f>ROMAN(19579)</f>
        <v/>
      </c>
      <c r="D19580">
        <f>IF(B19580=C19580, "YES", "WRONG")</f>
        <v/>
      </c>
    </row>
    <row r="19581">
      <c r="A19581" t="n">
        <v>19580</v>
      </c>
      <c r="B19581" t="inlineStr">
        <is>
          <t>x̄Mx̄DLXXX</t>
        </is>
      </c>
      <c r="C19581">
        <f>ROMAN(19580)</f>
        <v/>
      </c>
      <c r="D19581">
        <f>IF(B19581=C19581, "YES", "WRONG")</f>
        <v/>
      </c>
    </row>
    <row r="19582">
      <c r="A19582" t="n">
        <v>19581</v>
      </c>
      <c r="B19582" t="inlineStr">
        <is>
          <t>x̄Mx̄DLXXXI</t>
        </is>
      </c>
      <c r="C19582">
        <f>ROMAN(19581)</f>
        <v/>
      </c>
      <c r="D19582">
        <f>IF(B19582=C19582, "YES", "WRONG")</f>
        <v/>
      </c>
    </row>
    <row r="19583">
      <c r="A19583" t="n">
        <v>19582</v>
      </c>
      <c r="B19583" t="inlineStr">
        <is>
          <t>x̄Mx̄DLXXXII</t>
        </is>
      </c>
      <c r="C19583">
        <f>ROMAN(19582)</f>
        <v/>
      </c>
      <c r="D19583">
        <f>IF(B19583=C19583, "YES", "WRONG")</f>
        <v/>
      </c>
    </row>
    <row r="19584">
      <c r="A19584" t="n">
        <v>19583</v>
      </c>
      <c r="B19584" t="inlineStr">
        <is>
          <t>x̄Mx̄DLXXXIII</t>
        </is>
      </c>
      <c r="C19584">
        <f>ROMAN(19583)</f>
        <v/>
      </c>
      <c r="D19584">
        <f>IF(B19584=C19584, "YES", "WRONG")</f>
        <v/>
      </c>
    </row>
    <row r="19585">
      <c r="A19585" t="n">
        <v>19584</v>
      </c>
      <c r="B19585" t="inlineStr">
        <is>
          <t>x̄Mx̄DLXXXIV</t>
        </is>
      </c>
      <c r="C19585">
        <f>ROMAN(19584)</f>
        <v/>
      </c>
      <c r="D19585">
        <f>IF(B19585=C19585, "YES", "WRONG")</f>
        <v/>
      </c>
    </row>
    <row r="19586">
      <c r="A19586" t="n">
        <v>19585</v>
      </c>
      <c r="B19586" t="inlineStr">
        <is>
          <t>x̄Mx̄DLXXXV</t>
        </is>
      </c>
      <c r="C19586">
        <f>ROMAN(19585)</f>
        <v/>
      </c>
      <c r="D19586">
        <f>IF(B19586=C19586, "YES", "WRONG")</f>
        <v/>
      </c>
    </row>
    <row r="19587">
      <c r="A19587" t="n">
        <v>19586</v>
      </c>
      <c r="B19587" t="inlineStr">
        <is>
          <t>x̄Mx̄DLXXXVI</t>
        </is>
      </c>
      <c r="C19587">
        <f>ROMAN(19586)</f>
        <v/>
      </c>
      <c r="D19587">
        <f>IF(B19587=C19587, "YES", "WRONG")</f>
        <v/>
      </c>
    </row>
    <row r="19588">
      <c r="A19588" t="n">
        <v>19587</v>
      </c>
      <c r="B19588" t="inlineStr">
        <is>
          <t>x̄Mx̄DLXXXVII</t>
        </is>
      </c>
      <c r="C19588">
        <f>ROMAN(19587)</f>
        <v/>
      </c>
      <c r="D19588">
        <f>IF(B19588=C19588, "YES", "WRONG")</f>
        <v/>
      </c>
    </row>
    <row r="19589">
      <c r="A19589" t="n">
        <v>19588</v>
      </c>
      <c r="B19589" t="inlineStr">
        <is>
          <t>x̄Mx̄DLXXXVIII</t>
        </is>
      </c>
      <c r="C19589">
        <f>ROMAN(19588)</f>
        <v/>
      </c>
      <c r="D19589">
        <f>IF(B19589=C19589, "YES", "WRONG")</f>
        <v/>
      </c>
    </row>
    <row r="19590">
      <c r="A19590" t="n">
        <v>19589</v>
      </c>
      <c r="B19590" t="inlineStr">
        <is>
          <t>x̄Mx̄DLXXXIX</t>
        </is>
      </c>
      <c r="C19590">
        <f>ROMAN(19589)</f>
        <v/>
      </c>
      <c r="D19590">
        <f>IF(B19590=C19590, "YES", "WRONG")</f>
        <v/>
      </c>
    </row>
    <row r="19591">
      <c r="A19591" t="n">
        <v>19590</v>
      </c>
      <c r="B19591" t="inlineStr">
        <is>
          <t>x̄Mx̄DXC</t>
        </is>
      </c>
      <c r="C19591">
        <f>ROMAN(19590)</f>
        <v/>
      </c>
      <c r="D19591">
        <f>IF(B19591=C19591, "YES", "WRONG")</f>
        <v/>
      </c>
    </row>
    <row r="19592">
      <c r="A19592" t="n">
        <v>19591</v>
      </c>
      <c r="B19592" t="inlineStr">
        <is>
          <t>x̄Mx̄DXCI</t>
        </is>
      </c>
      <c r="C19592">
        <f>ROMAN(19591)</f>
        <v/>
      </c>
      <c r="D19592">
        <f>IF(B19592=C19592, "YES", "WRONG")</f>
        <v/>
      </c>
    </row>
    <row r="19593">
      <c r="A19593" t="n">
        <v>19592</v>
      </c>
      <c r="B19593" t="inlineStr">
        <is>
          <t>x̄Mx̄DXCII</t>
        </is>
      </c>
      <c r="C19593">
        <f>ROMAN(19592)</f>
        <v/>
      </c>
      <c r="D19593">
        <f>IF(B19593=C19593, "YES", "WRONG")</f>
        <v/>
      </c>
    </row>
    <row r="19594">
      <c r="A19594" t="n">
        <v>19593</v>
      </c>
      <c r="B19594" t="inlineStr">
        <is>
          <t>x̄Mx̄DXCIII</t>
        </is>
      </c>
      <c r="C19594">
        <f>ROMAN(19593)</f>
        <v/>
      </c>
      <c r="D19594">
        <f>IF(B19594=C19594, "YES", "WRONG")</f>
        <v/>
      </c>
    </row>
    <row r="19595">
      <c r="A19595" t="n">
        <v>19594</v>
      </c>
      <c r="B19595" t="inlineStr">
        <is>
          <t>x̄Mx̄DXCIV</t>
        </is>
      </c>
      <c r="C19595">
        <f>ROMAN(19594)</f>
        <v/>
      </c>
      <c r="D19595">
        <f>IF(B19595=C19595, "YES", "WRONG")</f>
        <v/>
      </c>
    </row>
    <row r="19596">
      <c r="A19596" t="n">
        <v>19595</v>
      </c>
      <c r="B19596" t="inlineStr">
        <is>
          <t>x̄Mx̄DXCV</t>
        </is>
      </c>
      <c r="C19596">
        <f>ROMAN(19595)</f>
        <v/>
      </c>
      <c r="D19596">
        <f>IF(B19596=C19596, "YES", "WRONG")</f>
        <v/>
      </c>
    </row>
    <row r="19597">
      <c r="A19597" t="n">
        <v>19596</v>
      </c>
      <c r="B19597" t="inlineStr">
        <is>
          <t>x̄Mx̄DXCVI</t>
        </is>
      </c>
      <c r="C19597">
        <f>ROMAN(19596)</f>
        <v/>
      </c>
      <c r="D19597">
        <f>IF(B19597=C19597, "YES", "WRONG")</f>
        <v/>
      </c>
    </row>
    <row r="19598">
      <c r="A19598" t="n">
        <v>19597</v>
      </c>
      <c r="B19598" t="inlineStr">
        <is>
          <t>x̄Mx̄DXCVII</t>
        </is>
      </c>
      <c r="C19598">
        <f>ROMAN(19597)</f>
        <v/>
      </c>
      <c r="D19598">
        <f>IF(B19598=C19598, "YES", "WRONG")</f>
        <v/>
      </c>
    </row>
    <row r="19599">
      <c r="A19599" t="n">
        <v>19598</v>
      </c>
      <c r="B19599" t="inlineStr">
        <is>
          <t>x̄Mx̄DXCVIII</t>
        </is>
      </c>
      <c r="C19599">
        <f>ROMAN(19598)</f>
        <v/>
      </c>
      <c r="D19599">
        <f>IF(B19599=C19599, "YES", "WRONG")</f>
        <v/>
      </c>
    </row>
    <row r="19600">
      <c r="A19600" t="n">
        <v>19599</v>
      </c>
      <c r="B19600" t="inlineStr">
        <is>
          <t>x̄Mx̄DXCIX</t>
        </is>
      </c>
      <c r="C19600">
        <f>ROMAN(19599)</f>
        <v/>
      </c>
      <c r="D19600">
        <f>IF(B19600=C19600, "YES", "WRONG")</f>
        <v/>
      </c>
    </row>
    <row r="19601">
      <c r="A19601" t="n">
        <v>19600</v>
      </c>
      <c r="B19601" t="inlineStr">
        <is>
          <t>x̄Mx̄DC</t>
        </is>
      </c>
      <c r="C19601">
        <f>ROMAN(19600)</f>
        <v/>
      </c>
      <c r="D19601">
        <f>IF(B19601=C19601, "YES", "WRONG")</f>
        <v/>
      </c>
    </row>
    <row r="19602">
      <c r="A19602" t="n">
        <v>19601</v>
      </c>
      <c r="B19602" t="inlineStr">
        <is>
          <t>x̄Mx̄DCI</t>
        </is>
      </c>
      <c r="C19602">
        <f>ROMAN(19601)</f>
        <v/>
      </c>
      <c r="D19602">
        <f>IF(B19602=C19602, "YES", "WRONG")</f>
        <v/>
      </c>
    </row>
    <row r="19603">
      <c r="A19603" t="n">
        <v>19602</v>
      </c>
      <c r="B19603" t="inlineStr">
        <is>
          <t>x̄Mx̄DCII</t>
        </is>
      </c>
      <c r="C19603">
        <f>ROMAN(19602)</f>
        <v/>
      </c>
      <c r="D19603">
        <f>IF(B19603=C19603, "YES", "WRONG")</f>
        <v/>
      </c>
    </row>
    <row r="19604">
      <c r="A19604" t="n">
        <v>19603</v>
      </c>
      <c r="B19604" t="inlineStr">
        <is>
          <t>x̄Mx̄DCIII</t>
        </is>
      </c>
      <c r="C19604">
        <f>ROMAN(19603)</f>
        <v/>
      </c>
      <c r="D19604">
        <f>IF(B19604=C19604, "YES", "WRONG")</f>
        <v/>
      </c>
    </row>
    <row r="19605">
      <c r="A19605" t="n">
        <v>19604</v>
      </c>
      <c r="B19605" t="inlineStr">
        <is>
          <t>x̄Mx̄DCIV</t>
        </is>
      </c>
      <c r="C19605">
        <f>ROMAN(19604)</f>
        <v/>
      </c>
      <c r="D19605">
        <f>IF(B19605=C19605, "YES", "WRONG")</f>
        <v/>
      </c>
    </row>
    <row r="19606">
      <c r="A19606" t="n">
        <v>19605</v>
      </c>
      <c r="B19606" t="inlineStr">
        <is>
          <t>x̄Mx̄DCV</t>
        </is>
      </c>
      <c r="C19606">
        <f>ROMAN(19605)</f>
        <v/>
      </c>
      <c r="D19606">
        <f>IF(B19606=C19606, "YES", "WRONG")</f>
        <v/>
      </c>
    </row>
    <row r="19607">
      <c r="A19607" t="n">
        <v>19606</v>
      </c>
      <c r="B19607" t="inlineStr">
        <is>
          <t>x̄Mx̄DCVI</t>
        </is>
      </c>
      <c r="C19607">
        <f>ROMAN(19606)</f>
        <v/>
      </c>
      <c r="D19607">
        <f>IF(B19607=C19607, "YES", "WRONG")</f>
        <v/>
      </c>
    </row>
    <row r="19608">
      <c r="A19608" t="n">
        <v>19607</v>
      </c>
      <c r="B19608" t="inlineStr">
        <is>
          <t>x̄Mx̄DCVII</t>
        </is>
      </c>
      <c r="C19608">
        <f>ROMAN(19607)</f>
        <v/>
      </c>
      <c r="D19608">
        <f>IF(B19608=C19608, "YES", "WRONG")</f>
        <v/>
      </c>
    </row>
    <row r="19609">
      <c r="A19609" t="n">
        <v>19608</v>
      </c>
      <c r="B19609" t="inlineStr">
        <is>
          <t>x̄Mx̄DCVIII</t>
        </is>
      </c>
      <c r="C19609">
        <f>ROMAN(19608)</f>
        <v/>
      </c>
      <c r="D19609">
        <f>IF(B19609=C19609, "YES", "WRONG")</f>
        <v/>
      </c>
    </row>
    <row r="19610">
      <c r="A19610" t="n">
        <v>19609</v>
      </c>
      <c r="B19610" t="inlineStr">
        <is>
          <t>x̄Mx̄DCIX</t>
        </is>
      </c>
      <c r="C19610">
        <f>ROMAN(19609)</f>
        <v/>
      </c>
      <c r="D19610">
        <f>IF(B19610=C19610, "YES", "WRONG")</f>
        <v/>
      </c>
    </row>
    <row r="19611">
      <c r="A19611" t="n">
        <v>19610</v>
      </c>
      <c r="B19611" t="inlineStr">
        <is>
          <t>x̄Mx̄DCX</t>
        </is>
      </c>
      <c r="C19611">
        <f>ROMAN(19610)</f>
        <v/>
      </c>
      <c r="D19611">
        <f>IF(B19611=C19611, "YES", "WRONG")</f>
        <v/>
      </c>
    </row>
    <row r="19612">
      <c r="A19612" t="n">
        <v>19611</v>
      </c>
      <c r="B19612" t="inlineStr">
        <is>
          <t>x̄Mx̄DCXI</t>
        </is>
      </c>
      <c r="C19612">
        <f>ROMAN(19611)</f>
        <v/>
      </c>
      <c r="D19612">
        <f>IF(B19612=C19612, "YES", "WRONG")</f>
        <v/>
      </c>
    </row>
    <row r="19613">
      <c r="A19613" t="n">
        <v>19612</v>
      </c>
      <c r="B19613" t="inlineStr">
        <is>
          <t>x̄Mx̄DCXII</t>
        </is>
      </c>
      <c r="C19613">
        <f>ROMAN(19612)</f>
        <v/>
      </c>
      <c r="D19613">
        <f>IF(B19613=C19613, "YES", "WRONG")</f>
        <v/>
      </c>
    </row>
    <row r="19614">
      <c r="A19614" t="n">
        <v>19613</v>
      </c>
      <c r="B19614" t="inlineStr">
        <is>
          <t>x̄Mx̄DCXIII</t>
        </is>
      </c>
      <c r="C19614">
        <f>ROMAN(19613)</f>
        <v/>
      </c>
      <c r="D19614">
        <f>IF(B19614=C19614, "YES", "WRONG")</f>
        <v/>
      </c>
    </row>
    <row r="19615">
      <c r="A19615" t="n">
        <v>19614</v>
      </c>
      <c r="B19615" t="inlineStr">
        <is>
          <t>x̄Mx̄DCXIV</t>
        </is>
      </c>
      <c r="C19615">
        <f>ROMAN(19614)</f>
        <v/>
      </c>
      <c r="D19615">
        <f>IF(B19615=C19615, "YES", "WRONG")</f>
        <v/>
      </c>
    </row>
    <row r="19616">
      <c r="A19616" t="n">
        <v>19615</v>
      </c>
      <c r="B19616" t="inlineStr">
        <is>
          <t>x̄Mx̄DCXV</t>
        </is>
      </c>
      <c r="C19616">
        <f>ROMAN(19615)</f>
        <v/>
      </c>
      <c r="D19616">
        <f>IF(B19616=C19616, "YES", "WRONG")</f>
        <v/>
      </c>
    </row>
    <row r="19617">
      <c r="A19617" t="n">
        <v>19616</v>
      </c>
      <c r="B19617" t="inlineStr">
        <is>
          <t>x̄Mx̄DCXVI</t>
        </is>
      </c>
      <c r="C19617">
        <f>ROMAN(19616)</f>
        <v/>
      </c>
      <c r="D19617">
        <f>IF(B19617=C19617, "YES", "WRONG")</f>
        <v/>
      </c>
    </row>
    <row r="19618">
      <c r="A19618" t="n">
        <v>19617</v>
      </c>
      <c r="B19618" t="inlineStr">
        <is>
          <t>x̄Mx̄DCXVII</t>
        </is>
      </c>
      <c r="C19618">
        <f>ROMAN(19617)</f>
        <v/>
      </c>
      <c r="D19618">
        <f>IF(B19618=C19618, "YES", "WRONG")</f>
        <v/>
      </c>
    </row>
    <row r="19619">
      <c r="A19619" t="n">
        <v>19618</v>
      </c>
      <c r="B19619" t="inlineStr">
        <is>
          <t>x̄Mx̄DCXVIII</t>
        </is>
      </c>
      <c r="C19619">
        <f>ROMAN(19618)</f>
        <v/>
      </c>
      <c r="D19619">
        <f>IF(B19619=C19619, "YES", "WRONG")</f>
        <v/>
      </c>
    </row>
    <row r="19620">
      <c r="A19620" t="n">
        <v>19619</v>
      </c>
      <c r="B19620" t="inlineStr">
        <is>
          <t>x̄Mx̄DCXIX</t>
        </is>
      </c>
      <c r="C19620">
        <f>ROMAN(19619)</f>
        <v/>
      </c>
      <c r="D19620">
        <f>IF(B19620=C19620, "YES", "WRONG")</f>
        <v/>
      </c>
    </row>
    <row r="19621">
      <c r="A19621" t="n">
        <v>19620</v>
      </c>
      <c r="B19621" t="inlineStr">
        <is>
          <t>x̄Mx̄DCXX</t>
        </is>
      </c>
      <c r="C19621">
        <f>ROMAN(19620)</f>
        <v/>
      </c>
      <c r="D19621">
        <f>IF(B19621=C19621, "YES", "WRONG")</f>
        <v/>
      </c>
    </row>
    <row r="19622">
      <c r="A19622" t="n">
        <v>19621</v>
      </c>
      <c r="B19622" t="inlineStr">
        <is>
          <t>x̄Mx̄DCXXI</t>
        </is>
      </c>
      <c r="C19622">
        <f>ROMAN(19621)</f>
        <v/>
      </c>
      <c r="D19622">
        <f>IF(B19622=C19622, "YES", "WRONG")</f>
        <v/>
      </c>
    </row>
    <row r="19623">
      <c r="A19623" t="n">
        <v>19622</v>
      </c>
      <c r="B19623" t="inlineStr">
        <is>
          <t>x̄Mx̄DCXXII</t>
        </is>
      </c>
      <c r="C19623">
        <f>ROMAN(19622)</f>
        <v/>
      </c>
      <c r="D19623">
        <f>IF(B19623=C19623, "YES", "WRONG")</f>
        <v/>
      </c>
    </row>
    <row r="19624">
      <c r="A19624" t="n">
        <v>19623</v>
      </c>
      <c r="B19624" t="inlineStr">
        <is>
          <t>x̄Mx̄DCXXIII</t>
        </is>
      </c>
      <c r="C19624">
        <f>ROMAN(19623)</f>
        <v/>
      </c>
      <c r="D19624">
        <f>IF(B19624=C19624, "YES", "WRONG")</f>
        <v/>
      </c>
    </row>
    <row r="19625">
      <c r="A19625" t="n">
        <v>19624</v>
      </c>
      <c r="B19625" t="inlineStr">
        <is>
          <t>x̄Mx̄DCXXIV</t>
        </is>
      </c>
      <c r="C19625">
        <f>ROMAN(19624)</f>
        <v/>
      </c>
      <c r="D19625">
        <f>IF(B19625=C19625, "YES", "WRONG")</f>
        <v/>
      </c>
    </row>
    <row r="19626">
      <c r="A19626" t="n">
        <v>19625</v>
      </c>
      <c r="B19626" t="inlineStr">
        <is>
          <t>x̄Mx̄DCXXV</t>
        </is>
      </c>
      <c r="C19626">
        <f>ROMAN(19625)</f>
        <v/>
      </c>
      <c r="D19626">
        <f>IF(B19626=C19626, "YES", "WRONG")</f>
        <v/>
      </c>
    </row>
    <row r="19627">
      <c r="A19627" t="n">
        <v>19626</v>
      </c>
      <c r="B19627" t="inlineStr">
        <is>
          <t>x̄Mx̄DCXXVI</t>
        </is>
      </c>
      <c r="C19627">
        <f>ROMAN(19626)</f>
        <v/>
      </c>
      <c r="D19627">
        <f>IF(B19627=C19627, "YES", "WRONG")</f>
        <v/>
      </c>
    </row>
    <row r="19628">
      <c r="A19628" t="n">
        <v>19627</v>
      </c>
      <c r="B19628" t="inlineStr">
        <is>
          <t>x̄Mx̄DCXXVII</t>
        </is>
      </c>
      <c r="C19628">
        <f>ROMAN(19627)</f>
        <v/>
      </c>
      <c r="D19628">
        <f>IF(B19628=C19628, "YES", "WRONG")</f>
        <v/>
      </c>
    </row>
    <row r="19629">
      <c r="A19629" t="n">
        <v>19628</v>
      </c>
      <c r="B19629" t="inlineStr">
        <is>
          <t>x̄Mx̄DCXXVIII</t>
        </is>
      </c>
      <c r="C19629">
        <f>ROMAN(19628)</f>
        <v/>
      </c>
      <c r="D19629">
        <f>IF(B19629=C19629, "YES", "WRONG")</f>
        <v/>
      </c>
    </row>
    <row r="19630">
      <c r="A19630" t="n">
        <v>19629</v>
      </c>
      <c r="B19630" t="inlineStr">
        <is>
          <t>x̄Mx̄DCXXIX</t>
        </is>
      </c>
      <c r="C19630">
        <f>ROMAN(19629)</f>
        <v/>
      </c>
      <c r="D19630">
        <f>IF(B19630=C19630, "YES", "WRONG")</f>
        <v/>
      </c>
    </row>
    <row r="19631">
      <c r="A19631" t="n">
        <v>19630</v>
      </c>
      <c r="B19631" t="inlineStr">
        <is>
          <t>x̄Mx̄DCXXX</t>
        </is>
      </c>
      <c r="C19631">
        <f>ROMAN(19630)</f>
        <v/>
      </c>
      <c r="D19631">
        <f>IF(B19631=C19631, "YES", "WRONG")</f>
        <v/>
      </c>
    </row>
    <row r="19632">
      <c r="A19632" t="n">
        <v>19631</v>
      </c>
      <c r="B19632" t="inlineStr">
        <is>
          <t>x̄Mx̄DCXXXI</t>
        </is>
      </c>
      <c r="C19632">
        <f>ROMAN(19631)</f>
        <v/>
      </c>
      <c r="D19632">
        <f>IF(B19632=C19632, "YES", "WRONG")</f>
        <v/>
      </c>
    </row>
    <row r="19633">
      <c r="A19633" t="n">
        <v>19632</v>
      </c>
      <c r="B19633" t="inlineStr">
        <is>
          <t>x̄Mx̄DCXXXII</t>
        </is>
      </c>
      <c r="C19633">
        <f>ROMAN(19632)</f>
        <v/>
      </c>
      <c r="D19633">
        <f>IF(B19633=C19633, "YES", "WRONG")</f>
        <v/>
      </c>
    </row>
    <row r="19634">
      <c r="A19634" t="n">
        <v>19633</v>
      </c>
      <c r="B19634" t="inlineStr">
        <is>
          <t>x̄Mx̄DCXXXIII</t>
        </is>
      </c>
      <c r="C19634">
        <f>ROMAN(19633)</f>
        <v/>
      </c>
      <c r="D19634">
        <f>IF(B19634=C19634, "YES", "WRONG")</f>
        <v/>
      </c>
    </row>
    <row r="19635">
      <c r="A19635" t="n">
        <v>19634</v>
      </c>
      <c r="B19635" t="inlineStr">
        <is>
          <t>x̄Mx̄DCXXXIV</t>
        </is>
      </c>
      <c r="C19635">
        <f>ROMAN(19634)</f>
        <v/>
      </c>
      <c r="D19635">
        <f>IF(B19635=C19635, "YES", "WRONG")</f>
        <v/>
      </c>
    </row>
    <row r="19636">
      <c r="A19636" t="n">
        <v>19635</v>
      </c>
      <c r="B19636" t="inlineStr">
        <is>
          <t>x̄Mx̄DCXXXV</t>
        </is>
      </c>
      <c r="C19636">
        <f>ROMAN(19635)</f>
        <v/>
      </c>
      <c r="D19636">
        <f>IF(B19636=C19636, "YES", "WRONG")</f>
        <v/>
      </c>
    </row>
    <row r="19637">
      <c r="A19637" t="n">
        <v>19636</v>
      </c>
      <c r="B19637" t="inlineStr">
        <is>
          <t>x̄Mx̄DCXXXVI</t>
        </is>
      </c>
      <c r="C19637">
        <f>ROMAN(19636)</f>
        <v/>
      </c>
      <c r="D19637">
        <f>IF(B19637=C19637, "YES", "WRONG")</f>
        <v/>
      </c>
    </row>
    <row r="19638">
      <c r="A19638" t="n">
        <v>19637</v>
      </c>
      <c r="B19638" t="inlineStr">
        <is>
          <t>x̄Mx̄DCXXXVII</t>
        </is>
      </c>
      <c r="C19638">
        <f>ROMAN(19637)</f>
        <v/>
      </c>
      <c r="D19638">
        <f>IF(B19638=C19638, "YES", "WRONG")</f>
        <v/>
      </c>
    </row>
    <row r="19639">
      <c r="A19639" t="n">
        <v>19638</v>
      </c>
      <c r="B19639" t="inlineStr">
        <is>
          <t>x̄Mx̄DCXXXVIII</t>
        </is>
      </c>
      <c r="C19639">
        <f>ROMAN(19638)</f>
        <v/>
      </c>
      <c r="D19639">
        <f>IF(B19639=C19639, "YES", "WRONG")</f>
        <v/>
      </c>
    </row>
    <row r="19640">
      <c r="A19640" t="n">
        <v>19639</v>
      </c>
      <c r="B19640" t="inlineStr">
        <is>
          <t>x̄Mx̄DCXXXIX</t>
        </is>
      </c>
      <c r="C19640">
        <f>ROMAN(19639)</f>
        <v/>
      </c>
      <c r="D19640">
        <f>IF(B19640=C19640, "YES", "WRONG")</f>
        <v/>
      </c>
    </row>
    <row r="19641">
      <c r="A19641" t="n">
        <v>19640</v>
      </c>
      <c r="B19641" t="inlineStr">
        <is>
          <t>x̄Mx̄DCXL</t>
        </is>
      </c>
      <c r="C19641">
        <f>ROMAN(19640)</f>
        <v/>
      </c>
      <c r="D19641">
        <f>IF(B19641=C19641, "YES", "WRONG")</f>
        <v/>
      </c>
    </row>
    <row r="19642">
      <c r="A19642" t="n">
        <v>19641</v>
      </c>
      <c r="B19642" t="inlineStr">
        <is>
          <t>x̄Mx̄DCXLI</t>
        </is>
      </c>
      <c r="C19642">
        <f>ROMAN(19641)</f>
        <v/>
      </c>
      <c r="D19642">
        <f>IF(B19642=C19642, "YES", "WRONG")</f>
        <v/>
      </c>
    </row>
    <row r="19643">
      <c r="A19643" t="n">
        <v>19642</v>
      </c>
      <c r="B19643" t="inlineStr">
        <is>
          <t>x̄Mx̄DCXLII</t>
        </is>
      </c>
      <c r="C19643">
        <f>ROMAN(19642)</f>
        <v/>
      </c>
      <c r="D19643">
        <f>IF(B19643=C19643, "YES", "WRONG")</f>
        <v/>
      </c>
    </row>
    <row r="19644">
      <c r="A19644" t="n">
        <v>19643</v>
      </c>
      <c r="B19644" t="inlineStr">
        <is>
          <t>x̄Mx̄DCXLIII</t>
        </is>
      </c>
      <c r="C19644">
        <f>ROMAN(19643)</f>
        <v/>
      </c>
      <c r="D19644">
        <f>IF(B19644=C19644, "YES", "WRONG")</f>
        <v/>
      </c>
    </row>
    <row r="19645">
      <c r="A19645" t="n">
        <v>19644</v>
      </c>
      <c r="B19645" t="inlineStr">
        <is>
          <t>x̄Mx̄DCXLIV</t>
        </is>
      </c>
      <c r="C19645">
        <f>ROMAN(19644)</f>
        <v/>
      </c>
      <c r="D19645">
        <f>IF(B19645=C19645, "YES", "WRONG")</f>
        <v/>
      </c>
    </row>
    <row r="19646">
      <c r="A19646" t="n">
        <v>19645</v>
      </c>
      <c r="B19646" t="inlineStr">
        <is>
          <t>x̄Mx̄DCXLV</t>
        </is>
      </c>
      <c r="C19646">
        <f>ROMAN(19645)</f>
        <v/>
      </c>
      <c r="D19646">
        <f>IF(B19646=C19646, "YES", "WRONG")</f>
        <v/>
      </c>
    </row>
    <row r="19647">
      <c r="A19647" t="n">
        <v>19646</v>
      </c>
      <c r="B19647" t="inlineStr">
        <is>
          <t>x̄Mx̄DCXLVI</t>
        </is>
      </c>
      <c r="C19647">
        <f>ROMAN(19646)</f>
        <v/>
      </c>
      <c r="D19647">
        <f>IF(B19647=C19647, "YES", "WRONG")</f>
        <v/>
      </c>
    </row>
    <row r="19648">
      <c r="A19648" t="n">
        <v>19647</v>
      </c>
      <c r="B19648" t="inlineStr">
        <is>
          <t>x̄Mx̄DCXLVII</t>
        </is>
      </c>
      <c r="C19648">
        <f>ROMAN(19647)</f>
        <v/>
      </c>
      <c r="D19648">
        <f>IF(B19648=C19648, "YES", "WRONG")</f>
        <v/>
      </c>
    </row>
    <row r="19649">
      <c r="A19649" t="n">
        <v>19648</v>
      </c>
      <c r="B19649" t="inlineStr">
        <is>
          <t>x̄Mx̄DCXLVIII</t>
        </is>
      </c>
      <c r="C19649">
        <f>ROMAN(19648)</f>
        <v/>
      </c>
      <c r="D19649">
        <f>IF(B19649=C19649, "YES", "WRONG")</f>
        <v/>
      </c>
    </row>
    <row r="19650">
      <c r="A19650" t="n">
        <v>19649</v>
      </c>
      <c r="B19650" t="inlineStr">
        <is>
          <t>x̄Mx̄DCXLIX</t>
        </is>
      </c>
      <c r="C19650">
        <f>ROMAN(19649)</f>
        <v/>
      </c>
      <c r="D19650">
        <f>IF(B19650=C19650, "YES", "WRONG")</f>
        <v/>
      </c>
    </row>
    <row r="19651">
      <c r="A19651" t="n">
        <v>19650</v>
      </c>
      <c r="B19651" t="inlineStr">
        <is>
          <t>x̄Mx̄DCL</t>
        </is>
      </c>
      <c r="C19651">
        <f>ROMAN(19650)</f>
        <v/>
      </c>
      <c r="D19651">
        <f>IF(B19651=C19651, "YES", "WRONG")</f>
        <v/>
      </c>
    </row>
    <row r="19652">
      <c r="A19652" t="n">
        <v>19651</v>
      </c>
      <c r="B19652" t="inlineStr">
        <is>
          <t>x̄Mx̄DCLI</t>
        </is>
      </c>
      <c r="C19652">
        <f>ROMAN(19651)</f>
        <v/>
      </c>
      <c r="D19652">
        <f>IF(B19652=C19652, "YES", "WRONG")</f>
        <v/>
      </c>
    </row>
    <row r="19653">
      <c r="A19653" t="n">
        <v>19652</v>
      </c>
      <c r="B19653" t="inlineStr">
        <is>
          <t>x̄Mx̄DCLII</t>
        </is>
      </c>
      <c r="C19653">
        <f>ROMAN(19652)</f>
        <v/>
      </c>
      <c r="D19653">
        <f>IF(B19653=C19653, "YES", "WRONG")</f>
        <v/>
      </c>
    </row>
    <row r="19654">
      <c r="A19654" t="n">
        <v>19653</v>
      </c>
      <c r="B19654" t="inlineStr">
        <is>
          <t>x̄Mx̄DCLIII</t>
        </is>
      </c>
      <c r="C19654">
        <f>ROMAN(19653)</f>
        <v/>
      </c>
      <c r="D19654">
        <f>IF(B19654=C19654, "YES", "WRONG")</f>
        <v/>
      </c>
    </row>
    <row r="19655">
      <c r="A19655" t="n">
        <v>19654</v>
      </c>
      <c r="B19655" t="inlineStr">
        <is>
          <t>x̄Mx̄DCLIV</t>
        </is>
      </c>
      <c r="C19655">
        <f>ROMAN(19654)</f>
        <v/>
      </c>
      <c r="D19655">
        <f>IF(B19655=C19655, "YES", "WRONG")</f>
        <v/>
      </c>
    </row>
    <row r="19656">
      <c r="A19656" t="n">
        <v>19655</v>
      </c>
      <c r="B19656" t="inlineStr">
        <is>
          <t>x̄Mx̄DCLV</t>
        </is>
      </c>
      <c r="C19656">
        <f>ROMAN(19655)</f>
        <v/>
      </c>
      <c r="D19656">
        <f>IF(B19656=C19656, "YES", "WRONG")</f>
        <v/>
      </c>
    </row>
    <row r="19657">
      <c r="A19657" t="n">
        <v>19656</v>
      </c>
      <c r="B19657" t="inlineStr">
        <is>
          <t>x̄Mx̄DCLVI</t>
        </is>
      </c>
      <c r="C19657">
        <f>ROMAN(19656)</f>
        <v/>
      </c>
      <c r="D19657">
        <f>IF(B19657=C19657, "YES", "WRONG")</f>
        <v/>
      </c>
    </row>
    <row r="19658">
      <c r="A19658" t="n">
        <v>19657</v>
      </c>
      <c r="B19658" t="inlineStr">
        <is>
          <t>x̄Mx̄DCLVII</t>
        </is>
      </c>
      <c r="C19658">
        <f>ROMAN(19657)</f>
        <v/>
      </c>
      <c r="D19658">
        <f>IF(B19658=C19658, "YES", "WRONG")</f>
        <v/>
      </c>
    </row>
    <row r="19659">
      <c r="A19659" t="n">
        <v>19658</v>
      </c>
      <c r="B19659" t="inlineStr">
        <is>
          <t>x̄Mx̄DCLVIII</t>
        </is>
      </c>
      <c r="C19659">
        <f>ROMAN(19658)</f>
        <v/>
      </c>
      <c r="D19659">
        <f>IF(B19659=C19659, "YES", "WRONG")</f>
        <v/>
      </c>
    </row>
    <row r="19660">
      <c r="A19660" t="n">
        <v>19659</v>
      </c>
      <c r="B19660" t="inlineStr">
        <is>
          <t>x̄Mx̄DCLIX</t>
        </is>
      </c>
      <c r="C19660">
        <f>ROMAN(19659)</f>
        <v/>
      </c>
      <c r="D19660">
        <f>IF(B19660=C19660, "YES", "WRONG")</f>
        <v/>
      </c>
    </row>
    <row r="19661">
      <c r="A19661" t="n">
        <v>19660</v>
      </c>
      <c r="B19661" t="inlineStr">
        <is>
          <t>x̄Mx̄DCLX</t>
        </is>
      </c>
      <c r="C19661">
        <f>ROMAN(19660)</f>
        <v/>
      </c>
      <c r="D19661">
        <f>IF(B19661=C19661, "YES", "WRONG")</f>
        <v/>
      </c>
    </row>
    <row r="19662">
      <c r="A19662" t="n">
        <v>19661</v>
      </c>
      <c r="B19662" t="inlineStr">
        <is>
          <t>x̄Mx̄DCLXI</t>
        </is>
      </c>
      <c r="C19662">
        <f>ROMAN(19661)</f>
        <v/>
      </c>
      <c r="D19662">
        <f>IF(B19662=C19662, "YES", "WRONG")</f>
        <v/>
      </c>
    </row>
    <row r="19663">
      <c r="A19663" t="n">
        <v>19662</v>
      </c>
      <c r="B19663" t="inlineStr">
        <is>
          <t>x̄Mx̄DCLXII</t>
        </is>
      </c>
      <c r="C19663">
        <f>ROMAN(19662)</f>
        <v/>
      </c>
      <c r="D19663">
        <f>IF(B19663=C19663, "YES", "WRONG")</f>
        <v/>
      </c>
    </row>
    <row r="19664">
      <c r="A19664" t="n">
        <v>19663</v>
      </c>
      <c r="B19664" t="inlineStr">
        <is>
          <t>x̄Mx̄DCLXIII</t>
        </is>
      </c>
      <c r="C19664">
        <f>ROMAN(19663)</f>
        <v/>
      </c>
      <c r="D19664">
        <f>IF(B19664=C19664, "YES", "WRONG")</f>
        <v/>
      </c>
    </row>
    <row r="19665">
      <c r="A19665" t="n">
        <v>19664</v>
      </c>
      <c r="B19665" t="inlineStr">
        <is>
          <t>x̄Mx̄DCLXIV</t>
        </is>
      </c>
      <c r="C19665">
        <f>ROMAN(19664)</f>
        <v/>
      </c>
      <c r="D19665">
        <f>IF(B19665=C19665, "YES", "WRONG")</f>
        <v/>
      </c>
    </row>
    <row r="19666">
      <c r="A19666" t="n">
        <v>19665</v>
      </c>
      <c r="B19666" t="inlineStr">
        <is>
          <t>x̄Mx̄DCLXV</t>
        </is>
      </c>
      <c r="C19666">
        <f>ROMAN(19665)</f>
        <v/>
      </c>
      <c r="D19666">
        <f>IF(B19666=C19666, "YES", "WRONG")</f>
        <v/>
      </c>
    </row>
    <row r="19667">
      <c r="A19667" t="n">
        <v>19666</v>
      </c>
      <c r="B19667" t="inlineStr">
        <is>
          <t>x̄Mx̄DCLXVI</t>
        </is>
      </c>
      <c r="C19667">
        <f>ROMAN(19666)</f>
        <v/>
      </c>
      <c r="D19667">
        <f>IF(B19667=C19667, "YES", "WRONG")</f>
        <v/>
      </c>
    </row>
    <row r="19668">
      <c r="A19668" t="n">
        <v>19667</v>
      </c>
      <c r="B19668" t="inlineStr">
        <is>
          <t>x̄Mx̄DCLXVII</t>
        </is>
      </c>
      <c r="C19668">
        <f>ROMAN(19667)</f>
        <v/>
      </c>
      <c r="D19668">
        <f>IF(B19668=C19668, "YES", "WRONG")</f>
        <v/>
      </c>
    </row>
    <row r="19669">
      <c r="A19669" t="n">
        <v>19668</v>
      </c>
      <c r="B19669" t="inlineStr">
        <is>
          <t>x̄Mx̄DCLXVIII</t>
        </is>
      </c>
      <c r="C19669">
        <f>ROMAN(19668)</f>
        <v/>
      </c>
      <c r="D19669">
        <f>IF(B19669=C19669, "YES", "WRONG")</f>
        <v/>
      </c>
    </row>
    <row r="19670">
      <c r="A19670" t="n">
        <v>19669</v>
      </c>
      <c r="B19670" t="inlineStr">
        <is>
          <t>x̄Mx̄DCLXIX</t>
        </is>
      </c>
      <c r="C19670">
        <f>ROMAN(19669)</f>
        <v/>
      </c>
      <c r="D19670">
        <f>IF(B19670=C19670, "YES", "WRONG")</f>
        <v/>
      </c>
    </row>
    <row r="19671">
      <c r="A19671" t="n">
        <v>19670</v>
      </c>
      <c r="B19671" t="inlineStr">
        <is>
          <t>x̄Mx̄DCLXX</t>
        </is>
      </c>
      <c r="C19671">
        <f>ROMAN(19670)</f>
        <v/>
      </c>
      <c r="D19671">
        <f>IF(B19671=C19671, "YES", "WRONG")</f>
        <v/>
      </c>
    </row>
    <row r="19672">
      <c r="A19672" t="n">
        <v>19671</v>
      </c>
      <c r="B19672" t="inlineStr">
        <is>
          <t>x̄Mx̄DCLXXI</t>
        </is>
      </c>
      <c r="C19672">
        <f>ROMAN(19671)</f>
        <v/>
      </c>
      <c r="D19672">
        <f>IF(B19672=C19672, "YES", "WRONG")</f>
        <v/>
      </c>
    </row>
    <row r="19673">
      <c r="A19673" t="n">
        <v>19672</v>
      </c>
      <c r="B19673" t="inlineStr">
        <is>
          <t>x̄Mx̄DCLXXII</t>
        </is>
      </c>
      <c r="C19673">
        <f>ROMAN(19672)</f>
        <v/>
      </c>
      <c r="D19673">
        <f>IF(B19673=C19673, "YES", "WRONG")</f>
        <v/>
      </c>
    </row>
    <row r="19674">
      <c r="A19674" t="n">
        <v>19673</v>
      </c>
      <c r="B19674" t="inlineStr">
        <is>
          <t>x̄Mx̄DCLXXIII</t>
        </is>
      </c>
      <c r="C19674">
        <f>ROMAN(19673)</f>
        <v/>
      </c>
      <c r="D19674">
        <f>IF(B19674=C19674, "YES", "WRONG")</f>
        <v/>
      </c>
    </row>
    <row r="19675">
      <c r="A19675" t="n">
        <v>19674</v>
      </c>
      <c r="B19675" t="inlineStr">
        <is>
          <t>x̄Mx̄DCLXXIV</t>
        </is>
      </c>
      <c r="C19675">
        <f>ROMAN(19674)</f>
        <v/>
      </c>
      <c r="D19675">
        <f>IF(B19675=C19675, "YES", "WRONG")</f>
        <v/>
      </c>
    </row>
    <row r="19676">
      <c r="A19676" t="n">
        <v>19675</v>
      </c>
      <c r="B19676" t="inlineStr">
        <is>
          <t>x̄Mx̄DCLXXV</t>
        </is>
      </c>
      <c r="C19676">
        <f>ROMAN(19675)</f>
        <v/>
      </c>
      <c r="D19676">
        <f>IF(B19676=C19676, "YES", "WRONG")</f>
        <v/>
      </c>
    </row>
    <row r="19677">
      <c r="A19677" t="n">
        <v>19676</v>
      </c>
      <c r="B19677" t="inlineStr">
        <is>
          <t>x̄Mx̄DCLXXVI</t>
        </is>
      </c>
      <c r="C19677">
        <f>ROMAN(19676)</f>
        <v/>
      </c>
      <c r="D19677">
        <f>IF(B19677=C19677, "YES", "WRONG")</f>
        <v/>
      </c>
    </row>
    <row r="19678">
      <c r="A19678" t="n">
        <v>19677</v>
      </c>
      <c r="B19678" t="inlineStr">
        <is>
          <t>x̄Mx̄DCLXXVII</t>
        </is>
      </c>
      <c r="C19678">
        <f>ROMAN(19677)</f>
        <v/>
      </c>
      <c r="D19678">
        <f>IF(B19678=C19678, "YES", "WRONG")</f>
        <v/>
      </c>
    </row>
    <row r="19679">
      <c r="A19679" t="n">
        <v>19678</v>
      </c>
      <c r="B19679" t="inlineStr">
        <is>
          <t>x̄Mx̄DCLXXVIII</t>
        </is>
      </c>
      <c r="C19679">
        <f>ROMAN(19678)</f>
        <v/>
      </c>
      <c r="D19679">
        <f>IF(B19679=C19679, "YES", "WRONG")</f>
        <v/>
      </c>
    </row>
    <row r="19680">
      <c r="A19680" t="n">
        <v>19679</v>
      </c>
      <c r="B19680" t="inlineStr">
        <is>
          <t>x̄Mx̄DCLXXIX</t>
        </is>
      </c>
      <c r="C19680">
        <f>ROMAN(19679)</f>
        <v/>
      </c>
      <c r="D19680">
        <f>IF(B19680=C19680, "YES", "WRONG")</f>
        <v/>
      </c>
    </row>
    <row r="19681">
      <c r="A19681" t="n">
        <v>19680</v>
      </c>
      <c r="B19681" t="inlineStr">
        <is>
          <t>x̄Mx̄DCLXXX</t>
        </is>
      </c>
      <c r="C19681">
        <f>ROMAN(19680)</f>
        <v/>
      </c>
      <c r="D19681">
        <f>IF(B19681=C19681, "YES", "WRONG")</f>
        <v/>
      </c>
    </row>
    <row r="19682">
      <c r="A19682" t="n">
        <v>19681</v>
      </c>
      <c r="B19682" t="inlineStr">
        <is>
          <t>x̄Mx̄DCLXXXI</t>
        </is>
      </c>
      <c r="C19682">
        <f>ROMAN(19681)</f>
        <v/>
      </c>
      <c r="D19682">
        <f>IF(B19682=C19682, "YES", "WRONG")</f>
        <v/>
      </c>
    </row>
    <row r="19683">
      <c r="A19683" t="n">
        <v>19682</v>
      </c>
      <c r="B19683" t="inlineStr">
        <is>
          <t>x̄Mx̄DCLXXXII</t>
        </is>
      </c>
      <c r="C19683">
        <f>ROMAN(19682)</f>
        <v/>
      </c>
      <c r="D19683">
        <f>IF(B19683=C19683, "YES", "WRONG")</f>
        <v/>
      </c>
    </row>
    <row r="19684">
      <c r="A19684" t="n">
        <v>19683</v>
      </c>
      <c r="B19684" t="inlineStr">
        <is>
          <t>x̄Mx̄DCLXXXIII</t>
        </is>
      </c>
      <c r="C19684">
        <f>ROMAN(19683)</f>
        <v/>
      </c>
      <c r="D19684">
        <f>IF(B19684=C19684, "YES", "WRONG")</f>
        <v/>
      </c>
    </row>
    <row r="19685">
      <c r="A19685" t="n">
        <v>19684</v>
      </c>
      <c r="B19685" t="inlineStr">
        <is>
          <t>x̄Mx̄DCLXXXIV</t>
        </is>
      </c>
      <c r="C19685">
        <f>ROMAN(19684)</f>
        <v/>
      </c>
      <c r="D19685">
        <f>IF(B19685=C19685, "YES", "WRONG")</f>
        <v/>
      </c>
    </row>
    <row r="19686">
      <c r="A19686" t="n">
        <v>19685</v>
      </c>
      <c r="B19686" t="inlineStr">
        <is>
          <t>x̄Mx̄DCLXXXV</t>
        </is>
      </c>
      <c r="C19686">
        <f>ROMAN(19685)</f>
        <v/>
      </c>
      <c r="D19686">
        <f>IF(B19686=C19686, "YES", "WRONG")</f>
        <v/>
      </c>
    </row>
    <row r="19687">
      <c r="A19687" t="n">
        <v>19686</v>
      </c>
      <c r="B19687" t="inlineStr">
        <is>
          <t>x̄Mx̄DCLXXXVI</t>
        </is>
      </c>
      <c r="C19687">
        <f>ROMAN(19686)</f>
        <v/>
      </c>
      <c r="D19687">
        <f>IF(B19687=C19687, "YES", "WRONG")</f>
        <v/>
      </c>
    </row>
    <row r="19688">
      <c r="A19688" t="n">
        <v>19687</v>
      </c>
      <c r="B19688" t="inlineStr">
        <is>
          <t>x̄Mx̄DCLXXXVII</t>
        </is>
      </c>
      <c r="C19688">
        <f>ROMAN(19687)</f>
        <v/>
      </c>
      <c r="D19688">
        <f>IF(B19688=C19688, "YES", "WRONG")</f>
        <v/>
      </c>
    </row>
    <row r="19689">
      <c r="A19689" t="n">
        <v>19688</v>
      </c>
      <c r="B19689" t="inlineStr">
        <is>
          <t>x̄Mx̄DCLXXXVIII</t>
        </is>
      </c>
      <c r="C19689">
        <f>ROMAN(19688)</f>
        <v/>
      </c>
      <c r="D19689">
        <f>IF(B19689=C19689, "YES", "WRONG")</f>
        <v/>
      </c>
    </row>
    <row r="19690">
      <c r="A19690" t="n">
        <v>19689</v>
      </c>
      <c r="B19690" t="inlineStr">
        <is>
          <t>x̄Mx̄DCLXXXIX</t>
        </is>
      </c>
      <c r="C19690">
        <f>ROMAN(19689)</f>
        <v/>
      </c>
      <c r="D19690">
        <f>IF(B19690=C19690, "YES", "WRONG")</f>
        <v/>
      </c>
    </row>
    <row r="19691">
      <c r="A19691" t="n">
        <v>19690</v>
      </c>
      <c r="B19691" t="inlineStr">
        <is>
          <t>x̄Mx̄DCXC</t>
        </is>
      </c>
      <c r="C19691">
        <f>ROMAN(19690)</f>
        <v/>
      </c>
      <c r="D19691">
        <f>IF(B19691=C19691, "YES", "WRONG")</f>
        <v/>
      </c>
    </row>
    <row r="19692">
      <c r="A19692" t="n">
        <v>19691</v>
      </c>
      <c r="B19692" t="inlineStr">
        <is>
          <t>x̄Mx̄DCXCI</t>
        </is>
      </c>
      <c r="C19692">
        <f>ROMAN(19691)</f>
        <v/>
      </c>
      <c r="D19692">
        <f>IF(B19692=C19692, "YES", "WRONG")</f>
        <v/>
      </c>
    </row>
    <row r="19693">
      <c r="A19693" t="n">
        <v>19692</v>
      </c>
      <c r="B19693" t="inlineStr">
        <is>
          <t>x̄Mx̄DCXCII</t>
        </is>
      </c>
      <c r="C19693">
        <f>ROMAN(19692)</f>
        <v/>
      </c>
      <c r="D19693">
        <f>IF(B19693=C19693, "YES", "WRONG")</f>
        <v/>
      </c>
    </row>
    <row r="19694">
      <c r="A19694" t="n">
        <v>19693</v>
      </c>
      <c r="B19694" t="inlineStr">
        <is>
          <t>x̄Mx̄DCXCIII</t>
        </is>
      </c>
      <c r="C19694">
        <f>ROMAN(19693)</f>
        <v/>
      </c>
      <c r="D19694">
        <f>IF(B19694=C19694, "YES", "WRONG")</f>
        <v/>
      </c>
    </row>
    <row r="19695">
      <c r="A19695" t="n">
        <v>19694</v>
      </c>
      <c r="B19695" t="inlineStr">
        <is>
          <t>x̄Mx̄DCXCIV</t>
        </is>
      </c>
      <c r="C19695">
        <f>ROMAN(19694)</f>
        <v/>
      </c>
      <c r="D19695">
        <f>IF(B19695=C19695, "YES", "WRONG")</f>
        <v/>
      </c>
    </row>
    <row r="19696">
      <c r="A19696" t="n">
        <v>19695</v>
      </c>
      <c r="B19696" t="inlineStr">
        <is>
          <t>x̄Mx̄DCXCV</t>
        </is>
      </c>
      <c r="C19696">
        <f>ROMAN(19695)</f>
        <v/>
      </c>
      <c r="D19696">
        <f>IF(B19696=C19696, "YES", "WRONG")</f>
        <v/>
      </c>
    </row>
    <row r="19697">
      <c r="A19697" t="n">
        <v>19696</v>
      </c>
      <c r="B19697" t="inlineStr">
        <is>
          <t>x̄Mx̄DCXCVI</t>
        </is>
      </c>
      <c r="C19697">
        <f>ROMAN(19696)</f>
        <v/>
      </c>
      <c r="D19697">
        <f>IF(B19697=C19697, "YES", "WRONG")</f>
        <v/>
      </c>
    </row>
    <row r="19698">
      <c r="A19698" t="n">
        <v>19697</v>
      </c>
      <c r="B19698" t="inlineStr">
        <is>
          <t>x̄Mx̄DCXCVII</t>
        </is>
      </c>
      <c r="C19698">
        <f>ROMAN(19697)</f>
        <v/>
      </c>
      <c r="D19698">
        <f>IF(B19698=C19698, "YES", "WRONG")</f>
        <v/>
      </c>
    </row>
    <row r="19699">
      <c r="A19699" t="n">
        <v>19698</v>
      </c>
      <c r="B19699" t="inlineStr">
        <is>
          <t>x̄Mx̄DCXCVIII</t>
        </is>
      </c>
      <c r="C19699">
        <f>ROMAN(19698)</f>
        <v/>
      </c>
      <c r="D19699">
        <f>IF(B19699=C19699, "YES", "WRONG")</f>
        <v/>
      </c>
    </row>
    <row r="19700">
      <c r="A19700" t="n">
        <v>19699</v>
      </c>
      <c r="B19700" t="inlineStr">
        <is>
          <t>x̄Mx̄DCXCIX</t>
        </is>
      </c>
      <c r="C19700">
        <f>ROMAN(19699)</f>
        <v/>
      </c>
      <c r="D19700">
        <f>IF(B19700=C19700, "YES", "WRONG")</f>
        <v/>
      </c>
    </row>
    <row r="19701">
      <c r="A19701" t="n">
        <v>19700</v>
      </c>
      <c r="B19701" t="inlineStr">
        <is>
          <t>x̄Mx̄DCC</t>
        </is>
      </c>
      <c r="C19701">
        <f>ROMAN(19700)</f>
        <v/>
      </c>
      <c r="D19701">
        <f>IF(B19701=C19701, "YES", "WRONG")</f>
        <v/>
      </c>
    </row>
    <row r="19702">
      <c r="A19702" t="n">
        <v>19701</v>
      </c>
      <c r="B19702" t="inlineStr">
        <is>
          <t>x̄Mx̄DCCI</t>
        </is>
      </c>
      <c r="C19702">
        <f>ROMAN(19701)</f>
        <v/>
      </c>
      <c r="D19702">
        <f>IF(B19702=C19702, "YES", "WRONG")</f>
        <v/>
      </c>
    </row>
    <row r="19703">
      <c r="A19703" t="n">
        <v>19702</v>
      </c>
      <c r="B19703" t="inlineStr">
        <is>
          <t>x̄Mx̄DCCII</t>
        </is>
      </c>
      <c r="C19703">
        <f>ROMAN(19702)</f>
        <v/>
      </c>
      <c r="D19703">
        <f>IF(B19703=C19703, "YES", "WRONG")</f>
        <v/>
      </c>
    </row>
    <row r="19704">
      <c r="A19704" t="n">
        <v>19703</v>
      </c>
      <c r="B19704" t="inlineStr">
        <is>
          <t>x̄Mx̄DCCIII</t>
        </is>
      </c>
      <c r="C19704">
        <f>ROMAN(19703)</f>
        <v/>
      </c>
      <c r="D19704">
        <f>IF(B19704=C19704, "YES", "WRONG")</f>
        <v/>
      </c>
    </row>
    <row r="19705">
      <c r="A19705" t="n">
        <v>19704</v>
      </c>
      <c r="B19705" t="inlineStr">
        <is>
          <t>x̄Mx̄DCCIV</t>
        </is>
      </c>
      <c r="C19705">
        <f>ROMAN(19704)</f>
        <v/>
      </c>
      <c r="D19705">
        <f>IF(B19705=C19705, "YES", "WRONG")</f>
        <v/>
      </c>
    </row>
    <row r="19706">
      <c r="A19706" t="n">
        <v>19705</v>
      </c>
      <c r="B19706" t="inlineStr">
        <is>
          <t>x̄Mx̄DCCV</t>
        </is>
      </c>
      <c r="C19706">
        <f>ROMAN(19705)</f>
        <v/>
      </c>
      <c r="D19706">
        <f>IF(B19706=C19706, "YES", "WRONG")</f>
        <v/>
      </c>
    </row>
    <row r="19707">
      <c r="A19707" t="n">
        <v>19706</v>
      </c>
      <c r="B19707" t="inlineStr">
        <is>
          <t>x̄Mx̄DCCVI</t>
        </is>
      </c>
      <c r="C19707">
        <f>ROMAN(19706)</f>
        <v/>
      </c>
      <c r="D19707">
        <f>IF(B19707=C19707, "YES", "WRONG")</f>
        <v/>
      </c>
    </row>
    <row r="19708">
      <c r="A19708" t="n">
        <v>19707</v>
      </c>
      <c r="B19708" t="inlineStr">
        <is>
          <t>x̄Mx̄DCCVII</t>
        </is>
      </c>
      <c r="C19708">
        <f>ROMAN(19707)</f>
        <v/>
      </c>
      <c r="D19708">
        <f>IF(B19708=C19708, "YES", "WRONG")</f>
        <v/>
      </c>
    </row>
    <row r="19709">
      <c r="A19709" t="n">
        <v>19708</v>
      </c>
      <c r="B19709" t="inlineStr">
        <is>
          <t>x̄Mx̄DCCVIII</t>
        </is>
      </c>
      <c r="C19709">
        <f>ROMAN(19708)</f>
        <v/>
      </c>
      <c r="D19709">
        <f>IF(B19709=C19709, "YES", "WRONG")</f>
        <v/>
      </c>
    </row>
    <row r="19710">
      <c r="A19710" t="n">
        <v>19709</v>
      </c>
      <c r="B19710" t="inlineStr">
        <is>
          <t>x̄Mx̄DCCIX</t>
        </is>
      </c>
      <c r="C19710">
        <f>ROMAN(19709)</f>
        <v/>
      </c>
      <c r="D19710">
        <f>IF(B19710=C19710, "YES", "WRONG")</f>
        <v/>
      </c>
    </row>
    <row r="19711">
      <c r="A19711" t="n">
        <v>19710</v>
      </c>
      <c r="B19711" t="inlineStr">
        <is>
          <t>x̄Mx̄DCCX</t>
        </is>
      </c>
      <c r="C19711">
        <f>ROMAN(19710)</f>
        <v/>
      </c>
      <c r="D19711">
        <f>IF(B19711=C19711, "YES", "WRONG")</f>
        <v/>
      </c>
    </row>
    <row r="19712">
      <c r="A19712" t="n">
        <v>19711</v>
      </c>
      <c r="B19712" t="inlineStr">
        <is>
          <t>x̄Mx̄DCCXI</t>
        </is>
      </c>
      <c r="C19712">
        <f>ROMAN(19711)</f>
        <v/>
      </c>
      <c r="D19712">
        <f>IF(B19712=C19712, "YES", "WRONG")</f>
        <v/>
      </c>
    </row>
    <row r="19713">
      <c r="A19713" t="n">
        <v>19712</v>
      </c>
      <c r="B19713" t="inlineStr">
        <is>
          <t>x̄Mx̄DCCXII</t>
        </is>
      </c>
      <c r="C19713">
        <f>ROMAN(19712)</f>
        <v/>
      </c>
      <c r="D19713">
        <f>IF(B19713=C19713, "YES", "WRONG")</f>
        <v/>
      </c>
    </row>
    <row r="19714">
      <c r="A19714" t="n">
        <v>19713</v>
      </c>
      <c r="B19714" t="inlineStr">
        <is>
          <t>x̄Mx̄DCCXIII</t>
        </is>
      </c>
      <c r="C19714">
        <f>ROMAN(19713)</f>
        <v/>
      </c>
      <c r="D19714">
        <f>IF(B19714=C19714, "YES", "WRONG")</f>
        <v/>
      </c>
    </row>
    <row r="19715">
      <c r="A19715" t="n">
        <v>19714</v>
      </c>
      <c r="B19715" t="inlineStr">
        <is>
          <t>x̄Mx̄DCCXIV</t>
        </is>
      </c>
      <c r="C19715">
        <f>ROMAN(19714)</f>
        <v/>
      </c>
      <c r="D19715">
        <f>IF(B19715=C19715, "YES", "WRONG")</f>
        <v/>
      </c>
    </row>
    <row r="19716">
      <c r="A19716" t="n">
        <v>19715</v>
      </c>
      <c r="B19716" t="inlineStr">
        <is>
          <t>x̄Mx̄DCCXV</t>
        </is>
      </c>
      <c r="C19716">
        <f>ROMAN(19715)</f>
        <v/>
      </c>
      <c r="D19716">
        <f>IF(B19716=C19716, "YES", "WRONG")</f>
        <v/>
      </c>
    </row>
    <row r="19717">
      <c r="A19717" t="n">
        <v>19716</v>
      </c>
      <c r="B19717" t="inlineStr">
        <is>
          <t>x̄Mx̄DCCXVI</t>
        </is>
      </c>
      <c r="C19717">
        <f>ROMAN(19716)</f>
        <v/>
      </c>
      <c r="D19717">
        <f>IF(B19717=C19717, "YES", "WRONG")</f>
        <v/>
      </c>
    </row>
    <row r="19718">
      <c r="A19718" t="n">
        <v>19717</v>
      </c>
      <c r="B19718" t="inlineStr">
        <is>
          <t>x̄Mx̄DCCXVII</t>
        </is>
      </c>
      <c r="C19718">
        <f>ROMAN(19717)</f>
        <v/>
      </c>
      <c r="D19718">
        <f>IF(B19718=C19718, "YES", "WRONG")</f>
        <v/>
      </c>
    </row>
    <row r="19719">
      <c r="A19719" t="n">
        <v>19718</v>
      </c>
      <c r="B19719" t="inlineStr">
        <is>
          <t>x̄Mx̄DCCXVIII</t>
        </is>
      </c>
      <c r="C19719">
        <f>ROMAN(19718)</f>
        <v/>
      </c>
      <c r="D19719">
        <f>IF(B19719=C19719, "YES", "WRONG")</f>
        <v/>
      </c>
    </row>
    <row r="19720">
      <c r="A19720" t="n">
        <v>19719</v>
      </c>
      <c r="B19720" t="inlineStr">
        <is>
          <t>x̄Mx̄DCCXIX</t>
        </is>
      </c>
      <c r="C19720">
        <f>ROMAN(19719)</f>
        <v/>
      </c>
      <c r="D19720">
        <f>IF(B19720=C19720, "YES", "WRONG")</f>
        <v/>
      </c>
    </row>
    <row r="19721">
      <c r="A19721" t="n">
        <v>19720</v>
      </c>
      <c r="B19721" t="inlineStr">
        <is>
          <t>x̄Mx̄DCCXX</t>
        </is>
      </c>
      <c r="C19721">
        <f>ROMAN(19720)</f>
        <v/>
      </c>
      <c r="D19721">
        <f>IF(B19721=C19721, "YES", "WRONG")</f>
        <v/>
      </c>
    </row>
    <row r="19722">
      <c r="A19722" t="n">
        <v>19721</v>
      </c>
      <c r="B19722" t="inlineStr">
        <is>
          <t>x̄Mx̄DCCXXI</t>
        </is>
      </c>
      <c r="C19722">
        <f>ROMAN(19721)</f>
        <v/>
      </c>
      <c r="D19722">
        <f>IF(B19722=C19722, "YES", "WRONG")</f>
        <v/>
      </c>
    </row>
    <row r="19723">
      <c r="A19723" t="n">
        <v>19722</v>
      </c>
      <c r="B19723" t="inlineStr">
        <is>
          <t>x̄Mx̄DCCXXII</t>
        </is>
      </c>
      <c r="C19723">
        <f>ROMAN(19722)</f>
        <v/>
      </c>
      <c r="D19723">
        <f>IF(B19723=C19723, "YES", "WRONG")</f>
        <v/>
      </c>
    </row>
    <row r="19724">
      <c r="A19724" t="n">
        <v>19723</v>
      </c>
      <c r="B19724" t="inlineStr">
        <is>
          <t>x̄Mx̄DCCXXIII</t>
        </is>
      </c>
      <c r="C19724">
        <f>ROMAN(19723)</f>
        <v/>
      </c>
      <c r="D19724">
        <f>IF(B19724=C19724, "YES", "WRONG")</f>
        <v/>
      </c>
    </row>
    <row r="19725">
      <c r="A19725" t="n">
        <v>19724</v>
      </c>
      <c r="B19725" t="inlineStr">
        <is>
          <t>x̄Mx̄DCCXXIV</t>
        </is>
      </c>
      <c r="C19725">
        <f>ROMAN(19724)</f>
        <v/>
      </c>
      <c r="D19725">
        <f>IF(B19725=C19725, "YES", "WRONG")</f>
        <v/>
      </c>
    </row>
    <row r="19726">
      <c r="A19726" t="n">
        <v>19725</v>
      </c>
      <c r="B19726" t="inlineStr">
        <is>
          <t>x̄Mx̄DCCXXV</t>
        </is>
      </c>
      <c r="C19726">
        <f>ROMAN(19725)</f>
        <v/>
      </c>
      <c r="D19726">
        <f>IF(B19726=C19726, "YES", "WRONG")</f>
        <v/>
      </c>
    </row>
    <row r="19727">
      <c r="A19727" t="n">
        <v>19726</v>
      </c>
      <c r="B19727" t="inlineStr">
        <is>
          <t>x̄Mx̄DCCXXVI</t>
        </is>
      </c>
      <c r="C19727">
        <f>ROMAN(19726)</f>
        <v/>
      </c>
      <c r="D19727">
        <f>IF(B19727=C19727, "YES", "WRONG")</f>
        <v/>
      </c>
    </row>
    <row r="19728">
      <c r="A19728" t="n">
        <v>19727</v>
      </c>
      <c r="B19728" t="inlineStr">
        <is>
          <t>x̄Mx̄DCCXXVII</t>
        </is>
      </c>
      <c r="C19728">
        <f>ROMAN(19727)</f>
        <v/>
      </c>
      <c r="D19728">
        <f>IF(B19728=C19728, "YES", "WRONG")</f>
        <v/>
      </c>
    </row>
    <row r="19729">
      <c r="A19729" t="n">
        <v>19728</v>
      </c>
      <c r="B19729" t="inlineStr">
        <is>
          <t>x̄Mx̄DCCXXVIII</t>
        </is>
      </c>
      <c r="C19729">
        <f>ROMAN(19728)</f>
        <v/>
      </c>
      <c r="D19729">
        <f>IF(B19729=C19729, "YES", "WRONG")</f>
        <v/>
      </c>
    </row>
    <row r="19730">
      <c r="A19730" t="n">
        <v>19729</v>
      </c>
      <c r="B19730" t="inlineStr">
        <is>
          <t>x̄Mx̄DCCXXIX</t>
        </is>
      </c>
      <c r="C19730">
        <f>ROMAN(19729)</f>
        <v/>
      </c>
      <c r="D19730">
        <f>IF(B19730=C19730, "YES", "WRONG")</f>
        <v/>
      </c>
    </row>
    <row r="19731">
      <c r="A19731" t="n">
        <v>19730</v>
      </c>
      <c r="B19731" t="inlineStr">
        <is>
          <t>x̄Mx̄DCCXXX</t>
        </is>
      </c>
      <c r="C19731">
        <f>ROMAN(19730)</f>
        <v/>
      </c>
      <c r="D19731">
        <f>IF(B19731=C19731, "YES", "WRONG")</f>
        <v/>
      </c>
    </row>
    <row r="19732">
      <c r="A19732" t="n">
        <v>19731</v>
      </c>
      <c r="B19732" t="inlineStr">
        <is>
          <t>x̄Mx̄DCCXXXI</t>
        </is>
      </c>
      <c r="C19732">
        <f>ROMAN(19731)</f>
        <v/>
      </c>
      <c r="D19732">
        <f>IF(B19732=C19732, "YES", "WRONG")</f>
        <v/>
      </c>
    </row>
    <row r="19733">
      <c r="A19733" t="n">
        <v>19732</v>
      </c>
      <c r="B19733" t="inlineStr">
        <is>
          <t>x̄Mx̄DCCXXXII</t>
        </is>
      </c>
      <c r="C19733">
        <f>ROMAN(19732)</f>
        <v/>
      </c>
      <c r="D19733">
        <f>IF(B19733=C19733, "YES", "WRONG")</f>
        <v/>
      </c>
    </row>
    <row r="19734">
      <c r="A19734" t="n">
        <v>19733</v>
      </c>
      <c r="B19734" t="inlineStr">
        <is>
          <t>x̄Mx̄DCCXXXIII</t>
        </is>
      </c>
      <c r="C19734">
        <f>ROMAN(19733)</f>
        <v/>
      </c>
      <c r="D19734">
        <f>IF(B19734=C19734, "YES", "WRONG")</f>
        <v/>
      </c>
    </row>
    <row r="19735">
      <c r="A19735" t="n">
        <v>19734</v>
      </c>
      <c r="B19735" t="inlineStr">
        <is>
          <t>x̄Mx̄DCCXXXIV</t>
        </is>
      </c>
      <c r="C19735">
        <f>ROMAN(19734)</f>
        <v/>
      </c>
      <c r="D19735">
        <f>IF(B19735=C19735, "YES", "WRONG")</f>
        <v/>
      </c>
    </row>
    <row r="19736">
      <c r="A19736" t="n">
        <v>19735</v>
      </c>
      <c r="B19736" t="inlineStr">
        <is>
          <t>x̄Mx̄DCCXXXV</t>
        </is>
      </c>
      <c r="C19736">
        <f>ROMAN(19735)</f>
        <v/>
      </c>
      <c r="D19736">
        <f>IF(B19736=C19736, "YES", "WRONG")</f>
        <v/>
      </c>
    </row>
    <row r="19737">
      <c r="A19737" t="n">
        <v>19736</v>
      </c>
      <c r="B19737" t="inlineStr">
        <is>
          <t>x̄Mx̄DCCXXXVI</t>
        </is>
      </c>
      <c r="C19737">
        <f>ROMAN(19736)</f>
        <v/>
      </c>
      <c r="D19737">
        <f>IF(B19737=C19737, "YES", "WRONG")</f>
        <v/>
      </c>
    </row>
    <row r="19738">
      <c r="A19738" t="n">
        <v>19737</v>
      </c>
      <c r="B19738" t="inlineStr">
        <is>
          <t>x̄Mx̄DCCXXXVII</t>
        </is>
      </c>
      <c r="C19738">
        <f>ROMAN(19737)</f>
        <v/>
      </c>
      <c r="D19738">
        <f>IF(B19738=C19738, "YES", "WRONG")</f>
        <v/>
      </c>
    </row>
    <row r="19739">
      <c r="A19739" t="n">
        <v>19738</v>
      </c>
      <c r="B19739" t="inlineStr">
        <is>
          <t>x̄Mx̄DCCXXXVIII</t>
        </is>
      </c>
      <c r="C19739">
        <f>ROMAN(19738)</f>
        <v/>
      </c>
      <c r="D19739">
        <f>IF(B19739=C19739, "YES", "WRONG")</f>
        <v/>
      </c>
    </row>
    <row r="19740">
      <c r="A19740" t="n">
        <v>19739</v>
      </c>
      <c r="B19740" t="inlineStr">
        <is>
          <t>x̄Mx̄DCCXXXIX</t>
        </is>
      </c>
      <c r="C19740">
        <f>ROMAN(19739)</f>
        <v/>
      </c>
      <c r="D19740">
        <f>IF(B19740=C19740, "YES", "WRONG")</f>
        <v/>
      </c>
    </row>
    <row r="19741">
      <c r="A19741" t="n">
        <v>19740</v>
      </c>
      <c r="B19741" t="inlineStr">
        <is>
          <t>x̄Mx̄DCCXL</t>
        </is>
      </c>
      <c r="C19741">
        <f>ROMAN(19740)</f>
        <v/>
      </c>
      <c r="D19741">
        <f>IF(B19741=C19741, "YES", "WRONG")</f>
        <v/>
      </c>
    </row>
    <row r="19742">
      <c r="A19742" t="n">
        <v>19741</v>
      </c>
      <c r="B19742" t="inlineStr">
        <is>
          <t>x̄Mx̄DCCXLI</t>
        </is>
      </c>
      <c r="C19742">
        <f>ROMAN(19741)</f>
        <v/>
      </c>
      <c r="D19742">
        <f>IF(B19742=C19742, "YES", "WRONG")</f>
        <v/>
      </c>
    </row>
    <row r="19743">
      <c r="A19743" t="n">
        <v>19742</v>
      </c>
      <c r="B19743" t="inlineStr">
        <is>
          <t>x̄Mx̄DCCXLII</t>
        </is>
      </c>
      <c r="C19743">
        <f>ROMAN(19742)</f>
        <v/>
      </c>
      <c r="D19743">
        <f>IF(B19743=C19743, "YES", "WRONG")</f>
        <v/>
      </c>
    </row>
    <row r="19744">
      <c r="A19744" t="n">
        <v>19743</v>
      </c>
      <c r="B19744" t="inlineStr">
        <is>
          <t>x̄Mx̄DCCXLIII</t>
        </is>
      </c>
      <c r="C19744">
        <f>ROMAN(19743)</f>
        <v/>
      </c>
      <c r="D19744">
        <f>IF(B19744=C19744, "YES", "WRONG")</f>
        <v/>
      </c>
    </row>
    <row r="19745">
      <c r="A19745" t="n">
        <v>19744</v>
      </c>
      <c r="B19745" t="inlineStr">
        <is>
          <t>x̄Mx̄DCCXLIV</t>
        </is>
      </c>
      <c r="C19745">
        <f>ROMAN(19744)</f>
        <v/>
      </c>
      <c r="D19745">
        <f>IF(B19745=C19745, "YES", "WRONG")</f>
        <v/>
      </c>
    </row>
    <row r="19746">
      <c r="A19746" t="n">
        <v>19745</v>
      </c>
      <c r="B19746" t="inlineStr">
        <is>
          <t>x̄Mx̄DCCXLV</t>
        </is>
      </c>
      <c r="C19746">
        <f>ROMAN(19745)</f>
        <v/>
      </c>
      <c r="D19746">
        <f>IF(B19746=C19746, "YES", "WRONG")</f>
        <v/>
      </c>
    </row>
    <row r="19747">
      <c r="A19747" t="n">
        <v>19746</v>
      </c>
      <c r="B19747" t="inlineStr">
        <is>
          <t>x̄Mx̄DCCXLVI</t>
        </is>
      </c>
      <c r="C19747">
        <f>ROMAN(19746)</f>
        <v/>
      </c>
      <c r="D19747">
        <f>IF(B19747=C19747, "YES", "WRONG")</f>
        <v/>
      </c>
    </row>
    <row r="19748">
      <c r="A19748" t="n">
        <v>19747</v>
      </c>
      <c r="B19748" t="inlineStr">
        <is>
          <t>x̄Mx̄DCCXLVII</t>
        </is>
      </c>
      <c r="C19748">
        <f>ROMAN(19747)</f>
        <v/>
      </c>
      <c r="D19748">
        <f>IF(B19748=C19748, "YES", "WRONG")</f>
        <v/>
      </c>
    </row>
    <row r="19749">
      <c r="A19749" t="n">
        <v>19748</v>
      </c>
      <c r="B19749" t="inlineStr">
        <is>
          <t>x̄Mx̄DCCXLVIII</t>
        </is>
      </c>
      <c r="C19749">
        <f>ROMAN(19748)</f>
        <v/>
      </c>
      <c r="D19749">
        <f>IF(B19749=C19749, "YES", "WRONG")</f>
        <v/>
      </c>
    </row>
    <row r="19750">
      <c r="A19750" t="n">
        <v>19749</v>
      </c>
      <c r="B19750" t="inlineStr">
        <is>
          <t>x̄Mx̄DCCXLIX</t>
        </is>
      </c>
      <c r="C19750">
        <f>ROMAN(19749)</f>
        <v/>
      </c>
      <c r="D19750">
        <f>IF(B19750=C19750, "YES", "WRONG")</f>
        <v/>
      </c>
    </row>
    <row r="19751">
      <c r="A19751" t="n">
        <v>19750</v>
      </c>
      <c r="B19751" t="inlineStr">
        <is>
          <t>x̄Mx̄DCCL</t>
        </is>
      </c>
      <c r="C19751">
        <f>ROMAN(19750)</f>
        <v/>
      </c>
      <c r="D19751">
        <f>IF(B19751=C19751, "YES", "WRONG")</f>
        <v/>
      </c>
    </row>
    <row r="19752">
      <c r="A19752" t="n">
        <v>19751</v>
      </c>
      <c r="B19752" t="inlineStr">
        <is>
          <t>x̄Mx̄DCCLI</t>
        </is>
      </c>
      <c r="C19752">
        <f>ROMAN(19751)</f>
        <v/>
      </c>
      <c r="D19752">
        <f>IF(B19752=C19752, "YES", "WRONG")</f>
        <v/>
      </c>
    </row>
    <row r="19753">
      <c r="A19753" t="n">
        <v>19752</v>
      </c>
      <c r="B19753" t="inlineStr">
        <is>
          <t>x̄Mx̄DCCLII</t>
        </is>
      </c>
      <c r="C19753">
        <f>ROMAN(19752)</f>
        <v/>
      </c>
      <c r="D19753">
        <f>IF(B19753=C19753, "YES", "WRONG")</f>
        <v/>
      </c>
    </row>
    <row r="19754">
      <c r="A19754" t="n">
        <v>19753</v>
      </c>
      <c r="B19754" t="inlineStr">
        <is>
          <t>x̄Mx̄DCCLIII</t>
        </is>
      </c>
      <c r="C19754">
        <f>ROMAN(19753)</f>
        <v/>
      </c>
      <c r="D19754">
        <f>IF(B19754=C19754, "YES", "WRONG")</f>
        <v/>
      </c>
    </row>
    <row r="19755">
      <c r="A19755" t="n">
        <v>19754</v>
      </c>
      <c r="B19755" t="inlineStr">
        <is>
          <t>x̄Mx̄DCCLIV</t>
        </is>
      </c>
      <c r="C19755">
        <f>ROMAN(19754)</f>
        <v/>
      </c>
      <c r="D19755">
        <f>IF(B19755=C19755, "YES", "WRONG")</f>
        <v/>
      </c>
    </row>
    <row r="19756">
      <c r="A19756" t="n">
        <v>19755</v>
      </c>
      <c r="B19756" t="inlineStr">
        <is>
          <t>x̄Mx̄DCCLV</t>
        </is>
      </c>
      <c r="C19756">
        <f>ROMAN(19755)</f>
        <v/>
      </c>
      <c r="D19756">
        <f>IF(B19756=C19756, "YES", "WRONG")</f>
        <v/>
      </c>
    </row>
    <row r="19757">
      <c r="A19757" t="n">
        <v>19756</v>
      </c>
      <c r="B19757" t="inlineStr">
        <is>
          <t>x̄Mx̄DCCLVI</t>
        </is>
      </c>
      <c r="C19757">
        <f>ROMAN(19756)</f>
        <v/>
      </c>
      <c r="D19757">
        <f>IF(B19757=C19757, "YES", "WRONG")</f>
        <v/>
      </c>
    </row>
    <row r="19758">
      <c r="A19758" t="n">
        <v>19757</v>
      </c>
      <c r="B19758" t="inlineStr">
        <is>
          <t>x̄Mx̄DCCLVII</t>
        </is>
      </c>
      <c r="C19758">
        <f>ROMAN(19757)</f>
        <v/>
      </c>
      <c r="D19758">
        <f>IF(B19758=C19758, "YES", "WRONG")</f>
        <v/>
      </c>
    </row>
    <row r="19759">
      <c r="A19759" t="n">
        <v>19758</v>
      </c>
      <c r="B19759" t="inlineStr">
        <is>
          <t>x̄Mx̄DCCLVIII</t>
        </is>
      </c>
      <c r="C19759">
        <f>ROMAN(19758)</f>
        <v/>
      </c>
      <c r="D19759">
        <f>IF(B19759=C19759, "YES", "WRONG")</f>
        <v/>
      </c>
    </row>
    <row r="19760">
      <c r="A19760" t="n">
        <v>19759</v>
      </c>
      <c r="B19760" t="inlineStr">
        <is>
          <t>x̄Mx̄DCCLIX</t>
        </is>
      </c>
      <c r="C19760">
        <f>ROMAN(19759)</f>
        <v/>
      </c>
      <c r="D19760">
        <f>IF(B19760=C19760, "YES", "WRONG")</f>
        <v/>
      </c>
    </row>
    <row r="19761">
      <c r="A19761" t="n">
        <v>19760</v>
      </c>
      <c r="B19761" t="inlineStr">
        <is>
          <t>x̄Mx̄DCCLX</t>
        </is>
      </c>
      <c r="C19761">
        <f>ROMAN(19760)</f>
        <v/>
      </c>
      <c r="D19761">
        <f>IF(B19761=C19761, "YES", "WRONG")</f>
        <v/>
      </c>
    </row>
    <row r="19762">
      <c r="A19762" t="n">
        <v>19761</v>
      </c>
      <c r="B19762" t="inlineStr">
        <is>
          <t>x̄Mx̄DCCLXI</t>
        </is>
      </c>
      <c r="C19762">
        <f>ROMAN(19761)</f>
        <v/>
      </c>
      <c r="D19762">
        <f>IF(B19762=C19762, "YES", "WRONG")</f>
        <v/>
      </c>
    </row>
    <row r="19763">
      <c r="A19763" t="n">
        <v>19762</v>
      </c>
      <c r="B19763" t="inlineStr">
        <is>
          <t>x̄Mx̄DCCLXII</t>
        </is>
      </c>
      <c r="C19763">
        <f>ROMAN(19762)</f>
        <v/>
      </c>
      <c r="D19763">
        <f>IF(B19763=C19763, "YES", "WRONG")</f>
        <v/>
      </c>
    </row>
    <row r="19764">
      <c r="A19764" t="n">
        <v>19763</v>
      </c>
      <c r="B19764" t="inlineStr">
        <is>
          <t>x̄Mx̄DCCLXIII</t>
        </is>
      </c>
      <c r="C19764">
        <f>ROMAN(19763)</f>
        <v/>
      </c>
      <c r="D19764">
        <f>IF(B19764=C19764, "YES", "WRONG")</f>
        <v/>
      </c>
    </row>
    <row r="19765">
      <c r="A19765" t="n">
        <v>19764</v>
      </c>
      <c r="B19765" t="inlineStr">
        <is>
          <t>x̄Mx̄DCCLXIV</t>
        </is>
      </c>
      <c r="C19765">
        <f>ROMAN(19764)</f>
        <v/>
      </c>
      <c r="D19765">
        <f>IF(B19765=C19765, "YES", "WRONG")</f>
        <v/>
      </c>
    </row>
    <row r="19766">
      <c r="A19766" t="n">
        <v>19765</v>
      </c>
      <c r="B19766" t="inlineStr">
        <is>
          <t>x̄Mx̄DCCLXV</t>
        </is>
      </c>
      <c r="C19766">
        <f>ROMAN(19765)</f>
        <v/>
      </c>
      <c r="D19766">
        <f>IF(B19766=C19766, "YES", "WRONG")</f>
        <v/>
      </c>
    </row>
    <row r="19767">
      <c r="A19767" t="n">
        <v>19766</v>
      </c>
      <c r="B19767" t="inlineStr">
        <is>
          <t>x̄Mx̄DCCLXVI</t>
        </is>
      </c>
      <c r="C19767">
        <f>ROMAN(19766)</f>
        <v/>
      </c>
      <c r="D19767">
        <f>IF(B19767=C19767, "YES", "WRONG")</f>
        <v/>
      </c>
    </row>
    <row r="19768">
      <c r="A19768" t="n">
        <v>19767</v>
      </c>
      <c r="B19768" t="inlineStr">
        <is>
          <t>x̄Mx̄DCCLXVII</t>
        </is>
      </c>
      <c r="C19768">
        <f>ROMAN(19767)</f>
        <v/>
      </c>
      <c r="D19768">
        <f>IF(B19768=C19768, "YES", "WRONG")</f>
        <v/>
      </c>
    </row>
    <row r="19769">
      <c r="A19769" t="n">
        <v>19768</v>
      </c>
      <c r="B19769" t="inlineStr">
        <is>
          <t>x̄Mx̄DCCLXVIII</t>
        </is>
      </c>
      <c r="C19769">
        <f>ROMAN(19768)</f>
        <v/>
      </c>
      <c r="D19769">
        <f>IF(B19769=C19769, "YES", "WRONG")</f>
        <v/>
      </c>
    </row>
    <row r="19770">
      <c r="A19770" t="n">
        <v>19769</v>
      </c>
      <c r="B19770" t="inlineStr">
        <is>
          <t>x̄Mx̄DCCLXIX</t>
        </is>
      </c>
      <c r="C19770">
        <f>ROMAN(19769)</f>
        <v/>
      </c>
      <c r="D19770">
        <f>IF(B19770=C19770, "YES", "WRONG")</f>
        <v/>
      </c>
    </row>
    <row r="19771">
      <c r="A19771" t="n">
        <v>19770</v>
      </c>
      <c r="B19771" t="inlineStr">
        <is>
          <t>x̄Mx̄DCCLXX</t>
        </is>
      </c>
      <c r="C19771">
        <f>ROMAN(19770)</f>
        <v/>
      </c>
      <c r="D19771">
        <f>IF(B19771=C19771, "YES", "WRONG")</f>
        <v/>
      </c>
    </row>
    <row r="19772">
      <c r="A19772" t="n">
        <v>19771</v>
      </c>
      <c r="B19772" t="inlineStr">
        <is>
          <t>x̄Mx̄DCCLXXI</t>
        </is>
      </c>
      <c r="C19772">
        <f>ROMAN(19771)</f>
        <v/>
      </c>
      <c r="D19772">
        <f>IF(B19772=C19772, "YES", "WRONG")</f>
        <v/>
      </c>
    </row>
    <row r="19773">
      <c r="A19773" t="n">
        <v>19772</v>
      </c>
      <c r="B19773" t="inlineStr">
        <is>
          <t>x̄Mx̄DCCLXXII</t>
        </is>
      </c>
      <c r="C19773">
        <f>ROMAN(19772)</f>
        <v/>
      </c>
      <c r="D19773">
        <f>IF(B19773=C19773, "YES", "WRONG")</f>
        <v/>
      </c>
    </row>
    <row r="19774">
      <c r="A19774" t="n">
        <v>19773</v>
      </c>
      <c r="B19774" t="inlineStr">
        <is>
          <t>x̄Mx̄DCCLXXIII</t>
        </is>
      </c>
      <c r="C19774">
        <f>ROMAN(19773)</f>
        <v/>
      </c>
      <c r="D19774">
        <f>IF(B19774=C19774, "YES", "WRONG")</f>
        <v/>
      </c>
    </row>
    <row r="19775">
      <c r="A19775" t="n">
        <v>19774</v>
      </c>
      <c r="B19775" t="inlineStr">
        <is>
          <t>x̄Mx̄DCCLXXIV</t>
        </is>
      </c>
      <c r="C19775">
        <f>ROMAN(19774)</f>
        <v/>
      </c>
      <c r="D19775">
        <f>IF(B19775=C19775, "YES", "WRONG")</f>
        <v/>
      </c>
    </row>
    <row r="19776">
      <c r="A19776" t="n">
        <v>19775</v>
      </c>
      <c r="B19776" t="inlineStr">
        <is>
          <t>x̄Mx̄DCCLXXV</t>
        </is>
      </c>
      <c r="C19776">
        <f>ROMAN(19775)</f>
        <v/>
      </c>
      <c r="D19776">
        <f>IF(B19776=C19776, "YES", "WRONG")</f>
        <v/>
      </c>
    </row>
    <row r="19777">
      <c r="A19777" t="n">
        <v>19776</v>
      </c>
      <c r="B19777" t="inlineStr">
        <is>
          <t>x̄Mx̄DCCLXXVI</t>
        </is>
      </c>
      <c r="C19777">
        <f>ROMAN(19776)</f>
        <v/>
      </c>
      <c r="D19777">
        <f>IF(B19777=C19777, "YES", "WRONG")</f>
        <v/>
      </c>
    </row>
    <row r="19778">
      <c r="A19778" t="n">
        <v>19777</v>
      </c>
      <c r="B19778" t="inlineStr">
        <is>
          <t>x̄Mx̄DCCLXXVII</t>
        </is>
      </c>
      <c r="C19778">
        <f>ROMAN(19777)</f>
        <v/>
      </c>
      <c r="D19778">
        <f>IF(B19778=C19778, "YES", "WRONG")</f>
        <v/>
      </c>
    </row>
    <row r="19779">
      <c r="A19779" t="n">
        <v>19778</v>
      </c>
      <c r="B19779" t="inlineStr">
        <is>
          <t>x̄Mx̄DCCLXXVIII</t>
        </is>
      </c>
      <c r="C19779">
        <f>ROMAN(19778)</f>
        <v/>
      </c>
      <c r="D19779">
        <f>IF(B19779=C19779, "YES", "WRONG")</f>
        <v/>
      </c>
    </row>
    <row r="19780">
      <c r="A19780" t="n">
        <v>19779</v>
      </c>
      <c r="B19780" t="inlineStr">
        <is>
          <t>x̄Mx̄DCCLXXIX</t>
        </is>
      </c>
      <c r="C19780">
        <f>ROMAN(19779)</f>
        <v/>
      </c>
      <c r="D19780">
        <f>IF(B19780=C19780, "YES", "WRONG")</f>
        <v/>
      </c>
    </row>
    <row r="19781">
      <c r="A19781" t="n">
        <v>19780</v>
      </c>
      <c r="B19781" t="inlineStr">
        <is>
          <t>x̄Mx̄DCCLXXX</t>
        </is>
      </c>
      <c r="C19781">
        <f>ROMAN(19780)</f>
        <v/>
      </c>
      <c r="D19781">
        <f>IF(B19781=C19781, "YES", "WRONG")</f>
        <v/>
      </c>
    </row>
    <row r="19782">
      <c r="A19782" t="n">
        <v>19781</v>
      </c>
      <c r="B19782" t="inlineStr">
        <is>
          <t>x̄Mx̄DCCLXXXI</t>
        </is>
      </c>
      <c r="C19782">
        <f>ROMAN(19781)</f>
        <v/>
      </c>
      <c r="D19782">
        <f>IF(B19782=C19782, "YES", "WRONG")</f>
        <v/>
      </c>
    </row>
    <row r="19783">
      <c r="A19783" t="n">
        <v>19782</v>
      </c>
      <c r="B19783" t="inlineStr">
        <is>
          <t>x̄Mx̄DCCLXXXII</t>
        </is>
      </c>
      <c r="C19783">
        <f>ROMAN(19782)</f>
        <v/>
      </c>
      <c r="D19783">
        <f>IF(B19783=C19783, "YES", "WRONG")</f>
        <v/>
      </c>
    </row>
    <row r="19784">
      <c r="A19784" t="n">
        <v>19783</v>
      </c>
      <c r="B19784" t="inlineStr">
        <is>
          <t>x̄Mx̄DCCLXXXIII</t>
        </is>
      </c>
      <c r="C19784">
        <f>ROMAN(19783)</f>
        <v/>
      </c>
      <c r="D19784">
        <f>IF(B19784=C19784, "YES", "WRONG")</f>
        <v/>
      </c>
    </row>
    <row r="19785">
      <c r="A19785" t="n">
        <v>19784</v>
      </c>
      <c r="B19785" t="inlineStr">
        <is>
          <t>x̄Mx̄DCCLXXXIV</t>
        </is>
      </c>
      <c r="C19785">
        <f>ROMAN(19784)</f>
        <v/>
      </c>
      <c r="D19785">
        <f>IF(B19785=C19785, "YES", "WRONG")</f>
        <v/>
      </c>
    </row>
    <row r="19786">
      <c r="A19786" t="n">
        <v>19785</v>
      </c>
      <c r="B19786" t="inlineStr">
        <is>
          <t>x̄Mx̄DCCLXXXV</t>
        </is>
      </c>
      <c r="C19786">
        <f>ROMAN(19785)</f>
        <v/>
      </c>
      <c r="D19786">
        <f>IF(B19786=C19786, "YES", "WRONG")</f>
        <v/>
      </c>
    </row>
    <row r="19787">
      <c r="A19787" t="n">
        <v>19786</v>
      </c>
      <c r="B19787" t="inlineStr">
        <is>
          <t>x̄Mx̄DCCLXXXVI</t>
        </is>
      </c>
      <c r="C19787">
        <f>ROMAN(19786)</f>
        <v/>
      </c>
      <c r="D19787">
        <f>IF(B19787=C19787, "YES", "WRONG")</f>
        <v/>
      </c>
    </row>
    <row r="19788">
      <c r="A19788" t="n">
        <v>19787</v>
      </c>
      <c r="B19788" t="inlineStr">
        <is>
          <t>x̄Mx̄DCCLXXXVII</t>
        </is>
      </c>
      <c r="C19788">
        <f>ROMAN(19787)</f>
        <v/>
      </c>
      <c r="D19788">
        <f>IF(B19788=C19788, "YES", "WRONG")</f>
        <v/>
      </c>
    </row>
    <row r="19789">
      <c r="A19789" t="n">
        <v>19788</v>
      </c>
      <c r="B19789" t="inlineStr">
        <is>
          <t>x̄Mx̄DCCLXXXVIII</t>
        </is>
      </c>
      <c r="C19789">
        <f>ROMAN(19788)</f>
        <v/>
      </c>
      <c r="D19789">
        <f>IF(B19789=C19789, "YES", "WRONG")</f>
        <v/>
      </c>
    </row>
    <row r="19790">
      <c r="A19790" t="n">
        <v>19789</v>
      </c>
      <c r="B19790" t="inlineStr">
        <is>
          <t>x̄Mx̄DCCLXXXIX</t>
        </is>
      </c>
      <c r="C19790">
        <f>ROMAN(19789)</f>
        <v/>
      </c>
      <c r="D19790">
        <f>IF(B19790=C19790, "YES", "WRONG")</f>
        <v/>
      </c>
    </row>
    <row r="19791">
      <c r="A19791" t="n">
        <v>19790</v>
      </c>
      <c r="B19791" t="inlineStr">
        <is>
          <t>x̄Mx̄DCCXC</t>
        </is>
      </c>
      <c r="C19791">
        <f>ROMAN(19790)</f>
        <v/>
      </c>
      <c r="D19791">
        <f>IF(B19791=C19791, "YES", "WRONG")</f>
        <v/>
      </c>
    </row>
    <row r="19792">
      <c r="A19792" t="n">
        <v>19791</v>
      </c>
      <c r="B19792" t="inlineStr">
        <is>
          <t>x̄Mx̄DCCXCI</t>
        </is>
      </c>
      <c r="C19792">
        <f>ROMAN(19791)</f>
        <v/>
      </c>
      <c r="D19792">
        <f>IF(B19792=C19792, "YES", "WRONG")</f>
        <v/>
      </c>
    </row>
    <row r="19793">
      <c r="A19793" t="n">
        <v>19792</v>
      </c>
      <c r="B19793" t="inlineStr">
        <is>
          <t>x̄Mx̄DCCXCII</t>
        </is>
      </c>
      <c r="C19793">
        <f>ROMAN(19792)</f>
        <v/>
      </c>
      <c r="D19793">
        <f>IF(B19793=C19793, "YES", "WRONG")</f>
        <v/>
      </c>
    </row>
    <row r="19794">
      <c r="A19794" t="n">
        <v>19793</v>
      </c>
      <c r="B19794" t="inlineStr">
        <is>
          <t>x̄Mx̄DCCXCIII</t>
        </is>
      </c>
      <c r="C19794">
        <f>ROMAN(19793)</f>
        <v/>
      </c>
      <c r="D19794">
        <f>IF(B19794=C19794, "YES", "WRONG")</f>
        <v/>
      </c>
    </row>
    <row r="19795">
      <c r="A19795" t="n">
        <v>19794</v>
      </c>
      <c r="B19795" t="inlineStr">
        <is>
          <t>x̄Mx̄DCCXCIV</t>
        </is>
      </c>
      <c r="C19795">
        <f>ROMAN(19794)</f>
        <v/>
      </c>
      <c r="D19795">
        <f>IF(B19795=C19795, "YES", "WRONG")</f>
        <v/>
      </c>
    </row>
    <row r="19796">
      <c r="A19796" t="n">
        <v>19795</v>
      </c>
      <c r="B19796" t="inlineStr">
        <is>
          <t>x̄Mx̄DCCXCV</t>
        </is>
      </c>
      <c r="C19796">
        <f>ROMAN(19795)</f>
        <v/>
      </c>
      <c r="D19796">
        <f>IF(B19796=C19796, "YES", "WRONG")</f>
        <v/>
      </c>
    </row>
    <row r="19797">
      <c r="A19797" t="n">
        <v>19796</v>
      </c>
      <c r="B19797" t="inlineStr">
        <is>
          <t>x̄Mx̄DCCXCVI</t>
        </is>
      </c>
      <c r="C19797">
        <f>ROMAN(19796)</f>
        <v/>
      </c>
      <c r="D19797">
        <f>IF(B19797=C19797, "YES", "WRONG")</f>
        <v/>
      </c>
    </row>
    <row r="19798">
      <c r="A19798" t="n">
        <v>19797</v>
      </c>
      <c r="B19798" t="inlineStr">
        <is>
          <t>x̄Mx̄DCCXCVII</t>
        </is>
      </c>
      <c r="C19798">
        <f>ROMAN(19797)</f>
        <v/>
      </c>
      <c r="D19798">
        <f>IF(B19798=C19798, "YES", "WRONG")</f>
        <v/>
      </c>
    </row>
    <row r="19799">
      <c r="A19799" t="n">
        <v>19798</v>
      </c>
      <c r="B19799" t="inlineStr">
        <is>
          <t>x̄Mx̄DCCXCVIII</t>
        </is>
      </c>
      <c r="C19799">
        <f>ROMAN(19798)</f>
        <v/>
      </c>
      <c r="D19799">
        <f>IF(B19799=C19799, "YES", "WRONG")</f>
        <v/>
      </c>
    </row>
    <row r="19800">
      <c r="A19800" t="n">
        <v>19799</v>
      </c>
      <c r="B19800" t="inlineStr">
        <is>
          <t>x̄Mx̄DCCXCIX</t>
        </is>
      </c>
      <c r="C19800">
        <f>ROMAN(19799)</f>
        <v/>
      </c>
      <c r="D19800">
        <f>IF(B19800=C19800, "YES", "WRONG")</f>
        <v/>
      </c>
    </row>
    <row r="19801">
      <c r="A19801" t="n">
        <v>19800</v>
      </c>
      <c r="B19801" t="inlineStr">
        <is>
          <t>x̄Mx̄DCCC</t>
        </is>
      </c>
      <c r="C19801">
        <f>ROMAN(19800)</f>
        <v/>
      </c>
      <c r="D19801">
        <f>IF(B19801=C19801, "YES", "WRONG")</f>
        <v/>
      </c>
    </row>
    <row r="19802">
      <c r="A19802" t="n">
        <v>19801</v>
      </c>
      <c r="B19802" t="inlineStr">
        <is>
          <t>x̄Mx̄DCCCI</t>
        </is>
      </c>
      <c r="C19802">
        <f>ROMAN(19801)</f>
        <v/>
      </c>
      <c r="D19802">
        <f>IF(B19802=C19802, "YES", "WRONG")</f>
        <v/>
      </c>
    </row>
    <row r="19803">
      <c r="A19803" t="n">
        <v>19802</v>
      </c>
      <c r="B19803" t="inlineStr">
        <is>
          <t>x̄Mx̄DCCCII</t>
        </is>
      </c>
      <c r="C19803">
        <f>ROMAN(19802)</f>
        <v/>
      </c>
      <c r="D19803">
        <f>IF(B19803=C19803, "YES", "WRONG")</f>
        <v/>
      </c>
    </row>
    <row r="19804">
      <c r="A19804" t="n">
        <v>19803</v>
      </c>
      <c r="B19804" t="inlineStr">
        <is>
          <t>x̄Mx̄DCCCIII</t>
        </is>
      </c>
      <c r="C19804">
        <f>ROMAN(19803)</f>
        <v/>
      </c>
      <c r="D19804">
        <f>IF(B19804=C19804, "YES", "WRONG")</f>
        <v/>
      </c>
    </row>
    <row r="19805">
      <c r="A19805" t="n">
        <v>19804</v>
      </c>
      <c r="B19805" t="inlineStr">
        <is>
          <t>x̄Mx̄DCCCIV</t>
        </is>
      </c>
      <c r="C19805">
        <f>ROMAN(19804)</f>
        <v/>
      </c>
      <c r="D19805">
        <f>IF(B19805=C19805, "YES", "WRONG")</f>
        <v/>
      </c>
    </row>
    <row r="19806">
      <c r="A19806" t="n">
        <v>19805</v>
      </c>
      <c r="B19806" t="inlineStr">
        <is>
          <t>x̄Mx̄DCCCV</t>
        </is>
      </c>
      <c r="C19806">
        <f>ROMAN(19805)</f>
        <v/>
      </c>
      <c r="D19806">
        <f>IF(B19806=C19806, "YES", "WRONG")</f>
        <v/>
      </c>
    </row>
    <row r="19807">
      <c r="A19807" t="n">
        <v>19806</v>
      </c>
      <c r="B19807" t="inlineStr">
        <is>
          <t>x̄Mx̄DCCCVI</t>
        </is>
      </c>
      <c r="C19807">
        <f>ROMAN(19806)</f>
        <v/>
      </c>
      <c r="D19807">
        <f>IF(B19807=C19807, "YES", "WRONG")</f>
        <v/>
      </c>
    </row>
    <row r="19808">
      <c r="A19808" t="n">
        <v>19807</v>
      </c>
      <c r="B19808" t="inlineStr">
        <is>
          <t>x̄Mx̄DCCCVII</t>
        </is>
      </c>
      <c r="C19808">
        <f>ROMAN(19807)</f>
        <v/>
      </c>
      <c r="D19808">
        <f>IF(B19808=C19808, "YES", "WRONG")</f>
        <v/>
      </c>
    </row>
    <row r="19809">
      <c r="A19809" t="n">
        <v>19808</v>
      </c>
      <c r="B19809" t="inlineStr">
        <is>
          <t>x̄Mx̄DCCCVIII</t>
        </is>
      </c>
      <c r="C19809">
        <f>ROMAN(19808)</f>
        <v/>
      </c>
      <c r="D19809">
        <f>IF(B19809=C19809, "YES", "WRONG")</f>
        <v/>
      </c>
    </row>
    <row r="19810">
      <c r="A19810" t="n">
        <v>19809</v>
      </c>
      <c r="B19810" t="inlineStr">
        <is>
          <t>x̄Mx̄DCCCIX</t>
        </is>
      </c>
      <c r="C19810">
        <f>ROMAN(19809)</f>
        <v/>
      </c>
      <c r="D19810">
        <f>IF(B19810=C19810, "YES", "WRONG")</f>
        <v/>
      </c>
    </row>
    <row r="19811">
      <c r="A19811" t="n">
        <v>19810</v>
      </c>
      <c r="B19811" t="inlineStr">
        <is>
          <t>x̄Mx̄DCCCX</t>
        </is>
      </c>
      <c r="C19811">
        <f>ROMAN(19810)</f>
        <v/>
      </c>
      <c r="D19811">
        <f>IF(B19811=C19811, "YES", "WRONG")</f>
        <v/>
      </c>
    </row>
    <row r="19812">
      <c r="A19812" t="n">
        <v>19811</v>
      </c>
      <c r="B19812" t="inlineStr">
        <is>
          <t>x̄Mx̄DCCCXI</t>
        </is>
      </c>
      <c r="C19812">
        <f>ROMAN(19811)</f>
        <v/>
      </c>
      <c r="D19812">
        <f>IF(B19812=C19812, "YES", "WRONG")</f>
        <v/>
      </c>
    </row>
    <row r="19813">
      <c r="A19813" t="n">
        <v>19812</v>
      </c>
      <c r="B19813" t="inlineStr">
        <is>
          <t>x̄Mx̄DCCCXII</t>
        </is>
      </c>
      <c r="C19813">
        <f>ROMAN(19812)</f>
        <v/>
      </c>
      <c r="D19813">
        <f>IF(B19813=C19813, "YES", "WRONG")</f>
        <v/>
      </c>
    </row>
    <row r="19814">
      <c r="A19814" t="n">
        <v>19813</v>
      </c>
      <c r="B19814" t="inlineStr">
        <is>
          <t>x̄Mx̄DCCCXIII</t>
        </is>
      </c>
      <c r="C19814">
        <f>ROMAN(19813)</f>
        <v/>
      </c>
      <c r="D19814">
        <f>IF(B19814=C19814, "YES", "WRONG")</f>
        <v/>
      </c>
    </row>
    <row r="19815">
      <c r="A19815" t="n">
        <v>19814</v>
      </c>
      <c r="B19815" t="inlineStr">
        <is>
          <t>x̄Mx̄DCCCXIV</t>
        </is>
      </c>
      <c r="C19815">
        <f>ROMAN(19814)</f>
        <v/>
      </c>
      <c r="D19815">
        <f>IF(B19815=C19815, "YES", "WRONG")</f>
        <v/>
      </c>
    </row>
    <row r="19816">
      <c r="A19816" t="n">
        <v>19815</v>
      </c>
      <c r="B19816" t="inlineStr">
        <is>
          <t>x̄Mx̄DCCCXV</t>
        </is>
      </c>
      <c r="C19816">
        <f>ROMAN(19815)</f>
        <v/>
      </c>
      <c r="D19816">
        <f>IF(B19816=C19816, "YES", "WRONG")</f>
        <v/>
      </c>
    </row>
    <row r="19817">
      <c r="A19817" t="n">
        <v>19816</v>
      </c>
      <c r="B19817" t="inlineStr">
        <is>
          <t>x̄Mx̄DCCCXVI</t>
        </is>
      </c>
      <c r="C19817">
        <f>ROMAN(19816)</f>
        <v/>
      </c>
      <c r="D19817">
        <f>IF(B19817=C19817, "YES", "WRONG")</f>
        <v/>
      </c>
    </row>
    <row r="19818">
      <c r="A19818" t="n">
        <v>19817</v>
      </c>
      <c r="B19818" t="inlineStr">
        <is>
          <t>x̄Mx̄DCCCXVII</t>
        </is>
      </c>
      <c r="C19818">
        <f>ROMAN(19817)</f>
        <v/>
      </c>
      <c r="D19818">
        <f>IF(B19818=C19818, "YES", "WRONG")</f>
        <v/>
      </c>
    </row>
    <row r="19819">
      <c r="A19819" t="n">
        <v>19818</v>
      </c>
      <c r="B19819" t="inlineStr">
        <is>
          <t>x̄Mx̄DCCCXVIII</t>
        </is>
      </c>
      <c r="C19819">
        <f>ROMAN(19818)</f>
        <v/>
      </c>
      <c r="D19819">
        <f>IF(B19819=C19819, "YES", "WRONG")</f>
        <v/>
      </c>
    </row>
    <row r="19820">
      <c r="A19820" t="n">
        <v>19819</v>
      </c>
      <c r="B19820" t="inlineStr">
        <is>
          <t>x̄Mx̄DCCCXIX</t>
        </is>
      </c>
      <c r="C19820">
        <f>ROMAN(19819)</f>
        <v/>
      </c>
      <c r="D19820">
        <f>IF(B19820=C19820, "YES", "WRONG")</f>
        <v/>
      </c>
    </row>
    <row r="19821">
      <c r="A19821" t="n">
        <v>19820</v>
      </c>
      <c r="B19821" t="inlineStr">
        <is>
          <t>x̄Mx̄DCCCXX</t>
        </is>
      </c>
      <c r="C19821">
        <f>ROMAN(19820)</f>
        <v/>
      </c>
      <c r="D19821">
        <f>IF(B19821=C19821, "YES", "WRONG")</f>
        <v/>
      </c>
    </row>
    <row r="19822">
      <c r="A19822" t="n">
        <v>19821</v>
      </c>
      <c r="B19822" t="inlineStr">
        <is>
          <t>x̄Mx̄DCCCXXI</t>
        </is>
      </c>
      <c r="C19822">
        <f>ROMAN(19821)</f>
        <v/>
      </c>
      <c r="D19822">
        <f>IF(B19822=C19822, "YES", "WRONG")</f>
        <v/>
      </c>
    </row>
    <row r="19823">
      <c r="A19823" t="n">
        <v>19822</v>
      </c>
      <c r="B19823" t="inlineStr">
        <is>
          <t>x̄Mx̄DCCCXXII</t>
        </is>
      </c>
      <c r="C19823">
        <f>ROMAN(19822)</f>
        <v/>
      </c>
      <c r="D19823">
        <f>IF(B19823=C19823, "YES", "WRONG")</f>
        <v/>
      </c>
    </row>
    <row r="19824">
      <c r="A19824" t="n">
        <v>19823</v>
      </c>
      <c r="B19824" t="inlineStr">
        <is>
          <t>x̄Mx̄DCCCXXIII</t>
        </is>
      </c>
      <c r="C19824">
        <f>ROMAN(19823)</f>
        <v/>
      </c>
      <c r="D19824">
        <f>IF(B19824=C19824, "YES", "WRONG")</f>
        <v/>
      </c>
    </row>
    <row r="19825">
      <c r="A19825" t="n">
        <v>19824</v>
      </c>
      <c r="B19825" t="inlineStr">
        <is>
          <t>x̄Mx̄DCCCXXIV</t>
        </is>
      </c>
      <c r="C19825">
        <f>ROMAN(19824)</f>
        <v/>
      </c>
      <c r="D19825">
        <f>IF(B19825=C19825, "YES", "WRONG")</f>
        <v/>
      </c>
    </row>
    <row r="19826">
      <c r="A19826" t="n">
        <v>19825</v>
      </c>
      <c r="B19826" t="inlineStr">
        <is>
          <t>x̄Mx̄DCCCXXV</t>
        </is>
      </c>
      <c r="C19826">
        <f>ROMAN(19825)</f>
        <v/>
      </c>
      <c r="D19826">
        <f>IF(B19826=C19826, "YES", "WRONG")</f>
        <v/>
      </c>
    </row>
    <row r="19827">
      <c r="A19827" t="n">
        <v>19826</v>
      </c>
      <c r="B19827" t="inlineStr">
        <is>
          <t>x̄Mx̄DCCCXXVI</t>
        </is>
      </c>
      <c r="C19827">
        <f>ROMAN(19826)</f>
        <v/>
      </c>
      <c r="D19827">
        <f>IF(B19827=C19827, "YES", "WRONG")</f>
        <v/>
      </c>
    </row>
    <row r="19828">
      <c r="A19828" t="n">
        <v>19827</v>
      </c>
      <c r="B19828" t="inlineStr">
        <is>
          <t>x̄Mx̄DCCCXXVII</t>
        </is>
      </c>
      <c r="C19828">
        <f>ROMAN(19827)</f>
        <v/>
      </c>
      <c r="D19828">
        <f>IF(B19828=C19828, "YES", "WRONG")</f>
        <v/>
      </c>
    </row>
    <row r="19829">
      <c r="A19829" t="n">
        <v>19828</v>
      </c>
      <c r="B19829" t="inlineStr">
        <is>
          <t>x̄Mx̄DCCCXXVIII</t>
        </is>
      </c>
      <c r="C19829">
        <f>ROMAN(19828)</f>
        <v/>
      </c>
      <c r="D19829">
        <f>IF(B19829=C19829, "YES", "WRONG")</f>
        <v/>
      </c>
    </row>
    <row r="19830">
      <c r="A19830" t="n">
        <v>19829</v>
      </c>
      <c r="B19830" t="inlineStr">
        <is>
          <t>x̄Mx̄DCCCXXIX</t>
        </is>
      </c>
      <c r="C19830">
        <f>ROMAN(19829)</f>
        <v/>
      </c>
      <c r="D19830">
        <f>IF(B19830=C19830, "YES", "WRONG")</f>
        <v/>
      </c>
    </row>
    <row r="19831">
      <c r="A19831" t="n">
        <v>19830</v>
      </c>
      <c r="B19831" t="inlineStr">
        <is>
          <t>x̄Mx̄DCCCXXX</t>
        </is>
      </c>
      <c r="C19831">
        <f>ROMAN(19830)</f>
        <v/>
      </c>
      <c r="D19831">
        <f>IF(B19831=C19831, "YES", "WRONG")</f>
        <v/>
      </c>
    </row>
    <row r="19832">
      <c r="A19832" t="n">
        <v>19831</v>
      </c>
      <c r="B19832" t="inlineStr">
        <is>
          <t>x̄Mx̄DCCCXXXI</t>
        </is>
      </c>
      <c r="C19832">
        <f>ROMAN(19831)</f>
        <v/>
      </c>
      <c r="D19832">
        <f>IF(B19832=C19832, "YES", "WRONG")</f>
        <v/>
      </c>
    </row>
    <row r="19833">
      <c r="A19833" t="n">
        <v>19832</v>
      </c>
      <c r="B19833" t="inlineStr">
        <is>
          <t>x̄Mx̄DCCCXXXII</t>
        </is>
      </c>
      <c r="C19833">
        <f>ROMAN(19832)</f>
        <v/>
      </c>
      <c r="D19833">
        <f>IF(B19833=C19833, "YES", "WRONG")</f>
        <v/>
      </c>
    </row>
    <row r="19834">
      <c r="A19834" t="n">
        <v>19833</v>
      </c>
      <c r="B19834" t="inlineStr">
        <is>
          <t>x̄Mx̄DCCCXXXIII</t>
        </is>
      </c>
      <c r="C19834">
        <f>ROMAN(19833)</f>
        <v/>
      </c>
      <c r="D19834">
        <f>IF(B19834=C19834, "YES", "WRONG")</f>
        <v/>
      </c>
    </row>
    <row r="19835">
      <c r="A19835" t="n">
        <v>19834</v>
      </c>
      <c r="B19835" t="inlineStr">
        <is>
          <t>x̄Mx̄DCCCXXXIV</t>
        </is>
      </c>
      <c r="C19835">
        <f>ROMAN(19834)</f>
        <v/>
      </c>
      <c r="D19835">
        <f>IF(B19835=C19835, "YES", "WRONG")</f>
        <v/>
      </c>
    </row>
    <row r="19836">
      <c r="A19836" t="n">
        <v>19835</v>
      </c>
      <c r="B19836" t="inlineStr">
        <is>
          <t>x̄Mx̄DCCCXXXV</t>
        </is>
      </c>
      <c r="C19836">
        <f>ROMAN(19835)</f>
        <v/>
      </c>
      <c r="D19836">
        <f>IF(B19836=C19836, "YES", "WRONG")</f>
        <v/>
      </c>
    </row>
    <row r="19837">
      <c r="A19837" t="n">
        <v>19836</v>
      </c>
      <c r="B19837" t="inlineStr">
        <is>
          <t>x̄Mx̄DCCCXXXVI</t>
        </is>
      </c>
      <c r="C19837">
        <f>ROMAN(19836)</f>
        <v/>
      </c>
      <c r="D19837">
        <f>IF(B19837=C19837, "YES", "WRONG")</f>
        <v/>
      </c>
    </row>
    <row r="19838">
      <c r="A19838" t="n">
        <v>19837</v>
      </c>
      <c r="B19838" t="inlineStr">
        <is>
          <t>x̄Mx̄DCCCXXXVII</t>
        </is>
      </c>
      <c r="C19838">
        <f>ROMAN(19837)</f>
        <v/>
      </c>
      <c r="D19838">
        <f>IF(B19838=C19838, "YES", "WRONG")</f>
        <v/>
      </c>
    </row>
    <row r="19839">
      <c r="A19839" t="n">
        <v>19838</v>
      </c>
      <c r="B19839" t="inlineStr">
        <is>
          <t>x̄Mx̄DCCCXXXVIII</t>
        </is>
      </c>
      <c r="C19839">
        <f>ROMAN(19838)</f>
        <v/>
      </c>
      <c r="D19839">
        <f>IF(B19839=C19839, "YES", "WRONG")</f>
        <v/>
      </c>
    </row>
    <row r="19840">
      <c r="A19840" t="n">
        <v>19839</v>
      </c>
      <c r="B19840" t="inlineStr">
        <is>
          <t>x̄Mx̄DCCCXXXIX</t>
        </is>
      </c>
      <c r="C19840">
        <f>ROMAN(19839)</f>
        <v/>
      </c>
      <c r="D19840">
        <f>IF(B19840=C19840, "YES", "WRONG")</f>
        <v/>
      </c>
    </row>
    <row r="19841">
      <c r="A19841" t="n">
        <v>19840</v>
      </c>
      <c r="B19841" t="inlineStr">
        <is>
          <t>x̄Mx̄DCCCXL</t>
        </is>
      </c>
      <c r="C19841">
        <f>ROMAN(19840)</f>
        <v/>
      </c>
      <c r="D19841">
        <f>IF(B19841=C19841, "YES", "WRONG")</f>
        <v/>
      </c>
    </row>
    <row r="19842">
      <c r="A19842" t="n">
        <v>19841</v>
      </c>
      <c r="B19842" t="inlineStr">
        <is>
          <t>x̄Mx̄DCCCXLI</t>
        </is>
      </c>
      <c r="C19842">
        <f>ROMAN(19841)</f>
        <v/>
      </c>
      <c r="D19842">
        <f>IF(B19842=C19842, "YES", "WRONG")</f>
        <v/>
      </c>
    </row>
    <row r="19843">
      <c r="A19843" t="n">
        <v>19842</v>
      </c>
      <c r="B19843" t="inlineStr">
        <is>
          <t>x̄Mx̄DCCCXLII</t>
        </is>
      </c>
      <c r="C19843">
        <f>ROMAN(19842)</f>
        <v/>
      </c>
      <c r="D19843">
        <f>IF(B19843=C19843, "YES", "WRONG")</f>
        <v/>
      </c>
    </row>
    <row r="19844">
      <c r="A19844" t="n">
        <v>19843</v>
      </c>
      <c r="B19844" t="inlineStr">
        <is>
          <t>x̄Mx̄DCCCXLIII</t>
        </is>
      </c>
      <c r="C19844">
        <f>ROMAN(19843)</f>
        <v/>
      </c>
      <c r="D19844">
        <f>IF(B19844=C19844, "YES", "WRONG")</f>
        <v/>
      </c>
    </row>
    <row r="19845">
      <c r="A19845" t="n">
        <v>19844</v>
      </c>
      <c r="B19845" t="inlineStr">
        <is>
          <t>x̄Mx̄DCCCXLIV</t>
        </is>
      </c>
      <c r="C19845">
        <f>ROMAN(19844)</f>
        <v/>
      </c>
      <c r="D19845">
        <f>IF(B19845=C19845, "YES", "WRONG")</f>
        <v/>
      </c>
    </row>
    <row r="19846">
      <c r="A19846" t="n">
        <v>19845</v>
      </c>
      <c r="B19846" t="inlineStr">
        <is>
          <t>x̄Mx̄DCCCXLV</t>
        </is>
      </c>
      <c r="C19846">
        <f>ROMAN(19845)</f>
        <v/>
      </c>
      <c r="D19846">
        <f>IF(B19846=C19846, "YES", "WRONG")</f>
        <v/>
      </c>
    </row>
    <row r="19847">
      <c r="A19847" t="n">
        <v>19846</v>
      </c>
      <c r="B19847" t="inlineStr">
        <is>
          <t>x̄Mx̄DCCCXLVI</t>
        </is>
      </c>
      <c r="C19847">
        <f>ROMAN(19846)</f>
        <v/>
      </c>
      <c r="D19847">
        <f>IF(B19847=C19847, "YES", "WRONG")</f>
        <v/>
      </c>
    </row>
    <row r="19848">
      <c r="A19848" t="n">
        <v>19847</v>
      </c>
      <c r="B19848" t="inlineStr">
        <is>
          <t>x̄Mx̄DCCCXLVII</t>
        </is>
      </c>
      <c r="C19848">
        <f>ROMAN(19847)</f>
        <v/>
      </c>
      <c r="D19848">
        <f>IF(B19848=C19848, "YES", "WRONG")</f>
        <v/>
      </c>
    </row>
    <row r="19849">
      <c r="A19849" t="n">
        <v>19848</v>
      </c>
      <c r="B19849" t="inlineStr">
        <is>
          <t>x̄Mx̄DCCCXLVIII</t>
        </is>
      </c>
      <c r="C19849">
        <f>ROMAN(19848)</f>
        <v/>
      </c>
      <c r="D19849">
        <f>IF(B19849=C19849, "YES", "WRONG")</f>
        <v/>
      </c>
    </row>
    <row r="19850">
      <c r="A19850" t="n">
        <v>19849</v>
      </c>
      <c r="B19850" t="inlineStr">
        <is>
          <t>x̄Mx̄DCCCXLIX</t>
        </is>
      </c>
      <c r="C19850">
        <f>ROMAN(19849)</f>
        <v/>
      </c>
      <c r="D19850">
        <f>IF(B19850=C19850, "YES", "WRONG")</f>
        <v/>
      </c>
    </row>
    <row r="19851">
      <c r="A19851" t="n">
        <v>19850</v>
      </c>
      <c r="B19851" t="inlineStr">
        <is>
          <t>x̄Mx̄DCCCL</t>
        </is>
      </c>
      <c r="C19851">
        <f>ROMAN(19850)</f>
        <v/>
      </c>
      <c r="D19851">
        <f>IF(B19851=C19851, "YES", "WRONG")</f>
        <v/>
      </c>
    </row>
    <row r="19852">
      <c r="A19852" t="n">
        <v>19851</v>
      </c>
      <c r="B19852" t="inlineStr">
        <is>
          <t>x̄Mx̄DCCCLI</t>
        </is>
      </c>
      <c r="C19852">
        <f>ROMAN(19851)</f>
        <v/>
      </c>
      <c r="D19852">
        <f>IF(B19852=C19852, "YES", "WRONG")</f>
        <v/>
      </c>
    </row>
    <row r="19853">
      <c r="A19853" t="n">
        <v>19852</v>
      </c>
      <c r="B19853" t="inlineStr">
        <is>
          <t>x̄Mx̄DCCCLII</t>
        </is>
      </c>
      <c r="C19853">
        <f>ROMAN(19852)</f>
        <v/>
      </c>
      <c r="D19853">
        <f>IF(B19853=C19853, "YES", "WRONG")</f>
        <v/>
      </c>
    </row>
    <row r="19854">
      <c r="A19854" t="n">
        <v>19853</v>
      </c>
      <c r="B19854" t="inlineStr">
        <is>
          <t>x̄Mx̄DCCCLIII</t>
        </is>
      </c>
      <c r="C19854">
        <f>ROMAN(19853)</f>
        <v/>
      </c>
      <c r="D19854">
        <f>IF(B19854=C19854, "YES", "WRONG")</f>
        <v/>
      </c>
    </row>
    <row r="19855">
      <c r="A19855" t="n">
        <v>19854</v>
      </c>
      <c r="B19855" t="inlineStr">
        <is>
          <t>x̄Mx̄DCCCLIV</t>
        </is>
      </c>
      <c r="C19855">
        <f>ROMAN(19854)</f>
        <v/>
      </c>
      <c r="D19855">
        <f>IF(B19855=C19855, "YES", "WRONG")</f>
        <v/>
      </c>
    </row>
    <row r="19856">
      <c r="A19856" t="n">
        <v>19855</v>
      </c>
      <c r="B19856" t="inlineStr">
        <is>
          <t>x̄Mx̄DCCCLV</t>
        </is>
      </c>
      <c r="C19856">
        <f>ROMAN(19855)</f>
        <v/>
      </c>
      <c r="D19856">
        <f>IF(B19856=C19856, "YES", "WRONG")</f>
        <v/>
      </c>
    </row>
    <row r="19857">
      <c r="A19857" t="n">
        <v>19856</v>
      </c>
      <c r="B19857" t="inlineStr">
        <is>
          <t>x̄Mx̄DCCCLVI</t>
        </is>
      </c>
      <c r="C19857">
        <f>ROMAN(19856)</f>
        <v/>
      </c>
      <c r="D19857">
        <f>IF(B19857=C19857, "YES", "WRONG")</f>
        <v/>
      </c>
    </row>
    <row r="19858">
      <c r="A19858" t="n">
        <v>19857</v>
      </c>
      <c r="B19858" t="inlineStr">
        <is>
          <t>x̄Mx̄DCCCLVII</t>
        </is>
      </c>
      <c r="C19858">
        <f>ROMAN(19857)</f>
        <v/>
      </c>
      <c r="D19858">
        <f>IF(B19858=C19858, "YES", "WRONG")</f>
        <v/>
      </c>
    </row>
    <row r="19859">
      <c r="A19859" t="n">
        <v>19858</v>
      </c>
      <c r="B19859" t="inlineStr">
        <is>
          <t>x̄Mx̄DCCCLVIII</t>
        </is>
      </c>
      <c r="C19859">
        <f>ROMAN(19858)</f>
        <v/>
      </c>
      <c r="D19859">
        <f>IF(B19859=C19859, "YES", "WRONG")</f>
        <v/>
      </c>
    </row>
    <row r="19860">
      <c r="A19860" t="n">
        <v>19859</v>
      </c>
      <c r="B19860" t="inlineStr">
        <is>
          <t>x̄Mx̄DCCCLIX</t>
        </is>
      </c>
      <c r="C19860">
        <f>ROMAN(19859)</f>
        <v/>
      </c>
      <c r="D19860">
        <f>IF(B19860=C19860, "YES", "WRONG")</f>
        <v/>
      </c>
    </row>
    <row r="19861">
      <c r="A19861" t="n">
        <v>19860</v>
      </c>
      <c r="B19861" t="inlineStr">
        <is>
          <t>x̄Mx̄DCCCLX</t>
        </is>
      </c>
      <c r="C19861">
        <f>ROMAN(19860)</f>
        <v/>
      </c>
      <c r="D19861">
        <f>IF(B19861=C19861, "YES", "WRONG")</f>
        <v/>
      </c>
    </row>
    <row r="19862">
      <c r="A19862" t="n">
        <v>19861</v>
      </c>
      <c r="B19862" t="inlineStr">
        <is>
          <t>x̄Mx̄DCCCLXI</t>
        </is>
      </c>
      <c r="C19862">
        <f>ROMAN(19861)</f>
        <v/>
      </c>
      <c r="D19862">
        <f>IF(B19862=C19862, "YES", "WRONG")</f>
        <v/>
      </c>
    </row>
    <row r="19863">
      <c r="A19863" t="n">
        <v>19862</v>
      </c>
      <c r="B19863" t="inlineStr">
        <is>
          <t>x̄Mx̄DCCCLXII</t>
        </is>
      </c>
      <c r="C19863">
        <f>ROMAN(19862)</f>
        <v/>
      </c>
      <c r="D19863">
        <f>IF(B19863=C19863, "YES", "WRONG")</f>
        <v/>
      </c>
    </row>
    <row r="19864">
      <c r="A19864" t="n">
        <v>19863</v>
      </c>
      <c r="B19864" t="inlineStr">
        <is>
          <t>x̄Mx̄DCCCLXIII</t>
        </is>
      </c>
      <c r="C19864">
        <f>ROMAN(19863)</f>
        <v/>
      </c>
      <c r="D19864">
        <f>IF(B19864=C19864, "YES", "WRONG")</f>
        <v/>
      </c>
    </row>
    <row r="19865">
      <c r="A19865" t="n">
        <v>19864</v>
      </c>
      <c r="B19865" t="inlineStr">
        <is>
          <t>x̄Mx̄DCCCLXIV</t>
        </is>
      </c>
      <c r="C19865">
        <f>ROMAN(19864)</f>
        <v/>
      </c>
      <c r="D19865">
        <f>IF(B19865=C19865, "YES", "WRONG")</f>
        <v/>
      </c>
    </row>
    <row r="19866">
      <c r="A19866" t="n">
        <v>19865</v>
      </c>
      <c r="B19866" t="inlineStr">
        <is>
          <t>x̄Mx̄DCCCLXV</t>
        </is>
      </c>
      <c r="C19866">
        <f>ROMAN(19865)</f>
        <v/>
      </c>
      <c r="D19866">
        <f>IF(B19866=C19866, "YES", "WRONG")</f>
        <v/>
      </c>
    </row>
    <row r="19867">
      <c r="A19867" t="n">
        <v>19866</v>
      </c>
      <c r="B19867" t="inlineStr">
        <is>
          <t>x̄Mx̄DCCCLXVI</t>
        </is>
      </c>
      <c r="C19867">
        <f>ROMAN(19866)</f>
        <v/>
      </c>
      <c r="D19867">
        <f>IF(B19867=C19867, "YES", "WRONG")</f>
        <v/>
      </c>
    </row>
    <row r="19868">
      <c r="A19868" t="n">
        <v>19867</v>
      </c>
      <c r="B19868" t="inlineStr">
        <is>
          <t>x̄Mx̄DCCCLXVII</t>
        </is>
      </c>
      <c r="C19868">
        <f>ROMAN(19867)</f>
        <v/>
      </c>
      <c r="D19868">
        <f>IF(B19868=C19868, "YES", "WRONG")</f>
        <v/>
      </c>
    </row>
    <row r="19869">
      <c r="A19869" t="n">
        <v>19868</v>
      </c>
      <c r="B19869" t="inlineStr">
        <is>
          <t>x̄Mx̄DCCCLXVIII</t>
        </is>
      </c>
      <c r="C19869">
        <f>ROMAN(19868)</f>
        <v/>
      </c>
      <c r="D19869">
        <f>IF(B19869=C19869, "YES", "WRONG")</f>
        <v/>
      </c>
    </row>
    <row r="19870">
      <c r="A19870" t="n">
        <v>19869</v>
      </c>
      <c r="B19870" t="inlineStr">
        <is>
          <t>x̄Mx̄DCCCLXIX</t>
        </is>
      </c>
      <c r="C19870">
        <f>ROMAN(19869)</f>
        <v/>
      </c>
      <c r="D19870">
        <f>IF(B19870=C19870, "YES", "WRONG")</f>
        <v/>
      </c>
    </row>
    <row r="19871">
      <c r="A19871" t="n">
        <v>19870</v>
      </c>
      <c r="B19871" t="inlineStr">
        <is>
          <t>x̄Mx̄DCCCLXX</t>
        </is>
      </c>
      <c r="C19871">
        <f>ROMAN(19870)</f>
        <v/>
      </c>
      <c r="D19871">
        <f>IF(B19871=C19871, "YES", "WRONG")</f>
        <v/>
      </c>
    </row>
    <row r="19872">
      <c r="A19872" t="n">
        <v>19871</v>
      </c>
      <c r="B19872" t="inlineStr">
        <is>
          <t>x̄Mx̄DCCCLXXI</t>
        </is>
      </c>
      <c r="C19872">
        <f>ROMAN(19871)</f>
        <v/>
      </c>
      <c r="D19872">
        <f>IF(B19872=C19872, "YES", "WRONG")</f>
        <v/>
      </c>
    </row>
    <row r="19873">
      <c r="A19873" t="n">
        <v>19872</v>
      </c>
      <c r="B19873" t="inlineStr">
        <is>
          <t>x̄Mx̄DCCCLXXII</t>
        </is>
      </c>
      <c r="C19873">
        <f>ROMAN(19872)</f>
        <v/>
      </c>
      <c r="D19873">
        <f>IF(B19873=C19873, "YES", "WRONG")</f>
        <v/>
      </c>
    </row>
    <row r="19874">
      <c r="A19874" t="n">
        <v>19873</v>
      </c>
      <c r="B19874" t="inlineStr">
        <is>
          <t>x̄Mx̄DCCCLXXIII</t>
        </is>
      </c>
      <c r="C19874">
        <f>ROMAN(19873)</f>
        <v/>
      </c>
      <c r="D19874">
        <f>IF(B19874=C19874, "YES", "WRONG")</f>
        <v/>
      </c>
    </row>
    <row r="19875">
      <c r="A19875" t="n">
        <v>19874</v>
      </c>
      <c r="B19875" t="inlineStr">
        <is>
          <t>x̄Mx̄DCCCLXXIV</t>
        </is>
      </c>
      <c r="C19875">
        <f>ROMAN(19874)</f>
        <v/>
      </c>
      <c r="D19875">
        <f>IF(B19875=C19875, "YES", "WRONG")</f>
        <v/>
      </c>
    </row>
    <row r="19876">
      <c r="A19876" t="n">
        <v>19875</v>
      </c>
      <c r="B19876" t="inlineStr">
        <is>
          <t>x̄Mx̄DCCCLXXV</t>
        </is>
      </c>
      <c r="C19876">
        <f>ROMAN(19875)</f>
        <v/>
      </c>
      <c r="D19876">
        <f>IF(B19876=C19876, "YES", "WRONG")</f>
        <v/>
      </c>
    </row>
    <row r="19877">
      <c r="A19877" t="n">
        <v>19876</v>
      </c>
      <c r="B19877" t="inlineStr">
        <is>
          <t>x̄Mx̄DCCCLXXVI</t>
        </is>
      </c>
      <c r="C19877">
        <f>ROMAN(19876)</f>
        <v/>
      </c>
      <c r="D19877">
        <f>IF(B19877=C19877, "YES", "WRONG")</f>
        <v/>
      </c>
    </row>
    <row r="19878">
      <c r="A19878" t="n">
        <v>19877</v>
      </c>
      <c r="B19878" t="inlineStr">
        <is>
          <t>x̄Mx̄DCCCLXXVII</t>
        </is>
      </c>
      <c r="C19878">
        <f>ROMAN(19877)</f>
        <v/>
      </c>
      <c r="D19878">
        <f>IF(B19878=C19878, "YES", "WRONG")</f>
        <v/>
      </c>
    </row>
    <row r="19879">
      <c r="A19879" t="n">
        <v>19878</v>
      </c>
      <c r="B19879" t="inlineStr">
        <is>
          <t>x̄Mx̄DCCCLXXVIII</t>
        </is>
      </c>
      <c r="C19879">
        <f>ROMAN(19878)</f>
        <v/>
      </c>
      <c r="D19879">
        <f>IF(B19879=C19879, "YES", "WRONG")</f>
        <v/>
      </c>
    </row>
    <row r="19880">
      <c r="A19880" t="n">
        <v>19879</v>
      </c>
      <c r="B19880" t="inlineStr">
        <is>
          <t>x̄Mx̄DCCCLXXIX</t>
        </is>
      </c>
      <c r="C19880">
        <f>ROMAN(19879)</f>
        <v/>
      </c>
      <c r="D19880">
        <f>IF(B19880=C19880, "YES", "WRONG")</f>
        <v/>
      </c>
    </row>
    <row r="19881">
      <c r="A19881" t="n">
        <v>19880</v>
      </c>
      <c r="B19881" t="inlineStr">
        <is>
          <t>x̄Mx̄DCCCLXXX</t>
        </is>
      </c>
      <c r="C19881">
        <f>ROMAN(19880)</f>
        <v/>
      </c>
      <c r="D19881">
        <f>IF(B19881=C19881, "YES", "WRONG")</f>
        <v/>
      </c>
    </row>
    <row r="19882">
      <c r="A19882" t="n">
        <v>19881</v>
      </c>
      <c r="B19882" t="inlineStr">
        <is>
          <t>x̄Mx̄DCCCLXXXI</t>
        </is>
      </c>
      <c r="C19882">
        <f>ROMAN(19881)</f>
        <v/>
      </c>
      <c r="D19882">
        <f>IF(B19882=C19882, "YES", "WRONG")</f>
        <v/>
      </c>
    </row>
    <row r="19883">
      <c r="A19883" t="n">
        <v>19882</v>
      </c>
      <c r="B19883" t="inlineStr">
        <is>
          <t>x̄Mx̄DCCCLXXXII</t>
        </is>
      </c>
      <c r="C19883">
        <f>ROMAN(19882)</f>
        <v/>
      </c>
      <c r="D19883">
        <f>IF(B19883=C19883, "YES", "WRONG")</f>
        <v/>
      </c>
    </row>
    <row r="19884">
      <c r="A19884" t="n">
        <v>19883</v>
      </c>
      <c r="B19884" t="inlineStr">
        <is>
          <t>x̄Mx̄DCCCLXXXIII</t>
        </is>
      </c>
      <c r="C19884">
        <f>ROMAN(19883)</f>
        <v/>
      </c>
      <c r="D19884">
        <f>IF(B19884=C19884, "YES", "WRONG")</f>
        <v/>
      </c>
    </row>
    <row r="19885">
      <c r="A19885" t="n">
        <v>19884</v>
      </c>
      <c r="B19885" t="inlineStr">
        <is>
          <t>x̄Mx̄DCCCLXXXIV</t>
        </is>
      </c>
      <c r="C19885">
        <f>ROMAN(19884)</f>
        <v/>
      </c>
      <c r="D19885">
        <f>IF(B19885=C19885, "YES", "WRONG")</f>
        <v/>
      </c>
    </row>
    <row r="19886">
      <c r="A19886" t="n">
        <v>19885</v>
      </c>
      <c r="B19886" t="inlineStr">
        <is>
          <t>x̄Mx̄DCCCLXXXV</t>
        </is>
      </c>
      <c r="C19886">
        <f>ROMAN(19885)</f>
        <v/>
      </c>
      <c r="D19886">
        <f>IF(B19886=C19886, "YES", "WRONG")</f>
        <v/>
      </c>
    </row>
    <row r="19887">
      <c r="A19887" t="n">
        <v>19886</v>
      </c>
      <c r="B19887" t="inlineStr">
        <is>
          <t>x̄Mx̄DCCCLXXXVI</t>
        </is>
      </c>
      <c r="C19887">
        <f>ROMAN(19886)</f>
        <v/>
      </c>
      <c r="D19887">
        <f>IF(B19887=C19887, "YES", "WRONG")</f>
        <v/>
      </c>
    </row>
    <row r="19888">
      <c r="A19888" t="n">
        <v>19887</v>
      </c>
      <c r="B19888" t="inlineStr">
        <is>
          <t>x̄Mx̄DCCCLXXXVII</t>
        </is>
      </c>
      <c r="C19888">
        <f>ROMAN(19887)</f>
        <v/>
      </c>
      <c r="D19888">
        <f>IF(B19888=C19888, "YES", "WRONG")</f>
        <v/>
      </c>
    </row>
    <row r="19889">
      <c r="A19889" t="n">
        <v>19888</v>
      </c>
      <c r="B19889" t="inlineStr">
        <is>
          <t>x̄Mx̄DCCCLXXXVIII</t>
        </is>
      </c>
      <c r="C19889">
        <f>ROMAN(19888)</f>
        <v/>
      </c>
      <c r="D19889">
        <f>IF(B19889=C19889, "YES", "WRONG")</f>
        <v/>
      </c>
    </row>
    <row r="19890">
      <c r="A19890" t="n">
        <v>19889</v>
      </c>
      <c r="B19890" t="inlineStr">
        <is>
          <t>x̄Mx̄DCCCLXXXIX</t>
        </is>
      </c>
      <c r="C19890">
        <f>ROMAN(19889)</f>
        <v/>
      </c>
      <c r="D19890">
        <f>IF(B19890=C19890, "YES", "WRONG")</f>
        <v/>
      </c>
    </row>
    <row r="19891">
      <c r="A19891" t="n">
        <v>19890</v>
      </c>
      <c r="B19891" t="inlineStr">
        <is>
          <t>x̄Mx̄DCCCXC</t>
        </is>
      </c>
      <c r="C19891">
        <f>ROMAN(19890)</f>
        <v/>
      </c>
      <c r="D19891">
        <f>IF(B19891=C19891, "YES", "WRONG")</f>
        <v/>
      </c>
    </row>
    <row r="19892">
      <c r="A19892" t="n">
        <v>19891</v>
      </c>
      <c r="B19892" t="inlineStr">
        <is>
          <t>x̄Mx̄DCCCXCI</t>
        </is>
      </c>
      <c r="C19892">
        <f>ROMAN(19891)</f>
        <v/>
      </c>
      <c r="D19892">
        <f>IF(B19892=C19892, "YES", "WRONG")</f>
        <v/>
      </c>
    </row>
    <row r="19893">
      <c r="A19893" t="n">
        <v>19892</v>
      </c>
      <c r="B19893" t="inlineStr">
        <is>
          <t>x̄Mx̄DCCCXCII</t>
        </is>
      </c>
      <c r="C19893">
        <f>ROMAN(19892)</f>
        <v/>
      </c>
      <c r="D19893">
        <f>IF(B19893=C19893, "YES", "WRONG")</f>
        <v/>
      </c>
    </row>
    <row r="19894">
      <c r="A19894" t="n">
        <v>19893</v>
      </c>
      <c r="B19894" t="inlineStr">
        <is>
          <t>x̄Mx̄DCCCXCIII</t>
        </is>
      </c>
      <c r="C19894">
        <f>ROMAN(19893)</f>
        <v/>
      </c>
      <c r="D19894">
        <f>IF(B19894=C19894, "YES", "WRONG")</f>
        <v/>
      </c>
    </row>
    <row r="19895">
      <c r="A19895" t="n">
        <v>19894</v>
      </c>
      <c r="B19895" t="inlineStr">
        <is>
          <t>x̄Mx̄DCCCXCIV</t>
        </is>
      </c>
      <c r="C19895">
        <f>ROMAN(19894)</f>
        <v/>
      </c>
      <c r="D19895">
        <f>IF(B19895=C19895, "YES", "WRONG")</f>
        <v/>
      </c>
    </row>
    <row r="19896">
      <c r="A19896" t="n">
        <v>19895</v>
      </c>
      <c r="B19896" t="inlineStr">
        <is>
          <t>x̄Mx̄DCCCXCV</t>
        </is>
      </c>
      <c r="C19896">
        <f>ROMAN(19895)</f>
        <v/>
      </c>
      <c r="D19896">
        <f>IF(B19896=C19896, "YES", "WRONG")</f>
        <v/>
      </c>
    </row>
    <row r="19897">
      <c r="A19897" t="n">
        <v>19896</v>
      </c>
      <c r="B19897" t="inlineStr">
        <is>
          <t>x̄Mx̄DCCCXCVI</t>
        </is>
      </c>
      <c r="C19897">
        <f>ROMAN(19896)</f>
        <v/>
      </c>
      <c r="D19897">
        <f>IF(B19897=C19897, "YES", "WRONG")</f>
        <v/>
      </c>
    </row>
    <row r="19898">
      <c r="A19898" t="n">
        <v>19897</v>
      </c>
      <c r="B19898" t="inlineStr">
        <is>
          <t>x̄Mx̄DCCCXCVII</t>
        </is>
      </c>
      <c r="C19898">
        <f>ROMAN(19897)</f>
        <v/>
      </c>
      <c r="D19898">
        <f>IF(B19898=C19898, "YES", "WRONG")</f>
        <v/>
      </c>
    </row>
    <row r="19899">
      <c r="A19899" t="n">
        <v>19898</v>
      </c>
      <c r="B19899" t="inlineStr">
        <is>
          <t>x̄Mx̄DCCCXCVIII</t>
        </is>
      </c>
      <c r="C19899">
        <f>ROMAN(19898)</f>
        <v/>
      </c>
      <c r="D19899">
        <f>IF(B19899=C19899, "YES", "WRONG")</f>
        <v/>
      </c>
    </row>
    <row r="19900">
      <c r="A19900" t="n">
        <v>19899</v>
      </c>
      <c r="B19900" t="inlineStr">
        <is>
          <t>x̄Mx̄DCCCXCIX</t>
        </is>
      </c>
      <c r="C19900">
        <f>ROMAN(19899)</f>
        <v/>
      </c>
      <c r="D19900">
        <f>IF(B19900=C19900, "YES", "WRONG")</f>
        <v/>
      </c>
    </row>
    <row r="19901">
      <c r="A19901" t="n">
        <v>19900</v>
      </c>
      <c r="B19901" t="inlineStr">
        <is>
          <t>x̄Mx̄CM</t>
        </is>
      </c>
      <c r="C19901">
        <f>ROMAN(19900)</f>
        <v/>
      </c>
      <c r="D19901">
        <f>IF(B19901=C19901, "YES", "WRONG")</f>
        <v/>
      </c>
    </row>
    <row r="19902">
      <c r="A19902" t="n">
        <v>19901</v>
      </c>
      <c r="B19902" t="inlineStr">
        <is>
          <t>x̄Mx̄CMI</t>
        </is>
      </c>
      <c r="C19902">
        <f>ROMAN(19901)</f>
        <v/>
      </c>
      <c r="D19902">
        <f>IF(B19902=C19902, "YES", "WRONG")</f>
        <v/>
      </c>
    </row>
    <row r="19903">
      <c r="A19903" t="n">
        <v>19902</v>
      </c>
      <c r="B19903" t="inlineStr">
        <is>
          <t>x̄Mx̄CMII</t>
        </is>
      </c>
      <c r="C19903">
        <f>ROMAN(19902)</f>
        <v/>
      </c>
      <c r="D19903">
        <f>IF(B19903=C19903, "YES", "WRONG")</f>
        <v/>
      </c>
    </row>
    <row r="19904">
      <c r="A19904" t="n">
        <v>19903</v>
      </c>
      <c r="B19904" t="inlineStr">
        <is>
          <t>x̄Mx̄CMIII</t>
        </is>
      </c>
      <c r="C19904">
        <f>ROMAN(19903)</f>
        <v/>
      </c>
      <c r="D19904">
        <f>IF(B19904=C19904, "YES", "WRONG")</f>
        <v/>
      </c>
    </row>
    <row r="19905">
      <c r="A19905" t="n">
        <v>19904</v>
      </c>
      <c r="B19905" t="inlineStr">
        <is>
          <t>x̄Mx̄CMIV</t>
        </is>
      </c>
      <c r="C19905">
        <f>ROMAN(19904)</f>
        <v/>
      </c>
      <c r="D19905">
        <f>IF(B19905=C19905, "YES", "WRONG")</f>
        <v/>
      </c>
    </row>
    <row r="19906">
      <c r="A19906" t="n">
        <v>19905</v>
      </c>
      <c r="B19906" t="inlineStr">
        <is>
          <t>x̄Mx̄CMV</t>
        </is>
      </c>
      <c r="C19906">
        <f>ROMAN(19905)</f>
        <v/>
      </c>
      <c r="D19906">
        <f>IF(B19906=C19906, "YES", "WRONG")</f>
        <v/>
      </c>
    </row>
    <row r="19907">
      <c r="A19907" t="n">
        <v>19906</v>
      </c>
      <c r="B19907" t="inlineStr">
        <is>
          <t>x̄Mx̄CMVI</t>
        </is>
      </c>
      <c r="C19907">
        <f>ROMAN(19906)</f>
        <v/>
      </c>
      <c r="D19907">
        <f>IF(B19907=C19907, "YES", "WRONG")</f>
        <v/>
      </c>
    </row>
    <row r="19908">
      <c r="A19908" t="n">
        <v>19907</v>
      </c>
      <c r="B19908" t="inlineStr">
        <is>
          <t>x̄Mx̄CMVII</t>
        </is>
      </c>
      <c r="C19908">
        <f>ROMAN(19907)</f>
        <v/>
      </c>
      <c r="D19908">
        <f>IF(B19908=C19908, "YES", "WRONG")</f>
        <v/>
      </c>
    </row>
    <row r="19909">
      <c r="A19909" t="n">
        <v>19908</v>
      </c>
      <c r="B19909" t="inlineStr">
        <is>
          <t>x̄Mx̄CMVIII</t>
        </is>
      </c>
      <c r="C19909">
        <f>ROMAN(19908)</f>
        <v/>
      </c>
      <c r="D19909">
        <f>IF(B19909=C19909, "YES", "WRONG")</f>
        <v/>
      </c>
    </row>
    <row r="19910">
      <c r="A19910" t="n">
        <v>19909</v>
      </c>
      <c r="B19910" t="inlineStr">
        <is>
          <t>x̄Mx̄CMIX</t>
        </is>
      </c>
      <c r="C19910">
        <f>ROMAN(19909)</f>
        <v/>
      </c>
      <c r="D19910">
        <f>IF(B19910=C19910, "YES", "WRONG")</f>
        <v/>
      </c>
    </row>
    <row r="19911">
      <c r="A19911" t="n">
        <v>19910</v>
      </c>
      <c r="B19911" t="inlineStr">
        <is>
          <t>x̄Mx̄CMX</t>
        </is>
      </c>
      <c r="C19911">
        <f>ROMAN(19910)</f>
        <v/>
      </c>
      <c r="D19911">
        <f>IF(B19911=C19911, "YES", "WRONG")</f>
        <v/>
      </c>
    </row>
    <row r="19912">
      <c r="A19912" t="n">
        <v>19911</v>
      </c>
      <c r="B19912" t="inlineStr">
        <is>
          <t>x̄Mx̄CMXI</t>
        </is>
      </c>
      <c r="C19912">
        <f>ROMAN(19911)</f>
        <v/>
      </c>
      <c r="D19912">
        <f>IF(B19912=C19912, "YES", "WRONG")</f>
        <v/>
      </c>
    </row>
    <row r="19913">
      <c r="A19913" t="n">
        <v>19912</v>
      </c>
      <c r="B19913" t="inlineStr">
        <is>
          <t>x̄Mx̄CMXII</t>
        </is>
      </c>
      <c r="C19913">
        <f>ROMAN(19912)</f>
        <v/>
      </c>
      <c r="D19913">
        <f>IF(B19913=C19913, "YES", "WRONG")</f>
        <v/>
      </c>
    </row>
    <row r="19914">
      <c r="A19914" t="n">
        <v>19913</v>
      </c>
      <c r="B19914" t="inlineStr">
        <is>
          <t>x̄Mx̄CMXIII</t>
        </is>
      </c>
      <c r="C19914">
        <f>ROMAN(19913)</f>
        <v/>
      </c>
      <c r="D19914">
        <f>IF(B19914=C19914, "YES", "WRONG")</f>
        <v/>
      </c>
    </row>
    <row r="19915">
      <c r="A19915" t="n">
        <v>19914</v>
      </c>
      <c r="B19915" t="inlineStr">
        <is>
          <t>x̄Mx̄CMXIV</t>
        </is>
      </c>
      <c r="C19915">
        <f>ROMAN(19914)</f>
        <v/>
      </c>
      <c r="D19915">
        <f>IF(B19915=C19915, "YES", "WRONG")</f>
        <v/>
      </c>
    </row>
    <row r="19916">
      <c r="A19916" t="n">
        <v>19915</v>
      </c>
      <c r="B19916" t="inlineStr">
        <is>
          <t>x̄Mx̄CMXV</t>
        </is>
      </c>
      <c r="C19916">
        <f>ROMAN(19915)</f>
        <v/>
      </c>
      <c r="D19916">
        <f>IF(B19916=C19916, "YES", "WRONG")</f>
        <v/>
      </c>
    </row>
    <row r="19917">
      <c r="A19917" t="n">
        <v>19916</v>
      </c>
      <c r="B19917" t="inlineStr">
        <is>
          <t>x̄Mx̄CMXVI</t>
        </is>
      </c>
      <c r="C19917">
        <f>ROMAN(19916)</f>
        <v/>
      </c>
      <c r="D19917">
        <f>IF(B19917=C19917, "YES", "WRONG")</f>
        <v/>
      </c>
    </row>
    <row r="19918">
      <c r="A19918" t="n">
        <v>19917</v>
      </c>
      <c r="B19918" t="inlineStr">
        <is>
          <t>x̄Mx̄CMXVII</t>
        </is>
      </c>
      <c r="C19918">
        <f>ROMAN(19917)</f>
        <v/>
      </c>
      <c r="D19918">
        <f>IF(B19918=C19918, "YES", "WRONG")</f>
        <v/>
      </c>
    </row>
    <row r="19919">
      <c r="A19919" t="n">
        <v>19918</v>
      </c>
      <c r="B19919" t="inlineStr">
        <is>
          <t>x̄Mx̄CMXVIII</t>
        </is>
      </c>
      <c r="C19919">
        <f>ROMAN(19918)</f>
        <v/>
      </c>
      <c r="D19919">
        <f>IF(B19919=C19919, "YES", "WRONG")</f>
        <v/>
      </c>
    </row>
    <row r="19920">
      <c r="A19920" t="n">
        <v>19919</v>
      </c>
      <c r="B19920" t="inlineStr">
        <is>
          <t>x̄Mx̄CMXIX</t>
        </is>
      </c>
      <c r="C19920">
        <f>ROMAN(19919)</f>
        <v/>
      </c>
      <c r="D19920">
        <f>IF(B19920=C19920, "YES", "WRONG")</f>
        <v/>
      </c>
    </row>
    <row r="19921">
      <c r="A19921" t="n">
        <v>19920</v>
      </c>
      <c r="B19921" t="inlineStr">
        <is>
          <t>x̄Mx̄CMXX</t>
        </is>
      </c>
      <c r="C19921">
        <f>ROMAN(19920)</f>
        <v/>
      </c>
      <c r="D19921">
        <f>IF(B19921=C19921, "YES", "WRONG")</f>
        <v/>
      </c>
    </row>
    <row r="19922">
      <c r="A19922" t="n">
        <v>19921</v>
      </c>
      <c r="B19922" t="inlineStr">
        <is>
          <t>x̄Mx̄CMXXI</t>
        </is>
      </c>
      <c r="C19922">
        <f>ROMAN(19921)</f>
        <v/>
      </c>
      <c r="D19922">
        <f>IF(B19922=C19922, "YES", "WRONG")</f>
        <v/>
      </c>
    </row>
    <row r="19923">
      <c r="A19923" t="n">
        <v>19922</v>
      </c>
      <c r="B19923" t="inlineStr">
        <is>
          <t>x̄Mx̄CMXXII</t>
        </is>
      </c>
      <c r="C19923">
        <f>ROMAN(19922)</f>
        <v/>
      </c>
      <c r="D19923">
        <f>IF(B19923=C19923, "YES", "WRONG")</f>
        <v/>
      </c>
    </row>
    <row r="19924">
      <c r="A19924" t="n">
        <v>19923</v>
      </c>
      <c r="B19924" t="inlineStr">
        <is>
          <t>x̄Mx̄CMXXIII</t>
        </is>
      </c>
      <c r="C19924">
        <f>ROMAN(19923)</f>
        <v/>
      </c>
      <c r="D19924">
        <f>IF(B19924=C19924, "YES", "WRONG")</f>
        <v/>
      </c>
    </row>
    <row r="19925">
      <c r="A19925" t="n">
        <v>19924</v>
      </c>
      <c r="B19925" t="inlineStr">
        <is>
          <t>x̄Mx̄CMXXIV</t>
        </is>
      </c>
      <c r="C19925">
        <f>ROMAN(19924)</f>
        <v/>
      </c>
      <c r="D19925">
        <f>IF(B19925=C19925, "YES", "WRONG")</f>
        <v/>
      </c>
    </row>
    <row r="19926">
      <c r="A19926" t="n">
        <v>19925</v>
      </c>
      <c r="B19926" t="inlineStr">
        <is>
          <t>x̄Mx̄CMXXV</t>
        </is>
      </c>
      <c r="C19926">
        <f>ROMAN(19925)</f>
        <v/>
      </c>
      <c r="D19926">
        <f>IF(B19926=C19926, "YES", "WRONG")</f>
        <v/>
      </c>
    </row>
    <row r="19927">
      <c r="A19927" t="n">
        <v>19926</v>
      </c>
      <c r="B19927" t="inlineStr">
        <is>
          <t>x̄Mx̄CMXXVI</t>
        </is>
      </c>
      <c r="C19927">
        <f>ROMAN(19926)</f>
        <v/>
      </c>
      <c r="D19927">
        <f>IF(B19927=C19927, "YES", "WRONG")</f>
        <v/>
      </c>
    </row>
    <row r="19928">
      <c r="A19928" t="n">
        <v>19927</v>
      </c>
      <c r="B19928" t="inlineStr">
        <is>
          <t>x̄Mx̄CMXXVII</t>
        </is>
      </c>
      <c r="C19928">
        <f>ROMAN(19927)</f>
        <v/>
      </c>
      <c r="D19928">
        <f>IF(B19928=C19928, "YES", "WRONG")</f>
        <v/>
      </c>
    </row>
    <row r="19929">
      <c r="A19929" t="n">
        <v>19928</v>
      </c>
      <c r="B19929" t="inlineStr">
        <is>
          <t>x̄Mx̄CMXXVIII</t>
        </is>
      </c>
      <c r="C19929">
        <f>ROMAN(19928)</f>
        <v/>
      </c>
      <c r="D19929">
        <f>IF(B19929=C19929, "YES", "WRONG")</f>
        <v/>
      </c>
    </row>
    <row r="19930">
      <c r="A19930" t="n">
        <v>19929</v>
      </c>
      <c r="B19930" t="inlineStr">
        <is>
          <t>x̄Mx̄CMXXIX</t>
        </is>
      </c>
      <c r="C19930">
        <f>ROMAN(19929)</f>
        <v/>
      </c>
      <c r="D19930">
        <f>IF(B19930=C19930, "YES", "WRONG")</f>
        <v/>
      </c>
    </row>
    <row r="19931">
      <c r="A19931" t="n">
        <v>19930</v>
      </c>
      <c r="B19931" t="inlineStr">
        <is>
          <t>x̄Mx̄CMXXX</t>
        </is>
      </c>
      <c r="C19931">
        <f>ROMAN(19930)</f>
        <v/>
      </c>
      <c r="D19931">
        <f>IF(B19931=C19931, "YES", "WRONG")</f>
        <v/>
      </c>
    </row>
    <row r="19932">
      <c r="A19932" t="n">
        <v>19931</v>
      </c>
      <c r="B19932" t="inlineStr">
        <is>
          <t>x̄Mx̄CMXXXI</t>
        </is>
      </c>
      <c r="C19932">
        <f>ROMAN(19931)</f>
        <v/>
      </c>
      <c r="D19932">
        <f>IF(B19932=C19932, "YES", "WRONG")</f>
        <v/>
      </c>
    </row>
    <row r="19933">
      <c r="A19933" t="n">
        <v>19932</v>
      </c>
      <c r="B19933" t="inlineStr">
        <is>
          <t>x̄Mx̄CMXXXII</t>
        </is>
      </c>
      <c r="C19933">
        <f>ROMAN(19932)</f>
        <v/>
      </c>
      <c r="D19933">
        <f>IF(B19933=C19933, "YES", "WRONG")</f>
        <v/>
      </c>
    </row>
    <row r="19934">
      <c r="A19934" t="n">
        <v>19933</v>
      </c>
      <c r="B19934" t="inlineStr">
        <is>
          <t>x̄Mx̄CMXXXIII</t>
        </is>
      </c>
      <c r="C19934">
        <f>ROMAN(19933)</f>
        <v/>
      </c>
      <c r="D19934">
        <f>IF(B19934=C19934, "YES", "WRONG")</f>
        <v/>
      </c>
    </row>
    <row r="19935">
      <c r="A19935" t="n">
        <v>19934</v>
      </c>
      <c r="B19935" t="inlineStr">
        <is>
          <t>x̄Mx̄CMXXXIV</t>
        </is>
      </c>
      <c r="C19935">
        <f>ROMAN(19934)</f>
        <v/>
      </c>
      <c r="D19935">
        <f>IF(B19935=C19935, "YES", "WRONG")</f>
        <v/>
      </c>
    </row>
    <row r="19936">
      <c r="A19936" t="n">
        <v>19935</v>
      </c>
      <c r="B19936" t="inlineStr">
        <is>
          <t>x̄Mx̄CMXXXV</t>
        </is>
      </c>
      <c r="C19936">
        <f>ROMAN(19935)</f>
        <v/>
      </c>
      <c r="D19936">
        <f>IF(B19936=C19936, "YES", "WRONG")</f>
        <v/>
      </c>
    </row>
    <row r="19937">
      <c r="A19937" t="n">
        <v>19936</v>
      </c>
      <c r="B19937" t="inlineStr">
        <is>
          <t>x̄Mx̄CMXXXVI</t>
        </is>
      </c>
      <c r="C19937">
        <f>ROMAN(19936)</f>
        <v/>
      </c>
      <c r="D19937">
        <f>IF(B19937=C19937, "YES", "WRONG")</f>
        <v/>
      </c>
    </row>
    <row r="19938">
      <c r="A19938" t="n">
        <v>19937</v>
      </c>
      <c r="B19938" t="inlineStr">
        <is>
          <t>x̄Mx̄CMXXXVII</t>
        </is>
      </c>
      <c r="C19938">
        <f>ROMAN(19937)</f>
        <v/>
      </c>
      <c r="D19938">
        <f>IF(B19938=C19938, "YES", "WRONG")</f>
        <v/>
      </c>
    </row>
    <row r="19939">
      <c r="A19939" t="n">
        <v>19938</v>
      </c>
      <c r="B19939" t="inlineStr">
        <is>
          <t>x̄Mx̄CMXXXVIII</t>
        </is>
      </c>
      <c r="C19939">
        <f>ROMAN(19938)</f>
        <v/>
      </c>
      <c r="D19939">
        <f>IF(B19939=C19939, "YES", "WRONG")</f>
        <v/>
      </c>
    </row>
    <row r="19940">
      <c r="A19940" t="n">
        <v>19939</v>
      </c>
      <c r="B19940" t="inlineStr">
        <is>
          <t>x̄Mx̄CMXXXIX</t>
        </is>
      </c>
      <c r="C19940">
        <f>ROMAN(19939)</f>
        <v/>
      </c>
      <c r="D19940">
        <f>IF(B19940=C19940, "YES", "WRONG")</f>
        <v/>
      </c>
    </row>
    <row r="19941">
      <c r="A19941" t="n">
        <v>19940</v>
      </c>
      <c r="B19941" t="inlineStr">
        <is>
          <t>x̄Mx̄CMXL</t>
        </is>
      </c>
      <c r="C19941">
        <f>ROMAN(19940)</f>
        <v/>
      </c>
      <c r="D19941">
        <f>IF(B19941=C19941, "YES", "WRONG")</f>
        <v/>
      </c>
    </row>
    <row r="19942">
      <c r="A19942" t="n">
        <v>19941</v>
      </c>
      <c r="B19942" t="inlineStr">
        <is>
          <t>x̄Mx̄CMXLI</t>
        </is>
      </c>
      <c r="C19942">
        <f>ROMAN(19941)</f>
        <v/>
      </c>
      <c r="D19942">
        <f>IF(B19942=C19942, "YES", "WRONG")</f>
        <v/>
      </c>
    </row>
    <row r="19943">
      <c r="A19943" t="n">
        <v>19942</v>
      </c>
      <c r="B19943" t="inlineStr">
        <is>
          <t>x̄Mx̄CMXLII</t>
        </is>
      </c>
      <c r="C19943">
        <f>ROMAN(19942)</f>
        <v/>
      </c>
      <c r="D19943">
        <f>IF(B19943=C19943, "YES", "WRONG")</f>
        <v/>
      </c>
    </row>
    <row r="19944">
      <c r="A19944" t="n">
        <v>19943</v>
      </c>
      <c r="B19944" t="inlineStr">
        <is>
          <t>x̄Mx̄CMXLIII</t>
        </is>
      </c>
      <c r="C19944">
        <f>ROMAN(19943)</f>
        <v/>
      </c>
      <c r="D19944">
        <f>IF(B19944=C19944, "YES", "WRONG")</f>
        <v/>
      </c>
    </row>
    <row r="19945">
      <c r="A19945" t="n">
        <v>19944</v>
      </c>
      <c r="B19945" t="inlineStr">
        <is>
          <t>x̄Mx̄CMXLIV</t>
        </is>
      </c>
      <c r="C19945">
        <f>ROMAN(19944)</f>
        <v/>
      </c>
      <c r="D19945">
        <f>IF(B19945=C19945, "YES", "WRONG")</f>
        <v/>
      </c>
    </row>
    <row r="19946">
      <c r="A19946" t="n">
        <v>19945</v>
      </c>
      <c r="B19946" t="inlineStr">
        <is>
          <t>x̄Mx̄CMXLV</t>
        </is>
      </c>
      <c r="C19946">
        <f>ROMAN(19945)</f>
        <v/>
      </c>
      <c r="D19946">
        <f>IF(B19946=C19946, "YES", "WRONG")</f>
        <v/>
      </c>
    </row>
    <row r="19947">
      <c r="A19947" t="n">
        <v>19946</v>
      </c>
      <c r="B19947" t="inlineStr">
        <is>
          <t>x̄Mx̄CMXLVI</t>
        </is>
      </c>
      <c r="C19947">
        <f>ROMAN(19946)</f>
        <v/>
      </c>
      <c r="D19947">
        <f>IF(B19947=C19947, "YES", "WRONG")</f>
        <v/>
      </c>
    </row>
    <row r="19948">
      <c r="A19948" t="n">
        <v>19947</v>
      </c>
      <c r="B19948" t="inlineStr">
        <is>
          <t>x̄Mx̄CMXLVII</t>
        </is>
      </c>
      <c r="C19948">
        <f>ROMAN(19947)</f>
        <v/>
      </c>
      <c r="D19948">
        <f>IF(B19948=C19948, "YES", "WRONG")</f>
        <v/>
      </c>
    </row>
    <row r="19949">
      <c r="A19949" t="n">
        <v>19948</v>
      </c>
      <c r="B19949" t="inlineStr">
        <is>
          <t>x̄Mx̄CMXLVIII</t>
        </is>
      </c>
      <c r="C19949">
        <f>ROMAN(19948)</f>
        <v/>
      </c>
      <c r="D19949">
        <f>IF(B19949=C19949, "YES", "WRONG")</f>
        <v/>
      </c>
    </row>
    <row r="19950">
      <c r="A19950" t="n">
        <v>19949</v>
      </c>
      <c r="B19950" t="inlineStr">
        <is>
          <t>x̄Mx̄CMXLIX</t>
        </is>
      </c>
      <c r="C19950">
        <f>ROMAN(19949)</f>
        <v/>
      </c>
      <c r="D19950">
        <f>IF(B19950=C19950, "YES", "WRONG")</f>
        <v/>
      </c>
    </row>
    <row r="19951">
      <c r="A19951" t="n">
        <v>19950</v>
      </c>
      <c r="B19951" t="inlineStr">
        <is>
          <t>x̄Mx̄CML</t>
        </is>
      </c>
      <c r="C19951">
        <f>ROMAN(19950)</f>
        <v/>
      </c>
      <c r="D19951">
        <f>IF(B19951=C19951, "YES", "WRONG")</f>
        <v/>
      </c>
    </row>
    <row r="19952">
      <c r="A19952" t="n">
        <v>19951</v>
      </c>
      <c r="B19952" t="inlineStr">
        <is>
          <t>x̄Mx̄CMLI</t>
        </is>
      </c>
      <c r="C19952">
        <f>ROMAN(19951)</f>
        <v/>
      </c>
      <c r="D19952">
        <f>IF(B19952=C19952, "YES", "WRONG")</f>
        <v/>
      </c>
    </row>
    <row r="19953">
      <c r="A19953" t="n">
        <v>19952</v>
      </c>
      <c r="B19953" t="inlineStr">
        <is>
          <t>x̄Mx̄CMLII</t>
        </is>
      </c>
      <c r="C19953">
        <f>ROMAN(19952)</f>
        <v/>
      </c>
      <c r="D19953">
        <f>IF(B19953=C19953, "YES", "WRONG")</f>
        <v/>
      </c>
    </row>
    <row r="19954">
      <c r="A19954" t="n">
        <v>19953</v>
      </c>
      <c r="B19954" t="inlineStr">
        <is>
          <t>x̄Mx̄CMLIII</t>
        </is>
      </c>
      <c r="C19954">
        <f>ROMAN(19953)</f>
        <v/>
      </c>
      <c r="D19954">
        <f>IF(B19954=C19954, "YES", "WRONG")</f>
        <v/>
      </c>
    </row>
    <row r="19955">
      <c r="A19955" t="n">
        <v>19954</v>
      </c>
      <c r="B19955" t="inlineStr">
        <is>
          <t>x̄Mx̄CMLIV</t>
        </is>
      </c>
      <c r="C19955">
        <f>ROMAN(19954)</f>
        <v/>
      </c>
      <c r="D19955">
        <f>IF(B19955=C19955, "YES", "WRONG")</f>
        <v/>
      </c>
    </row>
    <row r="19956">
      <c r="A19956" t="n">
        <v>19955</v>
      </c>
      <c r="B19956" t="inlineStr">
        <is>
          <t>x̄Mx̄CMLV</t>
        </is>
      </c>
      <c r="C19956">
        <f>ROMAN(19955)</f>
        <v/>
      </c>
      <c r="D19956">
        <f>IF(B19956=C19956, "YES", "WRONG")</f>
        <v/>
      </c>
    </row>
    <row r="19957">
      <c r="A19957" t="n">
        <v>19956</v>
      </c>
      <c r="B19957" t="inlineStr">
        <is>
          <t>x̄Mx̄CMLVI</t>
        </is>
      </c>
      <c r="C19957">
        <f>ROMAN(19956)</f>
        <v/>
      </c>
      <c r="D19957">
        <f>IF(B19957=C19957, "YES", "WRONG")</f>
        <v/>
      </c>
    </row>
    <row r="19958">
      <c r="A19958" t="n">
        <v>19957</v>
      </c>
      <c r="B19958" t="inlineStr">
        <is>
          <t>x̄Mx̄CMLVII</t>
        </is>
      </c>
      <c r="C19958">
        <f>ROMAN(19957)</f>
        <v/>
      </c>
      <c r="D19958">
        <f>IF(B19958=C19958, "YES", "WRONG")</f>
        <v/>
      </c>
    </row>
    <row r="19959">
      <c r="A19959" t="n">
        <v>19958</v>
      </c>
      <c r="B19959" t="inlineStr">
        <is>
          <t>x̄Mx̄CMLVIII</t>
        </is>
      </c>
      <c r="C19959">
        <f>ROMAN(19958)</f>
        <v/>
      </c>
      <c r="D19959">
        <f>IF(B19959=C19959, "YES", "WRONG")</f>
        <v/>
      </c>
    </row>
    <row r="19960">
      <c r="A19960" t="n">
        <v>19959</v>
      </c>
      <c r="B19960" t="inlineStr">
        <is>
          <t>x̄Mx̄CMLIX</t>
        </is>
      </c>
      <c r="C19960">
        <f>ROMAN(19959)</f>
        <v/>
      </c>
      <c r="D19960">
        <f>IF(B19960=C19960, "YES", "WRONG")</f>
        <v/>
      </c>
    </row>
    <row r="19961">
      <c r="A19961" t="n">
        <v>19960</v>
      </c>
      <c r="B19961" t="inlineStr">
        <is>
          <t>x̄Mx̄CMLX</t>
        </is>
      </c>
      <c r="C19961">
        <f>ROMAN(19960)</f>
        <v/>
      </c>
      <c r="D19961">
        <f>IF(B19961=C19961, "YES", "WRONG")</f>
        <v/>
      </c>
    </row>
    <row r="19962">
      <c r="A19962" t="n">
        <v>19961</v>
      </c>
      <c r="B19962" t="inlineStr">
        <is>
          <t>x̄Mx̄CMLXI</t>
        </is>
      </c>
      <c r="C19962">
        <f>ROMAN(19961)</f>
        <v/>
      </c>
      <c r="D19962">
        <f>IF(B19962=C19962, "YES", "WRONG")</f>
        <v/>
      </c>
    </row>
    <row r="19963">
      <c r="A19963" t="n">
        <v>19962</v>
      </c>
      <c r="B19963" t="inlineStr">
        <is>
          <t>x̄Mx̄CMLXII</t>
        </is>
      </c>
      <c r="C19963">
        <f>ROMAN(19962)</f>
        <v/>
      </c>
      <c r="D19963">
        <f>IF(B19963=C19963, "YES", "WRONG")</f>
        <v/>
      </c>
    </row>
    <row r="19964">
      <c r="A19964" t="n">
        <v>19963</v>
      </c>
      <c r="B19964" t="inlineStr">
        <is>
          <t>x̄Mx̄CMLXIII</t>
        </is>
      </c>
      <c r="C19964">
        <f>ROMAN(19963)</f>
        <v/>
      </c>
      <c r="D19964">
        <f>IF(B19964=C19964, "YES", "WRONG")</f>
        <v/>
      </c>
    </row>
    <row r="19965">
      <c r="A19965" t="n">
        <v>19964</v>
      </c>
      <c r="B19965" t="inlineStr">
        <is>
          <t>x̄Mx̄CMLXIV</t>
        </is>
      </c>
      <c r="C19965">
        <f>ROMAN(19964)</f>
        <v/>
      </c>
      <c r="D19965">
        <f>IF(B19965=C19965, "YES", "WRONG")</f>
        <v/>
      </c>
    </row>
    <row r="19966">
      <c r="A19966" t="n">
        <v>19965</v>
      </c>
      <c r="B19966" t="inlineStr">
        <is>
          <t>x̄Mx̄CMLXV</t>
        </is>
      </c>
      <c r="C19966">
        <f>ROMAN(19965)</f>
        <v/>
      </c>
      <c r="D19966">
        <f>IF(B19966=C19966, "YES", "WRONG")</f>
        <v/>
      </c>
    </row>
    <row r="19967">
      <c r="A19967" t="n">
        <v>19966</v>
      </c>
      <c r="B19967" t="inlineStr">
        <is>
          <t>x̄Mx̄CMLXVI</t>
        </is>
      </c>
      <c r="C19967">
        <f>ROMAN(19966)</f>
        <v/>
      </c>
      <c r="D19967">
        <f>IF(B19967=C19967, "YES", "WRONG")</f>
        <v/>
      </c>
    </row>
    <row r="19968">
      <c r="A19968" t="n">
        <v>19967</v>
      </c>
      <c r="B19968" t="inlineStr">
        <is>
          <t>x̄Mx̄CMLXVII</t>
        </is>
      </c>
      <c r="C19968">
        <f>ROMAN(19967)</f>
        <v/>
      </c>
      <c r="D19968">
        <f>IF(B19968=C19968, "YES", "WRONG")</f>
        <v/>
      </c>
    </row>
    <row r="19969">
      <c r="A19969" t="n">
        <v>19968</v>
      </c>
      <c r="B19969" t="inlineStr">
        <is>
          <t>x̄Mx̄CMLXVIII</t>
        </is>
      </c>
      <c r="C19969">
        <f>ROMAN(19968)</f>
        <v/>
      </c>
      <c r="D19969">
        <f>IF(B19969=C19969, "YES", "WRONG")</f>
        <v/>
      </c>
    </row>
    <row r="19970">
      <c r="A19970" t="n">
        <v>19969</v>
      </c>
      <c r="B19970" t="inlineStr">
        <is>
          <t>x̄Mx̄CMLXIX</t>
        </is>
      </c>
      <c r="C19970">
        <f>ROMAN(19969)</f>
        <v/>
      </c>
      <c r="D19970">
        <f>IF(B19970=C19970, "YES", "WRONG")</f>
        <v/>
      </c>
    </row>
    <row r="19971">
      <c r="A19971" t="n">
        <v>19970</v>
      </c>
      <c r="B19971" t="inlineStr">
        <is>
          <t>x̄Mx̄CMLXX</t>
        </is>
      </c>
      <c r="C19971">
        <f>ROMAN(19970)</f>
        <v/>
      </c>
      <c r="D19971">
        <f>IF(B19971=C19971, "YES", "WRONG")</f>
        <v/>
      </c>
    </row>
    <row r="19972">
      <c r="A19972" t="n">
        <v>19971</v>
      </c>
      <c r="B19972" t="inlineStr">
        <is>
          <t>x̄Mx̄CMLXXI</t>
        </is>
      </c>
      <c r="C19972">
        <f>ROMAN(19971)</f>
        <v/>
      </c>
      <c r="D19972">
        <f>IF(B19972=C19972, "YES", "WRONG")</f>
        <v/>
      </c>
    </row>
    <row r="19973">
      <c r="A19973" t="n">
        <v>19972</v>
      </c>
      <c r="B19973" t="inlineStr">
        <is>
          <t>x̄Mx̄CMLXXII</t>
        </is>
      </c>
      <c r="C19973">
        <f>ROMAN(19972)</f>
        <v/>
      </c>
      <c r="D19973">
        <f>IF(B19973=C19973, "YES", "WRONG")</f>
        <v/>
      </c>
    </row>
    <row r="19974">
      <c r="A19974" t="n">
        <v>19973</v>
      </c>
      <c r="B19974" t="inlineStr">
        <is>
          <t>x̄Mx̄CMLXXIII</t>
        </is>
      </c>
      <c r="C19974">
        <f>ROMAN(19973)</f>
        <v/>
      </c>
      <c r="D19974">
        <f>IF(B19974=C19974, "YES", "WRONG")</f>
        <v/>
      </c>
    </row>
    <row r="19975">
      <c r="A19975" t="n">
        <v>19974</v>
      </c>
      <c r="B19975" t="inlineStr">
        <is>
          <t>x̄Mx̄CMLXXIV</t>
        </is>
      </c>
      <c r="C19975">
        <f>ROMAN(19974)</f>
        <v/>
      </c>
      <c r="D19975">
        <f>IF(B19975=C19975, "YES", "WRONG")</f>
        <v/>
      </c>
    </row>
    <row r="19976">
      <c r="A19976" t="n">
        <v>19975</v>
      </c>
      <c r="B19976" t="inlineStr">
        <is>
          <t>x̄Mx̄CMLXXV</t>
        </is>
      </c>
      <c r="C19976">
        <f>ROMAN(19975)</f>
        <v/>
      </c>
      <c r="D19976">
        <f>IF(B19976=C19976, "YES", "WRONG")</f>
        <v/>
      </c>
    </row>
    <row r="19977">
      <c r="A19977" t="n">
        <v>19976</v>
      </c>
      <c r="B19977" t="inlineStr">
        <is>
          <t>x̄Mx̄CMLXXVI</t>
        </is>
      </c>
      <c r="C19977">
        <f>ROMAN(19976)</f>
        <v/>
      </c>
      <c r="D19977">
        <f>IF(B19977=C19977, "YES", "WRONG")</f>
        <v/>
      </c>
    </row>
    <row r="19978">
      <c r="A19978" t="n">
        <v>19977</v>
      </c>
      <c r="B19978" t="inlineStr">
        <is>
          <t>x̄Mx̄CMLXXVII</t>
        </is>
      </c>
      <c r="C19978">
        <f>ROMAN(19977)</f>
        <v/>
      </c>
      <c r="D19978">
        <f>IF(B19978=C19978, "YES", "WRONG")</f>
        <v/>
      </c>
    </row>
    <row r="19979">
      <c r="A19979" t="n">
        <v>19978</v>
      </c>
      <c r="B19979" t="inlineStr">
        <is>
          <t>x̄Mx̄CMLXXVIII</t>
        </is>
      </c>
      <c r="C19979">
        <f>ROMAN(19978)</f>
        <v/>
      </c>
      <c r="D19979">
        <f>IF(B19979=C19979, "YES", "WRONG")</f>
        <v/>
      </c>
    </row>
    <row r="19980">
      <c r="A19980" t="n">
        <v>19979</v>
      </c>
      <c r="B19980" t="inlineStr">
        <is>
          <t>x̄Mx̄CMLXXIX</t>
        </is>
      </c>
      <c r="C19980">
        <f>ROMAN(19979)</f>
        <v/>
      </c>
      <c r="D19980">
        <f>IF(B19980=C19980, "YES", "WRONG")</f>
        <v/>
      </c>
    </row>
    <row r="19981">
      <c r="A19981" t="n">
        <v>19980</v>
      </c>
      <c r="B19981" t="inlineStr">
        <is>
          <t>x̄Mx̄CMLXXX</t>
        </is>
      </c>
      <c r="C19981">
        <f>ROMAN(19980)</f>
        <v/>
      </c>
      <c r="D19981">
        <f>IF(B19981=C19981, "YES", "WRONG")</f>
        <v/>
      </c>
    </row>
    <row r="19982">
      <c r="A19982" t="n">
        <v>19981</v>
      </c>
      <c r="B19982" t="inlineStr">
        <is>
          <t>x̄Mx̄CMLXXXI</t>
        </is>
      </c>
      <c r="C19982">
        <f>ROMAN(19981)</f>
        <v/>
      </c>
      <c r="D19982">
        <f>IF(B19982=C19982, "YES", "WRONG")</f>
        <v/>
      </c>
    </row>
    <row r="19983">
      <c r="A19983" t="n">
        <v>19982</v>
      </c>
      <c r="B19983" t="inlineStr">
        <is>
          <t>x̄Mx̄CMLXXXII</t>
        </is>
      </c>
      <c r="C19983">
        <f>ROMAN(19982)</f>
        <v/>
      </c>
      <c r="D19983">
        <f>IF(B19983=C19983, "YES", "WRONG")</f>
        <v/>
      </c>
    </row>
    <row r="19984">
      <c r="A19984" t="n">
        <v>19983</v>
      </c>
      <c r="B19984" t="inlineStr">
        <is>
          <t>x̄Mx̄CMLXXXIII</t>
        </is>
      </c>
      <c r="C19984">
        <f>ROMAN(19983)</f>
        <v/>
      </c>
      <c r="D19984">
        <f>IF(B19984=C19984, "YES", "WRONG")</f>
        <v/>
      </c>
    </row>
    <row r="19985">
      <c r="A19985" t="n">
        <v>19984</v>
      </c>
      <c r="B19985" t="inlineStr">
        <is>
          <t>x̄Mx̄CMLXXXIV</t>
        </is>
      </c>
      <c r="C19985">
        <f>ROMAN(19984)</f>
        <v/>
      </c>
      <c r="D19985">
        <f>IF(B19985=C19985, "YES", "WRONG")</f>
        <v/>
      </c>
    </row>
    <row r="19986">
      <c r="A19986" t="n">
        <v>19985</v>
      </c>
      <c r="B19986" t="inlineStr">
        <is>
          <t>x̄Mx̄CMLXXXV</t>
        </is>
      </c>
      <c r="C19986">
        <f>ROMAN(19985)</f>
        <v/>
      </c>
      <c r="D19986">
        <f>IF(B19986=C19986, "YES", "WRONG")</f>
        <v/>
      </c>
    </row>
    <row r="19987">
      <c r="A19987" t="n">
        <v>19986</v>
      </c>
      <c r="B19987" t="inlineStr">
        <is>
          <t>x̄Mx̄CMLXXXVI</t>
        </is>
      </c>
      <c r="C19987">
        <f>ROMAN(19986)</f>
        <v/>
      </c>
      <c r="D19987">
        <f>IF(B19987=C19987, "YES", "WRONG")</f>
        <v/>
      </c>
    </row>
    <row r="19988">
      <c r="A19988" t="n">
        <v>19987</v>
      </c>
      <c r="B19988" t="inlineStr">
        <is>
          <t>x̄Mx̄CMLXXXVII</t>
        </is>
      </c>
      <c r="C19988">
        <f>ROMAN(19987)</f>
        <v/>
      </c>
      <c r="D19988">
        <f>IF(B19988=C19988, "YES", "WRONG")</f>
        <v/>
      </c>
    </row>
    <row r="19989">
      <c r="A19989" t="n">
        <v>19988</v>
      </c>
      <c r="B19989" t="inlineStr">
        <is>
          <t>x̄Mx̄CMLXXXVIII</t>
        </is>
      </c>
      <c r="C19989">
        <f>ROMAN(19988)</f>
        <v/>
      </c>
      <c r="D19989">
        <f>IF(B19989=C19989, "YES", "WRONG")</f>
        <v/>
      </c>
    </row>
    <row r="19990">
      <c r="A19990" t="n">
        <v>19989</v>
      </c>
      <c r="B19990" t="inlineStr">
        <is>
          <t>x̄Mx̄CMLXXXIX</t>
        </is>
      </c>
      <c r="C19990">
        <f>ROMAN(19989)</f>
        <v/>
      </c>
      <c r="D19990">
        <f>IF(B19990=C19990, "YES", "WRONG")</f>
        <v/>
      </c>
    </row>
    <row r="19991">
      <c r="A19991" t="n">
        <v>19990</v>
      </c>
      <c r="B19991" t="inlineStr">
        <is>
          <t>x̄Mx̄CMXC</t>
        </is>
      </c>
      <c r="C19991">
        <f>ROMAN(19990)</f>
        <v/>
      </c>
      <c r="D19991">
        <f>IF(B19991=C19991, "YES", "WRONG")</f>
        <v/>
      </c>
    </row>
    <row r="19992">
      <c r="A19992" t="n">
        <v>19991</v>
      </c>
      <c r="B19992" t="inlineStr">
        <is>
          <t>x̄Mx̄CMXCI</t>
        </is>
      </c>
      <c r="C19992">
        <f>ROMAN(19991)</f>
        <v/>
      </c>
      <c r="D19992">
        <f>IF(B19992=C19992, "YES", "WRONG")</f>
        <v/>
      </c>
    </row>
    <row r="19993">
      <c r="A19993" t="n">
        <v>19992</v>
      </c>
      <c r="B19993" t="inlineStr">
        <is>
          <t>x̄Mx̄CMXCII</t>
        </is>
      </c>
      <c r="C19993">
        <f>ROMAN(19992)</f>
        <v/>
      </c>
      <c r="D19993">
        <f>IF(B19993=C19993, "YES", "WRONG")</f>
        <v/>
      </c>
    </row>
    <row r="19994">
      <c r="A19994" t="n">
        <v>19993</v>
      </c>
      <c r="B19994" t="inlineStr">
        <is>
          <t>x̄Mx̄CMXCIII</t>
        </is>
      </c>
      <c r="C19994">
        <f>ROMAN(19993)</f>
        <v/>
      </c>
      <c r="D19994">
        <f>IF(B19994=C19994, "YES", "WRONG")</f>
        <v/>
      </c>
    </row>
    <row r="19995">
      <c r="A19995" t="n">
        <v>19994</v>
      </c>
      <c r="B19995" t="inlineStr">
        <is>
          <t>x̄Mx̄CMXCIV</t>
        </is>
      </c>
      <c r="C19995">
        <f>ROMAN(19994)</f>
        <v/>
      </c>
      <c r="D19995">
        <f>IF(B19995=C19995, "YES", "WRONG")</f>
        <v/>
      </c>
    </row>
    <row r="19996">
      <c r="A19996" t="n">
        <v>19995</v>
      </c>
      <c r="B19996" t="inlineStr">
        <is>
          <t>x̄Mx̄CMXCV</t>
        </is>
      </c>
      <c r="C19996">
        <f>ROMAN(19995)</f>
        <v/>
      </c>
      <c r="D19996">
        <f>IF(B19996=C19996, "YES", "WRONG")</f>
        <v/>
      </c>
    </row>
    <row r="19997">
      <c r="A19997" t="n">
        <v>19996</v>
      </c>
      <c r="B19997" t="inlineStr">
        <is>
          <t>x̄Mx̄CMXCVI</t>
        </is>
      </c>
      <c r="C19997">
        <f>ROMAN(19996)</f>
        <v/>
      </c>
      <c r="D19997">
        <f>IF(B19997=C19997, "YES", "WRONG")</f>
        <v/>
      </c>
    </row>
    <row r="19998">
      <c r="A19998" t="n">
        <v>19997</v>
      </c>
      <c r="B19998" t="inlineStr">
        <is>
          <t>x̄Mx̄CMXCVII</t>
        </is>
      </c>
      <c r="C19998">
        <f>ROMAN(19997)</f>
        <v/>
      </c>
      <c r="D19998">
        <f>IF(B19998=C19998, "YES", "WRONG")</f>
        <v/>
      </c>
    </row>
    <row r="19999">
      <c r="A19999" t="n">
        <v>19998</v>
      </c>
      <c r="B19999" t="inlineStr">
        <is>
          <t>x̄Mx̄CMXCVIII</t>
        </is>
      </c>
      <c r="C19999">
        <f>ROMAN(19998)</f>
        <v/>
      </c>
      <c r="D19999">
        <f>IF(B19999=C19999, "YES", "WRONG")</f>
        <v/>
      </c>
    </row>
    <row r="20000">
      <c r="A20000" t="n">
        <v>19999</v>
      </c>
      <c r="B20000" t="inlineStr">
        <is>
          <t>x̄Mx̄CMXCIX</t>
        </is>
      </c>
      <c r="C20000">
        <f>ROMAN(19999)</f>
        <v/>
      </c>
      <c r="D20000">
        <f>IF(B20000=C20000, "YES", "WRONG")</f>
        <v/>
      </c>
    </row>
    <row r="20001">
      <c r="A20001" t="n">
        <v>20000</v>
      </c>
      <c r="B20001" t="inlineStr">
        <is>
          <t>x̄x̄</t>
        </is>
      </c>
      <c r="C20001">
        <f>ROMAN(20000)</f>
        <v/>
      </c>
      <c r="D20001">
        <f>IF(B20001=C20001, "YES", "WRONG")</f>
        <v/>
      </c>
    </row>
    <row r="20002">
      <c r="A20002" t="n">
        <v>20001</v>
      </c>
      <c r="B20002" t="inlineStr">
        <is>
          <t>x̄x̄I</t>
        </is>
      </c>
      <c r="C20002">
        <f>ROMAN(20001)</f>
        <v/>
      </c>
      <c r="D20002">
        <f>IF(B20002=C20002, "YES", "WRONG")</f>
        <v/>
      </c>
    </row>
    <row r="20003">
      <c r="A20003" t="n">
        <v>20002</v>
      </c>
      <c r="B20003" t="inlineStr">
        <is>
          <t>x̄x̄II</t>
        </is>
      </c>
      <c r="C20003">
        <f>ROMAN(20002)</f>
        <v/>
      </c>
      <c r="D20003">
        <f>IF(B20003=C20003, "YES", "WRONG")</f>
        <v/>
      </c>
    </row>
    <row r="20004">
      <c r="A20004" t="n">
        <v>20003</v>
      </c>
      <c r="B20004" t="inlineStr">
        <is>
          <t>x̄x̄III</t>
        </is>
      </c>
      <c r="C20004">
        <f>ROMAN(20003)</f>
        <v/>
      </c>
      <c r="D20004">
        <f>IF(B20004=C20004, "YES", "WRONG")</f>
        <v/>
      </c>
    </row>
    <row r="20005">
      <c r="A20005" t="n">
        <v>20004</v>
      </c>
      <c r="B20005" t="inlineStr">
        <is>
          <t>x̄x̄IV</t>
        </is>
      </c>
      <c r="C20005">
        <f>ROMAN(20004)</f>
        <v/>
      </c>
      <c r="D20005">
        <f>IF(B20005=C20005, "YES", "WRONG")</f>
        <v/>
      </c>
    </row>
    <row r="20006">
      <c r="A20006" t="n">
        <v>20005</v>
      </c>
      <c r="B20006" t="inlineStr">
        <is>
          <t>x̄x̄V</t>
        </is>
      </c>
      <c r="C20006">
        <f>ROMAN(20005)</f>
        <v/>
      </c>
      <c r="D20006">
        <f>IF(B20006=C20006, "YES", "WRONG")</f>
        <v/>
      </c>
    </row>
    <row r="20007">
      <c r="A20007" t="n">
        <v>20006</v>
      </c>
      <c r="B20007" t="inlineStr">
        <is>
          <t>x̄x̄VI</t>
        </is>
      </c>
      <c r="C20007">
        <f>ROMAN(20006)</f>
        <v/>
      </c>
      <c r="D20007">
        <f>IF(B20007=C20007, "YES", "WRONG")</f>
        <v/>
      </c>
    </row>
    <row r="20008">
      <c r="A20008" t="n">
        <v>20007</v>
      </c>
      <c r="B20008" t="inlineStr">
        <is>
          <t>x̄x̄VII</t>
        </is>
      </c>
      <c r="C20008">
        <f>ROMAN(20007)</f>
        <v/>
      </c>
      <c r="D20008">
        <f>IF(B20008=C20008, "YES", "WRONG")</f>
        <v/>
      </c>
    </row>
    <row r="20009">
      <c r="A20009" t="n">
        <v>20008</v>
      </c>
      <c r="B20009" t="inlineStr">
        <is>
          <t>x̄x̄VIII</t>
        </is>
      </c>
      <c r="C20009">
        <f>ROMAN(20008)</f>
        <v/>
      </c>
      <c r="D20009">
        <f>IF(B20009=C20009, "YES", "WRONG")</f>
        <v/>
      </c>
    </row>
    <row r="20010">
      <c r="A20010" t="n">
        <v>20009</v>
      </c>
      <c r="B20010" t="inlineStr">
        <is>
          <t>x̄x̄IX</t>
        </is>
      </c>
      <c r="C20010">
        <f>ROMAN(20009)</f>
        <v/>
      </c>
      <c r="D20010">
        <f>IF(B20010=C20010, "YES", "WRONG")</f>
        <v/>
      </c>
    </row>
    <row r="20011">
      <c r="A20011" t="n">
        <v>20010</v>
      </c>
      <c r="B20011" t="inlineStr">
        <is>
          <t>x̄x̄X</t>
        </is>
      </c>
      <c r="C20011">
        <f>ROMAN(20010)</f>
        <v/>
      </c>
      <c r="D20011">
        <f>IF(B20011=C20011, "YES", "WRONG")</f>
        <v/>
      </c>
    </row>
    <row r="20012">
      <c r="A20012" t="n">
        <v>20011</v>
      </c>
      <c r="B20012" t="inlineStr">
        <is>
          <t>x̄x̄XI</t>
        </is>
      </c>
      <c r="C20012">
        <f>ROMAN(20011)</f>
        <v/>
      </c>
      <c r="D20012">
        <f>IF(B20012=C20012, "YES", "WRONG")</f>
        <v/>
      </c>
    </row>
    <row r="20013">
      <c r="A20013" t="n">
        <v>20012</v>
      </c>
      <c r="B20013" t="inlineStr">
        <is>
          <t>x̄x̄XII</t>
        </is>
      </c>
      <c r="C20013">
        <f>ROMAN(20012)</f>
        <v/>
      </c>
      <c r="D20013">
        <f>IF(B20013=C20013, "YES", "WRONG")</f>
        <v/>
      </c>
    </row>
    <row r="20014">
      <c r="A20014" t="n">
        <v>20013</v>
      </c>
      <c r="B20014" t="inlineStr">
        <is>
          <t>x̄x̄XIII</t>
        </is>
      </c>
      <c r="C20014">
        <f>ROMAN(20013)</f>
        <v/>
      </c>
      <c r="D20014">
        <f>IF(B20014=C20014, "YES", "WRONG")</f>
        <v/>
      </c>
    </row>
    <row r="20015">
      <c r="A20015" t="n">
        <v>20014</v>
      </c>
      <c r="B20015" t="inlineStr">
        <is>
          <t>x̄x̄XIV</t>
        </is>
      </c>
      <c r="C20015">
        <f>ROMAN(20014)</f>
        <v/>
      </c>
      <c r="D20015">
        <f>IF(B20015=C20015, "YES", "WRONG")</f>
        <v/>
      </c>
    </row>
    <row r="20016">
      <c r="A20016" t="n">
        <v>20015</v>
      </c>
      <c r="B20016" t="inlineStr">
        <is>
          <t>x̄x̄XV</t>
        </is>
      </c>
      <c r="C20016">
        <f>ROMAN(20015)</f>
        <v/>
      </c>
      <c r="D20016">
        <f>IF(B20016=C20016, "YES", "WRONG")</f>
        <v/>
      </c>
    </row>
    <row r="20017">
      <c r="A20017" t="n">
        <v>20016</v>
      </c>
      <c r="B20017" t="inlineStr">
        <is>
          <t>x̄x̄XVI</t>
        </is>
      </c>
      <c r="C20017">
        <f>ROMAN(20016)</f>
        <v/>
      </c>
      <c r="D20017">
        <f>IF(B20017=C20017, "YES", "WRONG")</f>
        <v/>
      </c>
    </row>
    <row r="20018">
      <c r="A20018" t="n">
        <v>20017</v>
      </c>
      <c r="B20018" t="inlineStr">
        <is>
          <t>x̄x̄XVII</t>
        </is>
      </c>
      <c r="C20018">
        <f>ROMAN(20017)</f>
        <v/>
      </c>
      <c r="D20018">
        <f>IF(B20018=C20018, "YES", "WRONG")</f>
        <v/>
      </c>
    </row>
    <row r="20019">
      <c r="A20019" t="n">
        <v>20018</v>
      </c>
      <c r="B20019" t="inlineStr">
        <is>
          <t>x̄x̄XVIII</t>
        </is>
      </c>
      <c r="C20019">
        <f>ROMAN(20018)</f>
        <v/>
      </c>
      <c r="D20019">
        <f>IF(B20019=C20019, "YES", "WRONG")</f>
        <v/>
      </c>
    </row>
    <row r="20020">
      <c r="A20020" t="n">
        <v>20019</v>
      </c>
      <c r="B20020" t="inlineStr">
        <is>
          <t>x̄x̄XIX</t>
        </is>
      </c>
      <c r="C20020">
        <f>ROMAN(20019)</f>
        <v/>
      </c>
      <c r="D20020">
        <f>IF(B20020=C20020, "YES", "WRONG")</f>
        <v/>
      </c>
    </row>
    <row r="20021">
      <c r="A20021" t="n">
        <v>20020</v>
      </c>
      <c r="B20021" t="inlineStr">
        <is>
          <t>x̄x̄XX</t>
        </is>
      </c>
      <c r="C20021">
        <f>ROMAN(20020)</f>
        <v/>
      </c>
      <c r="D20021">
        <f>IF(B20021=C20021, "YES", "WRONG")</f>
        <v/>
      </c>
    </row>
    <row r="20022">
      <c r="A20022" t="n">
        <v>20021</v>
      </c>
      <c r="B20022" t="inlineStr">
        <is>
          <t>x̄x̄XXI</t>
        </is>
      </c>
      <c r="C20022">
        <f>ROMAN(20021)</f>
        <v/>
      </c>
      <c r="D20022">
        <f>IF(B20022=C20022, "YES", "WRONG")</f>
        <v/>
      </c>
    </row>
    <row r="20023">
      <c r="A20023" t="n">
        <v>20022</v>
      </c>
      <c r="B20023" t="inlineStr">
        <is>
          <t>x̄x̄XXII</t>
        </is>
      </c>
      <c r="C20023">
        <f>ROMAN(20022)</f>
        <v/>
      </c>
      <c r="D20023">
        <f>IF(B20023=C20023, "YES", "WRONG")</f>
        <v/>
      </c>
    </row>
    <row r="20024">
      <c r="A20024" t="n">
        <v>20023</v>
      </c>
      <c r="B20024" t="inlineStr">
        <is>
          <t>x̄x̄XXIII</t>
        </is>
      </c>
      <c r="C20024">
        <f>ROMAN(20023)</f>
        <v/>
      </c>
      <c r="D20024">
        <f>IF(B20024=C20024, "YES", "WRONG")</f>
        <v/>
      </c>
    </row>
    <row r="20025">
      <c r="A20025" t="n">
        <v>20024</v>
      </c>
      <c r="B20025" t="inlineStr">
        <is>
          <t>x̄x̄XXIV</t>
        </is>
      </c>
      <c r="C20025">
        <f>ROMAN(20024)</f>
        <v/>
      </c>
      <c r="D20025">
        <f>IF(B20025=C20025, "YES", "WRONG")</f>
        <v/>
      </c>
    </row>
    <row r="20026">
      <c r="A20026" t="n">
        <v>20025</v>
      </c>
      <c r="B20026" t="inlineStr">
        <is>
          <t>x̄x̄XXV</t>
        </is>
      </c>
      <c r="C20026">
        <f>ROMAN(20025)</f>
        <v/>
      </c>
      <c r="D20026">
        <f>IF(B20026=C20026, "YES", "WRONG")</f>
        <v/>
      </c>
    </row>
    <row r="20027">
      <c r="A20027" t="n">
        <v>20026</v>
      </c>
      <c r="B20027" t="inlineStr">
        <is>
          <t>x̄x̄XXVI</t>
        </is>
      </c>
      <c r="C20027">
        <f>ROMAN(20026)</f>
        <v/>
      </c>
      <c r="D20027">
        <f>IF(B20027=C20027, "YES", "WRONG")</f>
        <v/>
      </c>
    </row>
    <row r="20028">
      <c r="A20028" t="n">
        <v>20027</v>
      </c>
      <c r="B20028" t="inlineStr">
        <is>
          <t>x̄x̄XXVII</t>
        </is>
      </c>
      <c r="C20028">
        <f>ROMAN(20027)</f>
        <v/>
      </c>
      <c r="D20028">
        <f>IF(B20028=C20028, "YES", "WRONG")</f>
        <v/>
      </c>
    </row>
    <row r="20029">
      <c r="A20029" t="n">
        <v>20028</v>
      </c>
      <c r="B20029" t="inlineStr">
        <is>
          <t>x̄x̄XXVIII</t>
        </is>
      </c>
      <c r="C20029">
        <f>ROMAN(20028)</f>
        <v/>
      </c>
      <c r="D20029">
        <f>IF(B20029=C20029, "YES", "WRONG")</f>
        <v/>
      </c>
    </row>
    <row r="20030">
      <c r="A20030" t="n">
        <v>20029</v>
      </c>
      <c r="B20030" t="inlineStr">
        <is>
          <t>x̄x̄XXIX</t>
        </is>
      </c>
      <c r="C20030">
        <f>ROMAN(20029)</f>
        <v/>
      </c>
      <c r="D20030">
        <f>IF(B20030=C20030, "YES", "WRONG")</f>
        <v/>
      </c>
    </row>
    <row r="20031">
      <c r="A20031" t="n">
        <v>20030</v>
      </c>
      <c r="B20031" t="inlineStr">
        <is>
          <t>x̄x̄XXX</t>
        </is>
      </c>
      <c r="C20031">
        <f>ROMAN(20030)</f>
        <v/>
      </c>
      <c r="D20031">
        <f>IF(B20031=C20031, "YES", "WRONG")</f>
        <v/>
      </c>
    </row>
    <row r="20032">
      <c r="A20032" t="n">
        <v>20031</v>
      </c>
      <c r="B20032" t="inlineStr">
        <is>
          <t>x̄x̄XXXI</t>
        </is>
      </c>
      <c r="C20032">
        <f>ROMAN(20031)</f>
        <v/>
      </c>
      <c r="D20032">
        <f>IF(B20032=C20032, "YES", "WRONG")</f>
        <v/>
      </c>
    </row>
    <row r="20033">
      <c r="A20033" t="n">
        <v>20032</v>
      </c>
      <c r="B20033" t="inlineStr">
        <is>
          <t>x̄x̄XXXII</t>
        </is>
      </c>
      <c r="C20033">
        <f>ROMAN(20032)</f>
        <v/>
      </c>
      <c r="D20033">
        <f>IF(B20033=C20033, "YES", "WRONG")</f>
        <v/>
      </c>
    </row>
    <row r="20034">
      <c r="A20034" t="n">
        <v>20033</v>
      </c>
      <c r="B20034" t="inlineStr">
        <is>
          <t>x̄x̄XXXIII</t>
        </is>
      </c>
      <c r="C20034">
        <f>ROMAN(20033)</f>
        <v/>
      </c>
      <c r="D20034">
        <f>IF(B20034=C20034, "YES", "WRONG")</f>
        <v/>
      </c>
    </row>
    <row r="20035">
      <c r="A20035" t="n">
        <v>20034</v>
      </c>
      <c r="B20035" t="inlineStr">
        <is>
          <t>x̄x̄XXXIV</t>
        </is>
      </c>
      <c r="C20035">
        <f>ROMAN(20034)</f>
        <v/>
      </c>
      <c r="D20035">
        <f>IF(B20035=C20035, "YES", "WRONG")</f>
        <v/>
      </c>
    </row>
    <row r="20036">
      <c r="A20036" t="n">
        <v>20035</v>
      </c>
      <c r="B20036" t="inlineStr">
        <is>
          <t>x̄x̄XXXV</t>
        </is>
      </c>
      <c r="C20036">
        <f>ROMAN(20035)</f>
        <v/>
      </c>
      <c r="D20036">
        <f>IF(B20036=C20036, "YES", "WRONG")</f>
        <v/>
      </c>
    </row>
    <row r="20037">
      <c r="A20037" t="n">
        <v>20036</v>
      </c>
      <c r="B20037" t="inlineStr">
        <is>
          <t>x̄x̄XXXVI</t>
        </is>
      </c>
      <c r="C20037">
        <f>ROMAN(20036)</f>
        <v/>
      </c>
      <c r="D20037">
        <f>IF(B20037=C20037, "YES", "WRONG")</f>
        <v/>
      </c>
    </row>
    <row r="20038">
      <c r="A20038" t="n">
        <v>20037</v>
      </c>
      <c r="B20038" t="inlineStr">
        <is>
          <t>x̄x̄XXXVII</t>
        </is>
      </c>
      <c r="C20038">
        <f>ROMAN(20037)</f>
        <v/>
      </c>
      <c r="D20038">
        <f>IF(B20038=C20038, "YES", "WRONG")</f>
        <v/>
      </c>
    </row>
    <row r="20039">
      <c r="A20039" t="n">
        <v>20038</v>
      </c>
      <c r="B20039" t="inlineStr">
        <is>
          <t>x̄x̄XXXVIII</t>
        </is>
      </c>
      <c r="C20039">
        <f>ROMAN(20038)</f>
        <v/>
      </c>
      <c r="D20039">
        <f>IF(B20039=C20039, "YES", "WRONG")</f>
        <v/>
      </c>
    </row>
    <row r="20040">
      <c r="A20040" t="n">
        <v>20039</v>
      </c>
      <c r="B20040" t="inlineStr">
        <is>
          <t>x̄x̄XXXIX</t>
        </is>
      </c>
      <c r="C20040">
        <f>ROMAN(20039)</f>
        <v/>
      </c>
      <c r="D20040">
        <f>IF(B20040=C20040, "YES", "WRONG")</f>
        <v/>
      </c>
    </row>
    <row r="20041">
      <c r="A20041" t="n">
        <v>20040</v>
      </c>
      <c r="B20041" t="inlineStr">
        <is>
          <t>x̄x̄XL</t>
        </is>
      </c>
      <c r="C20041">
        <f>ROMAN(20040)</f>
        <v/>
      </c>
      <c r="D20041">
        <f>IF(B20041=C20041, "YES", "WRONG")</f>
        <v/>
      </c>
    </row>
    <row r="20042">
      <c r="A20042" t="n">
        <v>20041</v>
      </c>
      <c r="B20042" t="inlineStr">
        <is>
          <t>x̄x̄XLI</t>
        </is>
      </c>
      <c r="C20042">
        <f>ROMAN(20041)</f>
        <v/>
      </c>
      <c r="D20042">
        <f>IF(B20042=C20042, "YES", "WRONG")</f>
        <v/>
      </c>
    </row>
    <row r="20043">
      <c r="A20043" t="n">
        <v>20042</v>
      </c>
      <c r="B20043" t="inlineStr">
        <is>
          <t>x̄x̄XLII</t>
        </is>
      </c>
      <c r="C20043">
        <f>ROMAN(20042)</f>
        <v/>
      </c>
      <c r="D20043">
        <f>IF(B20043=C20043, "YES", "WRONG")</f>
        <v/>
      </c>
    </row>
    <row r="20044">
      <c r="A20044" t="n">
        <v>20043</v>
      </c>
      <c r="B20044" t="inlineStr">
        <is>
          <t>x̄x̄XLIII</t>
        </is>
      </c>
      <c r="C20044">
        <f>ROMAN(20043)</f>
        <v/>
      </c>
      <c r="D20044">
        <f>IF(B20044=C20044, "YES", "WRONG")</f>
        <v/>
      </c>
    </row>
    <row r="20045">
      <c r="A20045" t="n">
        <v>20044</v>
      </c>
      <c r="B20045" t="inlineStr">
        <is>
          <t>x̄x̄XLIV</t>
        </is>
      </c>
      <c r="C20045">
        <f>ROMAN(20044)</f>
        <v/>
      </c>
      <c r="D20045">
        <f>IF(B20045=C20045, "YES", "WRONG")</f>
        <v/>
      </c>
    </row>
    <row r="20046">
      <c r="A20046" t="n">
        <v>20045</v>
      </c>
      <c r="B20046" t="inlineStr">
        <is>
          <t>x̄x̄XLV</t>
        </is>
      </c>
      <c r="C20046">
        <f>ROMAN(20045)</f>
        <v/>
      </c>
      <c r="D20046">
        <f>IF(B20046=C20046, "YES", "WRONG")</f>
        <v/>
      </c>
    </row>
    <row r="20047">
      <c r="A20047" t="n">
        <v>20046</v>
      </c>
      <c r="B20047" t="inlineStr">
        <is>
          <t>x̄x̄XLVI</t>
        </is>
      </c>
      <c r="C20047">
        <f>ROMAN(20046)</f>
        <v/>
      </c>
      <c r="D20047">
        <f>IF(B20047=C20047, "YES", "WRONG")</f>
        <v/>
      </c>
    </row>
    <row r="20048">
      <c r="A20048" t="n">
        <v>20047</v>
      </c>
      <c r="B20048" t="inlineStr">
        <is>
          <t>x̄x̄XLVII</t>
        </is>
      </c>
      <c r="C20048">
        <f>ROMAN(20047)</f>
        <v/>
      </c>
      <c r="D20048">
        <f>IF(B20048=C20048, "YES", "WRONG")</f>
        <v/>
      </c>
    </row>
    <row r="20049">
      <c r="A20049" t="n">
        <v>20048</v>
      </c>
      <c r="B20049" t="inlineStr">
        <is>
          <t>x̄x̄XLVIII</t>
        </is>
      </c>
      <c r="C20049">
        <f>ROMAN(20048)</f>
        <v/>
      </c>
      <c r="D20049">
        <f>IF(B20049=C20049, "YES", "WRONG")</f>
        <v/>
      </c>
    </row>
    <row r="20050">
      <c r="A20050" t="n">
        <v>20049</v>
      </c>
      <c r="B20050" t="inlineStr">
        <is>
          <t>x̄x̄XLIX</t>
        </is>
      </c>
      <c r="C20050">
        <f>ROMAN(20049)</f>
        <v/>
      </c>
      <c r="D20050">
        <f>IF(B20050=C20050, "YES", "WRONG")</f>
        <v/>
      </c>
    </row>
    <row r="20051">
      <c r="A20051" t="n">
        <v>20050</v>
      </c>
      <c r="B20051" t="inlineStr">
        <is>
          <t>x̄x̄L</t>
        </is>
      </c>
      <c r="C20051">
        <f>ROMAN(20050)</f>
        <v/>
      </c>
      <c r="D20051">
        <f>IF(B20051=C20051, "YES", "WRONG")</f>
        <v/>
      </c>
    </row>
    <row r="20052">
      <c r="A20052" t="n">
        <v>20051</v>
      </c>
      <c r="B20052" t="inlineStr">
        <is>
          <t>x̄x̄LI</t>
        </is>
      </c>
      <c r="C20052">
        <f>ROMAN(20051)</f>
        <v/>
      </c>
      <c r="D20052">
        <f>IF(B20052=C20052, "YES", "WRONG")</f>
        <v/>
      </c>
    </row>
    <row r="20053">
      <c r="A20053" t="n">
        <v>20052</v>
      </c>
      <c r="B20053" t="inlineStr">
        <is>
          <t>x̄x̄LII</t>
        </is>
      </c>
      <c r="C20053">
        <f>ROMAN(20052)</f>
        <v/>
      </c>
      <c r="D20053">
        <f>IF(B20053=C20053, "YES", "WRONG")</f>
        <v/>
      </c>
    </row>
    <row r="20054">
      <c r="A20054" t="n">
        <v>20053</v>
      </c>
      <c r="B20054" t="inlineStr">
        <is>
          <t>x̄x̄LIII</t>
        </is>
      </c>
      <c r="C20054">
        <f>ROMAN(20053)</f>
        <v/>
      </c>
      <c r="D20054">
        <f>IF(B20054=C20054, "YES", "WRONG")</f>
        <v/>
      </c>
    </row>
    <row r="20055">
      <c r="A20055" t="n">
        <v>20054</v>
      </c>
      <c r="B20055" t="inlineStr">
        <is>
          <t>x̄x̄LIV</t>
        </is>
      </c>
      <c r="C20055">
        <f>ROMAN(20054)</f>
        <v/>
      </c>
      <c r="D20055">
        <f>IF(B20055=C20055, "YES", "WRONG")</f>
        <v/>
      </c>
    </row>
    <row r="20056">
      <c r="A20056" t="n">
        <v>20055</v>
      </c>
      <c r="B20056" t="inlineStr">
        <is>
          <t>x̄x̄LV</t>
        </is>
      </c>
      <c r="C20056">
        <f>ROMAN(20055)</f>
        <v/>
      </c>
      <c r="D20056">
        <f>IF(B20056=C20056, "YES", "WRONG")</f>
        <v/>
      </c>
    </row>
    <row r="20057">
      <c r="A20057" t="n">
        <v>20056</v>
      </c>
      <c r="B20057" t="inlineStr">
        <is>
          <t>x̄x̄LVI</t>
        </is>
      </c>
      <c r="C20057">
        <f>ROMAN(20056)</f>
        <v/>
      </c>
      <c r="D20057">
        <f>IF(B20057=C20057, "YES", "WRONG")</f>
        <v/>
      </c>
    </row>
    <row r="20058">
      <c r="A20058" t="n">
        <v>20057</v>
      </c>
      <c r="B20058" t="inlineStr">
        <is>
          <t>x̄x̄LVII</t>
        </is>
      </c>
      <c r="C20058">
        <f>ROMAN(20057)</f>
        <v/>
      </c>
      <c r="D20058">
        <f>IF(B20058=C20058, "YES", "WRONG")</f>
        <v/>
      </c>
    </row>
    <row r="20059">
      <c r="A20059" t="n">
        <v>20058</v>
      </c>
      <c r="B20059" t="inlineStr">
        <is>
          <t>x̄x̄LVIII</t>
        </is>
      </c>
      <c r="C20059">
        <f>ROMAN(20058)</f>
        <v/>
      </c>
      <c r="D20059">
        <f>IF(B20059=C20059, "YES", "WRONG")</f>
        <v/>
      </c>
    </row>
    <row r="20060">
      <c r="A20060" t="n">
        <v>20059</v>
      </c>
      <c r="B20060" t="inlineStr">
        <is>
          <t>x̄x̄LIX</t>
        </is>
      </c>
      <c r="C20060">
        <f>ROMAN(20059)</f>
        <v/>
      </c>
      <c r="D20060">
        <f>IF(B20060=C20060, "YES", "WRONG")</f>
        <v/>
      </c>
    </row>
    <row r="20061">
      <c r="A20061" t="n">
        <v>20060</v>
      </c>
      <c r="B20061" t="inlineStr">
        <is>
          <t>x̄x̄LX</t>
        </is>
      </c>
      <c r="C20061">
        <f>ROMAN(20060)</f>
        <v/>
      </c>
      <c r="D20061">
        <f>IF(B20061=C20061, "YES", "WRONG")</f>
        <v/>
      </c>
    </row>
    <row r="20062">
      <c r="A20062" t="n">
        <v>20061</v>
      </c>
      <c r="B20062" t="inlineStr">
        <is>
          <t>x̄x̄LXI</t>
        </is>
      </c>
      <c r="C20062">
        <f>ROMAN(20061)</f>
        <v/>
      </c>
      <c r="D20062">
        <f>IF(B20062=C20062, "YES", "WRONG")</f>
        <v/>
      </c>
    </row>
    <row r="20063">
      <c r="A20063" t="n">
        <v>20062</v>
      </c>
      <c r="B20063" t="inlineStr">
        <is>
          <t>x̄x̄LXII</t>
        </is>
      </c>
      <c r="C20063">
        <f>ROMAN(20062)</f>
        <v/>
      </c>
      <c r="D20063">
        <f>IF(B20063=C20063, "YES", "WRONG")</f>
        <v/>
      </c>
    </row>
    <row r="20064">
      <c r="A20064" t="n">
        <v>20063</v>
      </c>
      <c r="B20064" t="inlineStr">
        <is>
          <t>x̄x̄LXIII</t>
        </is>
      </c>
      <c r="C20064">
        <f>ROMAN(20063)</f>
        <v/>
      </c>
      <c r="D20064">
        <f>IF(B20064=C20064, "YES", "WRONG")</f>
        <v/>
      </c>
    </row>
    <row r="20065">
      <c r="A20065" t="n">
        <v>20064</v>
      </c>
      <c r="B20065" t="inlineStr">
        <is>
          <t>x̄x̄LXIV</t>
        </is>
      </c>
      <c r="C20065">
        <f>ROMAN(20064)</f>
        <v/>
      </c>
      <c r="D20065">
        <f>IF(B20065=C20065, "YES", "WRONG")</f>
        <v/>
      </c>
    </row>
    <row r="20066">
      <c r="A20066" t="n">
        <v>20065</v>
      </c>
      <c r="B20066" t="inlineStr">
        <is>
          <t>x̄x̄LXV</t>
        </is>
      </c>
      <c r="C20066">
        <f>ROMAN(20065)</f>
        <v/>
      </c>
      <c r="D20066">
        <f>IF(B20066=C20066, "YES", "WRONG")</f>
        <v/>
      </c>
    </row>
    <row r="20067">
      <c r="A20067" t="n">
        <v>20066</v>
      </c>
      <c r="B20067" t="inlineStr">
        <is>
          <t>x̄x̄LXVI</t>
        </is>
      </c>
      <c r="C20067">
        <f>ROMAN(20066)</f>
        <v/>
      </c>
      <c r="D20067">
        <f>IF(B20067=C20067, "YES", "WRONG")</f>
        <v/>
      </c>
    </row>
    <row r="20068">
      <c r="A20068" t="n">
        <v>20067</v>
      </c>
      <c r="B20068" t="inlineStr">
        <is>
          <t>x̄x̄LXVII</t>
        </is>
      </c>
      <c r="C20068">
        <f>ROMAN(20067)</f>
        <v/>
      </c>
      <c r="D20068">
        <f>IF(B20068=C20068, "YES", "WRONG")</f>
        <v/>
      </c>
    </row>
    <row r="20069">
      <c r="A20069" t="n">
        <v>20068</v>
      </c>
      <c r="B20069" t="inlineStr">
        <is>
          <t>x̄x̄LXVIII</t>
        </is>
      </c>
      <c r="C20069">
        <f>ROMAN(20068)</f>
        <v/>
      </c>
      <c r="D20069">
        <f>IF(B20069=C20069, "YES", "WRONG")</f>
        <v/>
      </c>
    </row>
    <row r="20070">
      <c r="A20070" t="n">
        <v>20069</v>
      </c>
      <c r="B20070" t="inlineStr">
        <is>
          <t>x̄x̄LXIX</t>
        </is>
      </c>
      <c r="C20070">
        <f>ROMAN(20069)</f>
        <v/>
      </c>
      <c r="D20070">
        <f>IF(B20070=C20070, "YES", "WRONG")</f>
        <v/>
      </c>
    </row>
    <row r="20071">
      <c r="A20071" t="n">
        <v>20070</v>
      </c>
      <c r="B20071" t="inlineStr">
        <is>
          <t>x̄x̄LXX</t>
        </is>
      </c>
      <c r="C20071">
        <f>ROMAN(20070)</f>
        <v/>
      </c>
      <c r="D20071">
        <f>IF(B20071=C20071, "YES", "WRONG")</f>
        <v/>
      </c>
    </row>
    <row r="20072">
      <c r="A20072" t="n">
        <v>20071</v>
      </c>
      <c r="B20072" t="inlineStr">
        <is>
          <t>x̄x̄LXXI</t>
        </is>
      </c>
      <c r="C20072">
        <f>ROMAN(20071)</f>
        <v/>
      </c>
      <c r="D20072">
        <f>IF(B20072=C20072, "YES", "WRONG")</f>
        <v/>
      </c>
    </row>
    <row r="20073">
      <c r="A20073" t="n">
        <v>20072</v>
      </c>
      <c r="B20073" t="inlineStr">
        <is>
          <t>x̄x̄LXXII</t>
        </is>
      </c>
      <c r="C20073">
        <f>ROMAN(20072)</f>
        <v/>
      </c>
      <c r="D20073">
        <f>IF(B20073=C20073, "YES", "WRONG")</f>
        <v/>
      </c>
    </row>
    <row r="20074">
      <c r="A20074" t="n">
        <v>20073</v>
      </c>
      <c r="B20074" t="inlineStr">
        <is>
          <t>x̄x̄LXXIII</t>
        </is>
      </c>
      <c r="C20074">
        <f>ROMAN(20073)</f>
        <v/>
      </c>
      <c r="D20074">
        <f>IF(B20074=C20074, "YES", "WRONG")</f>
        <v/>
      </c>
    </row>
    <row r="20075">
      <c r="A20075" t="n">
        <v>20074</v>
      </c>
      <c r="B20075" t="inlineStr">
        <is>
          <t>x̄x̄LXXIV</t>
        </is>
      </c>
      <c r="C20075">
        <f>ROMAN(20074)</f>
        <v/>
      </c>
      <c r="D20075">
        <f>IF(B20075=C20075, "YES", "WRONG")</f>
        <v/>
      </c>
    </row>
    <row r="20076">
      <c r="A20076" t="n">
        <v>20075</v>
      </c>
      <c r="B20076" t="inlineStr">
        <is>
          <t>x̄x̄LXXV</t>
        </is>
      </c>
      <c r="C20076">
        <f>ROMAN(20075)</f>
        <v/>
      </c>
      <c r="D20076">
        <f>IF(B20076=C20076, "YES", "WRONG")</f>
        <v/>
      </c>
    </row>
    <row r="20077">
      <c r="A20077" t="n">
        <v>20076</v>
      </c>
      <c r="B20077" t="inlineStr">
        <is>
          <t>x̄x̄LXXVI</t>
        </is>
      </c>
      <c r="C20077">
        <f>ROMAN(20076)</f>
        <v/>
      </c>
      <c r="D20077">
        <f>IF(B20077=C20077, "YES", "WRONG")</f>
        <v/>
      </c>
    </row>
    <row r="20078">
      <c r="A20078" t="n">
        <v>20077</v>
      </c>
      <c r="B20078" t="inlineStr">
        <is>
          <t>x̄x̄LXXVII</t>
        </is>
      </c>
      <c r="C20078">
        <f>ROMAN(20077)</f>
        <v/>
      </c>
      <c r="D20078">
        <f>IF(B20078=C20078, "YES", "WRONG")</f>
        <v/>
      </c>
    </row>
    <row r="20079">
      <c r="A20079" t="n">
        <v>20078</v>
      </c>
      <c r="B20079" t="inlineStr">
        <is>
          <t>x̄x̄LXXVIII</t>
        </is>
      </c>
      <c r="C20079">
        <f>ROMAN(20078)</f>
        <v/>
      </c>
      <c r="D20079">
        <f>IF(B20079=C20079, "YES", "WRONG")</f>
        <v/>
      </c>
    </row>
    <row r="20080">
      <c r="A20080" t="n">
        <v>20079</v>
      </c>
      <c r="B20080" t="inlineStr">
        <is>
          <t>x̄x̄LXXIX</t>
        </is>
      </c>
      <c r="C20080">
        <f>ROMAN(20079)</f>
        <v/>
      </c>
      <c r="D20080">
        <f>IF(B20080=C20080, "YES", "WRONG")</f>
        <v/>
      </c>
    </row>
    <row r="20081">
      <c r="A20081" t="n">
        <v>20080</v>
      </c>
      <c r="B20081" t="inlineStr">
        <is>
          <t>x̄x̄LXXX</t>
        </is>
      </c>
      <c r="C20081">
        <f>ROMAN(20080)</f>
        <v/>
      </c>
      <c r="D20081">
        <f>IF(B20081=C20081, "YES", "WRONG")</f>
        <v/>
      </c>
    </row>
    <row r="20082">
      <c r="A20082" t="n">
        <v>20081</v>
      </c>
      <c r="B20082" t="inlineStr">
        <is>
          <t>x̄x̄LXXXI</t>
        </is>
      </c>
      <c r="C20082">
        <f>ROMAN(20081)</f>
        <v/>
      </c>
      <c r="D20082">
        <f>IF(B20082=C20082, "YES", "WRONG")</f>
        <v/>
      </c>
    </row>
    <row r="20083">
      <c r="A20083" t="n">
        <v>20082</v>
      </c>
      <c r="B20083" t="inlineStr">
        <is>
          <t>x̄x̄LXXXII</t>
        </is>
      </c>
      <c r="C20083">
        <f>ROMAN(20082)</f>
        <v/>
      </c>
      <c r="D20083">
        <f>IF(B20083=C20083, "YES", "WRONG")</f>
        <v/>
      </c>
    </row>
    <row r="20084">
      <c r="A20084" t="n">
        <v>20083</v>
      </c>
      <c r="B20084" t="inlineStr">
        <is>
          <t>x̄x̄LXXXIII</t>
        </is>
      </c>
      <c r="C20084">
        <f>ROMAN(20083)</f>
        <v/>
      </c>
      <c r="D20084">
        <f>IF(B20084=C20084, "YES", "WRONG")</f>
        <v/>
      </c>
    </row>
    <row r="20085">
      <c r="A20085" t="n">
        <v>20084</v>
      </c>
      <c r="B20085" t="inlineStr">
        <is>
          <t>x̄x̄LXXXIV</t>
        </is>
      </c>
      <c r="C20085">
        <f>ROMAN(20084)</f>
        <v/>
      </c>
      <c r="D20085">
        <f>IF(B20085=C20085, "YES", "WRONG")</f>
        <v/>
      </c>
    </row>
    <row r="20086">
      <c r="A20086" t="n">
        <v>20085</v>
      </c>
      <c r="B20086" t="inlineStr">
        <is>
          <t>x̄x̄LXXXV</t>
        </is>
      </c>
      <c r="C20086">
        <f>ROMAN(20085)</f>
        <v/>
      </c>
      <c r="D20086">
        <f>IF(B20086=C20086, "YES", "WRONG")</f>
        <v/>
      </c>
    </row>
    <row r="20087">
      <c r="A20087" t="n">
        <v>20086</v>
      </c>
      <c r="B20087" t="inlineStr">
        <is>
          <t>x̄x̄LXXXVI</t>
        </is>
      </c>
      <c r="C20087">
        <f>ROMAN(20086)</f>
        <v/>
      </c>
      <c r="D20087">
        <f>IF(B20087=C20087, "YES", "WRONG")</f>
        <v/>
      </c>
    </row>
    <row r="20088">
      <c r="A20088" t="n">
        <v>20087</v>
      </c>
      <c r="B20088" t="inlineStr">
        <is>
          <t>x̄x̄LXXXVII</t>
        </is>
      </c>
      <c r="C20088">
        <f>ROMAN(20087)</f>
        <v/>
      </c>
      <c r="D20088">
        <f>IF(B20088=C20088, "YES", "WRONG")</f>
        <v/>
      </c>
    </row>
    <row r="20089">
      <c r="A20089" t="n">
        <v>20088</v>
      </c>
      <c r="B20089" t="inlineStr">
        <is>
          <t>x̄x̄LXXXVIII</t>
        </is>
      </c>
      <c r="C20089">
        <f>ROMAN(20088)</f>
        <v/>
      </c>
      <c r="D20089">
        <f>IF(B20089=C20089, "YES", "WRONG")</f>
        <v/>
      </c>
    </row>
    <row r="20090">
      <c r="A20090" t="n">
        <v>20089</v>
      </c>
      <c r="B20090" t="inlineStr">
        <is>
          <t>x̄x̄LXXXIX</t>
        </is>
      </c>
      <c r="C20090">
        <f>ROMAN(20089)</f>
        <v/>
      </c>
      <c r="D20090">
        <f>IF(B20090=C20090, "YES", "WRONG")</f>
        <v/>
      </c>
    </row>
    <row r="20091">
      <c r="A20091" t="n">
        <v>20090</v>
      </c>
      <c r="B20091" t="inlineStr">
        <is>
          <t>x̄x̄XC</t>
        </is>
      </c>
      <c r="C20091">
        <f>ROMAN(20090)</f>
        <v/>
      </c>
      <c r="D20091">
        <f>IF(B20091=C20091, "YES", "WRONG")</f>
        <v/>
      </c>
    </row>
    <row r="20092">
      <c r="A20092" t="n">
        <v>20091</v>
      </c>
      <c r="B20092" t="inlineStr">
        <is>
          <t>x̄x̄XCI</t>
        </is>
      </c>
      <c r="C20092">
        <f>ROMAN(20091)</f>
        <v/>
      </c>
      <c r="D20092">
        <f>IF(B20092=C20092, "YES", "WRONG")</f>
        <v/>
      </c>
    </row>
    <row r="20093">
      <c r="A20093" t="n">
        <v>20092</v>
      </c>
      <c r="B20093" t="inlineStr">
        <is>
          <t>x̄x̄XCII</t>
        </is>
      </c>
      <c r="C20093">
        <f>ROMAN(20092)</f>
        <v/>
      </c>
      <c r="D20093">
        <f>IF(B20093=C20093, "YES", "WRONG")</f>
        <v/>
      </c>
    </row>
    <row r="20094">
      <c r="A20094" t="n">
        <v>20093</v>
      </c>
      <c r="B20094" t="inlineStr">
        <is>
          <t>x̄x̄XCIII</t>
        </is>
      </c>
      <c r="C20094">
        <f>ROMAN(20093)</f>
        <v/>
      </c>
      <c r="D20094">
        <f>IF(B20094=C20094, "YES", "WRONG")</f>
        <v/>
      </c>
    </row>
    <row r="20095">
      <c r="A20095" t="n">
        <v>20094</v>
      </c>
      <c r="B20095" t="inlineStr">
        <is>
          <t>x̄x̄XCIV</t>
        </is>
      </c>
      <c r="C20095">
        <f>ROMAN(20094)</f>
        <v/>
      </c>
      <c r="D20095">
        <f>IF(B20095=C20095, "YES", "WRONG")</f>
        <v/>
      </c>
    </row>
    <row r="20096">
      <c r="A20096" t="n">
        <v>20095</v>
      </c>
      <c r="B20096" t="inlineStr">
        <is>
          <t>x̄x̄XCV</t>
        </is>
      </c>
      <c r="C20096">
        <f>ROMAN(20095)</f>
        <v/>
      </c>
      <c r="D20096">
        <f>IF(B20096=C20096, "YES", "WRONG")</f>
        <v/>
      </c>
    </row>
    <row r="20097">
      <c r="A20097" t="n">
        <v>20096</v>
      </c>
      <c r="B20097" t="inlineStr">
        <is>
          <t>x̄x̄XCVI</t>
        </is>
      </c>
      <c r="C20097">
        <f>ROMAN(20096)</f>
        <v/>
      </c>
      <c r="D20097">
        <f>IF(B20097=C20097, "YES", "WRONG")</f>
        <v/>
      </c>
    </row>
    <row r="20098">
      <c r="A20098" t="n">
        <v>20097</v>
      </c>
      <c r="B20098" t="inlineStr">
        <is>
          <t>x̄x̄XCVII</t>
        </is>
      </c>
      <c r="C20098">
        <f>ROMAN(20097)</f>
        <v/>
      </c>
      <c r="D20098">
        <f>IF(B20098=C20098, "YES", "WRONG")</f>
        <v/>
      </c>
    </row>
    <row r="20099">
      <c r="A20099" t="n">
        <v>20098</v>
      </c>
      <c r="B20099" t="inlineStr">
        <is>
          <t>x̄x̄XCVIII</t>
        </is>
      </c>
      <c r="C20099">
        <f>ROMAN(20098)</f>
        <v/>
      </c>
      <c r="D20099">
        <f>IF(B20099=C20099, "YES", "WRONG")</f>
        <v/>
      </c>
    </row>
    <row r="20100">
      <c r="A20100" t="n">
        <v>20099</v>
      </c>
      <c r="B20100" t="inlineStr">
        <is>
          <t>x̄x̄XCIX</t>
        </is>
      </c>
      <c r="C20100">
        <f>ROMAN(20099)</f>
        <v/>
      </c>
      <c r="D20100">
        <f>IF(B20100=C20100, "YES", "WRONG")</f>
        <v/>
      </c>
    </row>
    <row r="20101">
      <c r="A20101" t="n">
        <v>20100</v>
      </c>
      <c r="B20101" t="inlineStr">
        <is>
          <t>x̄x̄C</t>
        </is>
      </c>
      <c r="C20101">
        <f>ROMAN(20100)</f>
        <v/>
      </c>
      <c r="D20101">
        <f>IF(B20101=C20101, "YES", "WRONG")</f>
        <v/>
      </c>
    </row>
    <row r="20102">
      <c r="A20102" t="n">
        <v>20101</v>
      </c>
      <c r="B20102" t="inlineStr">
        <is>
          <t>x̄x̄CI</t>
        </is>
      </c>
      <c r="C20102">
        <f>ROMAN(20101)</f>
        <v/>
      </c>
      <c r="D20102">
        <f>IF(B20102=C20102, "YES", "WRONG")</f>
        <v/>
      </c>
    </row>
    <row r="20103">
      <c r="A20103" t="n">
        <v>20102</v>
      </c>
      <c r="B20103" t="inlineStr">
        <is>
          <t>x̄x̄CII</t>
        </is>
      </c>
      <c r="C20103">
        <f>ROMAN(20102)</f>
        <v/>
      </c>
      <c r="D20103">
        <f>IF(B20103=C20103, "YES", "WRONG")</f>
        <v/>
      </c>
    </row>
    <row r="20104">
      <c r="A20104" t="n">
        <v>20103</v>
      </c>
      <c r="B20104" t="inlineStr">
        <is>
          <t>x̄x̄CIII</t>
        </is>
      </c>
      <c r="C20104">
        <f>ROMAN(20103)</f>
        <v/>
      </c>
      <c r="D20104">
        <f>IF(B20104=C20104, "YES", "WRONG")</f>
        <v/>
      </c>
    </row>
    <row r="20105">
      <c r="A20105" t="n">
        <v>20104</v>
      </c>
      <c r="B20105" t="inlineStr">
        <is>
          <t>x̄x̄CIV</t>
        </is>
      </c>
      <c r="C20105">
        <f>ROMAN(20104)</f>
        <v/>
      </c>
      <c r="D20105">
        <f>IF(B20105=C20105, "YES", "WRONG")</f>
        <v/>
      </c>
    </row>
    <row r="20106">
      <c r="A20106" t="n">
        <v>20105</v>
      </c>
      <c r="B20106" t="inlineStr">
        <is>
          <t>x̄x̄CV</t>
        </is>
      </c>
      <c r="C20106">
        <f>ROMAN(20105)</f>
        <v/>
      </c>
      <c r="D20106">
        <f>IF(B20106=C20106, "YES", "WRONG")</f>
        <v/>
      </c>
    </row>
    <row r="20107">
      <c r="A20107" t="n">
        <v>20106</v>
      </c>
      <c r="B20107" t="inlineStr">
        <is>
          <t>x̄x̄CVI</t>
        </is>
      </c>
      <c r="C20107">
        <f>ROMAN(20106)</f>
        <v/>
      </c>
      <c r="D20107">
        <f>IF(B20107=C20107, "YES", "WRONG")</f>
        <v/>
      </c>
    </row>
    <row r="20108">
      <c r="A20108" t="n">
        <v>20107</v>
      </c>
      <c r="B20108" t="inlineStr">
        <is>
          <t>x̄x̄CVII</t>
        </is>
      </c>
      <c r="C20108">
        <f>ROMAN(20107)</f>
        <v/>
      </c>
      <c r="D20108">
        <f>IF(B20108=C20108, "YES", "WRONG")</f>
        <v/>
      </c>
    </row>
    <row r="20109">
      <c r="A20109" t="n">
        <v>20108</v>
      </c>
      <c r="B20109" t="inlineStr">
        <is>
          <t>x̄x̄CVIII</t>
        </is>
      </c>
      <c r="C20109">
        <f>ROMAN(20108)</f>
        <v/>
      </c>
      <c r="D20109">
        <f>IF(B20109=C20109, "YES", "WRONG")</f>
        <v/>
      </c>
    </row>
    <row r="20110">
      <c r="A20110" t="n">
        <v>20109</v>
      </c>
      <c r="B20110" t="inlineStr">
        <is>
          <t>x̄x̄CIX</t>
        </is>
      </c>
      <c r="C20110">
        <f>ROMAN(20109)</f>
        <v/>
      </c>
      <c r="D20110">
        <f>IF(B20110=C20110, "YES", "WRONG")</f>
        <v/>
      </c>
    </row>
    <row r="20111">
      <c r="A20111" t="n">
        <v>20110</v>
      </c>
      <c r="B20111" t="inlineStr">
        <is>
          <t>x̄x̄CX</t>
        </is>
      </c>
      <c r="C20111">
        <f>ROMAN(20110)</f>
        <v/>
      </c>
      <c r="D20111">
        <f>IF(B20111=C20111, "YES", "WRONG")</f>
        <v/>
      </c>
    </row>
    <row r="20112">
      <c r="A20112" t="n">
        <v>20111</v>
      </c>
      <c r="B20112" t="inlineStr">
        <is>
          <t>x̄x̄CXI</t>
        </is>
      </c>
      <c r="C20112">
        <f>ROMAN(20111)</f>
        <v/>
      </c>
      <c r="D20112">
        <f>IF(B20112=C20112, "YES", "WRONG")</f>
        <v/>
      </c>
    </row>
    <row r="20113">
      <c r="A20113" t="n">
        <v>20112</v>
      </c>
      <c r="B20113" t="inlineStr">
        <is>
          <t>x̄x̄CXII</t>
        </is>
      </c>
      <c r="C20113">
        <f>ROMAN(20112)</f>
        <v/>
      </c>
      <c r="D20113">
        <f>IF(B20113=C20113, "YES", "WRONG")</f>
        <v/>
      </c>
    </row>
    <row r="20114">
      <c r="A20114" t="n">
        <v>20113</v>
      </c>
      <c r="B20114" t="inlineStr">
        <is>
          <t>x̄x̄CXIII</t>
        </is>
      </c>
      <c r="C20114">
        <f>ROMAN(20113)</f>
        <v/>
      </c>
      <c r="D20114">
        <f>IF(B20114=C20114, "YES", "WRONG")</f>
        <v/>
      </c>
    </row>
    <row r="20115">
      <c r="A20115" t="n">
        <v>20114</v>
      </c>
      <c r="B20115" t="inlineStr">
        <is>
          <t>x̄x̄CXIV</t>
        </is>
      </c>
      <c r="C20115">
        <f>ROMAN(20114)</f>
        <v/>
      </c>
      <c r="D20115">
        <f>IF(B20115=C20115, "YES", "WRONG")</f>
        <v/>
      </c>
    </row>
    <row r="20116">
      <c r="A20116" t="n">
        <v>20115</v>
      </c>
      <c r="B20116" t="inlineStr">
        <is>
          <t>x̄x̄CXV</t>
        </is>
      </c>
      <c r="C20116">
        <f>ROMAN(20115)</f>
        <v/>
      </c>
      <c r="D20116">
        <f>IF(B20116=C20116, "YES", "WRONG")</f>
        <v/>
      </c>
    </row>
    <row r="20117">
      <c r="A20117" t="n">
        <v>20116</v>
      </c>
      <c r="B20117" t="inlineStr">
        <is>
          <t>x̄x̄CXVI</t>
        </is>
      </c>
      <c r="C20117">
        <f>ROMAN(20116)</f>
        <v/>
      </c>
      <c r="D20117">
        <f>IF(B20117=C20117, "YES", "WRONG")</f>
        <v/>
      </c>
    </row>
    <row r="20118">
      <c r="A20118" t="n">
        <v>20117</v>
      </c>
      <c r="B20118" t="inlineStr">
        <is>
          <t>x̄x̄CXVII</t>
        </is>
      </c>
      <c r="C20118">
        <f>ROMAN(20117)</f>
        <v/>
      </c>
      <c r="D20118">
        <f>IF(B20118=C20118, "YES", "WRONG")</f>
        <v/>
      </c>
    </row>
    <row r="20119">
      <c r="A20119" t="n">
        <v>20118</v>
      </c>
      <c r="B20119" t="inlineStr">
        <is>
          <t>x̄x̄CXVIII</t>
        </is>
      </c>
      <c r="C20119">
        <f>ROMAN(20118)</f>
        <v/>
      </c>
      <c r="D20119">
        <f>IF(B20119=C20119, "YES", "WRONG")</f>
        <v/>
      </c>
    </row>
    <row r="20120">
      <c r="A20120" t="n">
        <v>20119</v>
      </c>
      <c r="B20120" t="inlineStr">
        <is>
          <t>x̄x̄CXIX</t>
        </is>
      </c>
      <c r="C20120">
        <f>ROMAN(20119)</f>
        <v/>
      </c>
      <c r="D20120">
        <f>IF(B20120=C20120, "YES", "WRONG")</f>
        <v/>
      </c>
    </row>
    <row r="20121">
      <c r="A20121" t="n">
        <v>20120</v>
      </c>
      <c r="B20121" t="inlineStr">
        <is>
          <t>x̄x̄CXX</t>
        </is>
      </c>
      <c r="C20121">
        <f>ROMAN(20120)</f>
        <v/>
      </c>
      <c r="D20121">
        <f>IF(B20121=C20121, "YES", "WRONG")</f>
        <v/>
      </c>
    </row>
    <row r="20122">
      <c r="A20122" t="n">
        <v>20121</v>
      </c>
      <c r="B20122" t="inlineStr">
        <is>
          <t>x̄x̄CXXI</t>
        </is>
      </c>
      <c r="C20122">
        <f>ROMAN(20121)</f>
        <v/>
      </c>
      <c r="D20122">
        <f>IF(B20122=C20122, "YES", "WRONG")</f>
        <v/>
      </c>
    </row>
    <row r="20123">
      <c r="A20123" t="n">
        <v>20122</v>
      </c>
      <c r="B20123" t="inlineStr">
        <is>
          <t>x̄x̄CXXII</t>
        </is>
      </c>
      <c r="C20123">
        <f>ROMAN(20122)</f>
        <v/>
      </c>
      <c r="D20123">
        <f>IF(B20123=C20123, "YES", "WRONG")</f>
        <v/>
      </c>
    </row>
    <row r="20124">
      <c r="A20124" t="n">
        <v>20123</v>
      </c>
      <c r="B20124" t="inlineStr">
        <is>
          <t>x̄x̄CXXIII</t>
        </is>
      </c>
      <c r="C20124">
        <f>ROMAN(20123)</f>
        <v/>
      </c>
      <c r="D20124">
        <f>IF(B20124=C20124, "YES", "WRONG")</f>
        <v/>
      </c>
    </row>
    <row r="20125">
      <c r="A20125" t="n">
        <v>20124</v>
      </c>
      <c r="B20125" t="inlineStr">
        <is>
          <t>x̄x̄CXXIV</t>
        </is>
      </c>
      <c r="C20125">
        <f>ROMAN(20124)</f>
        <v/>
      </c>
      <c r="D20125">
        <f>IF(B20125=C20125, "YES", "WRONG")</f>
        <v/>
      </c>
    </row>
    <row r="20126">
      <c r="A20126" t="n">
        <v>20125</v>
      </c>
      <c r="B20126" t="inlineStr">
        <is>
          <t>x̄x̄CXXV</t>
        </is>
      </c>
      <c r="C20126">
        <f>ROMAN(20125)</f>
        <v/>
      </c>
      <c r="D20126">
        <f>IF(B20126=C20126, "YES", "WRONG")</f>
        <v/>
      </c>
    </row>
    <row r="20127">
      <c r="A20127" t="n">
        <v>20126</v>
      </c>
      <c r="B20127" t="inlineStr">
        <is>
          <t>x̄x̄CXXVI</t>
        </is>
      </c>
      <c r="C20127">
        <f>ROMAN(20126)</f>
        <v/>
      </c>
      <c r="D20127">
        <f>IF(B20127=C20127, "YES", "WRONG")</f>
        <v/>
      </c>
    </row>
    <row r="20128">
      <c r="A20128" t="n">
        <v>20127</v>
      </c>
      <c r="B20128" t="inlineStr">
        <is>
          <t>x̄x̄CXXVII</t>
        </is>
      </c>
      <c r="C20128">
        <f>ROMAN(20127)</f>
        <v/>
      </c>
      <c r="D20128">
        <f>IF(B20128=C20128, "YES", "WRONG")</f>
        <v/>
      </c>
    </row>
    <row r="20129">
      <c r="A20129" t="n">
        <v>20128</v>
      </c>
      <c r="B20129" t="inlineStr">
        <is>
          <t>x̄x̄CXXVIII</t>
        </is>
      </c>
      <c r="C20129">
        <f>ROMAN(20128)</f>
        <v/>
      </c>
      <c r="D20129">
        <f>IF(B20129=C20129, "YES", "WRONG")</f>
        <v/>
      </c>
    </row>
    <row r="20130">
      <c r="A20130" t="n">
        <v>20129</v>
      </c>
      <c r="B20130" t="inlineStr">
        <is>
          <t>x̄x̄CXXIX</t>
        </is>
      </c>
      <c r="C20130">
        <f>ROMAN(20129)</f>
        <v/>
      </c>
      <c r="D20130">
        <f>IF(B20130=C20130, "YES", "WRONG")</f>
        <v/>
      </c>
    </row>
    <row r="20131">
      <c r="A20131" t="n">
        <v>20130</v>
      </c>
      <c r="B20131" t="inlineStr">
        <is>
          <t>x̄x̄CXXX</t>
        </is>
      </c>
      <c r="C20131">
        <f>ROMAN(20130)</f>
        <v/>
      </c>
      <c r="D20131">
        <f>IF(B20131=C20131, "YES", "WRONG")</f>
        <v/>
      </c>
    </row>
    <row r="20132">
      <c r="A20132" t="n">
        <v>20131</v>
      </c>
      <c r="B20132" t="inlineStr">
        <is>
          <t>x̄x̄CXXXI</t>
        </is>
      </c>
      <c r="C20132">
        <f>ROMAN(20131)</f>
        <v/>
      </c>
      <c r="D20132">
        <f>IF(B20132=C20132, "YES", "WRONG")</f>
        <v/>
      </c>
    </row>
    <row r="20133">
      <c r="A20133" t="n">
        <v>20132</v>
      </c>
      <c r="B20133" t="inlineStr">
        <is>
          <t>x̄x̄CXXXII</t>
        </is>
      </c>
      <c r="C20133">
        <f>ROMAN(20132)</f>
        <v/>
      </c>
      <c r="D20133">
        <f>IF(B20133=C20133, "YES", "WRONG")</f>
        <v/>
      </c>
    </row>
    <row r="20134">
      <c r="A20134" t="n">
        <v>20133</v>
      </c>
      <c r="B20134" t="inlineStr">
        <is>
          <t>x̄x̄CXXXIII</t>
        </is>
      </c>
      <c r="C20134">
        <f>ROMAN(20133)</f>
        <v/>
      </c>
      <c r="D20134">
        <f>IF(B20134=C20134, "YES", "WRONG")</f>
        <v/>
      </c>
    </row>
    <row r="20135">
      <c r="A20135" t="n">
        <v>20134</v>
      </c>
      <c r="B20135" t="inlineStr">
        <is>
          <t>x̄x̄CXXXIV</t>
        </is>
      </c>
      <c r="C20135">
        <f>ROMAN(20134)</f>
        <v/>
      </c>
      <c r="D20135">
        <f>IF(B20135=C20135, "YES", "WRONG")</f>
        <v/>
      </c>
    </row>
    <row r="20136">
      <c r="A20136" t="n">
        <v>20135</v>
      </c>
      <c r="B20136" t="inlineStr">
        <is>
          <t>x̄x̄CXXXV</t>
        </is>
      </c>
      <c r="C20136">
        <f>ROMAN(20135)</f>
        <v/>
      </c>
      <c r="D20136">
        <f>IF(B20136=C20136, "YES", "WRONG")</f>
        <v/>
      </c>
    </row>
    <row r="20137">
      <c r="A20137" t="n">
        <v>20136</v>
      </c>
      <c r="B20137" t="inlineStr">
        <is>
          <t>x̄x̄CXXXVI</t>
        </is>
      </c>
      <c r="C20137">
        <f>ROMAN(20136)</f>
        <v/>
      </c>
      <c r="D20137">
        <f>IF(B20137=C20137, "YES", "WRONG")</f>
        <v/>
      </c>
    </row>
    <row r="20138">
      <c r="A20138" t="n">
        <v>20137</v>
      </c>
      <c r="B20138" t="inlineStr">
        <is>
          <t>x̄x̄CXXXVII</t>
        </is>
      </c>
      <c r="C20138">
        <f>ROMAN(20137)</f>
        <v/>
      </c>
      <c r="D20138">
        <f>IF(B20138=C20138, "YES", "WRONG")</f>
        <v/>
      </c>
    </row>
    <row r="20139">
      <c r="A20139" t="n">
        <v>20138</v>
      </c>
      <c r="B20139" t="inlineStr">
        <is>
          <t>x̄x̄CXXXVIII</t>
        </is>
      </c>
      <c r="C20139">
        <f>ROMAN(20138)</f>
        <v/>
      </c>
      <c r="D20139">
        <f>IF(B20139=C20139, "YES", "WRONG")</f>
        <v/>
      </c>
    </row>
    <row r="20140">
      <c r="A20140" t="n">
        <v>20139</v>
      </c>
      <c r="B20140" t="inlineStr">
        <is>
          <t>x̄x̄CXXXIX</t>
        </is>
      </c>
      <c r="C20140">
        <f>ROMAN(20139)</f>
        <v/>
      </c>
      <c r="D20140">
        <f>IF(B20140=C20140, "YES", "WRONG")</f>
        <v/>
      </c>
    </row>
    <row r="20141">
      <c r="A20141" t="n">
        <v>20140</v>
      </c>
      <c r="B20141" t="inlineStr">
        <is>
          <t>x̄x̄CXL</t>
        </is>
      </c>
      <c r="C20141">
        <f>ROMAN(20140)</f>
        <v/>
      </c>
      <c r="D20141">
        <f>IF(B20141=C20141, "YES", "WRONG")</f>
        <v/>
      </c>
    </row>
    <row r="20142">
      <c r="A20142" t="n">
        <v>20141</v>
      </c>
      <c r="B20142" t="inlineStr">
        <is>
          <t>x̄x̄CXLI</t>
        </is>
      </c>
      <c r="C20142">
        <f>ROMAN(20141)</f>
        <v/>
      </c>
      <c r="D20142">
        <f>IF(B20142=C20142, "YES", "WRONG")</f>
        <v/>
      </c>
    </row>
    <row r="20143">
      <c r="A20143" t="n">
        <v>20142</v>
      </c>
      <c r="B20143" t="inlineStr">
        <is>
          <t>x̄x̄CXLII</t>
        </is>
      </c>
      <c r="C20143">
        <f>ROMAN(20142)</f>
        <v/>
      </c>
      <c r="D20143">
        <f>IF(B20143=C20143, "YES", "WRONG")</f>
        <v/>
      </c>
    </row>
    <row r="20144">
      <c r="A20144" t="n">
        <v>20143</v>
      </c>
      <c r="B20144" t="inlineStr">
        <is>
          <t>x̄x̄CXLIII</t>
        </is>
      </c>
      <c r="C20144">
        <f>ROMAN(20143)</f>
        <v/>
      </c>
      <c r="D20144">
        <f>IF(B20144=C20144, "YES", "WRONG")</f>
        <v/>
      </c>
    </row>
    <row r="20145">
      <c r="A20145" t="n">
        <v>20144</v>
      </c>
      <c r="B20145" t="inlineStr">
        <is>
          <t>x̄x̄CXLIV</t>
        </is>
      </c>
      <c r="C20145">
        <f>ROMAN(20144)</f>
        <v/>
      </c>
      <c r="D20145">
        <f>IF(B20145=C20145, "YES", "WRONG")</f>
        <v/>
      </c>
    </row>
    <row r="20146">
      <c r="A20146" t="n">
        <v>20145</v>
      </c>
      <c r="B20146" t="inlineStr">
        <is>
          <t>x̄x̄CXLV</t>
        </is>
      </c>
      <c r="C20146">
        <f>ROMAN(20145)</f>
        <v/>
      </c>
      <c r="D20146">
        <f>IF(B20146=C20146, "YES", "WRONG")</f>
        <v/>
      </c>
    </row>
    <row r="20147">
      <c r="A20147" t="n">
        <v>20146</v>
      </c>
      <c r="B20147" t="inlineStr">
        <is>
          <t>x̄x̄CXLVI</t>
        </is>
      </c>
      <c r="C20147">
        <f>ROMAN(20146)</f>
        <v/>
      </c>
      <c r="D20147">
        <f>IF(B20147=C20147, "YES", "WRONG")</f>
        <v/>
      </c>
    </row>
    <row r="20148">
      <c r="A20148" t="n">
        <v>20147</v>
      </c>
      <c r="B20148" t="inlineStr">
        <is>
          <t>x̄x̄CXLVII</t>
        </is>
      </c>
      <c r="C20148">
        <f>ROMAN(20147)</f>
        <v/>
      </c>
      <c r="D20148">
        <f>IF(B20148=C20148, "YES", "WRONG")</f>
        <v/>
      </c>
    </row>
    <row r="20149">
      <c r="A20149" t="n">
        <v>20148</v>
      </c>
      <c r="B20149" t="inlineStr">
        <is>
          <t>x̄x̄CXLVIII</t>
        </is>
      </c>
      <c r="C20149">
        <f>ROMAN(20148)</f>
        <v/>
      </c>
      <c r="D20149">
        <f>IF(B20149=C20149, "YES", "WRONG")</f>
        <v/>
      </c>
    </row>
    <row r="20150">
      <c r="A20150" t="n">
        <v>20149</v>
      </c>
      <c r="B20150" t="inlineStr">
        <is>
          <t>x̄x̄CXLIX</t>
        </is>
      </c>
      <c r="C20150">
        <f>ROMAN(20149)</f>
        <v/>
      </c>
      <c r="D20150">
        <f>IF(B20150=C20150, "YES", "WRONG")</f>
        <v/>
      </c>
    </row>
    <row r="20151">
      <c r="A20151" t="n">
        <v>20150</v>
      </c>
      <c r="B20151" t="inlineStr">
        <is>
          <t>x̄x̄CL</t>
        </is>
      </c>
      <c r="C20151">
        <f>ROMAN(20150)</f>
        <v/>
      </c>
      <c r="D20151">
        <f>IF(B20151=C20151, "YES", "WRONG")</f>
        <v/>
      </c>
    </row>
    <row r="20152">
      <c r="A20152" t="n">
        <v>20151</v>
      </c>
      <c r="B20152" t="inlineStr">
        <is>
          <t>x̄x̄CLI</t>
        </is>
      </c>
      <c r="C20152">
        <f>ROMAN(20151)</f>
        <v/>
      </c>
      <c r="D20152">
        <f>IF(B20152=C20152, "YES", "WRONG")</f>
        <v/>
      </c>
    </row>
    <row r="20153">
      <c r="A20153" t="n">
        <v>20152</v>
      </c>
      <c r="B20153" t="inlineStr">
        <is>
          <t>x̄x̄CLII</t>
        </is>
      </c>
      <c r="C20153">
        <f>ROMAN(20152)</f>
        <v/>
      </c>
      <c r="D20153">
        <f>IF(B20153=C20153, "YES", "WRONG")</f>
        <v/>
      </c>
    </row>
    <row r="20154">
      <c r="A20154" t="n">
        <v>20153</v>
      </c>
      <c r="B20154" t="inlineStr">
        <is>
          <t>x̄x̄CLIII</t>
        </is>
      </c>
      <c r="C20154">
        <f>ROMAN(20153)</f>
        <v/>
      </c>
      <c r="D20154">
        <f>IF(B20154=C20154, "YES", "WRONG")</f>
        <v/>
      </c>
    </row>
    <row r="20155">
      <c r="A20155" t="n">
        <v>20154</v>
      </c>
      <c r="B20155" t="inlineStr">
        <is>
          <t>x̄x̄CLIV</t>
        </is>
      </c>
      <c r="C20155">
        <f>ROMAN(20154)</f>
        <v/>
      </c>
      <c r="D20155">
        <f>IF(B20155=C20155, "YES", "WRONG")</f>
        <v/>
      </c>
    </row>
    <row r="20156">
      <c r="A20156" t="n">
        <v>20155</v>
      </c>
      <c r="B20156" t="inlineStr">
        <is>
          <t>x̄x̄CLV</t>
        </is>
      </c>
      <c r="C20156">
        <f>ROMAN(20155)</f>
        <v/>
      </c>
      <c r="D20156">
        <f>IF(B20156=C20156, "YES", "WRONG")</f>
        <v/>
      </c>
    </row>
    <row r="20157">
      <c r="A20157" t="n">
        <v>20156</v>
      </c>
      <c r="B20157" t="inlineStr">
        <is>
          <t>x̄x̄CLVI</t>
        </is>
      </c>
      <c r="C20157">
        <f>ROMAN(20156)</f>
        <v/>
      </c>
      <c r="D20157">
        <f>IF(B20157=C20157, "YES", "WRONG")</f>
        <v/>
      </c>
    </row>
    <row r="20158">
      <c r="A20158" t="n">
        <v>20157</v>
      </c>
      <c r="B20158" t="inlineStr">
        <is>
          <t>x̄x̄CLVII</t>
        </is>
      </c>
      <c r="C20158">
        <f>ROMAN(20157)</f>
        <v/>
      </c>
      <c r="D20158">
        <f>IF(B20158=C20158, "YES", "WRONG")</f>
        <v/>
      </c>
    </row>
    <row r="20159">
      <c r="A20159" t="n">
        <v>20158</v>
      </c>
      <c r="B20159" t="inlineStr">
        <is>
          <t>x̄x̄CLVIII</t>
        </is>
      </c>
      <c r="C20159">
        <f>ROMAN(20158)</f>
        <v/>
      </c>
      <c r="D20159">
        <f>IF(B20159=C20159, "YES", "WRONG")</f>
        <v/>
      </c>
    </row>
    <row r="20160">
      <c r="A20160" t="n">
        <v>20159</v>
      </c>
      <c r="B20160" t="inlineStr">
        <is>
          <t>x̄x̄CLIX</t>
        </is>
      </c>
      <c r="C20160">
        <f>ROMAN(20159)</f>
        <v/>
      </c>
      <c r="D20160">
        <f>IF(B20160=C20160, "YES", "WRONG")</f>
        <v/>
      </c>
    </row>
    <row r="20161">
      <c r="A20161" t="n">
        <v>20160</v>
      </c>
      <c r="B20161" t="inlineStr">
        <is>
          <t>x̄x̄CLX</t>
        </is>
      </c>
      <c r="C20161">
        <f>ROMAN(20160)</f>
        <v/>
      </c>
      <c r="D20161">
        <f>IF(B20161=C20161, "YES", "WRONG")</f>
        <v/>
      </c>
    </row>
    <row r="20162">
      <c r="A20162" t="n">
        <v>20161</v>
      </c>
      <c r="B20162" t="inlineStr">
        <is>
          <t>x̄x̄CLXI</t>
        </is>
      </c>
      <c r="C20162">
        <f>ROMAN(20161)</f>
        <v/>
      </c>
      <c r="D20162">
        <f>IF(B20162=C20162, "YES", "WRONG")</f>
        <v/>
      </c>
    </row>
    <row r="20163">
      <c r="A20163" t="n">
        <v>20162</v>
      </c>
      <c r="B20163" t="inlineStr">
        <is>
          <t>x̄x̄CLXII</t>
        </is>
      </c>
      <c r="C20163">
        <f>ROMAN(20162)</f>
        <v/>
      </c>
      <c r="D20163">
        <f>IF(B20163=C20163, "YES", "WRONG")</f>
        <v/>
      </c>
    </row>
    <row r="20164">
      <c r="A20164" t="n">
        <v>20163</v>
      </c>
      <c r="B20164" t="inlineStr">
        <is>
          <t>x̄x̄CLXIII</t>
        </is>
      </c>
      <c r="C20164">
        <f>ROMAN(20163)</f>
        <v/>
      </c>
      <c r="D20164">
        <f>IF(B20164=C20164, "YES", "WRONG")</f>
        <v/>
      </c>
    </row>
    <row r="20165">
      <c r="A20165" t="n">
        <v>20164</v>
      </c>
      <c r="B20165" t="inlineStr">
        <is>
          <t>x̄x̄CLXIV</t>
        </is>
      </c>
      <c r="C20165">
        <f>ROMAN(20164)</f>
        <v/>
      </c>
      <c r="D20165">
        <f>IF(B20165=C20165, "YES", "WRONG")</f>
        <v/>
      </c>
    </row>
    <row r="20166">
      <c r="A20166" t="n">
        <v>20165</v>
      </c>
      <c r="B20166" t="inlineStr">
        <is>
          <t>x̄x̄CLXV</t>
        </is>
      </c>
      <c r="C20166">
        <f>ROMAN(20165)</f>
        <v/>
      </c>
      <c r="D20166">
        <f>IF(B20166=C20166, "YES", "WRONG")</f>
        <v/>
      </c>
    </row>
    <row r="20167">
      <c r="A20167" t="n">
        <v>20166</v>
      </c>
      <c r="B20167" t="inlineStr">
        <is>
          <t>x̄x̄CLXVI</t>
        </is>
      </c>
      <c r="C20167">
        <f>ROMAN(20166)</f>
        <v/>
      </c>
      <c r="D20167">
        <f>IF(B20167=C20167, "YES", "WRONG")</f>
        <v/>
      </c>
    </row>
    <row r="20168">
      <c r="A20168" t="n">
        <v>20167</v>
      </c>
      <c r="B20168" t="inlineStr">
        <is>
          <t>x̄x̄CLXVII</t>
        </is>
      </c>
      <c r="C20168">
        <f>ROMAN(20167)</f>
        <v/>
      </c>
      <c r="D20168">
        <f>IF(B20168=C20168, "YES", "WRONG")</f>
        <v/>
      </c>
    </row>
    <row r="20169">
      <c r="A20169" t="n">
        <v>20168</v>
      </c>
      <c r="B20169" t="inlineStr">
        <is>
          <t>x̄x̄CLXVIII</t>
        </is>
      </c>
      <c r="C20169">
        <f>ROMAN(20168)</f>
        <v/>
      </c>
      <c r="D20169">
        <f>IF(B20169=C20169, "YES", "WRONG")</f>
        <v/>
      </c>
    </row>
    <row r="20170">
      <c r="A20170" t="n">
        <v>20169</v>
      </c>
      <c r="B20170" t="inlineStr">
        <is>
          <t>x̄x̄CLXIX</t>
        </is>
      </c>
      <c r="C20170">
        <f>ROMAN(20169)</f>
        <v/>
      </c>
      <c r="D20170">
        <f>IF(B20170=C20170, "YES", "WRONG")</f>
        <v/>
      </c>
    </row>
    <row r="20171">
      <c r="A20171" t="n">
        <v>20170</v>
      </c>
      <c r="B20171" t="inlineStr">
        <is>
          <t>x̄x̄CLXX</t>
        </is>
      </c>
      <c r="C20171">
        <f>ROMAN(20170)</f>
        <v/>
      </c>
      <c r="D20171">
        <f>IF(B20171=C20171, "YES", "WRONG")</f>
        <v/>
      </c>
    </row>
    <row r="20172">
      <c r="A20172" t="n">
        <v>20171</v>
      </c>
      <c r="B20172" t="inlineStr">
        <is>
          <t>x̄x̄CLXXI</t>
        </is>
      </c>
      <c r="C20172">
        <f>ROMAN(20171)</f>
        <v/>
      </c>
      <c r="D20172">
        <f>IF(B20172=C20172, "YES", "WRONG")</f>
        <v/>
      </c>
    </row>
    <row r="20173">
      <c r="A20173" t="n">
        <v>20172</v>
      </c>
      <c r="B20173" t="inlineStr">
        <is>
          <t>x̄x̄CLXXII</t>
        </is>
      </c>
      <c r="C20173">
        <f>ROMAN(20172)</f>
        <v/>
      </c>
      <c r="D20173">
        <f>IF(B20173=C20173, "YES", "WRONG")</f>
        <v/>
      </c>
    </row>
    <row r="20174">
      <c r="A20174" t="n">
        <v>20173</v>
      </c>
      <c r="B20174" t="inlineStr">
        <is>
          <t>x̄x̄CLXXIII</t>
        </is>
      </c>
      <c r="C20174">
        <f>ROMAN(20173)</f>
        <v/>
      </c>
      <c r="D20174">
        <f>IF(B20174=C20174, "YES", "WRONG")</f>
        <v/>
      </c>
    </row>
    <row r="20175">
      <c r="A20175" t="n">
        <v>20174</v>
      </c>
      <c r="B20175" t="inlineStr">
        <is>
          <t>x̄x̄CLXXIV</t>
        </is>
      </c>
      <c r="C20175">
        <f>ROMAN(20174)</f>
        <v/>
      </c>
      <c r="D20175">
        <f>IF(B20175=C20175, "YES", "WRONG")</f>
        <v/>
      </c>
    </row>
    <row r="20176">
      <c r="A20176" t="n">
        <v>20175</v>
      </c>
      <c r="B20176" t="inlineStr">
        <is>
          <t>x̄x̄CLXXV</t>
        </is>
      </c>
      <c r="C20176">
        <f>ROMAN(20175)</f>
        <v/>
      </c>
      <c r="D20176">
        <f>IF(B20176=C20176, "YES", "WRONG")</f>
        <v/>
      </c>
    </row>
    <row r="20177">
      <c r="A20177" t="n">
        <v>20176</v>
      </c>
      <c r="B20177" t="inlineStr">
        <is>
          <t>x̄x̄CLXXVI</t>
        </is>
      </c>
      <c r="C20177">
        <f>ROMAN(20176)</f>
        <v/>
      </c>
      <c r="D20177">
        <f>IF(B20177=C20177, "YES", "WRONG")</f>
        <v/>
      </c>
    </row>
    <row r="20178">
      <c r="A20178" t="n">
        <v>20177</v>
      </c>
      <c r="B20178" t="inlineStr">
        <is>
          <t>x̄x̄CLXXVII</t>
        </is>
      </c>
      <c r="C20178">
        <f>ROMAN(20177)</f>
        <v/>
      </c>
      <c r="D20178">
        <f>IF(B20178=C20178, "YES", "WRONG")</f>
        <v/>
      </c>
    </row>
    <row r="20179">
      <c r="A20179" t="n">
        <v>20178</v>
      </c>
      <c r="B20179" t="inlineStr">
        <is>
          <t>x̄x̄CLXXVIII</t>
        </is>
      </c>
      <c r="C20179">
        <f>ROMAN(20178)</f>
        <v/>
      </c>
      <c r="D20179">
        <f>IF(B20179=C20179, "YES", "WRONG")</f>
        <v/>
      </c>
    </row>
    <row r="20180">
      <c r="A20180" t="n">
        <v>20179</v>
      </c>
      <c r="B20180" t="inlineStr">
        <is>
          <t>x̄x̄CLXXIX</t>
        </is>
      </c>
      <c r="C20180">
        <f>ROMAN(20179)</f>
        <v/>
      </c>
      <c r="D20180">
        <f>IF(B20180=C20180, "YES", "WRONG")</f>
        <v/>
      </c>
    </row>
    <row r="20181">
      <c r="A20181" t="n">
        <v>20180</v>
      </c>
      <c r="B20181" t="inlineStr">
        <is>
          <t>x̄x̄CLXXX</t>
        </is>
      </c>
      <c r="C20181">
        <f>ROMAN(20180)</f>
        <v/>
      </c>
      <c r="D20181">
        <f>IF(B20181=C20181, "YES", "WRONG")</f>
        <v/>
      </c>
    </row>
    <row r="20182">
      <c r="A20182" t="n">
        <v>20181</v>
      </c>
      <c r="B20182" t="inlineStr">
        <is>
          <t>x̄x̄CLXXXI</t>
        </is>
      </c>
      <c r="C20182">
        <f>ROMAN(20181)</f>
        <v/>
      </c>
      <c r="D20182">
        <f>IF(B20182=C20182, "YES", "WRONG")</f>
        <v/>
      </c>
    </row>
    <row r="20183">
      <c r="A20183" t="n">
        <v>20182</v>
      </c>
      <c r="B20183" t="inlineStr">
        <is>
          <t>x̄x̄CLXXXII</t>
        </is>
      </c>
      <c r="C20183">
        <f>ROMAN(20182)</f>
        <v/>
      </c>
      <c r="D20183">
        <f>IF(B20183=C20183, "YES", "WRONG")</f>
        <v/>
      </c>
    </row>
    <row r="20184">
      <c r="A20184" t="n">
        <v>20183</v>
      </c>
      <c r="B20184" t="inlineStr">
        <is>
          <t>x̄x̄CLXXXIII</t>
        </is>
      </c>
      <c r="C20184">
        <f>ROMAN(20183)</f>
        <v/>
      </c>
      <c r="D20184">
        <f>IF(B20184=C20184, "YES", "WRONG")</f>
        <v/>
      </c>
    </row>
    <row r="20185">
      <c r="A20185" t="n">
        <v>20184</v>
      </c>
      <c r="B20185" t="inlineStr">
        <is>
          <t>x̄x̄CLXXXIV</t>
        </is>
      </c>
      <c r="C20185">
        <f>ROMAN(20184)</f>
        <v/>
      </c>
      <c r="D20185">
        <f>IF(B20185=C20185, "YES", "WRONG")</f>
        <v/>
      </c>
    </row>
    <row r="20186">
      <c r="A20186" t="n">
        <v>20185</v>
      </c>
      <c r="B20186" t="inlineStr">
        <is>
          <t>x̄x̄CLXXXV</t>
        </is>
      </c>
      <c r="C20186">
        <f>ROMAN(20185)</f>
        <v/>
      </c>
      <c r="D20186">
        <f>IF(B20186=C20186, "YES", "WRONG")</f>
        <v/>
      </c>
    </row>
    <row r="20187">
      <c r="A20187" t="n">
        <v>20186</v>
      </c>
      <c r="B20187" t="inlineStr">
        <is>
          <t>x̄x̄CLXXXVI</t>
        </is>
      </c>
      <c r="C20187">
        <f>ROMAN(20186)</f>
        <v/>
      </c>
      <c r="D20187">
        <f>IF(B20187=C20187, "YES", "WRONG")</f>
        <v/>
      </c>
    </row>
    <row r="20188">
      <c r="A20188" t="n">
        <v>20187</v>
      </c>
      <c r="B20188" t="inlineStr">
        <is>
          <t>x̄x̄CLXXXVII</t>
        </is>
      </c>
      <c r="C20188">
        <f>ROMAN(20187)</f>
        <v/>
      </c>
      <c r="D20188">
        <f>IF(B20188=C20188, "YES", "WRONG")</f>
        <v/>
      </c>
    </row>
    <row r="20189">
      <c r="A20189" t="n">
        <v>20188</v>
      </c>
      <c r="B20189" t="inlineStr">
        <is>
          <t>x̄x̄CLXXXVIII</t>
        </is>
      </c>
      <c r="C20189">
        <f>ROMAN(20188)</f>
        <v/>
      </c>
      <c r="D20189">
        <f>IF(B20189=C20189, "YES", "WRONG")</f>
        <v/>
      </c>
    </row>
    <row r="20190">
      <c r="A20190" t="n">
        <v>20189</v>
      </c>
      <c r="B20190" t="inlineStr">
        <is>
          <t>x̄x̄CLXXXIX</t>
        </is>
      </c>
      <c r="C20190">
        <f>ROMAN(20189)</f>
        <v/>
      </c>
      <c r="D20190">
        <f>IF(B20190=C20190, "YES", "WRONG")</f>
        <v/>
      </c>
    </row>
    <row r="20191">
      <c r="A20191" t="n">
        <v>20190</v>
      </c>
      <c r="B20191" t="inlineStr">
        <is>
          <t>x̄x̄CXC</t>
        </is>
      </c>
      <c r="C20191">
        <f>ROMAN(20190)</f>
        <v/>
      </c>
      <c r="D20191">
        <f>IF(B20191=C20191, "YES", "WRONG")</f>
        <v/>
      </c>
    </row>
    <row r="20192">
      <c r="A20192" t="n">
        <v>20191</v>
      </c>
      <c r="B20192" t="inlineStr">
        <is>
          <t>x̄x̄CXCI</t>
        </is>
      </c>
      <c r="C20192">
        <f>ROMAN(20191)</f>
        <v/>
      </c>
      <c r="D20192">
        <f>IF(B20192=C20192, "YES", "WRONG")</f>
        <v/>
      </c>
    </row>
    <row r="20193">
      <c r="A20193" t="n">
        <v>20192</v>
      </c>
      <c r="B20193" t="inlineStr">
        <is>
          <t>x̄x̄CXCII</t>
        </is>
      </c>
      <c r="C20193">
        <f>ROMAN(20192)</f>
        <v/>
      </c>
      <c r="D20193">
        <f>IF(B20193=C20193, "YES", "WRONG")</f>
        <v/>
      </c>
    </row>
    <row r="20194">
      <c r="A20194" t="n">
        <v>20193</v>
      </c>
      <c r="B20194" t="inlineStr">
        <is>
          <t>x̄x̄CXCIII</t>
        </is>
      </c>
      <c r="C20194">
        <f>ROMAN(20193)</f>
        <v/>
      </c>
      <c r="D20194">
        <f>IF(B20194=C20194, "YES", "WRONG")</f>
        <v/>
      </c>
    </row>
    <row r="20195">
      <c r="A20195" t="n">
        <v>20194</v>
      </c>
      <c r="B20195" t="inlineStr">
        <is>
          <t>x̄x̄CXCIV</t>
        </is>
      </c>
      <c r="C20195">
        <f>ROMAN(20194)</f>
        <v/>
      </c>
      <c r="D20195">
        <f>IF(B20195=C20195, "YES", "WRONG")</f>
        <v/>
      </c>
    </row>
    <row r="20196">
      <c r="A20196" t="n">
        <v>20195</v>
      </c>
      <c r="B20196" t="inlineStr">
        <is>
          <t>x̄x̄CXCV</t>
        </is>
      </c>
      <c r="C20196">
        <f>ROMAN(20195)</f>
        <v/>
      </c>
      <c r="D20196">
        <f>IF(B20196=C20196, "YES", "WRONG")</f>
        <v/>
      </c>
    </row>
    <row r="20197">
      <c r="A20197" t="n">
        <v>20196</v>
      </c>
      <c r="B20197" t="inlineStr">
        <is>
          <t>x̄x̄CXCVI</t>
        </is>
      </c>
      <c r="C20197">
        <f>ROMAN(20196)</f>
        <v/>
      </c>
      <c r="D20197">
        <f>IF(B20197=C20197, "YES", "WRONG")</f>
        <v/>
      </c>
    </row>
    <row r="20198">
      <c r="A20198" t="n">
        <v>20197</v>
      </c>
      <c r="B20198" t="inlineStr">
        <is>
          <t>x̄x̄CXCVII</t>
        </is>
      </c>
      <c r="C20198">
        <f>ROMAN(20197)</f>
        <v/>
      </c>
      <c r="D20198">
        <f>IF(B20198=C20198, "YES", "WRONG")</f>
        <v/>
      </c>
    </row>
    <row r="20199">
      <c r="A20199" t="n">
        <v>20198</v>
      </c>
      <c r="B20199" t="inlineStr">
        <is>
          <t>x̄x̄CXCVIII</t>
        </is>
      </c>
      <c r="C20199">
        <f>ROMAN(20198)</f>
        <v/>
      </c>
      <c r="D20199">
        <f>IF(B20199=C20199, "YES", "WRONG")</f>
        <v/>
      </c>
    </row>
    <row r="20200">
      <c r="A20200" t="n">
        <v>20199</v>
      </c>
      <c r="B20200" t="inlineStr">
        <is>
          <t>x̄x̄CXCIX</t>
        </is>
      </c>
      <c r="C20200">
        <f>ROMAN(20199)</f>
        <v/>
      </c>
      <c r="D20200">
        <f>IF(B20200=C20200, "YES", "WRONG")</f>
        <v/>
      </c>
    </row>
    <row r="20201">
      <c r="A20201" t="n">
        <v>20200</v>
      </c>
      <c r="B20201" t="inlineStr">
        <is>
          <t>x̄x̄CC</t>
        </is>
      </c>
      <c r="C20201">
        <f>ROMAN(20200)</f>
        <v/>
      </c>
      <c r="D20201">
        <f>IF(B20201=C20201, "YES", "WRONG")</f>
        <v/>
      </c>
    </row>
    <row r="20202">
      <c r="A20202" t="n">
        <v>20201</v>
      </c>
      <c r="B20202" t="inlineStr">
        <is>
          <t>x̄x̄CCI</t>
        </is>
      </c>
      <c r="C20202">
        <f>ROMAN(20201)</f>
        <v/>
      </c>
      <c r="D20202">
        <f>IF(B20202=C20202, "YES", "WRONG")</f>
        <v/>
      </c>
    </row>
    <row r="20203">
      <c r="A20203" t="n">
        <v>20202</v>
      </c>
      <c r="B20203" t="inlineStr">
        <is>
          <t>x̄x̄CCII</t>
        </is>
      </c>
      <c r="C20203">
        <f>ROMAN(20202)</f>
        <v/>
      </c>
      <c r="D20203">
        <f>IF(B20203=C20203, "YES", "WRONG")</f>
        <v/>
      </c>
    </row>
    <row r="20204">
      <c r="A20204" t="n">
        <v>20203</v>
      </c>
      <c r="B20204" t="inlineStr">
        <is>
          <t>x̄x̄CCIII</t>
        </is>
      </c>
      <c r="C20204">
        <f>ROMAN(20203)</f>
        <v/>
      </c>
      <c r="D20204">
        <f>IF(B20204=C20204, "YES", "WRONG")</f>
        <v/>
      </c>
    </row>
    <row r="20205">
      <c r="A20205" t="n">
        <v>20204</v>
      </c>
      <c r="B20205" t="inlineStr">
        <is>
          <t>x̄x̄CCIV</t>
        </is>
      </c>
      <c r="C20205">
        <f>ROMAN(20204)</f>
        <v/>
      </c>
      <c r="D20205">
        <f>IF(B20205=C20205, "YES", "WRONG")</f>
        <v/>
      </c>
    </row>
    <row r="20206">
      <c r="A20206" t="n">
        <v>20205</v>
      </c>
      <c r="B20206" t="inlineStr">
        <is>
          <t>x̄x̄CCV</t>
        </is>
      </c>
      <c r="C20206">
        <f>ROMAN(20205)</f>
        <v/>
      </c>
      <c r="D20206">
        <f>IF(B20206=C20206, "YES", "WRONG")</f>
        <v/>
      </c>
    </row>
    <row r="20207">
      <c r="A20207" t="n">
        <v>20206</v>
      </c>
      <c r="B20207" t="inlineStr">
        <is>
          <t>x̄x̄CCVI</t>
        </is>
      </c>
      <c r="C20207">
        <f>ROMAN(20206)</f>
        <v/>
      </c>
      <c r="D20207">
        <f>IF(B20207=C20207, "YES", "WRONG")</f>
        <v/>
      </c>
    </row>
    <row r="20208">
      <c r="A20208" t="n">
        <v>20207</v>
      </c>
      <c r="B20208" t="inlineStr">
        <is>
          <t>x̄x̄CCVII</t>
        </is>
      </c>
      <c r="C20208">
        <f>ROMAN(20207)</f>
        <v/>
      </c>
      <c r="D20208">
        <f>IF(B20208=C20208, "YES", "WRONG")</f>
        <v/>
      </c>
    </row>
    <row r="20209">
      <c r="A20209" t="n">
        <v>20208</v>
      </c>
      <c r="B20209" t="inlineStr">
        <is>
          <t>x̄x̄CCVIII</t>
        </is>
      </c>
      <c r="C20209">
        <f>ROMAN(20208)</f>
        <v/>
      </c>
      <c r="D20209">
        <f>IF(B20209=C20209, "YES", "WRONG")</f>
        <v/>
      </c>
    </row>
    <row r="20210">
      <c r="A20210" t="n">
        <v>20209</v>
      </c>
      <c r="B20210" t="inlineStr">
        <is>
          <t>x̄x̄CCIX</t>
        </is>
      </c>
      <c r="C20210">
        <f>ROMAN(20209)</f>
        <v/>
      </c>
      <c r="D20210">
        <f>IF(B20210=C20210, "YES", "WRONG")</f>
        <v/>
      </c>
    </row>
    <row r="20211">
      <c r="A20211" t="n">
        <v>20210</v>
      </c>
      <c r="B20211" t="inlineStr">
        <is>
          <t>x̄x̄CCX</t>
        </is>
      </c>
      <c r="C20211">
        <f>ROMAN(20210)</f>
        <v/>
      </c>
      <c r="D20211">
        <f>IF(B20211=C20211, "YES", "WRONG")</f>
        <v/>
      </c>
    </row>
    <row r="20212">
      <c r="A20212" t="n">
        <v>20211</v>
      </c>
      <c r="B20212" t="inlineStr">
        <is>
          <t>x̄x̄CCXI</t>
        </is>
      </c>
      <c r="C20212">
        <f>ROMAN(20211)</f>
        <v/>
      </c>
      <c r="D20212">
        <f>IF(B20212=C20212, "YES", "WRONG")</f>
        <v/>
      </c>
    </row>
    <row r="20213">
      <c r="A20213" t="n">
        <v>20212</v>
      </c>
      <c r="B20213" t="inlineStr">
        <is>
          <t>x̄x̄CCXII</t>
        </is>
      </c>
      <c r="C20213">
        <f>ROMAN(20212)</f>
        <v/>
      </c>
      <c r="D20213">
        <f>IF(B20213=C20213, "YES", "WRONG")</f>
        <v/>
      </c>
    </row>
    <row r="20214">
      <c r="A20214" t="n">
        <v>20213</v>
      </c>
      <c r="B20214" t="inlineStr">
        <is>
          <t>x̄x̄CCXIII</t>
        </is>
      </c>
      <c r="C20214">
        <f>ROMAN(20213)</f>
        <v/>
      </c>
      <c r="D20214">
        <f>IF(B20214=C20214, "YES", "WRONG")</f>
        <v/>
      </c>
    </row>
    <row r="20215">
      <c r="A20215" t="n">
        <v>20214</v>
      </c>
      <c r="B20215" t="inlineStr">
        <is>
          <t>x̄x̄CCXIV</t>
        </is>
      </c>
      <c r="C20215">
        <f>ROMAN(20214)</f>
        <v/>
      </c>
      <c r="D20215">
        <f>IF(B20215=C20215, "YES", "WRONG")</f>
        <v/>
      </c>
    </row>
    <row r="20216">
      <c r="A20216" t="n">
        <v>20215</v>
      </c>
      <c r="B20216" t="inlineStr">
        <is>
          <t>x̄x̄CCXV</t>
        </is>
      </c>
      <c r="C20216">
        <f>ROMAN(20215)</f>
        <v/>
      </c>
      <c r="D20216">
        <f>IF(B20216=C20216, "YES", "WRONG")</f>
        <v/>
      </c>
    </row>
    <row r="20217">
      <c r="A20217" t="n">
        <v>20216</v>
      </c>
      <c r="B20217" t="inlineStr">
        <is>
          <t>x̄x̄CCXVI</t>
        </is>
      </c>
      <c r="C20217">
        <f>ROMAN(20216)</f>
        <v/>
      </c>
      <c r="D20217">
        <f>IF(B20217=C20217, "YES", "WRONG")</f>
        <v/>
      </c>
    </row>
    <row r="20218">
      <c r="A20218" t="n">
        <v>20217</v>
      </c>
      <c r="B20218" t="inlineStr">
        <is>
          <t>x̄x̄CCXVII</t>
        </is>
      </c>
      <c r="C20218">
        <f>ROMAN(20217)</f>
        <v/>
      </c>
      <c r="D20218">
        <f>IF(B20218=C20218, "YES", "WRONG")</f>
        <v/>
      </c>
    </row>
    <row r="20219">
      <c r="A20219" t="n">
        <v>20218</v>
      </c>
      <c r="B20219" t="inlineStr">
        <is>
          <t>x̄x̄CCXVIII</t>
        </is>
      </c>
      <c r="C20219">
        <f>ROMAN(20218)</f>
        <v/>
      </c>
      <c r="D20219">
        <f>IF(B20219=C20219, "YES", "WRONG")</f>
        <v/>
      </c>
    </row>
    <row r="20220">
      <c r="A20220" t="n">
        <v>20219</v>
      </c>
      <c r="B20220" t="inlineStr">
        <is>
          <t>x̄x̄CCXIX</t>
        </is>
      </c>
      <c r="C20220">
        <f>ROMAN(20219)</f>
        <v/>
      </c>
      <c r="D20220">
        <f>IF(B20220=C20220, "YES", "WRONG")</f>
        <v/>
      </c>
    </row>
    <row r="20221">
      <c r="A20221" t="n">
        <v>20220</v>
      </c>
      <c r="B20221" t="inlineStr">
        <is>
          <t>x̄x̄CCXX</t>
        </is>
      </c>
      <c r="C20221">
        <f>ROMAN(20220)</f>
        <v/>
      </c>
      <c r="D20221">
        <f>IF(B20221=C20221, "YES", "WRONG")</f>
        <v/>
      </c>
    </row>
    <row r="20222">
      <c r="A20222" t="n">
        <v>20221</v>
      </c>
      <c r="B20222" t="inlineStr">
        <is>
          <t>x̄x̄CCXXI</t>
        </is>
      </c>
      <c r="C20222">
        <f>ROMAN(20221)</f>
        <v/>
      </c>
      <c r="D20222">
        <f>IF(B20222=C20222, "YES", "WRONG")</f>
        <v/>
      </c>
    </row>
    <row r="20223">
      <c r="A20223" t="n">
        <v>20222</v>
      </c>
      <c r="B20223" t="inlineStr">
        <is>
          <t>x̄x̄CCXXII</t>
        </is>
      </c>
      <c r="C20223">
        <f>ROMAN(20222)</f>
        <v/>
      </c>
      <c r="D20223">
        <f>IF(B20223=C20223, "YES", "WRONG")</f>
        <v/>
      </c>
    </row>
    <row r="20224">
      <c r="A20224" t="n">
        <v>20223</v>
      </c>
      <c r="B20224" t="inlineStr">
        <is>
          <t>x̄x̄CCXXIII</t>
        </is>
      </c>
      <c r="C20224">
        <f>ROMAN(20223)</f>
        <v/>
      </c>
      <c r="D20224">
        <f>IF(B20224=C20224, "YES", "WRONG")</f>
        <v/>
      </c>
    </row>
    <row r="20225">
      <c r="A20225" t="n">
        <v>20224</v>
      </c>
      <c r="B20225" t="inlineStr">
        <is>
          <t>x̄x̄CCXXIV</t>
        </is>
      </c>
      <c r="C20225">
        <f>ROMAN(20224)</f>
        <v/>
      </c>
      <c r="D20225">
        <f>IF(B20225=C20225, "YES", "WRONG")</f>
        <v/>
      </c>
    </row>
    <row r="20226">
      <c r="A20226" t="n">
        <v>20225</v>
      </c>
      <c r="B20226" t="inlineStr">
        <is>
          <t>x̄x̄CCXXV</t>
        </is>
      </c>
      <c r="C20226">
        <f>ROMAN(20225)</f>
        <v/>
      </c>
      <c r="D20226">
        <f>IF(B20226=C20226, "YES", "WRONG")</f>
        <v/>
      </c>
    </row>
    <row r="20227">
      <c r="A20227" t="n">
        <v>20226</v>
      </c>
      <c r="B20227" t="inlineStr">
        <is>
          <t>x̄x̄CCXXVI</t>
        </is>
      </c>
      <c r="C20227">
        <f>ROMAN(20226)</f>
        <v/>
      </c>
      <c r="D20227">
        <f>IF(B20227=C20227, "YES", "WRONG")</f>
        <v/>
      </c>
    </row>
    <row r="20228">
      <c r="A20228" t="n">
        <v>20227</v>
      </c>
      <c r="B20228" t="inlineStr">
        <is>
          <t>x̄x̄CCXXVII</t>
        </is>
      </c>
      <c r="C20228">
        <f>ROMAN(20227)</f>
        <v/>
      </c>
      <c r="D20228">
        <f>IF(B20228=C20228, "YES", "WRONG")</f>
        <v/>
      </c>
    </row>
    <row r="20229">
      <c r="A20229" t="n">
        <v>20228</v>
      </c>
      <c r="B20229" t="inlineStr">
        <is>
          <t>x̄x̄CCXXVIII</t>
        </is>
      </c>
      <c r="C20229">
        <f>ROMAN(20228)</f>
        <v/>
      </c>
      <c r="D20229">
        <f>IF(B20229=C20229, "YES", "WRONG")</f>
        <v/>
      </c>
    </row>
    <row r="20230">
      <c r="A20230" t="n">
        <v>20229</v>
      </c>
      <c r="B20230" t="inlineStr">
        <is>
          <t>x̄x̄CCXXIX</t>
        </is>
      </c>
      <c r="C20230">
        <f>ROMAN(20229)</f>
        <v/>
      </c>
      <c r="D20230">
        <f>IF(B20230=C20230, "YES", "WRONG")</f>
        <v/>
      </c>
    </row>
    <row r="20231">
      <c r="A20231" t="n">
        <v>20230</v>
      </c>
      <c r="B20231" t="inlineStr">
        <is>
          <t>x̄x̄CCXXX</t>
        </is>
      </c>
      <c r="C20231">
        <f>ROMAN(20230)</f>
        <v/>
      </c>
      <c r="D20231">
        <f>IF(B20231=C20231, "YES", "WRONG")</f>
        <v/>
      </c>
    </row>
    <row r="20232">
      <c r="A20232" t="n">
        <v>20231</v>
      </c>
      <c r="B20232" t="inlineStr">
        <is>
          <t>x̄x̄CCXXXI</t>
        </is>
      </c>
      <c r="C20232">
        <f>ROMAN(20231)</f>
        <v/>
      </c>
      <c r="D20232">
        <f>IF(B20232=C20232, "YES", "WRONG")</f>
        <v/>
      </c>
    </row>
    <row r="20233">
      <c r="A20233" t="n">
        <v>20232</v>
      </c>
      <c r="B20233" t="inlineStr">
        <is>
          <t>x̄x̄CCXXXII</t>
        </is>
      </c>
      <c r="C20233">
        <f>ROMAN(20232)</f>
        <v/>
      </c>
      <c r="D20233">
        <f>IF(B20233=C20233, "YES", "WRONG")</f>
        <v/>
      </c>
    </row>
    <row r="20234">
      <c r="A20234" t="n">
        <v>20233</v>
      </c>
      <c r="B20234" t="inlineStr">
        <is>
          <t>x̄x̄CCXXXIII</t>
        </is>
      </c>
      <c r="C20234">
        <f>ROMAN(20233)</f>
        <v/>
      </c>
      <c r="D20234">
        <f>IF(B20234=C20234, "YES", "WRONG")</f>
        <v/>
      </c>
    </row>
    <row r="20235">
      <c r="A20235" t="n">
        <v>20234</v>
      </c>
      <c r="B20235" t="inlineStr">
        <is>
          <t>x̄x̄CCXXXIV</t>
        </is>
      </c>
      <c r="C20235">
        <f>ROMAN(20234)</f>
        <v/>
      </c>
      <c r="D20235">
        <f>IF(B20235=C20235, "YES", "WRONG")</f>
        <v/>
      </c>
    </row>
    <row r="20236">
      <c r="A20236" t="n">
        <v>20235</v>
      </c>
      <c r="B20236" t="inlineStr">
        <is>
          <t>x̄x̄CCXXXV</t>
        </is>
      </c>
      <c r="C20236">
        <f>ROMAN(20235)</f>
        <v/>
      </c>
      <c r="D20236">
        <f>IF(B20236=C20236, "YES", "WRONG")</f>
        <v/>
      </c>
    </row>
    <row r="20237">
      <c r="A20237" t="n">
        <v>20236</v>
      </c>
      <c r="B20237" t="inlineStr">
        <is>
          <t>x̄x̄CCXXXVI</t>
        </is>
      </c>
      <c r="C20237">
        <f>ROMAN(20236)</f>
        <v/>
      </c>
      <c r="D20237">
        <f>IF(B20237=C20237, "YES", "WRONG")</f>
        <v/>
      </c>
    </row>
    <row r="20238">
      <c r="A20238" t="n">
        <v>20237</v>
      </c>
      <c r="B20238" t="inlineStr">
        <is>
          <t>x̄x̄CCXXXVII</t>
        </is>
      </c>
      <c r="C20238">
        <f>ROMAN(20237)</f>
        <v/>
      </c>
      <c r="D20238">
        <f>IF(B20238=C20238, "YES", "WRONG")</f>
        <v/>
      </c>
    </row>
    <row r="20239">
      <c r="A20239" t="n">
        <v>20238</v>
      </c>
      <c r="B20239" t="inlineStr">
        <is>
          <t>x̄x̄CCXXXVIII</t>
        </is>
      </c>
      <c r="C20239">
        <f>ROMAN(20238)</f>
        <v/>
      </c>
      <c r="D20239">
        <f>IF(B20239=C20239, "YES", "WRONG")</f>
        <v/>
      </c>
    </row>
    <row r="20240">
      <c r="A20240" t="n">
        <v>20239</v>
      </c>
      <c r="B20240" t="inlineStr">
        <is>
          <t>x̄x̄CCXXXIX</t>
        </is>
      </c>
      <c r="C20240">
        <f>ROMAN(20239)</f>
        <v/>
      </c>
      <c r="D20240">
        <f>IF(B20240=C20240, "YES", "WRONG")</f>
        <v/>
      </c>
    </row>
    <row r="20241">
      <c r="A20241" t="n">
        <v>20240</v>
      </c>
      <c r="B20241" t="inlineStr">
        <is>
          <t>x̄x̄CCXL</t>
        </is>
      </c>
      <c r="C20241">
        <f>ROMAN(20240)</f>
        <v/>
      </c>
      <c r="D20241">
        <f>IF(B20241=C20241, "YES", "WRONG")</f>
        <v/>
      </c>
    </row>
    <row r="20242">
      <c r="A20242" t="n">
        <v>20241</v>
      </c>
      <c r="B20242" t="inlineStr">
        <is>
          <t>x̄x̄CCXLI</t>
        </is>
      </c>
      <c r="C20242">
        <f>ROMAN(20241)</f>
        <v/>
      </c>
      <c r="D20242">
        <f>IF(B20242=C20242, "YES", "WRONG")</f>
        <v/>
      </c>
    </row>
    <row r="20243">
      <c r="A20243" t="n">
        <v>20242</v>
      </c>
      <c r="B20243" t="inlineStr">
        <is>
          <t>x̄x̄CCXLII</t>
        </is>
      </c>
      <c r="C20243">
        <f>ROMAN(20242)</f>
        <v/>
      </c>
      <c r="D20243">
        <f>IF(B20243=C20243, "YES", "WRONG")</f>
        <v/>
      </c>
    </row>
    <row r="20244">
      <c r="A20244" t="n">
        <v>20243</v>
      </c>
      <c r="B20244" t="inlineStr">
        <is>
          <t>x̄x̄CCXLIII</t>
        </is>
      </c>
      <c r="C20244">
        <f>ROMAN(20243)</f>
        <v/>
      </c>
      <c r="D20244">
        <f>IF(B20244=C20244, "YES", "WRONG")</f>
        <v/>
      </c>
    </row>
    <row r="20245">
      <c r="A20245" t="n">
        <v>20244</v>
      </c>
      <c r="B20245" t="inlineStr">
        <is>
          <t>x̄x̄CCXLIV</t>
        </is>
      </c>
      <c r="C20245">
        <f>ROMAN(20244)</f>
        <v/>
      </c>
      <c r="D20245">
        <f>IF(B20245=C20245, "YES", "WRONG")</f>
        <v/>
      </c>
    </row>
    <row r="20246">
      <c r="A20246" t="n">
        <v>20245</v>
      </c>
      <c r="B20246" t="inlineStr">
        <is>
          <t>x̄x̄CCXLV</t>
        </is>
      </c>
      <c r="C20246">
        <f>ROMAN(20245)</f>
        <v/>
      </c>
      <c r="D20246">
        <f>IF(B20246=C20246, "YES", "WRONG")</f>
        <v/>
      </c>
    </row>
    <row r="20247">
      <c r="A20247" t="n">
        <v>20246</v>
      </c>
      <c r="B20247" t="inlineStr">
        <is>
          <t>x̄x̄CCXLVI</t>
        </is>
      </c>
      <c r="C20247">
        <f>ROMAN(20246)</f>
        <v/>
      </c>
      <c r="D20247">
        <f>IF(B20247=C20247, "YES", "WRONG")</f>
        <v/>
      </c>
    </row>
    <row r="20248">
      <c r="A20248" t="n">
        <v>20247</v>
      </c>
      <c r="B20248" t="inlineStr">
        <is>
          <t>x̄x̄CCXLVII</t>
        </is>
      </c>
      <c r="C20248">
        <f>ROMAN(20247)</f>
        <v/>
      </c>
      <c r="D20248">
        <f>IF(B20248=C20248, "YES", "WRONG")</f>
        <v/>
      </c>
    </row>
    <row r="20249">
      <c r="A20249" t="n">
        <v>20248</v>
      </c>
      <c r="B20249" t="inlineStr">
        <is>
          <t>x̄x̄CCXLVIII</t>
        </is>
      </c>
      <c r="C20249">
        <f>ROMAN(20248)</f>
        <v/>
      </c>
      <c r="D20249">
        <f>IF(B20249=C20249, "YES", "WRONG")</f>
        <v/>
      </c>
    </row>
    <row r="20250">
      <c r="A20250" t="n">
        <v>20249</v>
      </c>
      <c r="B20250" t="inlineStr">
        <is>
          <t>x̄x̄CCXLIX</t>
        </is>
      </c>
      <c r="C20250">
        <f>ROMAN(20249)</f>
        <v/>
      </c>
      <c r="D20250">
        <f>IF(B20250=C20250, "YES", "WRONG")</f>
        <v/>
      </c>
    </row>
    <row r="20251">
      <c r="A20251" t="n">
        <v>20250</v>
      </c>
      <c r="B20251" t="inlineStr">
        <is>
          <t>x̄x̄CCL</t>
        </is>
      </c>
      <c r="C20251">
        <f>ROMAN(20250)</f>
        <v/>
      </c>
      <c r="D20251">
        <f>IF(B20251=C20251, "YES", "WRONG")</f>
        <v/>
      </c>
    </row>
    <row r="20252">
      <c r="A20252" t="n">
        <v>20251</v>
      </c>
      <c r="B20252" t="inlineStr">
        <is>
          <t>x̄x̄CCLI</t>
        </is>
      </c>
      <c r="C20252">
        <f>ROMAN(20251)</f>
        <v/>
      </c>
      <c r="D20252">
        <f>IF(B20252=C20252, "YES", "WRONG")</f>
        <v/>
      </c>
    </row>
    <row r="20253">
      <c r="A20253" t="n">
        <v>20252</v>
      </c>
      <c r="B20253" t="inlineStr">
        <is>
          <t>x̄x̄CCLII</t>
        </is>
      </c>
      <c r="C20253">
        <f>ROMAN(20252)</f>
        <v/>
      </c>
      <c r="D20253">
        <f>IF(B20253=C20253, "YES", "WRONG")</f>
        <v/>
      </c>
    </row>
    <row r="20254">
      <c r="A20254" t="n">
        <v>20253</v>
      </c>
      <c r="B20254" t="inlineStr">
        <is>
          <t>x̄x̄CCLIII</t>
        </is>
      </c>
      <c r="C20254">
        <f>ROMAN(20253)</f>
        <v/>
      </c>
      <c r="D20254">
        <f>IF(B20254=C20254, "YES", "WRONG")</f>
        <v/>
      </c>
    </row>
    <row r="20255">
      <c r="A20255" t="n">
        <v>20254</v>
      </c>
      <c r="B20255" t="inlineStr">
        <is>
          <t>x̄x̄CCLIV</t>
        </is>
      </c>
      <c r="C20255">
        <f>ROMAN(20254)</f>
        <v/>
      </c>
      <c r="D20255">
        <f>IF(B20255=C20255, "YES", "WRONG")</f>
        <v/>
      </c>
    </row>
    <row r="20256">
      <c r="A20256" t="n">
        <v>20255</v>
      </c>
      <c r="B20256" t="inlineStr">
        <is>
          <t>x̄x̄CCLV</t>
        </is>
      </c>
      <c r="C20256">
        <f>ROMAN(20255)</f>
        <v/>
      </c>
      <c r="D20256">
        <f>IF(B20256=C20256, "YES", "WRONG")</f>
        <v/>
      </c>
    </row>
    <row r="20257">
      <c r="A20257" t="n">
        <v>20256</v>
      </c>
      <c r="B20257" t="inlineStr">
        <is>
          <t>x̄x̄CCLVI</t>
        </is>
      </c>
      <c r="C20257">
        <f>ROMAN(20256)</f>
        <v/>
      </c>
      <c r="D20257">
        <f>IF(B20257=C20257, "YES", "WRONG")</f>
        <v/>
      </c>
    </row>
    <row r="20258">
      <c r="A20258" t="n">
        <v>20257</v>
      </c>
      <c r="B20258" t="inlineStr">
        <is>
          <t>x̄x̄CCLVII</t>
        </is>
      </c>
      <c r="C20258">
        <f>ROMAN(20257)</f>
        <v/>
      </c>
      <c r="D20258">
        <f>IF(B20258=C20258, "YES", "WRONG")</f>
        <v/>
      </c>
    </row>
    <row r="20259">
      <c r="A20259" t="n">
        <v>20258</v>
      </c>
      <c r="B20259" t="inlineStr">
        <is>
          <t>x̄x̄CCLVIII</t>
        </is>
      </c>
      <c r="C20259">
        <f>ROMAN(20258)</f>
        <v/>
      </c>
      <c r="D20259">
        <f>IF(B20259=C20259, "YES", "WRONG")</f>
        <v/>
      </c>
    </row>
    <row r="20260">
      <c r="A20260" t="n">
        <v>20259</v>
      </c>
      <c r="B20260" t="inlineStr">
        <is>
          <t>x̄x̄CCLIX</t>
        </is>
      </c>
      <c r="C20260">
        <f>ROMAN(20259)</f>
        <v/>
      </c>
      <c r="D20260">
        <f>IF(B20260=C20260, "YES", "WRONG")</f>
        <v/>
      </c>
    </row>
    <row r="20261">
      <c r="A20261" t="n">
        <v>20260</v>
      </c>
      <c r="B20261" t="inlineStr">
        <is>
          <t>x̄x̄CCLX</t>
        </is>
      </c>
      <c r="C20261">
        <f>ROMAN(20260)</f>
        <v/>
      </c>
      <c r="D20261">
        <f>IF(B20261=C20261, "YES", "WRONG")</f>
        <v/>
      </c>
    </row>
    <row r="20262">
      <c r="A20262" t="n">
        <v>20261</v>
      </c>
      <c r="B20262" t="inlineStr">
        <is>
          <t>x̄x̄CCLXI</t>
        </is>
      </c>
      <c r="C20262">
        <f>ROMAN(20261)</f>
        <v/>
      </c>
      <c r="D20262">
        <f>IF(B20262=C20262, "YES", "WRONG")</f>
        <v/>
      </c>
    </row>
    <row r="20263">
      <c r="A20263" t="n">
        <v>20262</v>
      </c>
      <c r="B20263" t="inlineStr">
        <is>
          <t>x̄x̄CCLXII</t>
        </is>
      </c>
      <c r="C20263">
        <f>ROMAN(20262)</f>
        <v/>
      </c>
      <c r="D20263">
        <f>IF(B20263=C20263, "YES", "WRONG")</f>
        <v/>
      </c>
    </row>
    <row r="20264">
      <c r="A20264" t="n">
        <v>20263</v>
      </c>
      <c r="B20264" t="inlineStr">
        <is>
          <t>x̄x̄CCLXIII</t>
        </is>
      </c>
      <c r="C20264">
        <f>ROMAN(20263)</f>
        <v/>
      </c>
      <c r="D20264">
        <f>IF(B20264=C20264, "YES", "WRONG")</f>
        <v/>
      </c>
    </row>
    <row r="20265">
      <c r="A20265" t="n">
        <v>20264</v>
      </c>
      <c r="B20265" t="inlineStr">
        <is>
          <t>x̄x̄CCLXIV</t>
        </is>
      </c>
      <c r="C20265">
        <f>ROMAN(20264)</f>
        <v/>
      </c>
      <c r="D20265">
        <f>IF(B20265=C20265, "YES", "WRONG")</f>
        <v/>
      </c>
    </row>
    <row r="20266">
      <c r="A20266" t="n">
        <v>20265</v>
      </c>
      <c r="B20266" t="inlineStr">
        <is>
          <t>x̄x̄CCLXV</t>
        </is>
      </c>
      <c r="C20266">
        <f>ROMAN(20265)</f>
        <v/>
      </c>
      <c r="D20266">
        <f>IF(B20266=C20266, "YES", "WRONG")</f>
        <v/>
      </c>
    </row>
    <row r="20267">
      <c r="A20267" t="n">
        <v>20266</v>
      </c>
      <c r="B20267" t="inlineStr">
        <is>
          <t>x̄x̄CCLXVI</t>
        </is>
      </c>
      <c r="C20267">
        <f>ROMAN(20266)</f>
        <v/>
      </c>
      <c r="D20267">
        <f>IF(B20267=C20267, "YES", "WRONG")</f>
        <v/>
      </c>
    </row>
    <row r="20268">
      <c r="A20268" t="n">
        <v>20267</v>
      </c>
      <c r="B20268" t="inlineStr">
        <is>
          <t>x̄x̄CCLXVII</t>
        </is>
      </c>
      <c r="C20268">
        <f>ROMAN(20267)</f>
        <v/>
      </c>
      <c r="D20268">
        <f>IF(B20268=C20268, "YES", "WRONG")</f>
        <v/>
      </c>
    </row>
    <row r="20269">
      <c r="A20269" t="n">
        <v>20268</v>
      </c>
      <c r="B20269" t="inlineStr">
        <is>
          <t>x̄x̄CCLXVIII</t>
        </is>
      </c>
      <c r="C20269">
        <f>ROMAN(20268)</f>
        <v/>
      </c>
      <c r="D20269">
        <f>IF(B20269=C20269, "YES", "WRONG")</f>
        <v/>
      </c>
    </row>
    <row r="20270">
      <c r="A20270" t="n">
        <v>20269</v>
      </c>
      <c r="B20270" t="inlineStr">
        <is>
          <t>x̄x̄CCLXIX</t>
        </is>
      </c>
      <c r="C20270">
        <f>ROMAN(20269)</f>
        <v/>
      </c>
      <c r="D20270">
        <f>IF(B20270=C20270, "YES", "WRONG")</f>
        <v/>
      </c>
    </row>
    <row r="20271">
      <c r="A20271" t="n">
        <v>20270</v>
      </c>
      <c r="B20271" t="inlineStr">
        <is>
          <t>x̄x̄CCLXX</t>
        </is>
      </c>
      <c r="C20271">
        <f>ROMAN(20270)</f>
        <v/>
      </c>
      <c r="D20271">
        <f>IF(B20271=C20271, "YES", "WRONG")</f>
        <v/>
      </c>
    </row>
    <row r="20272">
      <c r="A20272" t="n">
        <v>20271</v>
      </c>
      <c r="B20272" t="inlineStr">
        <is>
          <t>x̄x̄CCLXXI</t>
        </is>
      </c>
      <c r="C20272">
        <f>ROMAN(20271)</f>
        <v/>
      </c>
      <c r="D20272">
        <f>IF(B20272=C20272, "YES", "WRONG")</f>
        <v/>
      </c>
    </row>
    <row r="20273">
      <c r="A20273" t="n">
        <v>20272</v>
      </c>
      <c r="B20273" t="inlineStr">
        <is>
          <t>x̄x̄CCLXXII</t>
        </is>
      </c>
      <c r="C20273">
        <f>ROMAN(20272)</f>
        <v/>
      </c>
      <c r="D20273">
        <f>IF(B20273=C20273, "YES", "WRONG")</f>
        <v/>
      </c>
    </row>
    <row r="20274">
      <c r="A20274" t="n">
        <v>20273</v>
      </c>
      <c r="B20274" t="inlineStr">
        <is>
          <t>x̄x̄CCLXXIII</t>
        </is>
      </c>
      <c r="C20274">
        <f>ROMAN(20273)</f>
        <v/>
      </c>
      <c r="D20274">
        <f>IF(B20274=C20274, "YES", "WRONG")</f>
        <v/>
      </c>
    </row>
    <row r="20275">
      <c r="A20275" t="n">
        <v>20274</v>
      </c>
      <c r="B20275" t="inlineStr">
        <is>
          <t>x̄x̄CCLXXIV</t>
        </is>
      </c>
      <c r="C20275">
        <f>ROMAN(20274)</f>
        <v/>
      </c>
      <c r="D20275">
        <f>IF(B20275=C20275, "YES", "WRONG")</f>
        <v/>
      </c>
    </row>
    <row r="20276">
      <c r="A20276" t="n">
        <v>20275</v>
      </c>
      <c r="B20276" t="inlineStr">
        <is>
          <t>x̄x̄CCLXXV</t>
        </is>
      </c>
      <c r="C20276">
        <f>ROMAN(20275)</f>
        <v/>
      </c>
      <c r="D20276">
        <f>IF(B20276=C20276, "YES", "WRONG")</f>
        <v/>
      </c>
    </row>
    <row r="20277">
      <c r="A20277" t="n">
        <v>20276</v>
      </c>
      <c r="B20277" t="inlineStr">
        <is>
          <t>x̄x̄CCLXXVI</t>
        </is>
      </c>
      <c r="C20277">
        <f>ROMAN(20276)</f>
        <v/>
      </c>
      <c r="D20277">
        <f>IF(B20277=C20277, "YES", "WRONG")</f>
        <v/>
      </c>
    </row>
    <row r="20278">
      <c r="A20278" t="n">
        <v>20277</v>
      </c>
      <c r="B20278" t="inlineStr">
        <is>
          <t>x̄x̄CCLXXVII</t>
        </is>
      </c>
      <c r="C20278">
        <f>ROMAN(20277)</f>
        <v/>
      </c>
      <c r="D20278">
        <f>IF(B20278=C20278, "YES", "WRONG")</f>
        <v/>
      </c>
    </row>
    <row r="20279">
      <c r="A20279" t="n">
        <v>20278</v>
      </c>
      <c r="B20279" t="inlineStr">
        <is>
          <t>x̄x̄CCLXXVIII</t>
        </is>
      </c>
      <c r="C20279">
        <f>ROMAN(20278)</f>
        <v/>
      </c>
      <c r="D20279">
        <f>IF(B20279=C20279, "YES", "WRONG")</f>
        <v/>
      </c>
    </row>
    <row r="20280">
      <c r="A20280" t="n">
        <v>20279</v>
      </c>
      <c r="B20280" t="inlineStr">
        <is>
          <t>x̄x̄CCLXXIX</t>
        </is>
      </c>
      <c r="C20280">
        <f>ROMAN(20279)</f>
        <v/>
      </c>
      <c r="D20280">
        <f>IF(B20280=C20280, "YES", "WRONG")</f>
        <v/>
      </c>
    </row>
    <row r="20281">
      <c r="A20281" t="n">
        <v>20280</v>
      </c>
      <c r="B20281" t="inlineStr">
        <is>
          <t>x̄x̄CCLXXX</t>
        </is>
      </c>
      <c r="C20281">
        <f>ROMAN(20280)</f>
        <v/>
      </c>
      <c r="D20281">
        <f>IF(B20281=C20281, "YES", "WRONG")</f>
        <v/>
      </c>
    </row>
    <row r="20282">
      <c r="A20282" t="n">
        <v>20281</v>
      </c>
      <c r="B20282" t="inlineStr">
        <is>
          <t>x̄x̄CCLXXXI</t>
        </is>
      </c>
      <c r="C20282">
        <f>ROMAN(20281)</f>
        <v/>
      </c>
      <c r="D20282">
        <f>IF(B20282=C20282, "YES", "WRONG")</f>
        <v/>
      </c>
    </row>
    <row r="20283">
      <c r="A20283" t="n">
        <v>20282</v>
      </c>
      <c r="B20283" t="inlineStr">
        <is>
          <t>x̄x̄CCLXXXII</t>
        </is>
      </c>
      <c r="C20283">
        <f>ROMAN(20282)</f>
        <v/>
      </c>
      <c r="D20283">
        <f>IF(B20283=C20283, "YES", "WRONG")</f>
        <v/>
      </c>
    </row>
    <row r="20284">
      <c r="A20284" t="n">
        <v>20283</v>
      </c>
      <c r="B20284" t="inlineStr">
        <is>
          <t>x̄x̄CCLXXXIII</t>
        </is>
      </c>
      <c r="C20284">
        <f>ROMAN(20283)</f>
        <v/>
      </c>
      <c r="D20284">
        <f>IF(B20284=C20284, "YES", "WRONG")</f>
        <v/>
      </c>
    </row>
    <row r="20285">
      <c r="A20285" t="n">
        <v>20284</v>
      </c>
      <c r="B20285" t="inlineStr">
        <is>
          <t>x̄x̄CCLXXXIV</t>
        </is>
      </c>
      <c r="C20285">
        <f>ROMAN(20284)</f>
        <v/>
      </c>
      <c r="D20285">
        <f>IF(B20285=C20285, "YES", "WRONG")</f>
        <v/>
      </c>
    </row>
    <row r="20286">
      <c r="A20286" t="n">
        <v>20285</v>
      </c>
      <c r="B20286" t="inlineStr">
        <is>
          <t>x̄x̄CCLXXXV</t>
        </is>
      </c>
      <c r="C20286">
        <f>ROMAN(20285)</f>
        <v/>
      </c>
      <c r="D20286">
        <f>IF(B20286=C20286, "YES", "WRONG")</f>
        <v/>
      </c>
    </row>
    <row r="20287">
      <c r="A20287" t="n">
        <v>20286</v>
      </c>
      <c r="B20287" t="inlineStr">
        <is>
          <t>x̄x̄CCLXXXVI</t>
        </is>
      </c>
      <c r="C20287">
        <f>ROMAN(20286)</f>
        <v/>
      </c>
      <c r="D20287">
        <f>IF(B20287=C20287, "YES", "WRONG")</f>
        <v/>
      </c>
    </row>
    <row r="20288">
      <c r="A20288" t="n">
        <v>20287</v>
      </c>
      <c r="B20288" t="inlineStr">
        <is>
          <t>x̄x̄CCLXXXVII</t>
        </is>
      </c>
      <c r="C20288">
        <f>ROMAN(20287)</f>
        <v/>
      </c>
      <c r="D20288">
        <f>IF(B20288=C20288, "YES", "WRONG")</f>
        <v/>
      </c>
    </row>
    <row r="20289">
      <c r="A20289" t="n">
        <v>20288</v>
      </c>
      <c r="B20289" t="inlineStr">
        <is>
          <t>x̄x̄CCLXXXVIII</t>
        </is>
      </c>
      <c r="C20289">
        <f>ROMAN(20288)</f>
        <v/>
      </c>
      <c r="D20289">
        <f>IF(B20289=C20289, "YES", "WRONG")</f>
        <v/>
      </c>
    </row>
    <row r="20290">
      <c r="A20290" t="n">
        <v>20289</v>
      </c>
      <c r="B20290" t="inlineStr">
        <is>
          <t>x̄x̄CCLXXXIX</t>
        </is>
      </c>
      <c r="C20290">
        <f>ROMAN(20289)</f>
        <v/>
      </c>
      <c r="D20290">
        <f>IF(B20290=C20290, "YES", "WRONG")</f>
        <v/>
      </c>
    </row>
    <row r="20291">
      <c r="A20291" t="n">
        <v>20290</v>
      </c>
      <c r="B20291" t="inlineStr">
        <is>
          <t>x̄x̄CCXC</t>
        </is>
      </c>
      <c r="C20291">
        <f>ROMAN(20290)</f>
        <v/>
      </c>
      <c r="D20291">
        <f>IF(B20291=C20291, "YES", "WRONG")</f>
        <v/>
      </c>
    </row>
    <row r="20292">
      <c r="A20292" t="n">
        <v>20291</v>
      </c>
      <c r="B20292" t="inlineStr">
        <is>
          <t>x̄x̄CCXCI</t>
        </is>
      </c>
      <c r="C20292">
        <f>ROMAN(20291)</f>
        <v/>
      </c>
      <c r="D20292">
        <f>IF(B20292=C20292, "YES", "WRONG")</f>
        <v/>
      </c>
    </row>
    <row r="20293">
      <c r="A20293" t="n">
        <v>20292</v>
      </c>
      <c r="B20293" t="inlineStr">
        <is>
          <t>x̄x̄CCXCII</t>
        </is>
      </c>
      <c r="C20293">
        <f>ROMAN(20292)</f>
        <v/>
      </c>
      <c r="D20293">
        <f>IF(B20293=C20293, "YES", "WRONG")</f>
        <v/>
      </c>
    </row>
    <row r="20294">
      <c r="A20294" t="n">
        <v>20293</v>
      </c>
      <c r="B20294" t="inlineStr">
        <is>
          <t>x̄x̄CCXCIII</t>
        </is>
      </c>
      <c r="C20294">
        <f>ROMAN(20293)</f>
        <v/>
      </c>
      <c r="D20294">
        <f>IF(B20294=C20294, "YES", "WRONG")</f>
        <v/>
      </c>
    </row>
    <row r="20295">
      <c r="A20295" t="n">
        <v>20294</v>
      </c>
      <c r="B20295" t="inlineStr">
        <is>
          <t>x̄x̄CCXCIV</t>
        </is>
      </c>
      <c r="C20295">
        <f>ROMAN(20294)</f>
        <v/>
      </c>
      <c r="D20295">
        <f>IF(B20295=C20295, "YES", "WRONG")</f>
        <v/>
      </c>
    </row>
    <row r="20296">
      <c r="A20296" t="n">
        <v>20295</v>
      </c>
      <c r="B20296" t="inlineStr">
        <is>
          <t>x̄x̄CCXCV</t>
        </is>
      </c>
      <c r="C20296">
        <f>ROMAN(20295)</f>
        <v/>
      </c>
      <c r="D20296">
        <f>IF(B20296=C20296, "YES", "WRONG")</f>
        <v/>
      </c>
    </row>
    <row r="20297">
      <c r="A20297" t="n">
        <v>20296</v>
      </c>
      <c r="B20297" t="inlineStr">
        <is>
          <t>x̄x̄CCXCVI</t>
        </is>
      </c>
      <c r="C20297">
        <f>ROMAN(20296)</f>
        <v/>
      </c>
      <c r="D20297">
        <f>IF(B20297=C20297, "YES", "WRONG")</f>
        <v/>
      </c>
    </row>
    <row r="20298">
      <c r="A20298" t="n">
        <v>20297</v>
      </c>
      <c r="B20298" t="inlineStr">
        <is>
          <t>x̄x̄CCXCVII</t>
        </is>
      </c>
      <c r="C20298">
        <f>ROMAN(20297)</f>
        <v/>
      </c>
      <c r="D20298">
        <f>IF(B20298=C20298, "YES", "WRONG")</f>
        <v/>
      </c>
    </row>
    <row r="20299">
      <c r="A20299" t="n">
        <v>20298</v>
      </c>
      <c r="B20299" t="inlineStr">
        <is>
          <t>x̄x̄CCXCVIII</t>
        </is>
      </c>
      <c r="C20299">
        <f>ROMAN(20298)</f>
        <v/>
      </c>
      <c r="D20299">
        <f>IF(B20299=C20299, "YES", "WRONG")</f>
        <v/>
      </c>
    </row>
    <row r="20300">
      <c r="A20300" t="n">
        <v>20299</v>
      </c>
      <c r="B20300" t="inlineStr">
        <is>
          <t>x̄x̄CCXCIX</t>
        </is>
      </c>
      <c r="C20300">
        <f>ROMAN(20299)</f>
        <v/>
      </c>
      <c r="D20300">
        <f>IF(B20300=C20300, "YES", "WRONG")</f>
        <v/>
      </c>
    </row>
    <row r="20301">
      <c r="A20301" t="n">
        <v>20300</v>
      </c>
      <c r="B20301" t="inlineStr">
        <is>
          <t>x̄x̄CCC</t>
        </is>
      </c>
      <c r="C20301">
        <f>ROMAN(20300)</f>
        <v/>
      </c>
      <c r="D20301">
        <f>IF(B20301=C20301, "YES", "WRONG")</f>
        <v/>
      </c>
    </row>
    <row r="20302">
      <c r="A20302" t="n">
        <v>20301</v>
      </c>
      <c r="B20302" t="inlineStr">
        <is>
          <t>x̄x̄CCCI</t>
        </is>
      </c>
      <c r="C20302">
        <f>ROMAN(20301)</f>
        <v/>
      </c>
      <c r="D20302">
        <f>IF(B20302=C20302, "YES", "WRONG")</f>
        <v/>
      </c>
    </row>
    <row r="20303">
      <c r="A20303" t="n">
        <v>20302</v>
      </c>
      <c r="B20303" t="inlineStr">
        <is>
          <t>x̄x̄CCCII</t>
        </is>
      </c>
      <c r="C20303">
        <f>ROMAN(20302)</f>
        <v/>
      </c>
      <c r="D20303">
        <f>IF(B20303=C20303, "YES", "WRONG")</f>
        <v/>
      </c>
    </row>
    <row r="20304">
      <c r="A20304" t="n">
        <v>20303</v>
      </c>
      <c r="B20304" t="inlineStr">
        <is>
          <t>x̄x̄CCCIII</t>
        </is>
      </c>
      <c r="C20304">
        <f>ROMAN(20303)</f>
        <v/>
      </c>
      <c r="D20304">
        <f>IF(B20304=C20304, "YES", "WRONG")</f>
        <v/>
      </c>
    </row>
    <row r="20305">
      <c r="A20305" t="n">
        <v>20304</v>
      </c>
      <c r="B20305" t="inlineStr">
        <is>
          <t>x̄x̄CCCIV</t>
        </is>
      </c>
      <c r="C20305">
        <f>ROMAN(20304)</f>
        <v/>
      </c>
      <c r="D20305">
        <f>IF(B20305=C20305, "YES", "WRONG")</f>
        <v/>
      </c>
    </row>
    <row r="20306">
      <c r="A20306" t="n">
        <v>20305</v>
      </c>
      <c r="B20306" t="inlineStr">
        <is>
          <t>x̄x̄CCCV</t>
        </is>
      </c>
      <c r="C20306">
        <f>ROMAN(20305)</f>
        <v/>
      </c>
      <c r="D20306">
        <f>IF(B20306=C20306, "YES", "WRONG")</f>
        <v/>
      </c>
    </row>
    <row r="20307">
      <c r="A20307" t="n">
        <v>20306</v>
      </c>
      <c r="B20307" t="inlineStr">
        <is>
          <t>x̄x̄CCCVI</t>
        </is>
      </c>
      <c r="C20307">
        <f>ROMAN(20306)</f>
        <v/>
      </c>
      <c r="D20307">
        <f>IF(B20307=C20307, "YES", "WRONG")</f>
        <v/>
      </c>
    </row>
    <row r="20308">
      <c r="A20308" t="n">
        <v>20307</v>
      </c>
      <c r="B20308" t="inlineStr">
        <is>
          <t>x̄x̄CCCVII</t>
        </is>
      </c>
      <c r="C20308">
        <f>ROMAN(20307)</f>
        <v/>
      </c>
      <c r="D20308">
        <f>IF(B20308=C20308, "YES", "WRONG")</f>
        <v/>
      </c>
    </row>
    <row r="20309">
      <c r="A20309" t="n">
        <v>20308</v>
      </c>
      <c r="B20309" t="inlineStr">
        <is>
          <t>x̄x̄CCCVIII</t>
        </is>
      </c>
      <c r="C20309">
        <f>ROMAN(20308)</f>
        <v/>
      </c>
      <c r="D20309">
        <f>IF(B20309=C20309, "YES", "WRONG")</f>
        <v/>
      </c>
    </row>
    <row r="20310">
      <c r="A20310" t="n">
        <v>20309</v>
      </c>
      <c r="B20310" t="inlineStr">
        <is>
          <t>x̄x̄CCCIX</t>
        </is>
      </c>
      <c r="C20310">
        <f>ROMAN(20309)</f>
        <v/>
      </c>
      <c r="D20310">
        <f>IF(B20310=C20310, "YES", "WRONG")</f>
        <v/>
      </c>
    </row>
    <row r="20311">
      <c r="A20311" t="n">
        <v>20310</v>
      </c>
      <c r="B20311" t="inlineStr">
        <is>
          <t>x̄x̄CCCX</t>
        </is>
      </c>
      <c r="C20311">
        <f>ROMAN(20310)</f>
        <v/>
      </c>
      <c r="D20311">
        <f>IF(B20311=C20311, "YES", "WRONG")</f>
        <v/>
      </c>
    </row>
    <row r="20312">
      <c r="A20312" t="n">
        <v>20311</v>
      </c>
      <c r="B20312" t="inlineStr">
        <is>
          <t>x̄x̄CCCXI</t>
        </is>
      </c>
      <c r="C20312">
        <f>ROMAN(20311)</f>
        <v/>
      </c>
      <c r="D20312">
        <f>IF(B20312=C20312, "YES", "WRONG")</f>
        <v/>
      </c>
    </row>
    <row r="20313">
      <c r="A20313" t="n">
        <v>20312</v>
      </c>
      <c r="B20313" t="inlineStr">
        <is>
          <t>x̄x̄CCCXII</t>
        </is>
      </c>
      <c r="C20313">
        <f>ROMAN(20312)</f>
        <v/>
      </c>
      <c r="D20313">
        <f>IF(B20313=C20313, "YES", "WRONG")</f>
        <v/>
      </c>
    </row>
    <row r="20314">
      <c r="A20314" t="n">
        <v>20313</v>
      </c>
      <c r="B20314" t="inlineStr">
        <is>
          <t>x̄x̄CCCXIII</t>
        </is>
      </c>
      <c r="C20314">
        <f>ROMAN(20313)</f>
        <v/>
      </c>
      <c r="D20314">
        <f>IF(B20314=C20314, "YES", "WRONG")</f>
        <v/>
      </c>
    </row>
    <row r="20315">
      <c r="A20315" t="n">
        <v>20314</v>
      </c>
      <c r="B20315" t="inlineStr">
        <is>
          <t>x̄x̄CCCXIV</t>
        </is>
      </c>
      <c r="C20315">
        <f>ROMAN(20314)</f>
        <v/>
      </c>
      <c r="D20315">
        <f>IF(B20315=C20315, "YES", "WRONG")</f>
        <v/>
      </c>
    </row>
    <row r="20316">
      <c r="A20316" t="n">
        <v>20315</v>
      </c>
      <c r="B20316" t="inlineStr">
        <is>
          <t>x̄x̄CCCXV</t>
        </is>
      </c>
      <c r="C20316">
        <f>ROMAN(20315)</f>
        <v/>
      </c>
      <c r="D20316">
        <f>IF(B20316=C20316, "YES", "WRONG")</f>
        <v/>
      </c>
    </row>
    <row r="20317">
      <c r="A20317" t="n">
        <v>20316</v>
      </c>
      <c r="B20317" t="inlineStr">
        <is>
          <t>x̄x̄CCCXVI</t>
        </is>
      </c>
      <c r="C20317">
        <f>ROMAN(20316)</f>
        <v/>
      </c>
      <c r="D20317">
        <f>IF(B20317=C20317, "YES", "WRONG")</f>
        <v/>
      </c>
    </row>
    <row r="20318">
      <c r="A20318" t="n">
        <v>20317</v>
      </c>
      <c r="B20318" t="inlineStr">
        <is>
          <t>x̄x̄CCCXVII</t>
        </is>
      </c>
      <c r="C20318">
        <f>ROMAN(20317)</f>
        <v/>
      </c>
      <c r="D20318">
        <f>IF(B20318=C20318, "YES", "WRONG")</f>
        <v/>
      </c>
    </row>
    <row r="20319">
      <c r="A20319" t="n">
        <v>20318</v>
      </c>
      <c r="B20319" t="inlineStr">
        <is>
          <t>x̄x̄CCCXVIII</t>
        </is>
      </c>
      <c r="C20319">
        <f>ROMAN(20318)</f>
        <v/>
      </c>
      <c r="D20319">
        <f>IF(B20319=C20319, "YES", "WRONG")</f>
        <v/>
      </c>
    </row>
    <row r="20320">
      <c r="A20320" t="n">
        <v>20319</v>
      </c>
      <c r="B20320" t="inlineStr">
        <is>
          <t>x̄x̄CCCXIX</t>
        </is>
      </c>
      <c r="C20320">
        <f>ROMAN(20319)</f>
        <v/>
      </c>
      <c r="D20320">
        <f>IF(B20320=C20320, "YES", "WRONG")</f>
        <v/>
      </c>
    </row>
    <row r="20321">
      <c r="A20321" t="n">
        <v>20320</v>
      </c>
      <c r="B20321" t="inlineStr">
        <is>
          <t>x̄x̄CCCXX</t>
        </is>
      </c>
      <c r="C20321">
        <f>ROMAN(20320)</f>
        <v/>
      </c>
      <c r="D20321">
        <f>IF(B20321=C20321, "YES", "WRONG")</f>
        <v/>
      </c>
    </row>
    <row r="20322">
      <c r="A20322" t="n">
        <v>20321</v>
      </c>
      <c r="B20322" t="inlineStr">
        <is>
          <t>x̄x̄CCCXXI</t>
        </is>
      </c>
      <c r="C20322">
        <f>ROMAN(20321)</f>
        <v/>
      </c>
      <c r="D20322">
        <f>IF(B20322=C20322, "YES", "WRONG")</f>
        <v/>
      </c>
    </row>
    <row r="20323">
      <c r="A20323" t="n">
        <v>20322</v>
      </c>
      <c r="B20323" t="inlineStr">
        <is>
          <t>x̄x̄CCCXXII</t>
        </is>
      </c>
      <c r="C20323">
        <f>ROMAN(20322)</f>
        <v/>
      </c>
      <c r="D20323">
        <f>IF(B20323=C20323, "YES", "WRONG")</f>
        <v/>
      </c>
    </row>
    <row r="20324">
      <c r="A20324" t="n">
        <v>20323</v>
      </c>
      <c r="B20324" t="inlineStr">
        <is>
          <t>x̄x̄CCCXXIII</t>
        </is>
      </c>
      <c r="C20324">
        <f>ROMAN(20323)</f>
        <v/>
      </c>
      <c r="D20324">
        <f>IF(B20324=C20324, "YES", "WRONG")</f>
        <v/>
      </c>
    </row>
    <row r="20325">
      <c r="A20325" t="n">
        <v>20324</v>
      </c>
      <c r="B20325" t="inlineStr">
        <is>
          <t>x̄x̄CCCXXIV</t>
        </is>
      </c>
      <c r="C20325">
        <f>ROMAN(20324)</f>
        <v/>
      </c>
      <c r="D20325">
        <f>IF(B20325=C20325, "YES", "WRONG")</f>
        <v/>
      </c>
    </row>
    <row r="20326">
      <c r="A20326" t="n">
        <v>20325</v>
      </c>
      <c r="B20326" t="inlineStr">
        <is>
          <t>x̄x̄CCCXXV</t>
        </is>
      </c>
      <c r="C20326">
        <f>ROMAN(20325)</f>
        <v/>
      </c>
      <c r="D20326">
        <f>IF(B20326=C20326, "YES", "WRONG")</f>
        <v/>
      </c>
    </row>
    <row r="20327">
      <c r="A20327" t="n">
        <v>20326</v>
      </c>
      <c r="B20327" t="inlineStr">
        <is>
          <t>x̄x̄CCCXXVI</t>
        </is>
      </c>
      <c r="C20327">
        <f>ROMAN(20326)</f>
        <v/>
      </c>
      <c r="D20327">
        <f>IF(B20327=C20327, "YES", "WRONG")</f>
        <v/>
      </c>
    </row>
    <row r="20328">
      <c r="A20328" t="n">
        <v>20327</v>
      </c>
      <c r="B20328" t="inlineStr">
        <is>
          <t>x̄x̄CCCXXVII</t>
        </is>
      </c>
      <c r="C20328">
        <f>ROMAN(20327)</f>
        <v/>
      </c>
      <c r="D20328">
        <f>IF(B20328=C20328, "YES", "WRONG")</f>
        <v/>
      </c>
    </row>
    <row r="20329">
      <c r="A20329" t="n">
        <v>20328</v>
      </c>
      <c r="B20329" t="inlineStr">
        <is>
          <t>x̄x̄CCCXXVIII</t>
        </is>
      </c>
      <c r="C20329">
        <f>ROMAN(20328)</f>
        <v/>
      </c>
      <c r="D20329">
        <f>IF(B20329=C20329, "YES", "WRONG")</f>
        <v/>
      </c>
    </row>
    <row r="20330">
      <c r="A20330" t="n">
        <v>20329</v>
      </c>
      <c r="B20330" t="inlineStr">
        <is>
          <t>x̄x̄CCCXXIX</t>
        </is>
      </c>
      <c r="C20330">
        <f>ROMAN(20329)</f>
        <v/>
      </c>
      <c r="D20330">
        <f>IF(B20330=C20330, "YES", "WRONG")</f>
        <v/>
      </c>
    </row>
    <row r="20331">
      <c r="A20331" t="n">
        <v>20330</v>
      </c>
      <c r="B20331" t="inlineStr">
        <is>
          <t>x̄x̄CCCXXX</t>
        </is>
      </c>
      <c r="C20331">
        <f>ROMAN(20330)</f>
        <v/>
      </c>
      <c r="D20331">
        <f>IF(B20331=C20331, "YES", "WRONG")</f>
        <v/>
      </c>
    </row>
    <row r="20332">
      <c r="A20332" t="n">
        <v>20331</v>
      </c>
      <c r="B20332" t="inlineStr">
        <is>
          <t>x̄x̄CCCXXXI</t>
        </is>
      </c>
      <c r="C20332">
        <f>ROMAN(20331)</f>
        <v/>
      </c>
      <c r="D20332">
        <f>IF(B20332=C20332, "YES", "WRONG")</f>
        <v/>
      </c>
    </row>
    <row r="20333">
      <c r="A20333" t="n">
        <v>20332</v>
      </c>
      <c r="B20333" t="inlineStr">
        <is>
          <t>x̄x̄CCCXXXII</t>
        </is>
      </c>
      <c r="C20333">
        <f>ROMAN(20332)</f>
        <v/>
      </c>
      <c r="D20333">
        <f>IF(B20333=C20333, "YES", "WRONG")</f>
        <v/>
      </c>
    </row>
    <row r="20334">
      <c r="A20334" t="n">
        <v>20333</v>
      </c>
      <c r="B20334" t="inlineStr">
        <is>
          <t>x̄x̄CCCXXXIII</t>
        </is>
      </c>
      <c r="C20334">
        <f>ROMAN(20333)</f>
        <v/>
      </c>
      <c r="D20334">
        <f>IF(B20334=C20334, "YES", "WRONG")</f>
        <v/>
      </c>
    </row>
    <row r="20335">
      <c r="A20335" t="n">
        <v>20334</v>
      </c>
      <c r="B20335" t="inlineStr">
        <is>
          <t>x̄x̄CCCXXXIV</t>
        </is>
      </c>
      <c r="C20335">
        <f>ROMAN(20334)</f>
        <v/>
      </c>
      <c r="D20335">
        <f>IF(B20335=C20335, "YES", "WRONG")</f>
        <v/>
      </c>
    </row>
    <row r="20336">
      <c r="A20336" t="n">
        <v>20335</v>
      </c>
      <c r="B20336" t="inlineStr">
        <is>
          <t>x̄x̄CCCXXXV</t>
        </is>
      </c>
      <c r="C20336">
        <f>ROMAN(20335)</f>
        <v/>
      </c>
      <c r="D20336">
        <f>IF(B20336=C20336, "YES", "WRONG")</f>
        <v/>
      </c>
    </row>
    <row r="20337">
      <c r="A20337" t="n">
        <v>20336</v>
      </c>
      <c r="B20337" t="inlineStr">
        <is>
          <t>x̄x̄CCCXXXVI</t>
        </is>
      </c>
      <c r="C20337">
        <f>ROMAN(20336)</f>
        <v/>
      </c>
      <c r="D20337">
        <f>IF(B20337=C20337, "YES", "WRONG")</f>
        <v/>
      </c>
    </row>
    <row r="20338">
      <c r="A20338" t="n">
        <v>20337</v>
      </c>
      <c r="B20338" t="inlineStr">
        <is>
          <t>x̄x̄CCCXXXVII</t>
        </is>
      </c>
      <c r="C20338">
        <f>ROMAN(20337)</f>
        <v/>
      </c>
      <c r="D20338">
        <f>IF(B20338=C20338, "YES", "WRONG")</f>
        <v/>
      </c>
    </row>
    <row r="20339">
      <c r="A20339" t="n">
        <v>20338</v>
      </c>
      <c r="B20339" t="inlineStr">
        <is>
          <t>x̄x̄CCCXXXVIII</t>
        </is>
      </c>
      <c r="C20339">
        <f>ROMAN(20338)</f>
        <v/>
      </c>
      <c r="D20339">
        <f>IF(B20339=C20339, "YES", "WRONG")</f>
        <v/>
      </c>
    </row>
    <row r="20340">
      <c r="A20340" t="n">
        <v>20339</v>
      </c>
      <c r="B20340" t="inlineStr">
        <is>
          <t>x̄x̄CCCXXXIX</t>
        </is>
      </c>
      <c r="C20340">
        <f>ROMAN(20339)</f>
        <v/>
      </c>
      <c r="D20340">
        <f>IF(B20340=C20340, "YES", "WRONG")</f>
        <v/>
      </c>
    </row>
    <row r="20341">
      <c r="A20341" t="n">
        <v>20340</v>
      </c>
      <c r="B20341" t="inlineStr">
        <is>
          <t>x̄x̄CCCXL</t>
        </is>
      </c>
      <c r="C20341">
        <f>ROMAN(20340)</f>
        <v/>
      </c>
      <c r="D20341">
        <f>IF(B20341=C20341, "YES", "WRONG")</f>
        <v/>
      </c>
    </row>
    <row r="20342">
      <c r="A20342" t="n">
        <v>20341</v>
      </c>
      <c r="B20342" t="inlineStr">
        <is>
          <t>x̄x̄CCCXLI</t>
        </is>
      </c>
      <c r="C20342">
        <f>ROMAN(20341)</f>
        <v/>
      </c>
      <c r="D20342">
        <f>IF(B20342=C20342, "YES", "WRONG")</f>
        <v/>
      </c>
    </row>
    <row r="20343">
      <c r="A20343" t="n">
        <v>20342</v>
      </c>
      <c r="B20343" t="inlineStr">
        <is>
          <t>x̄x̄CCCXLII</t>
        </is>
      </c>
      <c r="C20343">
        <f>ROMAN(20342)</f>
        <v/>
      </c>
      <c r="D20343">
        <f>IF(B20343=C20343, "YES", "WRONG")</f>
        <v/>
      </c>
    </row>
    <row r="20344">
      <c r="A20344" t="n">
        <v>20343</v>
      </c>
      <c r="B20344" t="inlineStr">
        <is>
          <t>x̄x̄CCCXLIII</t>
        </is>
      </c>
      <c r="C20344">
        <f>ROMAN(20343)</f>
        <v/>
      </c>
      <c r="D20344">
        <f>IF(B20344=C20344, "YES", "WRONG")</f>
        <v/>
      </c>
    </row>
    <row r="20345">
      <c r="A20345" t="n">
        <v>20344</v>
      </c>
      <c r="B20345" t="inlineStr">
        <is>
          <t>x̄x̄CCCXLIV</t>
        </is>
      </c>
      <c r="C20345">
        <f>ROMAN(20344)</f>
        <v/>
      </c>
      <c r="D20345">
        <f>IF(B20345=C20345, "YES", "WRONG")</f>
        <v/>
      </c>
    </row>
    <row r="20346">
      <c r="A20346" t="n">
        <v>20345</v>
      </c>
      <c r="B20346" t="inlineStr">
        <is>
          <t>x̄x̄CCCXLV</t>
        </is>
      </c>
      <c r="C20346">
        <f>ROMAN(20345)</f>
        <v/>
      </c>
      <c r="D20346">
        <f>IF(B20346=C20346, "YES", "WRONG")</f>
        <v/>
      </c>
    </row>
    <row r="20347">
      <c r="A20347" t="n">
        <v>20346</v>
      </c>
      <c r="B20347" t="inlineStr">
        <is>
          <t>x̄x̄CCCXLVI</t>
        </is>
      </c>
      <c r="C20347">
        <f>ROMAN(20346)</f>
        <v/>
      </c>
      <c r="D20347">
        <f>IF(B20347=C20347, "YES", "WRONG")</f>
        <v/>
      </c>
    </row>
    <row r="20348">
      <c r="A20348" t="n">
        <v>20347</v>
      </c>
      <c r="B20348" t="inlineStr">
        <is>
          <t>x̄x̄CCCXLVII</t>
        </is>
      </c>
      <c r="C20348">
        <f>ROMAN(20347)</f>
        <v/>
      </c>
      <c r="D20348">
        <f>IF(B20348=C20348, "YES", "WRONG")</f>
        <v/>
      </c>
    </row>
    <row r="20349">
      <c r="A20349" t="n">
        <v>20348</v>
      </c>
      <c r="B20349" t="inlineStr">
        <is>
          <t>x̄x̄CCCXLVIII</t>
        </is>
      </c>
      <c r="C20349">
        <f>ROMAN(20348)</f>
        <v/>
      </c>
      <c r="D20349">
        <f>IF(B20349=C20349, "YES", "WRONG")</f>
        <v/>
      </c>
    </row>
    <row r="20350">
      <c r="A20350" t="n">
        <v>20349</v>
      </c>
      <c r="B20350" t="inlineStr">
        <is>
          <t>x̄x̄CCCXLIX</t>
        </is>
      </c>
      <c r="C20350">
        <f>ROMAN(20349)</f>
        <v/>
      </c>
      <c r="D20350">
        <f>IF(B20350=C20350, "YES", "WRONG")</f>
        <v/>
      </c>
    </row>
    <row r="20351">
      <c r="A20351" t="n">
        <v>20350</v>
      </c>
      <c r="B20351" t="inlineStr">
        <is>
          <t>x̄x̄CCCL</t>
        </is>
      </c>
      <c r="C20351">
        <f>ROMAN(20350)</f>
        <v/>
      </c>
      <c r="D20351">
        <f>IF(B20351=C20351, "YES", "WRONG")</f>
        <v/>
      </c>
    </row>
    <row r="20352">
      <c r="A20352" t="n">
        <v>20351</v>
      </c>
      <c r="B20352" t="inlineStr">
        <is>
          <t>x̄x̄CCCLI</t>
        </is>
      </c>
      <c r="C20352">
        <f>ROMAN(20351)</f>
        <v/>
      </c>
      <c r="D20352">
        <f>IF(B20352=C20352, "YES", "WRONG")</f>
        <v/>
      </c>
    </row>
    <row r="20353">
      <c r="A20353" t="n">
        <v>20352</v>
      </c>
      <c r="B20353" t="inlineStr">
        <is>
          <t>x̄x̄CCCLII</t>
        </is>
      </c>
      <c r="C20353">
        <f>ROMAN(20352)</f>
        <v/>
      </c>
      <c r="D20353">
        <f>IF(B20353=C20353, "YES", "WRONG")</f>
        <v/>
      </c>
    </row>
    <row r="20354">
      <c r="A20354" t="n">
        <v>20353</v>
      </c>
      <c r="B20354" t="inlineStr">
        <is>
          <t>x̄x̄CCCLIII</t>
        </is>
      </c>
      <c r="C20354">
        <f>ROMAN(20353)</f>
        <v/>
      </c>
      <c r="D20354">
        <f>IF(B20354=C20354, "YES", "WRONG")</f>
        <v/>
      </c>
    </row>
    <row r="20355">
      <c r="A20355" t="n">
        <v>20354</v>
      </c>
      <c r="B20355" t="inlineStr">
        <is>
          <t>x̄x̄CCCLIV</t>
        </is>
      </c>
      <c r="C20355">
        <f>ROMAN(20354)</f>
        <v/>
      </c>
      <c r="D20355">
        <f>IF(B20355=C20355, "YES", "WRONG")</f>
        <v/>
      </c>
    </row>
    <row r="20356">
      <c r="A20356" t="n">
        <v>20355</v>
      </c>
      <c r="B20356" t="inlineStr">
        <is>
          <t>x̄x̄CCCLV</t>
        </is>
      </c>
      <c r="C20356">
        <f>ROMAN(20355)</f>
        <v/>
      </c>
      <c r="D20356">
        <f>IF(B20356=C20356, "YES", "WRONG")</f>
        <v/>
      </c>
    </row>
    <row r="20357">
      <c r="A20357" t="n">
        <v>20356</v>
      </c>
      <c r="B20357" t="inlineStr">
        <is>
          <t>x̄x̄CCCLVI</t>
        </is>
      </c>
      <c r="C20357">
        <f>ROMAN(20356)</f>
        <v/>
      </c>
      <c r="D20357">
        <f>IF(B20357=C20357, "YES", "WRONG")</f>
        <v/>
      </c>
    </row>
    <row r="20358">
      <c r="A20358" t="n">
        <v>20357</v>
      </c>
      <c r="B20358" t="inlineStr">
        <is>
          <t>x̄x̄CCCLVII</t>
        </is>
      </c>
      <c r="C20358">
        <f>ROMAN(20357)</f>
        <v/>
      </c>
      <c r="D20358">
        <f>IF(B20358=C20358, "YES", "WRONG")</f>
        <v/>
      </c>
    </row>
    <row r="20359">
      <c r="A20359" t="n">
        <v>20358</v>
      </c>
      <c r="B20359" t="inlineStr">
        <is>
          <t>x̄x̄CCCLVIII</t>
        </is>
      </c>
      <c r="C20359">
        <f>ROMAN(20358)</f>
        <v/>
      </c>
      <c r="D20359">
        <f>IF(B20359=C20359, "YES", "WRONG")</f>
        <v/>
      </c>
    </row>
    <row r="20360">
      <c r="A20360" t="n">
        <v>20359</v>
      </c>
      <c r="B20360" t="inlineStr">
        <is>
          <t>x̄x̄CCCLIX</t>
        </is>
      </c>
      <c r="C20360">
        <f>ROMAN(20359)</f>
        <v/>
      </c>
      <c r="D20360">
        <f>IF(B20360=C20360, "YES", "WRONG")</f>
        <v/>
      </c>
    </row>
    <row r="20361">
      <c r="A20361" t="n">
        <v>20360</v>
      </c>
      <c r="B20361" t="inlineStr">
        <is>
          <t>x̄x̄CCCLX</t>
        </is>
      </c>
      <c r="C20361">
        <f>ROMAN(20360)</f>
        <v/>
      </c>
      <c r="D20361">
        <f>IF(B20361=C20361, "YES", "WRONG")</f>
        <v/>
      </c>
    </row>
    <row r="20362">
      <c r="A20362" t="n">
        <v>20361</v>
      </c>
      <c r="B20362" t="inlineStr">
        <is>
          <t>x̄x̄CCCLXI</t>
        </is>
      </c>
      <c r="C20362">
        <f>ROMAN(20361)</f>
        <v/>
      </c>
      <c r="D20362">
        <f>IF(B20362=C20362, "YES", "WRONG")</f>
        <v/>
      </c>
    </row>
    <row r="20363">
      <c r="A20363" t="n">
        <v>20362</v>
      </c>
      <c r="B20363" t="inlineStr">
        <is>
          <t>x̄x̄CCCLXII</t>
        </is>
      </c>
      <c r="C20363">
        <f>ROMAN(20362)</f>
        <v/>
      </c>
      <c r="D20363">
        <f>IF(B20363=C20363, "YES", "WRONG")</f>
        <v/>
      </c>
    </row>
    <row r="20364">
      <c r="A20364" t="n">
        <v>20363</v>
      </c>
      <c r="B20364" t="inlineStr">
        <is>
          <t>x̄x̄CCCLXIII</t>
        </is>
      </c>
      <c r="C20364">
        <f>ROMAN(20363)</f>
        <v/>
      </c>
      <c r="D20364">
        <f>IF(B20364=C20364, "YES", "WRONG")</f>
        <v/>
      </c>
    </row>
    <row r="20365">
      <c r="A20365" t="n">
        <v>20364</v>
      </c>
      <c r="B20365" t="inlineStr">
        <is>
          <t>x̄x̄CCCLXIV</t>
        </is>
      </c>
      <c r="C20365">
        <f>ROMAN(20364)</f>
        <v/>
      </c>
      <c r="D20365">
        <f>IF(B20365=C20365, "YES", "WRONG")</f>
        <v/>
      </c>
    </row>
    <row r="20366">
      <c r="A20366" t="n">
        <v>20365</v>
      </c>
      <c r="B20366" t="inlineStr">
        <is>
          <t>x̄x̄CCCLXV</t>
        </is>
      </c>
      <c r="C20366">
        <f>ROMAN(20365)</f>
        <v/>
      </c>
      <c r="D20366">
        <f>IF(B20366=C20366, "YES", "WRONG")</f>
        <v/>
      </c>
    </row>
    <row r="20367">
      <c r="A20367" t="n">
        <v>20366</v>
      </c>
      <c r="B20367" t="inlineStr">
        <is>
          <t>x̄x̄CCCLXVI</t>
        </is>
      </c>
      <c r="C20367">
        <f>ROMAN(20366)</f>
        <v/>
      </c>
      <c r="D20367">
        <f>IF(B20367=C20367, "YES", "WRONG")</f>
        <v/>
      </c>
    </row>
    <row r="20368">
      <c r="A20368" t="n">
        <v>20367</v>
      </c>
      <c r="B20368" t="inlineStr">
        <is>
          <t>x̄x̄CCCLXVII</t>
        </is>
      </c>
      <c r="C20368">
        <f>ROMAN(20367)</f>
        <v/>
      </c>
      <c r="D20368">
        <f>IF(B20368=C20368, "YES", "WRONG")</f>
        <v/>
      </c>
    </row>
    <row r="20369">
      <c r="A20369" t="n">
        <v>20368</v>
      </c>
      <c r="B20369" t="inlineStr">
        <is>
          <t>x̄x̄CCCLXVIII</t>
        </is>
      </c>
      <c r="C20369">
        <f>ROMAN(20368)</f>
        <v/>
      </c>
      <c r="D20369">
        <f>IF(B20369=C20369, "YES", "WRONG")</f>
        <v/>
      </c>
    </row>
    <row r="20370">
      <c r="A20370" t="n">
        <v>20369</v>
      </c>
      <c r="B20370" t="inlineStr">
        <is>
          <t>x̄x̄CCCLXIX</t>
        </is>
      </c>
      <c r="C20370">
        <f>ROMAN(20369)</f>
        <v/>
      </c>
      <c r="D20370">
        <f>IF(B20370=C20370, "YES", "WRONG")</f>
        <v/>
      </c>
    </row>
    <row r="20371">
      <c r="A20371" t="n">
        <v>20370</v>
      </c>
      <c r="B20371" t="inlineStr">
        <is>
          <t>x̄x̄CCCLXX</t>
        </is>
      </c>
      <c r="C20371">
        <f>ROMAN(20370)</f>
        <v/>
      </c>
      <c r="D20371">
        <f>IF(B20371=C20371, "YES", "WRONG")</f>
        <v/>
      </c>
    </row>
    <row r="20372">
      <c r="A20372" t="n">
        <v>20371</v>
      </c>
      <c r="B20372" t="inlineStr">
        <is>
          <t>x̄x̄CCCLXXI</t>
        </is>
      </c>
      <c r="C20372">
        <f>ROMAN(20371)</f>
        <v/>
      </c>
      <c r="D20372">
        <f>IF(B20372=C20372, "YES", "WRONG")</f>
        <v/>
      </c>
    </row>
    <row r="20373">
      <c r="A20373" t="n">
        <v>20372</v>
      </c>
      <c r="B20373" t="inlineStr">
        <is>
          <t>x̄x̄CCCLXXII</t>
        </is>
      </c>
      <c r="C20373">
        <f>ROMAN(20372)</f>
        <v/>
      </c>
      <c r="D20373">
        <f>IF(B20373=C20373, "YES", "WRONG")</f>
        <v/>
      </c>
    </row>
    <row r="20374">
      <c r="A20374" t="n">
        <v>20373</v>
      </c>
      <c r="B20374" t="inlineStr">
        <is>
          <t>x̄x̄CCCLXXIII</t>
        </is>
      </c>
      <c r="C20374">
        <f>ROMAN(20373)</f>
        <v/>
      </c>
      <c r="D20374">
        <f>IF(B20374=C20374, "YES", "WRONG")</f>
        <v/>
      </c>
    </row>
    <row r="20375">
      <c r="A20375" t="n">
        <v>20374</v>
      </c>
      <c r="B20375" t="inlineStr">
        <is>
          <t>x̄x̄CCCLXXIV</t>
        </is>
      </c>
      <c r="C20375">
        <f>ROMAN(20374)</f>
        <v/>
      </c>
      <c r="D20375">
        <f>IF(B20375=C20375, "YES", "WRONG")</f>
        <v/>
      </c>
    </row>
    <row r="20376">
      <c r="A20376" t="n">
        <v>20375</v>
      </c>
      <c r="B20376" t="inlineStr">
        <is>
          <t>x̄x̄CCCLXXV</t>
        </is>
      </c>
      <c r="C20376">
        <f>ROMAN(20375)</f>
        <v/>
      </c>
      <c r="D20376">
        <f>IF(B20376=C20376, "YES", "WRONG")</f>
        <v/>
      </c>
    </row>
    <row r="20377">
      <c r="A20377" t="n">
        <v>20376</v>
      </c>
      <c r="B20377" t="inlineStr">
        <is>
          <t>x̄x̄CCCLXXVI</t>
        </is>
      </c>
      <c r="C20377">
        <f>ROMAN(20376)</f>
        <v/>
      </c>
      <c r="D20377">
        <f>IF(B20377=C20377, "YES", "WRONG")</f>
        <v/>
      </c>
    </row>
    <row r="20378">
      <c r="A20378" t="n">
        <v>20377</v>
      </c>
      <c r="B20378" t="inlineStr">
        <is>
          <t>x̄x̄CCCLXXVII</t>
        </is>
      </c>
      <c r="C20378">
        <f>ROMAN(20377)</f>
        <v/>
      </c>
      <c r="D20378">
        <f>IF(B20378=C20378, "YES", "WRONG")</f>
        <v/>
      </c>
    </row>
    <row r="20379">
      <c r="A20379" t="n">
        <v>20378</v>
      </c>
      <c r="B20379" t="inlineStr">
        <is>
          <t>x̄x̄CCCLXXVIII</t>
        </is>
      </c>
      <c r="C20379">
        <f>ROMAN(20378)</f>
        <v/>
      </c>
      <c r="D20379">
        <f>IF(B20379=C20379, "YES", "WRONG")</f>
        <v/>
      </c>
    </row>
    <row r="20380">
      <c r="A20380" t="n">
        <v>20379</v>
      </c>
      <c r="B20380" t="inlineStr">
        <is>
          <t>x̄x̄CCCLXXIX</t>
        </is>
      </c>
      <c r="C20380">
        <f>ROMAN(20379)</f>
        <v/>
      </c>
      <c r="D20380">
        <f>IF(B20380=C20380, "YES", "WRONG")</f>
        <v/>
      </c>
    </row>
    <row r="20381">
      <c r="A20381" t="n">
        <v>20380</v>
      </c>
      <c r="B20381" t="inlineStr">
        <is>
          <t>x̄x̄CCCLXXX</t>
        </is>
      </c>
      <c r="C20381">
        <f>ROMAN(20380)</f>
        <v/>
      </c>
      <c r="D20381">
        <f>IF(B20381=C20381, "YES", "WRONG")</f>
        <v/>
      </c>
    </row>
    <row r="20382">
      <c r="A20382" t="n">
        <v>20381</v>
      </c>
      <c r="B20382" t="inlineStr">
        <is>
          <t>x̄x̄CCCLXXXI</t>
        </is>
      </c>
      <c r="C20382">
        <f>ROMAN(20381)</f>
        <v/>
      </c>
      <c r="D20382">
        <f>IF(B20382=C20382, "YES", "WRONG")</f>
        <v/>
      </c>
    </row>
    <row r="20383">
      <c r="A20383" t="n">
        <v>20382</v>
      </c>
      <c r="B20383" t="inlineStr">
        <is>
          <t>x̄x̄CCCLXXXII</t>
        </is>
      </c>
      <c r="C20383">
        <f>ROMAN(20382)</f>
        <v/>
      </c>
      <c r="D20383">
        <f>IF(B20383=C20383, "YES", "WRONG")</f>
        <v/>
      </c>
    </row>
    <row r="20384">
      <c r="A20384" t="n">
        <v>20383</v>
      </c>
      <c r="B20384" t="inlineStr">
        <is>
          <t>x̄x̄CCCLXXXIII</t>
        </is>
      </c>
      <c r="C20384">
        <f>ROMAN(20383)</f>
        <v/>
      </c>
      <c r="D20384">
        <f>IF(B20384=C20384, "YES", "WRONG")</f>
        <v/>
      </c>
    </row>
    <row r="20385">
      <c r="A20385" t="n">
        <v>20384</v>
      </c>
      <c r="B20385" t="inlineStr">
        <is>
          <t>x̄x̄CCCLXXXIV</t>
        </is>
      </c>
      <c r="C20385">
        <f>ROMAN(20384)</f>
        <v/>
      </c>
      <c r="D20385">
        <f>IF(B20385=C20385, "YES", "WRONG")</f>
        <v/>
      </c>
    </row>
    <row r="20386">
      <c r="A20386" t="n">
        <v>20385</v>
      </c>
      <c r="B20386" t="inlineStr">
        <is>
          <t>x̄x̄CCCLXXXV</t>
        </is>
      </c>
      <c r="C20386">
        <f>ROMAN(20385)</f>
        <v/>
      </c>
      <c r="D20386">
        <f>IF(B20386=C20386, "YES", "WRONG")</f>
        <v/>
      </c>
    </row>
    <row r="20387">
      <c r="A20387" t="n">
        <v>20386</v>
      </c>
      <c r="B20387" t="inlineStr">
        <is>
          <t>x̄x̄CCCLXXXVI</t>
        </is>
      </c>
      <c r="C20387">
        <f>ROMAN(20386)</f>
        <v/>
      </c>
      <c r="D20387">
        <f>IF(B20387=C20387, "YES", "WRONG")</f>
        <v/>
      </c>
    </row>
    <row r="20388">
      <c r="A20388" t="n">
        <v>20387</v>
      </c>
      <c r="B20388" t="inlineStr">
        <is>
          <t>x̄x̄CCCLXXXVII</t>
        </is>
      </c>
      <c r="C20388">
        <f>ROMAN(20387)</f>
        <v/>
      </c>
      <c r="D20388">
        <f>IF(B20388=C20388, "YES", "WRONG")</f>
        <v/>
      </c>
    </row>
    <row r="20389">
      <c r="A20389" t="n">
        <v>20388</v>
      </c>
      <c r="B20389" t="inlineStr">
        <is>
          <t>x̄x̄CCCLXXXVIII</t>
        </is>
      </c>
      <c r="C20389">
        <f>ROMAN(20388)</f>
        <v/>
      </c>
      <c r="D20389">
        <f>IF(B20389=C20389, "YES", "WRONG")</f>
        <v/>
      </c>
    </row>
    <row r="20390">
      <c r="A20390" t="n">
        <v>20389</v>
      </c>
      <c r="B20390" t="inlineStr">
        <is>
          <t>x̄x̄CCCLXXXIX</t>
        </is>
      </c>
      <c r="C20390">
        <f>ROMAN(20389)</f>
        <v/>
      </c>
      <c r="D20390">
        <f>IF(B20390=C20390, "YES", "WRONG")</f>
        <v/>
      </c>
    </row>
    <row r="20391">
      <c r="A20391" t="n">
        <v>20390</v>
      </c>
      <c r="B20391" t="inlineStr">
        <is>
          <t>x̄x̄CCCXC</t>
        </is>
      </c>
      <c r="C20391">
        <f>ROMAN(20390)</f>
        <v/>
      </c>
      <c r="D20391">
        <f>IF(B20391=C20391, "YES", "WRONG")</f>
        <v/>
      </c>
    </row>
    <row r="20392">
      <c r="A20392" t="n">
        <v>20391</v>
      </c>
      <c r="B20392" t="inlineStr">
        <is>
          <t>x̄x̄CCCXCI</t>
        </is>
      </c>
      <c r="C20392">
        <f>ROMAN(20391)</f>
        <v/>
      </c>
      <c r="D20392">
        <f>IF(B20392=C20392, "YES", "WRONG")</f>
        <v/>
      </c>
    </row>
    <row r="20393">
      <c r="A20393" t="n">
        <v>20392</v>
      </c>
      <c r="B20393" t="inlineStr">
        <is>
          <t>x̄x̄CCCXCII</t>
        </is>
      </c>
      <c r="C20393">
        <f>ROMAN(20392)</f>
        <v/>
      </c>
      <c r="D20393">
        <f>IF(B20393=C20393, "YES", "WRONG")</f>
        <v/>
      </c>
    </row>
    <row r="20394">
      <c r="A20394" t="n">
        <v>20393</v>
      </c>
      <c r="B20394" t="inlineStr">
        <is>
          <t>x̄x̄CCCXCIII</t>
        </is>
      </c>
      <c r="C20394">
        <f>ROMAN(20393)</f>
        <v/>
      </c>
      <c r="D20394">
        <f>IF(B20394=C20394, "YES", "WRONG")</f>
        <v/>
      </c>
    </row>
    <row r="20395">
      <c r="A20395" t="n">
        <v>20394</v>
      </c>
      <c r="B20395" t="inlineStr">
        <is>
          <t>x̄x̄CCCXCIV</t>
        </is>
      </c>
      <c r="C20395">
        <f>ROMAN(20394)</f>
        <v/>
      </c>
      <c r="D20395">
        <f>IF(B20395=C20395, "YES", "WRONG")</f>
        <v/>
      </c>
    </row>
    <row r="20396">
      <c r="A20396" t="n">
        <v>20395</v>
      </c>
      <c r="B20396" t="inlineStr">
        <is>
          <t>x̄x̄CCCXCV</t>
        </is>
      </c>
      <c r="C20396">
        <f>ROMAN(20395)</f>
        <v/>
      </c>
      <c r="D20396">
        <f>IF(B20396=C20396, "YES", "WRONG")</f>
        <v/>
      </c>
    </row>
    <row r="20397">
      <c r="A20397" t="n">
        <v>20396</v>
      </c>
      <c r="B20397" t="inlineStr">
        <is>
          <t>x̄x̄CCCXCVI</t>
        </is>
      </c>
      <c r="C20397">
        <f>ROMAN(20396)</f>
        <v/>
      </c>
      <c r="D20397">
        <f>IF(B20397=C20397, "YES", "WRONG")</f>
        <v/>
      </c>
    </row>
    <row r="20398">
      <c r="A20398" t="n">
        <v>20397</v>
      </c>
      <c r="B20398" t="inlineStr">
        <is>
          <t>x̄x̄CCCXCVII</t>
        </is>
      </c>
      <c r="C20398">
        <f>ROMAN(20397)</f>
        <v/>
      </c>
      <c r="D20398">
        <f>IF(B20398=C20398, "YES", "WRONG")</f>
        <v/>
      </c>
    </row>
    <row r="20399">
      <c r="A20399" t="n">
        <v>20398</v>
      </c>
      <c r="B20399" t="inlineStr">
        <is>
          <t>x̄x̄CCCXCVIII</t>
        </is>
      </c>
      <c r="C20399">
        <f>ROMAN(20398)</f>
        <v/>
      </c>
      <c r="D20399">
        <f>IF(B20399=C20399, "YES", "WRONG")</f>
        <v/>
      </c>
    </row>
    <row r="20400">
      <c r="A20400" t="n">
        <v>20399</v>
      </c>
      <c r="B20400" t="inlineStr">
        <is>
          <t>x̄x̄CCCXCIX</t>
        </is>
      </c>
      <c r="C20400">
        <f>ROMAN(20399)</f>
        <v/>
      </c>
      <c r="D20400">
        <f>IF(B20400=C20400, "YES", "WRONG")</f>
        <v/>
      </c>
    </row>
    <row r="20401">
      <c r="A20401" t="n">
        <v>20400</v>
      </c>
      <c r="B20401" t="inlineStr">
        <is>
          <t>x̄x̄CD</t>
        </is>
      </c>
      <c r="C20401">
        <f>ROMAN(20400)</f>
        <v/>
      </c>
      <c r="D20401">
        <f>IF(B20401=C20401, "YES", "WRONG")</f>
        <v/>
      </c>
    </row>
    <row r="20402">
      <c r="A20402" t="n">
        <v>20401</v>
      </c>
      <c r="B20402" t="inlineStr">
        <is>
          <t>x̄x̄CDI</t>
        </is>
      </c>
      <c r="C20402">
        <f>ROMAN(20401)</f>
        <v/>
      </c>
      <c r="D20402">
        <f>IF(B20402=C20402, "YES", "WRONG")</f>
        <v/>
      </c>
    </row>
    <row r="20403">
      <c r="A20403" t="n">
        <v>20402</v>
      </c>
      <c r="B20403" t="inlineStr">
        <is>
          <t>x̄x̄CDII</t>
        </is>
      </c>
      <c r="C20403">
        <f>ROMAN(20402)</f>
        <v/>
      </c>
      <c r="D20403">
        <f>IF(B20403=C20403, "YES", "WRONG")</f>
        <v/>
      </c>
    </row>
    <row r="20404">
      <c r="A20404" t="n">
        <v>20403</v>
      </c>
      <c r="B20404" t="inlineStr">
        <is>
          <t>x̄x̄CDIII</t>
        </is>
      </c>
      <c r="C20404">
        <f>ROMAN(20403)</f>
        <v/>
      </c>
      <c r="D20404">
        <f>IF(B20404=C20404, "YES", "WRONG")</f>
        <v/>
      </c>
    </row>
    <row r="20405">
      <c r="A20405" t="n">
        <v>20404</v>
      </c>
      <c r="B20405" t="inlineStr">
        <is>
          <t>x̄x̄CDIV</t>
        </is>
      </c>
      <c r="C20405">
        <f>ROMAN(20404)</f>
        <v/>
      </c>
      <c r="D20405">
        <f>IF(B20405=C20405, "YES", "WRONG")</f>
        <v/>
      </c>
    </row>
    <row r="20406">
      <c r="A20406" t="n">
        <v>20405</v>
      </c>
      <c r="B20406" t="inlineStr">
        <is>
          <t>x̄x̄CDV</t>
        </is>
      </c>
      <c r="C20406">
        <f>ROMAN(20405)</f>
        <v/>
      </c>
      <c r="D20406">
        <f>IF(B20406=C20406, "YES", "WRONG")</f>
        <v/>
      </c>
    </row>
    <row r="20407">
      <c r="A20407" t="n">
        <v>20406</v>
      </c>
      <c r="B20407" t="inlineStr">
        <is>
          <t>x̄x̄CDVI</t>
        </is>
      </c>
      <c r="C20407">
        <f>ROMAN(20406)</f>
        <v/>
      </c>
      <c r="D20407">
        <f>IF(B20407=C20407, "YES", "WRONG")</f>
        <v/>
      </c>
    </row>
    <row r="20408">
      <c r="A20408" t="n">
        <v>20407</v>
      </c>
      <c r="B20408" t="inlineStr">
        <is>
          <t>x̄x̄CDVII</t>
        </is>
      </c>
      <c r="C20408">
        <f>ROMAN(20407)</f>
        <v/>
      </c>
      <c r="D20408">
        <f>IF(B20408=C20408, "YES", "WRONG")</f>
        <v/>
      </c>
    </row>
    <row r="20409">
      <c r="A20409" t="n">
        <v>20408</v>
      </c>
      <c r="B20409" t="inlineStr">
        <is>
          <t>x̄x̄CDVIII</t>
        </is>
      </c>
      <c r="C20409">
        <f>ROMAN(20408)</f>
        <v/>
      </c>
      <c r="D20409">
        <f>IF(B20409=C20409, "YES", "WRONG")</f>
        <v/>
      </c>
    </row>
    <row r="20410">
      <c r="A20410" t="n">
        <v>20409</v>
      </c>
      <c r="B20410" t="inlineStr">
        <is>
          <t>x̄x̄CDIX</t>
        </is>
      </c>
      <c r="C20410">
        <f>ROMAN(20409)</f>
        <v/>
      </c>
      <c r="D20410">
        <f>IF(B20410=C20410, "YES", "WRONG")</f>
        <v/>
      </c>
    </row>
    <row r="20411">
      <c r="A20411" t="n">
        <v>20410</v>
      </c>
      <c r="B20411" t="inlineStr">
        <is>
          <t>x̄x̄CDX</t>
        </is>
      </c>
      <c r="C20411">
        <f>ROMAN(20410)</f>
        <v/>
      </c>
      <c r="D20411">
        <f>IF(B20411=C20411, "YES", "WRONG")</f>
        <v/>
      </c>
    </row>
    <row r="20412">
      <c r="A20412" t="n">
        <v>20411</v>
      </c>
      <c r="B20412" t="inlineStr">
        <is>
          <t>x̄x̄CDXI</t>
        </is>
      </c>
      <c r="C20412">
        <f>ROMAN(20411)</f>
        <v/>
      </c>
      <c r="D20412">
        <f>IF(B20412=C20412, "YES", "WRONG")</f>
        <v/>
      </c>
    </row>
    <row r="20413">
      <c r="A20413" t="n">
        <v>20412</v>
      </c>
      <c r="B20413" t="inlineStr">
        <is>
          <t>x̄x̄CDXII</t>
        </is>
      </c>
      <c r="C20413">
        <f>ROMAN(20412)</f>
        <v/>
      </c>
      <c r="D20413">
        <f>IF(B20413=C20413, "YES", "WRONG")</f>
        <v/>
      </c>
    </row>
    <row r="20414">
      <c r="A20414" t="n">
        <v>20413</v>
      </c>
      <c r="B20414" t="inlineStr">
        <is>
          <t>x̄x̄CDXIII</t>
        </is>
      </c>
      <c r="C20414">
        <f>ROMAN(20413)</f>
        <v/>
      </c>
      <c r="D20414">
        <f>IF(B20414=C20414, "YES", "WRONG")</f>
        <v/>
      </c>
    </row>
    <row r="20415">
      <c r="A20415" t="n">
        <v>20414</v>
      </c>
      <c r="B20415" t="inlineStr">
        <is>
          <t>x̄x̄CDXIV</t>
        </is>
      </c>
      <c r="C20415">
        <f>ROMAN(20414)</f>
        <v/>
      </c>
      <c r="D20415">
        <f>IF(B20415=C20415, "YES", "WRONG")</f>
        <v/>
      </c>
    </row>
    <row r="20416">
      <c r="A20416" t="n">
        <v>20415</v>
      </c>
      <c r="B20416" t="inlineStr">
        <is>
          <t>x̄x̄CDXV</t>
        </is>
      </c>
      <c r="C20416">
        <f>ROMAN(20415)</f>
        <v/>
      </c>
      <c r="D20416">
        <f>IF(B20416=C20416, "YES", "WRONG")</f>
        <v/>
      </c>
    </row>
    <row r="20417">
      <c r="A20417" t="n">
        <v>20416</v>
      </c>
      <c r="B20417" t="inlineStr">
        <is>
          <t>x̄x̄CDXVI</t>
        </is>
      </c>
      <c r="C20417">
        <f>ROMAN(20416)</f>
        <v/>
      </c>
      <c r="D20417">
        <f>IF(B20417=C20417, "YES", "WRONG")</f>
        <v/>
      </c>
    </row>
    <row r="20418">
      <c r="A20418" t="n">
        <v>20417</v>
      </c>
      <c r="B20418" t="inlineStr">
        <is>
          <t>x̄x̄CDXVII</t>
        </is>
      </c>
      <c r="C20418">
        <f>ROMAN(20417)</f>
        <v/>
      </c>
      <c r="D20418">
        <f>IF(B20418=C20418, "YES", "WRONG")</f>
        <v/>
      </c>
    </row>
    <row r="20419">
      <c r="A20419" t="n">
        <v>20418</v>
      </c>
      <c r="B20419" t="inlineStr">
        <is>
          <t>x̄x̄CDXVIII</t>
        </is>
      </c>
      <c r="C20419">
        <f>ROMAN(20418)</f>
        <v/>
      </c>
      <c r="D20419">
        <f>IF(B20419=C20419, "YES", "WRONG")</f>
        <v/>
      </c>
    </row>
    <row r="20420">
      <c r="A20420" t="n">
        <v>20419</v>
      </c>
      <c r="B20420" t="inlineStr">
        <is>
          <t>x̄x̄CDXIX</t>
        </is>
      </c>
      <c r="C20420">
        <f>ROMAN(20419)</f>
        <v/>
      </c>
      <c r="D20420">
        <f>IF(B20420=C20420, "YES", "WRONG")</f>
        <v/>
      </c>
    </row>
    <row r="20421">
      <c r="A20421" t="n">
        <v>20420</v>
      </c>
      <c r="B20421" t="inlineStr">
        <is>
          <t>x̄x̄CDXX</t>
        </is>
      </c>
      <c r="C20421">
        <f>ROMAN(20420)</f>
        <v/>
      </c>
      <c r="D20421">
        <f>IF(B20421=C20421, "YES", "WRONG")</f>
        <v/>
      </c>
    </row>
    <row r="20422">
      <c r="A20422" t="n">
        <v>20421</v>
      </c>
      <c r="B20422" t="inlineStr">
        <is>
          <t>x̄x̄CDXXI</t>
        </is>
      </c>
      <c r="C20422">
        <f>ROMAN(20421)</f>
        <v/>
      </c>
      <c r="D20422">
        <f>IF(B20422=C20422, "YES", "WRONG")</f>
        <v/>
      </c>
    </row>
    <row r="20423">
      <c r="A20423" t="n">
        <v>20422</v>
      </c>
      <c r="B20423" t="inlineStr">
        <is>
          <t>x̄x̄CDXXII</t>
        </is>
      </c>
      <c r="C20423">
        <f>ROMAN(20422)</f>
        <v/>
      </c>
      <c r="D20423">
        <f>IF(B20423=C20423, "YES", "WRONG")</f>
        <v/>
      </c>
    </row>
    <row r="20424">
      <c r="A20424" t="n">
        <v>20423</v>
      </c>
      <c r="B20424" t="inlineStr">
        <is>
          <t>x̄x̄CDXXIII</t>
        </is>
      </c>
      <c r="C20424">
        <f>ROMAN(20423)</f>
        <v/>
      </c>
      <c r="D20424">
        <f>IF(B20424=C20424, "YES", "WRONG")</f>
        <v/>
      </c>
    </row>
    <row r="20425">
      <c r="A20425" t="n">
        <v>20424</v>
      </c>
      <c r="B20425" t="inlineStr">
        <is>
          <t>x̄x̄CDXXIV</t>
        </is>
      </c>
      <c r="C20425">
        <f>ROMAN(20424)</f>
        <v/>
      </c>
      <c r="D20425">
        <f>IF(B20425=C20425, "YES", "WRONG")</f>
        <v/>
      </c>
    </row>
    <row r="20426">
      <c r="A20426" t="n">
        <v>20425</v>
      </c>
      <c r="B20426" t="inlineStr">
        <is>
          <t>x̄x̄CDXXV</t>
        </is>
      </c>
      <c r="C20426">
        <f>ROMAN(20425)</f>
        <v/>
      </c>
      <c r="D20426">
        <f>IF(B20426=C20426, "YES", "WRONG")</f>
        <v/>
      </c>
    </row>
    <row r="20427">
      <c r="A20427" t="n">
        <v>20426</v>
      </c>
      <c r="B20427" t="inlineStr">
        <is>
          <t>x̄x̄CDXXVI</t>
        </is>
      </c>
      <c r="C20427">
        <f>ROMAN(20426)</f>
        <v/>
      </c>
      <c r="D20427">
        <f>IF(B20427=C20427, "YES", "WRONG")</f>
        <v/>
      </c>
    </row>
    <row r="20428">
      <c r="A20428" t="n">
        <v>20427</v>
      </c>
      <c r="B20428" t="inlineStr">
        <is>
          <t>x̄x̄CDXXVII</t>
        </is>
      </c>
      <c r="C20428">
        <f>ROMAN(20427)</f>
        <v/>
      </c>
      <c r="D20428">
        <f>IF(B20428=C20428, "YES", "WRONG")</f>
        <v/>
      </c>
    </row>
    <row r="20429">
      <c r="A20429" t="n">
        <v>20428</v>
      </c>
      <c r="B20429" t="inlineStr">
        <is>
          <t>x̄x̄CDXXVIII</t>
        </is>
      </c>
      <c r="C20429">
        <f>ROMAN(20428)</f>
        <v/>
      </c>
      <c r="D20429">
        <f>IF(B20429=C20429, "YES", "WRONG")</f>
        <v/>
      </c>
    </row>
    <row r="20430">
      <c r="A20430" t="n">
        <v>20429</v>
      </c>
      <c r="B20430" t="inlineStr">
        <is>
          <t>x̄x̄CDXXIX</t>
        </is>
      </c>
      <c r="C20430">
        <f>ROMAN(20429)</f>
        <v/>
      </c>
      <c r="D20430">
        <f>IF(B20430=C20430, "YES", "WRONG")</f>
        <v/>
      </c>
    </row>
    <row r="20431">
      <c r="A20431" t="n">
        <v>20430</v>
      </c>
      <c r="B20431" t="inlineStr">
        <is>
          <t>x̄x̄CDXXX</t>
        </is>
      </c>
      <c r="C20431">
        <f>ROMAN(20430)</f>
        <v/>
      </c>
      <c r="D20431">
        <f>IF(B20431=C20431, "YES", "WRONG")</f>
        <v/>
      </c>
    </row>
    <row r="20432">
      <c r="A20432" t="n">
        <v>20431</v>
      </c>
      <c r="B20432" t="inlineStr">
        <is>
          <t>x̄x̄CDXXXI</t>
        </is>
      </c>
      <c r="C20432">
        <f>ROMAN(20431)</f>
        <v/>
      </c>
      <c r="D20432">
        <f>IF(B20432=C20432, "YES", "WRONG")</f>
        <v/>
      </c>
    </row>
    <row r="20433">
      <c r="A20433" t="n">
        <v>20432</v>
      </c>
      <c r="B20433" t="inlineStr">
        <is>
          <t>x̄x̄CDXXXII</t>
        </is>
      </c>
      <c r="C20433">
        <f>ROMAN(20432)</f>
        <v/>
      </c>
      <c r="D20433">
        <f>IF(B20433=C20433, "YES", "WRONG")</f>
        <v/>
      </c>
    </row>
    <row r="20434">
      <c r="A20434" t="n">
        <v>20433</v>
      </c>
      <c r="B20434" t="inlineStr">
        <is>
          <t>x̄x̄CDXXXIII</t>
        </is>
      </c>
      <c r="C20434">
        <f>ROMAN(20433)</f>
        <v/>
      </c>
      <c r="D20434">
        <f>IF(B20434=C20434, "YES", "WRONG")</f>
        <v/>
      </c>
    </row>
    <row r="20435">
      <c r="A20435" t="n">
        <v>20434</v>
      </c>
      <c r="B20435" t="inlineStr">
        <is>
          <t>x̄x̄CDXXXIV</t>
        </is>
      </c>
      <c r="C20435">
        <f>ROMAN(20434)</f>
        <v/>
      </c>
      <c r="D20435">
        <f>IF(B20435=C20435, "YES", "WRONG")</f>
        <v/>
      </c>
    </row>
    <row r="20436">
      <c r="A20436" t="n">
        <v>20435</v>
      </c>
      <c r="B20436" t="inlineStr">
        <is>
          <t>x̄x̄CDXXXV</t>
        </is>
      </c>
      <c r="C20436">
        <f>ROMAN(20435)</f>
        <v/>
      </c>
      <c r="D20436">
        <f>IF(B20436=C20436, "YES", "WRONG")</f>
        <v/>
      </c>
    </row>
    <row r="20437">
      <c r="A20437" t="n">
        <v>20436</v>
      </c>
      <c r="B20437" t="inlineStr">
        <is>
          <t>x̄x̄CDXXXVI</t>
        </is>
      </c>
      <c r="C20437">
        <f>ROMAN(20436)</f>
        <v/>
      </c>
      <c r="D20437">
        <f>IF(B20437=C20437, "YES", "WRONG")</f>
        <v/>
      </c>
    </row>
    <row r="20438">
      <c r="A20438" t="n">
        <v>20437</v>
      </c>
      <c r="B20438" t="inlineStr">
        <is>
          <t>x̄x̄CDXXXVII</t>
        </is>
      </c>
      <c r="C20438">
        <f>ROMAN(20437)</f>
        <v/>
      </c>
      <c r="D20438">
        <f>IF(B20438=C20438, "YES", "WRONG")</f>
        <v/>
      </c>
    </row>
    <row r="20439">
      <c r="A20439" t="n">
        <v>20438</v>
      </c>
      <c r="B20439" t="inlineStr">
        <is>
          <t>x̄x̄CDXXXVIII</t>
        </is>
      </c>
      <c r="C20439">
        <f>ROMAN(20438)</f>
        <v/>
      </c>
      <c r="D20439">
        <f>IF(B20439=C20439, "YES", "WRONG")</f>
        <v/>
      </c>
    </row>
    <row r="20440">
      <c r="A20440" t="n">
        <v>20439</v>
      </c>
      <c r="B20440" t="inlineStr">
        <is>
          <t>x̄x̄CDXXXIX</t>
        </is>
      </c>
      <c r="C20440">
        <f>ROMAN(20439)</f>
        <v/>
      </c>
      <c r="D20440">
        <f>IF(B20440=C20440, "YES", "WRONG")</f>
        <v/>
      </c>
    </row>
    <row r="20441">
      <c r="A20441" t="n">
        <v>20440</v>
      </c>
      <c r="B20441" t="inlineStr">
        <is>
          <t>x̄x̄CDXL</t>
        </is>
      </c>
      <c r="C20441">
        <f>ROMAN(20440)</f>
        <v/>
      </c>
      <c r="D20441">
        <f>IF(B20441=C20441, "YES", "WRONG")</f>
        <v/>
      </c>
    </row>
    <row r="20442">
      <c r="A20442" t="n">
        <v>20441</v>
      </c>
      <c r="B20442" t="inlineStr">
        <is>
          <t>x̄x̄CDXLI</t>
        </is>
      </c>
      <c r="C20442">
        <f>ROMAN(20441)</f>
        <v/>
      </c>
      <c r="D20442">
        <f>IF(B20442=C20442, "YES", "WRONG")</f>
        <v/>
      </c>
    </row>
    <row r="20443">
      <c r="A20443" t="n">
        <v>20442</v>
      </c>
      <c r="B20443" t="inlineStr">
        <is>
          <t>x̄x̄CDXLII</t>
        </is>
      </c>
      <c r="C20443">
        <f>ROMAN(20442)</f>
        <v/>
      </c>
      <c r="D20443">
        <f>IF(B20443=C20443, "YES", "WRONG")</f>
        <v/>
      </c>
    </row>
    <row r="20444">
      <c r="A20444" t="n">
        <v>20443</v>
      </c>
      <c r="B20444" t="inlineStr">
        <is>
          <t>x̄x̄CDXLIII</t>
        </is>
      </c>
      <c r="C20444">
        <f>ROMAN(20443)</f>
        <v/>
      </c>
      <c r="D20444">
        <f>IF(B20444=C20444, "YES", "WRONG")</f>
        <v/>
      </c>
    </row>
    <row r="20445">
      <c r="A20445" t="n">
        <v>20444</v>
      </c>
      <c r="B20445" t="inlineStr">
        <is>
          <t>x̄x̄CDXLIV</t>
        </is>
      </c>
      <c r="C20445">
        <f>ROMAN(20444)</f>
        <v/>
      </c>
      <c r="D20445">
        <f>IF(B20445=C20445, "YES", "WRONG")</f>
        <v/>
      </c>
    </row>
    <row r="20446">
      <c r="A20446" t="n">
        <v>20445</v>
      </c>
      <c r="B20446" t="inlineStr">
        <is>
          <t>x̄x̄CDXLV</t>
        </is>
      </c>
      <c r="C20446">
        <f>ROMAN(20445)</f>
        <v/>
      </c>
      <c r="D20446">
        <f>IF(B20446=C20446, "YES", "WRONG")</f>
        <v/>
      </c>
    </row>
    <row r="20447">
      <c r="A20447" t="n">
        <v>20446</v>
      </c>
      <c r="B20447" t="inlineStr">
        <is>
          <t>x̄x̄CDXLVI</t>
        </is>
      </c>
      <c r="C20447">
        <f>ROMAN(20446)</f>
        <v/>
      </c>
      <c r="D20447">
        <f>IF(B20447=C20447, "YES", "WRONG")</f>
        <v/>
      </c>
    </row>
    <row r="20448">
      <c r="A20448" t="n">
        <v>20447</v>
      </c>
      <c r="B20448" t="inlineStr">
        <is>
          <t>x̄x̄CDXLVII</t>
        </is>
      </c>
      <c r="C20448">
        <f>ROMAN(20447)</f>
        <v/>
      </c>
      <c r="D20448">
        <f>IF(B20448=C20448, "YES", "WRONG")</f>
        <v/>
      </c>
    </row>
    <row r="20449">
      <c r="A20449" t="n">
        <v>20448</v>
      </c>
      <c r="B20449" t="inlineStr">
        <is>
          <t>x̄x̄CDXLVIII</t>
        </is>
      </c>
      <c r="C20449">
        <f>ROMAN(20448)</f>
        <v/>
      </c>
      <c r="D20449">
        <f>IF(B20449=C20449, "YES", "WRONG")</f>
        <v/>
      </c>
    </row>
    <row r="20450">
      <c r="A20450" t="n">
        <v>20449</v>
      </c>
      <c r="B20450" t="inlineStr">
        <is>
          <t>x̄x̄CDXLIX</t>
        </is>
      </c>
      <c r="C20450">
        <f>ROMAN(20449)</f>
        <v/>
      </c>
      <c r="D20450">
        <f>IF(B20450=C20450, "YES", "WRONG")</f>
        <v/>
      </c>
    </row>
    <row r="20451">
      <c r="A20451" t="n">
        <v>20450</v>
      </c>
      <c r="B20451" t="inlineStr">
        <is>
          <t>x̄x̄CDL</t>
        </is>
      </c>
      <c r="C20451">
        <f>ROMAN(20450)</f>
        <v/>
      </c>
      <c r="D20451">
        <f>IF(B20451=C20451, "YES", "WRONG")</f>
        <v/>
      </c>
    </row>
    <row r="20452">
      <c r="A20452" t="n">
        <v>20451</v>
      </c>
      <c r="B20452" t="inlineStr">
        <is>
          <t>x̄x̄CDLI</t>
        </is>
      </c>
      <c r="C20452">
        <f>ROMAN(20451)</f>
        <v/>
      </c>
      <c r="D20452">
        <f>IF(B20452=C20452, "YES", "WRONG")</f>
        <v/>
      </c>
    </row>
    <row r="20453">
      <c r="A20453" t="n">
        <v>20452</v>
      </c>
      <c r="B20453" t="inlineStr">
        <is>
          <t>x̄x̄CDLII</t>
        </is>
      </c>
      <c r="C20453">
        <f>ROMAN(20452)</f>
        <v/>
      </c>
      <c r="D20453">
        <f>IF(B20453=C20453, "YES", "WRONG")</f>
        <v/>
      </c>
    </row>
    <row r="20454">
      <c r="A20454" t="n">
        <v>20453</v>
      </c>
      <c r="B20454" t="inlineStr">
        <is>
          <t>x̄x̄CDLIII</t>
        </is>
      </c>
      <c r="C20454">
        <f>ROMAN(20453)</f>
        <v/>
      </c>
      <c r="D20454">
        <f>IF(B20454=C20454, "YES", "WRONG")</f>
        <v/>
      </c>
    </row>
    <row r="20455">
      <c r="A20455" t="n">
        <v>20454</v>
      </c>
      <c r="B20455" t="inlineStr">
        <is>
          <t>x̄x̄CDLIV</t>
        </is>
      </c>
      <c r="C20455">
        <f>ROMAN(20454)</f>
        <v/>
      </c>
      <c r="D20455">
        <f>IF(B20455=C20455, "YES", "WRONG")</f>
        <v/>
      </c>
    </row>
    <row r="20456">
      <c r="A20456" t="n">
        <v>20455</v>
      </c>
      <c r="B20456" t="inlineStr">
        <is>
          <t>x̄x̄CDLV</t>
        </is>
      </c>
      <c r="C20456">
        <f>ROMAN(20455)</f>
        <v/>
      </c>
      <c r="D20456">
        <f>IF(B20456=C20456, "YES", "WRONG")</f>
        <v/>
      </c>
    </row>
    <row r="20457">
      <c r="A20457" t="n">
        <v>20456</v>
      </c>
      <c r="B20457" t="inlineStr">
        <is>
          <t>x̄x̄CDLVI</t>
        </is>
      </c>
      <c r="C20457">
        <f>ROMAN(20456)</f>
        <v/>
      </c>
      <c r="D20457">
        <f>IF(B20457=C20457, "YES", "WRONG")</f>
        <v/>
      </c>
    </row>
    <row r="20458">
      <c r="A20458" t="n">
        <v>20457</v>
      </c>
      <c r="B20458" t="inlineStr">
        <is>
          <t>x̄x̄CDLVII</t>
        </is>
      </c>
      <c r="C20458">
        <f>ROMAN(20457)</f>
        <v/>
      </c>
      <c r="D20458">
        <f>IF(B20458=C20458, "YES", "WRONG")</f>
        <v/>
      </c>
    </row>
    <row r="20459">
      <c r="A20459" t="n">
        <v>20458</v>
      </c>
      <c r="B20459" t="inlineStr">
        <is>
          <t>x̄x̄CDLVIII</t>
        </is>
      </c>
      <c r="C20459">
        <f>ROMAN(20458)</f>
        <v/>
      </c>
      <c r="D20459">
        <f>IF(B20459=C20459, "YES", "WRONG")</f>
        <v/>
      </c>
    </row>
    <row r="20460">
      <c r="A20460" t="n">
        <v>20459</v>
      </c>
      <c r="B20460" t="inlineStr">
        <is>
          <t>x̄x̄CDLIX</t>
        </is>
      </c>
      <c r="C20460">
        <f>ROMAN(20459)</f>
        <v/>
      </c>
      <c r="D20460">
        <f>IF(B20460=C20460, "YES", "WRONG")</f>
        <v/>
      </c>
    </row>
    <row r="20461">
      <c r="A20461" t="n">
        <v>20460</v>
      </c>
      <c r="B20461" t="inlineStr">
        <is>
          <t>x̄x̄CDLX</t>
        </is>
      </c>
      <c r="C20461">
        <f>ROMAN(20460)</f>
        <v/>
      </c>
      <c r="D20461">
        <f>IF(B20461=C20461, "YES", "WRONG")</f>
        <v/>
      </c>
    </row>
    <row r="20462">
      <c r="A20462" t="n">
        <v>20461</v>
      </c>
      <c r="B20462" t="inlineStr">
        <is>
          <t>x̄x̄CDLXI</t>
        </is>
      </c>
      <c r="C20462">
        <f>ROMAN(20461)</f>
        <v/>
      </c>
      <c r="D20462">
        <f>IF(B20462=C20462, "YES", "WRONG")</f>
        <v/>
      </c>
    </row>
    <row r="20463">
      <c r="A20463" t="n">
        <v>20462</v>
      </c>
      <c r="B20463" t="inlineStr">
        <is>
          <t>x̄x̄CDLXII</t>
        </is>
      </c>
      <c r="C20463">
        <f>ROMAN(20462)</f>
        <v/>
      </c>
      <c r="D20463">
        <f>IF(B20463=C20463, "YES", "WRONG")</f>
        <v/>
      </c>
    </row>
    <row r="20464">
      <c r="A20464" t="n">
        <v>20463</v>
      </c>
      <c r="B20464" t="inlineStr">
        <is>
          <t>x̄x̄CDLXIII</t>
        </is>
      </c>
      <c r="C20464">
        <f>ROMAN(20463)</f>
        <v/>
      </c>
      <c r="D20464">
        <f>IF(B20464=C20464, "YES", "WRONG")</f>
        <v/>
      </c>
    </row>
    <row r="20465">
      <c r="A20465" t="n">
        <v>20464</v>
      </c>
      <c r="B20465" t="inlineStr">
        <is>
          <t>x̄x̄CDLXIV</t>
        </is>
      </c>
      <c r="C20465">
        <f>ROMAN(20464)</f>
        <v/>
      </c>
      <c r="D20465">
        <f>IF(B20465=C20465, "YES", "WRONG")</f>
        <v/>
      </c>
    </row>
    <row r="20466">
      <c r="A20466" t="n">
        <v>20465</v>
      </c>
      <c r="B20466" t="inlineStr">
        <is>
          <t>x̄x̄CDLXV</t>
        </is>
      </c>
      <c r="C20466">
        <f>ROMAN(20465)</f>
        <v/>
      </c>
      <c r="D20466">
        <f>IF(B20466=C20466, "YES", "WRONG")</f>
        <v/>
      </c>
    </row>
    <row r="20467">
      <c r="A20467" t="n">
        <v>20466</v>
      </c>
      <c r="B20467" t="inlineStr">
        <is>
          <t>x̄x̄CDLXVI</t>
        </is>
      </c>
      <c r="C20467">
        <f>ROMAN(20466)</f>
        <v/>
      </c>
      <c r="D20467">
        <f>IF(B20467=C20467, "YES", "WRONG")</f>
        <v/>
      </c>
    </row>
    <row r="20468">
      <c r="A20468" t="n">
        <v>20467</v>
      </c>
      <c r="B20468" t="inlineStr">
        <is>
          <t>x̄x̄CDLXVII</t>
        </is>
      </c>
      <c r="C20468">
        <f>ROMAN(20467)</f>
        <v/>
      </c>
      <c r="D20468">
        <f>IF(B20468=C20468, "YES", "WRONG")</f>
        <v/>
      </c>
    </row>
    <row r="20469">
      <c r="A20469" t="n">
        <v>20468</v>
      </c>
      <c r="B20469" t="inlineStr">
        <is>
          <t>x̄x̄CDLXVIII</t>
        </is>
      </c>
      <c r="C20469">
        <f>ROMAN(20468)</f>
        <v/>
      </c>
      <c r="D20469">
        <f>IF(B20469=C20469, "YES", "WRONG")</f>
        <v/>
      </c>
    </row>
    <row r="20470">
      <c r="A20470" t="n">
        <v>20469</v>
      </c>
      <c r="B20470" t="inlineStr">
        <is>
          <t>x̄x̄CDLXIX</t>
        </is>
      </c>
      <c r="C20470">
        <f>ROMAN(20469)</f>
        <v/>
      </c>
      <c r="D20470">
        <f>IF(B20470=C20470, "YES", "WRONG")</f>
        <v/>
      </c>
    </row>
    <row r="20471">
      <c r="A20471" t="n">
        <v>20470</v>
      </c>
      <c r="B20471" t="inlineStr">
        <is>
          <t>x̄x̄CDLXX</t>
        </is>
      </c>
      <c r="C20471">
        <f>ROMAN(20470)</f>
        <v/>
      </c>
      <c r="D20471">
        <f>IF(B20471=C20471, "YES", "WRONG")</f>
        <v/>
      </c>
    </row>
    <row r="20472">
      <c r="A20472" t="n">
        <v>20471</v>
      </c>
      <c r="B20472" t="inlineStr">
        <is>
          <t>x̄x̄CDLXXI</t>
        </is>
      </c>
      <c r="C20472">
        <f>ROMAN(20471)</f>
        <v/>
      </c>
      <c r="D20472">
        <f>IF(B20472=C20472, "YES", "WRONG")</f>
        <v/>
      </c>
    </row>
    <row r="20473">
      <c r="A20473" t="n">
        <v>20472</v>
      </c>
      <c r="B20473" t="inlineStr">
        <is>
          <t>x̄x̄CDLXXII</t>
        </is>
      </c>
      <c r="C20473">
        <f>ROMAN(20472)</f>
        <v/>
      </c>
      <c r="D20473">
        <f>IF(B20473=C20473, "YES", "WRONG")</f>
        <v/>
      </c>
    </row>
    <row r="20474">
      <c r="A20474" t="n">
        <v>20473</v>
      </c>
      <c r="B20474" t="inlineStr">
        <is>
          <t>x̄x̄CDLXXIII</t>
        </is>
      </c>
      <c r="C20474">
        <f>ROMAN(20473)</f>
        <v/>
      </c>
      <c r="D20474">
        <f>IF(B20474=C20474, "YES", "WRONG")</f>
        <v/>
      </c>
    </row>
    <row r="20475">
      <c r="A20475" t="n">
        <v>20474</v>
      </c>
      <c r="B20475" t="inlineStr">
        <is>
          <t>x̄x̄CDLXXIV</t>
        </is>
      </c>
      <c r="C20475">
        <f>ROMAN(20474)</f>
        <v/>
      </c>
      <c r="D20475">
        <f>IF(B20475=C20475, "YES", "WRONG")</f>
        <v/>
      </c>
    </row>
    <row r="20476">
      <c r="A20476" t="n">
        <v>20475</v>
      </c>
      <c r="B20476" t="inlineStr">
        <is>
          <t>x̄x̄CDLXXV</t>
        </is>
      </c>
      <c r="C20476">
        <f>ROMAN(20475)</f>
        <v/>
      </c>
      <c r="D20476">
        <f>IF(B20476=C20476, "YES", "WRONG")</f>
        <v/>
      </c>
    </row>
    <row r="20477">
      <c r="A20477" t="n">
        <v>20476</v>
      </c>
      <c r="B20477" t="inlineStr">
        <is>
          <t>x̄x̄CDLXXVI</t>
        </is>
      </c>
      <c r="C20477">
        <f>ROMAN(20476)</f>
        <v/>
      </c>
      <c r="D20477">
        <f>IF(B20477=C20477, "YES", "WRONG")</f>
        <v/>
      </c>
    </row>
    <row r="20478">
      <c r="A20478" t="n">
        <v>20477</v>
      </c>
      <c r="B20478" t="inlineStr">
        <is>
          <t>x̄x̄CDLXXVII</t>
        </is>
      </c>
      <c r="C20478">
        <f>ROMAN(20477)</f>
        <v/>
      </c>
      <c r="D20478">
        <f>IF(B20478=C20478, "YES", "WRONG")</f>
        <v/>
      </c>
    </row>
    <row r="20479">
      <c r="A20479" t="n">
        <v>20478</v>
      </c>
      <c r="B20479" t="inlineStr">
        <is>
          <t>x̄x̄CDLXXVIII</t>
        </is>
      </c>
      <c r="C20479">
        <f>ROMAN(20478)</f>
        <v/>
      </c>
      <c r="D20479">
        <f>IF(B20479=C20479, "YES", "WRONG")</f>
        <v/>
      </c>
    </row>
    <row r="20480">
      <c r="A20480" t="n">
        <v>20479</v>
      </c>
      <c r="B20480" t="inlineStr">
        <is>
          <t>x̄x̄CDLXXIX</t>
        </is>
      </c>
      <c r="C20480">
        <f>ROMAN(20479)</f>
        <v/>
      </c>
      <c r="D20480">
        <f>IF(B20480=C20480, "YES", "WRONG")</f>
        <v/>
      </c>
    </row>
    <row r="20481">
      <c r="A20481" t="n">
        <v>20480</v>
      </c>
      <c r="B20481" t="inlineStr">
        <is>
          <t>x̄x̄CDLXXX</t>
        </is>
      </c>
      <c r="C20481">
        <f>ROMAN(20480)</f>
        <v/>
      </c>
      <c r="D20481">
        <f>IF(B20481=C20481, "YES", "WRONG")</f>
        <v/>
      </c>
    </row>
    <row r="20482">
      <c r="A20482" t="n">
        <v>20481</v>
      </c>
      <c r="B20482" t="inlineStr">
        <is>
          <t>x̄x̄CDLXXXI</t>
        </is>
      </c>
      <c r="C20482">
        <f>ROMAN(20481)</f>
        <v/>
      </c>
      <c r="D20482">
        <f>IF(B20482=C20482, "YES", "WRONG")</f>
        <v/>
      </c>
    </row>
    <row r="20483">
      <c r="A20483" t="n">
        <v>20482</v>
      </c>
      <c r="B20483" t="inlineStr">
        <is>
          <t>x̄x̄CDLXXXII</t>
        </is>
      </c>
      <c r="C20483">
        <f>ROMAN(20482)</f>
        <v/>
      </c>
      <c r="D20483">
        <f>IF(B20483=C20483, "YES", "WRONG")</f>
        <v/>
      </c>
    </row>
    <row r="20484">
      <c r="A20484" t="n">
        <v>20483</v>
      </c>
      <c r="B20484" t="inlineStr">
        <is>
          <t>x̄x̄CDLXXXIII</t>
        </is>
      </c>
      <c r="C20484">
        <f>ROMAN(20483)</f>
        <v/>
      </c>
      <c r="D20484">
        <f>IF(B20484=C20484, "YES", "WRONG")</f>
        <v/>
      </c>
    </row>
    <row r="20485">
      <c r="A20485" t="n">
        <v>20484</v>
      </c>
      <c r="B20485" t="inlineStr">
        <is>
          <t>x̄x̄CDLXXXIV</t>
        </is>
      </c>
      <c r="C20485">
        <f>ROMAN(20484)</f>
        <v/>
      </c>
      <c r="D20485">
        <f>IF(B20485=C20485, "YES", "WRONG")</f>
        <v/>
      </c>
    </row>
    <row r="20486">
      <c r="A20486" t="n">
        <v>20485</v>
      </c>
      <c r="B20486" t="inlineStr">
        <is>
          <t>x̄x̄CDLXXXV</t>
        </is>
      </c>
      <c r="C20486">
        <f>ROMAN(20485)</f>
        <v/>
      </c>
      <c r="D20486">
        <f>IF(B20486=C20486, "YES", "WRONG")</f>
        <v/>
      </c>
    </row>
    <row r="20487">
      <c r="A20487" t="n">
        <v>20486</v>
      </c>
      <c r="B20487" t="inlineStr">
        <is>
          <t>x̄x̄CDLXXXVI</t>
        </is>
      </c>
      <c r="C20487">
        <f>ROMAN(20486)</f>
        <v/>
      </c>
      <c r="D20487">
        <f>IF(B20487=C20487, "YES", "WRONG")</f>
        <v/>
      </c>
    </row>
    <row r="20488">
      <c r="A20488" t="n">
        <v>20487</v>
      </c>
      <c r="B20488" t="inlineStr">
        <is>
          <t>x̄x̄CDLXXXVII</t>
        </is>
      </c>
      <c r="C20488">
        <f>ROMAN(20487)</f>
        <v/>
      </c>
      <c r="D20488">
        <f>IF(B20488=C20488, "YES", "WRONG")</f>
        <v/>
      </c>
    </row>
    <row r="20489">
      <c r="A20489" t="n">
        <v>20488</v>
      </c>
      <c r="B20489" t="inlineStr">
        <is>
          <t>x̄x̄CDLXXXVIII</t>
        </is>
      </c>
      <c r="C20489">
        <f>ROMAN(20488)</f>
        <v/>
      </c>
      <c r="D20489">
        <f>IF(B20489=C20489, "YES", "WRONG")</f>
        <v/>
      </c>
    </row>
    <row r="20490">
      <c r="A20490" t="n">
        <v>20489</v>
      </c>
      <c r="B20490" t="inlineStr">
        <is>
          <t>x̄x̄CDLXXXIX</t>
        </is>
      </c>
      <c r="C20490">
        <f>ROMAN(20489)</f>
        <v/>
      </c>
      <c r="D20490">
        <f>IF(B20490=C20490, "YES", "WRONG")</f>
        <v/>
      </c>
    </row>
    <row r="20491">
      <c r="A20491" t="n">
        <v>20490</v>
      </c>
      <c r="B20491" t="inlineStr">
        <is>
          <t>x̄x̄CDXC</t>
        </is>
      </c>
      <c r="C20491">
        <f>ROMAN(20490)</f>
        <v/>
      </c>
      <c r="D20491">
        <f>IF(B20491=C20491, "YES", "WRONG")</f>
        <v/>
      </c>
    </row>
    <row r="20492">
      <c r="A20492" t="n">
        <v>20491</v>
      </c>
      <c r="B20492" t="inlineStr">
        <is>
          <t>x̄x̄CDXCI</t>
        </is>
      </c>
      <c r="C20492">
        <f>ROMAN(20491)</f>
        <v/>
      </c>
      <c r="D20492">
        <f>IF(B20492=C20492, "YES", "WRONG")</f>
        <v/>
      </c>
    </row>
    <row r="20493">
      <c r="A20493" t="n">
        <v>20492</v>
      </c>
      <c r="B20493" t="inlineStr">
        <is>
          <t>x̄x̄CDXCII</t>
        </is>
      </c>
      <c r="C20493">
        <f>ROMAN(20492)</f>
        <v/>
      </c>
      <c r="D20493">
        <f>IF(B20493=C20493, "YES", "WRONG")</f>
        <v/>
      </c>
    </row>
    <row r="20494">
      <c r="A20494" t="n">
        <v>20493</v>
      </c>
      <c r="B20494" t="inlineStr">
        <is>
          <t>x̄x̄CDXCIII</t>
        </is>
      </c>
      <c r="C20494">
        <f>ROMAN(20493)</f>
        <v/>
      </c>
      <c r="D20494">
        <f>IF(B20494=C20494, "YES", "WRONG")</f>
        <v/>
      </c>
    </row>
    <row r="20495">
      <c r="A20495" t="n">
        <v>20494</v>
      </c>
      <c r="B20495" t="inlineStr">
        <is>
          <t>x̄x̄CDXCIV</t>
        </is>
      </c>
      <c r="C20495">
        <f>ROMAN(20494)</f>
        <v/>
      </c>
      <c r="D20495">
        <f>IF(B20495=C20495, "YES", "WRONG")</f>
        <v/>
      </c>
    </row>
    <row r="20496">
      <c r="A20496" t="n">
        <v>20495</v>
      </c>
      <c r="B20496" t="inlineStr">
        <is>
          <t>x̄x̄CDXCV</t>
        </is>
      </c>
      <c r="C20496">
        <f>ROMAN(20495)</f>
        <v/>
      </c>
      <c r="D20496">
        <f>IF(B20496=C20496, "YES", "WRONG")</f>
        <v/>
      </c>
    </row>
    <row r="20497">
      <c r="A20497" t="n">
        <v>20496</v>
      </c>
      <c r="B20497" t="inlineStr">
        <is>
          <t>x̄x̄CDXCVI</t>
        </is>
      </c>
      <c r="C20497">
        <f>ROMAN(20496)</f>
        <v/>
      </c>
      <c r="D20497">
        <f>IF(B20497=C20497, "YES", "WRONG")</f>
        <v/>
      </c>
    </row>
    <row r="20498">
      <c r="A20498" t="n">
        <v>20497</v>
      </c>
      <c r="B20498" t="inlineStr">
        <is>
          <t>x̄x̄CDXCVII</t>
        </is>
      </c>
      <c r="C20498">
        <f>ROMAN(20497)</f>
        <v/>
      </c>
      <c r="D20498">
        <f>IF(B20498=C20498, "YES", "WRONG")</f>
        <v/>
      </c>
    </row>
    <row r="20499">
      <c r="A20499" t="n">
        <v>20498</v>
      </c>
      <c r="B20499" t="inlineStr">
        <is>
          <t>x̄x̄CDXCVIII</t>
        </is>
      </c>
      <c r="C20499">
        <f>ROMAN(20498)</f>
        <v/>
      </c>
      <c r="D20499">
        <f>IF(B20499=C20499, "YES", "WRONG")</f>
        <v/>
      </c>
    </row>
    <row r="20500">
      <c r="A20500" t="n">
        <v>20499</v>
      </c>
      <c r="B20500" t="inlineStr">
        <is>
          <t>x̄x̄CDXCIX</t>
        </is>
      </c>
      <c r="C20500">
        <f>ROMAN(20499)</f>
        <v/>
      </c>
      <c r="D20500">
        <f>IF(B20500=C20500, "YES", "WRONG")</f>
        <v/>
      </c>
    </row>
    <row r="20501">
      <c r="A20501" t="n">
        <v>20500</v>
      </c>
      <c r="B20501" t="inlineStr">
        <is>
          <t>x̄x̄D</t>
        </is>
      </c>
      <c r="C20501">
        <f>ROMAN(20500)</f>
        <v/>
      </c>
      <c r="D20501">
        <f>IF(B20501=C20501, "YES", "WRONG")</f>
        <v/>
      </c>
    </row>
    <row r="20502">
      <c r="A20502" t="n">
        <v>20501</v>
      </c>
      <c r="B20502" t="inlineStr">
        <is>
          <t>x̄x̄DI</t>
        </is>
      </c>
      <c r="C20502">
        <f>ROMAN(20501)</f>
        <v/>
      </c>
      <c r="D20502">
        <f>IF(B20502=C20502, "YES", "WRONG")</f>
        <v/>
      </c>
    </row>
    <row r="20503">
      <c r="A20503" t="n">
        <v>20502</v>
      </c>
      <c r="B20503" t="inlineStr">
        <is>
          <t>x̄x̄DII</t>
        </is>
      </c>
      <c r="C20503">
        <f>ROMAN(20502)</f>
        <v/>
      </c>
      <c r="D20503">
        <f>IF(B20503=C20503, "YES", "WRONG")</f>
        <v/>
      </c>
    </row>
    <row r="20504">
      <c r="A20504" t="n">
        <v>20503</v>
      </c>
      <c r="B20504" t="inlineStr">
        <is>
          <t>x̄x̄DIII</t>
        </is>
      </c>
      <c r="C20504">
        <f>ROMAN(20503)</f>
        <v/>
      </c>
      <c r="D20504">
        <f>IF(B20504=C20504, "YES", "WRONG")</f>
        <v/>
      </c>
    </row>
    <row r="20505">
      <c r="A20505" t="n">
        <v>20504</v>
      </c>
      <c r="B20505" t="inlineStr">
        <is>
          <t>x̄x̄DIV</t>
        </is>
      </c>
      <c r="C20505">
        <f>ROMAN(20504)</f>
        <v/>
      </c>
      <c r="D20505">
        <f>IF(B20505=C20505, "YES", "WRONG")</f>
        <v/>
      </c>
    </row>
    <row r="20506">
      <c r="A20506" t="n">
        <v>20505</v>
      </c>
      <c r="B20506" t="inlineStr">
        <is>
          <t>x̄x̄DV</t>
        </is>
      </c>
      <c r="C20506">
        <f>ROMAN(20505)</f>
        <v/>
      </c>
      <c r="D20506">
        <f>IF(B20506=C20506, "YES", "WRONG")</f>
        <v/>
      </c>
    </row>
    <row r="20507">
      <c r="A20507" t="n">
        <v>20506</v>
      </c>
      <c r="B20507" t="inlineStr">
        <is>
          <t>x̄x̄DVI</t>
        </is>
      </c>
      <c r="C20507">
        <f>ROMAN(20506)</f>
        <v/>
      </c>
      <c r="D20507">
        <f>IF(B20507=C20507, "YES", "WRONG")</f>
        <v/>
      </c>
    </row>
    <row r="20508">
      <c r="A20508" t="n">
        <v>20507</v>
      </c>
      <c r="B20508" t="inlineStr">
        <is>
          <t>x̄x̄DVII</t>
        </is>
      </c>
      <c r="C20508">
        <f>ROMAN(20507)</f>
        <v/>
      </c>
      <c r="D20508">
        <f>IF(B20508=C20508, "YES", "WRONG")</f>
        <v/>
      </c>
    </row>
    <row r="20509">
      <c r="A20509" t="n">
        <v>20508</v>
      </c>
      <c r="B20509" t="inlineStr">
        <is>
          <t>x̄x̄DVIII</t>
        </is>
      </c>
      <c r="C20509">
        <f>ROMAN(20508)</f>
        <v/>
      </c>
      <c r="D20509">
        <f>IF(B20509=C20509, "YES", "WRONG")</f>
        <v/>
      </c>
    </row>
    <row r="20510">
      <c r="A20510" t="n">
        <v>20509</v>
      </c>
      <c r="B20510" t="inlineStr">
        <is>
          <t>x̄x̄DIX</t>
        </is>
      </c>
      <c r="C20510">
        <f>ROMAN(20509)</f>
        <v/>
      </c>
      <c r="D20510">
        <f>IF(B20510=C20510, "YES", "WRONG")</f>
        <v/>
      </c>
    </row>
    <row r="20511">
      <c r="A20511" t="n">
        <v>20510</v>
      </c>
      <c r="B20511" t="inlineStr">
        <is>
          <t>x̄x̄DX</t>
        </is>
      </c>
      <c r="C20511">
        <f>ROMAN(20510)</f>
        <v/>
      </c>
      <c r="D20511">
        <f>IF(B20511=C20511, "YES", "WRONG")</f>
        <v/>
      </c>
    </row>
    <row r="20512">
      <c r="A20512" t="n">
        <v>20511</v>
      </c>
      <c r="B20512" t="inlineStr">
        <is>
          <t>x̄x̄DXI</t>
        </is>
      </c>
      <c r="C20512">
        <f>ROMAN(20511)</f>
        <v/>
      </c>
      <c r="D20512">
        <f>IF(B20512=C20512, "YES", "WRONG")</f>
        <v/>
      </c>
    </row>
    <row r="20513">
      <c r="A20513" t="n">
        <v>20512</v>
      </c>
      <c r="B20513" t="inlineStr">
        <is>
          <t>x̄x̄DXII</t>
        </is>
      </c>
      <c r="C20513">
        <f>ROMAN(20512)</f>
        <v/>
      </c>
      <c r="D20513">
        <f>IF(B20513=C20513, "YES", "WRONG")</f>
        <v/>
      </c>
    </row>
    <row r="20514">
      <c r="A20514" t="n">
        <v>20513</v>
      </c>
      <c r="B20514" t="inlineStr">
        <is>
          <t>x̄x̄DXIII</t>
        </is>
      </c>
      <c r="C20514">
        <f>ROMAN(20513)</f>
        <v/>
      </c>
      <c r="D20514">
        <f>IF(B20514=C20514, "YES", "WRONG")</f>
        <v/>
      </c>
    </row>
    <row r="20515">
      <c r="A20515" t="n">
        <v>20514</v>
      </c>
      <c r="B20515" t="inlineStr">
        <is>
          <t>x̄x̄DXIV</t>
        </is>
      </c>
      <c r="C20515">
        <f>ROMAN(20514)</f>
        <v/>
      </c>
      <c r="D20515">
        <f>IF(B20515=C20515, "YES", "WRONG")</f>
        <v/>
      </c>
    </row>
    <row r="20516">
      <c r="A20516" t="n">
        <v>20515</v>
      </c>
      <c r="B20516" t="inlineStr">
        <is>
          <t>x̄x̄DXV</t>
        </is>
      </c>
      <c r="C20516">
        <f>ROMAN(20515)</f>
        <v/>
      </c>
      <c r="D20516">
        <f>IF(B20516=C20516, "YES", "WRONG")</f>
        <v/>
      </c>
    </row>
    <row r="20517">
      <c r="A20517" t="n">
        <v>20516</v>
      </c>
      <c r="B20517" t="inlineStr">
        <is>
          <t>x̄x̄DXVI</t>
        </is>
      </c>
      <c r="C20517">
        <f>ROMAN(20516)</f>
        <v/>
      </c>
      <c r="D20517">
        <f>IF(B20517=C20517, "YES", "WRONG")</f>
        <v/>
      </c>
    </row>
    <row r="20518">
      <c r="A20518" t="n">
        <v>20517</v>
      </c>
      <c r="B20518" t="inlineStr">
        <is>
          <t>x̄x̄DXVII</t>
        </is>
      </c>
      <c r="C20518">
        <f>ROMAN(20517)</f>
        <v/>
      </c>
      <c r="D20518">
        <f>IF(B20518=C20518, "YES", "WRONG")</f>
        <v/>
      </c>
    </row>
    <row r="20519">
      <c r="A20519" t="n">
        <v>20518</v>
      </c>
      <c r="B20519" t="inlineStr">
        <is>
          <t>x̄x̄DXVIII</t>
        </is>
      </c>
      <c r="C20519">
        <f>ROMAN(20518)</f>
        <v/>
      </c>
      <c r="D20519">
        <f>IF(B20519=C20519, "YES", "WRONG")</f>
        <v/>
      </c>
    </row>
    <row r="20520">
      <c r="A20520" t="n">
        <v>20519</v>
      </c>
      <c r="B20520" t="inlineStr">
        <is>
          <t>x̄x̄DXIX</t>
        </is>
      </c>
      <c r="C20520">
        <f>ROMAN(20519)</f>
        <v/>
      </c>
      <c r="D20520">
        <f>IF(B20520=C20520, "YES", "WRONG")</f>
        <v/>
      </c>
    </row>
    <row r="20521">
      <c r="A20521" t="n">
        <v>20520</v>
      </c>
      <c r="B20521" t="inlineStr">
        <is>
          <t>x̄x̄DXX</t>
        </is>
      </c>
      <c r="C20521">
        <f>ROMAN(20520)</f>
        <v/>
      </c>
      <c r="D20521">
        <f>IF(B20521=C20521, "YES", "WRONG")</f>
        <v/>
      </c>
    </row>
    <row r="20522">
      <c r="A20522" t="n">
        <v>20521</v>
      </c>
      <c r="B20522" t="inlineStr">
        <is>
          <t>x̄x̄DXXI</t>
        </is>
      </c>
      <c r="C20522">
        <f>ROMAN(20521)</f>
        <v/>
      </c>
      <c r="D20522">
        <f>IF(B20522=C20522, "YES", "WRONG")</f>
        <v/>
      </c>
    </row>
    <row r="20523">
      <c r="A20523" t="n">
        <v>20522</v>
      </c>
      <c r="B20523" t="inlineStr">
        <is>
          <t>x̄x̄DXXII</t>
        </is>
      </c>
      <c r="C20523">
        <f>ROMAN(20522)</f>
        <v/>
      </c>
      <c r="D20523">
        <f>IF(B20523=C20523, "YES", "WRONG")</f>
        <v/>
      </c>
    </row>
    <row r="20524">
      <c r="A20524" t="n">
        <v>20523</v>
      </c>
      <c r="B20524" t="inlineStr">
        <is>
          <t>x̄x̄DXXIII</t>
        </is>
      </c>
      <c r="C20524">
        <f>ROMAN(20523)</f>
        <v/>
      </c>
      <c r="D20524">
        <f>IF(B20524=C20524, "YES", "WRONG")</f>
        <v/>
      </c>
    </row>
    <row r="20525">
      <c r="A20525" t="n">
        <v>20524</v>
      </c>
      <c r="B20525" t="inlineStr">
        <is>
          <t>x̄x̄DXXIV</t>
        </is>
      </c>
      <c r="C20525">
        <f>ROMAN(20524)</f>
        <v/>
      </c>
      <c r="D20525">
        <f>IF(B20525=C20525, "YES", "WRONG")</f>
        <v/>
      </c>
    </row>
    <row r="20526">
      <c r="A20526" t="n">
        <v>20525</v>
      </c>
      <c r="B20526" t="inlineStr">
        <is>
          <t>x̄x̄DXXV</t>
        </is>
      </c>
      <c r="C20526">
        <f>ROMAN(20525)</f>
        <v/>
      </c>
      <c r="D20526">
        <f>IF(B20526=C20526, "YES", "WRONG")</f>
        <v/>
      </c>
    </row>
    <row r="20527">
      <c r="A20527" t="n">
        <v>20526</v>
      </c>
      <c r="B20527" t="inlineStr">
        <is>
          <t>x̄x̄DXXVI</t>
        </is>
      </c>
      <c r="C20527">
        <f>ROMAN(20526)</f>
        <v/>
      </c>
      <c r="D20527">
        <f>IF(B20527=C20527, "YES", "WRONG")</f>
        <v/>
      </c>
    </row>
    <row r="20528">
      <c r="A20528" t="n">
        <v>20527</v>
      </c>
      <c r="B20528" t="inlineStr">
        <is>
          <t>x̄x̄DXXVII</t>
        </is>
      </c>
      <c r="C20528">
        <f>ROMAN(20527)</f>
        <v/>
      </c>
      <c r="D20528">
        <f>IF(B20528=C20528, "YES", "WRONG")</f>
        <v/>
      </c>
    </row>
    <row r="20529">
      <c r="A20529" t="n">
        <v>20528</v>
      </c>
      <c r="B20529" t="inlineStr">
        <is>
          <t>x̄x̄DXXVIII</t>
        </is>
      </c>
      <c r="C20529">
        <f>ROMAN(20528)</f>
        <v/>
      </c>
      <c r="D20529">
        <f>IF(B20529=C20529, "YES", "WRONG")</f>
        <v/>
      </c>
    </row>
    <row r="20530">
      <c r="A20530" t="n">
        <v>20529</v>
      </c>
      <c r="B20530" t="inlineStr">
        <is>
          <t>x̄x̄DXXIX</t>
        </is>
      </c>
      <c r="C20530">
        <f>ROMAN(20529)</f>
        <v/>
      </c>
      <c r="D20530">
        <f>IF(B20530=C20530, "YES", "WRONG")</f>
        <v/>
      </c>
    </row>
    <row r="20531">
      <c r="A20531" t="n">
        <v>20530</v>
      </c>
      <c r="B20531" t="inlineStr">
        <is>
          <t>x̄x̄DXXX</t>
        </is>
      </c>
      <c r="C20531">
        <f>ROMAN(20530)</f>
        <v/>
      </c>
      <c r="D20531">
        <f>IF(B20531=C20531, "YES", "WRONG")</f>
        <v/>
      </c>
    </row>
    <row r="20532">
      <c r="A20532" t="n">
        <v>20531</v>
      </c>
      <c r="B20532" t="inlineStr">
        <is>
          <t>x̄x̄DXXXI</t>
        </is>
      </c>
      <c r="C20532">
        <f>ROMAN(20531)</f>
        <v/>
      </c>
      <c r="D20532">
        <f>IF(B20532=C20532, "YES", "WRONG")</f>
        <v/>
      </c>
    </row>
    <row r="20533">
      <c r="A20533" t="n">
        <v>20532</v>
      </c>
      <c r="B20533" t="inlineStr">
        <is>
          <t>x̄x̄DXXXII</t>
        </is>
      </c>
      <c r="C20533">
        <f>ROMAN(20532)</f>
        <v/>
      </c>
      <c r="D20533">
        <f>IF(B20533=C20533, "YES", "WRONG")</f>
        <v/>
      </c>
    </row>
    <row r="20534">
      <c r="A20534" t="n">
        <v>20533</v>
      </c>
      <c r="B20534" t="inlineStr">
        <is>
          <t>x̄x̄DXXXIII</t>
        </is>
      </c>
      <c r="C20534">
        <f>ROMAN(20533)</f>
        <v/>
      </c>
      <c r="D20534">
        <f>IF(B20534=C20534, "YES", "WRONG")</f>
        <v/>
      </c>
    </row>
    <row r="20535">
      <c r="A20535" t="n">
        <v>20534</v>
      </c>
      <c r="B20535" t="inlineStr">
        <is>
          <t>x̄x̄DXXXIV</t>
        </is>
      </c>
      <c r="C20535">
        <f>ROMAN(20534)</f>
        <v/>
      </c>
      <c r="D20535">
        <f>IF(B20535=C20535, "YES", "WRONG")</f>
        <v/>
      </c>
    </row>
    <row r="20536">
      <c r="A20536" t="n">
        <v>20535</v>
      </c>
      <c r="B20536" t="inlineStr">
        <is>
          <t>x̄x̄DXXXV</t>
        </is>
      </c>
      <c r="C20536">
        <f>ROMAN(20535)</f>
        <v/>
      </c>
      <c r="D20536">
        <f>IF(B20536=C20536, "YES", "WRONG")</f>
        <v/>
      </c>
    </row>
    <row r="20537">
      <c r="A20537" t="n">
        <v>20536</v>
      </c>
      <c r="B20537" t="inlineStr">
        <is>
          <t>x̄x̄DXXXVI</t>
        </is>
      </c>
      <c r="C20537">
        <f>ROMAN(20536)</f>
        <v/>
      </c>
      <c r="D20537">
        <f>IF(B20537=C20537, "YES", "WRONG")</f>
        <v/>
      </c>
    </row>
    <row r="20538">
      <c r="A20538" t="n">
        <v>20537</v>
      </c>
      <c r="B20538" t="inlineStr">
        <is>
          <t>x̄x̄DXXXVII</t>
        </is>
      </c>
      <c r="C20538">
        <f>ROMAN(20537)</f>
        <v/>
      </c>
      <c r="D20538">
        <f>IF(B20538=C20538, "YES", "WRONG")</f>
        <v/>
      </c>
    </row>
    <row r="20539">
      <c r="A20539" t="n">
        <v>20538</v>
      </c>
      <c r="B20539" t="inlineStr">
        <is>
          <t>x̄x̄DXXXVIII</t>
        </is>
      </c>
      <c r="C20539">
        <f>ROMAN(20538)</f>
        <v/>
      </c>
      <c r="D20539">
        <f>IF(B20539=C20539, "YES", "WRONG")</f>
        <v/>
      </c>
    </row>
    <row r="20540">
      <c r="A20540" t="n">
        <v>20539</v>
      </c>
      <c r="B20540" t="inlineStr">
        <is>
          <t>x̄x̄DXXXIX</t>
        </is>
      </c>
      <c r="C20540">
        <f>ROMAN(20539)</f>
        <v/>
      </c>
      <c r="D20540">
        <f>IF(B20540=C20540, "YES", "WRONG")</f>
        <v/>
      </c>
    </row>
    <row r="20541">
      <c r="A20541" t="n">
        <v>20540</v>
      </c>
      <c r="B20541" t="inlineStr">
        <is>
          <t>x̄x̄DXL</t>
        </is>
      </c>
      <c r="C20541">
        <f>ROMAN(20540)</f>
        <v/>
      </c>
      <c r="D20541">
        <f>IF(B20541=C20541, "YES", "WRONG")</f>
        <v/>
      </c>
    </row>
    <row r="20542">
      <c r="A20542" t="n">
        <v>20541</v>
      </c>
      <c r="B20542" t="inlineStr">
        <is>
          <t>x̄x̄DXLI</t>
        </is>
      </c>
      <c r="C20542">
        <f>ROMAN(20541)</f>
        <v/>
      </c>
      <c r="D20542">
        <f>IF(B20542=C20542, "YES", "WRONG")</f>
        <v/>
      </c>
    </row>
    <row r="20543">
      <c r="A20543" t="n">
        <v>20542</v>
      </c>
      <c r="B20543" t="inlineStr">
        <is>
          <t>x̄x̄DXLII</t>
        </is>
      </c>
      <c r="C20543">
        <f>ROMAN(20542)</f>
        <v/>
      </c>
      <c r="D20543">
        <f>IF(B20543=C20543, "YES", "WRONG")</f>
        <v/>
      </c>
    </row>
    <row r="20544">
      <c r="A20544" t="n">
        <v>20543</v>
      </c>
      <c r="B20544" t="inlineStr">
        <is>
          <t>x̄x̄DXLIII</t>
        </is>
      </c>
      <c r="C20544">
        <f>ROMAN(20543)</f>
        <v/>
      </c>
      <c r="D20544">
        <f>IF(B20544=C20544, "YES", "WRONG")</f>
        <v/>
      </c>
    </row>
    <row r="20545">
      <c r="A20545" t="n">
        <v>20544</v>
      </c>
      <c r="B20545" t="inlineStr">
        <is>
          <t>x̄x̄DXLIV</t>
        </is>
      </c>
      <c r="C20545">
        <f>ROMAN(20544)</f>
        <v/>
      </c>
      <c r="D20545">
        <f>IF(B20545=C20545, "YES", "WRONG")</f>
        <v/>
      </c>
    </row>
    <row r="20546">
      <c r="A20546" t="n">
        <v>20545</v>
      </c>
      <c r="B20546" t="inlineStr">
        <is>
          <t>x̄x̄DXLV</t>
        </is>
      </c>
      <c r="C20546">
        <f>ROMAN(20545)</f>
        <v/>
      </c>
      <c r="D20546">
        <f>IF(B20546=C20546, "YES", "WRONG")</f>
        <v/>
      </c>
    </row>
    <row r="20547">
      <c r="A20547" t="n">
        <v>20546</v>
      </c>
      <c r="B20547" t="inlineStr">
        <is>
          <t>x̄x̄DXLVI</t>
        </is>
      </c>
      <c r="C20547">
        <f>ROMAN(20546)</f>
        <v/>
      </c>
      <c r="D20547">
        <f>IF(B20547=C20547, "YES", "WRONG")</f>
        <v/>
      </c>
    </row>
    <row r="20548">
      <c r="A20548" t="n">
        <v>20547</v>
      </c>
      <c r="B20548" t="inlineStr">
        <is>
          <t>x̄x̄DXLVII</t>
        </is>
      </c>
      <c r="C20548">
        <f>ROMAN(20547)</f>
        <v/>
      </c>
      <c r="D20548">
        <f>IF(B20548=C20548, "YES", "WRONG")</f>
        <v/>
      </c>
    </row>
    <row r="20549">
      <c r="A20549" t="n">
        <v>20548</v>
      </c>
      <c r="B20549" t="inlineStr">
        <is>
          <t>x̄x̄DXLVIII</t>
        </is>
      </c>
      <c r="C20549">
        <f>ROMAN(20548)</f>
        <v/>
      </c>
      <c r="D20549">
        <f>IF(B20549=C20549, "YES", "WRONG")</f>
        <v/>
      </c>
    </row>
    <row r="20550">
      <c r="A20550" t="n">
        <v>20549</v>
      </c>
      <c r="B20550" t="inlineStr">
        <is>
          <t>x̄x̄DXLIX</t>
        </is>
      </c>
      <c r="C20550">
        <f>ROMAN(20549)</f>
        <v/>
      </c>
      <c r="D20550">
        <f>IF(B20550=C20550, "YES", "WRONG")</f>
        <v/>
      </c>
    </row>
    <row r="20551">
      <c r="A20551" t="n">
        <v>20550</v>
      </c>
      <c r="B20551" t="inlineStr">
        <is>
          <t>x̄x̄DL</t>
        </is>
      </c>
      <c r="C20551">
        <f>ROMAN(20550)</f>
        <v/>
      </c>
      <c r="D20551">
        <f>IF(B20551=C20551, "YES", "WRONG")</f>
        <v/>
      </c>
    </row>
    <row r="20552">
      <c r="A20552" t="n">
        <v>20551</v>
      </c>
      <c r="B20552" t="inlineStr">
        <is>
          <t>x̄x̄DLI</t>
        </is>
      </c>
      <c r="C20552">
        <f>ROMAN(20551)</f>
        <v/>
      </c>
      <c r="D20552">
        <f>IF(B20552=C20552, "YES", "WRONG")</f>
        <v/>
      </c>
    </row>
    <row r="20553">
      <c r="A20553" t="n">
        <v>20552</v>
      </c>
      <c r="B20553" t="inlineStr">
        <is>
          <t>x̄x̄DLII</t>
        </is>
      </c>
      <c r="C20553">
        <f>ROMAN(20552)</f>
        <v/>
      </c>
      <c r="D20553">
        <f>IF(B20553=C20553, "YES", "WRONG")</f>
        <v/>
      </c>
    </row>
    <row r="20554">
      <c r="A20554" t="n">
        <v>20553</v>
      </c>
      <c r="B20554" t="inlineStr">
        <is>
          <t>x̄x̄DLIII</t>
        </is>
      </c>
      <c r="C20554">
        <f>ROMAN(20553)</f>
        <v/>
      </c>
      <c r="D20554">
        <f>IF(B20554=C20554, "YES", "WRONG")</f>
        <v/>
      </c>
    </row>
    <row r="20555">
      <c r="A20555" t="n">
        <v>20554</v>
      </c>
      <c r="B20555" t="inlineStr">
        <is>
          <t>x̄x̄DLIV</t>
        </is>
      </c>
      <c r="C20555">
        <f>ROMAN(20554)</f>
        <v/>
      </c>
      <c r="D20555">
        <f>IF(B20555=C20555, "YES", "WRONG")</f>
        <v/>
      </c>
    </row>
    <row r="20556">
      <c r="A20556" t="n">
        <v>20555</v>
      </c>
      <c r="B20556" t="inlineStr">
        <is>
          <t>x̄x̄DLV</t>
        </is>
      </c>
      <c r="C20556">
        <f>ROMAN(20555)</f>
        <v/>
      </c>
      <c r="D20556">
        <f>IF(B20556=C20556, "YES", "WRONG")</f>
        <v/>
      </c>
    </row>
    <row r="20557">
      <c r="A20557" t="n">
        <v>20556</v>
      </c>
      <c r="B20557" t="inlineStr">
        <is>
          <t>x̄x̄DLVI</t>
        </is>
      </c>
      <c r="C20557">
        <f>ROMAN(20556)</f>
        <v/>
      </c>
      <c r="D20557">
        <f>IF(B20557=C20557, "YES", "WRONG")</f>
        <v/>
      </c>
    </row>
    <row r="20558">
      <c r="A20558" t="n">
        <v>20557</v>
      </c>
      <c r="B20558" t="inlineStr">
        <is>
          <t>x̄x̄DLVII</t>
        </is>
      </c>
      <c r="C20558">
        <f>ROMAN(20557)</f>
        <v/>
      </c>
      <c r="D20558">
        <f>IF(B20558=C20558, "YES", "WRONG")</f>
        <v/>
      </c>
    </row>
    <row r="20559">
      <c r="A20559" t="n">
        <v>20558</v>
      </c>
      <c r="B20559" t="inlineStr">
        <is>
          <t>x̄x̄DLVIII</t>
        </is>
      </c>
      <c r="C20559">
        <f>ROMAN(20558)</f>
        <v/>
      </c>
      <c r="D20559">
        <f>IF(B20559=C20559, "YES", "WRONG")</f>
        <v/>
      </c>
    </row>
    <row r="20560">
      <c r="A20560" t="n">
        <v>20559</v>
      </c>
      <c r="B20560" t="inlineStr">
        <is>
          <t>x̄x̄DLIX</t>
        </is>
      </c>
      <c r="C20560">
        <f>ROMAN(20559)</f>
        <v/>
      </c>
      <c r="D20560">
        <f>IF(B20560=C20560, "YES", "WRONG")</f>
        <v/>
      </c>
    </row>
    <row r="20561">
      <c r="A20561" t="n">
        <v>20560</v>
      </c>
      <c r="B20561" t="inlineStr">
        <is>
          <t>x̄x̄DLX</t>
        </is>
      </c>
      <c r="C20561">
        <f>ROMAN(20560)</f>
        <v/>
      </c>
      <c r="D20561">
        <f>IF(B20561=C20561, "YES", "WRONG")</f>
        <v/>
      </c>
    </row>
    <row r="20562">
      <c r="A20562" t="n">
        <v>20561</v>
      </c>
      <c r="B20562" t="inlineStr">
        <is>
          <t>x̄x̄DLXI</t>
        </is>
      </c>
      <c r="C20562">
        <f>ROMAN(20561)</f>
        <v/>
      </c>
      <c r="D20562">
        <f>IF(B20562=C20562, "YES", "WRONG")</f>
        <v/>
      </c>
    </row>
    <row r="20563">
      <c r="A20563" t="n">
        <v>20562</v>
      </c>
      <c r="B20563" t="inlineStr">
        <is>
          <t>x̄x̄DLXII</t>
        </is>
      </c>
      <c r="C20563">
        <f>ROMAN(20562)</f>
        <v/>
      </c>
      <c r="D20563">
        <f>IF(B20563=C20563, "YES", "WRONG")</f>
        <v/>
      </c>
    </row>
    <row r="20564">
      <c r="A20564" t="n">
        <v>20563</v>
      </c>
      <c r="B20564" t="inlineStr">
        <is>
          <t>x̄x̄DLXIII</t>
        </is>
      </c>
      <c r="C20564">
        <f>ROMAN(20563)</f>
        <v/>
      </c>
      <c r="D20564">
        <f>IF(B20564=C20564, "YES", "WRONG")</f>
        <v/>
      </c>
    </row>
    <row r="20565">
      <c r="A20565" t="n">
        <v>20564</v>
      </c>
      <c r="B20565" t="inlineStr">
        <is>
          <t>x̄x̄DLXIV</t>
        </is>
      </c>
      <c r="C20565">
        <f>ROMAN(20564)</f>
        <v/>
      </c>
      <c r="D20565">
        <f>IF(B20565=C20565, "YES", "WRONG")</f>
        <v/>
      </c>
    </row>
    <row r="20566">
      <c r="A20566" t="n">
        <v>20565</v>
      </c>
      <c r="B20566" t="inlineStr">
        <is>
          <t>x̄x̄DLXV</t>
        </is>
      </c>
      <c r="C20566">
        <f>ROMAN(20565)</f>
        <v/>
      </c>
      <c r="D20566">
        <f>IF(B20566=C20566, "YES", "WRONG")</f>
        <v/>
      </c>
    </row>
    <row r="20567">
      <c r="A20567" t="n">
        <v>20566</v>
      </c>
      <c r="B20567" t="inlineStr">
        <is>
          <t>x̄x̄DLXVI</t>
        </is>
      </c>
      <c r="C20567">
        <f>ROMAN(20566)</f>
        <v/>
      </c>
      <c r="D20567">
        <f>IF(B20567=C20567, "YES", "WRONG")</f>
        <v/>
      </c>
    </row>
    <row r="20568">
      <c r="A20568" t="n">
        <v>20567</v>
      </c>
      <c r="B20568" t="inlineStr">
        <is>
          <t>x̄x̄DLXVII</t>
        </is>
      </c>
      <c r="C20568">
        <f>ROMAN(20567)</f>
        <v/>
      </c>
      <c r="D20568">
        <f>IF(B20568=C20568, "YES", "WRONG")</f>
        <v/>
      </c>
    </row>
    <row r="20569">
      <c r="A20569" t="n">
        <v>20568</v>
      </c>
      <c r="B20569" t="inlineStr">
        <is>
          <t>x̄x̄DLXVIII</t>
        </is>
      </c>
      <c r="C20569">
        <f>ROMAN(20568)</f>
        <v/>
      </c>
      <c r="D20569">
        <f>IF(B20569=C20569, "YES", "WRONG")</f>
        <v/>
      </c>
    </row>
    <row r="20570">
      <c r="A20570" t="n">
        <v>20569</v>
      </c>
      <c r="B20570" t="inlineStr">
        <is>
          <t>x̄x̄DLXIX</t>
        </is>
      </c>
      <c r="C20570">
        <f>ROMAN(20569)</f>
        <v/>
      </c>
      <c r="D20570">
        <f>IF(B20570=C20570, "YES", "WRONG")</f>
        <v/>
      </c>
    </row>
    <row r="20571">
      <c r="A20571" t="n">
        <v>20570</v>
      </c>
      <c r="B20571" t="inlineStr">
        <is>
          <t>x̄x̄DLXX</t>
        </is>
      </c>
      <c r="C20571">
        <f>ROMAN(20570)</f>
        <v/>
      </c>
      <c r="D20571">
        <f>IF(B20571=C20571, "YES", "WRONG")</f>
        <v/>
      </c>
    </row>
    <row r="20572">
      <c r="A20572" t="n">
        <v>20571</v>
      </c>
      <c r="B20572" t="inlineStr">
        <is>
          <t>x̄x̄DLXXI</t>
        </is>
      </c>
      <c r="C20572">
        <f>ROMAN(20571)</f>
        <v/>
      </c>
      <c r="D20572">
        <f>IF(B20572=C20572, "YES", "WRONG")</f>
        <v/>
      </c>
    </row>
    <row r="20573">
      <c r="A20573" t="n">
        <v>20572</v>
      </c>
      <c r="B20573" t="inlineStr">
        <is>
          <t>x̄x̄DLXXII</t>
        </is>
      </c>
      <c r="C20573">
        <f>ROMAN(20572)</f>
        <v/>
      </c>
      <c r="D20573">
        <f>IF(B20573=C20573, "YES", "WRONG")</f>
        <v/>
      </c>
    </row>
    <row r="20574">
      <c r="A20574" t="n">
        <v>20573</v>
      </c>
      <c r="B20574" t="inlineStr">
        <is>
          <t>x̄x̄DLXXIII</t>
        </is>
      </c>
      <c r="C20574">
        <f>ROMAN(20573)</f>
        <v/>
      </c>
      <c r="D20574">
        <f>IF(B20574=C20574, "YES", "WRONG")</f>
        <v/>
      </c>
    </row>
    <row r="20575">
      <c r="A20575" t="n">
        <v>20574</v>
      </c>
      <c r="B20575" t="inlineStr">
        <is>
          <t>x̄x̄DLXXIV</t>
        </is>
      </c>
      <c r="C20575">
        <f>ROMAN(20574)</f>
        <v/>
      </c>
      <c r="D20575">
        <f>IF(B20575=C20575, "YES", "WRONG")</f>
        <v/>
      </c>
    </row>
    <row r="20576">
      <c r="A20576" t="n">
        <v>20575</v>
      </c>
      <c r="B20576" t="inlineStr">
        <is>
          <t>x̄x̄DLXXV</t>
        </is>
      </c>
      <c r="C20576">
        <f>ROMAN(20575)</f>
        <v/>
      </c>
      <c r="D20576">
        <f>IF(B20576=C20576, "YES", "WRONG")</f>
        <v/>
      </c>
    </row>
    <row r="20577">
      <c r="A20577" t="n">
        <v>20576</v>
      </c>
      <c r="B20577" t="inlineStr">
        <is>
          <t>x̄x̄DLXXVI</t>
        </is>
      </c>
      <c r="C20577">
        <f>ROMAN(20576)</f>
        <v/>
      </c>
      <c r="D20577">
        <f>IF(B20577=C20577, "YES", "WRONG")</f>
        <v/>
      </c>
    </row>
    <row r="20578">
      <c r="A20578" t="n">
        <v>20577</v>
      </c>
      <c r="B20578" t="inlineStr">
        <is>
          <t>x̄x̄DLXXVII</t>
        </is>
      </c>
      <c r="C20578">
        <f>ROMAN(20577)</f>
        <v/>
      </c>
      <c r="D20578">
        <f>IF(B20578=C20578, "YES", "WRONG")</f>
        <v/>
      </c>
    </row>
    <row r="20579">
      <c r="A20579" t="n">
        <v>20578</v>
      </c>
      <c r="B20579" t="inlineStr">
        <is>
          <t>x̄x̄DLXXVIII</t>
        </is>
      </c>
      <c r="C20579">
        <f>ROMAN(20578)</f>
        <v/>
      </c>
      <c r="D20579">
        <f>IF(B20579=C20579, "YES", "WRONG")</f>
        <v/>
      </c>
    </row>
    <row r="20580">
      <c r="A20580" t="n">
        <v>20579</v>
      </c>
      <c r="B20580" t="inlineStr">
        <is>
          <t>x̄x̄DLXXIX</t>
        </is>
      </c>
      <c r="C20580">
        <f>ROMAN(20579)</f>
        <v/>
      </c>
      <c r="D20580">
        <f>IF(B20580=C20580, "YES", "WRONG")</f>
        <v/>
      </c>
    </row>
    <row r="20581">
      <c r="A20581" t="n">
        <v>20580</v>
      </c>
      <c r="B20581" t="inlineStr">
        <is>
          <t>x̄x̄DLXXX</t>
        </is>
      </c>
      <c r="C20581">
        <f>ROMAN(20580)</f>
        <v/>
      </c>
      <c r="D20581">
        <f>IF(B20581=C20581, "YES", "WRONG")</f>
        <v/>
      </c>
    </row>
    <row r="20582">
      <c r="A20582" t="n">
        <v>20581</v>
      </c>
      <c r="B20582" t="inlineStr">
        <is>
          <t>x̄x̄DLXXXI</t>
        </is>
      </c>
      <c r="C20582">
        <f>ROMAN(20581)</f>
        <v/>
      </c>
      <c r="D20582">
        <f>IF(B20582=C20582, "YES", "WRONG")</f>
        <v/>
      </c>
    </row>
    <row r="20583">
      <c r="A20583" t="n">
        <v>20582</v>
      </c>
      <c r="B20583" t="inlineStr">
        <is>
          <t>x̄x̄DLXXXII</t>
        </is>
      </c>
      <c r="C20583">
        <f>ROMAN(20582)</f>
        <v/>
      </c>
      <c r="D20583">
        <f>IF(B20583=C20583, "YES", "WRONG")</f>
        <v/>
      </c>
    </row>
    <row r="20584">
      <c r="A20584" t="n">
        <v>20583</v>
      </c>
      <c r="B20584" t="inlineStr">
        <is>
          <t>x̄x̄DLXXXIII</t>
        </is>
      </c>
      <c r="C20584">
        <f>ROMAN(20583)</f>
        <v/>
      </c>
      <c r="D20584">
        <f>IF(B20584=C20584, "YES", "WRONG")</f>
        <v/>
      </c>
    </row>
    <row r="20585">
      <c r="A20585" t="n">
        <v>20584</v>
      </c>
      <c r="B20585" t="inlineStr">
        <is>
          <t>x̄x̄DLXXXIV</t>
        </is>
      </c>
      <c r="C20585">
        <f>ROMAN(20584)</f>
        <v/>
      </c>
      <c r="D20585">
        <f>IF(B20585=C20585, "YES", "WRONG")</f>
        <v/>
      </c>
    </row>
    <row r="20586">
      <c r="A20586" t="n">
        <v>20585</v>
      </c>
      <c r="B20586" t="inlineStr">
        <is>
          <t>x̄x̄DLXXXV</t>
        </is>
      </c>
      <c r="C20586">
        <f>ROMAN(20585)</f>
        <v/>
      </c>
      <c r="D20586">
        <f>IF(B20586=C20586, "YES", "WRONG")</f>
        <v/>
      </c>
    </row>
    <row r="20587">
      <c r="A20587" t="n">
        <v>20586</v>
      </c>
      <c r="B20587" t="inlineStr">
        <is>
          <t>x̄x̄DLXXXVI</t>
        </is>
      </c>
      <c r="C20587">
        <f>ROMAN(20586)</f>
        <v/>
      </c>
      <c r="D20587">
        <f>IF(B20587=C20587, "YES", "WRONG")</f>
        <v/>
      </c>
    </row>
    <row r="20588">
      <c r="A20588" t="n">
        <v>20587</v>
      </c>
      <c r="B20588" t="inlineStr">
        <is>
          <t>x̄x̄DLXXXVII</t>
        </is>
      </c>
      <c r="C20588">
        <f>ROMAN(20587)</f>
        <v/>
      </c>
      <c r="D20588">
        <f>IF(B20588=C20588, "YES", "WRONG")</f>
        <v/>
      </c>
    </row>
    <row r="20589">
      <c r="A20589" t="n">
        <v>20588</v>
      </c>
      <c r="B20589" t="inlineStr">
        <is>
          <t>x̄x̄DLXXXVIII</t>
        </is>
      </c>
      <c r="C20589">
        <f>ROMAN(20588)</f>
        <v/>
      </c>
      <c r="D20589">
        <f>IF(B20589=C20589, "YES", "WRONG")</f>
        <v/>
      </c>
    </row>
    <row r="20590">
      <c r="A20590" t="n">
        <v>20589</v>
      </c>
      <c r="B20590" t="inlineStr">
        <is>
          <t>x̄x̄DLXXXIX</t>
        </is>
      </c>
      <c r="C20590">
        <f>ROMAN(20589)</f>
        <v/>
      </c>
      <c r="D20590">
        <f>IF(B20590=C20590, "YES", "WRONG")</f>
        <v/>
      </c>
    </row>
    <row r="20591">
      <c r="A20591" t="n">
        <v>20590</v>
      </c>
      <c r="B20591" t="inlineStr">
        <is>
          <t>x̄x̄DXC</t>
        </is>
      </c>
      <c r="C20591">
        <f>ROMAN(20590)</f>
        <v/>
      </c>
      <c r="D20591">
        <f>IF(B20591=C20591, "YES", "WRONG")</f>
        <v/>
      </c>
    </row>
    <row r="20592">
      <c r="A20592" t="n">
        <v>20591</v>
      </c>
      <c r="B20592" t="inlineStr">
        <is>
          <t>x̄x̄DXCI</t>
        </is>
      </c>
      <c r="C20592">
        <f>ROMAN(20591)</f>
        <v/>
      </c>
      <c r="D20592">
        <f>IF(B20592=C20592, "YES", "WRONG")</f>
        <v/>
      </c>
    </row>
    <row r="20593">
      <c r="A20593" t="n">
        <v>20592</v>
      </c>
      <c r="B20593" t="inlineStr">
        <is>
          <t>x̄x̄DXCII</t>
        </is>
      </c>
      <c r="C20593">
        <f>ROMAN(20592)</f>
        <v/>
      </c>
      <c r="D20593">
        <f>IF(B20593=C20593, "YES", "WRONG")</f>
        <v/>
      </c>
    </row>
    <row r="20594">
      <c r="A20594" t="n">
        <v>20593</v>
      </c>
      <c r="B20594" t="inlineStr">
        <is>
          <t>x̄x̄DXCIII</t>
        </is>
      </c>
      <c r="C20594">
        <f>ROMAN(20593)</f>
        <v/>
      </c>
      <c r="D20594">
        <f>IF(B20594=C20594, "YES", "WRONG")</f>
        <v/>
      </c>
    </row>
    <row r="20595">
      <c r="A20595" t="n">
        <v>20594</v>
      </c>
      <c r="B20595" t="inlineStr">
        <is>
          <t>x̄x̄DXCIV</t>
        </is>
      </c>
      <c r="C20595">
        <f>ROMAN(20594)</f>
        <v/>
      </c>
      <c r="D20595">
        <f>IF(B20595=C20595, "YES", "WRONG")</f>
        <v/>
      </c>
    </row>
    <row r="20596">
      <c r="A20596" t="n">
        <v>20595</v>
      </c>
      <c r="B20596" t="inlineStr">
        <is>
          <t>x̄x̄DXCV</t>
        </is>
      </c>
      <c r="C20596">
        <f>ROMAN(20595)</f>
        <v/>
      </c>
      <c r="D20596">
        <f>IF(B20596=C20596, "YES", "WRONG")</f>
        <v/>
      </c>
    </row>
    <row r="20597">
      <c r="A20597" t="n">
        <v>20596</v>
      </c>
      <c r="B20597" t="inlineStr">
        <is>
          <t>x̄x̄DXCVI</t>
        </is>
      </c>
      <c r="C20597">
        <f>ROMAN(20596)</f>
        <v/>
      </c>
      <c r="D20597">
        <f>IF(B20597=C20597, "YES", "WRONG")</f>
        <v/>
      </c>
    </row>
    <row r="20598">
      <c r="A20598" t="n">
        <v>20597</v>
      </c>
      <c r="B20598" t="inlineStr">
        <is>
          <t>x̄x̄DXCVII</t>
        </is>
      </c>
      <c r="C20598">
        <f>ROMAN(20597)</f>
        <v/>
      </c>
      <c r="D20598">
        <f>IF(B20598=C20598, "YES", "WRONG")</f>
        <v/>
      </c>
    </row>
    <row r="20599">
      <c r="A20599" t="n">
        <v>20598</v>
      </c>
      <c r="B20599" t="inlineStr">
        <is>
          <t>x̄x̄DXCVIII</t>
        </is>
      </c>
      <c r="C20599">
        <f>ROMAN(20598)</f>
        <v/>
      </c>
      <c r="D20599">
        <f>IF(B20599=C20599, "YES", "WRONG")</f>
        <v/>
      </c>
    </row>
    <row r="20600">
      <c r="A20600" t="n">
        <v>20599</v>
      </c>
      <c r="B20600" t="inlineStr">
        <is>
          <t>x̄x̄DXCIX</t>
        </is>
      </c>
      <c r="C20600">
        <f>ROMAN(20599)</f>
        <v/>
      </c>
      <c r="D20600">
        <f>IF(B20600=C20600, "YES", "WRONG")</f>
        <v/>
      </c>
    </row>
    <row r="20601">
      <c r="A20601" t="n">
        <v>20600</v>
      </c>
      <c r="B20601" t="inlineStr">
        <is>
          <t>x̄x̄DC</t>
        </is>
      </c>
      <c r="C20601">
        <f>ROMAN(20600)</f>
        <v/>
      </c>
      <c r="D20601">
        <f>IF(B20601=C20601, "YES", "WRONG")</f>
        <v/>
      </c>
    </row>
    <row r="20602">
      <c r="A20602" t="n">
        <v>20601</v>
      </c>
      <c r="B20602" t="inlineStr">
        <is>
          <t>x̄x̄DCI</t>
        </is>
      </c>
      <c r="C20602">
        <f>ROMAN(20601)</f>
        <v/>
      </c>
      <c r="D20602">
        <f>IF(B20602=C20602, "YES", "WRONG")</f>
        <v/>
      </c>
    </row>
    <row r="20603">
      <c r="A20603" t="n">
        <v>20602</v>
      </c>
      <c r="B20603" t="inlineStr">
        <is>
          <t>x̄x̄DCII</t>
        </is>
      </c>
      <c r="C20603">
        <f>ROMAN(20602)</f>
        <v/>
      </c>
      <c r="D20603">
        <f>IF(B20603=C20603, "YES", "WRONG")</f>
        <v/>
      </c>
    </row>
    <row r="20604">
      <c r="A20604" t="n">
        <v>20603</v>
      </c>
      <c r="B20604" t="inlineStr">
        <is>
          <t>x̄x̄DCIII</t>
        </is>
      </c>
      <c r="C20604">
        <f>ROMAN(20603)</f>
        <v/>
      </c>
      <c r="D20604">
        <f>IF(B20604=C20604, "YES", "WRONG")</f>
        <v/>
      </c>
    </row>
    <row r="20605">
      <c r="A20605" t="n">
        <v>20604</v>
      </c>
      <c r="B20605" t="inlineStr">
        <is>
          <t>x̄x̄DCIV</t>
        </is>
      </c>
      <c r="C20605">
        <f>ROMAN(20604)</f>
        <v/>
      </c>
      <c r="D20605">
        <f>IF(B20605=C20605, "YES", "WRONG")</f>
        <v/>
      </c>
    </row>
    <row r="20606">
      <c r="A20606" t="n">
        <v>20605</v>
      </c>
      <c r="B20606" t="inlineStr">
        <is>
          <t>x̄x̄DCV</t>
        </is>
      </c>
      <c r="C20606">
        <f>ROMAN(20605)</f>
        <v/>
      </c>
      <c r="D20606">
        <f>IF(B20606=C20606, "YES", "WRONG")</f>
        <v/>
      </c>
    </row>
    <row r="20607">
      <c r="A20607" t="n">
        <v>20606</v>
      </c>
      <c r="B20607" t="inlineStr">
        <is>
          <t>x̄x̄DCVI</t>
        </is>
      </c>
      <c r="C20607">
        <f>ROMAN(20606)</f>
        <v/>
      </c>
      <c r="D20607">
        <f>IF(B20607=C20607, "YES", "WRONG")</f>
        <v/>
      </c>
    </row>
    <row r="20608">
      <c r="A20608" t="n">
        <v>20607</v>
      </c>
      <c r="B20608" t="inlineStr">
        <is>
          <t>x̄x̄DCVII</t>
        </is>
      </c>
      <c r="C20608">
        <f>ROMAN(20607)</f>
        <v/>
      </c>
      <c r="D20608">
        <f>IF(B20608=C20608, "YES", "WRONG")</f>
        <v/>
      </c>
    </row>
    <row r="20609">
      <c r="A20609" t="n">
        <v>20608</v>
      </c>
      <c r="B20609" t="inlineStr">
        <is>
          <t>x̄x̄DCVIII</t>
        </is>
      </c>
      <c r="C20609">
        <f>ROMAN(20608)</f>
        <v/>
      </c>
      <c r="D20609">
        <f>IF(B20609=C20609, "YES", "WRONG")</f>
        <v/>
      </c>
    </row>
    <row r="20610">
      <c r="A20610" t="n">
        <v>20609</v>
      </c>
      <c r="B20610" t="inlineStr">
        <is>
          <t>x̄x̄DCIX</t>
        </is>
      </c>
      <c r="C20610">
        <f>ROMAN(20609)</f>
        <v/>
      </c>
      <c r="D20610">
        <f>IF(B20610=C20610, "YES", "WRONG")</f>
        <v/>
      </c>
    </row>
    <row r="20611">
      <c r="A20611" t="n">
        <v>20610</v>
      </c>
      <c r="B20611" t="inlineStr">
        <is>
          <t>x̄x̄DCX</t>
        </is>
      </c>
      <c r="C20611">
        <f>ROMAN(20610)</f>
        <v/>
      </c>
      <c r="D20611">
        <f>IF(B20611=C20611, "YES", "WRONG")</f>
        <v/>
      </c>
    </row>
    <row r="20612">
      <c r="A20612" t="n">
        <v>20611</v>
      </c>
      <c r="B20612" t="inlineStr">
        <is>
          <t>x̄x̄DCXI</t>
        </is>
      </c>
      <c r="C20612">
        <f>ROMAN(20611)</f>
        <v/>
      </c>
      <c r="D20612">
        <f>IF(B20612=C20612, "YES", "WRONG")</f>
        <v/>
      </c>
    </row>
    <row r="20613">
      <c r="A20613" t="n">
        <v>20612</v>
      </c>
      <c r="B20613" t="inlineStr">
        <is>
          <t>x̄x̄DCXII</t>
        </is>
      </c>
      <c r="C20613">
        <f>ROMAN(20612)</f>
        <v/>
      </c>
      <c r="D20613">
        <f>IF(B20613=C20613, "YES", "WRONG")</f>
        <v/>
      </c>
    </row>
    <row r="20614">
      <c r="A20614" t="n">
        <v>20613</v>
      </c>
      <c r="B20614" t="inlineStr">
        <is>
          <t>x̄x̄DCXIII</t>
        </is>
      </c>
      <c r="C20614">
        <f>ROMAN(20613)</f>
        <v/>
      </c>
      <c r="D20614">
        <f>IF(B20614=C20614, "YES", "WRONG")</f>
        <v/>
      </c>
    </row>
    <row r="20615">
      <c r="A20615" t="n">
        <v>20614</v>
      </c>
      <c r="B20615" t="inlineStr">
        <is>
          <t>x̄x̄DCXIV</t>
        </is>
      </c>
      <c r="C20615">
        <f>ROMAN(20614)</f>
        <v/>
      </c>
      <c r="D20615">
        <f>IF(B20615=C20615, "YES", "WRONG")</f>
        <v/>
      </c>
    </row>
    <row r="20616">
      <c r="A20616" t="n">
        <v>20615</v>
      </c>
      <c r="B20616" t="inlineStr">
        <is>
          <t>x̄x̄DCXV</t>
        </is>
      </c>
      <c r="C20616">
        <f>ROMAN(20615)</f>
        <v/>
      </c>
      <c r="D20616">
        <f>IF(B20616=C20616, "YES", "WRONG")</f>
        <v/>
      </c>
    </row>
    <row r="20617">
      <c r="A20617" t="n">
        <v>20616</v>
      </c>
      <c r="B20617" t="inlineStr">
        <is>
          <t>x̄x̄DCXVI</t>
        </is>
      </c>
      <c r="C20617">
        <f>ROMAN(20616)</f>
        <v/>
      </c>
      <c r="D20617">
        <f>IF(B20617=C20617, "YES", "WRONG")</f>
        <v/>
      </c>
    </row>
    <row r="20618">
      <c r="A20618" t="n">
        <v>20617</v>
      </c>
      <c r="B20618" t="inlineStr">
        <is>
          <t>x̄x̄DCXVII</t>
        </is>
      </c>
      <c r="C20618">
        <f>ROMAN(20617)</f>
        <v/>
      </c>
      <c r="D20618">
        <f>IF(B20618=C20618, "YES", "WRONG")</f>
        <v/>
      </c>
    </row>
    <row r="20619">
      <c r="A20619" t="n">
        <v>20618</v>
      </c>
      <c r="B20619" t="inlineStr">
        <is>
          <t>x̄x̄DCXVIII</t>
        </is>
      </c>
      <c r="C20619">
        <f>ROMAN(20618)</f>
        <v/>
      </c>
      <c r="D20619">
        <f>IF(B20619=C20619, "YES", "WRONG")</f>
        <v/>
      </c>
    </row>
    <row r="20620">
      <c r="A20620" t="n">
        <v>20619</v>
      </c>
      <c r="B20620" t="inlineStr">
        <is>
          <t>x̄x̄DCXIX</t>
        </is>
      </c>
      <c r="C20620">
        <f>ROMAN(20619)</f>
        <v/>
      </c>
      <c r="D20620">
        <f>IF(B20620=C20620, "YES", "WRONG")</f>
        <v/>
      </c>
    </row>
    <row r="20621">
      <c r="A20621" t="n">
        <v>20620</v>
      </c>
      <c r="B20621" t="inlineStr">
        <is>
          <t>x̄x̄DCXX</t>
        </is>
      </c>
      <c r="C20621">
        <f>ROMAN(20620)</f>
        <v/>
      </c>
      <c r="D20621">
        <f>IF(B20621=C20621, "YES", "WRONG")</f>
        <v/>
      </c>
    </row>
    <row r="20622">
      <c r="A20622" t="n">
        <v>20621</v>
      </c>
      <c r="B20622" t="inlineStr">
        <is>
          <t>x̄x̄DCXXI</t>
        </is>
      </c>
      <c r="C20622">
        <f>ROMAN(20621)</f>
        <v/>
      </c>
      <c r="D20622">
        <f>IF(B20622=C20622, "YES", "WRONG")</f>
        <v/>
      </c>
    </row>
    <row r="20623">
      <c r="A20623" t="n">
        <v>20622</v>
      </c>
      <c r="B20623" t="inlineStr">
        <is>
          <t>x̄x̄DCXXII</t>
        </is>
      </c>
      <c r="C20623">
        <f>ROMAN(20622)</f>
        <v/>
      </c>
      <c r="D20623">
        <f>IF(B20623=C20623, "YES", "WRONG")</f>
        <v/>
      </c>
    </row>
    <row r="20624">
      <c r="A20624" t="n">
        <v>20623</v>
      </c>
      <c r="B20624" t="inlineStr">
        <is>
          <t>x̄x̄DCXXIII</t>
        </is>
      </c>
      <c r="C20624">
        <f>ROMAN(20623)</f>
        <v/>
      </c>
      <c r="D20624">
        <f>IF(B20624=C20624, "YES", "WRONG")</f>
        <v/>
      </c>
    </row>
    <row r="20625">
      <c r="A20625" t="n">
        <v>20624</v>
      </c>
      <c r="B20625" t="inlineStr">
        <is>
          <t>x̄x̄DCXXIV</t>
        </is>
      </c>
      <c r="C20625">
        <f>ROMAN(20624)</f>
        <v/>
      </c>
      <c r="D20625">
        <f>IF(B20625=C20625, "YES", "WRONG")</f>
        <v/>
      </c>
    </row>
    <row r="20626">
      <c r="A20626" t="n">
        <v>20625</v>
      </c>
      <c r="B20626" t="inlineStr">
        <is>
          <t>x̄x̄DCXXV</t>
        </is>
      </c>
      <c r="C20626">
        <f>ROMAN(20625)</f>
        <v/>
      </c>
      <c r="D20626">
        <f>IF(B20626=C20626, "YES", "WRONG")</f>
        <v/>
      </c>
    </row>
    <row r="20627">
      <c r="A20627" t="n">
        <v>20626</v>
      </c>
      <c r="B20627" t="inlineStr">
        <is>
          <t>x̄x̄DCXXVI</t>
        </is>
      </c>
      <c r="C20627">
        <f>ROMAN(20626)</f>
        <v/>
      </c>
      <c r="D20627">
        <f>IF(B20627=C20627, "YES", "WRONG")</f>
        <v/>
      </c>
    </row>
    <row r="20628">
      <c r="A20628" t="n">
        <v>20627</v>
      </c>
      <c r="B20628" t="inlineStr">
        <is>
          <t>x̄x̄DCXXVII</t>
        </is>
      </c>
      <c r="C20628">
        <f>ROMAN(20627)</f>
        <v/>
      </c>
      <c r="D20628">
        <f>IF(B20628=C20628, "YES", "WRONG")</f>
        <v/>
      </c>
    </row>
    <row r="20629">
      <c r="A20629" t="n">
        <v>20628</v>
      </c>
      <c r="B20629" t="inlineStr">
        <is>
          <t>x̄x̄DCXXVIII</t>
        </is>
      </c>
      <c r="C20629">
        <f>ROMAN(20628)</f>
        <v/>
      </c>
      <c r="D20629">
        <f>IF(B20629=C20629, "YES", "WRONG")</f>
        <v/>
      </c>
    </row>
    <row r="20630">
      <c r="A20630" t="n">
        <v>20629</v>
      </c>
      <c r="B20630" t="inlineStr">
        <is>
          <t>x̄x̄DCXXIX</t>
        </is>
      </c>
      <c r="C20630">
        <f>ROMAN(20629)</f>
        <v/>
      </c>
      <c r="D20630">
        <f>IF(B20630=C20630, "YES", "WRONG")</f>
        <v/>
      </c>
    </row>
    <row r="20631">
      <c r="A20631" t="n">
        <v>20630</v>
      </c>
      <c r="B20631" t="inlineStr">
        <is>
          <t>x̄x̄DCXXX</t>
        </is>
      </c>
      <c r="C20631">
        <f>ROMAN(20630)</f>
        <v/>
      </c>
      <c r="D20631">
        <f>IF(B20631=C20631, "YES", "WRONG")</f>
        <v/>
      </c>
    </row>
    <row r="20632">
      <c r="A20632" t="n">
        <v>20631</v>
      </c>
      <c r="B20632" t="inlineStr">
        <is>
          <t>x̄x̄DCXXXI</t>
        </is>
      </c>
      <c r="C20632">
        <f>ROMAN(20631)</f>
        <v/>
      </c>
      <c r="D20632">
        <f>IF(B20632=C20632, "YES", "WRONG")</f>
        <v/>
      </c>
    </row>
    <row r="20633">
      <c r="A20633" t="n">
        <v>20632</v>
      </c>
      <c r="B20633" t="inlineStr">
        <is>
          <t>x̄x̄DCXXXII</t>
        </is>
      </c>
      <c r="C20633">
        <f>ROMAN(20632)</f>
        <v/>
      </c>
      <c r="D20633">
        <f>IF(B20633=C20633, "YES", "WRONG")</f>
        <v/>
      </c>
    </row>
    <row r="20634">
      <c r="A20634" t="n">
        <v>20633</v>
      </c>
      <c r="B20634" t="inlineStr">
        <is>
          <t>x̄x̄DCXXXIII</t>
        </is>
      </c>
      <c r="C20634">
        <f>ROMAN(20633)</f>
        <v/>
      </c>
      <c r="D20634">
        <f>IF(B20634=C20634, "YES", "WRONG")</f>
        <v/>
      </c>
    </row>
    <row r="20635">
      <c r="A20635" t="n">
        <v>20634</v>
      </c>
      <c r="B20635" t="inlineStr">
        <is>
          <t>x̄x̄DCXXXIV</t>
        </is>
      </c>
      <c r="C20635">
        <f>ROMAN(20634)</f>
        <v/>
      </c>
      <c r="D20635">
        <f>IF(B20635=C20635, "YES", "WRONG")</f>
        <v/>
      </c>
    </row>
    <row r="20636">
      <c r="A20636" t="n">
        <v>20635</v>
      </c>
      <c r="B20636" t="inlineStr">
        <is>
          <t>x̄x̄DCXXXV</t>
        </is>
      </c>
      <c r="C20636">
        <f>ROMAN(20635)</f>
        <v/>
      </c>
      <c r="D20636">
        <f>IF(B20636=C20636, "YES", "WRONG")</f>
        <v/>
      </c>
    </row>
    <row r="20637">
      <c r="A20637" t="n">
        <v>20636</v>
      </c>
      <c r="B20637" t="inlineStr">
        <is>
          <t>x̄x̄DCXXXVI</t>
        </is>
      </c>
      <c r="C20637">
        <f>ROMAN(20636)</f>
        <v/>
      </c>
      <c r="D20637">
        <f>IF(B20637=C20637, "YES", "WRONG")</f>
        <v/>
      </c>
    </row>
    <row r="20638">
      <c r="A20638" t="n">
        <v>20637</v>
      </c>
      <c r="B20638" t="inlineStr">
        <is>
          <t>x̄x̄DCXXXVII</t>
        </is>
      </c>
      <c r="C20638">
        <f>ROMAN(20637)</f>
        <v/>
      </c>
      <c r="D20638">
        <f>IF(B20638=C20638, "YES", "WRONG")</f>
        <v/>
      </c>
    </row>
    <row r="20639">
      <c r="A20639" t="n">
        <v>20638</v>
      </c>
      <c r="B20639" t="inlineStr">
        <is>
          <t>x̄x̄DCXXXVIII</t>
        </is>
      </c>
      <c r="C20639">
        <f>ROMAN(20638)</f>
        <v/>
      </c>
      <c r="D20639">
        <f>IF(B20639=C20639, "YES", "WRONG")</f>
        <v/>
      </c>
    </row>
    <row r="20640">
      <c r="A20640" t="n">
        <v>20639</v>
      </c>
      <c r="B20640" t="inlineStr">
        <is>
          <t>x̄x̄DCXXXIX</t>
        </is>
      </c>
      <c r="C20640">
        <f>ROMAN(20639)</f>
        <v/>
      </c>
      <c r="D20640">
        <f>IF(B20640=C20640, "YES", "WRONG")</f>
        <v/>
      </c>
    </row>
    <row r="20641">
      <c r="A20641" t="n">
        <v>20640</v>
      </c>
      <c r="B20641" t="inlineStr">
        <is>
          <t>x̄x̄DCXL</t>
        </is>
      </c>
      <c r="C20641">
        <f>ROMAN(20640)</f>
        <v/>
      </c>
      <c r="D20641">
        <f>IF(B20641=C20641, "YES", "WRONG")</f>
        <v/>
      </c>
    </row>
    <row r="20642">
      <c r="A20642" t="n">
        <v>20641</v>
      </c>
      <c r="B20642" t="inlineStr">
        <is>
          <t>x̄x̄DCXLI</t>
        </is>
      </c>
      <c r="C20642">
        <f>ROMAN(20641)</f>
        <v/>
      </c>
      <c r="D20642">
        <f>IF(B20642=C20642, "YES", "WRONG")</f>
        <v/>
      </c>
    </row>
    <row r="20643">
      <c r="A20643" t="n">
        <v>20642</v>
      </c>
      <c r="B20643" t="inlineStr">
        <is>
          <t>x̄x̄DCXLII</t>
        </is>
      </c>
      <c r="C20643">
        <f>ROMAN(20642)</f>
        <v/>
      </c>
      <c r="D20643">
        <f>IF(B20643=C20643, "YES", "WRONG")</f>
        <v/>
      </c>
    </row>
    <row r="20644">
      <c r="A20644" t="n">
        <v>20643</v>
      </c>
      <c r="B20644" t="inlineStr">
        <is>
          <t>x̄x̄DCXLIII</t>
        </is>
      </c>
      <c r="C20644">
        <f>ROMAN(20643)</f>
        <v/>
      </c>
      <c r="D20644">
        <f>IF(B20644=C20644, "YES", "WRONG")</f>
        <v/>
      </c>
    </row>
    <row r="20645">
      <c r="A20645" t="n">
        <v>20644</v>
      </c>
      <c r="B20645" t="inlineStr">
        <is>
          <t>x̄x̄DCXLIV</t>
        </is>
      </c>
      <c r="C20645">
        <f>ROMAN(20644)</f>
        <v/>
      </c>
      <c r="D20645">
        <f>IF(B20645=C20645, "YES", "WRONG")</f>
        <v/>
      </c>
    </row>
    <row r="20646">
      <c r="A20646" t="n">
        <v>20645</v>
      </c>
      <c r="B20646" t="inlineStr">
        <is>
          <t>x̄x̄DCXLV</t>
        </is>
      </c>
      <c r="C20646">
        <f>ROMAN(20645)</f>
        <v/>
      </c>
      <c r="D20646">
        <f>IF(B20646=C20646, "YES", "WRONG")</f>
        <v/>
      </c>
    </row>
    <row r="20647">
      <c r="A20647" t="n">
        <v>20646</v>
      </c>
      <c r="B20647" t="inlineStr">
        <is>
          <t>x̄x̄DCXLVI</t>
        </is>
      </c>
      <c r="C20647">
        <f>ROMAN(20646)</f>
        <v/>
      </c>
      <c r="D20647">
        <f>IF(B20647=C20647, "YES", "WRONG")</f>
        <v/>
      </c>
    </row>
    <row r="20648">
      <c r="A20648" t="n">
        <v>20647</v>
      </c>
      <c r="B20648" t="inlineStr">
        <is>
          <t>x̄x̄DCXLVII</t>
        </is>
      </c>
      <c r="C20648">
        <f>ROMAN(20647)</f>
        <v/>
      </c>
      <c r="D20648">
        <f>IF(B20648=C20648, "YES", "WRONG")</f>
        <v/>
      </c>
    </row>
    <row r="20649">
      <c r="A20649" t="n">
        <v>20648</v>
      </c>
      <c r="B20649" t="inlineStr">
        <is>
          <t>x̄x̄DCXLVIII</t>
        </is>
      </c>
      <c r="C20649">
        <f>ROMAN(20648)</f>
        <v/>
      </c>
      <c r="D20649">
        <f>IF(B20649=C20649, "YES", "WRONG")</f>
        <v/>
      </c>
    </row>
    <row r="20650">
      <c r="A20650" t="n">
        <v>20649</v>
      </c>
      <c r="B20650" t="inlineStr">
        <is>
          <t>x̄x̄DCXLIX</t>
        </is>
      </c>
      <c r="C20650">
        <f>ROMAN(20649)</f>
        <v/>
      </c>
      <c r="D20650">
        <f>IF(B20650=C20650, "YES", "WRONG")</f>
        <v/>
      </c>
    </row>
    <row r="20651">
      <c r="A20651" t="n">
        <v>20650</v>
      </c>
      <c r="B20651" t="inlineStr">
        <is>
          <t>x̄x̄DCL</t>
        </is>
      </c>
      <c r="C20651">
        <f>ROMAN(20650)</f>
        <v/>
      </c>
      <c r="D20651">
        <f>IF(B20651=C20651, "YES", "WRONG")</f>
        <v/>
      </c>
    </row>
    <row r="20652">
      <c r="A20652" t="n">
        <v>20651</v>
      </c>
      <c r="B20652" t="inlineStr">
        <is>
          <t>x̄x̄DCLI</t>
        </is>
      </c>
      <c r="C20652">
        <f>ROMAN(20651)</f>
        <v/>
      </c>
      <c r="D20652">
        <f>IF(B20652=C20652, "YES", "WRONG")</f>
        <v/>
      </c>
    </row>
    <row r="20653">
      <c r="A20653" t="n">
        <v>20652</v>
      </c>
      <c r="B20653" t="inlineStr">
        <is>
          <t>x̄x̄DCLII</t>
        </is>
      </c>
      <c r="C20653">
        <f>ROMAN(20652)</f>
        <v/>
      </c>
      <c r="D20653">
        <f>IF(B20653=C20653, "YES", "WRONG")</f>
        <v/>
      </c>
    </row>
    <row r="20654">
      <c r="A20654" t="n">
        <v>20653</v>
      </c>
      <c r="B20654" t="inlineStr">
        <is>
          <t>x̄x̄DCLIII</t>
        </is>
      </c>
      <c r="C20654">
        <f>ROMAN(20653)</f>
        <v/>
      </c>
      <c r="D20654">
        <f>IF(B20654=C20654, "YES", "WRONG")</f>
        <v/>
      </c>
    </row>
    <row r="20655">
      <c r="A20655" t="n">
        <v>20654</v>
      </c>
      <c r="B20655" t="inlineStr">
        <is>
          <t>x̄x̄DCLIV</t>
        </is>
      </c>
      <c r="C20655">
        <f>ROMAN(20654)</f>
        <v/>
      </c>
      <c r="D20655">
        <f>IF(B20655=C20655, "YES", "WRONG")</f>
        <v/>
      </c>
    </row>
    <row r="20656">
      <c r="A20656" t="n">
        <v>20655</v>
      </c>
      <c r="B20656" t="inlineStr">
        <is>
          <t>x̄x̄DCLV</t>
        </is>
      </c>
      <c r="C20656">
        <f>ROMAN(20655)</f>
        <v/>
      </c>
      <c r="D20656">
        <f>IF(B20656=C20656, "YES", "WRONG")</f>
        <v/>
      </c>
    </row>
    <row r="20657">
      <c r="A20657" t="n">
        <v>20656</v>
      </c>
      <c r="B20657" t="inlineStr">
        <is>
          <t>x̄x̄DCLVI</t>
        </is>
      </c>
      <c r="C20657">
        <f>ROMAN(20656)</f>
        <v/>
      </c>
      <c r="D20657">
        <f>IF(B20657=C20657, "YES", "WRONG")</f>
        <v/>
      </c>
    </row>
    <row r="20658">
      <c r="A20658" t="n">
        <v>20657</v>
      </c>
      <c r="B20658" t="inlineStr">
        <is>
          <t>x̄x̄DCLVII</t>
        </is>
      </c>
      <c r="C20658">
        <f>ROMAN(20657)</f>
        <v/>
      </c>
      <c r="D20658">
        <f>IF(B20658=C20658, "YES", "WRONG")</f>
        <v/>
      </c>
    </row>
    <row r="20659">
      <c r="A20659" t="n">
        <v>20658</v>
      </c>
      <c r="B20659" t="inlineStr">
        <is>
          <t>x̄x̄DCLVIII</t>
        </is>
      </c>
      <c r="C20659">
        <f>ROMAN(20658)</f>
        <v/>
      </c>
      <c r="D20659">
        <f>IF(B20659=C20659, "YES", "WRONG")</f>
        <v/>
      </c>
    </row>
    <row r="20660">
      <c r="A20660" t="n">
        <v>20659</v>
      </c>
      <c r="B20660" t="inlineStr">
        <is>
          <t>x̄x̄DCLIX</t>
        </is>
      </c>
      <c r="C20660">
        <f>ROMAN(20659)</f>
        <v/>
      </c>
      <c r="D20660">
        <f>IF(B20660=C20660, "YES", "WRONG")</f>
        <v/>
      </c>
    </row>
    <row r="20661">
      <c r="A20661" t="n">
        <v>20660</v>
      </c>
      <c r="B20661" t="inlineStr">
        <is>
          <t>x̄x̄DCLX</t>
        </is>
      </c>
      <c r="C20661">
        <f>ROMAN(20660)</f>
        <v/>
      </c>
      <c r="D20661">
        <f>IF(B20661=C20661, "YES", "WRONG")</f>
        <v/>
      </c>
    </row>
    <row r="20662">
      <c r="A20662" t="n">
        <v>20661</v>
      </c>
      <c r="B20662" t="inlineStr">
        <is>
          <t>x̄x̄DCLXI</t>
        </is>
      </c>
      <c r="C20662">
        <f>ROMAN(20661)</f>
        <v/>
      </c>
      <c r="D20662">
        <f>IF(B20662=C20662, "YES", "WRONG")</f>
        <v/>
      </c>
    </row>
    <row r="20663">
      <c r="A20663" t="n">
        <v>20662</v>
      </c>
      <c r="B20663" t="inlineStr">
        <is>
          <t>x̄x̄DCLXII</t>
        </is>
      </c>
      <c r="C20663">
        <f>ROMAN(20662)</f>
        <v/>
      </c>
      <c r="D20663">
        <f>IF(B20663=C20663, "YES", "WRONG")</f>
        <v/>
      </c>
    </row>
    <row r="20664">
      <c r="A20664" t="n">
        <v>20663</v>
      </c>
      <c r="B20664" t="inlineStr">
        <is>
          <t>x̄x̄DCLXIII</t>
        </is>
      </c>
      <c r="C20664">
        <f>ROMAN(20663)</f>
        <v/>
      </c>
      <c r="D20664">
        <f>IF(B20664=C20664, "YES", "WRONG")</f>
        <v/>
      </c>
    </row>
    <row r="20665">
      <c r="A20665" t="n">
        <v>20664</v>
      </c>
      <c r="B20665" t="inlineStr">
        <is>
          <t>x̄x̄DCLXIV</t>
        </is>
      </c>
      <c r="C20665">
        <f>ROMAN(20664)</f>
        <v/>
      </c>
      <c r="D20665">
        <f>IF(B20665=C20665, "YES", "WRONG")</f>
        <v/>
      </c>
    </row>
    <row r="20666">
      <c r="A20666" t="n">
        <v>20665</v>
      </c>
      <c r="B20666" t="inlineStr">
        <is>
          <t>x̄x̄DCLXV</t>
        </is>
      </c>
      <c r="C20666">
        <f>ROMAN(20665)</f>
        <v/>
      </c>
      <c r="D20666">
        <f>IF(B20666=C20666, "YES", "WRONG")</f>
        <v/>
      </c>
    </row>
    <row r="20667">
      <c r="A20667" t="n">
        <v>20666</v>
      </c>
      <c r="B20667" t="inlineStr">
        <is>
          <t>x̄x̄DCLXVI</t>
        </is>
      </c>
      <c r="C20667">
        <f>ROMAN(20666)</f>
        <v/>
      </c>
      <c r="D20667">
        <f>IF(B20667=C20667, "YES", "WRONG")</f>
        <v/>
      </c>
    </row>
    <row r="20668">
      <c r="A20668" t="n">
        <v>20667</v>
      </c>
      <c r="B20668" t="inlineStr">
        <is>
          <t>x̄x̄DCLXVII</t>
        </is>
      </c>
      <c r="C20668">
        <f>ROMAN(20667)</f>
        <v/>
      </c>
      <c r="D20668">
        <f>IF(B20668=C20668, "YES", "WRONG")</f>
        <v/>
      </c>
    </row>
    <row r="20669">
      <c r="A20669" t="n">
        <v>20668</v>
      </c>
      <c r="B20669" t="inlineStr">
        <is>
          <t>x̄x̄DCLXVIII</t>
        </is>
      </c>
      <c r="C20669">
        <f>ROMAN(20668)</f>
        <v/>
      </c>
      <c r="D20669">
        <f>IF(B20669=C20669, "YES", "WRONG")</f>
        <v/>
      </c>
    </row>
    <row r="20670">
      <c r="A20670" t="n">
        <v>20669</v>
      </c>
      <c r="B20670" t="inlineStr">
        <is>
          <t>x̄x̄DCLXIX</t>
        </is>
      </c>
      <c r="C20670">
        <f>ROMAN(20669)</f>
        <v/>
      </c>
      <c r="D20670">
        <f>IF(B20670=C20670, "YES", "WRONG")</f>
        <v/>
      </c>
    </row>
    <row r="20671">
      <c r="A20671" t="n">
        <v>20670</v>
      </c>
      <c r="B20671" t="inlineStr">
        <is>
          <t>x̄x̄DCLXX</t>
        </is>
      </c>
      <c r="C20671">
        <f>ROMAN(20670)</f>
        <v/>
      </c>
      <c r="D20671">
        <f>IF(B20671=C20671, "YES", "WRONG")</f>
        <v/>
      </c>
    </row>
    <row r="20672">
      <c r="A20672" t="n">
        <v>20671</v>
      </c>
      <c r="B20672" t="inlineStr">
        <is>
          <t>x̄x̄DCLXXI</t>
        </is>
      </c>
      <c r="C20672">
        <f>ROMAN(20671)</f>
        <v/>
      </c>
      <c r="D20672">
        <f>IF(B20672=C20672, "YES", "WRONG")</f>
        <v/>
      </c>
    </row>
    <row r="20673">
      <c r="A20673" t="n">
        <v>20672</v>
      </c>
      <c r="B20673" t="inlineStr">
        <is>
          <t>x̄x̄DCLXXII</t>
        </is>
      </c>
      <c r="C20673">
        <f>ROMAN(20672)</f>
        <v/>
      </c>
      <c r="D20673">
        <f>IF(B20673=C20673, "YES", "WRONG")</f>
        <v/>
      </c>
    </row>
    <row r="20674">
      <c r="A20674" t="n">
        <v>20673</v>
      </c>
      <c r="B20674" t="inlineStr">
        <is>
          <t>x̄x̄DCLXXIII</t>
        </is>
      </c>
      <c r="C20674">
        <f>ROMAN(20673)</f>
        <v/>
      </c>
      <c r="D20674">
        <f>IF(B20674=C20674, "YES", "WRONG")</f>
        <v/>
      </c>
    </row>
    <row r="20675">
      <c r="A20675" t="n">
        <v>20674</v>
      </c>
      <c r="B20675" t="inlineStr">
        <is>
          <t>x̄x̄DCLXXIV</t>
        </is>
      </c>
      <c r="C20675">
        <f>ROMAN(20674)</f>
        <v/>
      </c>
      <c r="D20675">
        <f>IF(B20675=C20675, "YES", "WRONG")</f>
        <v/>
      </c>
    </row>
    <row r="20676">
      <c r="A20676" t="n">
        <v>20675</v>
      </c>
      <c r="B20676" t="inlineStr">
        <is>
          <t>x̄x̄DCLXXV</t>
        </is>
      </c>
      <c r="C20676">
        <f>ROMAN(20675)</f>
        <v/>
      </c>
      <c r="D20676">
        <f>IF(B20676=C20676, "YES", "WRONG")</f>
        <v/>
      </c>
    </row>
    <row r="20677">
      <c r="A20677" t="n">
        <v>20676</v>
      </c>
      <c r="B20677" t="inlineStr">
        <is>
          <t>x̄x̄DCLXXVI</t>
        </is>
      </c>
      <c r="C20677">
        <f>ROMAN(20676)</f>
        <v/>
      </c>
      <c r="D20677">
        <f>IF(B20677=C20677, "YES", "WRONG")</f>
        <v/>
      </c>
    </row>
    <row r="20678">
      <c r="A20678" t="n">
        <v>20677</v>
      </c>
      <c r="B20678" t="inlineStr">
        <is>
          <t>x̄x̄DCLXXVII</t>
        </is>
      </c>
      <c r="C20678">
        <f>ROMAN(20677)</f>
        <v/>
      </c>
      <c r="D20678">
        <f>IF(B20678=C20678, "YES", "WRONG")</f>
        <v/>
      </c>
    </row>
    <row r="20679">
      <c r="A20679" t="n">
        <v>20678</v>
      </c>
      <c r="B20679" t="inlineStr">
        <is>
          <t>x̄x̄DCLXXVIII</t>
        </is>
      </c>
      <c r="C20679">
        <f>ROMAN(20678)</f>
        <v/>
      </c>
      <c r="D20679">
        <f>IF(B20679=C20679, "YES", "WRONG")</f>
        <v/>
      </c>
    </row>
    <row r="20680">
      <c r="A20680" t="n">
        <v>20679</v>
      </c>
      <c r="B20680" t="inlineStr">
        <is>
          <t>x̄x̄DCLXXIX</t>
        </is>
      </c>
      <c r="C20680">
        <f>ROMAN(20679)</f>
        <v/>
      </c>
      <c r="D20680">
        <f>IF(B20680=C20680, "YES", "WRONG")</f>
        <v/>
      </c>
    </row>
    <row r="20681">
      <c r="A20681" t="n">
        <v>20680</v>
      </c>
      <c r="B20681" t="inlineStr">
        <is>
          <t>x̄x̄DCLXXX</t>
        </is>
      </c>
      <c r="C20681">
        <f>ROMAN(20680)</f>
        <v/>
      </c>
      <c r="D20681">
        <f>IF(B20681=C20681, "YES", "WRONG")</f>
        <v/>
      </c>
    </row>
    <row r="20682">
      <c r="A20682" t="n">
        <v>20681</v>
      </c>
      <c r="B20682" t="inlineStr">
        <is>
          <t>x̄x̄DCLXXXI</t>
        </is>
      </c>
      <c r="C20682">
        <f>ROMAN(20681)</f>
        <v/>
      </c>
      <c r="D20682">
        <f>IF(B20682=C20682, "YES", "WRONG")</f>
        <v/>
      </c>
    </row>
    <row r="20683">
      <c r="A20683" t="n">
        <v>20682</v>
      </c>
      <c r="B20683" t="inlineStr">
        <is>
          <t>x̄x̄DCLXXXII</t>
        </is>
      </c>
      <c r="C20683">
        <f>ROMAN(20682)</f>
        <v/>
      </c>
      <c r="D20683">
        <f>IF(B20683=C20683, "YES", "WRONG")</f>
        <v/>
      </c>
    </row>
    <row r="20684">
      <c r="A20684" t="n">
        <v>20683</v>
      </c>
      <c r="B20684" t="inlineStr">
        <is>
          <t>x̄x̄DCLXXXIII</t>
        </is>
      </c>
      <c r="C20684">
        <f>ROMAN(20683)</f>
        <v/>
      </c>
      <c r="D20684">
        <f>IF(B20684=C20684, "YES", "WRONG")</f>
        <v/>
      </c>
    </row>
    <row r="20685">
      <c r="A20685" t="n">
        <v>20684</v>
      </c>
      <c r="B20685" t="inlineStr">
        <is>
          <t>x̄x̄DCLXXXIV</t>
        </is>
      </c>
      <c r="C20685">
        <f>ROMAN(20684)</f>
        <v/>
      </c>
      <c r="D20685">
        <f>IF(B20685=C20685, "YES", "WRONG")</f>
        <v/>
      </c>
    </row>
    <row r="20686">
      <c r="A20686" t="n">
        <v>20685</v>
      </c>
      <c r="B20686" t="inlineStr">
        <is>
          <t>x̄x̄DCLXXXV</t>
        </is>
      </c>
      <c r="C20686">
        <f>ROMAN(20685)</f>
        <v/>
      </c>
      <c r="D20686">
        <f>IF(B20686=C20686, "YES", "WRONG")</f>
        <v/>
      </c>
    </row>
    <row r="20687">
      <c r="A20687" t="n">
        <v>20686</v>
      </c>
      <c r="B20687" t="inlineStr">
        <is>
          <t>x̄x̄DCLXXXVI</t>
        </is>
      </c>
      <c r="C20687">
        <f>ROMAN(20686)</f>
        <v/>
      </c>
      <c r="D20687">
        <f>IF(B20687=C20687, "YES", "WRONG")</f>
        <v/>
      </c>
    </row>
    <row r="20688">
      <c r="A20688" t="n">
        <v>20687</v>
      </c>
      <c r="B20688" t="inlineStr">
        <is>
          <t>x̄x̄DCLXXXVII</t>
        </is>
      </c>
      <c r="C20688">
        <f>ROMAN(20687)</f>
        <v/>
      </c>
      <c r="D20688">
        <f>IF(B20688=C20688, "YES", "WRONG")</f>
        <v/>
      </c>
    </row>
    <row r="20689">
      <c r="A20689" t="n">
        <v>20688</v>
      </c>
      <c r="B20689" t="inlineStr">
        <is>
          <t>x̄x̄DCLXXXVIII</t>
        </is>
      </c>
      <c r="C20689">
        <f>ROMAN(20688)</f>
        <v/>
      </c>
      <c r="D20689">
        <f>IF(B20689=C20689, "YES", "WRONG")</f>
        <v/>
      </c>
    </row>
    <row r="20690">
      <c r="A20690" t="n">
        <v>20689</v>
      </c>
      <c r="B20690" t="inlineStr">
        <is>
          <t>x̄x̄DCLXXXIX</t>
        </is>
      </c>
      <c r="C20690">
        <f>ROMAN(20689)</f>
        <v/>
      </c>
      <c r="D20690">
        <f>IF(B20690=C20690, "YES", "WRONG")</f>
        <v/>
      </c>
    </row>
    <row r="20691">
      <c r="A20691" t="n">
        <v>20690</v>
      </c>
      <c r="B20691" t="inlineStr">
        <is>
          <t>x̄x̄DCXC</t>
        </is>
      </c>
      <c r="C20691">
        <f>ROMAN(20690)</f>
        <v/>
      </c>
      <c r="D20691">
        <f>IF(B20691=C20691, "YES", "WRONG")</f>
        <v/>
      </c>
    </row>
    <row r="20692">
      <c r="A20692" t="n">
        <v>20691</v>
      </c>
      <c r="B20692" t="inlineStr">
        <is>
          <t>x̄x̄DCXCI</t>
        </is>
      </c>
      <c r="C20692">
        <f>ROMAN(20691)</f>
        <v/>
      </c>
      <c r="D20692">
        <f>IF(B20692=C20692, "YES", "WRONG")</f>
        <v/>
      </c>
    </row>
    <row r="20693">
      <c r="A20693" t="n">
        <v>20692</v>
      </c>
      <c r="B20693" t="inlineStr">
        <is>
          <t>x̄x̄DCXCII</t>
        </is>
      </c>
      <c r="C20693">
        <f>ROMAN(20692)</f>
        <v/>
      </c>
      <c r="D20693">
        <f>IF(B20693=C20693, "YES", "WRONG")</f>
        <v/>
      </c>
    </row>
    <row r="20694">
      <c r="A20694" t="n">
        <v>20693</v>
      </c>
      <c r="B20694" t="inlineStr">
        <is>
          <t>x̄x̄DCXCIII</t>
        </is>
      </c>
      <c r="C20694">
        <f>ROMAN(20693)</f>
        <v/>
      </c>
      <c r="D20694">
        <f>IF(B20694=C20694, "YES", "WRONG")</f>
        <v/>
      </c>
    </row>
    <row r="20695">
      <c r="A20695" t="n">
        <v>20694</v>
      </c>
      <c r="B20695" t="inlineStr">
        <is>
          <t>x̄x̄DCXCIV</t>
        </is>
      </c>
      <c r="C20695">
        <f>ROMAN(20694)</f>
        <v/>
      </c>
      <c r="D20695">
        <f>IF(B20695=C20695, "YES", "WRONG")</f>
        <v/>
      </c>
    </row>
    <row r="20696">
      <c r="A20696" t="n">
        <v>20695</v>
      </c>
      <c r="B20696" t="inlineStr">
        <is>
          <t>x̄x̄DCXCV</t>
        </is>
      </c>
      <c r="C20696">
        <f>ROMAN(20695)</f>
        <v/>
      </c>
      <c r="D20696">
        <f>IF(B20696=C20696, "YES", "WRONG")</f>
        <v/>
      </c>
    </row>
    <row r="20697">
      <c r="A20697" t="n">
        <v>20696</v>
      </c>
      <c r="B20697" t="inlineStr">
        <is>
          <t>x̄x̄DCXCVI</t>
        </is>
      </c>
      <c r="C20697">
        <f>ROMAN(20696)</f>
        <v/>
      </c>
      <c r="D20697">
        <f>IF(B20697=C20697, "YES", "WRONG")</f>
        <v/>
      </c>
    </row>
    <row r="20698">
      <c r="A20698" t="n">
        <v>20697</v>
      </c>
      <c r="B20698" t="inlineStr">
        <is>
          <t>x̄x̄DCXCVII</t>
        </is>
      </c>
      <c r="C20698">
        <f>ROMAN(20697)</f>
        <v/>
      </c>
      <c r="D20698">
        <f>IF(B20698=C20698, "YES", "WRONG")</f>
        <v/>
      </c>
    </row>
    <row r="20699">
      <c r="A20699" t="n">
        <v>20698</v>
      </c>
      <c r="B20699" t="inlineStr">
        <is>
          <t>x̄x̄DCXCVIII</t>
        </is>
      </c>
      <c r="C20699">
        <f>ROMAN(20698)</f>
        <v/>
      </c>
      <c r="D20699">
        <f>IF(B20699=C20699, "YES", "WRONG")</f>
        <v/>
      </c>
    </row>
    <row r="20700">
      <c r="A20700" t="n">
        <v>20699</v>
      </c>
      <c r="B20700" t="inlineStr">
        <is>
          <t>x̄x̄DCXCIX</t>
        </is>
      </c>
      <c r="C20700">
        <f>ROMAN(20699)</f>
        <v/>
      </c>
      <c r="D20700">
        <f>IF(B20700=C20700, "YES", "WRONG")</f>
        <v/>
      </c>
    </row>
    <row r="20701">
      <c r="A20701" t="n">
        <v>20700</v>
      </c>
      <c r="B20701" t="inlineStr">
        <is>
          <t>x̄x̄DCC</t>
        </is>
      </c>
      <c r="C20701">
        <f>ROMAN(20700)</f>
        <v/>
      </c>
      <c r="D20701">
        <f>IF(B20701=C20701, "YES", "WRONG")</f>
        <v/>
      </c>
    </row>
    <row r="20702">
      <c r="A20702" t="n">
        <v>20701</v>
      </c>
      <c r="B20702" t="inlineStr">
        <is>
          <t>x̄x̄DCCI</t>
        </is>
      </c>
      <c r="C20702">
        <f>ROMAN(20701)</f>
        <v/>
      </c>
      <c r="D20702">
        <f>IF(B20702=C20702, "YES", "WRONG")</f>
        <v/>
      </c>
    </row>
    <row r="20703">
      <c r="A20703" t="n">
        <v>20702</v>
      </c>
      <c r="B20703" t="inlineStr">
        <is>
          <t>x̄x̄DCCII</t>
        </is>
      </c>
      <c r="C20703">
        <f>ROMAN(20702)</f>
        <v/>
      </c>
      <c r="D20703">
        <f>IF(B20703=C20703, "YES", "WRONG")</f>
        <v/>
      </c>
    </row>
    <row r="20704">
      <c r="A20704" t="n">
        <v>20703</v>
      </c>
      <c r="B20704" t="inlineStr">
        <is>
          <t>x̄x̄DCCIII</t>
        </is>
      </c>
      <c r="C20704">
        <f>ROMAN(20703)</f>
        <v/>
      </c>
      <c r="D20704">
        <f>IF(B20704=C20704, "YES", "WRONG")</f>
        <v/>
      </c>
    </row>
    <row r="20705">
      <c r="A20705" t="n">
        <v>20704</v>
      </c>
      <c r="B20705" t="inlineStr">
        <is>
          <t>x̄x̄DCCIV</t>
        </is>
      </c>
      <c r="C20705">
        <f>ROMAN(20704)</f>
        <v/>
      </c>
      <c r="D20705">
        <f>IF(B20705=C20705, "YES", "WRONG")</f>
        <v/>
      </c>
    </row>
    <row r="20706">
      <c r="A20706" t="n">
        <v>20705</v>
      </c>
      <c r="B20706" t="inlineStr">
        <is>
          <t>x̄x̄DCCV</t>
        </is>
      </c>
      <c r="C20706">
        <f>ROMAN(20705)</f>
        <v/>
      </c>
      <c r="D20706">
        <f>IF(B20706=C20706, "YES", "WRONG")</f>
        <v/>
      </c>
    </row>
    <row r="20707">
      <c r="A20707" t="n">
        <v>20706</v>
      </c>
      <c r="B20707" t="inlineStr">
        <is>
          <t>x̄x̄DCCVI</t>
        </is>
      </c>
      <c r="C20707">
        <f>ROMAN(20706)</f>
        <v/>
      </c>
      <c r="D20707">
        <f>IF(B20707=C20707, "YES", "WRONG")</f>
        <v/>
      </c>
    </row>
    <row r="20708">
      <c r="A20708" t="n">
        <v>20707</v>
      </c>
      <c r="B20708" t="inlineStr">
        <is>
          <t>x̄x̄DCCVII</t>
        </is>
      </c>
      <c r="C20708">
        <f>ROMAN(20707)</f>
        <v/>
      </c>
      <c r="D20708">
        <f>IF(B20708=C20708, "YES", "WRONG")</f>
        <v/>
      </c>
    </row>
    <row r="20709">
      <c r="A20709" t="n">
        <v>20708</v>
      </c>
      <c r="B20709" t="inlineStr">
        <is>
          <t>x̄x̄DCCVIII</t>
        </is>
      </c>
      <c r="C20709">
        <f>ROMAN(20708)</f>
        <v/>
      </c>
      <c r="D20709">
        <f>IF(B20709=C20709, "YES", "WRONG")</f>
        <v/>
      </c>
    </row>
    <row r="20710">
      <c r="A20710" t="n">
        <v>20709</v>
      </c>
      <c r="B20710" t="inlineStr">
        <is>
          <t>x̄x̄DCCIX</t>
        </is>
      </c>
      <c r="C20710">
        <f>ROMAN(20709)</f>
        <v/>
      </c>
      <c r="D20710">
        <f>IF(B20710=C20710, "YES", "WRONG")</f>
        <v/>
      </c>
    </row>
    <row r="20711">
      <c r="A20711" t="n">
        <v>20710</v>
      </c>
      <c r="B20711" t="inlineStr">
        <is>
          <t>x̄x̄DCCX</t>
        </is>
      </c>
      <c r="C20711">
        <f>ROMAN(20710)</f>
        <v/>
      </c>
      <c r="D20711">
        <f>IF(B20711=C20711, "YES", "WRONG")</f>
        <v/>
      </c>
    </row>
    <row r="20712">
      <c r="A20712" t="n">
        <v>20711</v>
      </c>
      <c r="B20712" t="inlineStr">
        <is>
          <t>x̄x̄DCCXI</t>
        </is>
      </c>
      <c r="C20712">
        <f>ROMAN(20711)</f>
        <v/>
      </c>
      <c r="D20712">
        <f>IF(B20712=C20712, "YES", "WRONG")</f>
        <v/>
      </c>
    </row>
    <row r="20713">
      <c r="A20713" t="n">
        <v>20712</v>
      </c>
      <c r="B20713" t="inlineStr">
        <is>
          <t>x̄x̄DCCXII</t>
        </is>
      </c>
      <c r="C20713">
        <f>ROMAN(20712)</f>
        <v/>
      </c>
      <c r="D20713">
        <f>IF(B20713=C20713, "YES", "WRONG")</f>
        <v/>
      </c>
    </row>
    <row r="20714">
      <c r="A20714" t="n">
        <v>20713</v>
      </c>
      <c r="B20714" t="inlineStr">
        <is>
          <t>x̄x̄DCCXIII</t>
        </is>
      </c>
      <c r="C20714">
        <f>ROMAN(20713)</f>
        <v/>
      </c>
      <c r="D20714">
        <f>IF(B20714=C20714, "YES", "WRONG")</f>
        <v/>
      </c>
    </row>
    <row r="20715">
      <c r="A20715" t="n">
        <v>20714</v>
      </c>
      <c r="B20715" t="inlineStr">
        <is>
          <t>x̄x̄DCCXIV</t>
        </is>
      </c>
      <c r="C20715">
        <f>ROMAN(20714)</f>
        <v/>
      </c>
      <c r="D20715">
        <f>IF(B20715=C20715, "YES", "WRONG")</f>
        <v/>
      </c>
    </row>
    <row r="20716">
      <c r="A20716" t="n">
        <v>20715</v>
      </c>
      <c r="B20716" t="inlineStr">
        <is>
          <t>x̄x̄DCCXV</t>
        </is>
      </c>
      <c r="C20716">
        <f>ROMAN(20715)</f>
        <v/>
      </c>
      <c r="D20716">
        <f>IF(B20716=C20716, "YES", "WRONG")</f>
        <v/>
      </c>
    </row>
    <row r="20717">
      <c r="A20717" t="n">
        <v>20716</v>
      </c>
      <c r="B20717" t="inlineStr">
        <is>
          <t>x̄x̄DCCXVI</t>
        </is>
      </c>
      <c r="C20717">
        <f>ROMAN(20716)</f>
        <v/>
      </c>
      <c r="D20717">
        <f>IF(B20717=C20717, "YES", "WRONG")</f>
        <v/>
      </c>
    </row>
    <row r="20718">
      <c r="A20718" t="n">
        <v>20717</v>
      </c>
      <c r="B20718" t="inlineStr">
        <is>
          <t>x̄x̄DCCXVII</t>
        </is>
      </c>
      <c r="C20718">
        <f>ROMAN(20717)</f>
        <v/>
      </c>
      <c r="D20718">
        <f>IF(B20718=C20718, "YES", "WRONG")</f>
        <v/>
      </c>
    </row>
    <row r="20719">
      <c r="A20719" t="n">
        <v>20718</v>
      </c>
      <c r="B20719" t="inlineStr">
        <is>
          <t>x̄x̄DCCXVIII</t>
        </is>
      </c>
      <c r="C20719">
        <f>ROMAN(20718)</f>
        <v/>
      </c>
      <c r="D20719">
        <f>IF(B20719=C20719, "YES", "WRONG")</f>
        <v/>
      </c>
    </row>
    <row r="20720">
      <c r="A20720" t="n">
        <v>20719</v>
      </c>
      <c r="B20720" t="inlineStr">
        <is>
          <t>x̄x̄DCCXIX</t>
        </is>
      </c>
      <c r="C20720">
        <f>ROMAN(20719)</f>
        <v/>
      </c>
      <c r="D20720">
        <f>IF(B20720=C20720, "YES", "WRONG")</f>
        <v/>
      </c>
    </row>
    <row r="20721">
      <c r="A20721" t="n">
        <v>20720</v>
      </c>
      <c r="B20721" t="inlineStr">
        <is>
          <t>x̄x̄DCCXX</t>
        </is>
      </c>
      <c r="C20721">
        <f>ROMAN(20720)</f>
        <v/>
      </c>
      <c r="D20721">
        <f>IF(B20721=C20721, "YES", "WRONG")</f>
        <v/>
      </c>
    </row>
    <row r="20722">
      <c r="A20722" t="n">
        <v>20721</v>
      </c>
      <c r="B20722" t="inlineStr">
        <is>
          <t>x̄x̄DCCXXI</t>
        </is>
      </c>
      <c r="C20722">
        <f>ROMAN(20721)</f>
        <v/>
      </c>
      <c r="D20722">
        <f>IF(B20722=C20722, "YES", "WRONG")</f>
        <v/>
      </c>
    </row>
    <row r="20723">
      <c r="A20723" t="n">
        <v>20722</v>
      </c>
      <c r="B20723" t="inlineStr">
        <is>
          <t>x̄x̄DCCXXII</t>
        </is>
      </c>
      <c r="C20723">
        <f>ROMAN(20722)</f>
        <v/>
      </c>
      <c r="D20723">
        <f>IF(B20723=C20723, "YES", "WRONG")</f>
        <v/>
      </c>
    </row>
    <row r="20724">
      <c r="A20724" t="n">
        <v>20723</v>
      </c>
      <c r="B20724" t="inlineStr">
        <is>
          <t>x̄x̄DCCXXIII</t>
        </is>
      </c>
      <c r="C20724">
        <f>ROMAN(20723)</f>
        <v/>
      </c>
      <c r="D20724">
        <f>IF(B20724=C20724, "YES", "WRONG")</f>
        <v/>
      </c>
    </row>
    <row r="20725">
      <c r="A20725" t="n">
        <v>20724</v>
      </c>
      <c r="B20725" t="inlineStr">
        <is>
          <t>x̄x̄DCCXXIV</t>
        </is>
      </c>
      <c r="C20725">
        <f>ROMAN(20724)</f>
        <v/>
      </c>
      <c r="D20725">
        <f>IF(B20725=C20725, "YES", "WRONG")</f>
        <v/>
      </c>
    </row>
    <row r="20726">
      <c r="A20726" t="n">
        <v>20725</v>
      </c>
      <c r="B20726" t="inlineStr">
        <is>
          <t>x̄x̄DCCXXV</t>
        </is>
      </c>
      <c r="C20726">
        <f>ROMAN(20725)</f>
        <v/>
      </c>
      <c r="D20726">
        <f>IF(B20726=C20726, "YES", "WRONG")</f>
        <v/>
      </c>
    </row>
    <row r="20727">
      <c r="A20727" t="n">
        <v>20726</v>
      </c>
      <c r="B20727" t="inlineStr">
        <is>
          <t>x̄x̄DCCXXVI</t>
        </is>
      </c>
      <c r="C20727">
        <f>ROMAN(20726)</f>
        <v/>
      </c>
      <c r="D20727">
        <f>IF(B20727=C20727, "YES", "WRONG")</f>
        <v/>
      </c>
    </row>
    <row r="20728">
      <c r="A20728" t="n">
        <v>20727</v>
      </c>
      <c r="B20728" t="inlineStr">
        <is>
          <t>x̄x̄DCCXXVII</t>
        </is>
      </c>
      <c r="C20728">
        <f>ROMAN(20727)</f>
        <v/>
      </c>
      <c r="D20728">
        <f>IF(B20728=C20728, "YES", "WRONG")</f>
        <v/>
      </c>
    </row>
    <row r="20729">
      <c r="A20729" t="n">
        <v>20728</v>
      </c>
      <c r="B20729" t="inlineStr">
        <is>
          <t>x̄x̄DCCXXVIII</t>
        </is>
      </c>
      <c r="C20729">
        <f>ROMAN(20728)</f>
        <v/>
      </c>
      <c r="D20729">
        <f>IF(B20729=C20729, "YES", "WRONG")</f>
        <v/>
      </c>
    </row>
    <row r="20730">
      <c r="A20730" t="n">
        <v>20729</v>
      </c>
      <c r="B20730" t="inlineStr">
        <is>
          <t>x̄x̄DCCXXIX</t>
        </is>
      </c>
      <c r="C20730">
        <f>ROMAN(20729)</f>
        <v/>
      </c>
      <c r="D20730">
        <f>IF(B20730=C20730, "YES", "WRONG")</f>
        <v/>
      </c>
    </row>
    <row r="20731">
      <c r="A20731" t="n">
        <v>20730</v>
      </c>
      <c r="B20731" t="inlineStr">
        <is>
          <t>x̄x̄DCCXXX</t>
        </is>
      </c>
      <c r="C20731">
        <f>ROMAN(20730)</f>
        <v/>
      </c>
      <c r="D20731">
        <f>IF(B20731=C20731, "YES", "WRONG")</f>
        <v/>
      </c>
    </row>
    <row r="20732">
      <c r="A20732" t="n">
        <v>20731</v>
      </c>
      <c r="B20732" t="inlineStr">
        <is>
          <t>x̄x̄DCCXXXI</t>
        </is>
      </c>
      <c r="C20732">
        <f>ROMAN(20731)</f>
        <v/>
      </c>
      <c r="D20732">
        <f>IF(B20732=C20732, "YES", "WRONG")</f>
        <v/>
      </c>
    </row>
    <row r="20733">
      <c r="A20733" t="n">
        <v>20732</v>
      </c>
      <c r="B20733" t="inlineStr">
        <is>
          <t>x̄x̄DCCXXXII</t>
        </is>
      </c>
      <c r="C20733">
        <f>ROMAN(20732)</f>
        <v/>
      </c>
      <c r="D20733">
        <f>IF(B20733=C20733, "YES", "WRONG")</f>
        <v/>
      </c>
    </row>
    <row r="20734">
      <c r="A20734" t="n">
        <v>20733</v>
      </c>
      <c r="B20734" t="inlineStr">
        <is>
          <t>x̄x̄DCCXXXIII</t>
        </is>
      </c>
      <c r="C20734">
        <f>ROMAN(20733)</f>
        <v/>
      </c>
      <c r="D20734">
        <f>IF(B20734=C20734, "YES", "WRONG")</f>
        <v/>
      </c>
    </row>
    <row r="20735">
      <c r="A20735" t="n">
        <v>20734</v>
      </c>
      <c r="B20735" t="inlineStr">
        <is>
          <t>x̄x̄DCCXXXIV</t>
        </is>
      </c>
      <c r="C20735">
        <f>ROMAN(20734)</f>
        <v/>
      </c>
      <c r="D20735">
        <f>IF(B20735=C20735, "YES", "WRONG")</f>
        <v/>
      </c>
    </row>
    <row r="20736">
      <c r="A20736" t="n">
        <v>20735</v>
      </c>
      <c r="B20736" t="inlineStr">
        <is>
          <t>x̄x̄DCCXXXV</t>
        </is>
      </c>
      <c r="C20736">
        <f>ROMAN(20735)</f>
        <v/>
      </c>
      <c r="D20736">
        <f>IF(B20736=C20736, "YES", "WRONG")</f>
        <v/>
      </c>
    </row>
    <row r="20737">
      <c r="A20737" t="n">
        <v>20736</v>
      </c>
      <c r="B20737" t="inlineStr">
        <is>
          <t>x̄x̄DCCXXXVI</t>
        </is>
      </c>
      <c r="C20737">
        <f>ROMAN(20736)</f>
        <v/>
      </c>
      <c r="D20737">
        <f>IF(B20737=C20737, "YES", "WRONG")</f>
        <v/>
      </c>
    </row>
    <row r="20738">
      <c r="A20738" t="n">
        <v>20737</v>
      </c>
      <c r="B20738" t="inlineStr">
        <is>
          <t>x̄x̄DCCXXXVII</t>
        </is>
      </c>
      <c r="C20738">
        <f>ROMAN(20737)</f>
        <v/>
      </c>
      <c r="D20738">
        <f>IF(B20738=C20738, "YES", "WRONG")</f>
        <v/>
      </c>
    </row>
    <row r="20739">
      <c r="A20739" t="n">
        <v>20738</v>
      </c>
      <c r="B20739" t="inlineStr">
        <is>
          <t>x̄x̄DCCXXXVIII</t>
        </is>
      </c>
      <c r="C20739">
        <f>ROMAN(20738)</f>
        <v/>
      </c>
      <c r="D20739">
        <f>IF(B20739=C20739, "YES", "WRONG")</f>
        <v/>
      </c>
    </row>
    <row r="20740">
      <c r="A20740" t="n">
        <v>20739</v>
      </c>
      <c r="B20740" t="inlineStr">
        <is>
          <t>x̄x̄DCCXXXIX</t>
        </is>
      </c>
      <c r="C20740">
        <f>ROMAN(20739)</f>
        <v/>
      </c>
      <c r="D20740">
        <f>IF(B20740=C20740, "YES", "WRONG")</f>
        <v/>
      </c>
    </row>
    <row r="20741">
      <c r="A20741" t="n">
        <v>20740</v>
      </c>
      <c r="B20741" t="inlineStr">
        <is>
          <t>x̄x̄DCCXL</t>
        </is>
      </c>
      <c r="C20741">
        <f>ROMAN(20740)</f>
        <v/>
      </c>
      <c r="D20741">
        <f>IF(B20741=C20741, "YES", "WRONG")</f>
        <v/>
      </c>
    </row>
    <row r="20742">
      <c r="A20742" t="n">
        <v>20741</v>
      </c>
      <c r="B20742" t="inlineStr">
        <is>
          <t>x̄x̄DCCXLI</t>
        </is>
      </c>
      <c r="C20742">
        <f>ROMAN(20741)</f>
        <v/>
      </c>
      <c r="D20742">
        <f>IF(B20742=C20742, "YES", "WRONG")</f>
        <v/>
      </c>
    </row>
    <row r="20743">
      <c r="A20743" t="n">
        <v>20742</v>
      </c>
      <c r="B20743" t="inlineStr">
        <is>
          <t>x̄x̄DCCXLII</t>
        </is>
      </c>
      <c r="C20743">
        <f>ROMAN(20742)</f>
        <v/>
      </c>
      <c r="D20743">
        <f>IF(B20743=C20743, "YES", "WRONG")</f>
        <v/>
      </c>
    </row>
    <row r="20744">
      <c r="A20744" t="n">
        <v>20743</v>
      </c>
      <c r="B20744" t="inlineStr">
        <is>
          <t>x̄x̄DCCXLIII</t>
        </is>
      </c>
      <c r="C20744">
        <f>ROMAN(20743)</f>
        <v/>
      </c>
      <c r="D20744">
        <f>IF(B20744=C20744, "YES", "WRONG")</f>
        <v/>
      </c>
    </row>
    <row r="20745">
      <c r="A20745" t="n">
        <v>20744</v>
      </c>
      <c r="B20745" t="inlineStr">
        <is>
          <t>x̄x̄DCCXLIV</t>
        </is>
      </c>
      <c r="C20745">
        <f>ROMAN(20744)</f>
        <v/>
      </c>
      <c r="D20745">
        <f>IF(B20745=C20745, "YES", "WRONG")</f>
        <v/>
      </c>
    </row>
    <row r="20746">
      <c r="A20746" t="n">
        <v>20745</v>
      </c>
      <c r="B20746" t="inlineStr">
        <is>
          <t>x̄x̄DCCXLV</t>
        </is>
      </c>
      <c r="C20746">
        <f>ROMAN(20745)</f>
        <v/>
      </c>
      <c r="D20746">
        <f>IF(B20746=C20746, "YES", "WRONG")</f>
        <v/>
      </c>
    </row>
    <row r="20747">
      <c r="A20747" t="n">
        <v>20746</v>
      </c>
      <c r="B20747" t="inlineStr">
        <is>
          <t>x̄x̄DCCXLVI</t>
        </is>
      </c>
      <c r="C20747">
        <f>ROMAN(20746)</f>
        <v/>
      </c>
      <c r="D20747">
        <f>IF(B20747=C20747, "YES", "WRONG")</f>
        <v/>
      </c>
    </row>
    <row r="20748">
      <c r="A20748" t="n">
        <v>20747</v>
      </c>
      <c r="B20748" t="inlineStr">
        <is>
          <t>x̄x̄DCCXLVII</t>
        </is>
      </c>
      <c r="C20748">
        <f>ROMAN(20747)</f>
        <v/>
      </c>
      <c r="D20748">
        <f>IF(B20748=C20748, "YES", "WRONG")</f>
        <v/>
      </c>
    </row>
    <row r="20749">
      <c r="A20749" t="n">
        <v>20748</v>
      </c>
      <c r="B20749" t="inlineStr">
        <is>
          <t>x̄x̄DCCXLVIII</t>
        </is>
      </c>
      <c r="C20749">
        <f>ROMAN(20748)</f>
        <v/>
      </c>
      <c r="D20749">
        <f>IF(B20749=C20749, "YES", "WRONG")</f>
        <v/>
      </c>
    </row>
    <row r="20750">
      <c r="A20750" t="n">
        <v>20749</v>
      </c>
      <c r="B20750" t="inlineStr">
        <is>
          <t>x̄x̄DCCXLIX</t>
        </is>
      </c>
      <c r="C20750">
        <f>ROMAN(20749)</f>
        <v/>
      </c>
      <c r="D20750">
        <f>IF(B20750=C20750, "YES", "WRONG")</f>
        <v/>
      </c>
    </row>
    <row r="20751">
      <c r="A20751" t="n">
        <v>20750</v>
      </c>
      <c r="B20751" t="inlineStr">
        <is>
          <t>x̄x̄DCCL</t>
        </is>
      </c>
      <c r="C20751">
        <f>ROMAN(20750)</f>
        <v/>
      </c>
      <c r="D20751">
        <f>IF(B20751=C20751, "YES", "WRONG")</f>
        <v/>
      </c>
    </row>
    <row r="20752">
      <c r="A20752" t="n">
        <v>20751</v>
      </c>
      <c r="B20752" t="inlineStr">
        <is>
          <t>x̄x̄DCCLI</t>
        </is>
      </c>
      <c r="C20752">
        <f>ROMAN(20751)</f>
        <v/>
      </c>
      <c r="D20752">
        <f>IF(B20752=C20752, "YES", "WRONG")</f>
        <v/>
      </c>
    </row>
    <row r="20753">
      <c r="A20753" t="n">
        <v>20752</v>
      </c>
      <c r="B20753" t="inlineStr">
        <is>
          <t>x̄x̄DCCLII</t>
        </is>
      </c>
      <c r="C20753">
        <f>ROMAN(20752)</f>
        <v/>
      </c>
      <c r="D20753">
        <f>IF(B20753=C20753, "YES", "WRONG")</f>
        <v/>
      </c>
    </row>
    <row r="20754">
      <c r="A20754" t="n">
        <v>20753</v>
      </c>
      <c r="B20754" t="inlineStr">
        <is>
          <t>x̄x̄DCCLIII</t>
        </is>
      </c>
      <c r="C20754">
        <f>ROMAN(20753)</f>
        <v/>
      </c>
      <c r="D20754">
        <f>IF(B20754=C20754, "YES", "WRONG")</f>
        <v/>
      </c>
    </row>
    <row r="20755">
      <c r="A20755" t="n">
        <v>20754</v>
      </c>
      <c r="B20755" t="inlineStr">
        <is>
          <t>x̄x̄DCCLIV</t>
        </is>
      </c>
      <c r="C20755">
        <f>ROMAN(20754)</f>
        <v/>
      </c>
      <c r="D20755">
        <f>IF(B20755=C20755, "YES", "WRONG")</f>
        <v/>
      </c>
    </row>
    <row r="20756">
      <c r="A20756" t="n">
        <v>20755</v>
      </c>
      <c r="B20756" t="inlineStr">
        <is>
          <t>x̄x̄DCCLV</t>
        </is>
      </c>
      <c r="C20756">
        <f>ROMAN(20755)</f>
        <v/>
      </c>
      <c r="D20756">
        <f>IF(B20756=C20756, "YES", "WRONG")</f>
        <v/>
      </c>
    </row>
    <row r="20757">
      <c r="A20757" t="n">
        <v>20756</v>
      </c>
      <c r="B20757" t="inlineStr">
        <is>
          <t>x̄x̄DCCLVI</t>
        </is>
      </c>
      <c r="C20757">
        <f>ROMAN(20756)</f>
        <v/>
      </c>
      <c r="D20757">
        <f>IF(B20757=C20757, "YES", "WRONG")</f>
        <v/>
      </c>
    </row>
    <row r="20758">
      <c r="A20758" t="n">
        <v>20757</v>
      </c>
      <c r="B20758" t="inlineStr">
        <is>
          <t>x̄x̄DCCLVII</t>
        </is>
      </c>
      <c r="C20758">
        <f>ROMAN(20757)</f>
        <v/>
      </c>
      <c r="D20758">
        <f>IF(B20758=C20758, "YES", "WRONG")</f>
        <v/>
      </c>
    </row>
    <row r="20759">
      <c r="A20759" t="n">
        <v>20758</v>
      </c>
      <c r="B20759" t="inlineStr">
        <is>
          <t>x̄x̄DCCLVIII</t>
        </is>
      </c>
      <c r="C20759">
        <f>ROMAN(20758)</f>
        <v/>
      </c>
      <c r="D20759">
        <f>IF(B20759=C20759, "YES", "WRONG")</f>
        <v/>
      </c>
    </row>
    <row r="20760">
      <c r="A20760" t="n">
        <v>20759</v>
      </c>
      <c r="B20760" t="inlineStr">
        <is>
          <t>x̄x̄DCCLIX</t>
        </is>
      </c>
      <c r="C20760">
        <f>ROMAN(20759)</f>
        <v/>
      </c>
      <c r="D20760">
        <f>IF(B20760=C20760, "YES", "WRONG")</f>
        <v/>
      </c>
    </row>
    <row r="20761">
      <c r="A20761" t="n">
        <v>20760</v>
      </c>
      <c r="B20761" t="inlineStr">
        <is>
          <t>x̄x̄DCCLX</t>
        </is>
      </c>
      <c r="C20761">
        <f>ROMAN(20760)</f>
        <v/>
      </c>
      <c r="D20761">
        <f>IF(B20761=C20761, "YES", "WRONG")</f>
        <v/>
      </c>
    </row>
    <row r="20762">
      <c r="A20762" t="n">
        <v>20761</v>
      </c>
      <c r="B20762" t="inlineStr">
        <is>
          <t>x̄x̄DCCLXI</t>
        </is>
      </c>
      <c r="C20762">
        <f>ROMAN(20761)</f>
        <v/>
      </c>
      <c r="D20762">
        <f>IF(B20762=C20762, "YES", "WRONG")</f>
        <v/>
      </c>
    </row>
    <row r="20763">
      <c r="A20763" t="n">
        <v>20762</v>
      </c>
      <c r="B20763" t="inlineStr">
        <is>
          <t>x̄x̄DCCLXII</t>
        </is>
      </c>
      <c r="C20763">
        <f>ROMAN(20762)</f>
        <v/>
      </c>
      <c r="D20763">
        <f>IF(B20763=C20763, "YES", "WRONG")</f>
        <v/>
      </c>
    </row>
    <row r="20764">
      <c r="A20764" t="n">
        <v>20763</v>
      </c>
      <c r="B20764" t="inlineStr">
        <is>
          <t>x̄x̄DCCLXIII</t>
        </is>
      </c>
      <c r="C20764">
        <f>ROMAN(20763)</f>
        <v/>
      </c>
      <c r="D20764">
        <f>IF(B20764=C20764, "YES", "WRONG")</f>
        <v/>
      </c>
    </row>
    <row r="20765">
      <c r="A20765" t="n">
        <v>20764</v>
      </c>
      <c r="B20765" t="inlineStr">
        <is>
          <t>x̄x̄DCCLXIV</t>
        </is>
      </c>
      <c r="C20765">
        <f>ROMAN(20764)</f>
        <v/>
      </c>
      <c r="D20765">
        <f>IF(B20765=C20765, "YES", "WRONG")</f>
        <v/>
      </c>
    </row>
    <row r="20766">
      <c r="A20766" t="n">
        <v>20765</v>
      </c>
      <c r="B20766" t="inlineStr">
        <is>
          <t>x̄x̄DCCLXV</t>
        </is>
      </c>
      <c r="C20766">
        <f>ROMAN(20765)</f>
        <v/>
      </c>
      <c r="D20766">
        <f>IF(B20766=C20766, "YES", "WRONG")</f>
        <v/>
      </c>
    </row>
    <row r="20767">
      <c r="A20767" t="n">
        <v>20766</v>
      </c>
      <c r="B20767" t="inlineStr">
        <is>
          <t>x̄x̄DCCLXVI</t>
        </is>
      </c>
      <c r="C20767">
        <f>ROMAN(20766)</f>
        <v/>
      </c>
      <c r="D20767">
        <f>IF(B20767=C20767, "YES", "WRONG")</f>
        <v/>
      </c>
    </row>
    <row r="20768">
      <c r="A20768" t="n">
        <v>20767</v>
      </c>
      <c r="B20768" t="inlineStr">
        <is>
          <t>x̄x̄DCCLXVII</t>
        </is>
      </c>
      <c r="C20768">
        <f>ROMAN(20767)</f>
        <v/>
      </c>
      <c r="D20768">
        <f>IF(B20768=C20768, "YES", "WRONG")</f>
        <v/>
      </c>
    </row>
    <row r="20769">
      <c r="A20769" t="n">
        <v>20768</v>
      </c>
      <c r="B20769" t="inlineStr">
        <is>
          <t>x̄x̄DCCLXVIII</t>
        </is>
      </c>
      <c r="C20769">
        <f>ROMAN(20768)</f>
        <v/>
      </c>
      <c r="D20769">
        <f>IF(B20769=C20769, "YES", "WRONG")</f>
        <v/>
      </c>
    </row>
    <row r="20770">
      <c r="A20770" t="n">
        <v>20769</v>
      </c>
      <c r="B20770" t="inlineStr">
        <is>
          <t>x̄x̄DCCLXIX</t>
        </is>
      </c>
      <c r="C20770">
        <f>ROMAN(20769)</f>
        <v/>
      </c>
      <c r="D20770">
        <f>IF(B20770=C20770, "YES", "WRONG")</f>
        <v/>
      </c>
    </row>
    <row r="20771">
      <c r="A20771" t="n">
        <v>20770</v>
      </c>
      <c r="B20771" t="inlineStr">
        <is>
          <t>x̄x̄DCCLXX</t>
        </is>
      </c>
      <c r="C20771">
        <f>ROMAN(20770)</f>
        <v/>
      </c>
      <c r="D20771">
        <f>IF(B20771=C20771, "YES", "WRONG")</f>
        <v/>
      </c>
    </row>
    <row r="20772">
      <c r="A20772" t="n">
        <v>20771</v>
      </c>
      <c r="B20772" t="inlineStr">
        <is>
          <t>x̄x̄DCCLXXI</t>
        </is>
      </c>
      <c r="C20772">
        <f>ROMAN(20771)</f>
        <v/>
      </c>
      <c r="D20772">
        <f>IF(B20772=C20772, "YES", "WRONG")</f>
        <v/>
      </c>
    </row>
    <row r="20773">
      <c r="A20773" t="n">
        <v>20772</v>
      </c>
      <c r="B20773" t="inlineStr">
        <is>
          <t>x̄x̄DCCLXXII</t>
        </is>
      </c>
      <c r="C20773">
        <f>ROMAN(20772)</f>
        <v/>
      </c>
      <c r="D20773">
        <f>IF(B20773=C20773, "YES", "WRONG")</f>
        <v/>
      </c>
    </row>
    <row r="20774">
      <c r="A20774" t="n">
        <v>20773</v>
      </c>
      <c r="B20774" t="inlineStr">
        <is>
          <t>x̄x̄DCCLXXIII</t>
        </is>
      </c>
      <c r="C20774">
        <f>ROMAN(20773)</f>
        <v/>
      </c>
      <c r="D20774">
        <f>IF(B20774=C20774, "YES", "WRONG")</f>
        <v/>
      </c>
    </row>
    <row r="20775">
      <c r="A20775" t="n">
        <v>20774</v>
      </c>
      <c r="B20775" t="inlineStr">
        <is>
          <t>x̄x̄DCCLXXIV</t>
        </is>
      </c>
      <c r="C20775">
        <f>ROMAN(20774)</f>
        <v/>
      </c>
      <c r="D20775">
        <f>IF(B20775=C20775, "YES", "WRONG")</f>
        <v/>
      </c>
    </row>
    <row r="20776">
      <c r="A20776" t="n">
        <v>20775</v>
      </c>
      <c r="B20776" t="inlineStr">
        <is>
          <t>x̄x̄DCCLXXV</t>
        </is>
      </c>
      <c r="C20776">
        <f>ROMAN(20775)</f>
        <v/>
      </c>
      <c r="D20776">
        <f>IF(B20776=C20776, "YES", "WRONG")</f>
        <v/>
      </c>
    </row>
    <row r="20777">
      <c r="A20777" t="n">
        <v>20776</v>
      </c>
      <c r="B20777" t="inlineStr">
        <is>
          <t>x̄x̄DCCLXXVI</t>
        </is>
      </c>
      <c r="C20777">
        <f>ROMAN(20776)</f>
        <v/>
      </c>
      <c r="D20777">
        <f>IF(B20777=C20777, "YES", "WRONG")</f>
        <v/>
      </c>
    </row>
    <row r="20778">
      <c r="A20778" t="n">
        <v>20777</v>
      </c>
      <c r="B20778" t="inlineStr">
        <is>
          <t>x̄x̄DCCLXXVII</t>
        </is>
      </c>
      <c r="C20778">
        <f>ROMAN(20777)</f>
        <v/>
      </c>
      <c r="D20778">
        <f>IF(B20778=C20778, "YES", "WRONG")</f>
        <v/>
      </c>
    </row>
    <row r="20779">
      <c r="A20779" t="n">
        <v>20778</v>
      </c>
      <c r="B20779" t="inlineStr">
        <is>
          <t>x̄x̄DCCLXXVIII</t>
        </is>
      </c>
      <c r="C20779">
        <f>ROMAN(20778)</f>
        <v/>
      </c>
      <c r="D20779">
        <f>IF(B20779=C20779, "YES", "WRONG")</f>
        <v/>
      </c>
    </row>
    <row r="20780">
      <c r="A20780" t="n">
        <v>20779</v>
      </c>
      <c r="B20780" t="inlineStr">
        <is>
          <t>x̄x̄DCCLXXIX</t>
        </is>
      </c>
      <c r="C20780">
        <f>ROMAN(20779)</f>
        <v/>
      </c>
      <c r="D20780">
        <f>IF(B20780=C20780, "YES", "WRONG")</f>
        <v/>
      </c>
    </row>
    <row r="20781">
      <c r="A20781" t="n">
        <v>20780</v>
      </c>
      <c r="B20781" t="inlineStr">
        <is>
          <t>x̄x̄DCCLXXX</t>
        </is>
      </c>
      <c r="C20781">
        <f>ROMAN(20780)</f>
        <v/>
      </c>
      <c r="D20781">
        <f>IF(B20781=C20781, "YES", "WRONG")</f>
        <v/>
      </c>
    </row>
    <row r="20782">
      <c r="A20782" t="n">
        <v>20781</v>
      </c>
      <c r="B20782" t="inlineStr">
        <is>
          <t>x̄x̄DCCLXXXI</t>
        </is>
      </c>
      <c r="C20782">
        <f>ROMAN(20781)</f>
        <v/>
      </c>
      <c r="D20782">
        <f>IF(B20782=C20782, "YES", "WRONG")</f>
        <v/>
      </c>
    </row>
    <row r="20783">
      <c r="A20783" t="n">
        <v>20782</v>
      </c>
      <c r="B20783" t="inlineStr">
        <is>
          <t>x̄x̄DCCLXXXII</t>
        </is>
      </c>
      <c r="C20783">
        <f>ROMAN(20782)</f>
        <v/>
      </c>
      <c r="D20783">
        <f>IF(B20783=C20783, "YES", "WRONG")</f>
        <v/>
      </c>
    </row>
    <row r="20784">
      <c r="A20784" t="n">
        <v>20783</v>
      </c>
      <c r="B20784" t="inlineStr">
        <is>
          <t>x̄x̄DCCLXXXIII</t>
        </is>
      </c>
      <c r="C20784">
        <f>ROMAN(20783)</f>
        <v/>
      </c>
      <c r="D20784">
        <f>IF(B20784=C20784, "YES", "WRONG")</f>
        <v/>
      </c>
    </row>
    <row r="20785">
      <c r="A20785" t="n">
        <v>20784</v>
      </c>
      <c r="B20785" t="inlineStr">
        <is>
          <t>x̄x̄DCCLXXXIV</t>
        </is>
      </c>
      <c r="C20785">
        <f>ROMAN(20784)</f>
        <v/>
      </c>
      <c r="D20785">
        <f>IF(B20785=C20785, "YES", "WRONG")</f>
        <v/>
      </c>
    </row>
    <row r="20786">
      <c r="A20786" t="n">
        <v>20785</v>
      </c>
      <c r="B20786" t="inlineStr">
        <is>
          <t>x̄x̄DCCLXXXV</t>
        </is>
      </c>
      <c r="C20786">
        <f>ROMAN(20785)</f>
        <v/>
      </c>
      <c r="D20786">
        <f>IF(B20786=C20786, "YES", "WRONG")</f>
        <v/>
      </c>
    </row>
    <row r="20787">
      <c r="A20787" t="n">
        <v>20786</v>
      </c>
      <c r="B20787" t="inlineStr">
        <is>
          <t>x̄x̄DCCLXXXVI</t>
        </is>
      </c>
      <c r="C20787">
        <f>ROMAN(20786)</f>
        <v/>
      </c>
      <c r="D20787">
        <f>IF(B20787=C20787, "YES", "WRONG")</f>
        <v/>
      </c>
    </row>
    <row r="20788">
      <c r="A20788" t="n">
        <v>20787</v>
      </c>
      <c r="B20788" t="inlineStr">
        <is>
          <t>x̄x̄DCCLXXXVII</t>
        </is>
      </c>
      <c r="C20788">
        <f>ROMAN(20787)</f>
        <v/>
      </c>
      <c r="D20788">
        <f>IF(B20788=C20788, "YES", "WRONG")</f>
        <v/>
      </c>
    </row>
    <row r="20789">
      <c r="A20789" t="n">
        <v>20788</v>
      </c>
      <c r="B20789" t="inlineStr">
        <is>
          <t>x̄x̄DCCLXXXVIII</t>
        </is>
      </c>
      <c r="C20789">
        <f>ROMAN(20788)</f>
        <v/>
      </c>
      <c r="D20789">
        <f>IF(B20789=C20789, "YES", "WRONG")</f>
        <v/>
      </c>
    </row>
    <row r="20790">
      <c r="A20790" t="n">
        <v>20789</v>
      </c>
      <c r="B20790" t="inlineStr">
        <is>
          <t>x̄x̄DCCLXXXIX</t>
        </is>
      </c>
      <c r="C20790">
        <f>ROMAN(20789)</f>
        <v/>
      </c>
      <c r="D20790">
        <f>IF(B20790=C20790, "YES", "WRONG")</f>
        <v/>
      </c>
    </row>
    <row r="20791">
      <c r="A20791" t="n">
        <v>20790</v>
      </c>
      <c r="B20791" t="inlineStr">
        <is>
          <t>x̄x̄DCCXC</t>
        </is>
      </c>
      <c r="C20791">
        <f>ROMAN(20790)</f>
        <v/>
      </c>
      <c r="D20791">
        <f>IF(B20791=C20791, "YES", "WRONG")</f>
        <v/>
      </c>
    </row>
    <row r="20792">
      <c r="A20792" t="n">
        <v>20791</v>
      </c>
      <c r="B20792" t="inlineStr">
        <is>
          <t>x̄x̄DCCXCI</t>
        </is>
      </c>
      <c r="C20792">
        <f>ROMAN(20791)</f>
        <v/>
      </c>
      <c r="D20792">
        <f>IF(B20792=C20792, "YES", "WRONG")</f>
        <v/>
      </c>
    </row>
    <row r="20793">
      <c r="A20793" t="n">
        <v>20792</v>
      </c>
      <c r="B20793" t="inlineStr">
        <is>
          <t>x̄x̄DCCXCII</t>
        </is>
      </c>
      <c r="C20793">
        <f>ROMAN(20792)</f>
        <v/>
      </c>
      <c r="D20793">
        <f>IF(B20793=C20793, "YES", "WRONG")</f>
        <v/>
      </c>
    </row>
    <row r="20794">
      <c r="A20794" t="n">
        <v>20793</v>
      </c>
      <c r="B20794" t="inlineStr">
        <is>
          <t>x̄x̄DCCXCIII</t>
        </is>
      </c>
      <c r="C20794">
        <f>ROMAN(20793)</f>
        <v/>
      </c>
      <c r="D20794">
        <f>IF(B20794=C20794, "YES", "WRONG")</f>
        <v/>
      </c>
    </row>
    <row r="20795">
      <c r="A20795" t="n">
        <v>20794</v>
      </c>
      <c r="B20795" t="inlineStr">
        <is>
          <t>x̄x̄DCCXCIV</t>
        </is>
      </c>
      <c r="C20795">
        <f>ROMAN(20794)</f>
        <v/>
      </c>
      <c r="D20795">
        <f>IF(B20795=C20795, "YES", "WRONG")</f>
        <v/>
      </c>
    </row>
    <row r="20796">
      <c r="A20796" t="n">
        <v>20795</v>
      </c>
      <c r="B20796" t="inlineStr">
        <is>
          <t>x̄x̄DCCXCV</t>
        </is>
      </c>
      <c r="C20796">
        <f>ROMAN(20795)</f>
        <v/>
      </c>
      <c r="D20796">
        <f>IF(B20796=C20796, "YES", "WRONG")</f>
        <v/>
      </c>
    </row>
    <row r="20797">
      <c r="A20797" t="n">
        <v>20796</v>
      </c>
      <c r="B20797" t="inlineStr">
        <is>
          <t>x̄x̄DCCXCVI</t>
        </is>
      </c>
      <c r="C20797">
        <f>ROMAN(20796)</f>
        <v/>
      </c>
      <c r="D20797">
        <f>IF(B20797=C20797, "YES", "WRONG")</f>
        <v/>
      </c>
    </row>
    <row r="20798">
      <c r="A20798" t="n">
        <v>20797</v>
      </c>
      <c r="B20798" t="inlineStr">
        <is>
          <t>x̄x̄DCCXCVII</t>
        </is>
      </c>
      <c r="C20798">
        <f>ROMAN(20797)</f>
        <v/>
      </c>
      <c r="D20798">
        <f>IF(B20798=C20798, "YES", "WRONG")</f>
        <v/>
      </c>
    </row>
    <row r="20799">
      <c r="A20799" t="n">
        <v>20798</v>
      </c>
      <c r="B20799" t="inlineStr">
        <is>
          <t>x̄x̄DCCXCVIII</t>
        </is>
      </c>
      <c r="C20799">
        <f>ROMAN(20798)</f>
        <v/>
      </c>
      <c r="D20799">
        <f>IF(B20799=C20799, "YES", "WRONG")</f>
        <v/>
      </c>
    </row>
    <row r="20800">
      <c r="A20800" t="n">
        <v>20799</v>
      </c>
      <c r="B20800" t="inlineStr">
        <is>
          <t>x̄x̄DCCXCIX</t>
        </is>
      </c>
      <c r="C20800">
        <f>ROMAN(20799)</f>
        <v/>
      </c>
      <c r="D20800">
        <f>IF(B20800=C20800, "YES", "WRONG")</f>
        <v/>
      </c>
    </row>
    <row r="20801">
      <c r="A20801" t="n">
        <v>20800</v>
      </c>
      <c r="B20801" t="inlineStr">
        <is>
          <t>x̄x̄DCCC</t>
        </is>
      </c>
      <c r="C20801">
        <f>ROMAN(20800)</f>
        <v/>
      </c>
      <c r="D20801">
        <f>IF(B20801=C20801, "YES", "WRONG")</f>
        <v/>
      </c>
    </row>
    <row r="20802">
      <c r="A20802" t="n">
        <v>20801</v>
      </c>
      <c r="B20802" t="inlineStr">
        <is>
          <t>x̄x̄DCCCI</t>
        </is>
      </c>
      <c r="C20802">
        <f>ROMAN(20801)</f>
        <v/>
      </c>
      <c r="D20802">
        <f>IF(B20802=C20802, "YES", "WRONG")</f>
        <v/>
      </c>
    </row>
    <row r="20803">
      <c r="A20803" t="n">
        <v>20802</v>
      </c>
      <c r="B20803" t="inlineStr">
        <is>
          <t>x̄x̄DCCCII</t>
        </is>
      </c>
      <c r="C20803">
        <f>ROMAN(20802)</f>
        <v/>
      </c>
      <c r="D20803">
        <f>IF(B20803=C20803, "YES", "WRONG")</f>
        <v/>
      </c>
    </row>
    <row r="20804">
      <c r="A20804" t="n">
        <v>20803</v>
      </c>
      <c r="B20804" t="inlineStr">
        <is>
          <t>x̄x̄DCCCIII</t>
        </is>
      </c>
      <c r="C20804">
        <f>ROMAN(20803)</f>
        <v/>
      </c>
      <c r="D20804">
        <f>IF(B20804=C20804, "YES", "WRONG")</f>
        <v/>
      </c>
    </row>
    <row r="20805">
      <c r="A20805" t="n">
        <v>20804</v>
      </c>
      <c r="B20805" t="inlineStr">
        <is>
          <t>x̄x̄DCCCIV</t>
        </is>
      </c>
      <c r="C20805">
        <f>ROMAN(20804)</f>
        <v/>
      </c>
      <c r="D20805">
        <f>IF(B20805=C20805, "YES", "WRONG")</f>
        <v/>
      </c>
    </row>
    <row r="20806">
      <c r="A20806" t="n">
        <v>20805</v>
      </c>
      <c r="B20806" t="inlineStr">
        <is>
          <t>x̄x̄DCCCV</t>
        </is>
      </c>
      <c r="C20806">
        <f>ROMAN(20805)</f>
        <v/>
      </c>
      <c r="D20806">
        <f>IF(B20806=C20806, "YES", "WRONG")</f>
        <v/>
      </c>
    </row>
    <row r="20807">
      <c r="A20807" t="n">
        <v>20806</v>
      </c>
      <c r="B20807" t="inlineStr">
        <is>
          <t>x̄x̄DCCCVI</t>
        </is>
      </c>
      <c r="C20807">
        <f>ROMAN(20806)</f>
        <v/>
      </c>
      <c r="D20807">
        <f>IF(B20807=C20807, "YES", "WRONG")</f>
        <v/>
      </c>
    </row>
    <row r="20808">
      <c r="A20808" t="n">
        <v>20807</v>
      </c>
      <c r="B20808" t="inlineStr">
        <is>
          <t>x̄x̄DCCCVII</t>
        </is>
      </c>
      <c r="C20808">
        <f>ROMAN(20807)</f>
        <v/>
      </c>
      <c r="D20808">
        <f>IF(B20808=C20808, "YES", "WRONG")</f>
        <v/>
      </c>
    </row>
    <row r="20809">
      <c r="A20809" t="n">
        <v>20808</v>
      </c>
      <c r="B20809" t="inlineStr">
        <is>
          <t>x̄x̄DCCCVIII</t>
        </is>
      </c>
      <c r="C20809">
        <f>ROMAN(20808)</f>
        <v/>
      </c>
      <c r="D20809">
        <f>IF(B20809=C20809, "YES", "WRONG")</f>
        <v/>
      </c>
    </row>
    <row r="20810">
      <c r="A20810" t="n">
        <v>20809</v>
      </c>
      <c r="B20810" t="inlineStr">
        <is>
          <t>x̄x̄DCCCIX</t>
        </is>
      </c>
      <c r="C20810">
        <f>ROMAN(20809)</f>
        <v/>
      </c>
      <c r="D20810">
        <f>IF(B20810=C20810, "YES", "WRONG")</f>
        <v/>
      </c>
    </row>
    <row r="20811">
      <c r="A20811" t="n">
        <v>20810</v>
      </c>
      <c r="B20811" t="inlineStr">
        <is>
          <t>x̄x̄DCCCX</t>
        </is>
      </c>
      <c r="C20811">
        <f>ROMAN(20810)</f>
        <v/>
      </c>
      <c r="D20811">
        <f>IF(B20811=C20811, "YES", "WRONG")</f>
        <v/>
      </c>
    </row>
    <row r="20812">
      <c r="A20812" t="n">
        <v>20811</v>
      </c>
      <c r="B20812" t="inlineStr">
        <is>
          <t>x̄x̄DCCCXI</t>
        </is>
      </c>
      <c r="C20812">
        <f>ROMAN(20811)</f>
        <v/>
      </c>
      <c r="D20812">
        <f>IF(B20812=C20812, "YES", "WRONG")</f>
        <v/>
      </c>
    </row>
    <row r="20813">
      <c r="A20813" t="n">
        <v>20812</v>
      </c>
      <c r="B20813" t="inlineStr">
        <is>
          <t>x̄x̄DCCCXII</t>
        </is>
      </c>
      <c r="C20813">
        <f>ROMAN(20812)</f>
        <v/>
      </c>
      <c r="D20813">
        <f>IF(B20813=C20813, "YES", "WRONG")</f>
        <v/>
      </c>
    </row>
    <row r="20814">
      <c r="A20814" t="n">
        <v>20813</v>
      </c>
      <c r="B20814" t="inlineStr">
        <is>
          <t>x̄x̄DCCCXIII</t>
        </is>
      </c>
      <c r="C20814">
        <f>ROMAN(20813)</f>
        <v/>
      </c>
      <c r="D20814">
        <f>IF(B20814=C20814, "YES", "WRONG")</f>
        <v/>
      </c>
    </row>
    <row r="20815">
      <c r="A20815" t="n">
        <v>20814</v>
      </c>
      <c r="B20815" t="inlineStr">
        <is>
          <t>x̄x̄DCCCXIV</t>
        </is>
      </c>
      <c r="C20815">
        <f>ROMAN(20814)</f>
        <v/>
      </c>
      <c r="D20815">
        <f>IF(B20815=C20815, "YES", "WRONG")</f>
        <v/>
      </c>
    </row>
    <row r="20816">
      <c r="A20816" t="n">
        <v>20815</v>
      </c>
      <c r="B20816" t="inlineStr">
        <is>
          <t>x̄x̄DCCCXV</t>
        </is>
      </c>
      <c r="C20816">
        <f>ROMAN(20815)</f>
        <v/>
      </c>
      <c r="D20816">
        <f>IF(B20816=C20816, "YES", "WRONG")</f>
        <v/>
      </c>
    </row>
    <row r="20817">
      <c r="A20817" t="n">
        <v>20816</v>
      </c>
      <c r="B20817" t="inlineStr">
        <is>
          <t>x̄x̄DCCCXVI</t>
        </is>
      </c>
      <c r="C20817">
        <f>ROMAN(20816)</f>
        <v/>
      </c>
      <c r="D20817">
        <f>IF(B20817=C20817, "YES", "WRONG")</f>
        <v/>
      </c>
    </row>
    <row r="20818">
      <c r="A20818" t="n">
        <v>20817</v>
      </c>
      <c r="B20818" t="inlineStr">
        <is>
          <t>x̄x̄DCCCXVII</t>
        </is>
      </c>
      <c r="C20818">
        <f>ROMAN(20817)</f>
        <v/>
      </c>
      <c r="D20818">
        <f>IF(B20818=C20818, "YES", "WRONG")</f>
        <v/>
      </c>
    </row>
    <row r="20819">
      <c r="A20819" t="n">
        <v>20818</v>
      </c>
      <c r="B20819" t="inlineStr">
        <is>
          <t>x̄x̄DCCCXVIII</t>
        </is>
      </c>
      <c r="C20819">
        <f>ROMAN(20818)</f>
        <v/>
      </c>
      <c r="D20819">
        <f>IF(B20819=C20819, "YES", "WRONG")</f>
        <v/>
      </c>
    </row>
    <row r="20820">
      <c r="A20820" t="n">
        <v>20819</v>
      </c>
      <c r="B20820" t="inlineStr">
        <is>
          <t>x̄x̄DCCCXIX</t>
        </is>
      </c>
      <c r="C20820">
        <f>ROMAN(20819)</f>
        <v/>
      </c>
      <c r="D20820">
        <f>IF(B20820=C20820, "YES", "WRONG")</f>
        <v/>
      </c>
    </row>
    <row r="20821">
      <c r="A20821" t="n">
        <v>20820</v>
      </c>
      <c r="B20821" t="inlineStr">
        <is>
          <t>x̄x̄DCCCXX</t>
        </is>
      </c>
      <c r="C20821">
        <f>ROMAN(20820)</f>
        <v/>
      </c>
      <c r="D20821">
        <f>IF(B20821=C20821, "YES", "WRONG")</f>
        <v/>
      </c>
    </row>
    <row r="20822">
      <c r="A20822" t="n">
        <v>20821</v>
      </c>
      <c r="B20822" t="inlineStr">
        <is>
          <t>x̄x̄DCCCXXI</t>
        </is>
      </c>
      <c r="C20822">
        <f>ROMAN(20821)</f>
        <v/>
      </c>
      <c r="D20822">
        <f>IF(B20822=C20822, "YES", "WRONG")</f>
        <v/>
      </c>
    </row>
    <row r="20823">
      <c r="A20823" t="n">
        <v>20822</v>
      </c>
      <c r="B20823" t="inlineStr">
        <is>
          <t>x̄x̄DCCCXXII</t>
        </is>
      </c>
      <c r="C20823">
        <f>ROMAN(20822)</f>
        <v/>
      </c>
      <c r="D20823">
        <f>IF(B20823=C20823, "YES", "WRONG")</f>
        <v/>
      </c>
    </row>
    <row r="20824">
      <c r="A20824" t="n">
        <v>20823</v>
      </c>
      <c r="B20824" t="inlineStr">
        <is>
          <t>x̄x̄DCCCXXIII</t>
        </is>
      </c>
      <c r="C20824">
        <f>ROMAN(20823)</f>
        <v/>
      </c>
      <c r="D20824">
        <f>IF(B20824=C20824, "YES", "WRONG")</f>
        <v/>
      </c>
    </row>
    <row r="20825">
      <c r="A20825" t="n">
        <v>20824</v>
      </c>
      <c r="B20825" t="inlineStr">
        <is>
          <t>x̄x̄DCCCXXIV</t>
        </is>
      </c>
      <c r="C20825">
        <f>ROMAN(20824)</f>
        <v/>
      </c>
      <c r="D20825">
        <f>IF(B20825=C20825, "YES", "WRONG")</f>
        <v/>
      </c>
    </row>
    <row r="20826">
      <c r="A20826" t="n">
        <v>20825</v>
      </c>
      <c r="B20826" t="inlineStr">
        <is>
          <t>x̄x̄DCCCXXV</t>
        </is>
      </c>
      <c r="C20826">
        <f>ROMAN(20825)</f>
        <v/>
      </c>
      <c r="D20826">
        <f>IF(B20826=C20826, "YES", "WRONG")</f>
        <v/>
      </c>
    </row>
    <row r="20827">
      <c r="A20827" t="n">
        <v>20826</v>
      </c>
      <c r="B20827" t="inlineStr">
        <is>
          <t>x̄x̄DCCCXXVI</t>
        </is>
      </c>
      <c r="C20827">
        <f>ROMAN(20826)</f>
        <v/>
      </c>
      <c r="D20827">
        <f>IF(B20827=C20827, "YES", "WRONG")</f>
        <v/>
      </c>
    </row>
    <row r="20828">
      <c r="A20828" t="n">
        <v>20827</v>
      </c>
      <c r="B20828" t="inlineStr">
        <is>
          <t>x̄x̄DCCCXXVII</t>
        </is>
      </c>
      <c r="C20828">
        <f>ROMAN(20827)</f>
        <v/>
      </c>
      <c r="D20828">
        <f>IF(B20828=C20828, "YES", "WRONG")</f>
        <v/>
      </c>
    </row>
    <row r="20829">
      <c r="A20829" t="n">
        <v>20828</v>
      </c>
      <c r="B20829" t="inlineStr">
        <is>
          <t>x̄x̄DCCCXXVIII</t>
        </is>
      </c>
      <c r="C20829">
        <f>ROMAN(20828)</f>
        <v/>
      </c>
      <c r="D20829">
        <f>IF(B20829=C20829, "YES", "WRONG")</f>
        <v/>
      </c>
    </row>
    <row r="20830">
      <c r="A20830" t="n">
        <v>20829</v>
      </c>
      <c r="B20830" t="inlineStr">
        <is>
          <t>x̄x̄DCCCXXIX</t>
        </is>
      </c>
      <c r="C20830">
        <f>ROMAN(20829)</f>
        <v/>
      </c>
      <c r="D20830">
        <f>IF(B20830=C20830, "YES", "WRONG")</f>
        <v/>
      </c>
    </row>
    <row r="20831">
      <c r="A20831" t="n">
        <v>20830</v>
      </c>
      <c r="B20831" t="inlineStr">
        <is>
          <t>x̄x̄DCCCXXX</t>
        </is>
      </c>
      <c r="C20831">
        <f>ROMAN(20830)</f>
        <v/>
      </c>
      <c r="D20831">
        <f>IF(B20831=C20831, "YES", "WRONG")</f>
        <v/>
      </c>
    </row>
    <row r="20832">
      <c r="A20832" t="n">
        <v>20831</v>
      </c>
      <c r="B20832" t="inlineStr">
        <is>
          <t>x̄x̄DCCCXXXI</t>
        </is>
      </c>
      <c r="C20832">
        <f>ROMAN(20831)</f>
        <v/>
      </c>
      <c r="D20832">
        <f>IF(B20832=C20832, "YES", "WRONG")</f>
        <v/>
      </c>
    </row>
    <row r="20833">
      <c r="A20833" t="n">
        <v>20832</v>
      </c>
      <c r="B20833" t="inlineStr">
        <is>
          <t>x̄x̄DCCCXXXII</t>
        </is>
      </c>
      <c r="C20833">
        <f>ROMAN(20832)</f>
        <v/>
      </c>
      <c r="D20833">
        <f>IF(B20833=C20833, "YES", "WRONG")</f>
        <v/>
      </c>
    </row>
    <row r="20834">
      <c r="A20834" t="n">
        <v>20833</v>
      </c>
      <c r="B20834" t="inlineStr">
        <is>
          <t>x̄x̄DCCCXXXIII</t>
        </is>
      </c>
      <c r="C20834">
        <f>ROMAN(20833)</f>
        <v/>
      </c>
      <c r="D20834">
        <f>IF(B20834=C20834, "YES", "WRONG")</f>
        <v/>
      </c>
    </row>
    <row r="20835">
      <c r="A20835" t="n">
        <v>20834</v>
      </c>
      <c r="B20835" t="inlineStr">
        <is>
          <t>x̄x̄DCCCXXXIV</t>
        </is>
      </c>
      <c r="C20835">
        <f>ROMAN(20834)</f>
        <v/>
      </c>
      <c r="D20835">
        <f>IF(B20835=C20835, "YES", "WRONG")</f>
        <v/>
      </c>
    </row>
    <row r="20836">
      <c r="A20836" t="n">
        <v>20835</v>
      </c>
      <c r="B20836" t="inlineStr">
        <is>
          <t>x̄x̄DCCCXXXV</t>
        </is>
      </c>
      <c r="C20836">
        <f>ROMAN(20835)</f>
        <v/>
      </c>
      <c r="D20836">
        <f>IF(B20836=C20836, "YES", "WRONG")</f>
        <v/>
      </c>
    </row>
    <row r="20837">
      <c r="A20837" t="n">
        <v>20836</v>
      </c>
      <c r="B20837" t="inlineStr">
        <is>
          <t>x̄x̄DCCCXXXVI</t>
        </is>
      </c>
      <c r="C20837">
        <f>ROMAN(20836)</f>
        <v/>
      </c>
      <c r="D20837">
        <f>IF(B20837=C20837, "YES", "WRONG")</f>
        <v/>
      </c>
    </row>
    <row r="20838">
      <c r="A20838" t="n">
        <v>20837</v>
      </c>
      <c r="B20838" t="inlineStr">
        <is>
          <t>x̄x̄DCCCXXXVII</t>
        </is>
      </c>
      <c r="C20838">
        <f>ROMAN(20837)</f>
        <v/>
      </c>
      <c r="D20838">
        <f>IF(B20838=C20838, "YES", "WRONG")</f>
        <v/>
      </c>
    </row>
    <row r="20839">
      <c r="A20839" t="n">
        <v>20838</v>
      </c>
      <c r="B20839" t="inlineStr">
        <is>
          <t>x̄x̄DCCCXXXVIII</t>
        </is>
      </c>
      <c r="C20839">
        <f>ROMAN(20838)</f>
        <v/>
      </c>
      <c r="D20839">
        <f>IF(B20839=C20839, "YES", "WRONG")</f>
        <v/>
      </c>
    </row>
    <row r="20840">
      <c r="A20840" t="n">
        <v>20839</v>
      </c>
      <c r="B20840" t="inlineStr">
        <is>
          <t>x̄x̄DCCCXXXIX</t>
        </is>
      </c>
      <c r="C20840">
        <f>ROMAN(20839)</f>
        <v/>
      </c>
      <c r="D20840">
        <f>IF(B20840=C20840, "YES", "WRONG")</f>
        <v/>
      </c>
    </row>
    <row r="20841">
      <c r="A20841" t="n">
        <v>20840</v>
      </c>
      <c r="B20841" t="inlineStr">
        <is>
          <t>x̄x̄DCCCXL</t>
        </is>
      </c>
      <c r="C20841">
        <f>ROMAN(20840)</f>
        <v/>
      </c>
      <c r="D20841">
        <f>IF(B20841=C20841, "YES", "WRONG")</f>
        <v/>
      </c>
    </row>
    <row r="20842">
      <c r="A20842" t="n">
        <v>20841</v>
      </c>
      <c r="B20842" t="inlineStr">
        <is>
          <t>x̄x̄DCCCXLI</t>
        </is>
      </c>
      <c r="C20842">
        <f>ROMAN(20841)</f>
        <v/>
      </c>
      <c r="D20842">
        <f>IF(B20842=C20842, "YES", "WRONG")</f>
        <v/>
      </c>
    </row>
    <row r="20843">
      <c r="A20843" t="n">
        <v>20842</v>
      </c>
      <c r="B20843" t="inlineStr">
        <is>
          <t>x̄x̄DCCCXLII</t>
        </is>
      </c>
      <c r="C20843">
        <f>ROMAN(20842)</f>
        <v/>
      </c>
      <c r="D20843">
        <f>IF(B20843=C20843, "YES", "WRONG")</f>
        <v/>
      </c>
    </row>
    <row r="20844">
      <c r="A20844" t="n">
        <v>20843</v>
      </c>
      <c r="B20844" t="inlineStr">
        <is>
          <t>x̄x̄DCCCXLIII</t>
        </is>
      </c>
      <c r="C20844">
        <f>ROMAN(20843)</f>
        <v/>
      </c>
      <c r="D20844">
        <f>IF(B20844=C20844, "YES", "WRONG")</f>
        <v/>
      </c>
    </row>
    <row r="20845">
      <c r="A20845" t="n">
        <v>20844</v>
      </c>
      <c r="B20845" t="inlineStr">
        <is>
          <t>x̄x̄DCCCXLIV</t>
        </is>
      </c>
      <c r="C20845">
        <f>ROMAN(20844)</f>
        <v/>
      </c>
      <c r="D20845">
        <f>IF(B20845=C20845, "YES", "WRONG")</f>
        <v/>
      </c>
    </row>
    <row r="20846">
      <c r="A20846" t="n">
        <v>20845</v>
      </c>
      <c r="B20846" t="inlineStr">
        <is>
          <t>x̄x̄DCCCXLV</t>
        </is>
      </c>
      <c r="C20846">
        <f>ROMAN(20845)</f>
        <v/>
      </c>
      <c r="D20846">
        <f>IF(B20846=C20846, "YES", "WRONG")</f>
        <v/>
      </c>
    </row>
    <row r="20847">
      <c r="A20847" t="n">
        <v>20846</v>
      </c>
      <c r="B20847" t="inlineStr">
        <is>
          <t>x̄x̄DCCCXLVI</t>
        </is>
      </c>
      <c r="C20847">
        <f>ROMAN(20846)</f>
        <v/>
      </c>
      <c r="D20847">
        <f>IF(B20847=C20847, "YES", "WRONG")</f>
        <v/>
      </c>
    </row>
    <row r="20848">
      <c r="A20848" t="n">
        <v>20847</v>
      </c>
      <c r="B20848" t="inlineStr">
        <is>
          <t>x̄x̄DCCCXLVII</t>
        </is>
      </c>
      <c r="C20848">
        <f>ROMAN(20847)</f>
        <v/>
      </c>
      <c r="D20848">
        <f>IF(B20848=C20848, "YES", "WRONG")</f>
        <v/>
      </c>
    </row>
    <row r="20849">
      <c r="A20849" t="n">
        <v>20848</v>
      </c>
      <c r="B20849" t="inlineStr">
        <is>
          <t>x̄x̄DCCCXLVIII</t>
        </is>
      </c>
      <c r="C20849">
        <f>ROMAN(20848)</f>
        <v/>
      </c>
      <c r="D20849">
        <f>IF(B20849=C20849, "YES", "WRONG")</f>
        <v/>
      </c>
    </row>
    <row r="20850">
      <c r="A20850" t="n">
        <v>20849</v>
      </c>
      <c r="B20850" t="inlineStr">
        <is>
          <t>x̄x̄DCCCXLIX</t>
        </is>
      </c>
      <c r="C20850">
        <f>ROMAN(20849)</f>
        <v/>
      </c>
      <c r="D20850">
        <f>IF(B20850=C20850, "YES", "WRONG")</f>
        <v/>
      </c>
    </row>
    <row r="20851">
      <c r="A20851" t="n">
        <v>20850</v>
      </c>
      <c r="B20851" t="inlineStr">
        <is>
          <t>x̄x̄DCCCL</t>
        </is>
      </c>
      <c r="C20851">
        <f>ROMAN(20850)</f>
        <v/>
      </c>
      <c r="D20851">
        <f>IF(B20851=C20851, "YES", "WRONG")</f>
        <v/>
      </c>
    </row>
    <row r="20852">
      <c r="A20852" t="n">
        <v>20851</v>
      </c>
      <c r="B20852" t="inlineStr">
        <is>
          <t>x̄x̄DCCCLI</t>
        </is>
      </c>
      <c r="C20852">
        <f>ROMAN(20851)</f>
        <v/>
      </c>
      <c r="D20852">
        <f>IF(B20852=C20852, "YES", "WRONG")</f>
        <v/>
      </c>
    </row>
    <row r="20853">
      <c r="A20853" t="n">
        <v>20852</v>
      </c>
      <c r="B20853" t="inlineStr">
        <is>
          <t>x̄x̄DCCCLII</t>
        </is>
      </c>
      <c r="C20853">
        <f>ROMAN(20852)</f>
        <v/>
      </c>
      <c r="D20853">
        <f>IF(B20853=C20853, "YES", "WRONG")</f>
        <v/>
      </c>
    </row>
    <row r="20854">
      <c r="A20854" t="n">
        <v>20853</v>
      </c>
      <c r="B20854" t="inlineStr">
        <is>
          <t>x̄x̄DCCCLIII</t>
        </is>
      </c>
      <c r="C20854">
        <f>ROMAN(20853)</f>
        <v/>
      </c>
      <c r="D20854">
        <f>IF(B20854=C20854, "YES", "WRONG")</f>
        <v/>
      </c>
    </row>
    <row r="20855">
      <c r="A20855" t="n">
        <v>20854</v>
      </c>
      <c r="B20855" t="inlineStr">
        <is>
          <t>x̄x̄DCCCLIV</t>
        </is>
      </c>
      <c r="C20855">
        <f>ROMAN(20854)</f>
        <v/>
      </c>
      <c r="D20855">
        <f>IF(B20855=C20855, "YES", "WRONG")</f>
        <v/>
      </c>
    </row>
    <row r="20856">
      <c r="A20856" t="n">
        <v>20855</v>
      </c>
      <c r="B20856" t="inlineStr">
        <is>
          <t>x̄x̄DCCCLV</t>
        </is>
      </c>
      <c r="C20856">
        <f>ROMAN(20855)</f>
        <v/>
      </c>
      <c r="D20856">
        <f>IF(B20856=C20856, "YES", "WRONG")</f>
        <v/>
      </c>
    </row>
    <row r="20857">
      <c r="A20857" t="n">
        <v>20856</v>
      </c>
      <c r="B20857" t="inlineStr">
        <is>
          <t>x̄x̄DCCCLVI</t>
        </is>
      </c>
      <c r="C20857">
        <f>ROMAN(20856)</f>
        <v/>
      </c>
      <c r="D20857">
        <f>IF(B20857=C20857, "YES", "WRONG")</f>
        <v/>
      </c>
    </row>
    <row r="20858">
      <c r="A20858" t="n">
        <v>20857</v>
      </c>
      <c r="B20858" t="inlineStr">
        <is>
          <t>x̄x̄DCCCLVII</t>
        </is>
      </c>
      <c r="C20858">
        <f>ROMAN(20857)</f>
        <v/>
      </c>
      <c r="D20858">
        <f>IF(B20858=C20858, "YES", "WRONG")</f>
        <v/>
      </c>
    </row>
    <row r="20859">
      <c r="A20859" t="n">
        <v>20858</v>
      </c>
      <c r="B20859" t="inlineStr">
        <is>
          <t>x̄x̄DCCCLVIII</t>
        </is>
      </c>
      <c r="C20859">
        <f>ROMAN(20858)</f>
        <v/>
      </c>
      <c r="D20859">
        <f>IF(B20859=C20859, "YES", "WRONG")</f>
        <v/>
      </c>
    </row>
    <row r="20860">
      <c r="A20860" t="n">
        <v>20859</v>
      </c>
      <c r="B20860" t="inlineStr">
        <is>
          <t>x̄x̄DCCCLIX</t>
        </is>
      </c>
      <c r="C20860">
        <f>ROMAN(20859)</f>
        <v/>
      </c>
      <c r="D20860">
        <f>IF(B20860=C20860, "YES", "WRONG")</f>
        <v/>
      </c>
    </row>
    <row r="20861">
      <c r="A20861" t="n">
        <v>20860</v>
      </c>
      <c r="B20861" t="inlineStr">
        <is>
          <t>x̄x̄DCCCLX</t>
        </is>
      </c>
      <c r="C20861">
        <f>ROMAN(20860)</f>
        <v/>
      </c>
      <c r="D20861">
        <f>IF(B20861=C20861, "YES", "WRONG")</f>
        <v/>
      </c>
    </row>
    <row r="20862">
      <c r="A20862" t="n">
        <v>20861</v>
      </c>
      <c r="B20862" t="inlineStr">
        <is>
          <t>x̄x̄DCCCLXI</t>
        </is>
      </c>
      <c r="C20862">
        <f>ROMAN(20861)</f>
        <v/>
      </c>
      <c r="D20862">
        <f>IF(B20862=C20862, "YES", "WRONG")</f>
        <v/>
      </c>
    </row>
    <row r="20863">
      <c r="A20863" t="n">
        <v>20862</v>
      </c>
      <c r="B20863" t="inlineStr">
        <is>
          <t>x̄x̄DCCCLXII</t>
        </is>
      </c>
      <c r="C20863">
        <f>ROMAN(20862)</f>
        <v/>
      </c>
      <c r="D20863">
        <f>IF(B20863=C20863, "YES", "WRONG")</f>
        <v/>
      </c>
    </row>
    <row r="20864">
      <c r="A20864" t="n">
        <v>20863</v>
      </c>
      <c r="B20864" t="inlineStr">
        <is>
          <t>x̄x̄DCCCLXIII</t>
        </is>
      </c>
      <c r="C20864">
        <f>ROMAN(20863)</f>
        <v/>
      </c>
      <c r="D20864">
        <f>IF(B20864=C20864, "YES", "WRONG")</f>
        <v/>
      </c>
    </row>
    <row r="20865">
      <c r="A20865" t="n">
        <v>20864</v>
      </c>
      <c r="B20865" t="inlineStr">
        <is>
          <t>x̄x̄DCCCLXIV</t>
        </is>
      </c>
      <c r="C20865">
        <f>ROMAN(20864)</f>
        <v/>
      </c>
      <c r="D20865">
        <f>IF(B20865=C20865, "YES", "WRONG")</f>
        <v/>
      </c>
    </row>
    <row r="20866">
      <c r="A20866" t="n">
        <v>20865</v>
      </c>
      <c r="B20866" t="inlineStr">
        <is>
          <t>x̄x̄DCCCLXV</t>
        </is>
      </c>
      <c r="C20866">
        <f>ROMAN(20865)</f>
        <v/>
      </c>
      <c r="D20866">
        <f>IF(B20866=C20866, "YES", "WRONG")</f>
        <v/>
      </c>
    </row>
    <row r="20867">
      <c r="A20867" t="n">
        <v>20866</v>
      </c>
      <c r="B20867" t="inlineStr">
        <is>
          <t>x̄x̄DCCCLXVI</t>
        </is>
      </c>
      <c r="C20867">
        <f>ROMAN(20866)</f>
        <v/>
      </c>
      <c r="D20867">
        <f>IF(B20867=C20867, "YES", "WRONG")</f>
        <v/>
      </c>
    </row>
    <row r="20868">
      <c r="A20868" t="n">
        <v>20867</v>
      </c>
      <c r="B20868" t="inlineStr">
        <is>
          <t>x̄x̄DCCCLXVII</t>
        </is>
      </c>
      <c r="C20868">
        <f>ROMAN(20867)</f>
        <v/>
      </c>
      <c r="D20868">
        <f>IF(B20868=C20868, "YES", "WRONG")</f>
        <v/>
      </c>
    </row>
    <row r="20869">
      <c r="A20869" t="n">
        <v>20868</v>
      </c>
      <c r="B20869" t="inlineStr">
        <is>
          <t>x̄x̄DCCCLXVIII</t>
        </is>
      </c>
      <c r="C20869">
        <f>ROMAN(20868)</f>
        <v/>
      </c>
      <c r="D20869">
        <f>IF(B20869=C20869, "YES", "WRONG")</f>
        <v/>
      </c>
    </row>
    <row r="20870">
      <c r="A20870" t="n">
        <v>20869</v>
      </c>
      <c r="B20870" t="inlineStr">
        <is>
          <t>x̄x̄DCCCLXIX</t>
        </is>
      </c>
      <c r="C20870">
        <f>ROMAN(20869)</f>
        <v/>
      </c>
      <c r="D20870">
        <f>IF(B20870=C20870, "YES", "WRONG")</f>
        <v/>
      </c>
    </row>
    <row r="20871">
      <c r="A20871" t="n">
        <v>20870</v>
      </c>
      <c r="B20871" t="inlineStr">
        <is>
          <t>x̄x̄DCCCLXX</t>
        </is>
      </c>
      <c r="C20871">
        <f>ROMAN(20870)</f>
        <v/>
      </c>
      <c r="D20871">
        <f>IF(B20871=C20871, "YES", "WRONG")</f>
        <v/>
      </c>
    </row>
    <row r="20872">
      <c r="A20872" t="n">
        <v>20871</v>
      </c>
      <c r="B20872" t="inlineStr">
        <is>
          <t>x̄x̄DCCCLXXI</t>
        </is>
      </c>
      <c r="C20872">
        <f>ROMAN(20871)</f>
        <v/>
      </c>
      <c r="D20872">
        <f>IF(B20872=C20872, "YES", "WRONG")</f>
        <v/>
      </c>
    </row>
    <row r="20873">
      <c r="A20873" t="n">
        <v>20872</v>
      </c>
      <c r="B20873" t="inlineStr">
        <is>
          <t>x̄x̄DCCCLXXII</t>
        </is>
      </c>
      <c r="C20873">
        <f>ROMAN(20872)</f>
        <v/>
      </c>
      <c r="D20873">
        <f>IF(B20873=C20873, "YES", "WRONG")</f>
        <v/>
      </c>
    </row>
    <row r="20874">
      <c r="A20874" t="n">
        <v>20873</v>
      </c>
      <c r="B20874" t="inlineStr">
        <is>
          <t>x̄x̄DCCCLXXIII</t>
        </is>
      </c>
      <c r="C20874">
        <f>ROMAN(20873)</f>
        <v/>
      </c>
      <c r="D20874">
        <f>IF(B20874=C20874, "YES", "WRONG")</f>
        <v/>
      </c>
    </row>
    <row r="20875">
      <c r="A20875" t="n">
        <v>20874</v>
      </c>
      <c r="B20875" t="inlineStr">
        <is>
          <t>x̄x̄DCCCLXXIV</t>
        </is>
      </c>
      <c r="C20875">
        <f>ROMAN(20874)</f>
        <v/>
      </c>
      <c r="D20875">
        <f>IF(B20875=C20875, "YES", "WRONG")</f>
        <v/>
      </c>
    </row>
    <row r="20876">
      <c r="A20876" t="n">
        <v>20875</v>
      </c>
      <c r="B20876" t="inlineStr">
        <is>
          <t>x̄x̄DCCCLXXV</t>
        </is>
      </c>
      <c r="C20876">
        <f>ROMAN(20875)</f>
        <v/>
      </c>
      <c r="D20876">
        <f>IF(B20876=C20876, "YES", "WRONG")</f>
        <v/>
      </c>
    </row>
    <row r="20877">
      <c r="A20877" t="n">
        <v>20876</v>
      </c>
      <c r="B20877" t="inlineStr">
        <is>
          <t>x̄x̄DCCCLXXVI</t>
        </is>
      </c>
      <c r="C20877">
        <f>ROMAN(20876)</f>
        <v/>
      </c>
      <c r="D20877">
        <f>IF(B20877=C20877, "YES", "WRONG")</f>
        <v/>
      </c>
    </row>
    <row r="20878">
      <c r="A20878" t="n">
        <v>20877</v>
      </c>
      <c r="B20878" t="inlineStr">
        <is>
          <t>x̄x̄DCCCLXXVII</t>
        </is>
      </c>
      <c r="C20878">
        <f>ROMAN(20877)</f>
        <v/>
      </c>
      <c r="D20878">
        <f>IF(B20878=C20878, "YES", "WRONG")</f>
        <v/>
      </c>
    </row>
    <row r="20879">
      <c r="A20879" t="n">
        <v>20878</v>
      </c>
      <c r="B20879" t="inlineStr">
        <is>
          <t>x̄x̄DCCCLXXVIII</t>
        </is>
      </c>
      <c r="C20879">
        <f>ROMAN(20878)</f>
        <v/>
      </c>
      <c r="D20879">
        <f>IF(B20879=C20879, "YES", "WRONG")</f>
        <v/>
      </c>
    </row>
    <row r="20880">
      <c r="A20880" t="n">
        <v>20879</v>
      </c>
      <c r="B20880" t="inlineStr">
        <is>
          <t>x̄x̄DCCCLXXIX</t>
        </is>
      </c>
      <c r="C20880">
        <f>ROMAN(20879)</f>
        <v/>
      </c>
      <c r="D20880">
        <f>IF(B20880=C20880, "YES", "WRONG")</f>
        <v/>
      </c>
    </row>
    <row r="20881">
      <c r="A20881" t="n">
        <v>20880</v>
      </c>
      <c r="B20881" t="inlineStr">
        <is>
          <t>x̄x̄DCCCLXXX</t>
        </is>
      </c>
      <c r="C20881">
        <f>ROMAN(20880)</f>
        <v/>
      </c>
      <c r="D20881">
        <f>IF(B20881=C20881, "YES", "WRONG")</f>
        <v/>
      </c>
    </row>
    <row r="20882">
      <c r="A20882" t="n">
        <v>20881</v>
      </c>
      <c r="B20882" t="inlineStr">
        <is>
          <t>x̄x̄DCCCLXXXI</t>
        </is>
      </c>
      <c r="C20882">
        <f>ROMAN(20881)</f>
        <v/>
      </c>
      <c r="D20882">
        <f>IF(B20882=C20882, "YES", "WRONG")</f>
        <v/>
      </c>
    </row>
    <row r="20883">
      <c r="A20883" t="n">
        <v>20882</v>
      </c>
      <c r="B20883" t="inlineStr">
        <is>
          <t>x̄x̄DCCCLXXXII</t>
        </is>
      </c>
      <c r="C20883">
        <f>ROMAN(20882)</f>
        <v/>
      </c>
      <c r="D20883">
        <f>IF(B20883=C20883, "YES", "WRONG")</f>
        <v/>
      </c>
    </row>
    <row r="20884">
      <c r="A20884" t="n">
        <v>20883</v>
      </c>
      <c r="B20884" t="inlineStr">
        <is>
          <t>x̄x̄DCCCLXXXIII</t>
        </is>
      </c>
      <c r="C20884">
        <f>ROMAN(20883)</f>
        <v/>
      </c>
      <c r="D20884">
        <f>IF(B20884=C20884, "YES", "WRONG")</f>
        <v/>
      </c>
    </row>
    <row r="20885">
      <c r="A20885" t="n">
        <v>20884</v>
      </c>
      <c r="B20885" t="inlineStr">
        <is>
          <t>x̄x̄DCCCLXXXIV</t>
        </is>
      </c>
      <c r="C20885">
        <f>ROMAN(20884)</f>
        <v/>
      </c>
      <c r="D20885">
        <f>IF(B20885=C20885, "YES", "WRONG")</f>
        <v/>
      </c>
    </row>
    <row r="20886">
      <c r="A20886" t="n">
        <v>20885</v>
      </c>
      <c r="B20886" t="inlineStr">
        <is>
          <t>x̄x̄DCCCLXXXV</t>
        </is>
      </c>
      <c r="C20886">
        <f>ROMAN(20885)</f>
        <v/>
      </c>
      <c r="D20886">
        <f>IF(B20886=C20886, "YES", "WRONG")</f>
        <v/>
      </c>
    </row>
    <row r="20887">
      <c r="A20887" t="n">
        <v>20886</v>
      </c>
      <c r="B20887" t="inlineStr">
        <is>
          <t>x̄x̄DCCCLXXXVI</t>
        </is>
      </c>
      <c r="C20887">
        <f>ROMAN(20886)</f>
        <v/>
      </c>
      <c r="D20887">
        <f>IF(B20887=C20887, "YES", "WRONG")</f>
        <v/>
      </c>
    </row>
    <row r="20888">
      <c r="A20888" t="n">
        <v>20887</v>
      </c>
      <c r="B20888" t="inlineStr">
        <is>
          <t>x̄x̄DCCCLXXXVII</t>
        </is>
      </c>
      <c r="C20888">
        <f>ROMAN(20887)</f>
        <v/>
      </c>
      <c r="D20888">
        <f>IF(B20888=C20888, "YES", "WRONG")</f>
        <v/>
      </c>
    </row>
    <row r="20889">
      <c r="A20889" t="n">
        <v>20888</v>
      </c>
      <c r="B20889" t="inlineStr">
        <is>
          <t>x̄x̄DCCCLXXXVIII</t>
        </is>
      </c>
      <c r="C20889">
        <f>ROMAN(20888)</f>
        <v/>
      </c>
      <c r="D20889">
        <f>IF(B20889=C20889, "YES", "WRONG")</f>
        <v/>
      </c>
    </row>
    <row r="20890">
      <c r="A20890" t="n">
        <v>20889</v>
      </c>
      <c r="B20890" t="inlineStr">
        <is>
          <t>x̄x̄DCCCLXXXIX</t>
        </is>
      </c>
      <c r="C20890">
        <f>ROMAN(20889)</f>
        <v/>
      </c>
      <c r="D20890">
        <f>IF(B20890=C20890, "YES", "WRONG")</f>
        <v/>
      </c>
    </row>
    <row r="20891">
      <c r="A20891" t="n">
        <v>20890</v>
      </c>
      <c r="B20891" t="inlineStr">
        <is>
          <t>x̄x̄DCCCXC</t>
        </is>
      </c>
      <c r="C20891">
        <f>ROMAN(20890)</f>
        <v/>
      </c>
      <c r="D20891">
        <f>IF(B20891=C20891, "YES", "WRONG")</f>
        <v/>
      </c>
    </row>
    <row r="20892">
      <c r="A20892" t="n">
        <v>20891</v>
      </c>
      <c r="B20892" t="inlineStr">
        <is>
          <t>x̄x̄DCCCXCI</t>
        </is>
      </c>
      <c r="C20892">
        <f>ROMAN(20891)</f>
        <v/>
      </c>
      <c r="D20892">
        <f>IF(B20892=C20892, "YES", "WRONG")</f>
        <v/>
      </c>
    </row>
    <row r="20893">
      <c r="A20893" t="n">
        <v>20892</v>
      </c>
      <c r="B20893" t="inlineStr">
        <is>
          <t>x̄x̄DCCCXCII</t>
        </is>
      </c>
      <c r="C20893">
        <f>ROMAN(20892)</f>
        <v/>
      </c>
      <c r="D20893">
        <f>IF(B20893=C20893, "YES", "WRONG")</f>
        <v/>
      </c>
    </row>
    <row r="20894">
      <c r="A20894" t="n">
        <v>20893</v>
      </c>
      <c r="B20894" t="inlineStr">
        <is>
          <t>x̄x̄DCCCXCIII</t>
        </is>
      </c>
      <c r="C20894">
        <f>ROMAN(20893)</f>
        <v/>
      </c>
      <c r="D20894">
        <f>IF(B20894=C20894, "YES", "WRONG")</f>
        <v/>
      </c>
    </row>
    <row r="20895">
      <c r="A20895" t="n">
        <v>20894</v>
      </c>
      <c r="B20895" t="inlineStr">
        <is>
          <t>x̄x̄DCCCXCIV</t>
        </is>
      </c>
      <c r="C20895">
        <f>ROMAN(20894)</f>
        <v/>
      </c>
      <c r="D20895">
        <f>IF(B20895=C20895, "YES", "WRONG")</f>
        <v/>
      </c>
    </row>
    <row r="20896">
      <c r="A20896" t="n">
        <v>20895</v>
      </c>
      <c r="B20896" t="inlineStr">
        <is>
          <t>x̄x̄DCCCXCV</t>
        </is>
      </c>
      <c r="C20896">
        <f>ROMAN(20895)</f>
        <v/>
      </c>
      <c r="D20896">
        <f>IF(B20896=C20896, "YES", "WRONG")</f>
        <v/>
      </c>
    </row>
    <row r="20897">
      <c r="A20897" t="n">
        <v>20896</v>
      </c>
      <c r="B20897" t="inlineStr">
        <is>
          <t>x̄x̄DCCCXCVI</t>
        </is>
      </c>
      <c r="C20897">
        <f>ROMAN(20896)</f>
        <v/>
      </c>
      <c r="D20897">
        <f>IF(B20897=C20897, "YES", "WRONG")</f>
        <v/>
      </c>
    </row>
    <row r="20898">
      <c r="A20898" t="n">
        <v>20897</v>
      </c>
      <c r="B20898" t="inlineStr">
        <is>
          <t>x̄x̄DCCCXCVII</t>
        </is>
      </c>
      <c r="C20898">
        <f>ROMAN(20897)</f>
        <v/>
      </c>
      <c r="D20898">
        <f>IF(B20898=C20898, "YES", "WRONG")</f>
        <v/>
      </c>
    </row>
    <row r="20899">
      <c r="A20899" t="n">
        <v>20898</v>
      </c>
      <c r="B20899" t="inlineStr">
        <is>
          <t>x̄x̄DCCCXCVIII</t>
        </is>
      </c>
      <c r="C20899">
        <f>ROMAN(20898)</f>
        <v/>
      </c>
      <c r="D20899">
        <f>IF(B20899=C20899, "YES", "WRONG")</f>
        <v/>
      </c>
    </row>
    <row r="20900">
      <c r="A20900" t="n">
        <v>20899</v>
      </c>
      <c r="B20900" t="inlineStr">
        <is>
          <t>x̄x̄DCCCXCIX</t>
        </is>
      </c>
      <c r="C20900">
        <f>ROMAN(20899)</f>
        <v/>
      </c>
      <c r="D20900">
        <f>IF(B20900=C20900, "YES", "WRONG")</f>
        <v/>
      </c>
    </row>
    <row r="20901">
      <c r="A20901" t="n">
        <v>20900</v>
      </c>
      <c r="B20901" t="inlineStr">
        <is>
          <t>x̄x̄CM</t>
        </is>
      </c>
      <c r="C20901">
        <f>ROMAN(20900)</f>
        <v/>
      </c>
      <c r="D20901">
        <f>IF(B20901=C20901, "YES", "WRONG")</f>
        <v/>
      </c>
    </row>
    <row r="20902">
      <c r="A20902" t="n">
        <v>20901</v>
      </c>
      <c r="B20902" t="inlineStr">
        <is>
          <t>x̄x̄CMI</t>
        </is>
      </c>
      <c r="C20902">
        <f>ROMAN(20901)</f>
        <v/>
      </c>
      <c r="D20902">
        <f>IF(B20902=C20902, "YES", "WRONG")</f>
        <v/>
      </c>
    </row>
    <row r="20903">
      <c r="A20903" t="n">
        <v>20902</v>
      </c>
      <c r="B20903" t="inlineStr">
        <is>
          <t>x̄x̄CMII</t>
        </is>
      </c>
      <c r="C20903">
        <f>ROMAN(20902)</f>
        <v/>
      </c>
      <c r="D20903">
        <f>IF(B20903=C20903, "YES", "WRONG")</f>
        <v/>
      </c>
    </row>
    <row r="20904">
      <c r="A20904" t="n">
        <v>20903</v>
      </c>
      <c r="B20904" t="inlineStr">
        <is>
          <t>x̄x̄CMIII</t>
        </is>
      </c>
      <c r="C20904">
        <f>ROMAN(20903)</f>
        <v/>
      </c>
      <c r="D20904">
        <f>IF(B20904=C20904, "YES", "WRONG")</f>
        <v/>
      </c>
    </row>
    <row r="20905">
      <c r="A20905" t="n">
        <v>20904</v>
      </c>
      <c r="B20905" t="inlineStr">
        <is>
          <t>x̄x̄CMIV</t>
        </is>
      </c>
      <c r="C20905">
        <f>ROMAN(20904)</f>
        <v/>
      </c>
      <c r="D20905">
        <f>IF(B20905=C20905, "YES", "WRONG")</f>
        <v/>
      </c>
    </row>
    <row r="20906">
      <c r="A20906" t="n">
        <v>20905</v>
      </c>
      <c r="B20906" t="inlineStr">
        <is>
          <t>x̄x̄CMV</t>
        </is>
      </c>
      <c r="C20906">
        <f>ROMAN(20905)</f>
        <v/>
      </c>
      <c r="D20906">
        <f>IF(B20906=C20906, "YES", "WRONG")</f>
        <v/>
      </c>
    </row>
    <row r="20907">
      <c r="A20907" t="n">
        <v>20906</v>
      </c>
      <c r="B20907" t="inlineStr">
        <is>
          <t>x̄x̄CMVI</t>
        </is>
      </c>
      <c r="C20907">
        <f>ROMAN(20906)</f>
        <v/>
      </c>
      <c r="D20907">
        <f>IF(B20907=C20907, "YES", "WRONG")</f>
        <v/>
      </c>
    </row>
    <row r="20908">
      <c r="A20908" t="n">
        <v>20907</v>
      </c>
      <c r="B20908" t="inlineStr">
        <is>
          <t>x̄x̄CMVII</t>
        </is>
      </c>
      <c r="C20908">
        <f>ROMAN(20907)</f>
        <v/>
      </c>
      <c r="D20908">
        <f>IF(B20908=C20908, "YES", "WRONG")</f>
        <v/>
      </c>
    </row>
    <row r="20909">
      <c r="A20909" t="n">
        <v>20908</v>
      </c>
      <c r="B20909" t="inlineStr">
        <is>
          <t>x̄x̄CMVIII</t>
        </is>
      </c>
      <c r="C20909">
        <f>ROMAN(20908)</f>
        <v/>
      </c>
      <c r="D20909">
        <f>IF(B20909=C20909, "YES", "WRONG")</f>
        <v/>
      </c>
    </row>
    <row r="20910">
      <c r="A20910" t="n">
        <v>20909</v>
      </c>
      <c r="B20910" t="inlineStr">
        <is>
          <t>x̄x̄CMIX</t>
        </is>
      </c>
      <c r="C20910">
        <f>ROMAN(20909)</f>
        <v/>
      </c>
      <c r="D20910">
        <f>IF(B20910=C20910, "YES", "WRONG")</f>
        <v/>
      </c>
    </row>
    <row r="20911">
      <c r="A20911" t="n">
        <v>20910</v>
      </c>
      <c r="B20911" t="inlineStr">
        <is>
          <t>x̄x̄CMX</t>
        </is>
      </c>
      <c r="C20911">
        <f>ROMAN(20910)</f>
        <v/>
      </c>
      <c r="D20911">
        <f>IF(B20911=C20911, "YES", "WRONG")</f>
        <v/>
      </c>
    </row>
    <row r="20912">
      <c r="A20912" t="n">
        <v>20911</v>
      </c>
      <c r="B20912" t="inlineStr">
        <is>
          <t>x̄x̄CMXI</t>
        </is>
      </c>
      <c r="C20912">
        <f>ROMAN(20911)</f>
        <v/>
      </c>
      <c r="D20912">
        <f>IF(B20912=C20912, "YES", "WRONG")</f>
        <v/>
      </c>
    </row>
    <row r="20913">
      <c r="A20913" t="n">
        <v>20912</v>
      </c>
      <c r="B20913" t="inlineStr">
        <is>
          <t>x̄x̄CMXII</t>
        </is>
      </c>
      <c r="C20913">
        <f>ROMAN(20912)</f>
        <v/>
      </c>
      <c r="D20913">
        <f>IF(B20913=C20913, "YES", "WRONG")</f>
        <v/>
      </c>
    </row>
    <row r="20914">
      <c r="A20914" t="n">
        <v>20913</v>
      </c>
      <c r="B20914" t="inlineStr">
        <is>
          <t>x̄x̄CMXIII</t>
        </is>
      </c>
      <c r="C20914">
        <f>ROMAN(20913)</f>
        <v/>
      </c>
      <c r="D20914">
        <f>IF(B20914=C20914, "YES", "WRONG")</f>
        <v/>
      </c>
    </row>
    <row r="20915">
      <c r="A20915" t="n">
        <v>20914</v>
      </c>
      <c r="B20915" t="inlineStr">
        <is>
          <t>x̄x̄CMXIV</t>
        </is>
      </c>
      <c r="C20915">
        <f>ROMAN(20914)</f>
        <v/>
      </c>
      <c r="D20915">
        <f>IF(B20915=C20915, "YES", "WRONG")</f>
        <v/>
      </c>
    </row>
    <row r="20916">
      <c r="A20916" t="n">
        <v>20915</v>
      </c>
      <c r="B20916" t="inlineStr">
        <is>
          <t>x̄x̄CMXV</t>
        </is>
      </c>
      <c r="C20916">
        <f>ROMAN(20915)</f>
        <v/>
      </c>
      <c r="D20916">
        <f>IF(B20916=C20916, "YES", "WRONG")</f>
        <v/>
      </c>
    </row>
    <row r="20917">
      <c r="A20917" t="n">
        <v>20916</v>
      </c>
      <c r="B20917" t="inlineStr">
        <is>
          <t>x̄x̄CMXVI</t>
        </is>
      </c>
      <c r="C20917">
        <f>ROMAN(20916)</f>
        <v/>
      </c>
      <c r="D20917">
        <f>IF(B20917=C20917, "YES", "WRONG")</f>
        <v/>
      </c>
    </row>
    <row r="20918">
      <c r="A20918" t="n">
        <v>20917</v>
      </c>
      <c r="B20918" t="inlineStr">
        <is>
          <t>x̄x̄CMXVII</t>
        </is>
      </c>
      <c r="C20918">
        <f>ROMAN(20917)</f>
        <v/>
      </c>
      <c r="D20918">
        <f>IF(B20918=C20918, "YES", "WRONG")</f>
        <v/>
      </c>
    </row>
    <row r="20919">
      <c r="A20919" t="n">
        <v>20918</v>
      </c>
      <c r="B20919" t="inlineStr">
        <is>
          <t>x̄x̄CMXVIII</t>
        </is>
      </c>
      <c r="C20919">
        <f>ROMAN(20918)</f>
        <v/>
      </c>
      <c r="D20919">
        <f>IF(B20919=C20919, "YES", "WRONG")</f>
        <v/>
      </c>
    </row>
    <row r="20920">
      <c r="A20920" t="n">
        <v>20919</v>
      </c>
      <c r="B20920" t="inlineStr">
        <is>
          <t>x̄x̄CMXIX</t>
        </is>
      </c>
      <c r="C20920">
        <f>ROMAN(20919)</f>
        <v/>
      </c>
      <c r="D20920">
        <f>IF(B20920=C20920, "YES", "WRONG")</f>
        <v/>
      </c>
    </row>
    <row r="20921">
      <c r="A20921" t="n">
        <v>20920</v>
      </c>
      <c r="B20921" t="inlineStr">
        <is>
          <t>x̄x̄CMXX</t>
        </is>
      </c>
      <c r="C20921">
        <f>ROMAN(20920)</f>
        <v/>
      </c>
      <c r="D20921">
        <f>IF(B20921=C20921, "YES", "WRONG")</f>
        <v/>
      </c>
    </row>
    <row r="20922">
      <c r="A20922" t="n">
        <v>20921</v>
      </c>
      <c r="B20922" t="inlineStr">
        <is>
          <t>x̄x̄CMXXI</t>
        </is>
      </c>
      <c r="C20922">
        <f>ROMAN(20921)</f>
        <v/>
      </c>
      <c r="D20922">
        <f>IF(B20922=C20922, "YES", "WRONG")</f>
        <v/>
      </c>
    </row>
    <row r="20923">
      <c r="A20923" t="n">
        <v>20922</v>
      </c>
      <c r="B20923" t="inlineStr">
        <is>
          <t>x̄x̄CMXXII</t>
        </is>
      </c>
      <c r="C20923">
        <f>ROMAN(20922)</f>
        <v/>
      </c>
      <c r="D20923">
        <f>IF(B20923=C20923, "YES", "WRONG")</f>
        <v/>
      </c>
    </row>
    <row r="20924">
      <c r="A20924" t="n">
        <v>20923</v>
      </c>
      <c r="B20924" t="inlineStr">
        <is>
          <t>x̄x̄CMXXIII</t>
        </is>
      </c>
      <c r="C20924">
        <f>ROMAN(20923)</f>
        <v/>
      </c>
      <c r="D20924">
        <f>IF(B20924=C20924, "YES", "WRONG")</f>
        <v/>
      </c>
    </row>
    <row r="20925">
      <c r="A20925" t="n">
        <v>20924</v>
      </c>
      <c r="B20925" t="inlineStr">
        <is>
          <t>x̄x̄CMXXIV</t>
        </is>
      </c>
      <c r="C20925">
        <f>ROMAN(20924)</f>
        <v/>
      </c>
      <c r="D20925">
        <f>IF(B20925=C20925, "YES", "WRONG")</f>
        <v/>
      </c>
    </row>
    <row r="20926">
      <c r="A20926" t="n">
        <v>20925</v>
      </c>
      <c r="B20926" t="inlineStr">
        <is>
          <t>x̄x̄CMXXV</t>
        </is>
      </c>
      <c r="C20926">
        <f>ROMAN(20925)</f>
        <v/>
      </c>
      <c r="D20926">
        <f>IF(B20926=C20926, "YES", "WRONG")</f>
        <v/>
      </c>
    </row>
    <row r="20927">
      <c r="A20927" t="n">
        <v>20926</v>
      </c>
      <c r="B20927" t="inlineStr">
        <is>
          <t>x̄x̄CMXXVI</t>
        </is>
      </c>
      <c r="C20927">
        <f>ROMAN(20926)</f>
        <v/>
      </c>
      <c r="D20927">
        <f>IF(B20927=C20927, "YES", "WRONG")</f>
        <v/>
      </c>
    </row>
    <row r="20928">
      <c r="A20928" t="n">
        <v>20927</v>
      </c>
      <c r="B20928" t="inlineStr">
        <is>
          <t>x̄x̄CMXXVII</t>
        </is>
      </c>
      <c r="C20928">
        <f>ROMAN(20927)</f>
        <v/>
      </c>
      <c r="D20928">
        <f>IF(B20928=C20928, "YES", "WRONG")</f>
        <v/>
      </c>
    </row>
    <row r="20929">
      <c r="A20929" t="n">
        <v>20928</v>
      </c>
      <c r="B20929" t="inlineStr">
        <is>
          <t>x̄x̄CMXXVIII</t>
        </is>
      </c>
      <c r="C20929">
        <f>ROMAN(20928)</f>
        <v/>
      </c>
      <c r="D20929">
        <f>IF(B20929=C20929, "YES", "WRONG")</f>
        <v/>
      </c>
    </row>
    <row r="20930">
      <c r="A20930" t="n">
        <v>20929</v>
      </c>
      <c r="B20930" t="inlineStr">
        <is>
          <t>x̄x̄CMXXIX</t>
        </is>
      </c>
      <c r="C20930">
        <f>ROMAN(20929)</f>
        <v/>
      </c>
      <c r="D20930">
        <f>IF(B20930=C20930, "YES", "WRONG")</f>
        <v/>
      </c>
    </row>
    <row r="20931">
      <c r="A20931" t="n">
        <v>20930</v>
      </c>
      <c r="B20931" t="inlineStr">
        <is>
          <t>x̄x̄CMXXX</t>
        </is>
      </c>
      <c r="C20931">
        <f>ROMAN(20930)</f>
        <v/>
      </c>
      <c r="D20931">
        <f>IF(B20931=C20931, "YES", "WRONG")</f>
        <v/>
      </c>
    </row>
    <row r="20932">
      <c r="A20932" t="n">
        <v>20931</v>
      </c>
      <c r="B20932" t="inlineStr">
        <is>
          <t>x̄x̄CMXXXI</t>
        </is>
      </c>
      <c r="C20932">
        <f>ROMAN(20931)</f>
        <v/>
      </c>
      <c r="D20932">
        <f>IF(B20932=C20932, "YES", "WRONG")</f>
        <v/>
      </c>
    </row>
    <row r="20933">
      <c r="A20933" t="n">
        <v>20932</v>
      </c>
      <c r="B20933" t="inlineStr">
        <is>
          <t>x̄x̄CMXXXII</t>
        </is>
      </c>
      <c r="C20933">
        <f>ROMAN(20932)</f>
        <v/>
      </c>
      <c r="D20933">
        <f>IF(B20933=C20933, "YES", "WRONG")</f>
        <v/>
      </c>
    </row>
    <row r="20934">
      <c r="A20934" t="n">
        <v>20933</v>
      </c>
      <c r="B20934" t="inlineStr">
        <is>
          <t>x̄x̄CMXXXIII</t>
        </is>
      </c>
      <c r="C20934">
        <f>ROMAN(20933)</f>
        <v/>
      </c>
      <c r="D20934">
        <f>IF(B20934=C20934, "YES", "WRONG")</f>
        <v/>
      </c>
    </row>
    <row r="20935">
      <c r="A20935" t="n">
        <v>20934</v>
      </c>
      <c r="B20935" t="inlineStr">
        <is>
          <t>x̄x̄CMXXXIV</t>
        </is>
      </c>
      <c r="C20935">
        <f>ROMAN(20934)</f>
        <v/>
      </c>
      <c r="D20935">
        <f>IF(B20935=C20935, "YES", "WRONG")</f>
        <v/>
      </c>
    </row>
    <row r="20936">
      <c r="A20936" t="n">
        <v>20935</v>
      </c>
      <c r="B20936" t="inlineStr">
        <is>
          <t>x̄x̄CMXXXV</t>
        </is>
      </c>
      <c r="C20936">
        <f>ROMAN(20935)</f>
        <v/>
      </c>
      <c r="D20936">
        <f>IF(B20936=C20936, "YES", "WRONG")</f>
        <v/>
      </c>
    </row>
    <row r="20937">
      <c r="A20937" t="n">
        <v>20936</v>
      </c>
      <c r="B20937" t="inlineStr">
        <is>
          <t>x̄x̄CMXXXVI</t>
        </is>
      </c>
      <c r="C20937">
        <f>ROMAN(20936)</f>
        <v/>
      </c>
      <c r="D20937">
        <f>IF(B20937=C20937, "YES", "WRONG")</f>
        <v/>
      </c>
    </row>
    <row r="20938">
      <c r="A20938" t="n">
        <v>20937</v>
      </c>
      <c r="B20938" t="inlineStr">
        <is>
          <t>x̄x̄CMXXXVII</t>
        </is>
      </c>
      <c r="C20938">
        <f>ROMAN(20937)</f>
        <v/>
      </c>
      <c r="D20938">
        <f>IF(B20938=C20938, "YES", "WRONG")</f>
        <v/>
      </c>
    </row>
    <row r="20939">
      <c r="A20939" t="n">
        <v>20938</v>
      </c>
      <c r="B20939" t="inlineStr">
        <is>
          <t>x̄x̄CMXXXVIII</t>
        </is>
      </c>
      <c r="C20939">
        <f>ROMAN(20938)</f>
        <v/>
      </c>
      <c r="D20939">
        <f>IF(B20939=C20939, "YES", "WRONG")</f>
        <v/>
      </c>
    </row>
    <row r="20940">
      <c r="A20940" t="n">
        <v>20939</v>
      </c>
      <c r="B20940" t="inlineStr">
        <is>
          <t>x̄x̄CMXXXIX</t>
        </is>
      </c>
      <c r="C20940">
        <f>ROMAN(20939)</f>
        <v/>
      </c>
      <c r="D20940">
        <f>IF(B20940=C20940, "YES", "WRONG")</f>
        <v/>
      </c>
    </row>
    <row r="20941">
      <c r="A20941" t="n">
        <v>20940</v>
      </c>
      <c r="B20941" t="inlineStr">
        <is>
          <t>x̄x̄CMXL</t>
        </is>
      </c>
      <c r="C20941">
        <f>ROMAN(20940)</f>
        <v/>
      </c>
      <c r="D20941">
        <f>IF(B20941=C20941, "YES", "WRONG")</f>
        <v/>
      </c>
    </row>
    <row r="20942">
      <c r="A20942" t="n">
        <v>20941</v>
      </c>
      <c r="B20942" t="inlineStr">
        <is>
          <t>x̄x̄CMXLI</t>
        </is>
      </c>
      <c r="C20942">
        <f>ROMAN(20941)</f>
        <v/>
      </c>
      <c r="D20942">
        <f>IF(B20942=C20942, "YES", "WRONG")</f>
        <v/>
      </c>
    </row>
    <row r="20943">
      <c r="A20943" t="n">
        <v>20942</v>
      </c>
      <c r="B20943" t="inlineStr">
        <is>
          <t>x̄x̄CMXLII</t>
        </is>
      </c>
      <c r="C20943">
        <f>ROMAN(20942)</f>
        <v/>
      </c>
      <c r="D20943">
        <f>IF(B20943=C20943, "YES", "WRONG")</f>
        <v/>
      </c>
    </row>
    <row r="20944">
      <c r="A20944" t="n">
        <v>20943</v>
      </c>
      <c r="B20944" t="inlineStr">
        <is>
          <t>x̄x̄CMXLIII</t>
        </is>
      </c>
      <c r="C20944">
        <f>ROMAN(20943)</f>
        <v/>
      </c>
      <c r="D20944">
        <f>IF(B20944=C20944, "YES", "WRONG")</f>
        <v/>
      </c>
    </row>
    <row r="20945">
      <c r="A20945" t="n">
        <v>20944</v>
      </c>
      <c r="B20945" t="inlineStr">
        <is>
          <t>x̄x̄CMXLIV</t>
        </is>
      </c>
      <c r="C20945">
        <f>ROMAN(20944)</f>
        <v/>
      </c>
      <c r="D20945">
        <f>IF(B20945=C20945, "YES", "WRONG")</f>
        <v/>
      </c>
    </row>
    <row r="20946">
      <c r="A20946" t="n">
        <v>20945</v>
      </c>
      <c r="B20946" t="inlineStr">
        <is>
          <t>x̄x̄CMXLV</t>
        </is>
      </c>
      <c r="C20946">
        <f>ROMAN(20945)</f>
        <v/>
      </c>
      <c r="D20946">
        <f>IF(B20946=C20946, "YES", "WRONG")</f>
        <v/>
      </c>
    </row>
    <row r="20947">
      <c r="A20947" t="n">
        <v>20946</v>
      </c>
      <c r="B20947" t="inlineStr">
        <is>
          <t>x̄x̄CMXLVI</t>
        </is>
      </c>
      <c r="C20947">
        <f>ROMAN(20946)</f>
        <v/>
      </c>
      <c r="D20947">
        <f>IF(B20947=C20947, "YES", "WRONG")</f>
        <v/>
      </c>
    </row>
    <row r="20948">
      <c r="A20948" t="n">
        <v>20947</v>
      </c>
      <c r="B20948" t="inlineStr">
        <is>
          <t>x̄x̄CMXLVII</t>
        </is>
      </c>
      <c r="C20948">
        <f>ROMAN(20947)</f>
        <v/>
      </c>
      <c r="D20948">
        <f>IF(B20948=C20948, "YES", "WRONG")</f>
        <v/>
      </c>
    </row>
    <row r="20949">
      <c r="A20949" t="n">
        <v>20948</v>
      </c>
      <c r="B20949" t="inlineStr">
        <is>
          <t>x̄x̄CMXLVIII</t>
        </is>
      </c>
      <c r="C20949">
        <f>ROMAN(20948)</f>
        <v/>
      </c>
      <c r="D20949">
        <f>IF(B20949=C20949, "YES", "WRONG")</f>
        <v/>
      </c>
    </row>
    <row r="20950">
      <c r="A20950" t="n">
        <v>20949</v>
      </c>
      <c r="B20950" t="inlineStr">
        <is>
          <t>x̄x̄CMXLIX</t>
        </is>
      </c>
      <c r="C20950">
        <f>ROMAN(20949)</f>
        <v/>
      </c>
      <c r="D20950">
        <f>IF(B20950=C20950, "YES", "WRONG")</f>
        <v/>
      </c>
    </row>
    <row r="20951">
      <c r="A20951" t="n">
        <v>20950</v>
      </c>
      <c r="B20951" t="inlineStr">
        <is>
          <t>x̄x̄CML</t>
        </is>
      </c>
      <c r="C20951">
        <f>ROMAN(20950)</f>
        <v/>
      </c>
      <c r="D20951">
        <f>IF(B20951=C20951, "YES", "WRONG")</f>
        <v/>
      </c>
    </row>
    <row r="20952">
      <c r="A20952" t="n">
        <v>20951</v>
      </c>
      <c r="B20952" t="inlineStr">
        <is>
          <t>x̄x̄CMLI</t>
        </is>
      </c>
      <c r="C20952">
        <f>ROMAN(20951)</f>
        <v/>
      </c>
      <c r="D20952">
        <f>IF(B20952=C20952, "YES", "WRONG")</f>
        <v/>
      </c>
    </row>
    <row r="20953">
      <c r="A20953" t="n">
        <v>20952</v>
      </c>
      <c r="B20953" t="inlineStr">
        <is>
          <t>x̄x̄CMLII</t>
        </is>
      </c>
      <c r="C20953">
        <f>ROMAN(20952)</f>
        <v/>
      </c>
      <c r="D20953">
        <f>IF(B20953=C20953, "YES", "WRONG")</f>
        <v/>
      </c>
    </row>
    <row r="20954">
      <c r="A20954" t="n">
        <v>20953</v>
      </c>
      <c r="B20954" t="inlineStr">
        <is>
          <t>x̄x̄CMLIII</t>
        </is>
      </c>
      <c r="C20954">
        <f>ROMAN(20953)</f>
        <v/>
      </c>
      <c r="D20954">
        <f>IF(B20954=C20954, "YES", "WRONG")</f>
        <v/>
      </c>
    </row>
    <row r="20955">
      <c r="A20955" t="n">
        <v>20954</v>
      </c>
      <c r="B20955" t="inlineStr">
        <is>
          <t>x̄x̄CMLIV</t>
        </is>
      </c>
      <c r="C20955">
        <f>ROMAN(20954)</f>
        <v/>
      </c>
      <c r="D20955">
        <f>IF(B20955=C20955, "YES", "WRONG")</f>
        <v/>
      </c>
    </row>
    <row r="20956">
      <c r="A20956" t="n">
        <v>20955</v>
      </c>
      <c r="B20956" t="inlineStr">
        <is>
          <t>x̄x̄CMLV</t>
        </is>
      </c>
      <c r="C20956">
        <f>ROMAN(20955)</f>
        <v/>
      </c>
      <c r="D20956">
        <f>IF(B20956=C20956, "YES", "WRONG")</f>
        <v/>
      </c>
    </row>
    <row r="20957">
      <c r="A20957" t="n">
        <v>20956</v>
      </c>
      <c r="B20957" t="inlineStr">
        <is>
          <t>x̄x̄CMLVI</t>
        </is>
      </c>
      <c r="C20957">
        <f>ROMAN(20956)</f>
        <v/>
      </c>
      <c r="D20957">
        <f>IF(B20957=C20957, "YES", "WRONG")</f>
        <v/>
      </c>
    </row>
    <row r="20958">
      <c r="A20958" t="n">
        <v>20957</v>
      </c>
      <c r="B20958" t="inlineStr">
        <is>
          <t>x̄x̄CMLVII</t>
        </is>
      </c>
      <c r="C20958">
        <f>ROMAN(20957)</f>
        <v/>
      </c>
      <c r="D20958">
        <f>IF(B20958=C20958, "YES", "WRONG")</f>
        <v/>
      </c>
    </row>
    <row r="20959">
      <c r="A20959" t="n">
        <v>20958</v>
      </c>
      <c r="B20959" t="inlineStr">
        <is>
          <t>x̄x̄CMLVIII</t>
        </is>
      </c>
      <c r="C20959">
        <f>ROMAN(20958)</f>
        <v/>
      </c>
      <c r="D20959">
        <f>IF(B20959=C20959, "YES", "WRONG")</f>
        <v/>
      </c>
    </row>
    <row r="20960">
      <c r="A20960" t="n">
        <v>20959</v>
      </c>
      <c r="B20960" t="inlineStr">
        <is>
          <t>x̄x̄CMLIX</t>
        </is>
      </c>
      <c r="C20960">
        <f>ROMAN(20959)</f>
        <v/>
      </c>
      <c r="D20960">
        <f>IF(B20960=C20960, "YES", "WRONG")</f>
        <v/>
      </c>
    </row>
    <row r="20961">
      <c r="A20961" t="n">
        <v>20960</v>
      </c>
      <c r="B20961" t="inlineStr">
        <is>
          <t>x̄x̄CMLX</t>
        </is>
      </c>
      <c r="C20961">
        <f>ROMAN(20960)</f>
        <v/>
      </c>
      <c r="D20961">
        <f>IF(B20961=C20961, "YES", "WRONG")</f>
        <v/>
      </c>
    </row>
    <row r="20962">
      <c r="A20962" t="n">
        <v>20961</v>
      </c>
      <c r="B20962" t="inlineStr">
        <is>
          <t>x̄x̄CMLXI</t>
        </is>
      </c>
      <c r="C20962">
        <f>ROMAN(20961)</f>
        <v/>
      </c>
      <c r="D20962">
        <f>IF(B20962=C20962, "YES", "WRONG")</f>
        <v/>
      </c>
    </row>
    <row r="20963">
      <c r="A20963" t="n">
        <v>20962</v>
      </c>
      <c r="B20963" t="inlineStr">
        <is>
          <t>x̄x̄CMLXII</t>
        </is>
      </c>
      <c r="C20963">
        <f>ROMAN(20962)</f>
        <v/>
      </c>
      <c r="D20963">
        <f>IF(B20963=C20963, "YES", "WRONG")</f>
        <v/>
      </c>
    </row>
    <row r="20964">
      <c r="A20964" t="n">
        <v>20963</v>
      </c>
      <c r="B20964" t="inlineStr">
        <is>
          <t>x̄x̄CMLXIII</t>
        </is>
      </c>
      <c r="C20964">
        <f>ROMAN(20963)</f>
        <v/>
      </c>
      <c r="D20964">
        <f>IF(B20964=C20964, "YES", "WRONG")</f>
        <v/>
      </c>
    </row>
    <row r="20965">
      <c r="A20965" t="n">
        <v>20964</v>
      </c>
      <c r="B20965" t="inlineStr">
        <is>
          <t>x̄x̄CMLXIV</t>
        </is>
      </c>
      <c r="C20965">
        <f>ROMAN(20964)</f>
        <v/>
      </c>
      <c r="D20965">
        <f>IF(B20965=C20965, "YES", "WRONG")</f>
        <v/>
      </c>
    </row>
    <row r="20966">
      <c r="A20966" t="n">
        <v>20965</v>
      </c>
      <c r="B20966" t="inlineStr">
        <is>
          <t>x̄x̄CMLXV</t>
        </is>
      </c>
      <c r="C20966">
        <f>ROMAN(20965)</f>
        <v/>
      </c>
      <c r="D20966">
        <f>IF(B20966=C20966, "YES", "WRONG")</f>
        <v/>
      </c>
    </row>
    <row r="20967">
      <c r="A20967" t="n">
        <v>20966</v>
      </c>
      <c r="B20967" t="inlineStr">
        <is>
          <t>x̄x̄CMLXVI</t>
        </is>
      </c>
      <c r="C20967">
        <f>ROMAN(20966)</f>
        <v/>
      </c>
      <c r="D20967">
        <f>IF(B20967=C20967, "YES", "WRONG")</f>
        <v/>
      </c>
    </row>
    <row r="20968">
      <c r="A20968" t="n">
        <v>20967</v>
      </c>
      <c r="B20968" t="inlineStr">
        <is>
          <t>x̄x̄CMLXVII</t>
        </is>
      </c>
      <c r="C20968">
        <f>ROMAN(20967)</f>
        <v/>
      </c>
      <c r="D20968">
        <f>IF(B20968=C20968, "YES", "WRONG")</f>
        <v/>
      </c>
    </row>
    <row r="20969">
      <c r="A20969" t="n">
        <v>20968</v>
      </c>
      <c r="B20969" t="inlineStr">
        <is>
          <t>x̄x̄CMLXVIII</t>
        </is>
      </c>
      <c r="C20969">
        <f>ROMAN(20968)</f>
        <v/>
      </c>
      <c r="D20969">
        <f>IF(B20969=C20969, "YES", "WRONG")</f>
        <v/>
      </c>
    </row>
    <row r="20970">
      <c r="A20970" t="n">
        <v>20969</v>
      </c>
      <c r="B20970" t="inlineStr">
        <is>
          <t>x̄x̄CMLXIX</t>
        </is>
      </c>
      <c r="C20970">
        <f>ROMAN(20969)</f>
        <v/>
      </c>
      <c r="D20970">
        <f>IF(B20970=C20970, "YES", "WRONG")</f>
        <v/>
      </c>
    </row>
    <row r="20971">
      <c r="A20971" t="n">
        <v>20970</v>
      </c>
      <c r="B20971" t="inlineStr">
        <is>
          <t>x̄x̄CMLXX</t>
        </is>
      </c>
      <c r="C20971">
        <f>ROMAN(20970)</f>
        <v/>
      </c>
      <c r="D20971">
        <f>IF(B20971=C20971, "YES", "WRONG")</f>
        <v/>
      </c>
    </row>
    <row r="20972">
      <c r="A20972" t="n">
        <v>20971</v>
      </c>
      <c r="B20972" t="inlineStr">
        <is>
          <t>x̄x̄CMLXXI</t>
        </is>
      </c>
      <c r="C20972">
        <f>ROMAN(20971)</f>
        <v/>
      </c>
      <c r="D20972">
        <f>IF(B20972=C20972, "YES", "WRONG")</f>
        <v/>
      </c>
    </row>
    <row r="20973">
      <c r="A20973" t="n">
        <v>20972</v>
      </c>
      <c r="B20973" t="inlineStr">
        <is>
          <t>x̄x̄CMLXXII</t>
        </is>
      </c>
      <c r="C20973">
        <f>ROMAN(20972)</f>
        <v/>
      </c>
      <c r="D20973">
        <f>IF(B20973=C20973, "YES", "WRONG")</f>
        <v/>
      </c>
    </row>
    <row r="20974">
      <c r="A20974" t="n">
        <v>20973</v>
      </c>
      <c r="B20974" t="inlineStr">
        <is>
          <t>x̄x̄CMLXXIII</t>
        </is>
      </c>
      <c r="C20974">
        <f>ROMAN(20973)</f>
        <v/>
      </c>
      <c r="D20974">
        <f>IF(B20974=C20974, "YES", "WRONG")</f>
        <v/>
      </c>
    </row>
    <row r="20975">
      <c r="A20975" t="n">
        <v>20974</v>
      </c>
      <c r="B20975" t="inlineStr">
        <is>
          <t>x̄x̄CMLXXIV</t>
        </is>
      </c>
      <c r="C20975">
        <f>ROMAN(20974)</f>
        <v/>
      </c>
      <c r="D20975">
        <f>IF(B20975=C20975, "YES", "WRONG")</f>
        <v/>
      </c>
    </row>
    <row r="20976">
      <c r="A20976" t="n">
        <v>20975</v>
      </c>
      <c r="B20976" t="inlineStr">
        <is>
          <t>x̄x̄CMLXXV</t>
        </is>
      </c>
      <c r="C20976">
        <f>ROMAN(20975)</f>
        <v/>
      </c>
      <c r="D20976">
        <f>IF(B20976=C20976, "YES", "WRONG")</f>
        <v/>
      </c>
    </row>
    <row r="20977">
      <c r="A20977" t="n">
        <v>20976</v>
      </c>
      <c r="B20977" t="inlineStr">
        <is>
          <t>x̄x̄CMLXXVI</t>
        </is>
      </c>
      <c r="C20977">
        <f>ROMAN(20976)</f>
        <v/>
      </c>
      <c r="D20977">
        <f>IF(B20977=C20977, "YES", "WRONG")</f>
        <v/>
      </c>
    </row>
    <row r="20978">
      <c r="A20978" t="n">
        <v>20977</v>
      </c>
      <c r="B20978" t="inlineStr">
        <is>
          <t>x̄x̄CMLXXVII</t>
        </is>
      </c>
      <c r="C20978">
        <f>ROMAN(20977)</f>
        <v/>
      </c>
      <c r="D20978">
        <f>IF(B20978=C20978, "YES", "WRONG")</f>
        <v/>
      </c>
    </row>
    <row r="20979">
      <c r="A20979" t="n">
        <v>20978</v>
      </c>
      <c r="B20979" t="inlineStr">
        <is>
          <t>x̄x̄CMLXXVIII</t>
        </is>
      </c>
      <c r="C20979">
        <f>ROMAN(20978)</f>
        <v/>
      </c>
      <c r="D20979">
        <f>IF(B20979=C20979, "YES", "WRONG")</f>
        <v/>
      </c>
    </row>
    <row r="20980">
      <c r="A20980" t="n">
        <v>20979</v>
      </c>
      <c r="B20980" t="inlineStr">
        <is>
          <t>x̄x̄CMLXXIX</t>
        </is>
      </c>
      <c r="C20980">
        <f>ROMAN(20979)</f>
        <v/>
      </c>
      <c r="D20980">
        <f>IF(B20980=C20980, "YES", "WRONG")</f>
        <v/>
      </c>
    </row>
    <row r="20981">
      <c r="A20981" t="n">
        <v>20980</v>
      </c>
      <c r="B20981" t="inlineStr">
        <is>
          <t>x̄x̄CMLXXX</t>
        </is>
      </c>
      <c r="C20981">
        <f>ROMAN(20980)</f>
        <v/>
      </c>
      <c r="D20981">
        <f>IF(B20981=C20981, "YES", "WRONG")</f>
        <v/>
      </c>
    </row>
    <row r="20982">
      <c r="A20982" t="n">
        <v>20981</v>
      </c>
      <c r="B20982" t="inlineStr">
        <is>
          <t>x̄x̄CMLXXXI</t>
        </is>
      </c>
      <c r="C20982">
        <f>ROMAN(20981)</f>
        <v/>
      </c>
      <c r="D20982">
        <f>IF(B20982=C20982, "YES", "WRONG")</f>
        <v/>
      </c>
    </row>
    <row r="20983">
      <c r="A20983" t="n">
        <v>20982</v>
      </c>
      <c r="B20983" t="inlineStr">
        <is>
          <t>x̄x̄CMLXXXII</t>
        </is>
      </c>
      <c r="C20983">
        <f>ROMAN(20982)</f>
        <v/>
      </c>
      <c r="D20983">
        <f>IF(B20983=C20983, "YES", "WRONG")</f>
        <v/>
      </c>
    </row>
    <row r="20984">
      <c r="A20984" t="n">
        <v>20983</v>
      </c>
      <c r="B20984" t="inlineStr">
        <is>
          <t>x̄x̄CMLXXXIII</t>
        </is>
      </c>
      <c r="C20984">
        <f>ROMAN(20983)</f>
        <v/>
      </c>
      <c r="D20984">
        <f>IF(B20984=C20984, "YES", "WRONG")</f>
        <v/>
      </c>
    </row>
    <row r="20985">
      <c r="A20985" t="n">
        <v>20984</v>
      </c>
      <c r="B20985" t="inlineStr">
        <is>
          <t>x̄x̄CMLXXXIV</t>
        </is>
      </c>
      <c r="C20985">
        <f>ROMAN(20984)</f>
        <v/>
      </c>
      <c r="D20985">
        <f>IF(B20985=C20985, "YES", "WRONG")</f>
        <v/>
      </c>
    </row>
    <row r="20986">
      <c r="A20986" t="n">
        <v>20985</v>
      </c>
      <c r="B20986" t="inlineStr">
        <is>
          <t>x̄x̄CMLXXXV</t>
        </is>
      </c>
      <c r="C20986">
        <f>ROMAN(20985)</f>
        <v/>
      </c>
      <c r="D20986">
        <f>IF(B20986=C20986, "YES", "WRONG")</f>
        <v/>
      </c>
    </row>
    <row r="20987">
      <c r="A20987" t="n">
        <v>20986</v>
      </c>
      <c r="B20987" t="inlineStr">
        <is>
          <t>x̄x̄CMLXXXVI</t>
        </is>
      </c>
      <c r="C20987">
        <f>ROMAN(20986)</f>
        <v/>
      </c>
      <c r="D20987">
        <f>IF(B20987=C20987, "YES", "WRONG")</f>
        <v/>
      </c>
    </row>
    <row r="20988">
      <c r="A20988" t="n">
        <v>20987</v>
      </c>
      <c r="B20988" t="inlineStr">
        <is>
          <t>x̄x̄CMLXXXVII</t>
        </is>
      </c>
      <c r="C20988">
        <f>ROMAN(20987)</f>
        <v/>
      </c>
      <c r="D20988">
        <f>IF(B20988=C20988, "YES", "WRONG")</f>
        <v/>
      </c>
    </row>
    <row r="20989">
      <c r="A20989" t="n">
        <v>20988</v>
      </c>
      <c r="B20989" t="inlineStr">
        <is>
          <t>x̄x̄CMLXXXVIII</t>
        </is>
      </c>
      <c r="C20989">
        <f>ROMAN(20988)</f>
        <v/>
      </c>
      <c r="D20989">
        <f>IF(B20989=C20989, "YES", "WRONG")</f>
        <v/>
      </c>
    </row>
    <row r="20990">
      <c r="A20990" t="n">
        <v>20989</v>
      </c>
      <c r="B20990" t="inlineStr">
        <is>
          <t>x̄x̄CMLXXXIX</t>
        </is>
      </c>
      <c r="C20990">
        <f>ROMAN(20989)</f>
        <v/>
      </c>
      <c r="D20990">
        <f>IF(B20990=C20990, "YES", "WRONG")</f>
        <v/>
      </c>
    </row>
    <row r="20991">
      <c r="A20991" t="n">
        <v>20990</v>
      </c>
      <c r="B20991" t="inlineStr">
        <is>
          <t>x̄x̄CMXC</t>
        </is>
      </c>
      <c r="C20991">
        <f>ROMAN(20990)</f>
        <v/>
      </c>
      <c r="D20991">
        <f>IF(B20991=C20991, "YES", "WRONG")</f>
        <v/>
      </c>
    </row>
    <row r="20992">
      <c r="A20992" t="n">
        <v>20991</v>
      </c>
      <c r="B20992" t="inlineStr">
        <is>
          <t>x̄x̄CMXCI</t>
        </is>
      </c>
      <c r="C20992">
        <f>ROMAN(20991)</f>
        <v/>
      </c>
      <c r="D20992">
        <f>IF(B20992=C20992, "YES", "WRONG")</f>
        <v/>
      </c>
    </row>
    <row r="20993">
      <c r="A20993" t="n">
        <v>20992</v>
      </c>
      <c r="B20993" t="inlineStr">
        <is>
          <t>x̄x̄CMXCII</t>
        </is>
      </c>
      <c r="C20993">
        <f>ROMAN(20992)</f>
        <v/>
      </c>
      <c r="D20993">
        <f>IF(B20993=C20993, "YES", "WRONG")</f>
        <v/>
      </c>
    </row>
    <row r="20994">
      <c r="A20994" t="n">
        <v>20993</v>
      </c>
      <c r="B20994" t="inlineStr">
        <is>
          <t>x̄x̄CMXCIII</t>
        </is>
      </c>
      <c r="C20994">
        <f>ROMAN(20993)</f>
        <v/>
      </c>
      <c r="D20994">
        <f>IF(B20994=C20994, "YES", "WRONG")</f>
        <v/>
      </c>
    </row>
    <row r="20995">
      <c r="A20995" t="n">
        <v>20994</v>
      </c>
      <c r="B20995" t="inlineStr">
        <is>
          <t>x̄x̄CMXCIV</t>
        </is>
      </c>
      <c r="C20995">
        <f>ROMAN(20994)</f>
        <v/>
      </c>
      <c r="D20995">
        <f>IF(B20995=C20995, "YES", "WRONG")</f>
        <v/>
      </c>
    </row>
    <row r="20996">
      <c r="A20996" t="n">
        <v>20995</v>
      </c>
      <c r="B20996" t="inlineStr">
        <is>
          <t>x̄x̄CMXCV</t>
        </is>
      </c>
      <c r="C20996">
        <f>ROMAN(20995)</f>
        <v/>
      </c>
      <c r="D20996">
        <f>IF(B20996=C20996, "YES", "WRONG")</f>
        <v/>
      </c>
    </row>
    <row r="20997">
      <c r="A20997" t="n">
        <v>20996</v>
      </c>
      <c r="B20997" t="inlineStr">
        <is>
          <t>x̄x̄CMXCVI</t>
        </is>
      </c>
      <c r="C20997">
        <f>ROMAN(20996)</f>
        <v/>
      </c>
      <c r="D20997">
        <f>IF(B20997=C20997, "YES", "WRONG")</f>
        <v/>
      </c>
    </row>
    <row r="20998">
      <c r="A20998" t="n">
        <v>20997</v>
      </c>
      <c r="B20998" t="inlineStr">
        <is>
          <t>x̄x̄CMXCVII</t>
        </is>
      </c>
      <c r="C20998">
        <f>ROMAN(20997)</f>
        <v/>
      </c>
      <c r="D20998">
        <f>IF(B20998=C20998, "YES", "WRONG")</f>
        <v/>
      </c>
    </row>
    <row r="20999">
      <c r="A20999" t="n">
        <v>20998</v>
      </c>
      <c r="B20999" t="inlineStr">
        <is>
          <t>x̄x̄CMXCVIII</t>
        </is>
      </c>
      <c r="C20999">
        <f>ROMAN(20998)</f>
        <v/>
      </c>
      <c r="D20999">
        <f>IF(B20999=C20999, "YES", "WRONG")</f>
        <v/>
      </c>
    </row>
    <row r="21000">
      <c r="A21000" t="n">
        <v>20999</v>
      </c>
      <c r="B21000" t="inlineStr">
        <is>
          <t>x̄x̄CMXCIX</t>
        </is>
      </c>
      <c r="C21000">
        <f>ROMAN(20999)</f>
        <v/>
      </c>
      <c r="D21000">
        <f>IF(B21000=C21000, "YES", "WRONG")</f>
        <v/>
      </c>
    </row>
    <row r="21001">
      <c r="A21001" t="n">
        <v>21000</v>
      </c>
      <c r="B21001" t="inlineStr">
        <is>
          <t>x̄x̄M</t>
        </is>
      </c>
      <c r="C21001">
        <f>ROMAN(21000)</f>
        <v/>
      </c>
      <c r="D21001">
        <f>IF(B21001=C21001, "YES", "WRONG")</f>
        <v/>
      </c>
    </row>
    <row r="21002">
      <c r="A21002" t="n">
        <v>21001</v>
      </c>
      <c r="B21002" t="inlineStr">
        <is>
          <t>x̄x̄MI</t>
        </is>
      </c>
      <c r="C21002">
        <f>ROMAN(21001)</f>
        <v/>
      </c>
      <c r="D21002">
        <f>IF(B21002=C21002, "YES", "WRONG")</f>
        <v/>
      </c>
    </row>
    <row r="21003">
      <c r="A21003" t="n">
        <v>21002</v>
      </c>
      <c r="B21003" t="inlineStr">
        <is>
          <t>x̄x̄MII</t>
        </is>
      </c>
      <c r="C21003">
        <f>ROMAN(21002)</f>
        <v/>
      </c>
      <c r="D21003">
        <f>IF(B21003=C21003, "YES", "WRONG")</f>
        <v/>
      </c>
    </row>
    <row r="21004">
      <c r="A21004" t="n">
        <v>21003</v>
      </c>
      <c r="B21004" t="inlineStr">
        <is>
          <t>x̄x̄MIII</t>
        </is>
      </c>
      <c r="C21004">
        <f>ROMAN(21003)</f>
        <v/>
      </c>
      <c r="D21004">
        <f>IF(B21004=C21004, "YES", "WRONG")</f>
        <v/>
      </c>
    </row>
    <row r="21005">
      <c r="A21005" t="n">
        <v>21004</v>
      </c>
      <c r="B21005" t="inlineStr">
        <is>
          <t>x̄x̄MIV</t>
        </is>
      </c>
      <c r="C21005">
        <f>ROMAN(21004)</f>
        <v/>
      </c>
      <c r="D21005">
        <f>IF(B21005=C21005, "YES", "WRONG")</f>
        <v/>
      </c>
    </row>
    <row r="21006">
      <c r="A21006" t="n">
        <v>21005</v>
      </c>
      <c r="B21006" t="inlineStr">
        <is>
          <t>x̄x̄MV</t>
        </is>
      </c>
      <c r="C21006">
        <f>ROMAN(21005)</f>
        <v/>
      </c>
      <c r="D21006">
        <f>IF(B21006=C21006, "YES", "WRONG")</f>
        <v/>
      </c>
    </row>
    <row r="21007">
      <c r="A21007" t="n">
        <v>21006</v>
      </c>
      <c r="B21007" t="inlineStr">
        <is>
          <t>x̄x̄MVI</t>
        </is>
      </c>
      <c r="C21007">
        <f>ROMAN(21006)</f>
        <v/>
      </c>
      <c r="D21007">
        <f>IF(B21007=C21007, "YES", "WRONG")</f>
        <v/>
      </c>
    </row>
    <row r="21008">
      <c r="A21008" t="n">
        <v>21007</v>
      </c>
      <c r="B21008" t="inlineStr">
        <is>
          <t>x̄x̄MVII</t>
        </is>
      </c>
      <c r="C21008">
        <f>ROMAN(21007)</f>
        <v/>
      </c>
      <c r="D21008">
        <f>IF(B21008=C21008, "YES", "WRONG")</f>
        <v/>
      </c>
    </row>
    <row r="21009">
      <c r="A21009" t="n">
        <v>21008</v>
      </c>
      <c r="B21009" t="inlineStr">
        <is>
          <t>x̄x̄MVIII</t>
        </is>
      </c>
      <c r="C21009">
        <f>ROMAN(21008)</f>
        <v/>
      </c>
      <c r="D21009">
        <f>IF(B21009=C21009, "YES", "WRONG")</f>
        <v/>
      </c>
    </row>
    <row r="21010">
      <c r="A21010" t="n">
        <v>21009</v>
      </c>
      <c r="B21010" t="inlineStr">
        <is>
          <t>x̄x̄MIX</t>
        </is>
      </c>
      <c r="C21010">
        <f>ROMAN(21009)</f>
        <v/>
      </c>
      <c r="D21010">
        <f>IF(B21010=C21010, "YES", "WRONG")</f>
        <v/>
      </c>
    </row>
    <row r="21011">
      <c r="A21011" t="n">
        <v>21010</v>
      </c>
      <c r="B21011" t="inlineStr">
        <is>
          <t>x̄x̄MX</t>
        </is>
      </c>
      <c r="C21011">
        <f>ROMAN(21010)</f>
        <v/>
      </c>
      <c r="D21011">
        <f>IF(B21011=C21011, "YES", "WRONG")</f>
        <v/>
      </c>
    </row>
    <row r="21012">
      <c r="A21012" t="n">
        <v>21011</v>
      </c>
      <c r="B21012" t="inlineStr">
        <is>
          <t>x̄x̄MXI</t>
        </is>
      </c>
      <c r="C21012">
        <f>ROMAN(21011)</f>
        <v/>
      </c>
      <c r="D21012">
        <f>IF(B21012=C21012, "YES", "WRONG")</f>
        <v/>
      </c>
    </row>
    <row r="21013">
      <c r="A21013" t="n">
        <v>21012</v>
      </c>
      <c r="B21013" t="inlineStr">
        <is>
          <t>x̄x̄MXII</t>
        </is>
      </c>
      <c r="C21013">
        <f>ROMAN(21012)</f>
        <v/>
      </c>
      <c r="D21013">
        <f>IF(B21013=C21013, "YES", "WRONG")</f>
        <v/>
      </c>
    </row>
    <row r="21014">
      <c r="A21014" t="n">
        <v>21013</v>
      </c>
      <c r="B21014" t="inlineStr">
        <is>
          <t>x̄x̄MXIII</t>
        </is>
      </c>
      <c r="C21014">
        <f>ROMAN(21013)</f>
        <v/>
      </c>
      <c r="D21014">
        <f>IF(B21014=C21014, "YES", "WRONG")</f>
        <v/>
      </c>
    </row>
    <row r="21015">
      <c r="A21015" t="n">
        <v>21014</v>
      </c>
      <c r="B21015" t="inlineStr">
        <is>
          <t>x̄x̄MXIV</t>
        </is>
      </c>
      <c r="C21015">
        <f>ROMAN(21014)</f>
        <v/>
      </c>
      <c r="D21015">
        <f>IF(B21015=C21015, "YES", "WRONG")</f>
        <v/>
      </c>
    </row>
    <row r="21016">
      <c r="A21016" t="n">
        <v>21015</v>
      </c>
      <c r="B21016" t="inlineStr">
        <is>
          <t>x̄x̄MXV</t>
        </is>
      </c>
      <c r="C21016">
        <f>ROMAN(21015)</f>
        <v/>
      </c>
      <c r="D21016">
        <f>IF(B21016=C21016, "YES", "WRONG")</f>
        <v/>
      </c>
    </row>
    <row r="21017">
      <c r="A21017" t="n">
        <v>21016</v>
      </c>
      <c r="B21017" t="inlineStr">
        <is>
          <t>x̄x̄MXVI</t>
        </is>
      </c>
      <c r="C21017">
        <f>ROMAN(21016)</f>
        <v/>
      </c>
      <c r="D21017">
        <f>IF(B21017=C21017, "YES", "WRONG")</f>
        <v/>
      </c>
    </row>
    <row r="21018">
      <c r="A21018" t="n">
        <v>21017</v>
      </c>
      <c r="B21018" t="inlineStr">
        <is>
          <t>x̄x̄MXVII</t>
        </is>
      </c>
      <c r="C21018">
        <f>ROMAN(21017)</f>
        <v/>
      </c>
      <c r="D21018">
        <f>IF(B21018=C21018, "YES", "WRONG")</f>
        <v/>
      </c>
    </row>
    <row r="21019">
      <c r="A21019" t="n">
        <v>21018</v>
      </c>
      <c r="B21019" t="inlineStr">
        <is>
          <t>x̄x̄MXVIII</t>
        </is>
      </c>
      <c r="C21019">
        <f>ROMAN(21018)</f>
        <v/>
      </c>
      <c r="D21019">
        <f>IF(B21019=C21019, "YES", "WRONG")</f>
        <v/>
      </c>
    </row>
    <row r="21020">
      <c r="A21020" t="n">
        <v>21019</v>
      </c>
      <c r="B21020" t="inlineStr">
        <is>
          <t>x̄x̄MXIX</t>
        </is>
      </c>
      <c r="C21020">
        <f>ROMAN(21019)</f>
        <v/>
      </c>
      <c r="D21020">
        <f>IF(B21020=C21020, "YES", "WRONG")</f>
        <v/>
      </c>
    </row>
    <row r="21021">
      <c r="A21021" t="n">
        <v>21020</v>
      </c>
      <c r="B21021" t="inlineStr">
        <is>
          <t>x̄x̄MXX</t>
        </is>
      </c>
      <c r="C21021">
        <f>ROMAN(21020)</f>
        <v/>
      </c>
      <c r="D21021">
        <f>IF(B21021=C21021, "YES", "WRONG")</f>
        <v/>
      </c>
    </row>
    <row r="21022">
      <c r="A21022" t="n">
        <v>21021</v>
      </c>
      <c r="B21022" t="inlineStr">
        <is>
          <t>x̄x̄MXXI</t>
        </is>
      </c>
      <c r="C21022">
        <f>ROMAN(21021)</f>
        <v/>
      </c>
      <c r="D21022">
        <f>IF(B21022=C21022, "YES", "WRONG")</f>
        <v/>
      </c>
    </row>
    <row r="21023">
      <c r="A21023" t="n">
        <v>21022</v>
      </c>
      <c r="B21023" t="inlineStr">
        <is>
          <t>x̄x̄MXXII</t>
        </is>
      </c>
      <c r="C21023">
        <f>ROMAN(21022)</f>
        <v/>
      </c>
      <c r="D21023">
        <f>IF(B21023=C21023, "YES", "WRONG")</f>
        <v/>
      </c>
    </row>
    <row r="21024">
      <c r="A21024" t="n">
        <v>21023</v>
      </c>
      <c r="B21024" t="inlineStr">
        <is>
          <t>x̄x̄MXXIII</t>
        </is>
      </c>
      <c r="C21024">
        <f>ROMAN(21023)</f>
        <v/>
      </c>
      <c r="D21024">
        <f>IF(B21024=C21024, "YES", "WRONG")</f>
        <v/>
      </c>
    </row>
    <row r="21025">
      <c r="A21025" t="n">
        <v>21024</v>
      </c>
      <c r="B21025" t="inlineStr">
        <is>
          <t>x̄x̄MXXIV</t>
        </is>
      </c>
      <c r="C21025">
        <f>ROMAN(21024)</f>
        <v/>
      </c>
      <c r="D21025">
        <f>IF(B21025=C21025, "YES", "WRONG")</f>
        <v/>
      </c>
    </row>
    <row r="21026">
      <c r="A21026" t="n">
        <v>21025</v>
      </c>
      <c r="B21026" t="inlineStr">
        <is>
          <t>x̄x̄MXXV</t>
        </is>
      </c>
      <c r="C21026">
        <f>ROMAN(21025)</f>
        <v/>
      </c>
      <c r="D21026">
        <f>IF(B21026=C21026, "YES", "WRONG")</f>
        <v/>
      </c>
    </row>
    <row r="21027">
      <c r="A21027" t="n">
        <v>21026</v>
      </c>
      <c r="B21027" t="inlineStr">
        <is>
          <t>x̄x̄MXXVI</t>
        </is>
      </c>
      <c r="C21027">
        <f>ROMAN(21026)</f>
        <v/>
      </c>
      <c r="D21027">
        <f>IF(B21027=C21027, "YES", "WRONG")</f>
        <v/>
      </c>
    </row>
    <row r="21028">
      <c r="A21028" t="n">
        <v>21027</v>
      </c>
      <c r="B21028" t="inlineStr">
        <is>
          <t>x̄x̄MXXVII</t>
        </is>
      </c>
      <c r="C21028">
        <f>ROMAN(21027)</f>
        <v/>
      </c>
      <c r="D21028">
        <f>IF(B21028=C21028, "YES", "WRONG")</f>
        <v/>
      </c>
    </row>
    <row r="21029">
      <c r="A21029" t="n">
        <v>21028</v>
      </c>
      <c r="B21029" t="inlineStr">
        <is>
          <t>x̄x̄MXXVIII</t>
        </is>
      </c>
      <c r="C21029">
        <f>ROMAN(21028)</f>
        <v/>
      </c>
      <c r="D21029">
        <f>IF(B21029=C21029, "YES", "WRONG")</f>
        <v/>
      </c>
    </row>
    <row r="21030">
      <c r="A21030" t="n">
        <v>21029</v>
      </c>
      <c r="B21030" t="inlineStr">
        <is>
          <t>x̄x̄MXXIX</t>
        </is>
      </c>
      <c r="C21030">
        <f>ROMAN(21029)</f>
        <v/>
      </c>
      <c r="D21030">
        <f>IF(B21030=C21030, "YES", "WRONG")</f>
        <v/>
      </c>
    </row>
    <row r="21031">
      <c r="A21031" t="n">
        <v>21030</v>
      </c>
      <c r="B21031" t="inlineStr">
        <is>
          <t>x̄x̄MXXX</t>
        </is>
      </c>
      <c r="C21031">
        <f>ROMAN(21030)</f>
        <v/>
      </c>
      <c r="D21031">
        <f>IF(B21031=C21031, "YES", "WRONG")</f>
        <v/>
      </c>
    </row>
    <row r="21032">
      <c r="A21032" t="n">
        <v>21031</v>
      </c>
      <c r="B21032" t="inlineStr">
        <is>
          <t>x̄x̄MXXXI</t>
        </is>
      </c>
      <c r="C21032">
        <f>ROMAN(21031)</f>
        <v/>
      </c>
      <c r="D21032">
        <f>IF(B21032=C21032, "YES", "WRONG")</f>
        <v/>
      </c>
    </row>
    <row r="21033">
      <c r="A21033" t="n">
        <v>21032</v>
      </c>
      <c r="B21033" t="inlineStr">
        <is>
          <t>x̄x̄MXXXII</t>
        </is>
      </c>
      <c r="C21033">
        <f>ROMAN(21032)</f>
        <v/>
      </c>
      <c r="D21033">
        <f>IF(B21033=C21033, "YES", "WRONG")</f>
        <v/>
      </c>
    </row>
    <row r="21034">
      <c r="A21034" t="n">
        <v>21033</v>
      </c>
      <c r="B21034" t="inlineStr">
        <is>
          <t>x̄x̄MXXXIII</t>
        </is>
      </c>
      <c r="C21034">
        <f>ROMAN(21033)</f>
        <v/>
      </c>
      <c r="D21034">
        <f>IF(B21034=C21034, "YES", "WRONG")</f>
        <v/>
      </c>
    </row>
    <row r="21035">
      <c r="A21035" t="n">
        <v>21034</v>
      </c>
      <c r="B21035" t="inlineStr">
        <is>
          <t>x̄x̄MXXXIV</t>
        </is>
      </c>
      <c r="C21035">
        <f>ROMAN(21034)</f>
        <v/>
      </c>
      <c r="D21035">
        <f>IF(B21035=C21035, "YES", "WRONG")</f>
        <v/>
      </c>
    </row>
    <row r="21036">
      <c r="A21036" t="n">
        <v>21035</v>
      </c>
      <c r="B21036" t="inlineStr">
        <is>
          <t>x̄x̄MXXXV</t>
        </is>
      </c>
      <c r="C21036">
        <f>ROMAN(21035)</f>
        <v/>
      </c>
      <c r="D21036">
        <f>IF(B21036=C21036, "YES", "WRONG")</f>
        <v/>
      </c>
    </row>
    <row r="21037">
      <c r="A21037" t="n">
        <v>21036</v>
      </c>
      <c r="B21037" t="inlineStr">
        <is>
          <t>x̄x̄MXXXVI</t>
        </is>
      </c>
      <c r="C21037">
        <f>ROMAN(21036)</f>
        <v/>
      </c>
      <c r="D21037">
        <f>IF(B21037=C21037, "YES", "WRONG")</f>
        <v/>
      </c>
    </row>
    <row r="21038">
      <c r="A21038" t="n">
        <v>21037</v>
      </c>
      <c r="B21038" t="inlineStr">
        <is>
          <t>x̄x̄MXXXVII</t>
        </is>
      </c>
      <c r="C21038">
        <f>ROMAN(21037)</f>
        <v/>
      </c>
      <c r="D21038">
        <f>IF(B21038=C21038, "YES", "WRONG")</f>
        <v/>
      </c>
    </row>
    <row r="21039">
      <c r="A21039" t="n">
        <v>21038</v>
      </c>
      <c r="B21039" t="inlineStr">
        <is>
          <t>x̄x̄MXXXVIII</t>
        </is>
      </c>
      <c r="C21039">
        <f>ROMAN(21038)</f>
        <v/>
      </c>
      <c r="D21039">
        <f>IF(B21039=C21039, "YES", "WRONG")</f>
        <v/>
      </c>
    </row>
    <row r="21040">
      <c r="A21040" t="n">
        <v>21039</v>
      </c>
      <c r="B21040" t="inlineStr">
        <is>
          <t>x̄x̄MXXXIX</t>
        </is>
      </c>
      <c r="C21040">
        <f>ROMAN(21039)</f>
        <v/>
      </c>
      <c r="D21040">
        <f>IF(B21040=C21040, "YES", "WRONG")</f>
        <v/>
      </c>
    </row>
    <row r="21041">
      <c r="A21041" t="n">
        <v>21040</v>
      </c>
      <c r="B21041" t="inlineStr">
        <is>
          <t>x̄x̄MXL</t>
        </is>
      </c>
      <c r="C21041">
        <f>ROMAN(21040)</f>
        <v/>
      </c>
      <c r="D21041">
        <f>IF(B21041=C21041, "YES", "WRONG")</f>
        <v/>
      </c>
    </row>
    <row r="21042">
      <c r="A21042" t="n">
        <v>21041</v>
      </c>
      <c r="B21042" t="inlineStr">
        <is>
          <t>x̄x̄MXLI</t>
        </is>
      </c>
      <c r="C21042">
        <f>ROMAN(21041)</f>
        <v/>
      </c>
      <c r="D21042">
        <f>IF(B21042=C21042, "YES", "WRONG")</f>
        <v/>
      </c>
    </row>
    <row r="21043">
      <c r="A21043" t="n">
        <v>21042</v>
      </c>
      <c r="B21043" t="inlineStr">
        <is>
          <t>x̄x̄MXLII</t>
        </is>
      </c>
      <c r="C21043">
        <f>ROMAN(21042)</f>
        <v/>
      </c>
      <c r="D21043">
        <f>IF(B21043=C21043, "YES", "WRONG")</f>
        <v/>
      </c>
    </row>
    <row r="21044">
      <c r="A21044" t="n">
        <v>21043</v>
      </c>
      <c r="B21044" t="inlineStr">
        <is>
          <t>x̄x̄MXLIII</t>
        </is>
      </c>
      <c r="C21044">
        <f>ROMAN(21043)</f>
        <v/>
      </c>
      <c r="D21044">
        <f>IF(B21044=C21044, "YES", "WRONG")</f>
        <v/>
      </c>
    </row>
    <row r="21045">
      <c r="A21045" t="n">
        <v>21044</v>
      </c>
      <c r="B21045" t="inlineStr">
        <is>
          <t>x̄x̄MXLIV</t>
        </is>
      </c>
      <c r="C21045">
        <f>ROMAN(21044)</f>
        <v/>
      </c>
      <c r="D21045">
        <f>IF(B21045=C21045, "YES", "WRONG")</f>
        <v/>
      </c>
    </row>
    <row r="21046">
      <c r="A21046" t="n">
        <v>21045</v>
      </c>
      <c r="B21046" t="inlineStr">
        <is>
          <t>x̄x̄MXLV</t>
        </is>
      </c>
      <c r="C21046">
        <f>ROMAN(21045)</f>
        <v/>
      </c>
      <c r="D21046">
        <f>IF(B21046=C21046, "YES", "WRONG")</f>
        <v/>
      </c>
    </row>
    <row r="21047">
      <c r="A21047" t="n">
        <v>21046</v>
      </c>
      <c r="B21047" t="inlineStr">
        <is>
          <t>x̄x̄MXLVI</t>
        </is>
      </c>
      <c r="C21047">
        <f>ROMAN(21046)</f>
        <v/>
      </c>
      <c r="D21047">
        <f>IF(B21047=C21047, "YES", "WRONG")</f>
        <v/>
      </c>
    </row>
    <row r="21048">
      <c r="A21048" t="n">
        <v>21047</v>
      </c>
      <c r="B21048" t="inlineStr">
        <is>
          <t>x̄x̄MXLVII</t>
        </is>
      </c>
      <c r="C21048">
        <f>ROMAN(21047)</f>
        <v/>
      </c>
      <c r="D21048">
        <f>IF(B21048=C21048, "YES", "WRONG")</f>
        <v/>
      </c>
    </row>
    <row r="21049">
      <c r="A21049" t="n">
        <v>21048</v>
      </c>
      <c r="B21049" t="inlineStr">
        <is>
          <t>x̄x̄MXLVIII</t>
        </is>
      </c>
      <c r="C21049">
        <f>ROMAN(21048)</f>
        <v/>
      </c>
      <c r="D21049">
        <f>IF(B21049=C21049, "YES", "WRONG")</f>
        <v/>
      </c>
    </row>
    <row r="21050">
      <c r="A21050" t="n">
        <v>21049</v>
      </c>
      <c r="B21050" t="inlineStr">
        <is>
          <t>x̄x̄MXLIX</t>
        </is>
      </c>
      <c r="C21050">
        <f>ROMAN(21049)</f>
        <v/>
      </c>
      <c r="D21050">
        <f>IF(B21050=C21050, "YES", "WRONG")</f>
        <v/>
      </c>
    </row>
    <row r="21051">
      <c r="A21051" t="n">
        <v>21050</v>
      </c>
      <c r="B21051" t="inlineStr">
        <is>
          <t>x̄x̄ML</t>
        </is>
      </c>
      <c r="C21051">
        <f>ROMAN(21050)</f>
        <v/>
      </c>
      <c r="D21051">
        <f>IF(B21051=C21051, "YES", "WRONG")</f>
        <v/>
      </c>
    </row>
    <row r="21052">
      <c r="A21052" t="n">
        <v>21051</v>
      </c>
      <c r="B21052" t="inlineStr">
        <is>
          <t>x̄x̄MLI</t>
        </is>
      </c>
      <c r="C21052">
        <f>ROMAN(21051)</f>
        <v/>
      </c>
      <c r="D21052">
        <f>IF(B21052=C21052, "YES", "WRONG")</f>
        <v/>
      </c>
    </row>
    <row r="21053">
      <c r="A21053" t="n">
        <v>21052</v>
      </c>
      <c r="B21053" t="inlineStr">
        <is>
          <t>x̄x̄MLII</t>
        </is>
      </c>
      <c r="C21053">
        <f>ROMAN(21052)</f>
        <v/>
      </c>
      <c r="D21053">
        <f>IF(B21053=C21053, "YES", "WRONG")</f>
        <v/>
      </c>
    </row>
    <row r="21054">
      <c r="A21054" t="n">
        <v>21053</v>
      </c>
      <c r="B21054" t="inlineStr">
        <is>
          <t>x̄x̄MLIII</t>
        </is>
      </c>
      <c r="C21054">
        <f>ROMAN(21053)</f>
        <v/>
      </c>
      <c r="D21054">
        <f>IF(B21054=C21054, "YES", "WRONG")</f>
        <v/>
      </c>
    </row>
    <row r="21055">
      <c r="A21055" t="n">
        <v>21054</v>
      </c>
      <c r="B21055" t="inlineStr">
        <is>
          <t>x̄x̄MLIV</t>
        </is>
      </c>
      <c r="C21055">
        <f>ROMAN(21054)</f>
        <v/>
      </c>
      <c r="D21055">
        <f>IF(B21055=C21055, "YES", "WRONG")</f>
        <v/>
      </c>
    </row>
    <row r="21056">
      <c r="A21056" t="n">
        <v>21055</v>
      </c>
      <c r="B21056" t="inlineStr">
        <is>
          <t>x̄x̄MLV</t>
        </is>
      </c>
      <c r="C21056">
        <f>ROMAN(21055)</f>
        <v/>
      </c>
      <c r="D21056">
        <f>IF(B21056=C21056, "YES", "WRONG")</f>
        <v/>
      </c>
    </row>
    <row r="21057">
      <c r="A21057" t="n">
        <v>21056</v>
      </c>
      <c r="B21057" t="inlineStr">
        <is>
          <t>x̄x̄MLVI</t>
        </is>
      </c>
      <c r="C21057">
        <f>ROMAN(21056)</f>
        <v/>
      </c>
      <c r="D21057">
        <f>IF(B21057=C21057, "YES", "WRONG")</f>
        <v/>
      </c>
    </row>
    <row r="21058">
      <c r="A21058" t="n">
        <v>21057</v>
      </c>
      <c r="B21058" t="inlineStr">
        <is>
          <t>x̄x̄MLVII</t>
        </is>
      </c>
      <c r="C21058">
        <f>ROMAN(21057)</f>
        <v/>
      </c>
      <c r="D21058">
        <f>IF(B21058=C21058, "YES", "WRONG")</f>
        <v/>
      </c>
    </row>
    <row r="21059">
      <c r="A21059" t="n">
        <v>21058</v>
      </c>
      <c r="B21059" t="inlineStr">
        <is>
          <t>x̄x̄MLVIII</t>
        </is>
      </c>
      <c r="C21059">
        <f>ROMAN(21058)</f>
        <v/>
      </c>
      <c r="D21059">
        <f>IF(B21059=C21059, "YES", "WRONG")</f>
        <v/>
      </c>
    </row>
    <row r="21060">
      <c r="A21060" t="n">
        <v>21059</v>
      </c>
      <c r="B21060" t="inlineStr">
        <is>
          <t>x̄x̄MLIX</t>
        </is>
      </c>
      <c r="C21060">
        <f>ROMAN(21059)</f>
        <v/>
      </c>
      <c r="D21060">
        <f>IF(B21060=C21060, "YES", "WRONG")</f>
        <v/>
      </c>
    </row>
    <row r="21061">
      <c r="A21061" t="n">
        <v>21060</v>
      </c>
      <c r="B21061" t="inlineStr">
        <is>
          <t>x̄x̄MLX</t>
        </is>
      </c>
      <c r="C21061">
        <f>ROMAN(21060)</f>
        <v/>
      </c>
      <c r="D21061">
        <f>IF(B21061=C21061, "YES", "WRONG")</f>
        <v/>
      </c>
    </row>
    <row r="21062">
      <c r="A21062" t="n">
        <v>21061</v>
      </c>
      <c r="B21062" t="inlineStr">
        <is>
          <t>x̄x̄MLXI</t>
        </is>
      </c>
      <c r="C21062">
        <f>ROMAN(21061)</f>
        <v/>
      </c>
      <c r="D21062">
        <f>IF(B21062=C21062, "YES", "WRONG")</f>
        <v/>
      </c>
    </row>
    <row r="21063">
      <c r="A21063" t="n">
        <v>21062</v>
      </c>
      <c r="B21063" t="inlineStr">
        <is>
          <t>x̄x̄MLXII</t>
        </is>
      </c>
      <c r="C21063">
        <f>ROMAN(21062)</f>
        <v/>
      </c>
      <c r="D21063">
        <f>IF(B21063=C21063, "YES", "WRONG")</f>
        <v/>
      </c>
    </row>
    <row r="21064">
      <c r="A21064" t="n">
        <v>21063</v>
      </c>
      <c r="B21064" t="inlineStr">
        <is>
          <t>x̄x̄MLXIII</t>
        </is>
      </c>
      <c r="C21064">
        <f>ROMAN(21063)</f>
        <v/>
      </c>
      <c r="D21064">
        <f>IF(B21064=C21064, "YES", "WRONG")</f>
        <v/>
      </c>
    </row>
    <row r="21065">
      <c r="A21065" t="n">
        <v>21064</v>
      </c>
      <c r="B21065" t="inlineStr">
        <is>
          <t>x̄x̄MLXIV</t>
        </is>
      </c>
      <c r="C21065">
        <f>ROMAN(21064)</f>
        <v/>
      </c>
      <c r="D21065">
        <f>IF(B21065=C21065, "YES", "WRONG")</f>
        <v/>
      </c>
    </row>
    <row r="21066">
      <c r="A21066" t="n">
        <v>21065</v>
      </c>
      <c r="B21066" t="inlineStr">
        <is>
          <t>x̄x̄MLXV</t>
        </is>
      </c>
      <c r="C21066">
        <f>ROMAN(21065)</f>
        <v/>
      </c>
      <c r="D21066">
        <f>IF(B21066=C21066, "YES", "WRONG")</f>
        <v/>
      </c>
    </row>
    <row r="21067">
      <c r="A21067" t="n">
        <v>21066</v>
      </c>
      <c r="B21067" t="inlineStr">
        <is>
          <t>x̄x̄MLXVI</t>
        </is>
      </c>
      <c r="C21067">
        <f>ROMAN(21066)</f>
        <v/>
      </c>
      <c r="D21067">
        <f>IF(B21067=C21067, "YES", "WRONG")</f>
        <v/>
      </c>
    </row>
    <row r="21068">
      <c r="A21068" t="n">
        <v>21067</v>
      </c>
      <c r="B21068" t="inlineStr">
        <is>
          <t>x̄x̄MLXVII</t>
        </is>
      </c>
      <c r="C21068">
        <f>ROMAN(21067)</f>
        <v/>
      </c>
      <c r="D21068">
        <f>IF(B21068=C21068, "YES", "WRONG")</f>
        <v/>
      </c>
    </row>
    <row r="21069">
      <c r="A21069" t="n">
        <v>21068</v>
      </c>
      <c r="B21069" t="inlineStr">
        <is>
          <t>x̄x̄MLXVIII</t>
        </is>
      </c>
      <c r="C21069">
        <f>ROMAN(21068)</f>
        <v/>
      </c>
      <c r="D21069">
        <f>IF(B21069=C21069, "YES", "WRONG")</f>
        <v/>
      </c>
    </row>
    <row r="21070">
      <c r="A21070" t="n">
        <v>21069</v>
      </c>
      <c r="B21070" t="inlineStr">
        <is>
          <t>x̄x̄MLXIX</t>
        </is>
      </c>
      <c r="C21070">
        <f>ROMAN(21069)</f>
        <v/>
      </c>
      <c r="D21070">
        <f>IF(B21070=C21070, "YES", "WRONG")</f>
        <v/>
      </c>
    </row>
    <row r="21071">
      <c r="A21071" t="n">
        <v>21070</v>
      </c>
      <c r="B21071" t="inlineStr">
        <is>
          <t>x̄x̄MLXX</t>
        </is>
      </c>
      <c r="C21071">
        <f>ROMAN(21070)</f>
        <v/>
      </c>
      <c r="D21071">
        <f>IF(B21071=C21071, "YES", "WRONG")</f>
        <v/>
      </c>
    </row>
    <row r="21072">
      <c r="A21072" t="n">
        <v>21071</v>
      </c>
      <c r="B21072" t="inlineStr">
        <is>
          <t>x̄x̄MLXXI</t>
        </is>
      </c>
      <c r="C21072">
        <f>ROMAN(21071)</f>
        <v/>
      </c>
      <c r="D21072">
        <f>IF(B21072=C21072, "YES", "WRONG")</f>
        <v/>
      </c>
    </row>
    <row r="21073">
      <c r="A21073" t="n">
        <v>21072</v>
      </c>
      <c r="B21073" t="inlineStr">
        <is>
          <t>x̄x̄MLXXII</t>
        </is>
      </c>
      <c r="C21073">
        <f>ROMAN(21072)</f>
        <v/>
      </c>
      <c r="D21073">
        <f>IF(B21073=C21073, "YES", "WRONG")</f>
        <v/>
      </c>
    </row>
    <row r="21074">
      <c r="A21074" t="n">
        <v>21073</v>
      </c>
      <c r="B21074" t="inlineStr">
        <is>
          <t>x̄x̄MLXXIII</t>
        </is>
      </c>
      <c r="C21074">
        <f>ROMAN(21073)</f>
        <v/>
      </c>
      <c r="D21074">
        <f>IF(B21074=C21074, "YES", "WRONG")</f>
        <v/>
      </c>
    </row>
    <row r="21075">
      <c r="A21075" t="n">
        <v>21074</v>
      </c>
      <c r="B21075" t="inlineStr">
        <is>
          <t>x̄x̄MLXXIV</t>
        </is>
      </c>
      <c r="C21075">
        <f>ROMAN(21074)</f>
        <v/>
      </c>
      <c r="D21075">
        <f>IF(B21075=C21075, "YES", "WRONG")</f>
        <v/>
      </c>
    </row>
    <row r="21076">
      <c r="A21076" t="n">
        <v>21075</v>
      </c>
      <c r="B21076" t="inlineStr">
        <is>
          <t>x̄x̄MLXXV</t>
        </is>
      </c>
      <c r="C21076">
        <f>ROMAN(21075)</f>
        <v/>
      </c>
      <c r="D21076">
        <f>IF(B21076=C21076, "YES", "WRONG")</f>
        <v/>
      </c>
    </row>
    <row r="21077">
      <c r="A21077" t="n">
        <v>21076</v>
      </c>
      <c r="B21077" t="inlineStr">
        <is>
          <t>x̄x̄MLXXVI</t>
        </is>
      </c>
      <c r="C21077">
        <f>ROMAN(21076)</f>
        <v/>
      </c>
      <c r="D21077">
        <f>IF(B21077=C21077, "YES", "WRONG")</f>
        <v/>
      </c>
    </row>
    <row r="21078">
      <c r="A21078" t="n">
        <v>21077</v>
      </c>
      <c r="B21078" t="inlineStr">
        <is>
          <t>x̄x̄MLXXVII</t>
        </is>
      </c>
      <c r="C21078">
        <f>ROMAN(21077)</f>
        <v/>
      </c>
      <c r="D21078">
        <f>IF(B21078=C21078, "YES", "WRONG")</f>
        <v/>
      </c>
    </row>
    <row r="21079">
      <c r="A21079" t="n">
        <v>21078</v>
      </c>
      <c r="B21079" t="inlineStr">
        <is>
          <t>x̄x̄MLXXVIII</t>
        </is>
      </c>
      <c r="C21079">
        <f>ROMAN(21078)</f>
        <v/>
      </c>
      <c r="D21079">
        <f>IF(B21079=C21079, "YES", "WRONG")</f>
        <v/>
      </c>
    </row>
    <row r="21080">
      <c r="A21080" t="n">
        <v>21079</v>
      </c>
      <c r="B21080" t="inlineStr">
        <is>
          <t>x̄x̄MLXXIX</t>
        </is>
      </c>
      <c r="C21080">
        <f>ROMAN(21079)</f>
        <v/>
      </c>
      <c r="D21080">
        <f>IF(B21080=C21080, "YES", "WRONG")</f>
        <v/>
      </c>
    </row>
    <row r="21081">
      <c r="A21081" t="n">
        <v>21080</v>
      </c>
      <c r="B21081" t="inlineStr">
        <is>
          <t>x̄x̄MLXXX</t>
        </is>
      </c>
      <c r="C21081">
        <f>ROMAN(21080)</f>
        <v/>
      </c>
      <c r="D21081">
        <f>IF(B21081=C21081, "YES", "WRONG")</f>
        <v/>
      </c>
    </row>
    <row r="21082">
      <c r="A21082" t="n">
        <v>21081</v>
      </c>
      <c r="B21082" t="inlineStr">
        <is>
          <t>x̄x̄MLXXXI</t>
        </is>
      </c>
      <c r="C21082">
        <f>ROMAN(21081)</f>
        <v/>
      </c>
      <c r="D21082">
        <f>IF(B21082=C21082, "YES", "WRONG")</f>
        <v/>
      </c>
    </row>
    <row r="21083">
      <c r="A21083" t="n">
        <v>21082</v>
      </c>
      <c r="B21083" t="inlineStr">
        <is>
          <t>x̄x̄MLXXXII</t>
        </is>
      </c>
      <c r="C21083">
        <f>ROMAN(21082)</f>
        <v/>
      </c>
      <c r="D21083">
        <f>IF(B21083=C21083, "YES", "WRONG")</f>
        <v/>
      </c>
    </row>
    <row r="21084">
      <c r="A21084" t="n">
        <v>21083</v>
      </c>
      <c r="B21084" t="inlineStr">
        <is>
          <t>x̄x̄MLXXXIII</t>
        </is>
      </c>
      <c r="C21084">
        <f>ROMAN(21083)</f>
        <v/>
      </c>
      <c r="D21084">
        <f>IF(B21084=C21084, "YES", "WRONG")</f>
        <v/>
      </c>
    </row>
    <row r="21085">
      <c r="A21085" t="n">
        <v>21084</v>
      </c>
      <c r="B21085" t="inlineStr">
        <is>
          <t>x̄x̄MLXXXIV</t>
        </is>
      </c>
      <c r="C21085">
        <f>ROMAN(21084)</f>
        <v/>
      </c>
      <c r="D21085">
        <f>IF(B21085=C21085, "YES", "WRONG")</f>
        <v/>
      </c>
    </row>
    <row r="21086">
      <c r="A21086" t="n">
        <v>21085</v>
      </c>
      <c r="B21086" t="inlineStr">
        <is>
          <t>x̄x̄MLXXXV</t>
        </is>
      </c>
      <c r="C21086">
        <f>ROMAN(21085)</f>
        <v/>
      </c>
      <c r="D21086">
        <f>IF(B21086=C21086, "YES", "WRONG")</f>
        <v/>
      </c>
    </row>
    <row r="21087">
      <c r="A21087" t="n">
        <v>21086</v>
      </c>
      <c r="B21087" t="inlineStr">
        <is>
          <t>x̄x̄MLXXXVI</t>
        </is>
      </c>
      <c r="C21087">
        <f>ROMAN(21086)</f>
        <v/>
      </c>
      <c r="D21087">
        <f>IF(B21087=C21087, "YES", "WRONG")</f>
        <v/>
      </c>
    </row>
    <row r="21088">
      <c r="A21088" t="n">
        <v>21087</v>
      </c>
      <c r="B21088" t="inlineStr">
        <is>
          <t>x̄x̄MLXXXVII</t>
        </is>
      </c>
      <c r="C21088">
        <f>ROMAN(21087)</f>
        <v/>
      </c>
      <c r="D21088">
        <f>IF(B21088=C21088, "YES", "WRONG")</f>
        <v/>
      </c>
    </row>
    <row r="21089">
      <c r="A21089" t="n">
        <v>21088</v>
      </c>
      <c r="B21089" t="inlineStr">
        <is>
          <t>x̄x̄MLXXXVIII</t>
        </is>
      </c>
      <c r="C21089">
        <f>ROMAN(21088)</f>
        <v/>
      </c>
      <c r="D21089">
        <f>IF(B21089=C21089, "YES", "WRONG")</f>
        <v/>
      </c>
    </row>
    <row r="21090">
      <c r="A21090" t="n">
        <v>21089</v>
      </c>
      <c r="B21090" t="inlineStr">
        <is>
          <t>x̄x̄MLXXXIX</t>
        </is>
      </c>
      <c r="C21090">
        <f>ROMAN(21089)</f>
        <v/>
      </c>
      <c r="D21090">
        <f>IF(B21090=C21090, "YES", "WRONG")</f>
        <v/>
      </c>
    </row>
    <row r="21091">
      <c r="A21091" t="n">
        <v>21090</v>
      </c>
      <c r="B21091" t="inlineStr">
        <is>
          <t>x̄x̄MXC</t>
        </is>
      </c>
      <c r="C21091">
        <f>ROMAN(21090)</f>
        <v/>
      </c>
      <c r="D21091">
        <f>IF(B21091=C21091, "YES", "WRONG")</f>
        <v/>
      </c>
    </row>
    <row r="21092">
      <c r="A21092" t="n">
        <v>21091</v>
      </c>
      <c r="B21092" t="inlineStr">
        <is>
          <t>x̄x̄MXCI</t>
        </is>
      </c>
      <c r="C21092">
        <f>ROMAN(21091)</f>
        <v/>
      </c>
      <c r="D21092">
        <f>IF(B21092=C21092, "YES", "WRONG")</f>
        <v/>
      </c>
    </row>
    <row r="21093">
      <c r="A21093" t="n">
        <v>21092</v>
      </c>
      <c r="B21093" t="inlineStr">
        <is>
          <t>x̄x̄MXCII</t>
        </is>
      </c>
      <c r="C21093">
        <f>ROMAN(21092)</f>
        <v/>
      </c>
      <c r="D21093">
        <f>IF(B21093=C21093, "YES", "WRONG")</f>
        <v/>
      </c>
    </row>
    <row r="21094">
      <c r="A21094" t="n">
        <v>21093</v>
      </c>
      <c r="B21094" t="inlineStr">
        <is>
          <t>x̄x̄MXCIII</t>
        </is>
      </c>
      <c r="C21094">
        <f>ROMAN(21093)</f>
        <v/>
      </c>
      <c r="D21094">
        <f>IF(B21094=C21094, "YES", "WRONG")</f>
        <v/>
      </c>
    </row>
    <row r="21095">
      <c r="A21095" t="n">
        <v>21094</v>
      </c>
      <c r="B21095" t="inlineStr">
        <is>
          <t>x̄x̄MXCIV</t>
        </is>
      </c>
      <c r="C21095">
        <f>ROMAN(21094)</f>
        <v/>
      </c>
      <c r="D21095">
        <f>IF(B21095=C21095, "YES", "WRONG")</f>
        <v/>
      </c>
    </row>
    <row r="21096">
      <c r="A21096" t="n">
        <v>21095</v>
      </c>
      <c r="B21096" t="inlineStr">
        <is>
          <t>x̄x̄MXCV</t>
        </is>
      </c>
      <c r="C21096">
        <f>ROMAN(21095)</f>
        <v/>
      </c>
      <c r="D21096">
        <f>IF(B21096=C21096, "YES", "WRONG")</f>
        <v/>
      </c>
    </row>
    <row r="21097">
      <c r="A21097" t="n">
        <v>21096</v>
      </c>
      <c r="B21097" t="inlineStr">
        <is>
          <t>x̄x̄MXCVI</t>
        </is>
      </c>
      <c r="C21097">
        <f>ROMAN(21096)</f>
        <v/>
      </c>
      <c r="D21097">
        <f>IF(B21097=C21097, "YES", "WRONG")</f>
        <v/>
      </c>
    </row>
    <row r="21098">
      <c r="A21098" t="n">
        <v>21097</v>
      </c>
      <c r="B21098" t="inlineStr">
        <is>
          <t>x̄x̄MXCVII</t>
        </is>
      </c>
      <c r="C21098">
        <f>ROMAN(21097)</f>
        <v/>
      </c>
      <c r="D21098">
        <f>IF(B21098=C21098, "YES", "WRONG")</f>
        <v/>
      </c>
    </row>
    <row r="21099">
      <c r="A21099" t="n">
        <v>21098</v>
      </c>
      <c r="B21099" t="inlineStr">
        <is>
          <t>x̄x̄MXCVIII</t>
        </is>
      </c>
      <c r="C21099">
        <f>ROMAN(21098)</f>
        <v/>
      </c>
      <c r="D21099">
        <f>IF(B21099=C21099, "YES", "WRONG")</f>
        <v/>
      </c>
    </row>
    <row r="21100">
      <c r="A21100" t="n">
        <v>21099</v>
      </c>
      <c r="B21100" t="inlineStr">
        <is>
          <t>x̄x̄MXCIX</t>
        </is>
      </c>
      <c r="C21100">
        <f>ROMAN(21099)</f>
        <v/>
      </c>
      <c r="D21100">
        <f>IF(B21100=C21100, "YES", "WRONG")</f>
        <v/>
      </c>
    </row>
    <row r="21101">
      <c r="A21101" t="n">
        <v>21100</v>
      </c>
      <c r="B21101" t="inlineStr">
        <is>
          <t>x̄x̄MC</t>
        </is>
      </c>
      <c r="C21101">
        <f>ROMAN(21100)</f>
        <v/>
      </c>
      <c r="D21101">
        <f>IF(B21101=C21101, "YES", "WRONG")</f>
        <v/>
      </c>
    </row>
    <row r="21102">
      <c r="A21102" t="n">
        <v>21101</v>
      </c>
      <c r="B21102" t="inlineStr">
        <is>
          <t>x̄x̄MCI</t>
        </is>
      </c>
      <c r="C21102">
        <f>ROMAN(21101)</f>
        <v/>
      </c>
      <c r="D21102">
        <f>IF(B21102=C21102, "YES", "WRONG")</f>
        <v/>
      </c>
    </row>
    <row r="21103">
      <c r="A21103" t="n">
        <v>21102</v>
      </c>
      <c r="B21103" t="inlineStr">
        <is>
          <t>x̄x̄MCII</t>
        </is>
      </c>
      <c r="C21103">
        <f>ROMAN(21102)</f>
        <v/>
      </c>
      <c r="D21103">
        <f>IF(B21103=C21103, "YES", "WRONG")</f>
        <v/>
      </c>
    </row>
    <row r="21104">
      <c r="A21104" t="n">
        <v>21103</v>
      </c>
      <c r="B21104" t="inlineStr">
        <is>
          <t>x̄x̄MCIII</t>
        </is>
      </c>
      <c r="C21104">
        <f>ROMAN(21103)</f>
        <v/>
      </c>
      <c r="D21104">
        <f>IF(B21104=C21104, "YES", "WRONG")</f>
        <v/>
      </c>
    </row>
    <row r="21105">
      <c r="A21105" t="n">
        <v>21104</v>
      </c>
      <c r="B21105" t="inlineStr">
        <is>
          <t>x̄x̄MCIV</t>
        </is>
      </c>
      <c r="C21105">
        <f>ROMAN(21104)</f>
        <v/>
      </c>
      <c r="D21105">
        <f>IF(B21105=C21105, "YES", "WRONG")</f>
        <v/>
      </c>
    </row>
    <row r="21106">
      <c r="A21106" t="n">
        <v>21105</v>
      </c>
      <c r="B21106" t="inlineStr">
        <is>
          <t>x̄x̄MCV</t>
        </is>
      </c>
      <c r="C21106">
        <f>ROMAN(21105)</f>
        <v/>
      </c>
      <c r="D21106">
        <f>IF(B21106=C21106, "YES", "WRONG")</f>
        <v/>
      </c>
    </row>
    <row r="21107">
      <c r="A21107" t="n">
        <v>21106</v>
      </c>
      <c r="B21107" t="inlineStr">
        <is>
          <t>x̄x̄MCVI</t>
        </is>
      </c>
      <c r="C21107">
        <f>ROMAN(21106)</f>
        <v/>
      </c>
      <c r="D21107">
        <f>IF(B21107=C21107, "YES", "WRONG")</f>
        <v/>
      </c>
    </row>
    <row r="21108">
      <c r="A21108" t="n">
        <v>21107</v>
      </c>
      <c r="B21108" t="inlineStr">
        <is>
          <t>x̄x̄MCVII</t>
        </is>
      </c>
      <c r="C21108">
        <f>ROMAN(21107)</f>
        <v/>
      </c>
      <c r="D21108">
        <f>IF(B21108=C21108, "YES", "WRONG")</f>
        <v/>
      </c>
    </row>
    <row r="21109">
      <c r="A21109" t="n">
        <v>21108</v>
      </c>
      <c r="B21109" t="inlineStr">
        <is>
          <t>x̄x̄MCVIII</t>
        </is>
      </c>
      <c r="C21109">
        <f>ROMAN(21108)</f>
        <v/>
      </c>
      <c r="D21109">
        <f>IF(B21109=C21109, "YES", "WRONG")</f>
        <v/>
      </c>
    </row>
    <row r="21110">
      <c r="A21110" t="n">
        <v>21109</v>
      </c>
      <c r="B21110" t="inlineStr">
        <is>
          <t>x̄x̄MCIX</t>
        </is>
      </c>
      <c r="C21110">
        <f>ROMAN(21109)</f>
        <v/>
      </c>
      <c r="D21110">
        <f>IF(B21110=C21110, "YES", "WRONG")</f>
        <v/>
      </c>
    </row>
    <row r="21111">
      <c r="A21111" t="n">
        <v>21110</v>
      </c>
      <c r="B21111" t="inlineStr">
        <is>
          <t>x̄x̄MCX</t>
        </is>
      </c>
      <c r="C21111">
        <f>ROMAN(21110)</f>
        <v/>
      </c>
      <c r="D21111">
        <f>IF(B21111=C21111, "YES", "WRONG")</f>
        <v/>
      </c>
    </row>
    <row r="21112">
      <c r="A21112" t="n">
        <v>21111</v>
      </c>
      <c r="B21112" t="inlineStr">
        <is>
          <t>x̄x̄MCXI</t>
        </is>
      </c>
      <c r="C21112">
        <f>ROMAN(21111)</f>
        <v/>
      </c>
      <c r="D21112">
        <f>IF(B21112=C21112, "YES", "WRONG")</f>
        <v/>
      </c>
    </row>
    <row r="21113">
      <c r="A21113" t="n">
        <v>21112</v>
      </c>
      <c r="B21113" t="inlineStr">
        <is>
          <t>x̄x̄MCXII</t>
        </is>
      </c>
      <c r="C21113">
        <f>ROMAN(21112)</f>
        <v/>
      </c>
      <c r="D21113">
        <f>IF(B21113=C21113, "YES", "WRONG")</f>
        <v/>
      </c>
    </row>
    <row r="21114">
      <c r="A21114" t="n">
        <v>21113</v>
      </c>
      <c r="B21114" t="inlineStr">
        <is>
          <t>x̄x̄MCXIII</t>
        </is>
      </c>
      <c r="C21114">
        <f>ROMAN(21113)</f>
        <v/>
      </c>
      <c r="D21114">
        <f>IF(B21114=C21114, "YES", "WRONG")</f>
        <v/>
      </c>
    </row>
    <row r="21115">
      <c r="A21115" t="n">
        <v>21114</v>
      </c>
      <c r="B21115" t="inlineStr">
        <is>
          <t>x̄x̄MCXIV</t>
        </is>
      </c>
      <c r="C21115">
        <f>ROMAN(21114)</f>
        <v/>
      </c>
      <c r="D21115">
        <f>IF(B21115=C21115, "YES", "WRONG")</f>
        <v/>
      </c>
    </row>
    <row r="21116">
      <c r="A21116" t="n">
        <v>21115</v>
      </c>
      <c r="B21116" t="inlineStr">
        <is>
          <t>x̄x̄MCXV</t>
        </is>
      </c>
      <c r="C21116">
        <f>ROMAN(21115)</f>
        <v/>
      </c>
      <c r="D21116">
        <f>IF(B21116=C21116, "YES", "WRONG")</f>
        <v/>
      </c>
    </row>
    <row r="21117">
      <c r="A21117" t="n">
        <v>21116</v>
      </c>
      <c r="B21117" t="inlineStr">
        <is>
          <t>x̄x̄MCXVI</t>
        </is>
      </c>
      <c r="C21117">
        <f>ROMAN(21116)</f>
        <v/>
      </c>
      <c r="D21117">
        <f>IF(B21117=C21117, "YES", "WRONG")</f>
        <v/>
      </c>
    </row>
    <row r="21118">
      <c r="A21118" t="n">
        <v>21117</v>
      </c>
      <c r="B21118" t="inlineStr">
        <is>
          <t>x̄x̄MCXVII</t>
        </is>
      </c>
      <c r="C21118">
        <f>ROMAN(21117)</f>
        <v/>
      </c>
      <c r="D21118">
        <f>IF(B21118=C21118, "YES", "WRONG")</f>
        <v/>
      </c>
    </row>
    <row r="21119">
      <c r="A21119" t="n">
        <v>21118</v>
      </c>
      <c r="B21119" t="inlineStr">
        <is>
          <t>x̄x̄MCXVIII</t>
        </is>
      </c>
      <c r="C21119">
        <f>ROMAN(21118)</f>
        <v/>
      </c>
      <c r="D21119">
        <f>IF(B21119=C21119, "YES", "WRONG")</f>
        <v/>
      </c>
    </row>
    <row r="21120">
      <c r="A21120" t="n">
        <v>21119</v>
      </c>
      <c r="B21120" t="inlineStr">
        <is>
          <t>x̄x̄MCXIX</t>
        </is>
      </c>
      <c r="C21120">
        <f>ROMAN(21119)</f>
        <v/>
      </c>
      <c r="D21120">
        <f>IF(B21120=C21120, "YES", "WRONG")</f>
        <v/>
      </c>
    </row>
    <row r="21121">
      <c r="A21121" t="n">
        <v>21120</v>
      </c>
      <c r="B21121" t="inlineStr">
        <is>
          <t>x̄x̄MCXX</t>
        </is>
      </c>
      <c r="C21121">
        <f>ROMAN(21120)</f>
        <v/>
      </c>
      <c r="D21121">
        <f>IF(B21121=C21121, "YES", "WRONG")</f>
        <v/>
      </c>
    </row>
    <row r="21122">
      <c r="A21122" t="n">
        <v>21121</v>
      </c>
      <c r="B21122" t="inlineStr">
        <is>
          <t>x̄x̄MCXXI</t>
        </is>
      </c>
      <c r="C21122">
        <f>ROMAN(21121)</f>
        <v/>
      </c>
      <c r="D21122">
        <f>IF(B21122=C21122, "YES", "WRONG")</f>
        <v/>
      </c>
    </row>
    <row r="21123">
      <c r="A21123" t="n">
        <v>21122</v>
      </c>
      <c r="B21123" t="inlineStr">
        <is>
          <t>x̄x̄MCXXII</t>
        </is>
      </c>
      <c r="C21123">
        <f>ROMAN(21122)</f>
        <v/>
      </c>
      <c r="D21123">
        <f>IF(B21123=C21123, "YES", "WRONG")</f>
        <v/>
      </c>
    </row>
    <row r="21124">
      <c r="A21124" t="n">
        <v>21123</v>
      </c>
      <c r="B21124" t="inlineStr">
        <is>
          <t>x̄x̄MCXXIII</t>
        </is>
      </c>
      <c r="C21124">
        <f>ROMAN(21123)</f>
        <v/>
      </c>
      <c r="D21124">
        <f>IF(B21124=C21124, "YES", "WRONG")</f>
        <v/>
      </c>
    </row>
    <row r="21125">
      <c r="A21125" t="n">
        <v>21124</v>
      </c>
      <c r="B21125" t="inlineStr">
        <is>
          <t>x̄x̄MCXXIV</t>
        </is>
      </c>
      <c r="C21125">
        <f>ROMAN(21124)</f>
        <v/>
      </c>
      <c r="D21125">
        <f>IF(B21125=C21125, "YES", "WRONG")</f>
        <v/>
      </c>
    </row>
    <row r="21126">
      <c r="A21126" t="n">
        <v>21125</v>
      </c>
      <c r="B21126" t="inlineStr">
        <is>
          <t>x̄x̄MCXXV</t>
        </is>
      </c>
      <c r="C21126">
        <f>ROMAN(21125)</f>
        <v/>
      </c>
      <c r="D21126">
        <f>IF(B21126=C21126, "YES", "WRONG")</f>
        <v/>
      </c>
    </row>
    <row r="21127">
      <c r="A21127" t="n">
        <v>21126</v>
      </c>
      <c r="B21127" t="inlineStr">
        <is>
          <t>x̄x̄MCXXVI</t>
        </is>
      </c>
      <c r="C21127">
        <f>ROMAN(21126)</f>
        <v/>
      </c>
      <c r="D21127">
        <f>IF(B21127=C21127, "YES", "WRONG")</f>
        <v/>
      </c>
    </row>
    <row r="21128">
      <c r="A21128" t="n">
        <v>21127</v>
      </c>
      <c r="B21128" t="inlineStr">
        <is>
          <t>x̄x̄MCXXVII</t>
        </is>
      </c>
      <c r="C21128">
        <f>ROMAN(21127)</f>
        <v/>
      </c>
      <c r="D21128">
        <f>IF(B21128=C21128, "YES", "WRONG")</f>
        <v/>
      </c>
    </row>
    <row r="21129">
      <c r="A21129" t="n">
        <v>21128</v>
      </c>
      <c r="B21129" t="inlineStr">
        <is>
          <t>x̄x̄MCXXVIII</t>
        </is>
      </c>
      <c r="C21129">
        <f>ROMAN(21128)</f>
        <v/>
      </c>
      <c r="D21129">
        <f>IF(B21129=C21129, "YES", "WRONG")</f>
        <v/>
      </c>
    </row>
    <row r="21130">
      <c r="A21130" t="n">
        <v>21129</v>
      </c>
      <c r="B21130" t="inlineStr">
        <is>
          <t>x̄x̄MCXXIX</t>
        </is>
      </c>
      <c r="C21130">
        <f>ROMAN(21129)</f>
        <v/>
      </c>
      <c r="D21130">
        <f>IF(B21130=C21130, "YES", "WRONG")</f>
        <v/>
      </c>
    </row>
    <row r="21131">
      <c r="A21131" t="n">
        <v>21130</v>
      </c>
      <c r="B21131" t="inlineStr">
        <is>
          <t>x̄x̄MCXXX</t>
        </is>
      </c>
      <c r="C21131">
        <f>ROMAN(21130)</f>
        <v/>
      </c>
      <c r="D21131">
        <f>IF(B21131=C21131, "YES", "WRONG")</f>
        <v/>
      </c>
    </row>
    <row r="21132">
      <c r="A21132" t="n">
        <v>21131</v>
      </c>
      <c r="B21132" t="inlineStr">
        <is>
          <t>x̄x̄MCXXXI</t>
        </is>
      </c>
      <c r="C21132">
        <f>ROMAN(21131)</f>
        <v/>
      </c>
      <c r="D21132">
        <f>IF(B21132=C21132, "YES", "WRONG")</f>
        <v/>
      </c>
    </row>
    <row r="21133">
      <c r="A21133" t="n">
        <v>21132</v>
      </c>
      <c r="B21133" t="inlineStr">
        <is>
          <t>x̄x̄MCXXXII</t>
        </is>
      </c>
      <c r="C21133">
        <f>ROMAN(21132)</f>
        <v/>
      </c>
      <c r="D21133">
        <f>IF(B21133=C21133, "YES", "WRONG")</f>
        <v/>
      </c>
    </row>
    <row r="21134">
      <c r="A21134" t="n">
        <v>21133</v>
      </c>
      <c r="B21134" t="inlineStr">
        <is>
          <t>x̄x̄MCXXXIII</t>
        </is>
      </c>
      <c r="C21134">
        <f>ROMAN(21133)</f>
        <v/>
      </c>
      <c r="D21134">
        <f>IF(B21134=C21134, "YES", "WRONG")</f>
        <v/>
      </c>
    </row>
    <row r="21135">
      <c r="A21135" t="n">
        <v>21134</v>
      </c>
      <c r="B21135" t="inlineStr">
        <is>
          <t>x̄x̄MCXXXIV</t>
        </is>
      </c>
      <c r="C21135">
        <f>ROMAN(21134)</f>
        <v/>
      </c>
      <c r="D21135">
        <f>IF(B21135=C21135, "YES", "WRONG")</f>
        <v/>
      </c>
    </row>
    <row r="21136">
      <c r="A21136" t="n">
        <v>21135</v>
      </c>
      <c r="B21136" t="inlineStr">
        <is>
          <t>x̄x̄MCXXXV</t>
        </is>
      </c>
      <c r="C21136">
        <f>ROMAN(21135)</f>
        <v/>
      </c>
      <c r="D21136">
        <f>IF(B21136=C21136, "YES", "WRONG")</f>
        <v/>
      </c>
    </row>
    <row r="21137">
      <c r="A21137" t="n">
        <v>21136</v>
      </c>
      <c r="B21137" t="inlineStr">
        <is>
          <t>x̄x̄MCXXXVI</t>
        </is>
      </c>
      <c r="C21137">
        <f>ROMAN(21136)</f>
        <v/>
      </c>
      <c r="D21137">
        <f>IF(B21137=C21137, "YES", "WRONG")</f>
        <v/>
      </c>
    </row>
    <row r="21138">
      <c r="A21138" t="n">
        <v>21137</v>
      </c>
      <c r="B21138" t="inlineStr">
        <is>
          <t>x̄x̄MCXXXVII</t>
        </is>
      </c>
      <c r="C21138">
        <f>ROMAN(21137)</f>
        <v/>
      </c>
      <c r="D21138">
        <f>IF(B21138=C21138, "YES", "WRONG")</f>
        <v/>
      </c>
    </row>
    <row r="21139">
      <c r="A21139" t="n">
        <v>21138</v>
      </c>
      <c r="B21139" t="inlineStr">
        <is>
          <t>x̄x̄MCXXXVIII</t>
        </is>
      </c>
      <c r="C21139">
        <f>ROMAN(21138)</f>
        <v/>
      </c>
      <c r="D21139">
        <f>IF(B21139=C21139, "YES", "WRONG")</f>
        <v/>
      </c>
    </row>
    <row r="21140">
      <c r="A21140" t="n">
        <v>21139</v>
      </c>
      <c r="B21140" t="inlineStr">
        <is>
          <t>x̄x̄MCXXXIX</t>
        </is>
      </c>
      <c r="C21140">
        <f>ROMAN(21139)</f>
        <v/>
      </c>
      <c r="D21140">
        <f>IF(B21140=C21140, "YES", "WRONG")</f>
        <v/>
      </c>
    </row>
    <row r="21141">
      <c r="A21141" t="n">
        <v>21140</v>
      </c>
      <c r="B21141" t="inlineStr">
        <is>
          <t>x̄x̄MCXL</t>
        </is>
      </c>
      <c r="C21141">
        <f>ROMAN(21140)</f>
        <v/>
      </c>
      <c r="D21141">
        <f>IF(B21141=C21141, "YES", "WRONG")</f>
        <v/>
      </c>
    </row>
    <row r="21142">
      <c r="A21142" t="n">
        <v>21141</v>
      </c>
      <c r="B21142" t="inlineStr">
        <is>
          <t>x̄x̄MCXLI</t>
        </is>
      </c>
      <c r="C21142">
        <f>ROMAN(21141)</f>
        <v/>
      </c>
      <c r="D21142">
        <f>IF(B21142=C21142, "YES", "WRONG")</f>
        <v/>
      </c>
    </row>
    <row r="21143">
      <c r="A21143" t="n">
        <v>21142</v>
      </c>
      <c r="B21143" t="inlineStr">
        <is>
          <t>x̄x̄MCXLII</t>
        </is>
      </c>
      <c r="C21143">
        <f>ROMAN(21142)</f>
        <v/>
      </c>
      <c r="D21143">
        <f>IF(B21143=C21143, "YES", "WRONG")</f>
        <v/>
      </c>
    </row>
    <row r="21144">
      <c r="A21144" t="n">
        <v>21143</v>
      </c>
      <c r="B21144" t="inlineStr">
        <is>
          <t>x̄x̄MCXLIII</t>
        </is>
      </c>
      <c r="C21144">
        <f>ROMAN(21143)</f>
        <v/>
      </c>
      <c r="D21144">
        <f>IF(B21144=C21144, "YES", "WRONG")</f>
        <v/>
      </c>
    </row>
    <row r="21145">
      <c r="A21145" t="n">
        <v>21144</v>
      </c>
      <c r="B21145" t="inlineStr">
        <is>
          <t>x̄x̄MCXLIV</t>
        </is>
      </c>
      <c r="C21145">
        <f>ROMAN(21144)</f>
        <v/>
      </c>
      <c r="D21145">
        <f>IF(B21145=C21145, "YES", "WRONG")</f>
        <v/>
      </c>
    </row>
    <row r="21146">
      <c r="A21146" t="n">
        <v>21145</v>
      </c>
      <c r="B21146" t="inlineStr">
        <is>
          <t>x̄x̄MCXLV</t>
        </is>
      </c>
      <c r="C21146">
        <f>ROMAN(21145)</f>
        <v/>
      </c>
      <c r="D21146">
        <f>IF(B21146=C21146, "YES", "WRONG")</f>
        <v/>
      </c>
    </row>
    <row r="21147">
      <c r="A21147" t="n">
        <v>21146</v>
      </c>
      <c r="B21147" t="inlineStr">
        <is>
          <t>x̄x̄MCXLVI</t>
        </is>
      </c>
      <c r="C21147">
        <f>ROMAN(21146)</f>
        <v/>
      </c>
      <c r="D21147">
        <f>IF(B21147=C21147, "YES", "WRONG")</f>
        <v/>
      </c>
    </row>
    <row r="21148">
      <c r="A21148" t="n">
        <v>21147</v>
      </c>
      <c r="B21148" t="inlineStr">
        <is>
          <t>x̄x̄MCXLVII</t>
        </is>
      </c>
      <c r="C21148">
        <f>ROMAN(21147)</f>
        <v/>
      </c>
      <c r="D21148">
        <f>IF(B21148=C21148, "YES", "WRONG")</f>
        <v/>
      </c>
    </row>
    <row r="21149">
      <c r="A21149" t="n">
        <v>21148</v>
      </c>
      <c r="B21149" t="inlineStr">
        <is>
          <t>x̄x̄MCXLVIII</t>
        </is>
      </c>
      <c r="C21149">
        <f>ROMAN(21148)</f>
        <v/>
      </c>
      <c r="D21149">
        <f>IF(B21149=C21149, "YES", "WRONG")</f>
        <v/>
      </c>
    </row>
    <row r="21150">
      <c r="A21150" t="n">
        <v>21149</v>
      </c>
      <c r="B21150" t="inlineStr">
        <is>
          <t>x̄x̄MCXLIX</t>
        </is>
      </c>
      <c r="C21150">
        <f>ROMAN(21149)</f>
        <v/>
      </c>
      <c r="D21150">
        <f>IF(B21150=C21150, "YES", "WRONG")</f>
        <v/>
      </c>
    </row>
    <row r="21151">
      <c r="A21151" t="n">
        <v>21150</v>
      </c>
      <c r="B21151" t="inlineStr">
        <is>
          <t>x̄x̄MCL</t>
        </is>
      </c>
      <c r="C21151">
        <f>ROMAN(21150)</f>
        <v/>
      </c>
      <c r="D21151">
        <f>IF(B21151=C21151, "YES", "WRONG")</f>
        <v/>
      </c>
    </row>
    <row r="21152">
      <c r="A21152" t="n">
        <v>21151</v>
      </c>
      <c r="B21152" t="inlineStr">
        <is>
          <t>x̄x̄MCLI</t>
        </is>
      </c>
      <c r="C21152">
        <f>ROMAN(21151)</f>
        <v/>
      </c>
      <c r="D21152">
        <f>IF(B21152=C21152, "YES", "WRONG")</f>
        <v/>
      </c>
    </row>
    <row r="21153">
      <c r="A21153" t="n">
        <v>21152</v>
      </c>
      <c r="B21153" t="inlineStr">
        <is>
          <t>x̄x̄MCLII</t>
        </is>
      </c>
      <c r="C21153">
        <f>ROMAN(21152)</f>
        <v/>
      </c>
      <c r="D21153">
        <f>IF(B21153=C21153, "YES", "WRONG")</f>
        <v/>
      </c>
    </row>
    <row r="21154">
      <c r="A21154" t="n">
        <v>21153</v>
      </c>
      <c r="B21154" t="inlineStr">
        <is>
          <t>x̄x̄MCLIII</t>
        </is>
      </c>
      <c r="C21154">
        <f>ROMAN(21153)</f>
        <v/>
      </c>
      <c r="D21154">
        <f>IF(B21154=C21154, "YES", "WRONG")</f>
        <v/>
      </c>
    </row>
    <row r="21155">
      <c r="A21155" t="n">
        <v>21154</v>
      </c>
      <c r="B21155" t="inlineStr">
        <is>
          <t>x̄x̄MCLIV</t>
        </is>
      </c>
      <c r="C21155">
        <f>ROMAN(21154)</f>
        <v/>
      </c>
      <c r="D21155">
        <f>IF(B21155=C21155, "YES", "WRONG")</f>
        <v/>
      </c>
    </row>
    <row r="21156">
      <c r="A21156" t="n">
        <v>21155</v>
      </c>
      <c r="B21156" t="inlineStr">
        <is>
          <t>x̄x̄MCLV</t>
        </is>
      </c>
      <c r="C21156">
        <f>ROMAN(21155)</f>
        <v/>
      </c>
      <c r="D21156">
        <f>IF(B21156=C21156, "YES", "WRONG")</f>
        <v/>
      </c>
    </row>
    <row r="21157">
      <c r="A21157" t="n">
        <v>21156</v>
      </c>
      <c r="B21157" t="inlineStr">
        <is>
          <t>x̄x̄MCLVI</t>
        </is>
      </c>
      <c r="C21157">
        <f>ROMAN(21156)</f>
        <v/>
      </c>
      <c r="D21157">
        <f>IF(B21157=C21157, "YES", "WRONG")</f>
        <v/>
      </c>
    </row>
    <row r="21158">
      <c r="A21158" t="n">
        <v>21157</v>
      </c>
      <c r="B21158" t="inlineStr">
        <is>
          <t>x̄x̄MCLVII</t>
        </is>
      </c>
      <c r="C21158">
        <f>ROMAN(21157)</f>
        <v/>
      </c>
      <c r="D21158">
        <f>IF(B21158=C21158, "YES", "WRONG")</f>
        <v/>
      </c>
    </row>
    <row r="21159">
      <c r="A21159" t="n">
        <v>21158</v>
      </c>
      <c r="B21159" t="inlineStr">
        <is>
          <t>x̄x̄MCLVIII</t>
        </is>
      </c>
      <c r="C21159">
        <f>ROMAN(21158)</f>
        <v/>
      </c>
      <c r="D21159">
        <f>IF(B21159=C21159, "YES", "WRONG")</f>
        <v/>
      </c>
    </row>
    <row r="21160">
      <c r="A21160" t="n">
        <v>21159</v>
      </c>
      <c r="B21160" t="inlineStr">
        <is>
          <t>x̄x̄MCLIX</t>
        </is>
      </c>
      <c r="C21160">
        <f>ROMAN(21159)</f>
        <v/>
      </c>
      <c r="D21160">
        <f>IF(B21160=C21160, "YES", "WRONG")</f>
        <v/>
      </c>
    </row>
    <row r="21161">
      <c r="A21161" t="n">
        <v>21160</v>
      </c>
      <c r="B21161" t="inlineStr">
        <is>
          <t>x̄x̄MCLX</t>
        </is>
      </c>
      <c r="C21161">
        <f>ROMAN(21160)</f>
        <v/>
      </c>
      <c r="D21161">
        <f>IF(B21161=C21161, "YES", "WRONG")</f>
        <v/>
      </c>
    </row>
    <row r="21162">
      <c r="A21162" t="n">
        <v>21161</v>
      </c>
      <c r="B21162" t="inlineStr">
        <is>
          <t>x̄x̄MCLXI</t>
        </is>
      </c>
      <c r="C21162">
        <f>ROMAN(21161)</f>
        <v/>
      </c>
      <c r="D21162">
        <f>IF(B21162=C21162, "YES", "WRONG")</f>
        <v/>
      </c>
    </row>
    <row r="21163">
      <c r="A21163" t="n">
        <v>21162</v>
      </c>
      <c r="B21163" t="inlineStr">
        <is>
          <t>x̄x̄MCLXII</t>
        </is>
      </c>
      <c r="C21163">
        <f>ROMAN(21162)</f>
        <v/>
      </c>
      <c r="D21163">
        <f>IF(B21163=C21163, "YES", "WRONG")</f>
        <v/>
      </c>
    </row>
    <row r="21164">
      <c r="A21164" t="n">
        <v>21163</v>
      </c>
      <c r="B21164" t="inlineStr">
        <is>
          <t>x̄x̄MCLXIII</t>
        </is>
      </c>
      <c r="C21164">
        <f>ROMAN(21163)</f>
        <v/>
      </c>
      <c r="D21164">
        <f>IF(B21164=C21164, "YES", "WRONG")</f>
        <v/>
      </c>
    </row>
    <row r="21165">
      <c r="A21165" t="n">
        <v>21164</v>
      </c>
      <c r="B21165" t="inlineStr">
        <is>
          <t>x̄x̄MCLXIV</t>
        </is>
      </c>
      <c r="C21165">
        <f>ROMAN(21164)</f>
        <v/>
      </c>
      <c r="D21165">
        <f>IF(B21165=C21165, "YES", "WRONG")</f>
        <v/>
      </c>
    </row>
    <row r="21166">
      <c r="A21166" t="n">
        <v>21165</v>
      </c>
      <c r="B21166" t="inlineStr">
        <is>
          <t>x̄x̄MCLXV</t>
        </is>
      </c>
      <c r="C21166">
        <f>ROMAN(21165)</f>
        <v/>
      </c>
      <c r="D21166">
        <f>IF(B21166=C21166, "YES", "WRONG")</f>
        <v/>
      </c>
    </row>
    <row r="21167">
      <c r="A21167" t="n">
        <v>21166</v>
      </c>
      <c r="B21167" t="inlineStr">
        <is>
          <t>x̄x̄MCLXVI</t>
        </is>
      </c>
      <c r="C21167">
        <f>ROMAN(21166)</f>
        <v/>
      </c>
      <c r="D21167">
        <f>IF(B21167=C21167, "YES", "WRONG")</f>
        <v/>
      </c>
    </row>
    <row r="21168">
      <c r="A21168" t="n">
        <v>21167</v>
      </c>
      <c r="B21168" t="inlineStr">
        <is>
          <t>x̄x̄MCLXVII</t>
        </is>
      </c>
      <c r="C21168">
        <f>ROMAN(21167)</f>
        <v/>
      </c>
      <c r="D21168">
        <f>IF(B21168=C21168, "YES", "WRONG")</f>
        <v/>
      </c>
    </row>
    <row r="21169">
      <c r="A21169" t="n">
        <v>21168</v>
      </c>
      <c r="B21169" t="inlineStr">
        <is>
          <t>x̄x̄MCLXVIII</t>
        </is>
      </c>
      <c r="C21169">
        <f>ROMAN(21168)</f>
        <v/>
      </c>
      <c r="D21169">
        <f>IF(B21169=C21169, "YES", "WRONG")</f>
        <v/>
      </c>
    </row>
    <row r="21170">
      <c r="A21170" t="n">
        <v>21169</v>
      </c>
      <c r="B21170" t="inlineStr">
        <is>
          <t>x̄x̄MCLXIX</t>
        </is>
      </c>
      <c r="C21170">
        <f>ROMAN(21169)</f>
        <v/>
      </c>
      <c r="D21170">
        <f>IF(B21170=C21170, "YES", "WRONG")</f>
        <v/>
      </c>
    </row>
    <row r="21171">
      <c r="A21171" t="n">
        <v>21170</v>
      </c>
      <c r="B21171" t="inlineStr">
        <is>
          <t>x̄x̄MCLXX</t>
        </is>
      </c>
      <c r="C21171">
        <f>ROMAN(21170)</f>
        <v/>
      </c>
      <c r="D21171">
        <f>IF(B21171=C21171, "YES", "WRONG")</f>
        <v/>
      </c>
    </row>
    <row r="21172">
      <c r="A21172" t="n">
        <v>21171</v>
      </c>
      <c r="B21172" t="inlineStr">
        <is>
          <t>x̄x̄MCLXXI</t>
        </is>
      </c>
      <c r="C21172">
        <f>ROMAN(21171)</f>
        <v/>
      </c>
      <c r="D21172">
        <f>IF(B21172=C21172, "YES", "WRONG")</f>
        <v/>
      </c>
    </row>
    <row r="21173">
      <c r="A21173" t="n">
        <v>21172</v>
      </c>
      <c r="B21173" t="inlineStr">
        <is>
          <t>x̄x̄MCLXXII</t>
        </is>
      </c>
      <c r="C21173">
        <f>ROMAN(21172)</f>
        <v/>
      </c>
      <c r="D21173">
        <f>IF(B21173=C21173, "YES", "WRONG")</f>
        <v/>
      </c>
    </row>
    <row r="21174">
      <c r="A21174" t="n">
        <v>21173</v>
      </c>
      <c r="B21174" t="inlineStr">
        <is>
          <t>x̄x̄MCLXXIII</t>
        </is>
      </c>
      <c r="C21174">
        <f>ROMAN(21173)</f>
        <v/>
      </c>
      <c r="D21174">
        <f>IF(B21174=C21174, "YES", "WRONG")</f>
        <v/>
      </c>
    </row>
    <row r="21175">
      <c r="A21175" t="n">
        <v>21174</v>
      </c>
      <c r="B21175" t="inlineStr">
        <is>
          <t>x̄x̄MCLXXIV</t>
        </is>
      </c>
      <c r="C21175">
        <f>ROMAN(21174)</f>
        <v/>
      </c>
      <c r="D21175">
        <f>IF(B21175=C21175, "YES", "WRONG")</f>
        <v/>
      </c>
    </row>
    <row r="21176">
      <c r="A21176" t="n">
        <v>21175</v>
      </c>
      <c r="B21176" t="inlineStr">
        <is>
          <t>x̄x̄MCLXXV</t>
        </is>
      </c>
      <c r="C21176">
        <f>ROMAN(21175)</f>
        <v/>
      </c>
      <c r="D21176">
        <f>IF(B21176=C21176, "YES", "WRONG")</f>
        <v/>
      </c>
    </row>
    <row r="21177">
      <c r="A21177" t="n">
        <v>21176</v>
      </c>
      <c r="B21177" t="inlineStr">
        <is>
          <t>x̄x̄MCLXXVI</t>
        </is>
      </c>
      <c r="C21177">
        <f>ROMAN(21176)</f>
        <v/>
      </c>
      <c r="D21177">
        <f>IF(B21177=C21177, "YES", "WRONG")</f>
        <v/>
      </c>
    </row>
    <row r="21178">
      <c r="A21178" t="n">
        <v>21177</v>
      </c>
      <c r="B21178" t="inlineStr">
        <is>
          <t>x̄x̄MCLXXVII</t>
        </is>
      </c>
      <c r="C21178">
        <f>ROMAN(21177)</f>
        <v/>
      </c>
      <c r="D21178">
        <f>IF(B21178=C21178, "YES", "WRONG")</f>
        <v/>
      </c>
    </row>
    <row r="21179">
      <c r="A21179" t="n">
        <v>21178</v>
      </c>
      <c r="B21179" t="inlineStr">
        <is>
          <t>x̄x̄MCLXXVIII</t>
        </is>
      </c>
      <c r="C21179">
        <f>ROMAN(21178)</f>
        <v/>
      </c>
      <c r="D21179">
        <f>IF(B21179=C21179, "YES", "WRONG")</f>
        <v/>
      </c>
    </row>
    <row r="21180">
      <c r="A21180" t="n">
        <v>21179</v>
      </c>
      <c r="B21180" t="inlineStr">
        <is>
          <t>x̄x̄MCLXXIX</t>
        </is>
      </c>
      <c r="C21180">
        <f>ROMAN(21179)</f>
        <v/>
      </c>
      <c r="D21180">
        <f>IF(B21180=C21180, "YES", "WRONG")</f>
        <v/>
      </c>
    </row>
    <row r="21181">
      <c r="A21181" t="n">
        <v>21180</v>
      </c>
      <c r="B21181" t="inlineStr">
        <is>
          <t>x̄x̄MCLXXX</t>
        </is>
      </c>
      <c r="C21181">
        <f>ROMAN(21180)</f>
        <v/>
      </c>
      <c r="D21181">
        <f>IF(B21181=C21181, "YES", "WRONG")</f>
        <v/>
      </c>
    </row>
    <row r="21182">
      <c r="A21182" t="n">
        <v>21181</v>
      </c>
      <c r="B21182" t="inlineStr">
        <is>
          <t>x̄x̄MCLXXXI</t>
        </is>
      </c>
      <c r="C21182">
        <f>ROMAN(21181)</f>
        <v/>
      </c>
      <c r="D21182">
        <f>IF(B21182=C21182, "YES", "WRONG")</f>
        <v/>
      </c>
    </row>
    <row r="21183">
      <c r="A21183" t="n">
        <v>21182</v>
      </c>
      <c r="B21183" t="inlineStr">
        <is>
          <t>x̄x̄MCLXXXII</t>
        </is>
      </c>
      <c r="C21183">
        <f>ROMAN(21182)</f>
        <v/>
      </c>
      <c r="D21183">
        <f>IF(B21183=C21183, "YES", "WRONG")</f>
        <v/>
      </c>
    </row>
    <row r="21184">
      <c r="A21184" t="n">
        <v>21183</v>
      </c>
      <c r="B21184" t="inlineStr">
        <is>
          <t>x̄x̄MCLXXXIII</t>
        </is>
      </c>
      <c r="C21184">
        <f>ROMAN(21183)</f>
        <v/>
      </c>
      <c r="D21184">
        <f>IF(B21184=C21184, "YES", "WRONG")</f>
        <v/>
      </c>
    </row>
    <row r="21185">
      <c r="A21185" t="n">
        <v>21184</v>
      </c>
      <c r="B21185" t="inlineStr">
        <is>
          <t>x̄x̄MCLXXXIV</t>
        </is>
      </c>
      <c r="C21185">
        <f>ROMAN(21184)</f>
        <v/>
      </c>
      <c r="D21185">
        <f>IF(B21185=C21185, "YES", "WRONG")</f>
        <v/>
      </c>
    </row>
    <row r="21186">
      <c r="A21186" t="n">
        <v>21185</v>
      </c>
      <c r="B21186" t="inlineStr">
        <is>
          <t>x̄x̄MCLXXXV</t>
        </is>
      </c>
      <c r="C21186">
        <f>ROMAN(21185)</f>
        <v/>
      </c>
      <c r="D21186">
        <f>IF(B21186=C21186, "YES", "WRONG")</f>
        <v/>
      </c>
    </row>
    <row r="21187">
      <c r="A21187" t="n">
        <v>21186</v>
      </c>
      <c r="B21187" t="inlineStr">
        <is>
          <t>x̄x̄MCLXXXVI</t>
        </is>
      </c>
      <c r="C21187">
        <f>ROMAN(21186)</f>
        <v/>
      </c>
      <c r="D21187">
        <f>IF(B21187=C21187, "YES", "WRONG")</f>
        <v/>
      </c>
    </row>
    <row r="21188">
      <c r="A21188" t="n">
        <v>21187</v>
      </c>
      <c r="B21188" t="inlineStr">
        <is>
          <t>x̄x̄MCLXXXVII</t>
        </is>
      </c>
      <c r="C21188">
        <f>ROMAN(21187)</f>
        <v/>
      </c>
      <c r="D21188">
        <f>IF(B21188=C21188, "YES", "WRONG")</f>
        <v/>
      </c>
    </row>
    <row r="21189">
      <c r="A21189" t="n">
        <v>21188</v>
      </c>
      <c r="B21189" t="inlineStr">
        <is>
          <t>x̄x̄MCLXXXVIII</t>
        </is>
      </c>
      <c r="C21189">
        <f>ROMAN(21188)</f>
        <v/>
      </c>
      <c r="D21189">
        <f>IF(B21189=C21189, "YES", "WRONG")</f>
        <v/>
      </c>
    </row>
    <row r="21190">
      <c r="A21190" t="n">
        <v>21189</v>
      </c>
      <c r="B21190" t="inlineStr">
        <is>
          <t>x̄x̄MCLXXXIX</t>
        </is>
      </c>
      <c r="C21190">
        <f>ROMAN(21189)</f>
        <v/>
      </c>
      <c r="D21190">
        <f>IF(B21190=C21190, "YES", "WRONG")</f>
        <v/>
      </c>
    </row>
    <row r="21191">
      <c r="A21191" t="n">
        <v>21190</v>
      </c>
      <c r="B21191" t="inlineStr">
        <is>
          <t>x̄x̄MCXC</t>
        </is>
      </c>
      <c r="C21191">
        <f>ROMAN(21190)</f>
        <v/>
      </c>
      <c r="D21191">
        <f>IF(B21191=C21191, "YES", "WRONG")</f>
        <v/>
      </c>
    </row>
    <row r="21192">
      <c r="A21192" t="n">
        <v>21191</v>
      </c>
      <c r="B21192" t="inlineStr">
        <is>
          <t>x̄x̄MCXCI</t>
        </is>
      </c>
      <c r="C21192">
        <f>ROMAN(21191)</f>
        <v/>
      </c>
      <c r="D21192">
        <f>IF(B21192=C21192, "YES", "WRONG")</f>
        <v/>
      </c>
    </row>
    <row r="21193">
      <c r="A21193" t="n">
        <v>21192</v>
      </c>
      <c r="B21193" t="inlineStr">
        <is>
          <t>x̄x̄MCXCII</t>
        </is>
      </c>
      <c r="C21193">
        <f>ROMAN(21192)</f>
        <v/>
      </c>
      <c r="D21193">
        <f>IF(B21193=C21193, "YES", "WRONG")</f>
        <v/>
      </c>
    </row>
    <row r="21194">
      <c r="A21194" t="n">
        <v>21193</v>
      </c>
      <c r="B21194" t="inlineStr">
        <is>
          <t>x̄x̄MCXCIII</t>
        </is>
      </c>
      <c r="C21194">
        <f>ROMAN(21193)</f>
        <v/>
      </c>
      <c r="D21194">
        <f>IF(B21194=C21194, "YES", "WRONG")</f>
        <v/>
      </c>
    </row>
    <row r="21195">
      <c r="A21195" t="n">
        <v>21194</v>
      </c>
      <c r="B21195" t="inlineStr">
        <is>
          <t>x̄x̄MCXCIV</t>
        </is>
      </c>
      <c r="C21195">
        <f>ROMAN(21194)</f>
        <v/>
      </c>
      <c r="D21195">
        <f>IF(B21195=C21195, "YES", "WRONG")</f>
        <v/>
      </c>
    </row>
    <row r="21196">
      <c r="A21196" t="n">
        <v>21195</v>
      </c>
      <c r="B21196" t="inlineStr">
        <is>
          <t>x̄x̄MCXCV</t>
        </is>
      </c>
      <c r="C21196">
        <f>ROMAN(21195)</f>
        <v/>
      </c>
      <c r="D21196">
        <f>IF(B21196=C21196, "YES", "WRONG")</f>
        <v/>
      </c>
    </row>
    <row r="21197">
      <c r="A21197" t="n">
        <v>21196</v>
      </c>
      <c r="B21197" t="inlineStr">
        <is>
          <t>x̄x̄MCXCVI</t>
        </is>
      </c>
      <c r="C21197">
        <f>ROMAN(21196)</f>
        <v/>
      </c>
      <c r="D21197">
        <f>IF(B21197=C21197, "YES", "WRONG")</f>
        <v/>
      </c>
    </row>
    <row r="21198">
      <c r="A21198" t="n">
        <v>21197</v>
      </c>
      <c r="B21198" t="inlineStr">
        <is>
          <t>x̄x̄MCXCVII</t>
        </is>
      </c>
      <c r="C21198">
        <f>ROMAN(21197)</f>
        <v/>
      </c>
      <c r="D21198">
        <f>IF(B21198=C21198, "YES", "WRONG")</f>
        <v/>
      </c>
    </row>
    <row r="21199">
      <c r="A21199" t="n">
        <v>21198</v>
      </c>
      <c r="B21199" t="inlineStr">
        <is>
          <t>x̄x̄MCXCVIII</t>
        </is>
      </c>
      <c r="C21199">
        <f>ROMAN(21198)</f>
        <v/>
      </c>
      <c r="D21199">
        <f>IF(B21199=C21199, "YES", "WRONG")</f>
        <v/>
      </c>
    </row>
    <row r="21200">
      <c r="A21200" t="n">
        <v>21199</v>
      </c>
      <c r="B21200" t="inlineStr">
        <is>
          <t>x̄x̄MCXCIX</t>
        </is>
      </c>
      <c r="C21200">
        <f>ROMAN(21199)</f>
        <v/>
      </c>
      <c r="D21200">
        <f>IF(B21200=C21200, "YES", "WRONG")</f>
        <v/>
      </c>
    </row>
    <row r="21201">
      <c r="A21201" t="n">
        <v>21200</v>
      </c>
      <c r="B21201" t="inlineStr">
        <is>
          <t>x̄x̄MCC</t>
        </is>
      </c>
      <c r="C21201">
        <f>ROMAN(21200)</f>
        <v/>
      </c>
      <c r="D21201">
        <f>IF(B21201=C21201, "YES", "WRONG")</f>
        <v/>
      </c>
    </row>
    <row r="21202">
      <c r="A21202" t="n">
        <v>21201</v>
      </c>
      <c r="B21202" t="inlineStr">
        <is>
          <t>x̄x̄MCCI</t>
        </is>
      </c>
      <c r="C21202">
        <f>ROMAN(21201)</f>
        <v/>
      </c>
      <c r="D21202">
        <f>IF(B21202=C21202, "YES", "WRONG")</f>
        <v/>
      </c>
    </row>
    <row r="21203">
      <c r="A21203" t="n">
        <v>21202</v>
      </c>
      <c r="B21203" t="inlineStr">
        <is>
          <t>x̄x̄MCCII</t>
        </is>
      </c>
      <c r="C21203">
        <f>ROMAN(21202)</f>
        <v/>
      </c>
      <c r="D21203">
        <f>IF(B21203=C21203, "YES", "WRONG")</f>
        <v/>
      </c>
    </row>
    <row r="21204">
      <c r="A21204" t="n">
        <v>21203</v>
      </c>
      <c r="B21204" t="inlineStr">
        <is>
          <t>x̄x̄MCCIII</t>
        </is>
      </c>
      <c r="C21204">
        <f>ROMAN(21203)</f>
        <v/>
      </c>
      <c r="D21204">
        <f>IF(B21204=C21204, "YES", "WRONG")</f>
        <v/>
      </c>
    </row>
    <row r="21205">
      <c r="A21205" t="n">
        <v>21204</v>
      </c>
      <c r="B21205" t="inlineStr">
        <is>
          <t>x̄x̄MCCIV</t>
        </is>
      </c>
      <c r="C21205">
        <f>ROMAN(21204)</f>
        <v/>
      </c>
      <c r="D21205">
        <f>IF(B21205=C21205, "YES", "WRONG")</f>
        <v/>
      </c>
    </row>
    <row r="21206">
      <c r="A21206" t="n">
        <v>21205</v>
      </c>
      <c r="B21206" t="inlineStr">
        <is>
          <t>x̄x̄MCCV</t>
        </is>
      </c>
      <c r="C21206">
        <f>ROMAN(21205)</f>
        <v/>
      </c>
      <c r="D21206">
        <f>IF(B21206=C21206, "YES", "WRONG")</f>
        <v/>
      </c>
    </row>
    <row r="21207">
      <c r="A21207" t="n">
        <v>21206</v>
      </c>
      <c r="B21207" t="inlineStr">
        <is>
          <t>x̄x̄MCCVI</t>
        </is>
      </c>
      <c r="C21207">
        <f>ROMAN(21206)</f>
        <v/>
      </c>
      <c r="D21207">
        <f>IF(B21207=C21207, "YES", "WRONG")</f>
        <v/>
      </c>
    </row>
    <row r="21208">
      <c r="A21208" t="n">
        <v>21207</v>
      </c>
      <c r="B21208" t="inlineStr">
        <is>
          <t>x̄x̄MCCVII</t>
        </is>
      </c>
      <c r="C21208">
        <f>ROMAN(21207)</f>
        <v/>
      </c>
      <c r="D21208">
        <f>IF(B21208=C21208, "YES", "WRONG")</f>
        <v/>
      </c>
    </row>
    <row r="21209">
      <c r="A21209" t="n">
        <v>21208</v>
      </c>
      <c r="B21209" t="inlineStr">
        <is>
          <t>x̄x̄MCCVIII</t>
        </is>
      </c>
      <c r="C21209">
        <f>ROMAN(21208)</f>
        <v/>
      </c>
      <c r="D21209">
        <f>IF(B21209=C21209, "YES", "WRONG")</f>
        <v/>
      </c>
    </row>
    <row r="21210">
      <c r="A21210" t="n">
        <v>21209</v>
      </c>
      <c r="B21210" t="inlineStr">
        <is>
          <t>x̄x̄MCCIX</t>
        </is>
      </c>
      <c r="C21210">
        <f>ROMAN(21209)</f>
        <v/>
      </c>
      <c r="D21210">
        <f>IF(B21210=C21210, "YES", "WRONG")</f>
        <v/>
      </c>
    </row>
    <row r="21211">
      <c r="A21211" t="n">
        <v>21210</v>
      </c>
      <c r="B21211" t="inlineStr">
        <is>
          <t>x̄x̄MCCX</t>
        </is>
      </c>
      <c r="C21211">
        <f>ROMAN(21210)</f>
        <v/>
      </c>
      <c r="D21211">
        <f>IF(B21211=C21211, "YES", "WRONG")</f>
        <v/>
      </c>
    </row>
    <row r="21212">
      <c r="A21212" t="n">
        <v>21211</v>
      </c>
      <c r="B21212" t="inlineStr">
        <is>
          <t>x̄x̄MCCXI</t>
        </is>
      </c>
      <c r="C21212">
        <f>ROMAN(21211)</f>
        <v/>
      </c>
      <c r="D21212">
        <f>IF(B21212=C21212, "YES", "WRONG")</f>
        <v/>
      </c>
    </row>
    <row r="21213">
      <c r="A21213" t="n">
        <v>21212</v>
      </c>
      <c r="B21213" t="inlineStr">
        <is>
          <t>x̄x̄MCCXII</t>
        </is>
      </c>
      <c r="C21213">
        <f>ROMAN(21212)</f>
        <v/>
      </c>
      <c r="D21213">
        <f>IF(B21213=C21213, "YES", "WRONG")</f>
        <v/>
      </c>
    </row>
    <row r="21214">
      <c r="A21214" t="n">
        <v>21213</v>
      </c>
      <c r="B21214" t="inlineStr">
        <is>
          <t>x̄x̄MCCXIII</t>
        </is>
      </c>
      <c r="C21214">
        <f>ROMAN(21213)</f>
        <v/>
      </c>
      <c r="D21214">
        <f>IF(B21214=C21214, "YES", "WRONG")</f>
        <v/>
      </c>
    </row>
    <row r="21215">
      <c r="A21215" t="n">
        <v>21214</v>
      </c>
      <c r="B21215" t="inlineStr">
        <is>
          <t>x̄x̄MCCXIV</t>
        </is>
      </c>
      <c r="C21215">
        <f>ROMAN(21214)</f>
        <v/>
      </c>
      <c r="D21215">
        <f>IF(B21215=C21215, "YES", "WRONG")</f>
        <v/>
      </c>
    </row>
    <row r="21216">
      <c r="A21216" t="n">
        <v>21215</v>
      </c>
      <c r="B21216" t="inlineStr">
        <is>
          <t>x̄x̄MCCXV</t>
        </is>
      </c>
      <c r="C21216">
        <f>ROMAN(21215)</f>
        <v/>
      </c>
      <c r="D21216">
        <f>IF(B21216=C21216, "YES", "WRONG")</f>
        <v/>
      </c>
    </row>
    <row r="21217">
      <c r="A21217" t="n">
        <v>21216</v>
      </c>
      <c r="B21217" t="inlineStr">
        <is>
          <t>x̄x̄MCCXVI</t>
        </is>
      </c>
      <c r="C21217">
        <f>ROMAN(21216)</f>
        <v/>
      </c>
      <c r="D21217">
        <f>IF(B21217=C21217, "YES", "WRONG")</f>
        <v/>
      </c>
    </row>
    <row r="21218">
      <c r="A21218" t="n">
        <v>21217</v>
      </c>
      <c r="B21218" t="inlineStr">
        <is>
          <t>x̄x̄MCCXVII</t>
        </is>
      </c>
      <c r="C21218">
        <f>ROMAN(21217)</f>
        <v/>
      </c>
      <c r="D21218">
        <f>IF(B21218=C21218, "YES", "WRONG")</f>
        <v/>
      </c>
    </row>
    <row r="21219">
      <c r="A21219" t="n">
        <v>21218</v>
      </c>
      <c r="B21219" t="inlineStr">
        <is>
          <t>x̄x̄MCCXVIII</t>
        </is>
      </c>
      <c r="C21219">
        <f>ROMAN(21218)</f>
        <v/>
      </c>
      <c r="D21219">
        <f>IF(B21219=C21219, "YES", "WRONG")</f>
        <v/>
      </c>
    </row>
    <row r="21220">
      <c r="A21220" t="n">
        <v>21219</v>
      </c>
      <c r="B21220" t="inlineStr">
        <is>
          <t>x̄x̄MCCXIX</t>
        </is>
      </c>
      <c r="C21220">
        <f>ROMAN(21219)</f>
        <v/>
      </c>
      <c r="D21220">
        <f>IF(B21220=C21220, "YES", "WRONG")</f>
        <v/>
      </c>
    </row>
    <row r="21221">
      <c r="A21221" t="n">
        <v>21220</v>
      </c>
      <c r="B21221" t="inlineStr">
        <is>
          <t>x̄x̄MCCXX</t>
        </is>
      </c>
      <c r="C21221">
        <f>ROMAN(21220)</f>
        <v/>
      </c>
      <c r="D21221">
        <f>IF(B21221=C21221, "YES", "WRONG")</f>
        <v/>
      </c>
    </row>
    <row r="21222">
      <c r="A21222" t="n">
        <v>21221</v>
      </c>
      <c r="B21222" t="inlineStr">
        <is>
          <t>x̄x̄MCCXXI</t>
        </is>
      </c>
      <c r="C21222">
        <f>ROMAN(21221)</f>
        <v/>
      </c>
      <c r="D21222">
        <f>IF(B21222=C21222, "YES", "WRONG")</f>
        <v/>
      </c>
    </row>
    <row r="21223">
      <c r="A21223" t="n">
        <v>21222</v>
      </c>
      <c r="B21223" t="inlineStr">
        <is>
          <t>x̄x̄MCCXXII</t>
        </is>
      </c>
      <c r="C21223">
        <f>ROMAN(21222)</f>
        <v/>
      </c>
      <c r="D21223">
        <f>IF(B21223=C21223, "YES", "WRONG")</f>
        <v/>
      </c>
    </row>
    <row r="21224">
      <c r="A21224" t="n">
        <v>21223</v>
      </c>
      <c r="B21224" t="inlineStr">
        <is>
          <t>x̄x̄MCCXXIII</t>
        </is>
      </c>
      <c r="C21224">
        <f>ROMAN(21223)</f>
        <v/>
      </c>
      <c r="D21224">
        <f>IF(B21224=C21224, "YES", "WRONG")</f>
        <v/>
      </c>
    </row>
    <row r="21225">
      <c r="A21225" t="n">
        <v>21224</v>
      </c>
      <c r="B21225" t="inlineStr">
        <is>
          <t>x̄x̄MCCXXIV</t>
        </is>
      </c>
      <c r="C21225">
        <f>ROMAN(21224)</f>
        <v/>
      </c>
      <c r="D21225">
        <f>IF(B21225=C21225, "YES", "WRONG")</f>
        <v/>
      </c>
    </row>
    <row r="21226">
      <c r="A21226" t="n">
        <v>21225</v>
      </c>
      <c r="B21226" t="inlineStr">
        <is>
          <t>x̄x̄MCCXXV</t>
        </is>
      </c>
      <c r="C21226">
        <f>ROMAN(21225)</f>
        <v/>
      </c>
      <c r="D21226">
        <f>IF(B21226=C21226, "YES", "WRONG")</f>
        <v/>
      </c>
    </row>
    <row r="21227">
      <c r="A21227" t="n">
        <v>21226</v>
      </c>
      <c r="B21227" t="inlineStr">
        <is>
          <t>x̄x̄MCCXXVI</t>
        </is>
      </c>
      <c r="C21227">
        <f>ROMAN(21226)</f>
        <v/>
      </c>
      <c r="D21227">
        <f>IF(B21227=C21227, "YES", "WRONG")</f>
        <v/>
      </c>
    </row>
    <row r="21228">
      <c r="A21228" t="n">
        <v>21227</v>
      </c>
      <c r="B21228" t="inlineStr">
        <is>
          <t>x̄x̄MCCXXVII</t>
        </is>
      </c>
      <c r="C21228">
        <f>ROMAN(21227)</f>
        <v/>
      </c>
      <c r="D21228">
        <f>IF(B21228=C21228, "YES", "WRONG")</f>
        <v/>
      </c>
    </row>
    <row r="21229">
      <c r="A21229" t="n">
        <v>21228</v>
      </c>
      <c r="B21229" t="inlineStr">
        <is>
          <t>x̄x̄MCCXXVIII</t>
        </is>
      </c>
      <c r="C21229">
        <f>ROMAN(21228)</f>
        <v/>
      </c>
      <c r="D21229">
        <f>IF(B21229=C21229, "YES", "WRONG")</f>
        <v/>
      </c>
    </row>
    <row r="21230">
      <c r="A21230" t="n">
        <v>21229</v>
      </c>
      <c r="B21230" t="inlineStr">
        <is>
          <t>x̄x̄MCCXXIX</t>
        </is>
      </c>
      <c r="C21230">
        <f>ROMAN(21229)</f>
        <v/>
      </c>
      <c r="D21230">
        <f>IF(B21230=C21230, "YES", "WRONG")</f>
        <v/>
      </c>
    </row>
    <row r="21231">
      <c r="A21231" t="n">
        <v>21230</v>
      </c>
      <c r="B21231" t="inlineStr">
        <is>
          <t>x̄x̄MCCXXX</t>
        </is>
      </c>
      <c r="C21231">
        <f>ROMAN(21230)</f>
        <v/>
      </c>
      <c r="D21231">
        <f>IF(B21231=C21231, "YES", "WRONG")</f>
        <v/>
      </c>
    </row>
    <row r="21232">
      <c r="A21232" t="n">
        <v>21231</v>
      </c>
      <c r="B21232" t="inlineStr">
        <is>
          <t>x̄x̄MCCXXXI</t>
        </is>
      </c>
      <c r="C21232">
        <f>ROMAN(21231)</f>
        <v/>
      </c>
      <c r="D21232">
        <f>IF(B21232=C21232, "YES", "WRONG")</f>
        <v/>
      </c>
    </row>
    <row r="21233">
      <c r="A21233" t="n">
        <v>21232</v>
      </c>
      <c r="B21233" t="inlineStr">
        <is>
          <t>x̄x̄MCCXXXII</t>
        </is>
      </c>
      <c r="C21233">
        <f>ROMAN(21232)</f>
        <v/>
      </c>
      <c r="D21233">
        <f>IF(B21233=C21233, "YES", "WRONG")</f>
        <v/>
      </c>
    </row>
    <row r="21234">
      <c r="A21234" t="n">
        <v>21233</v>
      </c>
      <c r="B21234" t="inlineStr">
        <is>
          <t>x̄x̄MCCXXXIII</t>
        </is>
      </c>
      <c r="C21234">
        <f>ROMAN(21233)</f>
        <v/>
      </c>
      <c r="D21234">
        <f>IF(B21234=C21234, "YES", "WRONG")</f>
        <v/>
      </c>
    </row>
    <row r="21235">
      <c r="A21235" t="n">
        <v>21234</v>
      </c>
      <c r="B21235" t="inlineStr">
        <is>
          <t>x̄x̄MCCXXXIV</t>
        </is>
      </c>
      <c r="C21235">
        <f>ROMAN(21234)</f>
        <v/>
      </c>
      <c r="D21235">
        <f>IF(B21235=C21235, "YES", "WRONG")</f>
        <v/>
      </c>
    </row>
    <row r="21236">
      <c r="A21236" t="n">
        <v>21235</v>
      </c>
      <c r="B21236" t="inlineStr">
        <is>
          <t>x̄x̄MCCXXXV</t>
        </is>
      </c>
      <c r="C21236">
        <f>ROMAN(21235)</f>
        <v/>
      </c>
      <c r="D21236">
        <f>IF(B21236=C21236, "YES", "WRONG")</f>
        <v/>
      </c>
    </row>
    <row r="21237">
      <c r="A21237" t="n">
        <v>21236</v>
      </c>
      <c r="B21237" t="inlineStr">
        <is>
          <t>x̄x̄MCCXXXVI</t>
        </is>
      </c>
      <c r="C21237">
        <f>ROMAN(21236)</f>
        <v/>
      </c>
      <c r="D21237">
        <f>IF(B21237=C21237, "YES", "WRONG")</f>
        <v/>
      </c>
    </row>
    <row r="21238">
      <c r="A21238" t="n">
        <v>21237</v>
      </c>
      <c r="B21238" t="inlineStr">
        <is>
          <t>x̄x̄MCCXXXVII</t>
        </is>
      </c>
      <c r="C21238">
        <f>ROMAN(21237)</f>
        <v/>
      </c>
      <c r="D21238">
        <f>IF(B21238=C21238, "YES", "WRONG")</f>
        <v/>
      </c>
    </row>
    <row r="21239">
      <c r="A21239" t="n">
        <v>21238</v>
      </c>
      <c r="B21239" t="inlineStr">
        <is>
          <t>x̄x̄MCCXXXVIII</t>
        </is>
      </c>
      <c r="C21239">
        <f>ROMAN(21238)</f>
        <v/>
      </c>
      <c r="D21239">
        <f>IF(B21239=C21239, "YES", "WRONG")</f>
        <v/>
      </c>
    </row>
    <row r="21240">
      <c r="A21240" t="n">
        <v>21239</v>
      </c>
      <c r="B21240" t="inlineStr">
        <is>
          <t>x̄x̄MCCXXXIX</t>
        </is>
      </c>
      <c r="C21240">
        <f>ROMAN(21239)</f>
        <v/>
      </c>
      <c r="D21240">
        <f>IF(B21240=C21240, "YES", "WRONG")</f>
        <v/>
      </c>
    </row>
    <row r="21241">
      <c r="A21241" t="n">
        <v>21240</v>
      </c>
      <c r="B21241" t="inlineStr">
        <is>
          <t>x̄x̄MCCXL</t>
        </is>
      </c>
      <c r="C21241">
        <f>ROMAN(21240)</f>
        <v/>
      </c>
      <c r="D21241">
        <f>IF(B21241=C21241, "YES", "WRONG")</f>
        <v/>
      </c>
    </row>
    <row r="21242">
      <c r="A21242" t="n">
        <v>21241</v>
      </c>
      <c r="B21242" t="inlineStr">
        <is>
          <t>x̄x̄MCCXLI</t>
        </is>
      </c>
      <c r="C21242">
        <f>ROMAN(21241)</f>
        <v/>
      </c>
      <c r="D21242">
        <f>IF(B21242=C21242, "YES", "WRONG")</f>
        <v/>
      </c>
    </row>
    <row r="21243">
      <c r="A21243" t="n">
        <v>21242</v>
      </c>
      <c r="B21243" t="inlineStr">
        <is>
          <t>x̄x̄MCCXLII</t>
        </is>
      </c>
      <c r="C21243">
        <f>ROMAN(21242)</f>
        <v/>
      </c>
      <c r="D21243">
        <f>IF(B21243=C21243, "YES", "WRONG")</f>
        <v/>
      </c>
    </row>
    <row r="21244">
      <c r="A21244" t="n">
        <v>21243</v>
      </c>
      <c r="B21244" t="inlineStr">
        <is>
          <t>x̄x̄MCCXLIII</t>
        </is>
      </c>
      <c r="C21244">
        <f>ROMAN(21243)</f>
        <v/>
      </c>
      <c r="D21244">
        <f>IF(B21244=C21244, "YES", "WRONG")</f>
        <v/>
      </c>
    </row>
    <row r="21245">
      <c r="A21245" t="n">
        <v>21244</v>
      </c>
      <c r="B21245" t="inlineStr">
        <is>
          <t>x̄x̄MCCXLIV</t>
        </is>
      </c>
      <c r="C21245">
        <f>ROMAN(21244)</f>
        <v/>
      </c>
      <c r="D21245">
        <f>IF(B21245=C21245, "YES", "WRONG")</f>
        <v/>
      </c>
    </row>
    <row r="21246">
      <c r="A21246" t="n">
        <v>21245</v>
      </c>
      <c r="B21246" t="inlineStr">
        <is>
          <t>x̄x̄MCCXLV</t>
        </is>
      </c>
      <c r="C21246">
        <f>ROMAN(21245)</f>
        <v/>
      </c>
      <c r="D21246">
        <f>IF(B21246=C21246, "YES", "WRONG")</f>
        <v/>
      </c>
    </row>
    <row r="21247">
      <c r="A21247" t="n">
        <v>21246</v>
      </c>
      <c r="B21247" t="inlineStr">
        <is>
          <t>x̄x̄MCCXLVI</t>
        </is>
      </c>
      <c r="C21247">
        <f>ROMAN(21246)</f>
        <v/>
      </c>
      <c r="D21247">
        <f>IF(B21247=C21247, "YES", "WRONG")</f>
        <v/>
      </c>
    </row>
    <row r="21248">
      <c r="A21248" t="n">
        <v>21247</v>
      </c>
      <c r="B21248" t="inlineStr">
        <is>
          <t>x̄x̄MCCXLVII</t>
        </is>
      </c>
      <c r="C21248">
        <f>ROMAN(21247)</f>
        <v/>
      </c>
      <c r="D21248">
        <f>IF(B21248=C21248, "YES", "WRONG")</f>
        <v/>
      </c>
    </row>
    <row r="21249">
      <c r="A21249" t="n">
        <v>21248</v>
      </c>
      <c r="B21249" t="inlineStr">
        <is>
          <t>x̄x̄MCCXLVIII</t>
        </is>
      </c>
      <c r="C21249">
        <f>ROMAN(21248)</f>
        <v/>
      </c>
      <c r="D21249">
        <f>IF(B21249=C21249, "YES", "WRONG")</f>
        <v/>
      </c>
    </row>
    <row r="21250">
      <c r="A21250" t="n">
        <v>21249</v>
      </c>
      <c r="B21250" t="inlineStr">
        <is>
          <t>x̄x̄MCCXLIX</t>
        </is>
      </c>
      <c r="C21250">
        <f>ROMAN(21249)</f>
        <v/>
      </c>
      <c r="D21250">
        <f>IF(B21250=C21250, "YES", "WRONG")</f>
        <v/>
      </c>
    </row>
    <row r="21251">
      <c r="A21251" t="n">
        <v>21250</v>
      </c>
      <c r="B21251" t="inlineStr">
        <is>
          <t>x̄x̄MCCL</t>
        </is>
      </c>
      <c r="C21251">
        <f>ROMAN(21250)</f>
        <v/>
      </c>
      <c r="D21251">
        <f>IF(B21251=C21251, "YES", "WRONG")</f>
        <v/>
      </c>
    </row>
    <row r="21252">
      <c r="A21252" t="n">
        <v>21251</v>
      </c>
      <c r="B21252" t="inlineStr">
        <is>
          <t>x̄x̄MCCLI</t>
        </is>
      </c>
      <c r="C21252">
        <f>ROMAN(21251)</f>
        <v/>
      </c>
      <c r="D21252">
        <f>IF(B21252=C21252, "YES", "WRONG")</f>
        <v/>
      </c>
    </row>
    <row r="21253">
      <c r="A21253" t="n">
        <v>21252</v>
      </c>
      <c r="B21253" t="inlineStr">
        <is>
          <t>x̄x̄MCCLII</t>
        </is>
      </c>
      <c r="C21253">
        <f>ROMAN(21252)</f>
        <v/>
      </c>
      <c r="D21253">
        <f>IF(B21253=C21253, "YES", "WRONG")</f>
        <v/>
      </c>
    </row>
    <row r="21254">
      <c r="A21254" t="n">
        <v>21253</v>
      </c>
      <c r="B21254" t="inlineStr">
        <is>
          <t>x̄x̄MCCLIII</t>
        </is>
      </c>
      <c r="C21254">
        <f>ROMAN(21253)</f>
        <v/>
      </c>
      <c r="D21254">
        <f>IF(B21254=C21254, "YES", "WRONG")</f>
        <v/>
      </c>
    </row>
    <row r="21255">
      <c r="A21255" t="n">
        <v>21254</v>
      </c>
      <c r="B21255" t="inlineStr">
        <is>
          <t>x̄x̄MCCLIV</t>
        </is>
      </c>
      <c r="C21255">
        <f>ROMAN(21254)</f>
        <v/>
      </c>
      <c r="D21255">
        <f>IF(B21255=C21255, "YES", "WRONG")</f>
        <v/>
      </c>
    </row>
    <row r="21256">
      <c r="A21256" t="n">
        <v>21255</v>
      </c>
      <c r="B21256" t="inlineStr">
        <is>
          <t>x̄x̄MCCLV</t>
        </is>
      </c>
      <c r="C21256">
        <f>ROMAN(21255)</f>
        <v/>
      </c>
      <c r="D21256">
        <f>IF(B21256=C21256, "YES", "WRONG")</f>
        <v/>
      </c>
    </row>
    <row r="21257">
      <c r="A21257" t="n">
        <v>21256</v>
      </c>
      <c r="B21257" t="inlineStr">
        <is>
          <t>x̄x̄MCCLVI</t>
        </is>
      </c>
      <c r="C21257">
        <f>ROMAN(21256)</f>
        <v/>
      </c>
      <c r="D21257">
        <f>IF(B21257=C21257, "YES", "WRONG")</f>
        <v/>
      </c>
    </row>
    <row r="21258">
      <c r="A21258" t="n">
        <v>21257</v>
      </c>
      <c r="B21258" t="inlineStr">
        <is>
          <t>x̄x̄MCCLVII</t>
        </is>
      </c>
      <c r="C21258">
        <f>ROMAN(21257)</f>
        <v/>
      </c>
      <c r="D21258">
        <f>IF(B21258=C21258, "YES", "WRONG")</f>
        <v/>
      </c>
    </row>
    <row r="21259">
      <c r="A21259" t="n">
        <v>21258</v>
      </c>
      <c r="B21259" t="inlineStr">
        <is>
          <t>x̄x̄MCCLVIII</t>
        </is>
      </c>
      <c r="C21259">
        <f>ROMAN(21258)</f>
        <v/>
      </c>
      <c r="D21259">
        <f>IF(B21259=C21259, "YES", "WRONG")</f>
        <v/>
      </c>
    </row>
    <row r="21260">
      <c r="A21260" t="n">
        <v>21259</v>
      </c>
      <c r="B21260" t="inlineStr">
        <is>
          <t>x̄x̄MCCLIX</t>
        </is>
      </c>
      <c r="C21260">
        <f>ROMAN(21259)</f>
        <v/>
      </c>
      <c r="D21260">
        <f>IF(B21260=C21260, "YES", "WRONG")</f>
        <v/>
      </c>
    </row>
    <row r="21261">
      <c r="A21261" t="n">
        <v>21260</v>
      </c>
      <c r="B21261" t="inlineStr">
        <is>
          <t>x̄x̄MCCLX</t>
        </is>
      </c>
      <c r="C21261">
        <f>ROMAN(21260)</f>
        <v/>
      </c>
      <c r="D21261">
        <f>IF(B21261=C21261, "YES", "WRONG")</f>
        <v/>
      </c>
    </row>
    <row r="21262">
      <c r="A21262" t="n">
        <v>21261</v>
      </c>
      <c r="B21262" t="inlineStr">
        <is>
          <t>x̄x̄MCCLXI</t>
        </is>
      </c>
      <c r="C21262">
        <f>ROMAN(21261)</f>
        <v/>
      </c>
      <c r="D21262">
        <f>IF(B21262=C21262, "YES", "WRONG")</f>
        <v/>
      </c>
    </row>
    <row r="21263">
      <c r="A21263" t="n">
        <v>21262</v>
      </c>
      <c r="B21263" t="inlineStr">
        <is>
          <t>x̄x̄MCCLXII</t>
        </is>
      </c>
      <c r="C21263">
        <f>ROMAN(21262)</f>
        <v/>
      </c>
      <c r="D21263">
        <f>IF(B21263=C21263, "YES", "WRONG")</f>
        <v/>
      </c>
    </row>
    <row r="21264">
      <c r="A21264" t="n">
        <v>21263</v>
      </c>
      <c r="B21264" t="inlineStr">
        <is>
          <t>x̄x̄MCCLXIII</t>
        </is>
      </c>
      <c r="C21264">
        <f>ROMAN(21263)</f>
        <v/>
      </c>
      <c r="D21264">
        <f>IF(B21264=C21264, "YES", "WRONG")</f>
        <v/>
      </c>
    </row>
    <row r="21265">
      <c r="A21265" t="n">
        <v>21264</v>
      </c>
      <c r="B21265" t="inlineStr">
        <is>
          <t>x̄x̄MCCLXIV</t>
        </is>
      </c>
      <c r="C21265">
        <f>ROMAN(21264)</f>
        <v/>
      </c>
      <c r="D21265">
        <f>IF(B21265=C21265, "YES", "WRONG")</f>
        <v/>
      </c>
    </row>
    <row r="21266">
      <c r="A21266" t="n">
        <v>21265</v>
      </c>
      <c r="B21266" t="inlineStr">
        <is>
          <t>x̄x̄MCCLXV</t>
        </is>
      </c>
      <c r="C21266">
        <f>ROMAN(21265)</f>
        <v/>
      </c>
      <c r="D21266">
        <f>IF(B21266=C21266, "YES", "WRONG")</f>
        <v/>
      </c>
    </row>
    <row r="21267">
      <c r="A21267" t="n">
        <v>21266</v>
      </c>
      <c r="B21267" t="inlineStr">
        <is>
          <t>x̄x̄MCCLXVI</t>
        </is>
      </c>
      <c r="C21267">
        <f>ROMAN(21266)</f>
        <v/>
      </c>
      <c r="D21267">
        <f>IF(B21267=C21267, "YES", "WRONG")</f>
        <v/>
      </c>
    </row>
    <row r="21268">
      <c r="A21268" t="n">
        <v>21267</v>
      </c>
      <c r="B21268" t="inlineStr">
        <is>
          <t>x̄x̄MCCLXVII</t>
        </is>
      </c>
      <c r="C21268">
        <f>ROMAN(21267)</f>
        <v/>
      </c>
      <c r="D21268">
        <f>IF(B21268=C21268, "YES", "WRONG")</f>
        <v/>
      </c>
    </row>
    <row r="21269">
      <c r="A21269" t="n">
        <v>21268</v>
      </c>
      <c r="B21269" t="inlineStr">
        <is>
          <t>x̄x̄MCCLXVIII</t>
        </is>
      </c>
      <c r="C21269">
        <f>ROMAN(21268)</f>
        <v/>
      </c>
      <c r="D21269">
        <f>IF(B21269=C21269, "YES", "WRONG")</f>
        <v/>
      </c>
    </row>
    <row r="21270">
      <c r="A21270" t="n">
        <v>21269</v>
      </c>
      <c r="B21270" t="inlineStr">
        <is>
          <t>x̄x̄MCCLXIX</t>
        </is>
      </c>
      <c r="C21270">
        <f>ROMAN(21269)</f>
        <v/>
      </c>
      <c r="D21270">
        <f>IF(B21270=C21270, "YES", "WRONG")</f>
        <v/>
      </c>
    </row>
    <row r="21271">
      <c r="A21271" t="n">
        <v>21270</v>
      </c>
      <c r="B21271" t="inlineStr">
        <is>
          <t>x̄x̄MCCLXX</t>
        </is>
      </c>
      <c r="C21271">
        <f>ROMAN(21270)</f>
        <v/>
      </c>
      <c r="D21271">
        <f>IF(B21271=C21271, "YES", "WRONG")</f>
        <v/>
      </c>
    </row>
    <row r="21272">
      <c r="A21272" t="n">
        <v>21271</v>
      </c>
      <c r="B21272" t="inlineStr">
        <is>
          <t>x̄x̄MCCLXXI</t>
        </is>
      </c>
      <c r="C21272">
        <f>ROMAN(21271)</f>
        <v/>
      </c>
      <c r="D21272">
        <f>IF(B21272=C21272, "YES", "WRONG")</f>
        <v/>
      </c>
    </row>
    <row r="21273">
      <c r="A21273" t="n">
        <v>21272</v>
      </c>
      <c r="B21273" t="inlineStr">
        <is>
          <t>x̄x̄MCCLXXII</t>
        </is>
      </c>
      <c r="C21273">
        <f>ROMAN(21272)</f>
        <v/>
      </c>
      <c r="D21273">
        <f>IF(B21273=C21273, "YES", "WRONG")</f>
        <v/>
      </c>
    </row>
    <row r="21274">
      <c r="A21274" t="n">
        <v>21273</v>
      </c>
      <c r="B21274" t="inlineStr">
        <is>
          <t>x̄x̄MCCLXXIII</t>
        </is>
      </c>
      <c r="C21274">
        <f>ROMAN(21273)</f>
        <v/>
      </c>
      <c r="D21274">
        <f>IF(B21274=C21274, "YES", "WRONG")</f>
        <v/>
      </c>
    </row>
    <row r="21275">
      <c r="A21275" t="n">
        <v>21274</v>
      </c>
      <c r="B21275" t="inlineStr">
        <is>
          <t>x̄x̄MCCLXXIV</t>
        </is>
      </c>
      <c r="C21275">
        <f>ROMAN(21274)</f>
        <v/>
      </c>
      <c r="D21275">
        <f>IF(B21275=C21275, "YES", "WRONG")</f>
        <v/>
      </c>
    </row>
    <row r="21276">
      <c r="A21276" t="n">
        <v>21275</v>
      </c>
      <c r="B21276" t="inlineStr">
        <is>
          <t>x̄x̄MCCLXXV</t>
        </is>
      </c>
      <c r="C21276">
        <f>ROMAN(21275)</f>
        <v/>
      </c>
      <c r="D21276">
        <f>IF(B21276=C21276, "YES", "WRONG")</f>
        <v/>
      </c>
    </row>
    <row r="21277">
      <c r="A21277" t="n">
        <v>21276</v>
      </c>
      <c r="B21277" t="inlineStr">
        <is>
          <t>x̄x̄MCCLXXVI</t>
        </is>
      </c>
      <c r="C21277">
        <f>ROMAN(21276)</f>
        <v/>
      </c>
      <c r="D21277">
        <f>IF(B21277=C21277, "YES", "WRONG")</f>
        <v/>
      </c>
    </row>
    <row r="21278">
      <c r="A21278" t="n">
        <v>21277</v>
      </c>
      <c r="B21278" t="inlineStr">
        <is>
          <t>x̄x̄MCCLXXVII</t>
        </is>
      </c>
      <c r="C21278">
        <f>ROMAN(21277)</f>
        <v/>
      </c>
      <c r="D21278">
        <f>IF(B21278=C21278, "YES", "WRONG")</f>
        <v/>
      </c>
    </row>
    <row r="21279">
      <c r="A21279" t="n">
        <v>21278</v>
      </c>
      <c r="B21279" t="inlineStr">
        <is>
          <t>x̄x̄MCCLXXVIII</t>
        </is>
      </c>
      <c r="C21279">
        <f>ROMAN(21278)</f>
        <v/>
      </c>
      <c r="D21279">
        <f>IF(B21279=C21279, "YES", "WRONG")</f>
        <v/>
      </c>
    </row>
    <row r="21280">
      <c r="A21280" t="n">
        <v>21279</v>
      </c>
      <c r="B21280" t="inlineStr">
        <is>
          <t>x̄x̄MCCLXXIX</t>
        </is>
      </c>
      <c r="C21280">
        <f>ROMAN(21279)</f>
        <v/>
      </c>
      <c r="D21280">
        <f>IF(B21280=C21280, "YES", "WRONG")</f>
        <v/>
      </c>
    </row>
    <row r="21281">
      <c r="A21281" t="n">
        <v>21280</v>
      </c>
      <c r="B21281" t="inlineStr">
        <is>
          <t>x̄x̄MCCLXXX</t>
        </is>
      </c>
      <c r="C21281">
        <f>ROMAN(21280)</f>
        <v/>
      </c>
      <c r="D21281">
        <f>IF(B21281=C21281, "YES", "WRONG")</f>
        <v/>
      </c>
    </row>
    <row r="21282">
      <c r="A21282" t="n">
        <v>21281</v>
      </c>
      <c r="B21282" t="inlineStr">
        <is>
          <t>x̄x̄MCCLXXXI</t>
        </is>
      </c>
      <c r="C21282">
        <f>ROMAN(21281)</f>
        <v/>
      </c>
      <c r="D21282">
        <f>IF(B21282=C21282, "YES", "WRONG")</f>
        <v/>
      </c>
    </row>
    <row r="21283">
      <c r="A21283" t="n">
        <v>21282</v>
      </c>
      <c r="B21283" t="inlineStr">
        <is>
          <t>x̄x̄MCCLXXXII</t>
        </is>
      </c>
      <c r="C21283">
        <f>ROMAN(21282)</f>
        <v/>
      </c>
      <c r="D21283">
        <f>IF(B21283=C21283, "YES", "WRONG")</f>
        <v/>
      </c>
    </row>
    <row r="21284">
      <c r="A21284" t="n">
        <v>21283</v>
      </c>
      <c r="B21284" t="inlineStr">
        <is>
          <t>x̄x̄MCCLXXXIII</t>
        </is>
      </c>
      <c r="C21284">
        <f>ROMAN(21283)</f>
        <v/>
      </c>
      <c r="D21284">
        <f>IF(B21284=C21284, "YES", "WRONG")</f>
        <v/>
      </c>
    </row>
    <row r="21285">
      <c r="A21285" t="n">
        <v>21284</v>
      </c>
      <c r="B21285" t="inlineStr">
        <is>
          <t>x̄x̄MCCLXXXIV</t>
        </is>
      </c>
      <c r="C21285">
        <f>ROMAN(21284)</f>
        <v/>
      </c>
      <c r="D21285">
        <f>IF(B21285=C21285, "YES", "WRONG")</f>
        <v/>
      </c>
    </row>
    <row r="21286">
      <c r="A21286" t="n">
        <v>21285</v>
      </c>
      <c r="B21286" t="inlineStr">
        <is>
          <t>x̄x̄MCCLXXXV</t>
        </is>
      </c>
      <c r="C21286">
        <f>ROMAN(21285)</f>
        <v/>
      </c>
      <c r="D21286">
        <f>IF(B21286=C21286, "YES", "WRONG")</f>
        <v/>
      </c>
    </row>
    <row r="21287">
      <c r="A21287" t="n">
        <v>21286</v>
      </c>
      <c r="B21287" t="inlineStr">
        <is>
          <t>x̄x̄MCCLXXXVI</t>
        </is>
      </c>
      <c r="C21287">
        <f>ROMAN(21286)</f>
        <v/>
      </c>
      <c r="D21287">
        <f>IF(B21287=C21287, "YES", "WRONG")</f>
        <v/>
      </c>
    </row>
    <row r="21288">
      <c r="A21288" t="n">
        <v>21287</v>
      </c>
      <c r="B21288" t="inlineStr">
        <is>
          <t>x̄x̄MCCLXXXVII</t>
        </is>
      </c>
      <c r="C21288">
        <f>ROMAN(21287)</f>
        <v/>
      </c>
      <c r="D21288">
        <f>IF(B21288=C21288, "YES", "WRONG")</f>
        <v/>
      </c>
    </row>
    <row r="21289">
      <c r="A21289" t="n">
        <v>21288</v>
      </c>
      <c r="B21289" t="inlineStr">
        <is>
          <t>x̄x̄MCCLXXXVIII</t>
        </is>
      </c>
      <c r="C21289">
        <f>ROMAN(21288)</f>
        <v/>
      </c>
      <c r="D21289">
        <f>IF(B21289=C21289, "YES", "WRONG")</f>
        <v/>
      </c>
    </row>
    <row r="21290">
      <c r="A21290" t="n">
        <v>21289</v>
      </c>
      <c r="B21290" t="inlineStr">
        <is>
          <t>x̄x̄MCCLXXXIX</t>
        </is>
      </c>
      <c r="C21290">
        <f>ROMAN(21289)</f>
        <v/>
      </c>
      <c r="D21290">
        <f>IF(B21290=C21290, "YES", "WRONG")</f>
        <v/>
      </c>
    </row>
    <row r="21291">
      <c r="A21291" t="n">
        <v>21290</v>
      </c>
      <c r="B21291" t="inlineStr">
        <is>
          <t>x̄x̄MCCXC</t>
        </is>
      </c>
      <c r="C21291">
        <f>ROMAN(21290)</f>
        <v/>
      </c>
      <c r="D21291">
        <f>IF(B21291=C21291, "YES", "WRONG")</f>
        <v/>
      </c>
    </row>
    <row r="21292">
      <c r="A21292" t="n">
        <v>21291</v>
      </c>
      <c r="B21292" t="inlineStr">
        <is>
          <t>x̄x̄MCCXCI</t>
        </is>
      </c>
      <c r="C21292">
        <f>ROMAN(21291)</f>
        <v/>
      </c>
      <c r="D21292">
        <f>IF(B21292=C21292, "YES", "WRONG")</f>
        <v/>
      </c>
    </row>
    <row r="21293">
      <c r="A21293" t="n">
        <v>21292</v>
      </c>
      <c r="B21293" t="inlineStr">
        <is>
          <t>x̄x̄MCCXCII</t>
        </is>
      </c>
      <c r="C21293">
        <f>ROMAN(21292)</f>
        <v/>
      </c>
      <c r="D21293">
        <f>IF(B21293=C21293, "YES", "WRONG")</f>
        <v/>
      </c>
    </row>
    <row r="21294">
      <c r="A21294" t="n">
        <v>21293</v>
      </c>
      <c r="B21294" t="inlineStr">
        <is>
          <t>x̄x̄MCCXCIII</t>
        </is>
      </c>
      <c r="C21294">
        <f>ROMAN(21293)</f>
        <v/>
      </c>
      <c r="D21294">
        <f>IF(B21294=C21294, "YES", "WRONG")</f>
        <v/>
      </c>
    </row>
    <row r="21295">
      <c r="A21295" t="n">
        <v>21294</v>
      </c>
      <c r="B21295" t="inlineStr">
        <is>
          <t>x̄x̄MCCXCIV</t>
        </is>
      </c>
      <c r="C21295">
        <f>ROMAN(21294)</f>
        <v/>
      </c>
      <c r="D21295">
        <f>IF(B21295=C21295, "YES", "WRONG")</f>
        <v/>
      </c>
    </row>
    <row r="21296">
      <c r="A21296" t="n">
        <v>21295</v>
      </c>
      <c r="B21296" t="inlineStr">
        <is>
          <t>x̄x̄MCCXCV</t>
        </is>
      </c>
      <c r="C21296">
        <f>ROMAN(21295)</f>
        <v/>
      </c>
      <c r="D21296">
        <f>IF(B21296=C21296, "YES", "WRONG")</f>
        <v/>
      </c>
    </row>
    <row r="21297">
      <c r="A21297" t="n">
        <v>21296</v>
      </c>
      <c r="B21297" t="inlineStr">
        <is>
          <t>x̄x̄MCCXCVI</t>
        </is>
      </c>
      <c r="C21297">
        <f>ROMAN(21296)</f>
        <v/>
      </c>
      <c r="D21297">
        <f>IF(B21297=C21297, "YES", "WRONG")</f>
        <v/>
      </c>
    </row>
    <row r="21298">
      <c r="A21298" t="n">
        <v>21297</v>
      </c>
      <c r="B21298" t="inlineStr">
        <is>
          <t>x̄x̄MCCXCVII</t>
        </is>
      </c>
      <c r="C21298">
        <f>ROMAN(21297)</f>
        <v/>
      </c>
      <c r="D21298">
        <f>IF(B21298=C21298, "YES", "WRONG")</f>
        <v/>
      </c>
    </row>
    <row r="21299">
      <c r="A21299" t="n">
        <v>21298</v>
      </c>
      <c r="B21299" t="inlineStr">
        <is>
          <t>x̄x̄MCCXCVIII</t>
        </is>
      </c>
      <c r="C21299">
        <f>ROMAN(21298)</f>
        <v/>
      </c>
      <c r="D21299">
        <f>IF(B21299=C21299, "YES", "WRONG")</f>
        <v/>
      </c>
    </row>
    <row r="21300">
      <c r="A21300" t="n">
        <v>21299</v>
      </c>
      <c r="B21300" t="inlineStr">
        <is>
          <t>x̄x̄MCCXCIX</t>
        </is>
      </c>
      <c r="C21300">
        <f>ROMAN(21299)</f>
        <v/>
      </c>
      <c r="D21300">
        <f>IF(B21300=C21300, "YES", "WRONG")</f>
        <v/>
      </c>
    </row>
    <row r="21301">
      <c r="A21301" t="n">
        <v>21300</v>
      </c>
      <c r="B21301" t="inlineStr">
        <is>
          <t>x̄x̄MCCC</t>
        </is>
      </c>
      <c r="C21301">
        <f>ROMAN(21300)</f>
        <v/>
      </c>
      <c r="D21301">
        <f>IF(B21301=C21301, "YES", "WRONG")</f>
        <v/>
      </c>
    </row>
    <row r="21302">
      <c r="A21302" t="n">
        <v>21301</v>
      </c>
      <c r="B21302" t="inlineStr">
        <is>
          <t>x̄x̄MCCCI</t>
        </is>
      </c>
      <c r="C21302">
        <f>ROMAN(21301)</f>
        <v/>
      </c>
      <c r="D21302">
        <f>IF(B21302=C21302, "YES", "WRONG")</f>
        <v/>
      </c>
    </row>
    <row r="21303">
      <c r="A21303" t="n">
        <v>21302</v>
      </c>
      <c r="B21303" t="inlineStr">
        <is>
          <t>x̄x̄MCCCII</t>
        </is>
      </c>
      <c r="C21303">
        <f>ROMAN(21302)</f>
        <v/>
      </c>
      <c r="D21303">
        <f>IF(B21303=C21303, "YES", "WRONG")</f>
        <v/>
      </c>
    </row>
    <row r="21304">
      <c r="A21304" t="n">
        <v>21303</v>
      </c>
      <c r="B21304" t="inlineStr">
        <is>
          <t>x̄x̄MCCCIII</t>
        </is>
      </c>
      <c r="C21304">
        <f>ROMAN(21303)</f>
        <v/>
      </c>
      <c r="D21304">
        <f>IF(B21304=C21304, "YES", "WRONG")</f>
        <v/>
      </c>
    </row>
    <row r="21305">
      <c r="A21305" t="n">
        <v>21304</v>
      </c>
      <c r="B21305" t="inlineStr">
        <is>
          <t>x̄x̄MCCCIV</t>
        </is>
      </c>
      <c r="C21305">
        <f>ROMAN(21304)</f>
        <v/>
      </c>
      <c r="D21305">
        <f>IF(B21305=C21305, "YES", "WRONG")</f>
        <v/>
      </c>
    </row>
    <row r="21306">
      <c r="A21306" t="n">
        <v>21305</v>
      </c>
      <c r="B21306" t="inlineStr">
        <is>
          <t>x̄x̄MCCCV</t>
        </is>
      </c>
      <c r="C21306">
        <f>ROMAN(21305)</f>
        <v/>
      </c>
      <c r="D21306">
        <f>IF(B21306=C21306, "YES", "WRONG")</f>
        <v/>
      </c>
    </row>
    <row r="21307">
      <c r="A21307" t="n">
        <v>21306</v>
      </c>
      <c r="B21307" t="inlineStr">
        <is>
          <t>x̄x̄MCCCVI</t>
        </is>
      </c>
      <c r="C21307">
        <f>ROMAN(21306)</f>
        <v/>
      </c>
      <c r="D21307">
        <f>IF(B21307=C21307, "YES", "WRONG")</f>
        <v/>
      </c>
    </row>
    <row r="21308">
      <c r="A21308" t="n">
        <v>21307</v>
      </c>
      <c r="B21308" t="inlineStr">
        <is>
          <t>x̄x̄MCCCVII</t>
        </is>
      </c>
      <c r="C21308">
        <f>ROMAN(21307)</f>
        <v/>
      </c>
      <c r="D21308">
        <f>IF(B21308=C21308, "YES", "WRONG")</f>
        <v/>
      </c>
    </row>
    <row r="21309">
      <c r="A21309" t="n">
        <v>21308</v>
      </c>
      <c r="B21309" t="inlineStr">
        <is>
          <t>x̄x̄MCCCVIII</t>
        </is>
      </c>
      <c r="C21309">
        <f>ROMAN(21308)</f>
        <v/>
      </c>
      <c r="D21309">
        <f>IF(B21309=C21309, "YES", "WRONG")</f>
        <v/>
      </c>
    </row>
    <row r="21310">
      <c r="A21310" t="n">
        <v>21309</v>
      </c>
      <c r="B21310" t="inlineStr">
        <is>
          <t>x̄x̄MCCCIX</t>
        </is>
      </c>
      <c r="C21310">
        <f>ROMAN(21309)</f>
        <v/>
      </c>
      <c r="D21310">
        <f>IF(B21310=C21310, "YES", "WRONG")</f>
        <v/>
      </c>
    </row>
    <row r="21311">
      <c r="A21311" t="n">
        <v>21310</v>
      </c>
      <c r="B21311" t="inlineStr">
        <is>
          <t>x̄x̄MCCCX</t>
        </is>
      </c>
      <c r="C21311">
        <f>ROMAN(21310)</f>
        <v/>
      </c>
      <c r="D21311">
        <f>IF(B21311=C21311, "YES", "WRONG")</f>
        <v/>
      </c>
    </row>
    <row r="21312">
      <c r="A21312" t="n">
        <v>21311</v>
      </c>
      <c r="B21312" t="inlineStr">
        <is>
          <t>x̄x̄MCCCXI</t>
        </is>
      </c>
      <c r="C21312">
        <f>ROMAN(21311)</f>
        <v/>
      </c>
      <c r="D21312">
        <f>IF(B21312=C21312, "YES", "WRONG")</f>
        <v/>
      </c>
    </row>
    <row r="21313">
      <c r="A21313" t="n">
        <v>21312</v>
      </c>
      <c r="B21313" t="inlineStr">
        <is>
          <t>x̄x̄MCCCXII</t>
        </is>
      </c>
      <c r="C21313">
        <f>ROMAN(21312)</f>
        <v/>
      </c>
      <c r="D21313">
        <f>IF(B21313=C21313, "YES", "WRONG")</f>
        <v/>
      </c>
    </row>
    <row r="21314">
      <c r="A21314" t="n">
        <v>21313</v>
      </c>
      <c r="B21314" t="inlineStr">
        <is>
          <t>x̄x̄MCCCXIII</t>
        </is>
      </c>
      <c r="C21314">
        <f>ROMAN(21313)</f>
        <v/>
      </c>
      <c r="D21314">
        <f>IF(B21314=C21314, "YES", "WRONG")</f>
        <v/>
      </c>
    </row>
    <row r="21315">
      <c r="A21315" t="n">
        <v>21314</v>
      </c>
      <c r="B21315" t="inlineStr">
        <is>
          <t>x̄x̄MCCCXIV</t>
        </is>
      </c>
      <c r="C21315">
        <f>ROMAN(21314)</f>
        <v/>
      </c>
      <c r="D21315">
        <f>IF(B21315=C21315, "YES", "WRONG")</f>
        <v/>
      </c>
    </row>
    <row r="21316">
      <c r="A21316" t="n">
        <v>21315</v>
      </c>
      <c r="B21316" t="inlineStr">
        <is>
          <t>x̄x̄MCCCXV</t>
        </is>
      </c>
      <c r="C21316">
        <f>ROMAN(21315)</f>
        <v/>
      </c>
      <c r="D21316">
        <f>IF(B21316=C21316, "YES", "WRONG")</f>
        <v/>
      </c>
    </row>
    <row r="21317">
      <c r="A21317" t="n">
        <v>21316</v>
      </c>
      <c r="B21317" t="inlineStr">
        <is>
          <t>x̄x̄MCCCXVI</t>
        </is>
      </c>
      <c r="C21317">
        <f>ROMAN(21316)</f>
        <v/>
      </c>
      <c r="D21317">
        <f>IF(B21317=C21317, "YES", "WRONG")</f>
        <v/>
      </c>
    </row>
    <row r="21318">
      <c r="A21318" t="n">
        <v>21317</v>
      </c>
      <c r="B21318" t="inlineStr">
        <is>
          <t>x̄x̄MCCCXVII</t>
        </is>
      </c>
      <c r="C21318">
        <f>ROMAN(21317)</f>
        <v/>
      </c>
      <c r="D21318">
        <f>IF(B21318=C21318, "YES", "WRONG")</f>
        <v/>
      </c>
    </row>
    <row r="21319">
      <c r="A21319" t="n">
        <v>21318</v>
      </c>
      <c r="B21319" t="inlineStr">
        <is>
          <t>x̄x̄MCCCXVIII</t>
        </is>
      </c>
      <c r="C21319">
        <f>ROMAN(21318)</f>
        <v/>
      </c>
      <c r="D21319">
        <f>IF(B21319=C21319, "YES", "WRONG")</f>
        <v/>
      </c>
    </row>
    <row r="21320">
      <c r="A21320" t="n">
        <v>21319</v>
      </c>
      <c r="B21320" t="inlineStr">
        <is>
          <t>x̄x̄MCCCXIX</t>
        </is>
      </c>
      <c r="C21320">
        <f>ROMAN(21319)</f>
        <v/>
      </c>
      <c r="D21320">
        <f>IF(B21320=C21320, "YES", "WRONG")</f>
        <v/>
      </c>
    </row>
    <row r="21321">
      <c r="A21321" t="n">
        <v>21320</v>
      </c>
      <c r="B21321" t="inlineStr">
        <is>
          <t>x̄x̄MCCCXX</t>
        </is>
      </c>
      <c r="C21321">
        <f>ROMAN(21320)</f>
        <v/>
      </c>
      <c r="D21321">
        <f>IF(B21321=C21321, "YES", "WRONG")</f>
        <v/>
      </c>
    </row>
    <row r="21322">
      <c r="A21322" t="n">
        <v>21321</v>
      </c>
      <c r="B21322" t="inlineStr">
        <is>
          <t>x̄x̄MCCCXXI</t>
        </is>
      </c>
      <c r="C21322">
        <f>ROMAN(21321)</f>
        <v/>
      </c>
      <c r="D21322">
        <f>IF(B21322=C21322, "YES", "WRONG")</f>
        <v/>
      </c>
    </row>
    <row r="21323">
      <c r="A21323" t="n">
        <v>21322</v>
      </c>
      <c r="B21323" t="inlineStr">
        <is>
          <t>x̄x̄MCCCXXII</t>
        </is>
      </c>
      <c r="C21323">
        <f>ROMAN(21322)</f>
        <v/>
      </c>
      <c r="D21323">
        <f>IF(B21323=C21323, "YES", "WRONG")</f>
        <v/>
      </c>
    </row>
    <row r="21324">
      <c r="A21324" t="n">
        <v>21323</v>
      </c>
      <c r="B21324" t="inlineStr">
        <is>
          <t>x̄x̄MCCCXXIII</t>
        </is>
      </c>
      <c r="C21324">
        <f>ROMAN(21323)</f>
        <v/>
      </c>
      <c r="D21324">
        <f>IF(B21324=C21324, "YES", "WRONG")</f>
        <v/>
      </c>
    </row>
    <row r="21325">
      <c r="A21325" t="n">
        <v>21324</v>
      </c>
      <c r="B21325" t="inlineStr">
        <is>
          <t>x̄x̄MCCCXXIV</t>
        </is>
      </c>
      <c r="C21325">
        <f>ROMAN(21324)</f>
        <v/>
      </c>
      <c r="D21325">
        <f>IF(B21325=C21325, "YES", "WRONG")</f>
        <v/>
      </c>
    </row>
    <row r="21326">
      <c r="A21326" t="n">
        <v>21325</v>
      </c>
      <c r="B21326" t="inlineStr">
        <is>
          <t>x̄x̄MCCCXXV</t>
        </is>
      </c>
      <c r="C21326">
        <f>ROMAN(21325)</f>
        <v/>
      </c>
      <c r="D21326">
        <f>IF(B21326=C21326, "YES", "WRONG")</f>
        <v/>
      </c>
    </row>
    <row r="21327">
      <c r="A21327" t="n">
        <v>21326</v>
      </c>
      <c r="B21327" t="inlineStr">
        <is>
          <t>x̄x̄MCCCXXVI</t>
        </is>
      </c>
      <c r="C21327">
        <f>ROMAN(21326)</f>
        <v/>
      </c>
      <c r="D21327">
        <f>IF(B21327=C21327, "YES", "WRONG")</f>
        <v/>
      </c>
    </row>
    <row r="21328">
      <c r="A21328" t="n">
        <v>21327</v>
      </c>
      <c r="B21328" t="inlineStr">
        <is>
          <t>x̄x̄MCCCXXVII</t>
        </is>
      </c>
      <c r="C21328">
        <f>ROMAN(21327)</f>
        <v/>
      </c>
      <c r="D21328">
        <f>IF(B21328=C21328, "YES", "WRONG")</f>
        <v/>
      </c>
    </row>
    <row r="21329">
      <c r="A21329" t="n">
        <v>21328</v>
      </c>
      <c r="B21329" t="inlineStr">
        <is>
          <t>x̄x̄MCCCXXVIII</t>
        </is>
      </c>
      <c r="C21329">
        <f>ROMAN(21328)</f>
        <v/>
      </c>
      <c r="D21329">
        <f>IF(B21329=C21329, "YES", "WRONG")</f>
        <v/>
      </c>
    </row>
    <row r="21330">
      <c r="A21330" t="n">
        <v>21329</v>
      </c>
      <c r="B21330" t="inlineStr">
        <is>
          <t>x̄x̄MCCCXXIX</t>
        </is>
      </c>
      <c r="C21330">
        <f>ROMAN(21329)</f>
        <v/>
      </c>
      <c r="D21330">
        <f>IF(B21330=C21330, "YES", "WRONG")</f>
        <v/>
      </c>
    </row>
    <row r="21331">
      <c r="A21331" t="n">
        <v>21330</v>
      </c>
      <c r="B21331" t="inlineStr">
        <is>
          <t>x̄x̄MCCCXXX</t>
        </is>
      </c>
      <c r="C21331">
        <f>ROMAN(21330)</f>
        <v/>
      </c>
      <c r="D21331">
        <f>IF(B21331=C21331, "YES", "WRONG")</f>
        <v/>
      </c>
    </row>
    <row r="21332">
      <c r="A21332" t="n">
        <v>21331</v>
      </c>
      <c r="B21332" t="inlineStr">
        <is>
          <t>x̄x̄MCCCXXXI</t>
        </is>
      </c>
      <c r="C21332">
        <f>ROMAN(21331)</f>
        <v/>
      </c>
      <c r="D21332">
        <f>IF(B21332=C21332, "YES", "WRONG")</f>
        <v/>
      </c>
    </row>
    <row r="21333">
      <c r="A21333" t="n">
        <v>21332</v>
      </c>
      <c r="B21333" t="inlineStr">
        <is>
          <t>x̄x̄MCCCXXXII</t>
        </is>
      </c>
      <c r="C21333">
        <f>ROMAN(21332)</f>
        <v/>
      </c>
      <c r="D21333">
        <f>IF(B21333=C21333, "YES", "WRONG")</f>
        <v/>
      </c>
    </row>
    <row r="21334">
      <c r="A21334" t="n">
        <v>21333</v>
      </c>
      <c r="B21334" t="inlineStr">
        <is>
          <t>x̄x̄MCCCXXXIII</t>
        </is>
      </c>
      <c r="C21334">
        <f>ROMAN(21333)</f>
        <v/>
      </c>
      <c r="D21334">
        <f>IF(B21334=C21334, "YES", "WRONG")</f>
        <v/>
      </c>
    </row>
    <row r="21335">
      <c r="A21335" t="n">
        <v>21334</v>
      </c>
      <c r="B21335" t="inlineStr">
        <is>
          <t>x̄x̄MCCCXXXIV</t>
        </is>
      </c>
      <c r="C21335">
        <f>ROMAN(21334)</f>
        <v/>
      </c>
      <c r="D21335">
        <f>IF(B21335=C21335, "YES", "WRONG")</f>
        <v/>
      </c>
    </row>
    <row r="21336">
      <c r="A21336" t="n">
        <v>21335</v>
      </c>
      <c r="B21336" t="inlineStr">
        <is>
          <t>x̄x̄MCCCXXXV</t>
        </is>
      </c>
      <c r="C21336">
        <f>ROMAN(21335)</f>
        <v/>
      </c>
      <c r="D21336">
        <f>IF(B21336=C21336, "YES", "WRONG")</f>
        <v/>
      </c>
    </row>
    <row r="21337">
      <c r="A21337" t="n">
        <v>21336</v>
      </c>
      <c r="B21337" t="inlineStr">
        <is>
          <t>x̄x̄MCCCXXXVI</t>
        </is>
      </c>
      <c r="C21337">
        <f>ROMAN(21336)</f>
        <v/>
      </c>
      <c r="D21337">
        <f>IF(B21337=C21337, "YES", "WRONG")</f>
        <v/>
      </c>
    </row>
    <row r="21338">
      <c r="A21338" t="n">
        <v>21337</v>
      </c>
      <c r="B21338" t="inlineStr">
        <is>
          <t>x̄x̄MCCCXXXVII</t>
        </is>
      </c>
      <c r="C21338">
        <f>ROMAN(21337)</f>
        <v/>
      </c>
      <c r="D21338">
        <f>IF(B21338=C21338, "YES", "WRONG")</f>
        <v/>
      </c>
    </row>
    <row r="21339">
      <c r="A21339" t="n">
        <v>21338</v>
      </c>
      <c r="B21339" t="inlineStr">
        <is>
          <t>x̄x̄MCCCXXXVIII</t>
        </is>
      </c>
      <c r="C21339">
        <f>ROMAN(21338)</f>
        <v/>
      </c>
      <c r="D21339">
        <f>IF(B21339=C21339, "YES", "WRONG")</f>
        <v/>
      </c>
    </row>
    <row r="21340">
      <c r="A21340" t="n">
        <v>21339</v>
      </c>
      <c r="B21340" t="inlineStr">
        <is>
          <t>x̄x̄MCCCXXXIX</t>
        </is>
      </c>
      <c r="C21340">
        <f>ROMAN(21339)</f>
        <v/>
      </c>
      <c r="D21340">
        <f>IF(B21340=C21340, "YES", "WRONG")</f>
        <v/>
      </c>
    </row>
    <row r="21341">
      <c r="A21341" t="n">
        <v>21340</v>
      </c>
      <c r="B21341" t="inlineStr">
        <is>
          <t>x̄x̄MCCCXL</t>
        </is>
      </c>
      <c r="C21341">
        <f>ROMAN(21340)</f>
        <v/>
      </c>
      <c r="D21341">
        <f>IF(B21341=C21341, "YES", "WRONG")</f>
        <v/>
      </c>
    </row>
    <row r="21342">
      <c r="A21342" t="n">
        <v>21341</v>
      </c>
      <c r="B21342" t="inlineStr">
        <is>
          <t>x̄x̄MCCCXLI</t>
        </is>
      </c>
      <c r="C21342">
        <f>ROMAN(21341)</f>
        <v/>
      </c>
      <c r="D21342">
        <f>IF(B21342=C21342, "YES", "WRONG")</f>
        <v/>
      </c>
    </row>
    <row r="21343">
      <c r="A21343" t="n">
        <v>21342</v>
      </c>
      <c r="B21343" t="inlineStr">
        <is>
          <t>x̄x̄MCCCXLII</t>
        </is>
      </c>
      <c r="C21343">
        <f>ROMAN(21342)</f>
        <v/>
      </c>
      <c r="D21343">
        <f>IF(B21343=C21343, "YES", "WRONG")</f>
        <v/>
      </c>
    </row>
    <row r="21344">
      <c r="A21344" t="n">
        <v>21343</v>
      </c>
      <c r="B21344" t="inlineStr">
        <is>
          <t>x̄x̄MCCCXLIII</t>
        </is>
      </c>
      <c r="C21344">
        <f>ROMAN(21343)</f>
        <v/>
      </c>
      <c r="D21344">
        <f>IF(B21344=C21344, "YES", "WRONG")</f>
        <v/>
      </c>
    </row>
    <row r="21345">
      <c r="A21345" t="n">
        <v>21344</v>
      </c>
      <c r="B21345" t="inlineStr">
        <is>
          <t>x̄x̄MCCCXLIV</t>
        </is>
      </c>
      <c r="C21345">
        <f>ROMAN(21344)</f>
        <v/>
      </c>
      <c r="D21345">
        <f>IF(B21345=C21345, "YES", "WRONG")</f>
        <v/>
      </c>
    </row>
    <row r="21346">
      <c r="A21346" t="n">
        <v>21345</v>
      </c>
      <c r="B21346" t="inlineStr">
        <is>
          <t>x̄x̄MCCCXLV</t>
        </is>
      </c>
      <c r="C21346">
        <f>ROMAN(21345)</f>
        <v/>
      </c>
      <c r="D21346">
        <f>IF(B21346=C21346, "YES", "WRONG")</f>
        <v/>
      </c>
    </row>
    <row r="21347">
      <c r="A21347" t="n">
        <v>21346</v>
      </c>
      <c r="B21347" t="inlineStr">
        <is>
          <t>x̄x̄MCCCXLVI</t>
        </is>
      </c>
      <c r="C21347">
        <f>ROMAN(21346)</f>
        <v/>
      </c>
      <c r="D21347">
        <f>IF(B21347=C21347, "YES", "WRONG")</f>
        <v/>
      </c>
    </row>
    <row r="21348">
      <c r="A21348" t="n">
        <v>21347</v>
      </c>
      <c r="B21348" t="inlineStr">
        <is>
          <t>x̄x̄MCCCXLVII</t>
        </is>
      </c>
      <c r="C21348">
        <f>ROMAN(21347)</f>
        <v/>
      </c>
      <c r="D21348">
        <f>IF(B21348=C21348, "YES", "WRONG")</f>
        <v/>
      </c>
    </row>
    <row r="21349">
      <c r="A21349" t="n">
        <v>21348</v>
      </c>
      <c r="B21349" t="inlineStr">
        <is>
          <t>x̄x̄MCCCXLVIII</t>
        </is>
      </c>
      <c r="C21349">
        <f>ROMAN(21348)</f>
        <v/>
      </c>
      <c r="D21349">
        <f>IF(B21349=C21349, "YES", "WRONG")</f>
        <v/>
      </c>
    </row>
    <row r="21350">
      <c r="A21350" t="n">
        <v>21349</v>
      </c>
      <c r="B21350" t="inlineStr">
        <is>
          <t>x̄x̄MCCCXLIX</t>
        </is>
      </c>
      <c r="C21350">
        <f>ROMAN(21349)</f>
        <v/>
      </c>
      <c r="D21350">
        <f>IF(B21350=C21350, "YES", "WRONG")</f>
        <v/>
      </c>
    </row>
    <row r="21351">
      <c r="A21351" t="n">
        <v>21350</v>
      </c>
      <c r="B21351" t="inlineStr">
        <is>
          <t>x̄x̄MCCCL</t>
        </is>
      </c>
      <c r="C21351">
        <f>ROMAN(21350)</f>
        <v/>
      </c>
      <c r="D21351">
        <f>IF(B21351=C21351, "YES", "WRONG")</f>
        <v/>
      </c>
    </row>
    <row r="21352">
      <c r="A21352" t="n">
        <v>21351</v>
      </c>
      <c r="B21352" t="inlineStr">
        <is>
          <t>x̄x̄MCCCLI</t>
        </is>
      </c>
      <c r="C21352">
        <f>ROMAN(21351)</f>
        <v/>
      </c>
      <c r="D21352">
        <f>IF(B21352=C21352, "YES", "WRONG")</f>
        <v/>
      </c>
    </row>
    <row r="21353">
      <c r="A21353" t="n">
        <v>21352</v>
      </c>
      <c r="B21353" t="inlineStr">
        <is>
          <t>x̄x̄MCCCLII</t>
        </is>
      </c>
      <c r="C21353">
        <f>ROMAN(21352)</f>
        <v/>
      </c>
      <c r="D21353">
        <f>IF(B21353=C21353, "YES", "WRONG")</f>
        <v/>
      </c>
    </row>
    <row r="21354">
      <c r="A21354" t="n">
        <v>21353</v>
      </c>
      <c r="B21354" t="inlineStr">
        <is>
          <t>x̄x̄MCCCLIII</t>
        </is>
      </c>
      <c r="C21354">
        <f>ROMAN(21353)</f>
        <v/>
      </c>
      <c r="D21354">
        <f>IF(B21354=C21354, "YES", "WRONG")</f>
        <v/>
      </c>
    </row>
    <row r="21355">
      <c r="A21355" t="n">
        <v>21354</v>
      </c>
      <c r="B21355" t="inlineStr">
        <is>
          <t>x̄x̄MCCCLIV</t>
        </is>
      </c>
      <c r="C21355">
        <f>ROMAN(21354)</f>
        <v/>
      </c>
      <c r="D21355">
        <f>IF(B21355=C21355, "YES", "WRONG")</f>
        <v/>
      </c>
    </row>
    <row r="21356">
      <c r="A21356" t="n">
        <v>21355</v>
      </c>
      <c r="B21356" t="inlineStr">
        <is>
          <t>x̄x̄MCCCLV</t>
        </is>
      </c>
      <c r="C21356">
        <f>ROMAN(21355)</f>
        <v/>
      </c>
      <c r="D21356">
        <f>IF(B21356=C21356, "YES", "WRONG")</f>
        <v/>
      </c>
    </row>
    <row r="21357">
      <c r="A21357" t="n">
        <v>21356</v>
      </c>
      <c r="B21357" t="inlineStr">
        <is>
          <t>x̄x̄MCCCLVI</t>
        </is>
      </c>
      <c r="C21357">
        <f>ROMAN(21356)</f>
        <v/>
      </c>
      <c r="D21357">
        <f>IF(B21357=C21357, "YES", "WRONG")</f>
        <v/>
      </c>
    </row>
    <row r="21358">
      <c r="A21358" t="n">
        <v>21357</v>
      </c>
      <c r="B21358" t="inlineStr">
        <is>
          <t>x̄x̄MCCCLVII</t>
        </is>
      </c>
      <c r="C21358">
        <f>ROMAN(21357)</f>
        <v/>
      </c>
      <c r="D21358">
        <f>IF(B21358=C21358, "YES", "WRONG")</f>
        <v/>
      </c>
    </row>
    <row r="21359">
      <c r="A21359" t="n">
        <v>21358</v>
      </c>
      <c r="B21359" t="inlineStr">
        <is>
          <t>x̄x̄MCCCLVIII</t>
        </is>
      </c>
      <c r="C21359">
        <f>ROMAN(21358)</f>
        <v/>
      </c>
      <c r="D21359">
        <f>IF(B21359=C21359, "YES", "WRONG")</f>
        <v/>
      </c>
    </row>
    <row r="21360">
      <c r="A21360" t="n">
        <v>21359</v>
      </c>
      <c r="B21360" t="inlineStr">
        <is>
          <t>x̄x̄MCCCLIX</t>
        </is>
      </c>
      <c r="C21360">
        <f>ROMAN(21359)</f>
        <v/>
      </c>
      <c r="D21360">
        <f>IF(B21360=C21360, "YES", "WRONG")</f>
        <v/>
      </c>
    </row>
    <row r="21361">
      <c r="A21361" t="n">
        <v>21360</v>
      </c>
      <c r="B21361" t="inlineStr">
        <is>
          <t>x̄x̄MCCCLX</t>
        </is>
      </c>
      <c r="C21361">
        <f>ROMAN(21360)</f>
        <v/>
      </c>
      <c r="D21361">
        <f>IF(B21361=C21361, "YES", "WRONG")</f>
        <v/>
      </c>
    </row>
    <row r="21362">
      <c r="A21362" t="n">
        <v>21361</v>
      </c>
      <c r="B21362" t="inlineStr">
        <is>
          <t>x̄x̄MCCCLXI</t>
        </is>
      </c>
      <c r="C21362">
        <f>ROMAN(21361)</f>
        <v/>
      </c>
      <c r="D21362">
        <f>IF(B21362=C21362, "YES", "WRONG")</f>
        <v/>
      </c>
    </row>
    <row r="21363">
      <c r="A21363" t="n">
        <v>21362</v>
      </c>
      <c r="B21363" t="inlineStr">
        <is>
          <t>x̄x̄MCCCLXII</t>
        </is>
      </c>
      <c r="C21363">
        <f>ROMAN(21362)</f>
        <v/>
      </c>
      <c r="D21363">
        <f>IF(B21363=C21363, "YES", "WRONG")</f>
        <v/>
      </c>
    </row>
    <row r="21364">
      <c r="A21364" t="n">
        <v>21363</v>
      </c>
      <c r="B21364" t="inlineStr">
        <is>
          <t>x̄x̄MCCCLXIII</t>
        </is>
      </c>
      <c r="C21364">
        <f>ROMAN(21363)</f>
        <v/>
      </c>
      <c r="D21364">
        <f>IF(B21364=C21364, "YES", "WRONG")</f>
        <v/>
      </c>
    </row>
    <row r="21365">
      <c r="A21365" t="n">
        <v>21364</v>
      </c>
      <c r="B21365" t="inlineStr">
        <is>
          <t>x̄x̄MCCCLXIV</t>
        </is>
      </c>
      <c r="C21365">
        <f>ROMAN(21364)</f>
        <v/>
      </c>
      <c r="D21365">
        <f>IF(B21365=C21365, "YES", "WRONG")</f>
        <v/>
      </c>
    </row>
    <row r="21366">
      <c r="A21366" t="n">
        <v>21365</v>
      </c>
      <c r="B21366" t="inlineStr">
        <is>
          <t>x̄x̄MCCCLXV</t>
        </is>
      </c>
      <c r="C21366">
        <f>ROMAN(21365)</f>
        <v/>
      </c>
      <c r="D21366">
        <f>IF(B21366=C21366, "YES", "WRONG")</f>
        <v/>
      </c>
    </row>
    <row r="21367">
      <c r="A21367" t="n">
        <v>21366</v>
      </c>
      <c r="B21367" t="inlineStr">
        <is>
          <t>x̄x̄MCCCLXVI</t>
        </is>
      </c>
      <c r="C21367">
        <f>ROMAN(21366)</f>
        <v/>
      </c>
      <c r="D21367">
        <f>IF(B21367=C21367, "YES", "WRONG")</f>
        <v/>
      </c>
    </row>
    <row r="21368">
      <c r="A21368" t="n">
        <v>21367</v>
      </c>
      <c r="B21368" t="inlineStr">
        <is>
          <t>x̄x̄MCCCLXVII</t>
        </is>
      </c>
      <c r="C21368">
        <f>ROMAN(21367)</f>
        <v/>
      </c>
      <c r="D21368">
        <f>IF(B21368=C21368, "YES", "WRONG")</f>
        <v/>
      </c>
    </row>
    <row r="21369">
      <c r="A21369" t="n">
        <v>21368</v>
      </c>
      <c r="B21369" t="inlineStr">
        <is>
          <t>x̄x̄MCCCLXVIII</t>
        </is>
      </c>
      <c r="C21369">
        <f>ROMAN(21368)</f>
        <v/>
      </c>
      <c r="D21369">
        <f>IF(B21369=C21369, "YES", "WRONG")</f>
        <v/>
      </c>
    </row>
    <row r="21370">
      <c r="A21370" t="n">
        <v>21369</v>
      </c>
      <c r="B21370" t="inlineStr">
        <is>
          <t>x̄x̄MCCCLXIX</t>
        </is>
      </c>
      <c r="C21370">
        <f>ROMAN(21369)</f>
        <v/>
      </c>
      <c r="D21370">
        <f>IF(B21370=C21370, "YES", "WRONG")</f>
        <v/>
      </c>
    </row>
    <row r="21371">
      <c r="A21371" t="n">
        <v>21370</v>
      </c>
      <c r="B21371" t="inlineStr">
        <is>
          <t>x̄x̄MCCCLXX</t>
        </is>
      </c>
      <c r="C21371">
        <f>ROMAN(21370)</f>
        <v/>
      </c>
      <c r="D21371">
        <f>IF(B21371=C21371, "YES", "WRONG")</f>
        <v/>
      </c>
    </row>
    <row r="21372">
      <c r="A21372" t="n">
        <v>21371</v>
      </c>
      <c r="B21372" t="inlineStr">
        <is>
          <t>x̄x̄MCCCLXXI</t>
        </is>
      </c>
      <c r="C21372">
        <f>ROMAN(21371)</f>
        <v/>
      </c>
      <c r="D21372">
        <f>IF(B21372=C21372, "YES", "WRONG")</f>
        <v/>
      </c>
    </row>
    <row r="21373">
      <c r="A21373" t="n">
        <v>21372</v>
      </c>
      <c r="B21373" t="inlineStr">
        <is>
          <t>x̄x̄MCCCLXXII</t>
        </is>
      </c>
      <c r="C21373">
        <f>ROMAN(21372)</f>
        <v/>
      </c>
      <c r="D21373">
        <f>IF(B21373=C21373, "YES", "WRONG")</f>
        <v/>
      </c>
    </row>
    <row r="21374">
      <c r="A21374" t="n">
        <v>21373</v>
      </c>
      <c r="B21374" t="inlineStr">
        <is>
          <t>x̄x̄MCCCLXXIII</t>
        </is>
      </c>
      <c r="C21374">
        <f>ROMAN(21373)</f>
        <v/>
      </c>
      <c r="D21374">
        <f>IF(B21374=C21374, "YES", "WRONG")</f>
        <v/>
      </c>
    </row>
    <row r="21375">
      <c r="A21375" t="n">
        <v>21374</v>
      </c>
      <c r="B21375" t="inlineStr">
        <is>
          <t>x̄x̄MCCCLXXIV</t>
        </is>
      </c>
      <c r="C21375">
        <f>ROMAN(21374)</f>
        <v/>
      </c>
      <c r="D21375">
        <f>IF(B21375=C21375, "YES", "WRONG")</f>
        <v/>
      </c>
    </row>
    <row r="21376">
      <c r="A21376" t="n">
        <v>21375</v>
      </c>
      <c r="B21376" t="inlineStr">
        <is>
          <t>x̄x̄MCCCLXXV</t>
        </is>
      </c>
      <c r="C21376">
        <f>ROMAN(21375)</f>
        <v/>
      </c>
      <c r="D21376">
        <f>IF(B21376=C21376, "YES", "WRONG")</f>
        <v/>
      </c>
    </row>
    <row r="21377">
      <c r="A21377" t="n">
        <v>21376</v>
      </c>
      <c r="B21377" t="inlineStr">
        <is>
          <t>x̄x̄MCCCLXXVI</t>
        </is>
      </c>
      <c r="C21377">
        <f>ROMAN(21376)</f>
        <v/>
      </c>
      <c r="D21377">
        <f>IF(B21377=C21377, "YES", "WRONG")</f>
        <v/>
      </c>
    </row>
    <row r="21378">
      <c r="A21378" t="n">
        <v>21377</v>
      </c>
      <c r="B21378" t="inlineStr">
        <is>
          <t>x̄x̄MCCCLXXVII</t>
        </is>
      </c>
      <c r="C21378">
        <f>ROMAN(21377)</f>
        <v/>
      </c>
      <c r="D21378">
        <f>IF(B21378=C21378, "YES", "WRONG")</f>
        <v/>
      </c>
    </row>
    <row r="21379">
      <c r="A21379" t="n">
        <v>21378</v>
      </c>
      <c r="B21379" t="inlineStr">
        <is>
          <t>x̄x̄MCCCLXXVIII</t>
        </is>
      </c>
      <c r="C21379">
        <f>ROMAN(21378)</f>
        <v/>
      </c>
      <c r="D21379">
        <f>IF(B21379=C21379, "YES", "WRONG")</f>
        <v/>
      </c>
    </row>
    <row r="21380">
      <c r="A21380" t="n">
        <v>21379</v>
      </c>
      <c r="B21380" t="inlineStr">
        <is>
          <t>x̄x̄MCCCLXXIX</t>
        </is>
      </c>
      <c r="C21380">
        <f>ROMAN(21379)</f>
        <v/>
      </c>
      <c r="D21380">
        <f>IF(B21380=C21380, "YES", "WRONG")</f>
        <v/>
      </c>
    </row>
    <row r="21381">
      <c r="A21381" t="n">
        <v>21380</v>
      </c>
      <c r="B21381" t="inlineStr">
        <is>
          <t>x̄x̄MCCCLXXX</t>
        </is>
      </c>
      <c r="C21381">
        <f>ROMAN(21380)</f>
        <v/>
      </c>
      <c r="D21381">
        <f>IF(B21381=C21381, "YES", "WRONG")</f>
        <v/>
      </c>
    </row>
    <row r="21382">
      <c r="A21382" t="n">
        <v>21381</v>
      </c>
      <c r="B21382" t="inlineStr">
        <is>
          <t>x̄x̄MCCCLXXXI</t>
        </is>
      </c>
      <c r="C21382">
        <f>ROMAN(21381)</f>
        <v/>
      </c>
      <c r="D21382">
        <f>IF(B21382=C21382, "YES", "WRONG")</f>
        <v/>
      </c>
    </row>
    <row r="21383">
      <c r="A21383" t="n">
        <v>21382</v>
      </c>
      <c r="B21383" t="inlineStr">
        <is>
          <t>x̄x̄MCCCLXXXII</t>
        </is>
      </c>
      <c r="C21383">
        <f>ROMAN(21382)</f>
        <v/>
      </c>
      <c r="D21383">
        <f>IF(B21383=C21383, "YES", "WRONG")</f>
        <v/>
      </c>
    </row>
    <row r="21384">
      <c r="A21384" t="n">
        <v>21383</v>
      </c>
      <c r="B21384" t="inlineStr">
        <is>
          <t>x̄x̄MCCCLXXXIII</t>
        </is>
      </c>
      <c r="C21384">
        <f>ROMAN(21383)</f>
        <v/>
      </c>
      <c r="D21384">
        <f>IF(B21384=C21384, "YES", "WRONG")</f>
        <v/>
      </c>
    </row>
    <row r="21385">
      <c r="A21385" t="n">
        <v>21384</v>
      </c>
      <c r="B21385" t="inlineStr">
        <is>
          <t>x̄x̄MCCCLXXXIV</t>
        </is>
      </c>
      <c r="C21385">
        <f>ROMAN(21384)</f>
        <v/>
      </c>
      <c r="D21385">
        <f>IF(B21385=C21385, "YES", "WRONG")</f>
        <v/>
      </c>
    </row>
    <row r="21386">
      <c r="A21386" t="n">
        <v>21385</v>
      </c>
      <c r="B21386" t="inlineStr">
        <is>
          <t>x̄x̄MCCCLXXXV</t>
        </is>
      </c>
      <c r="C21386">
        <f>ROMAN(21385)</f>
        <v/>
      </c>
      <c r="D21386">
        <f>IF(B21386=C21386, "YES", "WRONG")</f>
        <v/>
      </c>
    </row>
    <row r="21387">
      <c r="A21387" t="n">
        <v>21386</v>
      </c>
      <c r="B21387" t="inlineStr">
        <is>
          <t>x̄x̄MCCCLXXXVI</t>
        </is>
      </c>
      <c r="C21387">
        <f>ROMAN(21386)</f>
        <v/>
      </c>
      <c r="D21387">
        <f>IF(B21387=C21387, "YES", "WRONG")</f>
        <v/>
      </c>
    </row>
    <row r="21388">
      <c r="A21388" t="n">
        <v>21387</v>
      </c>
      <c r="B21388" t="inlineStr">
        <is>
          <t>x̄x̄MCCCLXXXVII</t>
        </is>
      </c>
      <c r="C21388">
        <f>ROMAN(21387)</f>
        <v/>
      </c>
      <c r="D21388">
        <f>IF(B21388=C21388, "YES", "WRONG")</f>
        <v/>
      </c>
    </row>
    <row r="21389">
      <c r="A21389" t="n">
        <v>21388</v>
      </c>
      <c r="B21389" t="inlineStr">
        <is>
          <t>x̄x̄MCCCLXXXVIII</t>
        </is>
      </c>
      <c r="C21389">
        <f>ROMAN(21388)</f>
        <v/>
      </c>
      <c r="D21389">
        <f>IF(B21389=C21389, "YES", "WRONG")</f>
        <v/>
      </c>
    </row>
    <row r="21390">
      <c r="A21390" t="n">
        <v>21389</v>
      </c>
      <c r="B21390" t="inlineStr">
        <is>
          <t>x̄x̄MCCCLXXXIX</t>
        </is>
      </c>
      <c r="C21390">
        <f>ROMAN(21389)</f>
        <v/>
      </c>
      <c r="D21390">
        <f>IF(B21390=C21390, "YES", "WRONG")</f>
        <v/>
      </c>
    </row>
    <row r="21391">
      <c r="A21391" t="n">
        <v>21390</v>
      </c>
      <c r="B21391" t="inlineStr">
        <is>
          <t>x̄x̄MCCCXC</t>
        </is>
      </c>
      <c r="C21391">
        <f>ROMAN(21390)</f>
        <v/>
      </c>
      <c r="D21391">
        <f>IF(B21391=C21391, "YES", "WRONG")</f>
        <v/>
      </c>
    </row>
    <row r="21392">
      <c r="A21392" t="n">
        <v>21391</v>
      </c>
      <c r="B21392" t="inlineStr">
        <is>
          <t>x̄x̄MCCCXCI</t>
        </is>
      </c>
      <c r="C21392">
        <f>ROMAN(21391)</f>
        <v/>
      </c>
      <c r="D21392">
        <f>IF(B21392=C21392, "YES", "WRONG")</f>
        <v/>
      </c>
    </row>
    <row r="21393">
      <c r="A21393" t="n">
        <v>21392</v>
      </c>
      <c r="B21393" t="inlineStr">
        <is>
          <t>x̄x̄MCCCXCII</t>
        </is>
      </c>
      <c r="C21393">
        <f>ROMAN(21392)</f>
        <v/>
      </c>
      <c r="D21393">
        <f>IF(B21393=C21393, "YES", "WRONG")</f>
        <v/>
      </c>
    </row>
    <row r="21394">
      <c r="A21394" t="n">
        <v>21393</v>
      </c>
      <c r="B21394" t="inlineStr">
        <is>
          <t>x̄x̄MCCCXCIII</t>
        </is>
      </c>
      <c r="C21394">
        <f>ROMAN(21393)</f>
        <v/>
      </c>
      <c r="D21394">
        <f>IF(B21394=C21394, "YES", "WRONG")</f>
        <v/>
      </c>
    </row>
    <row r="21395">
      <c r="A21395" t="n">
        <v>21394</v>
      </c>
      <c r="B21395" t="inlineStr">
        <is>
          <t>x̄x̄MCCCXCIV</t>
        </is>
      </c>
      <c r="C21395">
        <f>ROMAN(21394)</f>
        <v/>
      </c>
      <c r="D21395">
        <f>IF(B21395=C21395, "YES", "WRONG")</f>
        <v/>
      </c>
    </row>
    <row r="21396">
      <c r="A21396" t="n">
        <v>21395</v>
      </c>
      <c r="B21396" t="inlineStr">
        <is>
          <t>x̄x̄MCCCXCV</t>
        </is>
      </c>
      <c r="C21396">
        <f>ROMAN(21395)</f>
        <v/>
      </c>
      <c r="D21396">
        <f>IF(B21396=C21396, "YES", "WRONG")</f>
        <v/>
      </c>
    </row>
    <row r="21397">
      <c r="A21397" t="n">
        <v>21396</v>
      </c>
      <c r="B21397" t="inlineStr">
        <is>
          <t>x̄x̄MCCCXCVI</t>
        </is>
      </c>
      <c r="C21397">
        <f>ROMAN(21396)</f>
        <v/>
      </c>
      <c r="D21397">
        <f>IF(B21397=C21397, "YES", "WRONG")</f>
        <v/>
      </c>
    </row>
    <row r="21398">
      <c r="A21398" t="n">
        <v>21397</v>
      </c>
      <c r="B21398" t="inlineStr">
        <is>
          <t>x̄x̄MCCCXCVII</t>
        </is>
      </c>
      <c r="C21398">
        <f>ROMAN(21397)</f>
        <v/>
      </c>
      <c r="D21398">
        <f>IF(B21398=C21398, "YES", "WRONG")</f>
        <v/>
      </c>
    </row>
    <row r="21399">
      <c r="A21399" t="n">
        <v>21398</v>
      </c>
      <c r="B21399" t="inlineStr">
        <is>
          <t>x̄x̄MCCCXCVIII</t>
        </is>
      </c>
      <c r="C21399">
        <f>ROMAN(21398)</f>
        <v/>
      </c>
      <c r="D21399">
        <f>IF(B21399=C21399, "YES", "WRONG")</f>
        <v/>
      </c>
    </row>
    <row r="21400">
      <c r="A21400" t="n">
        <v>21399</v>
      </c>
      <c r="B21400" t="inlineStr">
        <is>
          <t>x̄x̄MCCCXCIX</t>
        </is>
      </c>
      <c r="C21400">
        <f>ROMAN(21399)</f>
        <v/>
      </c>
      <c r="D21400">
        <f>IF(B21400=C21400, "YES", "WRONG")</f>
        <v/>
      </c>
    </row>
    <row r="21401">
      <c r="A21401" t="n">
        <v>21400</v>
      </c>
      <c r="B21401" t="inlineStr">
        <is>
          <t>x̄x̄MCD</t>
        </is>
      </c>
      <c r="C21401">
        <f>ROMAN(21400)</f>
        <v/>
      </c>
      <c r="D21401">
        <f>IF(B21401=C21401, "YES", "WRONG")</f>
        <v/>
      </c>
    </row>
    <row r="21402">
      <c r="A21402" t="n">
        <v>21401</v>
      </c>
      <c r="B21402" t="inlineStr">
        <is>
          <t>x̄x̄MCDI</t>
        </is>
      </c>
      <c r="C21402">
        <f>ROMAN(21401)</f>
        <v/>
      </c>
      <c r="D21402">
        <f>IF(B21402=C21402, "YES", "WRONG")</f>
        <v/>
      </c>
    </row>
    <row r="21403">
      <c r="A21403" t="n">
        <v>21402</v>
      </c>
      <c r="B21403" t="inlineStr">
        <is>
          <t>x̄x̄MCDII</t>
        </is>
      </c>
      <c r="C21403">
        <f>ROMAN(21402)</f>
        <v/>
      </c>
      <c r="D21403">
        <f>IF(B21403=C21403, "YES", "WRONG")</f>
        <v/>
      </c>
    </row>
    <row r="21404">
      <c r="A21404" t="n">
        <v>21403</v>
      </c>
      <c r="B21404" t="inlineStr">
        <is>
          <t>x̄x̄MCDIII</t>
        </is>
      </c>
      <c r="C21404">
        <f>ROMAN(21403)</f>
        <v/>
      </c>
      <c r="D21404">
        <f>IF(B21404=C21404, "YES", "WRONG")</f>
        <v/>
      </c>
    </row>
    <row r="21405">
      <c r="A21405" t="n">
        <v>21404</v>
      </c>
      <c r="B21405" t="inlineStr">
        <is>
          <t>x̄x̄MCDIV</t>
        </is>
      </c>
      <c r="C21405">
        <f>ROMAN(21404)</f>
        <v/>
      </c>
      <c r="D21405">
        <f>IF(B21405=C21405, "YES", "WRONG")</f>
        <v/>
      </c>
    </row>
    <row r="21406">
      <c r="A21406" t="n">
        <v>21405</v>
      </c>
      <c r="B21406" t="inlineStr">
        <is>
          <t>x̄x̄MCDV</t>
        </is>
      </c>
      <c r="C21406">
        <f>ROMAN(21405)</f>
        <v/>
      </c>
      <c r="D21406">
        <f>IF(B21406=C21406, "YES", "WRONG")</f>
        <v/>
      </c>
    </row>
    <row r="21407">
      <c r="A21407" t="n">
        <v>21406</v>
      </c>
      <c r="B21407" t="inlineStr">
        <is>
          <t>x̄x̄MCDVI</t>
        </is>
      </c>
      <c r="C21407">
        <f>ROMAN(21406)</f>
        <v/>
      </c>
      <c r="D21407">
        <f>IF(B21407=C21407, "YES", "WRONG")</f>
        <v/>
      </c>
    </row>
    <row r="21408">
      <c r="A21408" t="n">
        <v>21407</v>
      </c>
      <c r="B21408" t="inlineStr">
        <is>
          <t>x̄x̄MCDVII</t>
        </is>
      </c>
      <c r="C21408">
        <f>ROMAN(21407)</f>
        <v/>
      </c>
      <c r="D21408">
        <f>IF(B21408=C21408, "YES", "WRONG")</f>
        <v/>
      </c>
    </row>
    <row r="21409">
      <c r="A21409" t="n">
        <v>21408</v>
      </c>
      <c r="B21409" t="inlineStr">
        <is>
          <t>x̄x̄MCDVIII</t>
        </is>
      </c>
      <c r="C21409">
        <f>ROMAN(21408)</f>
        <v/>
      </c>
      <c r="D21409">
        <f>IF(B21409=C21409, "YES", "WRONG")</f>
        <v/>
      </c>
    </row>
    <row r="21410">
      <c r="A21410" t="n">
        <v>21409</v>
      </c>
      <c r="B21410" t="inlineStr">
        <is>
          <t>x̄x̄MCDIX</t>
        </is>
      </c>
      <c r="C21410">
        <f>ROMAN(21409)</f>
        <v/>
      </c>
      <c r="D21410">
        <f>IF(B21410=C21410, "YES", "WRONG")</f>
        <v/>
      </c>
    </row>
    <row r="21411">
      <c r="A21411" t="n">
        <v>21410</v>
      </c>
      <c r="B21411" t="inlineStr">
        <is>
          <t>x̄x̄MCDX</t>
        </is>
      </c>
      <c r="C21411">
        <f>ROMAN(21410)</f>
        <v/>
      </c>
      <c r="D21411">
        <f>IF(B21411=C21411, "YES", "WRONG")</f>
        <v/>
      </c>
    </row>
    <row r="21412">
      <c r="A21412" t="n">
        <v>21411</v>
      </c>
      <c r="B21412" t="inlineStr">
        <is>
          <t>x̄x̄MCDXI</t>
        </is>
      </c>
      <c r="C21412">
        <f>ROMAN(21411)</f>
        <v/>
      </c>
      <c r="D21412">
        <f>IF(B21412=C21412, "YES", "WRONG")</f>
        <v/>
      </c>
    </row>
    <row r="21413">
      <c r="A21413" t="n">
        <v>21412</v>
      </c>
      <c r="B21413" t="inlineStr">
        <is>
          <t>x̄x̄MCDXII</t>
        </is>
      </c>
      <c r="C21413">
        <f>ROMAN(21412)</f>
        <v/>
      </c>
      <c r="D21413">
        <f>IF(B21413=C21413, "YES", "WRONG")</f>
        <v/>
      </c>
    </row>
    <row r="21414">
      <c r="A21414" t="n">
        <v>21413</v>
      </c>
      <c r="B21414" t="inlineStr">
        <is>
          <t>x̄x̄MCDXIII</t>
        </is>
      </c>
      <c r="C21414">
        <f>ROMAN(21413)</f>
        <v/>
      </c>
      <c r="D21414">
        <f>IF(B21414=C21414, "YES", "WRONG")</f>
        <v/>
      </c>
    </row>
    <row r="21415">
      <c r="A21415" t="n">
        <v>21414</v>
      </c>
      <c r="B21415" t="inlineStr">
        <is>
          <t>x̄x̄MCDXIV</t>
        </is>
      </c>
      <c r="C21415">
        <f>ROMAN(21414)</f>
        <v/>
      </c>
      <c r="D21415">
        <f>IF(B21415=C21415, "YES", "WRONG")</f>
        <v/>
      </c>
    </row>
    <row r="21416">
      <c r="A21416" t="n">
        <v>21415</v>
      </c>
      <c r="B21416" t="inlineStr">
        <is>
          <t>x̄x̄MCDXV</t>
        </is>
      </c>
      <c r="C21416">
        <f>ROMAN(21415)</f>
        <v/>
      </c>
      <c r="D21416">
        <f>IF(B21416=C21416, "YES", "WRONG")</f>
        <v/>
      </c>
    </row>
    <row r="21417">
      <c r="A21417" t="n">
        <v>21416</v>
      </c>
      <c r="B21417" t="inlineStr">
        <is>
          <t>x̄x̄MCDXVI</t>
        </is>
      </c>
      <c r="C21417">
        <f>ROMAN(21416)</f>
        <v/>
      </c>
      <c r="D21417">
        <f>IF(B21417=C21417, "YES", "WRONG")</f>
        <v/>
      </c>
    </row>
    <row r="21418">
      <c r="A21418" t="n">
        <v>21417</v>
      </c>
      <c r="B21418" t="inlineStr">
        <is>
          <t>x̄x̄MCDXVII</t>
        </is>
      </c>
      <c r="C21418">
        <f>ROMAN(21417)</f>
        <v/>
      </c>
      <c r="D21418">
        <f>IF(B21418=C21418, "YES", "WRONG")</f>
        <v/>
      </c>
    </row>
    <row r="21419">
      <c r="A21419" t="n">
        <v>21418</v>
      </c>
      <c r="B21419" t="inlineStr">
        <is>
          <t>x̄x̄MCDXVIII</t>
        </is>
      </c>
      <c r="C21419">
        <f>ROMAN(21418)</f>
        <v/>
      </c>
      <c r="D21419">
        <f>IF(B21419=C21419, "YES", "WRONG")</f>
        <v/>
      </c>
    </row>
    <row r="21420">
      <c r="A21420" t="n">
        <v>21419</v>
      </c>
      <c r="B21420" t="inlineStr">
        <is>
          <t>x̄x̄MCDXIX</t>
        </is>
      </c>
      <c r="C21420">
        <f>ROMAN(21419)</f>
        <v/>
      </c>
      <c r="D21420">
        <f>IF(B21420=C21420, "YES", "WRONG")</f>
        <v/>
      </c>
    </row>
    <row r="21421">
      <c r="A21421" t="n">
        <v>21420</v>
      </c>
      <c r="B21421" t="inlineStr">
        <is>
          <t>x̄x̄MCDXX</t>
        </is>
      </c>
      <c r="C21421">
        <f>ROMAN(21420)</f>
        <v/>
      </c>
      <c r="D21421">
        <f>IF(B21421=C21421, "YES", "WRONG")</f>
        <v/>
      </c>
    </row>
    <row r="21422">
      <c r="A21422" t="n">
        <v>21421</v>
      </c>
      <c r="B21422" t="inlineStr">
        <is>
          <t>x̄x̄MCDXXI</t>
        </is>
      </c>
      <c r="C21422">
        <f>ROMAN(21421)</f>
        <v/>
      </c>
      <c r="D21422">
        <f>IF(B21422=C21422, "YES", "WRONG")</f>
        <v/>
      </c>
    </row>
    <row r="21423">
      <c r="A21423" t="n">
        <v>21422</v>
      </c>
      <c r="B21423" t="inlineStr">
        <is>
          <t>x̄x̄MCDXXII</t>
        </is>
      </c>
      <c r="C21423">
        <f>ROMAN(21422)</f>
        <v/>
      </c>
      <c r="D21423">
        <f>IF(B21423=C21423, "YES", "WRONG")</f>
        <v/>
      </c>
    </row>
    <row r="21424">
      <c r="A21424" t="n">
        <v>21423</v>
      </c>
      <c r="B21424" t="inlineStr">
        <is>
          <t>x̄x̄MCDXXIII</t>
        </is>
      </c>
      <c r="C21424">
        <f>ROMAN(21423)</f>
        <v/>
      </c>
      <c r="D21424">
        <f>IF(B21424=C21424, "YES", "WRONG")</f>
        <v/>
      </c>
    </row>
    <row r="21425">
      <c r="A21425" t="n">
        <v>21424</v>
      </c>
      <c r="B21425" t="inlineStr">
        <is>
          <t>x̄x̄MCDXXIV</t>
        </is>
      </c>
      <c r="C21425">
        <f>ROMAN(21424)</f>
        <v/>
      </c>
      <c r="D21425">
        <f>IF(B21425=C21425, "YES", "WRONG")</f>
        <v/>
      </c>
    </row>
    <row r="21426">
      <c r="A21426" t="n">
        <v>21425</v>
      </c>
      <c r="B21426" t="inlineStr">
        <is>
          <t>x̄x̄MCDXXV</t>
        </is>
      </c>
      <c r="C21426">
        <f>ROMAN(21425)</f>
        <v/>
      </c>
      <c r="D21426">
        <f>IF(B21426=C21426, "YES", "WRONG")</f>
        <v/>
      </c>
    </row>
    <row r="21427">
      <c r="A21427" t="n">
        <v>21426</v>
      </c>
      <c r="B21427" t="inlineStr">
        <is>
          <t>x̄x̄MCDXXVI</t>
        </is>
      </c>
      <c r="C21427">
        <f>ROMAN(21426)</f>
        <v/>
      </c>
      <c r="D21427">
        <f>IF(B21427=C21427, "YES", "WRONG")</f>
        <v/>
      </c>
    </row>
    <row r="21428">
      <c r="A21428" t="n">
        <v>21427</v>
      </c>
      <c r="B21428" t="inlineStr">
        <is>
          <t>x̄x̄MCDXXVII</t>
        </is>
      </c>
      <c r="C21428">
        <f>ROMAN(21427)</f>
        <v/>
      </c>
      <c r="D21428">
        <f>IF(B21428=C21428, "YES", "WRONG")</f>
        <v/>
      </c>
    </row>
    <row r="21429">
      <c r="A21429" t="n">
        <v>21428</v>
      </c>
      <c r="B21429" t="inlineStr">
        <is>
          <t>x̄x̄MCDXXVIII</t>
        </is>
      </c>
      <c r="C21429">
        <f>ROMAN(21428)</f>
        <v/>
      </c>
      <c r="D21429">
        <f>IF(B21429=C21429, "YES", "WRONG")</f>
        <v/>
      </c>
    </row>
    <row r="21430">
      <c r="A21430" t="n">
        <v>21429</v>
      </c>
      <c r="B21430" t="inlineStr">
        <is>
          <t>x̄x̄MCDXXIX</t>
        </is>
      </c>
      <c r="C21430">
        <f>ROMAN(21429)</f>
        <v/>
      </c>
      <c r="D21430">
        <f>IF(B21430=C21430, "YES", "WRONG")</f>
        <v/>
      </c>
    </row>
    <row r="21431">
      <c r="A21431" t="n">
        <v>21430</v>
      </c>
      <c r="B21431" t="inlineStr">
        <is>
          <t>x̄x̄MCDXXX</t>
        </is>
      </c>
      <c r="C21431">
        <f>ROMAN(21430)</f>
        <v/>
      </c>
      <c r="D21431">
        <f>IF(B21431=C21431, "YES", "WRONG")</f>
        <v/>
      </c>
    </row>
    <row r="21432">
      <c r="A21432" t="n">
        <v>21431</v>
      </c>
      <c r="B21432" t="inlineStr">
        <is>
          <t>x̄x̄MCDXXXI</t>
        </is>
      </c>
      <c r="C21432">
        <f>ROMAN(21431)</f>
        <v/>
      </c>
      <c r="D21432">
        <f>IF(B21432=C21432, "YES", "WRONG")</f>
        <v/>
      </c>
    </row>
    <row r="21433">
      <c r="A21433" t="n">
        <v>21432</v>
      </c>
      <c r="B21433" t="inlineStr">
        <is>
          <t>x̄x̄MCDXXXII</t>
        </is>
      </c>
      <c r="C21433">
        <f>ROMAN(21432)</f>
        <v/>
      </c>
      <c r="D21433">
        <f>IF(B21433=C21433, "YES", "WRONG")</f>
        <v/>
      </c>
    </row>
    <row r="21434">
      <c r="A21434" t="n">
        <v>21433</v>
      </c>
      <c r="B21434" t="inlineStr">
        <is>
          <t>x̄x̄MCDXXXIII</t>
        </is>
      </c>
      <c r="C21434">
        <f>ROMAN(21433)</f>
        <v/>
      </c>
      <c r="D21434">
        <f>IF(B21434=C21434, "YES", "WRONG")</f>
        <v/>
      </c>
    </row>
    <row r="21435">
      <c r="A21435" t="n">
        <v>21434</v>
      </c>
      <c r="B21435" t="inlineStr">
        <is>
          <t>x̄x̄MCDXXXIV</t>
        </is>
      </c>
      <c r="C21435">
        <f>ROMAN(21434)</f>
        <v/>
      </c>
      <c r="D21435">
        <f>IF(B21435=C21435, "YES", "WRONG")</f>
        <v/>
      </c>
    </row>
    <row r="21436">
      <c r="A21436" t="n">
        <v>21435</v>
      </c>
      <c r="B21436" t="inlineStr">
        <is>
          <t>x̄x̄MCDXXXV</t>
        </is>
      </c>
      <c r="C21436">
        <f>ROMAN(21435)</f>
        <v/>
      </c>
      <c r="D21436">
        <f>IF(B21436=C21436, "YES", "WRONG")</f>
        <v/>
      </c>
    </row>
    <row r="21437">
      <c r="A21437" t="n">
        <v>21436</v>
      </c>
      <c r="B21437" t="inlineStr">
        <is>
          <t>x̄x̄MCDXXXVI</t>
        </is>
      </c>
      <c r="C21437">
        <f>ROMAN(21436)</f>
        <v/>
      </c>
      <c r="D21437">
        <f>IF(B21437=C21437, "YES", "WRONG")</f>
        <v/>
      </c>
    </row>
    <row r="21438">
      <c r="A21438" t="n">
        <v>21437</v>
      </c>
      <c r="B21438" t="inlineStr">
        <is>
          <t>x̄x̄MCDXXXVII</t>
        </is>
      </c>
      <c r="C21438">
        <f>ROMAN(21437)</f>
        <v/>
      </c>
      <c r="D21438">
        <f>IF(B21438=C21438, "YES", "WRONG")</f>
        <v/>
      </c>
    </row>
    <row r="21439">
      <c r="A21439" t="n">
        <v>21438</v>
      </c>
      <c r="B21439" t="inlineStr">
        <is>
          <t>x̄x̄MCDXXXVIII</t>
        </is>
      </c>
      <c r="C21439">
        <f>ROMAN(21438)</f>
        <v/>
      </c>
      <c r="D21439">
        <f>IF(B21439=C21439, "YES", "WRONG")</f>
        <v/>
      </c>
    </row>
    <row r="21440">
      <c r="A21440" t="n">
        <v>21439</v>
      </c>
      <c r="B21440" t="inlineStr">
        <is>
          <t>x̄x̄MCDXXXIX</t>
        </is>
      </c>
      <c r="C21440">
        <f>ROMAN(21439)</f>
        <v/>
      </c>
      <c r="D21440">
        <f>IF(B21440=C21440, "YES", "WRONG")</f>
        <v/>
      </c>
    </row>
    <row r="21441">
      <c r="A21441" t="n">
        <v>21440</v>
      </c>
      <c r="B21441" t="inlineStr">
        <is>
          <t>x̄x̄MCDXL</t>
        </is>
      </c>
      <c r="C21441">
        <f>ROMAN(21440)</f>
        <v/>
      </c>
      <c r="D21441">
        <f>IF(B21441=C21441, "YES", "WRONG")</f>
        <v/>
      </c>
    </row>
    <row r="21442">
      <c r="A21442" t="n">
        <v>21441</v>
      </c>
      <c r="B21442" t="inlineStr">
        <is>
          <t>x̄x̄MCDXLI</t>
        </is>
      </c>
      <c r="C21442">
        <f>ROMAN(21441)</f>
        <v/>
      </c>
      <c r="D21442">
        <f>IF(B21442=C21442, "YES", "WRONG")</f>
        <v/>
      </c>
    </row>
    <row r="21443">
      <c r="A21443" t="n">
        <v>21442</v>
      </c>
      <c r="B21443" t="inlineStr">
        <is>
          <t>x̄x̄MCDXLII</t>
        </is>
      </c>
      <c r="C21443">
        <f>ROMAN(21442)</f>
        <v/>
      </c>
      <c r="D21443">
        <f>IF(B21443=C21443, "YES", "WRONG")</f>
        <v/>
      </c>
    </row>
    <row r="21444">
      <c r="A21444" t="n">
        <v>21443</v>
      </c>
      <c r="B21444" t="inlineStr">
        <is>
          <t>x̄x̄MCDXLIII</t>
        </is>
      </c>
      <c r="C21444">
        <f>ROMAN(21443)</f>
        <v/>
      </c>
      <c r="D21444">
        <f>IF(B21444=C21444, "YES", "WRONG")</f>
        <v/>
      </c>
    </row>
    <row r="21445">
      <c r="A21445" t="n">
        <v>21444</v>
      </c>
      <c r="B21445" t="inlineStr">
        <is>
          <t>x̄x̄MCDXLIV</t>
        </is>
      </c>
      <c r="C21445">
        <f>ROMAN(21444)</f>
        <v/>
      </c>
      <c r="D21445">
        <f>IF(B21445=C21445, "YES", "WRONG")</f>
        <v/>
      </c>
    </row>
    <row r="21446">
      <c r="A21446" t="n">
        <v>21445</v>
      </c>
      <c r="B21446" t="inlineStr">
        <is>
          <t>x̄x̄MCDXLV</t>
        </is>
      </c>
      <c r="C21446">
        <f>ROMAN(21445)</f>
        <v/>
      </c>
      <c r="D21446">
        <f>IF(B21446=C21446, "YES", "WRONG")</f>
        <v/>
      </c>
    </row>
    <row r="21447">
      <c r="A21447" t="n">
        <v>21446</v>
      </c>
      <c r="B21447" t="inlineStr">
        <is>
          <t>x̄x̄MCDXLVI</t>
        </is>
      </c>
      <c r="C21447">
        <f>ROMAN(21446)</f>
        <v/>
      </c>
      <c r="D21447">
        <f>IF(B21447=C21447, "YES", "WRONG")</f>
        <v/>
      </c>
    </row>
    <row r="21448">
      <c r="A21448" t="n">
        <v>21447</v>
      </c>
      <c r="B21448" t="inlineStr">
        <is>
          <t>x̄x̄MCDXLVII</t>
        </is>
      </c>
      <c r="C21448">
        <f>ROMAN(21447)</f>
        <v/>
      </c>
      <c r="D21448">
        <f>IF(B21448=C21448, "YES", "WRONG")</f>
        <v/>
      </c>
    </row>
    <row r="21449">
      <c r="A21449" t="n">
        <v>21448</v>
      </c>
      <c r="B21449" t="inlineStr">
        <is>
          <t>x̄x̄MCDXLVIII</t>
        </is>
      </c>
      <c r="C21449">
        <f>ROMAN(21448)</f>
        <v/>
      </c>
      <c r="D21449">
        <f>IF(B21449=C21449, "YES", "WRONG")</f>
        <v/>
      </c>
    </row>
    <row r="21450">
      <c r="A21450" t="n">
        <v>21449</v>
      </c>
      <c r="B21450" t="inlineStr">
        <is>
          <t>x̄x̄MCDXLIX</t>
        </is>
      </c>
      <c r="C21450">
        <f>ROMAN(21449)</f>
        <v/>
      </c>
      <c r="D21450">
        <f>IF(B21450=C21450, "YES", "WRONG")</f>
        <v/>
      </c>
    </row>
    <row r="21451">
      <c r="A21451" t="n">
        <v>21450</v>
      </c>
      <c r="B21451" t="inlineStr">
        <is>
          <t>x̄x̄MCDL</t>
        </is>
      </c>
      <c r="C21451">
        <f>ROMAN(21450)</f>
        <v/>
      </c>
      <c r="D21451">
        <f>IF(B21451=C21451, "YES", "WRONG")</f>
        <v/>
      </c>
    </row>
    <row r="21452">
      <c r="A21452" t="n">
        <v>21451</v>
      </c>
      <c r="B21452" t="inlineStr">
        <is>
          <t>x̄x̄MCDLI</t>
        </is>
      </c>
      <c r="C21452">
        <f>ROMAN(21451)</f>
        <v/>
      </c>
      <c r="D21452">
        <f>IF(B21452=C21452, "YES", "WRONG")</f>
        <v/>
      </c>
    </row>
    <row r="21453">
      <c r="A21453" t="n">
        <v>21452</v>
      </c>
      <c r="B21453" t="inlineStr">
        <is>
          <t>x̄x̄MCDLII</t>
        </is>
      </c>
      <c r="C21453">
        <f>ROMAN(21452)</f>
        <v/>
      </c>
      <c r="D21453">
        <f>IF(B21453=C21453, "YES", "WRONG")</f>
        <v/>
      </c>
    </row>
    <row r="21454">
      <c r="A21454" t="n">
        <v>21453</v>
      </c>
      <c r="B21454" t="inlineStr">
        <is>
          <t>x̄x̄MCDLIII</t>
        </is>
      </c>
      <c r="C21454">
        <f>ROMAN(21453)</f>
        <v/>
      </c>
      <c r="D21454">
        <f>IF(B21454=C21454, "YES", "WRONG")</f>
        <v/>
      </c>
    </row>
    <row r="21455">
      <c r="A21455" t="n">
        <v>21454</v>
      </c>
      <c r="B21455" t="inlineStr">
        <is>
          <t>x̄x̄MCDLIV</t>
        </is>
      </c>
      <c r="C21455">
        <f>ROMAN(21454)</f>
        <v/>
      </c>
      <c r="D21455">
        <f>IF(B21455=C21455, "YES", "WRONG")</f>
        <v/>
      </c>
    </row>
    <row r="21456">
      <c r="A21456" t="n">
        <v>21455</v>
      </c>
      <c r="B21456" t="inlineStr">
        <is>
          <t>x̄x̄MCDLV</t>
        </is>
      </c>
      <c r="C21456">
        <f>ROMAN(21455)</f>
        <v/>
      </c>
      <c r="D21456">
        <f>IF(B21456=C21456, "YES", "WRONG")</f>
        <v/>
      </c>
    </row>
    <row r="21457">
      <c r="A21457" t="n">
        <v>21456</v>
      </c>
      <c r="B21457" t="inlineStr">
        <is>
          <t>x̄x̄MCDLVI</t>
        </is>
      </c>
      <c r="C21457">
        <f>ROMAN(21456)</f>
        <v/>
      </c>
      <c r="D21457">
        <f>IF(B21457=C21457, "YES", "WRONG")</f>
        <v/>
      </c>
    </row>
    <row r="21458">
      <c r="A21458" t="n">
        <v>21457</v>
      </c>
      <c r="B21458" t="inlineStr">
        <is>
          <t>x̄x̄MCDLVII</t>
        </is>
      </c>
      <c r="C21458">
        <f>ROMAN(21457)</f>
        <v/>
      </c>
      <c r="D21458">
        <f>IF(B21458=C21458, "YES", "WRONG")</f>
        <v/>
      </c>
    </row>
    <row r="21459">
      <c r="A21459" t="n">
        <v>21458</v>
      </c>
      <c r="B21459" t="inlineStr">
        <is>
          <t>x̄x̄MCDLVIII</t>
        </is>
      </c>
      <c r="C21459">
        <f>ROMAN(21458)</f>
        <v/>
      </c>
      <c r="D21459">
        <f>IF(B21459=C21459, "YES", "WRONG")</f>
        <v/>
      </c>
    </row>
    <row r="21460">
      <c r="A21460" t="n">
        <v>21459</v>
      </c>
      <c r="B21460" t="inlineStr">
        <is>
          <t>x̄x̄MCDLIX</t>
        </is>
      </c>
      <c r="C21460">
        <f>ROMAN(21459)</f>
        <v/>
      </c>
      <c r="D21460">
        <f>IF(B21460=C21460, "YES", "WRONG")</f>
        <v/>
      </c>
    </row>
    <row r="21461">
      <c r="A21461" t="n">
        <v>21460</v>
      </c>
      <c r="B21461" t="inlineStr">
        <is>
          <t>x̄x̄MCDLX</t>
        </is>
      </c>
      <c r="C21461">
        <f>ROMAN(21460)</f>
        <v/>
      </c>
      <c r="D21461">
        <f>IF(B21461=C21461, "YES", "WRONG")</f>
        <v/>
      </c>
    </row>
    <row r="21462">
      <c r="A21462" t="n">
        <v>21461</v>
      </c>
      <c r="B21462" t="inlineStr">
        <is>
          <t>x̄x̄MCDLXI</t>
        </is>
      </c>
      <c r="C21462">
        <f>ROMAN(21461)</f>
        <v/>
      </c>
      <c r="D21462">
        <f>IF(B21462=C21462, "YES", "WRONG")</f>
        <v/>
      </c>
    </row>
    <row r="21463">
      <c r="A21463" t="n">
        <v>21462</v>
      </c>
      <c r="B21463" t="inlineStr">
        <is>
          <t>x̄x̄MCDLXII</t>
        </is>
      </c>
      <c r="C21463">
        <f>ROMAN(21462)</f>
        <v/>
      </c>
      <c r="D21463">
        <f>IF(B21463=C21463, "YES", "WRONG")</f>
        <v/>
      </c>
    </row>
    <row r="21464">
      <c r="A21464" t="n">
        <v>21463</v>
      </c>
      <c r="B21464" t="inlineStr">
        <is>
          <t>x̄x̄MCDLXIII</t>
        </is>
      </c>
      <c r="C21464">
        <f>ROMAN(21463)</f>
        <v/>
      </c>
      <c r="D21464">
        <f>IF(B21464=C21464, "YES", "WRONG")</f>
        <v/>
      </c>
    </row>
    <row r="21465">
      <c r="A21465" t="n">
        <v>21464</v>
      </c>
      <c r="B21465" t="inlineStr">
        <is>
          <t>x̄x̄MCDLXIV</t>
        </is>
      </c>
      <c r="C21465">
        <f>ROMAN(21464)</f>
        <v/>
      </c>
      <c r="D21465">
        <f>IF(B21465=C21465, "YES", "WRONG")</f>
        <v/>
      </c>
    </row>
    <row r="21466">
      <c r="A21466" t="n">
        <v>21465</v>
      </c>
      <c r="B21466" t="inlineStr">
        <is>
          <t>x̄x̄MCDLXV</t>
        </is>
      </c>
      <c r="C21466">
        <f>ROMAN(21465)</f>
        <v/>
      </c>
      <c r="D21466">
        <f>IF(B21466=C21466, "YES", "WRONG")</f>
        <v/>
      </c>
    </row>
    <row r="21467">
      <c r="A21467" t="n">
        <v>21466</v>
      </c>
      <c r="B21467" t="inlineStr">
        <is>
          <t>x̄x̄MCDLXVI</t>
        </is>
      </c>
      <c r="C21467">
        <f>ROMAN(21466)</f>
        <v/>
      </c>
      <c r="D21467">
        <f>IF(B21467=C21467, "YES", "WRONG")</f>
        <v/>
      </c>
    </row>
    <row r="21468">
      <c r="A21468" t="n">
        <v>21467</v>
      </c>
      <c r="B21468" t="inlineStr">
        <is>
          <t>x̄x̄MCDLXVII</t>
        </is>
      </c>
      <c r="C21468">
        <f>ROMAN(21467)</f>
        <v/>
      </c>
      <c r="D21468">
        <f>IF(B21468=C21468, "YES", "WRONG")</f>
        <v/>
      </c>
    </row>
    <row r="21469">
      <c r="A21469" t="n">
        <v>21468</v>
      </c>
      <c r="B21469" t="inlineStr">
        <is>
          <t>x̄x̄MCDLXVIII</t>
        </is>
      </c>
      <c r="C21469">
        <f>ROMAN(21468)</f>
        <v/>
      </c>
      <c r="D21469">
        <f>IF(B21469=C21469, "YES", "WRONG")</f>
        <v/>
      </c>
    </row>
    <row r="21470">
      <c r="A21470" t="n">
        <v>21469</v>
      </c>
      <c r="B21470" t="inlineStr">
        <is>
          <t>x̄x̄MCDLXIX</t>
        </is>
      </c>
      <c r="C21470">
        <f>ROMAN(21469)</f>
        <v/>
      </c>
      <c r="D21470">
        <f>IF(B21470=C21470, "YES", "WRONG")</f>
        <v/>
      </c>
    </row>
    <row r="21471">
      <c r="A21471" t="n">
        <v>21470</v>
      </c>
      <c r="B21471" t="inlineStr">
        <is>
          <t>x̄x̄MCDLXX</t>
        </is>
      </c>
      <c r="C21471">
        <f>ROMAN(21470)</f>
        <v/>
      </c>
      <c r="D21471">
        <f>IF(B21471=C21471, "YES", "WRONG")</f>
        <v/>
      </c>
    </row>
    <row r="21472">
      <c r="A21472" t="n">
        <v>21471</v>
      </c>
      <c r="B21472" t="inlineStr">
        <is>
          <t>x̄x̄MCDLXXI</t>
        </is>
      </c>
      <c r="C21472">
        <f>ROMAN(21471)</f>
        <v/>
      </c>
      <c r="D21472">
        <f>IF(B21472=C21472, "YES", "WRONG")</f>
        <v/>
      </c>
    </row>
    <row r="21473">
      <c r="A21473" t="n">
        <v>21472</v>
      </c>
      <c r="B21473" t="inlineStr">
        <is>
          <t>x̄x̄MCDLXXII</t>
        </is>
      </c>
      <c r="C21473">
        <f>ROMAN(21472)</f>
        <v/>
      </c>
      <c r="D21473">
        <f>IF(B21473=C21473, "YES", "WRONG")</f>
        <v/>
      </c>
    </row>
    <row r="21474">
      <c r="A21474" t="n">
        <v>21473</v>
      </c>
      <c r="B21474" t="inlineStr">
        <is>
          <t>x̄x̄MCDLXXIII</t>
        </is>
      </c>
      <c r="C21474">
        <f>ROMAN(21473)</f>
        <v/>
      </c>
      <c r="D21474">
        <f>IF(B21474=C21474, "YES", "WRONG")</f>
        <v/>
      </c>
    </row>
    <row r="21475">
      <c r="A21475" t="n">
        <v>21474</v>
      </c>
      <c r="B21475" t="inlineStr">
        <is>
          <t>x̄x̄MCDLXXIV</t>
        </is>
      </c>
      <c r="C21475">
        <f>ROMAN(21474)</f>
        <v/>
      </c>
      <c r="D21475">
        <f>IF(B21475=C21475, "YES", "WRONG")</f>
        <v/>
      </c>
    </row>
    <row r="21476">
      <c r="A21476" t="n">
        <v>21475</v>
      </c>
      <c r="B21476" t="inlineStr">
        <is>
          <t>x̄x̄MCDLXXV</t>
        </is>
      </c>
      <c r="C21476">
        <f>ROMAN(21475)</f>
        <v/>
      </c>
      <c r="D21476">
        <f>IF(B21476=C21476, "YES", "WRONG")</f>
        <v/>
      </c>
    </row>
    <row r="21477">
      <c r="A21477" t="n">
        <v>21476</v>
      </c>
      <c r="B21477" t="inlineStr">
        <is>
          <t>x̄x̄MCDLXXVI</t>
        </is>
      </c>
      <c r="C21477">
        <f>ROMAN(21476)</f>
        <v/>
      </c>
      <c r="D21477">
        <f>IF(B21477=C21477, "YES", "WRONG")</f>
        <v/>
      </c>
    </row>
    <row r="21478">
      <c r="A21478" t="n">
        <v>21477</v>
      </c>
      <c r="B21478" t="inlineStr">
        <is>
          <t>x̄x̄MCDLXXVII</t>
        </is>
      </c>
      <c r="C21478">
        <f>ROMAN(21477)</f>
        <v/>
      </c>
      <c r="D21478">
        <f>IF(B21478=C21478, "YES", "WRONG")</f>
        <v/>
      </c>
    </row>
    <row r="21479">
      <c r="A21479" t="n">
        <v>21478</v>
      </c>
      <c r="B21479" t="inlineStr">
        <is>
          <t>x̄x̄MCDLXXVIII</t>
        </is>
      </c>
      <c r="C21479">
        <f>ROMAN(21478)</f>
        <v/>
      </c>
      <c r="D21479">
        <f>IF(B21479=C21479, "YES", "WRONG")</f>
        <v/>
      </c>
    </row>
    <row r="21480">
      <c r="A21480" t="n">
        <v>21479</v>
      </c>
      <c r="B21480" t="inlineStr">
        <is>
          <t>x̄x̄MCDLXXIX</t>
        </is>
      </c>
      <c r="C21480">
        <f>ROMAN(21479)</f>
        <v/>
      </c>
      <c r="D21480">
        <f>IF(B21480=C21480, "YES", "WRONG")</f>
        <v/>
      </c>
    </row>
    <row r="21481">
      <c r="A21481" t="n">
        <v>21480</v>
      </c>
      <c r="B21481" t="inlineStr">
        <is>
          <t>x̄x̄MCDLXXX</t>
        </is>
      </c>
      <c r="C21481">
        <f>ROMAN(21480)</f>
        <v/>
      </c>
      <c r="D21481">
        <f>IF(B21481=C21481, "YES", "WRONG")</f>
        <v/>
      </c>
    </row>
    <row r="21482">
      <c r="A21482" t="n">
        <v>21481</v>
      </c>
      <c r="B21482" t="inlineStr">
        <is>
          <t>x̄x̄MCDLXXXI</t>
        </is>
      </c>
      <c r="C21482">
        <f>ROMAN(21481)</f>
        <v/>
      </c>
      <c r="D21482">
        <f>IF(B21482=C21482, "YES", "WRONG")</f>
        <v/>
      </c>
    </row>
    <row r="21483">
      <c r="A21483" t="n">
        <v>21482</v>
      </c>
      <c r="B21483" t="inlineStr">
        <is>
          <t>x̄x̄MCDLXXXII</t>
        </is>
      </c>
      <c r="C21483">
        <f>ROMAN(21482)</f>
        <v/>
      </c>
      <c r="D21483">
        <f>IF(B21483=C21483, "YES", "WRONG")</f>
        <v/>
      </c>
    </row>
    <row r="21484">
      <c r="A21484" t="n">
        <v>21483</v>
      </c>
      <c r="B21484" t="inlineStr">
        <is>
          <t>x̄x̄MCDLXXXIII</t>
        </is>
      </c>
      <c r="C21484">
        <f>ROMAN(21483)</f>
        <v/>
      </c>
      <c r="D21484">
        <f>IF(B21484=C21484, "YES", "WRONG")</f>
        <v/>
      </c>
    </row>
    <row r="21485">
      <c r="A21485" t="n">
        <v>21484</v>
      </c>
      <c r="B21485" t="inlineStr">
        <is>
          <t>x̄x̄MCDLXXXIV</t>
        </is>
      </c>
      <c r="C21485">
        <f>ROMAN(21484)</f>
        <v/>
      </c>
      <c r="D21485">
        <f>IF(B21485=C21485, "YES", "WRONG")</f>
        <v/>
      </c>
    </row>
    <row r="21486">
      <c r="A21486" t="n">
        <v>21485</v>
      </c>
      <c r="B21486" t="inlineStr">
        <is>
          <t>x̄x̄MCDLXXXV</t>
        </is>
      </c>
      <c r="C21486">
        <f>ROMAN(21485)</f>
        <v/>
      </c>
      <c r="D21486">
        <f>IF(B21486=C21486, "YES", "WRONG")</f>
        <v/>
      </c>
    </row>
    <row r="21487">
      <c r="A21487" t="n">
        <v>21486</v>
      </c>
      <c r="B21487" t="inlineStr">
        <is>
          <t>x̄x̄MCDLXXXVI</t>
        </is>
      </c>
      <c r="C21487">
        <f>ROMAN(21486)</f>
        <v/>
      </c>
      <c r="D21487">
        <f>IF(B21487=C21487, "YES", "WRONG")</f>
        <v/>
      </c>
    </row>
    <row r="21488">
      <c r="A21488" t="n">
        <v>21487</v>
      </c>
      <c r="B21488" t="inlineStr">
        <is>
          <t>x̄x̄MCDLXXXVII</t>
        </is>
      </c>
      <c r="C21488">
        <f>ROMAN(21487)</f>
        <v/>
      </c>
      <c r="D21488">
        <f>IF(B21488=C21488, "YES", "WRONG")</f>
        <v/>
      </c>
    </row>
    <row r="21489">
      <c r="A21489" t="n">
        <v>21488</v>
      </c>
      <c r="B21489" t="inlineStr">
        <is>
          <t>x̄x̄MCDLXXXVIII</t>
        </is>
      </c>
      <c r="C21489">
        <f>ROMAN(21488)</f>
        <v/>
      </c>
      <c r="D21489">
        <f>IF(B21489=C21489, "YES", "WRONG")</f>
        <v/>
      </c>
    </row>
    <row r="21490">
      <c r="A21490" t="n">
        <v>21489</v>
      </c>
      <c r="B21490" t="inlineStr">
        <is>
          <t>x̄x̄MCDLXXXIX</t>
        </is>
      </c>
      <c r="C21490">
        <f>ROMAN(21489)</f>
        <v/>
      </c>
      <c r="D21490">
        <f>IF(B21490=C21490, "YES", "WRONG")</f>
        <v/>
      </c>
    </row>
    <row r="21491">
      <c r="A21491" t="n">
        <v>21490</v>
      </c>
      <c r="B21491" t="inlineStr">
        <is>
          <t>x̄x̄MCDXC</t>
        </is>
      </c>
      <c r="C21491">
        <f>ROMAN(21490)</f>
        <v/>
      </c>
      <c r="D21491">
        <f>IF(B21491=C21491, "YES", "WRONG")</f>
        <v/>
      </c>
    </row>
    <row r="21492">
      <c r="A21492" t="n">
        <v>21491</v>
      </c>
      <c r="B21492" t="inlineStr">
        <is>
          <t>x̄x̄MCDXCI</t>
        </is>
      </c>
      <c r="C21492">
        <f>ROMAN(21491)</f>
        <v/>
      </c>
      <c r="D21492">
        <f>IF(B21492=C21492, "YES", "WRONG")</f>
        <v/>
      </c>
    </row>
    <row r="21493">
      <c r="A21493" t="n">
        <v>21492</v>
      </c>
      <c r="B21493" t="inlineStr">
        <is>
          <t>x̄x̄MCDXCII</t>
        </is>
      </c>
      <c r="C21493">
        <f>ROMAN(21492)</f>
        <v/>
      </c>
      <c r="D21493">
        <f>IF(B21493=C21493, "YES", "WRONG")</f>
        <v/>
      </c>
    </row>
    <row r="21494">
      <c r="A21494" t="n">
        <v>21493</v>
      </c>
      <c r="B21494" t="inlineStr">
        <is>
          <t>x̄x̄MCDXCIII</t>
        </is>
      </c>
      <c r="C21494">
        <f>ROMAN(21493)</f>
        <v/>
      </c>
      <c r="D21494">
        <f>IF(B21494=C21494, "YES", "WRONG")</f>
        <v/>
      </c>
    </row>
    <row r="21495">
      <c r="A21495" t="n">
        <v>21494</v>
      </c>
      <c r="B21495" t="inlineStr">
        <is>
          <t>x̄x̄MCDXCIV</t>
        </is>
      </c>
      <c r="C21495">
        <f>ROMAN(21494)</f>
        <v/>
      </c>
      <c r="D21495">
        <f>IF(B21495=C21495, "YES", "WRONG")</f>
        <v/>
      </c>
    </row>
    <row r="21496">
      <c r="A21496" t="n">
        <v>21495</v>
      </c>
      <c r="B21496" t="inlineStr">
        <is>
          <t>x̄x̄MCDXCV</t>
        </is>
      </c>
      <c r="C21496">
        <f>ROMAN(21495)</f>
        <v/>
      </c>
      <c r="D21496">
        <f>IF(B21496=C21496, "YES", "WRONG")</f>
        <v/>
      </c>
    </row>
    <row r="21497">
      <c r="A21497" t="n">
        <v>21496</v>
      </c>
      <c r="B21497" t="inlineStr">
        <is>
          <t>x̄x̄MCDXCVI</t>
        </is>
      </c>
      <c r="C21497">
        <f>ROMAN(21496)</f>
        <v/>
      </c>
      <c r="D21497">
        <f>IF(B21497=C21497, "YES", "WRONG")</f>
        <v/>
      </c>
    </row>
    <row r="21498">
      <c r="A21498" t="n">
        <v>21497</v>
      </c>
      <c r="B21498" t="inlineStr">
        <is>
          <t>x̄x̄MCDXCVII</t>
        </is>
      </c>
      <c r="C21498">
        <f>ROMAN(21497)</f>
        <v/>
      </c>
      <c r="D21498">
        <f>IF(B21498=C21498, "YES", "WRONG")</f>
        <v/>
      </c>
    </row>
    <row r="21499">
      <c r="A21499" t="n">
        <v>21498</v>
      </c>
      <c r="B21499" t="inlineStr">
        <is>
          <t>x̄x̄MCDXCVIII</t>
        </is>
      </c>
      <c r="C21499">
        <f>ROMAN(21498)</f>
        <v/>
      </c>
      <c r="D21499">
        <f>IF(B21499=C21499, "YES", "WRONG")</f>
        <v/>
      </c>
    </row>
    <row r="21500">
      <c r="A21500" t="n">
        <v>21499</v>
      </c>
      <c r="B21500" t="inlineStr">
        <is>
          <t>x̄x̄MCDXCIX</t>
        </is>
      </c>
      <c r="C21500">
        <f>ROMAN(21499)</f>
        <v/>
      </c>
      <c r="D21500">
        <f>IF(B21500=C21500, "YES", "WRONG")</f>
        <v/>
      </c>
    </row>
    <row r="21501">
      <c r="A21501" t="n">
        <v>21500</v>
      </c>
      <c r="B21501" t="inlineStr">
        <is>
          <t>x̄x̄MD</t>
        </is>
      </c>
      <c r="C21501">
        <f>ROMAN(21500)</f>
        <v/>
      </c>
      <c r="D21501">
        <f>IF(B21501=C21501, "YES", "WRONG")</f>
        <v/>
      </c>
    </row>
    <row r="21502">
      <c r="A21502" t="n">
        <v>21501</v>
      </c>
      <c r="B21502" t="inlineStr">
        <is>
          <t>x̄x̄MDI</t>
        </is>
      </c>
      <c r="C21502">
        <f>ROMAN(21501)</f>
        <v/>
      </c>
      <c r="D21502">
        <f>IF(B21502=C21502, "YES", "WRONG")</f>
        <v/>
      </c>
    </row>
    <row r="21503">
      <c r="A21503" t="n">
        <v>21502</v>
      </c>
      <c r="B21503" t="inlineStr">
        <is>
          <t>x̄x̄MDII</t>
        </is>
      </c>
      <c r="C21503">
        <f>ROMAN(21502)</f>
        <v/>
      </c>
      <c r="D21503">
        <f>IF(B21503=C21503, "YES", "WRONG")</f>
        <v/>
      </c>
    </row>
    <row r="21504">
      <c r="A21504" t="n">
        <v>21503</v>
      </c>
      <c r="B21504" t="inlineStr">
        <is>
          <t>x̄x̄MDIII</t>
        </is>
      </c>
      <c r="C21504">
        <f>ROMAN(21503)</f>
        <v/>
      </c>
      <c r="D21504">
        <f>IF(B21504=C21504, "YES", "WRONG")</f>
        <v/>
      </c>
    </row>
    <row r="21505">
      <c r="A21505" t="n">
        <v>21504</v>
      </c>
      <c r="B21505" t="inlineStr">
        <is>
          <t>x̄x̄MDIV</t>
        </is>
      </c>
      <c r="C21505">
        <f>ROMAN(21504)</f>
        <v/>
      </c>
      <c r="D21505">
        <f>IF(B21505=C21505, "YES", "WRONG")</f>
        <v/>
      </c>
    </row>
    <row r="21506">
      <c r="A21506" t="n">
        <v>21505</v>
      </c>
      <c r="B21506" t="inlineStr">
        <is>
          <t>x̄x̄MDV</t>
        </is>
      </c>
      <c r="C21506">
        <f>ROMAN(21505)</f>
        <v/>
      </c>
      <c r="D21506">
        <f>IF(B21506=C21506, "YES", "WRONG")</f>
        <v/>
      </c>
    </row>
    <row r="21507">
      <c r="A21507" t="n">
        <v>21506</v>
      </c>
      <c r="B21507" t="inlineStr">
        <is>
          <t>x̄x̄MDVI</t>
        </is>
      </c>
      <c r="C21507">
        <f>ROMAN(21506)</f>
        <v/>
      </c>
      <c r="D21507">
        <f>IF(B21507=C21507, "YES", "WRONG")</f>
        <v/>
      </c>
    </row>
    <row r="21508">
      <c r="A21508" t="n">
        <v>21507</v>
      </c>
      <c r="B21508" t="inlineStr">
        <is>
          <t>x̄x̄MDVII</t>
        </is>
      </c>
      <c r="C21508">
        <f>ROMAN(21507)</f>
        <v/>
      </c>
      <c r="D21508">
        <f>IF(B21508=C21508, "YES", "WRONG")</f>
        <v/>
      </c>
    </row>
    <row r="21509">
      <c r="A21509" t="n">
        <v>21508</v>
      </c>
      <c r="B21509" t="inlineStr">
        <is>
          <t>x̄x̄MDVIII</t>
        </is>
      </c>
      <c r="C21509">
        <f>ROMAN(21508)</f>
        <v/>
      </c>
      <c r="D21509">
        <f>IF(B21509=C21509, "YES", "WRONG")</f>
        <v/>
      </c>
    </row>
    <row r="21510">
      <c r="A21510" t="n">
        <v>21509</v>
      </c>
      <c r="B21510" t="inlineStr">
        <is>
          <t>x̄x̄MDIX</t>
        </is>
      </c>
      <c r="C21510">
        <f>ROMAN(21509)</f>
        <v/>
      </c>
      <c r="D21510">
        <f>IF(B21510=C21510, "YES", "WRONG")</f>
        <v/>
      </c>
    </row>
    <row r="21511">
      <c r="A21511" t="n">
        <v>21510</v>
      </c>
      <c r="B21511" t="inlineStr">
        <is>
          <t>x̄x̄MDX</t>
        </is>
      </c>
      <c r="C21511">
        <f>ROMAN(21510)</f>
        <v/>
      </c>
      <c r="D21511">
        <f>IF(B21511=C21511, "YES", "WRONG")</f>
        <v/>
      </c>
    </row>
    <row r="21512">
      <c r="A21512" t="n">
        <v>21511</v>
      </c>
      <c r="B21512" t="inlineStr">
        <is>
          <t>x̄x̄MDXI</t>
        </is>
      </c>
      <c r="C21512">
        <f>ROMAN(21511)</f>
        <v/>
      </c>
      <c r="D21512">
        <f>IF(B21512=C21512, "YES", "WRONG")</f>
        <v/>
      </c>
    </row>
    <row r="21513">
      <c r="A21513" t="n">
        <v>21512</v>
      </c>
      <c r="B21513" t="inlineStr">
        <is>
          <t>x̄x̄MDXII</t>
        </is>
      </c>
      <c r="C21513">
        <f>ROMAN(21512)</f>
        <v/>
      </c>
      <c r="D21513">
        <f>IF(B21513=C21513, "YES", "WRONG")</f>
        <v/>
      </c>
    </row>
    <row r="21514">
      <c r="A21514" t="n">
        <v>21513</v>
      </c>
      <c r="B21514" t="inlineStr">
        <is>
          <t>x̄x̄MDXIII</t>
        </is>
      </c>
      <c r="C21514">
        <f>ROMAN(21513)</f>
        <v/>
      </c>
      <c r="D21514">
        <f>IF(B21514=C21514, "YES", "WRONG")</f>
        <v/>
      </c>
    </row>
    <row r="21515">
      <c r="A21515" t="n">
        <v>21514</v>
      </c>
      <c r="B21515" t="inlineStr">
        <is>
          <t>x̄x̄MDXIV</t>
        </is>
      </c>
      <c r="C21515">
        <f>ROMAN(21514)</f>
        <v/>
      </c>
      <c r="D21515">
        <f>IF(B21515=C21515, "YES", "WRONG")</f>
        <v/>
      </c>
    </row>
    <row r="21516">
      <c r="A21516" t="n">
        <v>21515</v>
      </c>
      <c r="B21516" t="inlineStr">
        <is>
          <t>x̄x̄MDXV</t>
        </is>
      </c>
      <c r="C21516">
        <f>ROMAN(21515)</f>
        <v/>
      </c>
      <c r="D21516">
        <f>IF(B21516=C21516, "YES", "WRONG")</f>
        <v/>
      </c>
    </row>
    <row r="21517">
      <c r="A21517" t="n">
        <v>21516</v>
      </c>
      <c r="B21517" t="inlineStr">
        <is>
          <t>x̄x̄MDXVI</t>
        </is>
      </c>
      <c r="C21517">
        <f>ROMAN(21516)</f>
        <v/>
      </c>
      <c r="D21517">
        <f>IF(B21517=C21517, "YES", "WRONG")</f>
        <v/>
      </c>
    </row>
    <row r="21518">
      <c r="A21518" t="n">
        <v>21517</v>
      </c>
      <c r="B21518" t="inlineStr">
        <is>
          <t>x̄x̄MDXVII</t>
        </is>
      </c>
      <c r="C21518">
        <f>ROMAN(21517)</f>
        <v/>
      </c>
      <c r="D21518">
        <f>IF(B21518=C21518, "YES", "WRONG")</f>
        <v/>
      </c>
    </row>
    <row r="21519">
      <c r="A21519" t="n">
        <v>21518</v>
      </c>
      <c r="B21519" t="inlineStr">
        <is>
          <t>x̄x̄MDXVIII</t>
        </is>
      </c>
      <c r="C21519">
        <f>ROMAN(21518)</f>
        <v/>
      </c>
      <c r="D21519">
        <f>IF(B21519=C21519, "YES", "WRONG")</f>
        <v/>
      </c>
    </row>
    <row r="21520">
      <c r="A21520" t="n">
        <v>21519</v>
      </c>
      <c r="B21520" t="inlineStr">
        <is>
          <t>x̄x̄MDXIX</t>
        </is>
      </c>
      <c r="C21520">
        <f>ROMAN(21519)</f>
        <v/>
      </c>
      <c r="D21520">
        <f>IF(B21520=C21520, "YES", "WRONG")</f>
        <v/>
      </c>
    </row>
    <row r="21521">
      <c r="A21521" t="n">
        <v>21520</v>
      </c>
      <c r="B21521" t="inlineStr">
        <is>
          <t>x̄x̄MDXX</t>
        </is>
      </c>
      <c r="C21521">
        <f>ROMAN(21520)</f>
        <v/>
      </c>
      <c r="D21521">
        <f>IF(B21521=C21521, "YES", "WRONG")</f>
        <v/>
      </c>
    </row>
    <row r="21522">
      <c r="A21522" t="n">
        <v>21521</v>
      </c>
      <c r="B21522" t="inlineStr">
        <is>
          <t>x̄x̄MDXXI</t>
        </is>
      </c>
      <c r="C21522">
        <f>ROMAN(21521)</f>
        <v/>
      </c>
      <c r="D21522">
        <f>IF(B21522=C21522, "YES", "WRONG")</f>
        <v/>
      </c>
    </row>
    <row r="21523">
      <c r="A21523" t="n">
        <v>21522</v>
      </c>
      <c r="B21523" t="inlineStr">
        <is>
          <t>x̄x̄MDXXII</t>
        </is>
      </c>
      <c r="C21523">
        <f>ROMAN(21522)</f>
        <v/>
      </c>
      <c r="D21523">
        <f>IF(B21523=C21523, "YES", "WRONG")</f>
        <v/>
      </c>
    </row>
    <row r="21524">
      <c r="A21524" t="n">
        <v>21523</v>
      </c>
      <c r="B21524" t="inlineStr">
        <is>
          <t>x̄x̄MDXXIII</t>
        </is>
      </c>
      <c r="C21524">
        <f>ROMAN(21523)</f>
        <v/>
      </c>
      <c r="D21524">
        <f>IF(B21524=C21524, "YES", "WRONG")</f>
        <v/>
      </c>
    </row>
    <row r="21525">
      <c r="A21525" t="n">
        <v>21524</v>
      </c>
      <c r="B21525" t="inlineStr">
        <is>
          <t>x̄x̄MDXXIV</t>
        </is>
      </c>
      <c r="C21525">
        <f>ROMAN(21524)</f>
        <v/>
      </c>
      <c r="D21525">
        <f>IF(B21525=C21525, "YES", "WRONG")</f>
        <v/>
      </c>
    </row>
    <row r="21526">
      <c r="A21526" t="n">
        <v>21525</v>
      </c>
      <c r="B21526" t="inlineStr">
        <is>
          <t>x̄x̄MDXXV</t>
        </is>
      </c>
      <c r="C21526">
        <f>ROMAN(21525)</f>
        <v/>
      </c>
      <c r="D21526">
        <f>IF(B21526=C21526, "YES", "WRONG")</f>
        <v/>
      </c>
    </row>
    <row r="21527">
      <c r="A21527" t="n">
        <v>21526</v>
      </c>
      <c r="B21527" t="inlineStr">
        <is>
          <t>x̄x̄MDXXVI</t>
        </is>
      </c>
      <c r="C21527">
        <f>ROMAN(21526)</f>
        <v/>
      </c>
      <c r="D21527">
        <f>IF(B21527=C21527, "YES", "WRONG")</f>
        <v/>
      </c>
    </row>
    <row r="21528">
      <c r="A21528" t="n">
        <v>21527</v>
      </c>
      <c r="B21528" t="inlineStr">
        <is>
          <t>x̄x̄MDXXVII</t>
        </is>
      </c>
      <c r="C21528">
        <f>ROMAN(21527)</f>
        <v/>
      </c>
      <c r="D21528">
        <f>IF(B21528=C21528, "YES", "WRONG")</f>
        <v/>
      </c>
    </row>
    <row r="21529">
      <c r="A21529" t="n">
        <v>21528</v>
      </c>
      <c r="B21529" t="inlineStr">
        <is>
          <t>x̄x̄MDXXVIII</t>
        </is>
      </c>
      <c r="C21529">
        <f>ROMAN(21528)</f>
        <v/>
      </c>
      <c r="D21529">
        <f>IF(B21529=C21529, "YES", "WRONG")</f>
        <v/>
      </c>
    </row>
    <row r="21530">
      <c r="A21530" t="n">
        <v>21529</v>
      </c>
      <c r="B21530" t="inlineStr">
        <is>
          <t>x̄x̄MDXXIX</t>
        </is>
      </c>
      <c r="C21530">
        <f>ROMAN(21529)</f>
        <v/>
      </c>
      <c r="D21530">
        <f>IF(B21530=C21530, "YES", "WRONG")</f>
        <v/>
      </c>
    </row>
    <row r="21531">
      <c r="A21531" t="n">
        <v>21530</v>
      </c>
      <c r="B21531" t="inlineStr">
        <is>
          <t>x̄x̄MDXXX</t>
        </is>
      </c>
      <c r="C21531">
        <f>ROMAN(21530)</f>
        <v/>
      </c>
      <c r="D21531">
        <f>IF(B21531=C21531, "YES", "WRONG")</f>
        <v/>
      </c>
    </row>
    <row r="21532">
      <c r="A21532" t="n">
        <v>21531</v>
      </c>
      <c r="B21532" t="inlineStr">
        <is>
          <t>x̄x̄MDXXXI</t>
        </is>
      </c>
      <c r="C21532">
        <f>ROMAN(21531)</f>
        <v/>
      </c>
      <c r="D21532">
        <f>IF(B21532=C21532, "YES", "WRONG")</f>
        <v/>
      </c>
    </row>
    <row r="21533">
      <c r="A21533" t="n">
        <v>21532</v>
      </c>
      <c r="B21533" t="inlineStr">
        <is>
          <t>x̄x̄MDXXXII</t>
        </is>
      </c>
      <c r="C21533">
        <f>ROMAN(21532)</f>
        <v/>
      </c>
      <c r="D21533">
        <f>IF(B21533=C21533, "YES", "WRONG")</f>
        <v/>
      </c>
    </row>
    <row r="21534">
      <c r="A21534" t="n">
        <v>21533</v>
      </c>
      <c r="B21534" t="inlineStr">
        <is>
          <t>x̄x̄MDXXXIII</t>
        </is>
      </c>
      <c r="C21534">
        <f>ROMAN(21533)</f>
        <v/>
      </c>
      <c r="D21534">
        <f>IF(B21534=C21534, "YES", "WRONG")</f>
        <v/>
      </c>
    </row>
    <row r="21535">
      <c r="A21535" t="n">
        <v>21534</v>
      </c>
      <c r="B21535" t="inlineStr">
        <is>
          <t>x̄x̄MDXXXIV</t>
        </is>
      </c>
      <c r="C21535">
        <f>ROMAN(21534)</f>
        <v/>
      </c>
      <c r="D21535">
        <f>IF(B21535=C21535, "YES", "WRONG")</f>
        <v/>
      </c>
    </row>
    <row r="21536">
      <c r="A21536" t="n">
        <v>21535</v>
      </c>
      <c r="B21536" t="inlineStr">
        <is>
          <t>x̄x̄MDXXXV</t>
        </is>
      </c>
      <c r="C21536">
        <f>ROMAN(21535)</f>
        <v/>
      </c>
      <c r="D21536">
        <f>IF(B21536=C21536, "YES", "WRONG")</f>
        <v/>
      </c>
    </row>
    <row r="21537">
      <c r="A21537" t="n">
        <v>21536</v>
      </c>
      <c r="B21537" t="inlineStr">
        <is>
          <t>x̄x̄MDXXXVI</t>
        </is>
      </c>
      <c r="C21537">
        <f>ROMAN(21536)</f>
        <v/>
      </c>
      <c r="D21537">
        <f>IF(B21537=C21537, "YES", "WRONG")</f>
        <v/>
      </c>
    </row>
    <row r="21538">
      <c r="A21538" t="n">
        <v>21537</v>
      </c>
      <c r="B21538" t="inlineStr">
        <is>
          <t>x̄x̄MDXXXVII</t>
        </is>
      </c>
      <c r="C21538">
        <f>ROMAN(21537)</f>
        <v/>
      </c>
      <c r="D21538">
        <f>IF(B21538=C21538, "YES", "WRONG")</f>
        <v/>
      </c>
    </row>
    <row r="21539">
      <c r="A21539" t="n">
        <v>21538</v>
      </c>
      <c r="B21539" t="inlineStr">
        <is>
          <t>x̄x̄MDXXXVIII</t>
        </is>
      </c>
      <c r="C21539">
        <f>ROMAN(21538)</f>
        <v/>
      </c>
      <c r="D21539">
        <f>IF(B21539=C21539, "YES", "WRONG")</f>
        <v/>
      </c>
    </row>
    <row r="21540">
      <c r="A21540" t="n">
        <v>21539</v>
      </c>
      <c r="B21540" t="inlineStr">
        <is>
          <t>x̄x̄MDXXXIX</t>
        </is>
      </c>
      <c r="C21540">
        <f>ROMAN(21539)</f>
        <v/>
      </c>
      <c r="D21540">
        <f>IF(B21540=C21540, "YES", "WRONG")</f>
        <v/>
      </c>
    </row>
    <row r="21541">
      <c r="A21541" t="n">
        <v>21540</v>
      </c>
      <c r="B21541" t="inlineStr">
        <is>
          <t>x̄x̄MDXL</t>
        </is>
      </c>
      <c r="C21541">
        <f>ROMAN(21540)</f>
        <v/>
      </c>
      <c r="D21541">
        <f>IF(B21541=C21541, "YES", "WRONG")</f>
        <v/>
      </c>
    </row>
    <row r="21542">
      <c r="A21542" t="n">
        <v>21541</v>
      </c>
      <c r="B21542" t="inlineStr">
        <is>
          <t>x̄x̄MDXLI</t>
        </is>
      </c>
      <c r="C21542">
        <f>ROMAN(21541)</f>
        <v/>
      </c>
      <c r="D21542">
        <f>IF(B21542=C21542, "YES", "WRONG")</f>
        <v/>
      </c>
    </row>
    <row r="21543">
      <c r="A21543" t="n">
        <v>21542</v>
      </c>
      <c r="B21543" t="inlineStr">
        <is>
          <t>x̄x̄MDXLII</t>
        </is>
      </c>
      <c r="C21543">
        <f>ROMAN(21542)</f>
        <v/>
      </c>
      <c r="D21543">
        <f>IF(B21543=C21543, "YES", "WRONG")</f>
        <v/>
      </c>
    </row>
    <row r="21544">
      <c r="A21544" t="n">
        <v>21543</v>
      </c>
      <c r="B21544" t="inlineStr">
        <is>
          <t>x̄x̄MDXLIII</t>
        </is>
      </c>
      <c r="C21544">
        <f>ROMAN(21543)</f>
        <v/>
      </c>
      <c r="D21544">
        <f>IF(B21544=C21544, "YES", "WRONG")</f>
        <v/>
      </c>
    </row>
    <row r="21545">
      <c r="A21545" t="n">
        <v>21544</v>
      </c>
      <c r="B21545" t="inlineStr">
        <is>
          <t>x̄x̄MDXLIV</t>
        </is>
      </c>
      <c r="C21545">
        <f>ROMAN(21544)</f>
        <v/>
      </c>
      <c r="D21545">
        <f>IF(B21545=C21545, "YES", "WRONG")</f>
        <v/>
      </c>
    </row>
    <row r="21546">
      <c r="A21546" t="n">
        <v>21545</v>
      </c>
      <c r="B21546" t="inlineStr">
        <is>
          <t>x̄x̄MDXLV</t>
        </is>
      </c>
      <c r="C21546">
        <f>ROMAN(21545)</f>
        <v/>
      </c>
      <c r="D21546">
        <f>IF(B21546=C21546, "YES", "WRONG")</f>
        <v/>
      </c>
    </row>
    <row r="21547">
      <c r="A21547" t="n">
        <v>21546</v>
      </c>
      <c r="B21547" t="inlineStr">
        <is>
          <t>x̄x̄MDXLVI</t>
        </is>
      </c>
      <c r="C21547">
        <f>ROMAN(21546)</f>
        <v/>
      </c>
      <c r="D21547">
        <f>IF(B21547=C21547, "YES", "WRONG")</f>
        <v/>
      </c>
    </row>
    <row r="21548">
      <c r="A21548" t="n">
        <v>21547</v>
      </c>
      <c r="B21548" t="inlineStr">
        <is>
          <t>x̄x̄MDXLVII</t>
        </is>
      </c>
      <c r="C21548">
        <f>ROMAN(21547)</f>
        <v/>
      </c>
      <c r="D21548">
        <f>IF(B21548=C21548, "YES", "WRONG")</f>
        <v/>
      </c>
    </row>
    <row r="21549">
      <c r="A21549" t="n">
        <v>21548</v>
      </c>
      <c r="B21549" t="inlineStr">
        <is>
          <t>x̄x̄MDXLVIII</t>
        </is>
      </c>
      <c r="C21549">
        <f>ROMAN(21548)</f>
        <v/>
      </c>
      <c r="D21549">
        <f>IF(B21549=C21549, "YES", "WRONG")</f>
        <v/>
      </c>
    </row>
    <row r="21550">
      <c r="A21550" t="n">
        <v>21549</v>
      </c>
      <c r="B21550" t="inlineStr">
        <is>
          <t>x̄x̄MDXLIX</t>
        </is>
      </c>
      <c r="C21550">
        <f>ROMAN(21549)</f>
        <v/>
      </c>
      <c r="D21550">
        <f>IF(B21550=C21550, "YES", "WRONG")</f>
        <v/>
      </c>
    </row>
    <row r="21551">
      <c r="A21551" t="n">
        <v>21550</v>
      </c>
      <c r="B21551" t="inlineStr">
        <is>
          <t>x̄x̄MDL</t>
        </is>
      </c>
      <c r="C21551">
        <f>ROMAN(21550)</f>
        <v/>
      </c>
      <c r="D21551">
        <f>IF(B21551=C21551, "YES", "WRONG")</f>
        <v/>
      </c>
    </row>
    <row r="21552">
      <c r="A21552" t="n">
        <v>21551</v>
      </c>
      <c r="B21552" t="inlineStr">
        <is>
          <t>x̄x̄MDLI</t>
        </is>
      </c>
      <c r="C21552">
        <f>ROMAN(21551)</f>
        <v/>
      </c>
      <c r="D21552">
        <f>IF(B21552=C21552, "YES", "WRONG")</f>
        <v/>
      </c>
    </row>
    <row r="21553">
      <c r="A21553" t="n">
        <v>21552</v>
      </c>
      <c r="B21553" t="inlineStr">
        <is>
          <t>x̄x̄MDLII</t>
        </is>
      </c>
      <c r="C21553">
        <f>ROMAN(21552)</f>
        <v/>
      </c>
      <c r="D21553">
        <f>IF(B21553=C21553, "YES", "WRONG")</f>
        <v/>
      </c>
    </row>
    <row r="21554">
      <c r="A21554" t="n">
        <v>21553</v>
      </c>
      <c r="B21554" t="inlineStr">
        <is>
          <t>x̄x̄MDLIII</t>
        </is>
      </c>
      <c r="C21554">
        <f>ROMAN(21553)</f>
        <v/>
      </c>
      <c r="D21554">
        <f>IF(B21554=C21554, "YES", "WRONG")</f>
        <v/>
      </c>
    </row>
    <row r="21555">
      <c r="A21555" t="n">
        <v>21554</v>
      </c>
      <c r="B21555" t="inlineStr">
        <is>
          <t>x̄x̄MDLIV</t>
        </is>
      </c>
      <c r="C21555">
        <f>ROMAN(21554)</f>
        <v/>
      </c>
      <c r="D21555">
        <f>IF(B21555=C21555, "YES", "WRONG")</f>
        <v/>
      </c>
    </row>
    <row r="21556">
      <c r="A21556" t="n">
        <v>21555</v>
      </c>
      <c r="B21556" t="inlineStr">
        <is>
          <t>x̄x̄MDLV</t>
        </is>
      </c>
      <c r="C21556">
        <f>ROMAN(21555)</f>
        <v/>
      </c>
      <c r="D21556">
        <f>IF(B21556=C21556, "YES", "WRONG")</f>
        <v/>
      </c>
    </row>
    <row r="21557">
      <c r="A21557" t="n">
        <v>21556</v>
      </c>
      <c r="B21557" t="inlineStr">
        <is>
          <t>x̄x̄MDLVI</t>
        </is>
      </c>
      <c r="C21557">
        <f>ROMAN(21556)</f>
        <v/>
      </c>
      <c r="D21557">
        <f>IF(B21557=C21557, "YES", "WRONG")</f>
        <v/>
      </c>
    </row>
    <row r="21558">
      <c r="A21558" t="n">
        <v>21557</v>
      </c>
      <c r="B21558" t="inlineStr">
        <is>
          <t>x̄x̄MDLVII</t>
        </is>
      </c>
      <c r="C21558">
        <f>ROMAN(21557)</f>
        <v/>
      </c>
      <c r="D21558">
        <f>IF(B21558=C21558, "YES", "WRONG")</f>
        <v/>
      </c>
    </row>
    <row r="21559">
      <c r="A21559" t="n">
        <v>21558</v>
      </c>
      <c r="B21559" t="inlineStr">
        <is>
          <t>x̄x̄MDLVIII</t>
        </is>
      </c>
      <c r="C21559">
        <f>ROMAN(21558)</f>
        <v/>
      </c>
      <c r="D21559">
        <f>IF(B21559=C21559, "YES", "WRONG")</f>
        <v/>
      </c>
    </row>
    <row r="21560">
      <c r="A21560" t="n">
        <v>21559</v>
      </c>
      <c r="B21560" t="inlineStr">
        <is>
          <t>x̄x̄MDLIX</t>
        </is>
      </c>
      <c r="C21560">
        <f>ROMAN(21559)</f>
        <v/>
      </c>
      <c r="D21560">
        <f>IF(B21560=C21560, "YES", "WRONG")</f>
        <v/>
      </c>
    </row>
    <row r="21561">
      <c r="A21561" t="n">
        <v>21560</v>
      </c>
      <c r="B21561" t="inlineStr">
        <is>
          <t>x̄x̄MDLX</t>
        </is>
      </c>
      <c r="C21561">
        <f>ROMAN(21560)</f>
        <v/>
      </c>
      <c r="D21561">
        <f>IF(B21561=C21561, "YES", "WRONG")</f>
        <v/>
      </c>
    </row>
    <row r="21562">
      <c r="A21562" t="n">
        <v>21561</v>
      </c>
      <c r="B21562" t="inlineStr">
        <is>
          <t>x̄x̄MDLXI</t>
        </is>
      </c>
      <c r="C21562">
        <f>ROMAN(21561)</f>
        <v/>
      </c>
      <c r="D21562">
        <f>IF(B21562=C21562, "YES", "WRONG")</f>
        <v/>
      </c>
    </row>
    <row r="21563">
      <c r="A21563" t="n">
        <v>21562</v>
      </c>
      <c r="B21563" t="inlineStr">
        <is>
          <t>x̄x̄MDLXII</t>
        </is>
      </c>
      <c r="C21563">
        <f>ROMAN(21562)</f>
        <v/>
      </c>
      <c r="D21563">
        <f>IF(B21563=C21563, "YES", "WRONG")</f>
        <v/>
      </c>
    </row>
    <row r="21564">
      <c r="A21564" t="n">
        <v>21563</v>
      </c>
      <c r="B21564" t="inlineStr">
        <is>
          <t>x̄x̄MDLXIII</t>
        </is>
      </c>
      <c r="C21564">
        <f>ROMAN(21563)</f>
        <v/>
      </c>
      <c r="D21564">
        <f>IF(B21564=C21564, "YES", "WRONG")</f>
        <v/>
      </c>
    </row>
    <row r="21565">
      <c r="A21565" t="n">
        <v>21564</v>
      </c>
      <c r="B21565" t="inlineStr">
        <is>
          <t>x̄x̄MDLXIV</t>
        </is>
      </c>
      <c r="C21565">
        <f>ROMAN(21564)</f>
        <v/>
      </c>
      <c r="D21565">
        <f>IF(B21565=C21565, "YES", "WRONG")</f>
        <v/>
      </c>
    </row>
    <row r="21566">
      <c r="A21566" t="n">
        <v>21565</v>
      </c>
      <c r="B21566" t="inlineStr">
        <is>
          <t>x̄x̄MDLXV</t>
        </is>
      </c>
      <c r="C21566">
        <f>ROMAN(21565)</f>
        <v/>
      </c>
      <c r="D21566">
        <f>IF(B21566=C21566, "YES", "WRONG")</f>
        <v/>
      </c>
    </row>
    <row r="21567">
      <c r="A21567" t="n">
        <v>21566</v>
      </c>
      <c r="B21567" t="inlineStr">
        <is>
          <t>x̄x̄MDLXVI</t>
        </is>
      </c>
      <c r="C21567">
        <f>ROMAN(21566)</f>
        <v/>
      </c>
      <c r="D21567">
        <f>IF(B21567=C21567, "YES", "WRONG")</f>
        <v/>
      </c>
    </row>
    <row r="21568">
      <c r="A21568" t="n">
        <v>21567</v>
      </c>
      <c r="B21568" t="inlineStr">
        <is>
          <t>x̄x̄MDLXVII</t>
        </is>
      </c>
      <c r="C21568">
        <f>ROMAN(21567)</f>
        <v/>
      </c>
      <c r="D21568">
        <f>IF(B21568=C21568, "YES", "WRONG")</f>
        <v/>
      </c>
    </row>
    <row r="21569">
      <c r="A21569" t="n">
        <v>21568</v>
      </c>
      <c r="B21569" t="inlineStr">
        <is>
          <t>x̄x̄MDLXVIII</t>
        </is>
      </c>
      <c r="C21569">
        <f>ROMAN(21568)</f>
        <v/>
      </c>
      <c r="D21569">
        <f>IF(B21569=C21569, "YES", "WRONG")</f>
        <v/>
      </c>
    </row>
    <row r="21570">
      <c r="A21570" t="n">
        <v>21569</v>
      </c>
      <c r="B21570" t="inlineStr">
        <is>
          <t>x̄x̄MDLXIX</t>
        </is>
      </c>
      <c r="C21570">
        <f>ROMAN(21569)</f>
        <v/>
      </c>
      <c r="D21570">
        <f>IF(B21570=C21570, "YES", "WRONG")</f>
        <v/>
      </c>
    </row>
    <row r="21571">
      <c r="A21571" t="n">
        <v>21570</v>
      </c>
      <c r="B21571" t="inlineStr">
        <is>
          <t>x̄x̄MDLXX</t>
        </is>
      </c>
      <c r="C21571">
        <f>ROMAN(21570)</f>
        <v/>
      </c>
      <c r="D21571">
        <f>IF(B21571=C21571, "YES", "WRONG")</f>
        <v/>
      </c>
    </row>
    <row r="21572">
      <c r="A21572" t="n">
        <v>21571</v>
      </c>
      <c r="B21572" t="inlineStr">
        <is>
          <t>x̄x̄MDLXXI</t>
        </is>
      </c>
      <c r="C21572">
        <f>ROMAN(21571)</f>
        <v/>
      </c>
      <c r="D21572">
        <f>IF(B21572=C21572, "YES", "WRONG")</f>
        <v/>
      </c>
    </row>
    <row r="21573">
      <c r="A21573" t="n">
        <v>21572</v>
      </c>
      <c r="B21573" t="inlineStr">
        <is>
          <t>x̄x̄MDLXXII</t>
        </is>
      </c>
      <c r="C21573">
        <f>ROMAN(21572)</f>
        <v/>
      </c>
      <c r="D21573">
        <f>IF(B21573=C21573, "YES", "WRONG")</f>
        <v/>
      </c>
    </row>
    <row r="21574">
      <c r="A21574" t="n">
        <v>21573</v>
      </c>
      <c r="B21574" t="inlineStr">
        <is>
          <t>x̄x̄MDLXXIII</t>
        </is>
      </c>
      <c r="C21574">
        <f>ROMAN(21573)</f>
        <v/>
      </c>
      <c r="D21574">
        <f>IF(B21574=C21574, "YES", "WRONG")</f>
        <v/>
      </c>
    </row>
    <row r="21575">
      <c r="A21575" t="n">
        <v>21574</v>
      </c>
      <c r="B21575" t="inlineStr">
        <is>
          <t>x̄x̄MDLXXIV</t>
        </is>
      </c>
      <c r="C21575">
        <f>ROMAN(21574)</f>
        <v/>
      </c>
      <c r="D21575">
        <f>IF(B21575=C21575, "YES", "WRONG")</f>
        <v/>
      </c>
    </row>
    <row r="21576">
      <c r="A21576" t="n">
        <v>21575</v>
      </c>
      <c r="B21576" t="inlineStr">
        <is>
          <t>x̄x̄MDLXXV</t>
        </is>
      </c>
      <c r="C21576">
        <f>ROMAN(21575)</f>
        <v/>
      </c>
      <c r="D21576">
        <f>IF(B21576=C21576, "YES", "WRONG")</f>
        <v/>
      </c>
    </row>
    <row r="21577">
      <c r="A21577" t="n">
        <v>21576</v>
      </c>
      <c r="B21577" t="inlineStr">
        <is>
          <t>x̄x̄MDLXXVI</t>
        </is>
      </c>
      <c r="C21577">
        <f>ROMAN(21576)</f>
        <v/>
      </c>
      <c r="D21577">
        <f>IF(B21577=C21577, "YES", "WRONG")</f>
        <v/>
      </c>
    </row>
    <row r="21578">
      <c r="A21578" t="n">
        <v>21577</v>
      </c>
      <c r="B21578" t="inlineStr">
        <is>
          <t>x̄x̄MDLXXVII</t>
        </is>
      </c>
      <c r="C21578">
        <f>ROMAN(21577)</f>
        <v/>
      </c>
      <c r="D21578">
        <f>IF(B21578=C21578, "YES", "WRONG")</f>
        <v/>
      </c>
    </row>
    <row r="21579">
      <c r="A21579" t="n">
        <v>21578</v>
      </c>
      <c r="B21579" t="inlineStr">
        <is>
          <t>x̄x̄MDLXXVIII</t>
        </is>
      </c>
      <c r="C21579">
        <f>ROMAN(21578)</f>
        <v/>
      </c>
      <c r="D21579">
        <f>IF(B21579=C21579, "YES", "WRONG")</f>
        <v/>
      </c>
    </row>
    <row r="21580">
      <c r="A21580" t="n">
        <v>21579</v>
      </c>
      <c r="B21580" t="inlineStr">
        <is>
          <t>x̄x̄MDLXXIX</t>
        </is>
      </c>
      <c r="C21580">
        <f>ROMAN(21579)</f>
        <v/>
      </c>
      <c r="D21580">
        <f>IF(B21580=C21580, "YES", "WRONG")</f>
        <v/>
      </c>
    </row>
    <row r="21581">
      <c r="A21581" t="n">
        <v>21580</v>
      </c>
      <c r="B21581" t="inlineStr">
        <is>
          <t>x̄x̄MDLXXX</t>
        </is>
      </c>
      <c r="C21581">
        <f>ROMAN(21580)</f>
        <v/>
      </c>
      <c r="D21581">
        <f>IF(B21581=C21581, "YES", "WRONG")</f>
        <v/>
      </c>
    </row>
    <row r="21582">
      <c r="A21582" t="n">
        <v>21581</v>
      </c>
      <c r="B21582" t="inlineStr">
        <is>
          <t>x̄x̄MDLXXXI</t>
        </is>
      </c>
      <c r="C21582">
        <f>ROMAN(21581)</f>
        <v/>
      </c>
      <c r="D21582">
        <f>IF(B21582=C21582, "YES", "WRONG")</f>
        <v/>
      </c>
    </row>
    <row r="21583">
      <c r="A21583" t="n">
        <v>21582</v>
      </c>
      <c r="B21583" t="inlineStr">
        <is>
          <t>x̄x̄MDLXXXII</t>
        </is>
      </c>
      <c r="C21583">
        <f>ROMAN(21582)</f>
        <v/>
      </c>
      <c r="D21583">
        <f>IF(B21583=C21583, "YES", "WRONG")</f>
        <v/>
      </c>
    </row>
    <row r="21584">
      <c r="A21584" t="n">
        <v>21583</v>
      </c>
      <c r="B21584" t="inlineStr">
        <is>
          <t>x̄x̄MDLXXXIII</t>
        </is>
      </c>
      <c r="C21584">
        <f>ROMAN(21583)</f>
        <v/>
      </c>
      <c r="D21584">
        <f>IF(B21584=C21584, "YES", "WRONG")</f>
        <v/>
      </c>
    </row>
    <row r="21585">
      <c r="A21585" t="n">
        <v>21584</v>
      </c>
      <c r="B21585" t="inlineStr">
        <is>
          <t>x̄x̄MDLXXXIV</t>
        </is>
      </c>
      <c r="C21585">
        <f>ROMAN(21584)</f>
        <v/>
      </c>
      <c r="D21585">
        <f>IF(B21585=C21585, "YES", "WRONG")</f>
        <v/>
      </c>
    </row>
    <row r="21586">
      <c r="A21586" t="n">
        <v>21585</v>
      </c>
      <c r="B21586" t="inlineStr">
        <is>
          <t>x̄x̄MDLXXXV</t>
        </is>
      </c>
      <c r="C21586">
        <f>ROMAN(21585)</f>
        <v/>
      </c>
      <c r="D21586">
        <f>IF(B21586=C21586, "YES", "WRONG")</f>
        <v/>
      </c>
    </row>
    <row r="21587">
      <c r="A21587" t="n">
        <v>21586</v>
      </c>
      <c r="B21587" t="inlineStr">
        <is>
          <t>x̄x̄MDLXXXVI</t>
        </is>
      </c>
      <c r="C21587">
        <f>ROMAN(21586)</f>
        <v/>
      </c>
      <c r="D21587">
        <f>IF(B21587=C21587, "YES", "WRONG")</f>
        <v/>
      </c>
    </row>
    <row r="21588">
      <c r="A21588" t="n">
        <v>21587</v>
      </c>
      <c r="B21588" t="inlineStr">
        <is>
          <t>x̄x̄MDLXXXVII</t>
        </is>
      </c>
      <c r="C21588">
        <f>ROMAN(21587)</f>
        <v/>
      </c>
      <c r="D21588">
        <f>IF(B21588=C21588, "YES", "WRONG")</f>
        <v/>
      </c>
    </row>
    <row r="21589">
      <c r="A21589" t="n">
        <v>21588</v>
      </c>
      <c r="B21589" t="inlineStr">
        <is>
          <t>x̄x̄MDLXXXVIII</t>
        </is>
      </c>
      <c r="C21589">
        <f>ROMAN(21588)</f>
        <v/>
      </c>
      <c r="D21589">
        <f>IF(B21589=C21589, "YES", "WRONG")</f>
        <v/>
      </c>
    </row>
    <row r="21590">
      <c r="A21590" t="n">
        <v>21589</v>
      </c>
      <c r="B21590" t="inlineStr">
        <is>
          <t>x̄x̄MDLXXXIX</t>
        </is>
      </c>
      <c r="C21590">
        <f>ROMAN(21589)</f>
        <v/>
      </c>
      <c r="D21590">
        <f>IF(B21590=C21590, "YES", "WRONG")</f>
        <v/>
      </c>
    </row>
    <row r="21591">
      <c r="A21591" t="n">
        <v>21590</v>
      </c>
      <c r="B21591" t="inlineStr">
        <is>
          <t>x̄x̄MDXC</t>
        </is>
      </c>
      <c r="C21591">
        <f>ROMAN(21590)</f>
        <v/>
      </c>
      <c r="D21591">
        <f>IF(B21591=C21591, "YES", "WRONG")</f>
        <v/>
      </c>
    </row>
    <row r="21592">
      <c r="A21592" t="n">
        <v>21591</v>
      </c>
      <c r="B21592" t="inlineStr">
        <is>
          <t>x̄x̄MDXCI</t>
        </is>
      </c>
      <c r="C21592">
        <f>ROMAN(21591)</f>
        <v/>
      </c>
      <c r="D21592">
        <f>IF(B21592=C21592, "YES", "WRONG")</f>
        <v/>
      </c>
    </row>
    <row r="21593">
      <c r="A21593" t="n">
        <v>21592</v>
      </c>
      <c r="B21593" t="inlineStr">
        <is>
          <t>x̄x̄MDXCII</t>
        </is>
      </c>
      <c r="C21593">
        <f>ROMAN(21592)</f>
        <v/>
      </c>
      <c r="D21593">
        <f>IF(B21593=C21593, "YES", "WRONG")</f>
        <v/>
      </c>
    </row>
    <row r="21594">
      <c r="A21594" t="n">
        <v>21593</v>
      </c>
      <c r="B21594" t="inlineStr">
        <is>
          <t>x̄x̄MDXCIII</t>
        </is>
      </c>
      <c r="C21594">
        <f>ROMAN(21593)</f>
        <v/>
      </c>
      <c r="D21594">
        <f>IF(B21594=C21594, "YES", "WRONG")</f>
        <v/>
      </c>
    </row>
    <row r="21595">
      <c r="A21595" t="n">
        <v>21594</v>
      </c>
      <c r="B21595" t="inlineStr">
        <is>
          <t>x̄x̄MDXCIV</t>
        </is>
      </c>
      <c r="C21595">
        <f>ROMAN(21594)</f>
        <v/>
      </c>
      <c r="D21595">
        <f>IF(B21595=C21595, "YES", "WRONG")</f>
        <v/>
      </c>
    </row>
    <row r="21596">
      <c r="A21596" t="n">
        <v>21595</v>
      </c>
      <c r="B21596" t="inlineStr">
        <is>
          <t>x̄x̄MDXCV</t>
        </is>
      </c>
      <c r="C21596">
        <f>ROMAN(21595)</f>
        <v/>
      </c>
      <c r="D21596">
        <f>IF(B21596=C21596, "YES", "WRONG")</f>
        <v/>
      </c>
    </row>
    <row r="21597">
      <c r="A21597" t="n">
        <v>21596</v>
      </c>
      <c r="B21597" t="inlineStr">
        <is>
          <t>x̄x̄MDXCVI</t>
        </is>
      </c>
      <c r="C21597">
        <f>ROMAN(21596)</f>
        <v/>
      </c>
      <c r="D21597">
        <f>IF(B21597=C21597, "YES", "WRONG")</f>
        <v/>
      </c>
    </row>
    <row r="21598">
      <c r="A21598" t="n">
        <v>21597</v>
      </c>
      <c r="B21598" t="inlineStr">
        <is>
          <t>x̄x̄MDXCVII</t>
        </is>
      </c>
      <c r="C21598">
        <f>ROMAN(21597)</f>
        <v/>
      </c>
      <c r="D21598">
        <f>IF(B21598=C21598, "YES", "WRONG")</f>
        <v/>
      </c>
    </row>
    <row r="21599">
      <c r="A21599" t="n">
        <v>21598</v>
      </c>
      <c r="B21599" t="inlineStr">
        <is>
          <t>x̄x̄MDXCVIII</t>
        </is>
      </c>
      <c r="C21599">
        <f>ROMAN(21598)</f>
        <v/>
      </c>
      <c r="D21599">
        <f>IF(B21599=C21599, "YES", "WRONG")</f>
        <v/>
      </c>
    </row>
    <row r="21600">
      <c r="A21600" t="n">
        <v>21599</v>
      </c>
      <c r="B21600" t="inlineStr">
        <is>
          <t>x̄x̄MDXCIX</t>
        </is>
      </c>
      <c r="C21600">
        <f>ROMAN(21599)</f>
        <v/>
      </c>
      <c r="D21600">
        <f>IF(B21600=C21600, "YES", "WRONG")</f>
        <v/>
      </c>
    </row>
    <row r="21601">
      <c r="A21601" t="n">
        <v>21600</v>
      </c>
      <c r="B21601" t="inlineStr">
        <is>
          <t>x̄x̄MDC</t>
        </is>
      </c>
      <c r="C21601">
        <f>ROMAN(21600)</f>
        <v/>
      </c>
      <c r="D21601">
        <f>IF(B21601=C21601, "YES", "WRONG")</f>
        <v/>
      </c>
    </row>
    <row r="21602">
      <c r="A21602" t="n">
        <v>21601</v>
      </c>
      <c r="B21602" t="inlineStr">
        <is>
          <t>x̄x̄MDCI</t>
        </is>
      </c>
      <c r="C21602">
        <f>ROMAN(21601)</f>
        <v/>
      </c>
      <c r="D21602">
        <f>IF(B21602=C21602, "YES", "WRONG")</f>
        <v/>
      </c>
    </row>
    <row r="21603">
      <c r="A21603" t="n">
        <v>21602</v>
      </c>
      <c r="B21603" t="inlineStr">
        <is>
          <t>x̄x̄MDCII</t>
        </is>
      </c>
      <c r="C21603">
        <f>ROMAN(21602)</f>
        <v/>
      </c>
      <c r="D21603">
        <f>IF(B21603=C21603, "YES", "WRONG")</f>
        <v/>
      </c>
    </row>
    <row r="21604">
      <c r="A21604" t="n">
        <v>21603</v>
      </c>
      <c r="B21604" t="inlineStr">
        <is>
          <t>x̄x̄MDCIII</t>
        </is>
      </c>
      <c r="C21604">
        <f>ROMAN(21603)</f>
        <v/>
      </c>
      <c r="D21604">
        <f>IF(B21604=C21604, "YES", "WRONG")</f>
        <v/>
      </c>
    </row>
    <row r="21605">
      <c r="A21605" t="n">
        <v>21604</v>
      </c>
      <c r="B21605" t="inlineStr">
        <is>
          <t>x̄x̄MDCIV</t>
        </is>
      </c>
      <c r="C21605">
        <f>ROMAN(21604)</f>
        <v/>
      </c>
      <c r="D21605">
        <f>IF(B21605=C21605, "YES", "WRONG")</f>
        <v/>
      </c>
    </row>
    <row r="21606">
      <c r="A21606" t="n">
        <v>21605</v>
      </c>
      <c r="B21606" t="inlineStr">
        <is>
          <t>x̄x̄MDCV</t>
        </is>
      </c>
      <c r="C21606">
        <f>ROMAN(21605)</f>
        <v/>
      </c>
      <c r="D21606">
        <f>IF(B21606=C21606, "YES", "WRONG")</f>
        <v/>
      </c>
    </row>
    <row r="21607">
      <c r="A21607" t="n">
        <v>21606</v>
      </c>
      <c r="B21607" t="inlineStr">
        <is>
          <t>x̄x̄MDCVI</t>
        </is>
      </c>
      <c r="C21607">
        <f>ROMAN(21606)</f>
        <v/>
      </c>
      <c r="D21607">
        <f>IF(B21607=C21607, "YES", "WRONG")</f>
        <v/>
      </c>
    </row>
    <row r="21608">
      <c r="A21608" t="n">
        <v>21607</v>
      </c>
      <c r="B21608" t="inlineStr">
        <is>
          <t>x̄x̄MDCVII</t>
        </is>
      </c>
      <c r="C21608">
        <f>ROMAN(21607)</f>
        <v/>
      </c>
      <c r="D21608">
        <f>IF(B21608=C21608, "YES", "WRONG")</f>
        <v/>
      </c>
    </row>
    <row r="21609">
      <c r="A21609" t="n">
        <v>21608</v>
      </c>
      <c r="B21609" t="inlineStr">
        <is>
          <t>x̄x̄MDCVIII</t>
        </is>
      </c>
      <c r="C21609">
        <f>ROMAN(21608)</f>
        <v/>
      </c>
      <c r="D21609">
        <f>IF(B21609=C21609, "YES", "WRONG")</f>
        <v/>
      </c>
    </row>
    <row r="21610">
      <c r="A21610" t="n">
        <v>21609</v>
      </c>
      <c r="B21610" t="inlineStr">
        <is>
          <t>x̄x̄MDCIX</t>
        </is>
      </c>
      <c r="C21610">
        <f>ROMAN(21609)</f>
        <v/>
      </c>
      <c r="D21610">
        <f>IF(B21610=C21610, "YES", "WRONG")</f>
        <v/>
      </c>
    </row>
    <row r="21611">
      <c r="A21611" t="n">
        <v>21610</v>
      </c>
      <c r="B21611" t="inlineStr">
        <is>
          <t>x̄x̄MDCX</t>
        </is>
      </c>
      <c r="C21611">
        <f>ROMAN(21610)</f>
        <v/>
      </c>
      <c r="D21611">
        <f>IF(B21611=C21611, "YES", "WRONG")</f>
        <v/>
      </c>
    </row>
    <row r="21612">
      <c r="A21612" t="n">
        <v>21611</v>
      </c>
      <c r="B21612" t="inlineStr">
        <is>
          <t>x̄x̄MDCXI</t>
        </is>
      </c>
      <c r="C21612">
        <f>ROMAN(21611)</f>
        <v/>
      </c>
      <c r="D21612">
        <f>IF(B21612=C21612, "YES", "WRONG")</f>
        <v/>
      </c>
    </row>
    <row r="21613">
      <c r="A21613" t="n">
        <v>21612</v>
      </c>
      <c r="B21613" t="inlineStr">
        <is>
          <t>x̄x̄MDCXII</t>
        </is>
      </c>
      <c r="C21613">
        <f>ROMAN(21612)</f>
        <v/>
      </c>
      <c r="D21613">
        <f>IF(B21613=C21613, "YES", "WRONG")</f>
        <v/>
      </c>
    </row>
    <row r="21614">
      <c r="A21614" t="n">
        <v>21613</v>
      </c>
      <c r="B21614" t="inlineStr">
        <is>
          <t>x̄x̄MDCXIII</t>
        </is>
      </c>
      <c r="C21614">
        <f>ROMAN(21613)</f>
        <v/>
      </c>
      <c r="D21614">
        <f>IF(B21614=C21614, "YES", "WRONG")</f>
        <v/>
      </c>
    </row>
    <row r="21615">
      <c r="A21615" t="n">
        <v>21614</v>
      </c>
      <c r="B21615" t="inlineStr">
        <is>
          <t>x̄x̄MDCXIV</t>
        </is>
      </c>
      <c r="C21615">
        <f>ROMAN(21614)</f>
        <v/>
      </c>
      <c r="D21615">
        <f>IF(B21615=C21615, "YES", "WRONG")</f>
        <v/>
      </c>
    </row>
    <row r="21616">
      <c r="A21616" t="n">
        <v>21615</v>
      </c>
      <c r="B21616" t="inlineStr">
        <is>
          <t>x̄x̄MDCXV</t>
        </is>
      </c>
      <c r="C21616">
        <f>ROMAN(21615)</f>
        <v/>
      </c>
      <c r="D21616">
        <f>IF(B21616=C21616, "YES", "WRONG")</f>
        <v/>
      </c>
    </row>
    <row r="21617">
      <c r="A21617" t="n">
        <v>21616</v>
      </c>
      <c r="B21617" t="inlineStr">
        <is>
          <t>x̄x̄MDCXVI</t>
        </is>
      </c>
      <c r="C21617">
        <f>ROMAN(21616)</f>
        <v/>
      </c>
      <c r="D21617">
        <f>IF(B21617=C21617, "YES", "WRONG")</f>
        <v/>
      </c>
    </row>
    <row r="21618">
      <c r="A21618" t="n">
        <v>21617</v>
      </c>
      <c r="B21618" t="inlineStr">
        <is>
          <t>x̄x̄MDCXVII</t>
        </is>
      </c>
      <c r="C21618">
        <f>ROMAN(21617)</f>
        <v/>
      </c>
      <c r="D21618">
        <f>IF(B21618=C21618, "YES", "WRONG")</f>
        <v/>
      </c>
    </row>
    <row r="21619">
      <c r="A21619" t="n">
        <v>21618</v>
      </c>
      <c r="B21619" t="inlineStr">
        <is>
          <t>x̄x̄MDCXVIII</t>
        </is>
      </c>
      <c r="C21619">
        <f>ROMAN(21618)</f>
        <v/>
      </c>
      <c r="D21619">
        <f>IF(B21619=C21619, "YES", "WRONG")</f>
        <v/>
      </c>
    </row>
    <row r="21620">
      <c r="A21620" t="n">
        <v>21619</v>
      </c>
      <c r="B21620" t="inlineStr">
        <is>
          <t>x̄x̄MDCXIX</t>
        </is>
      </c>
      <c r="C21620">
        <f>ROMAN(21619)</f>
        <v/>
      </c>
      <c r="D21620">
        <f>IF(B21620=C21620, "YES", "WRONG")</f>
        <v/>
      </c>
    </row>
    <row r="21621">
      <c r="A21621" t="n">
        <v>21620</v>
      </c>
      <c r="B21621" t="inlineStr">
        <is>
          <t>x̄x̄MDCXX</t>
        </is>
      </c>
      <c r="C21621">
        <f>ROMAN(21620)</f>
        <v/>
      </c>
      <c r="D21621">
        <f>IF(B21621=C21621, "YES", "WRONG")</f>
        <v/>
      </c>
    </row>
    <row r="21622">
      <c r="A21622" t="n">
        <v>21621</v>
      </c>
      <c r="B21622" t="inlineStr">
        <is>
          <t>x̄x̄MDCXXI</t>
        </is>
      </c>
      <c r="C21622">
        <f>ROMAN(21621)</f>
        <v/>
      </c>
      <c r="D21622">
        <f>IF(B21622=C21622, "YES", "WRONG")</f>
        <v/>
      </c>
    </row>
    <row r="21623">
      <c r="A21623" t="n">
        <v>21622</v>
      </c>
      <c r="B21623" t="inlineStr">
        <is>
          <t>x̄x̄MDCXXII</t>
        </is>
      </c>
      <c r="C21623">
        <f>ROMAN(21622)</f>
        <v/>
      </c>
      <c r="D21623">
        <f>IF(B21623=C21623, "YES", "WRONG")</f>
        <v/>
      </c>
    </row>
    <row r="21624">
      <c r="A21624" t="n">
        <v>21623</v>
      </c>
      <c r="B21624" t="inlineStr">
        <is>
          <t>x̄x̄MDCXXIII</t>
        </is>
      </c>
      <c r="C21624">
        <f>ROMAN(21623)</f>
        <v/>
      </c>
      <c r="D21624">
        <f>IF(B21624=C21624, "YES", "WRONG")</f>
        <v/>
      </c>
    </row>
    <row r="21625">
      <c r="A21625" t="n">
        <v>21624</v>
      </c>
      <c r="B21625" t="inlineStr">
        <is>
          <t>x̄x̄MDCXXIV</t>
        </is>
      </c>
      <c r="C21625">
        <f>ROMAN(21624)</f>
        <v/>
      </c>
      <c r="D21625">
        <f>IF(B21625=C21625, "YES", "WRONG")</f>
        <v/>
      </c>
    </row>
    <row r="21626">
      <c r="A21626" t="n">
        <v>21625</v>
      </c>
      <c r="B21626" t="inlineStr">
        <is>
          <t>x̄x̄MDCXXV</t>
        </is>
      </c>
      <c r="C21626">
        <f>ROMAN(21625)</f>
        <v/>
      </c>
      <c r="D21626">
        <f>IF(B21626=C21626, "YES", "WRONG")</f>
        <v/>
      </c>
    </row>
    <row r="21627">
      <c r="A21627" t="n">
        <v>21626</v>
      </c>
      <c r="B21627" t="inlineStr">
        <is>
          <t>x̄x̄MDCXXVI</t>
        </is>
      </c>
      <c r="C21627">
        <f>ROMAN(21626)</f>
        <v/>
      </c>
      <c r="D21627">
        <f>IF(B21627=C21627, "YES", "WRONG")</f>
        <v/>
      </c>
    </row>
    <row r="21628">
      <c r="A21628" t="n">
        <v>21627</v>
      </c>
      <c r="B21628" t="inlineStr">
        <is>
          <t>x̄x̄MDCXXVII</t>
        </is>
      </c>
      <c r="C21628">
        <f>ROMAN(21627)</f>
        <v/>
      </c>
      <c r="D21628">
        <f>IF(B21628=C21628, "YES", "WRONG")</f>
        <v/>
      </c>
    </row>
    <row r="21629">
      <c r="A21629" t="n">
        <v>21628</v>
      </c>
      <c r="B21629" t="inlineStr">
        <is>
          <t>x̄x̄MDCXXVIII</t>
        </is>
      </c>
      <c r="C21629">
        <f>ROMAN(21628)</f>
        <v/>
      </c>
      <c r="D21629">
        <f>IF(B21629=C21629, "YES", "WRONG")</f>
        <v/>
      </c>
    </row>
    <row r="21630">
      <c r="A21630" t="n">
        <v>21629</v>
      </c>
      <c r="B21630" t="inlineStr">
        <is>
          <t>x̄x̄MDCXXIX</t>
        </is>
      </c>
      <c r="C21630">
        <f>ROMAN(21629)</f>
        <v/>
      </c>
      <c r="D21630">
        <f>IF(B21630=C21630, "YES", "WRONG")</f>
        <v/>
      </c>
    </row>
    <row r="21631">
      <c r="A21631" t="n">
        <v>21630</v>
      </c>
      <c r="B21631" t="inlineStr">
        <is>
          <t>x̄x̄MDCXXX</t>
        </is>
      </c>
      <c r="C21631">
        <f>ROMAN(21630)</f>
        <v/>
      </c>
      <c r="D21631">
        <f>IF(B21631=C21631, "YES", "WRONG")</f>
        <v/>
      </c>
    </row>
    <row r="21632">
      <c r="A21632" t="n">
        <v>21631</v>
      </c>
      <c r="B21632" t="inlineStr">
        <is>
          <t>x̄x̄MDCXXXI</t>
        </is>
      </c>
      <c r="C21632">
        <f>ROMAN(21631)</f>
        <v/>
      </c>
      <c r="D21632">
        <f>IF(B21632=C21632, "YES", "WRONG")</f>
        <v/>
      </c>
    </row>
    <row r="21633">
      <c r="A21633" t="n">
        <v>21632</v>
      </c>
      <c r="B21633" t="inlineStr">
        <is>
          <t>x̄x̄MDCXXXII</t>
        </is>
      </c>
      <c r="C21633">
        <f>ROMAN(21632)</f>
        <v/>
      </c>
      <c r="D21633">
        <f>IF(B21633=C21633, "YES", "WRONG")</f>
        <v/>
      </c>
    </row>
    <row r="21634">
      <c r="A21634" t="n">
        <v>21633</v>
      </c>
      <c r="B21634" t="inlineStr">
        <is>
          <t>x̄x̄MDCXXXIII</t>
        </is>
      </c>
      <c r="C21634">
        <f>ROMAN(21633)</f>
        <v/>
      </c>
      <c r="D21634">
        <f>IF(B21634=C21634, "YES", "WRONG")</f>
        <v/>
      </c>
    </row>
    <row r="21635">
      <c r="A21635" t="n">
        <v>21634</v>
      </c>
      <c r="B21635" t="inlineStr">
        <is>
          <t>x̄x̄MDCXXXIV</t>
        </is>
      </c>
      <c r="C21635">
        <f>ROMAN(21634)</f>
        <v/>
      </c>
      <c r="D21635">
        <f>IF(B21635=C21635, "YES", "WRONG")</f>
        <v/>
      </c>
    </row>
    <row r="21636">
      <c r="A21636" t="n">
        <v>21635</v>
      </c>
      <c r="B21636" t="inlineStr">
        <is>
          <t>x̄x̄MDCXXXV</t>
        </is>
      </c>
      <c r="C21636">
        <f>ROMAN(21635)</f>
        <v/>
      </c>
      <c r="D21636">
        <f>IF(B21636=C21636, "YES", "WRONG")</f>
        <v/>
      </c>
    </row>
    <row r="21637">
      <c r="A21637" t="n">
        <v>21636</v>
      </c>
      <c r="B21637" t="inlineStr">
        <is>
          <t>x̄x̄MDCXXXVI</t>
        </is>
      </c>
      <c r="C21637">
        <f>ROMAN(21636)</f>
        <v/>
      </c>
      <c r="D21637">
        <f>IF(B21637=C21637, "YES", "WRONG")</f>
        <v/>
      </c>
    </row>
    <row r="21638">
      <c r="A21638" t="n">
        <v>21637</v>
      </c>
      <c r="B21638" t="inlineStr">
        <is>
          <t>x̄x̄MDCXXXVII</t>
        </is>
      </c>
      <c r="C21638">
        <f>ROMAN(21637)</f>
        <v/>
      </c>
      <c r="D21638">
        <f>IF(B21638=C21638, "YES", "WRONG")</f>
        <v/>
      </c>
    </row>
    <row r="21639">
      <c r="A21639" t="n">
        <v>21638</v>
      </c>
      <c r="B21639" t="inlineStr">
        <is>
          <t>x̄x̄MDCXXXVIII</t>
        </is>
      </c>
      <c r="C21639">
        <f>ROMAN(21638)</f>
        <v/>
      </c>
      <c r="D21639">
        <f>IF(B21639=C21639, "YES", "WRONG")</f>
        <v/>
      </c>
    </row>
    <row r="21640">
      <c r="A21640" t="n">
        <v>21639</v>
      </c>
      <c r="B21640" t="inlineStr">
        <is>
          <t>x̄x̄MDCXXXIX</t>
        </is>
      </c>
      <c r="C21640">
        <f>ROMAN(21639)</f>
        <v/>
      </c>
      <c r="D21640">
        <f>IF(B21640=C21640, "YES", "WRONG")</f>
        <v/>
      </c>
    </row>
    <row r="21641">
      <c r="A21641" t="n">
        <v>21640</v>
      </c>
      <c r="B21641" t="inlineStr">
        <is>
          <t>x̄x̄MDCXL</t>
        </is>
      </c>
      <c r="C21641">
        <f>ROMAN(21640)</f>
        <v/>
      </c>
      <c r="D21641">
        <f>IF(B21641=C21641, "YES", "WRONG")</f>
        <v/>
      </c>
    </row>
    <row r="21642">
      <c r="A21642" t="n">
        <v>21641</v>
      </c>
      <c r="B21642" t="inlineStr">
        <is>
          <t>x̄x̄MDCXLI</t>
        </is>
      </c>
      <c r="C21642">
        <f>ROMAN(21641)</f>
        <v/>
      </c>
      <c r="D21642">
        <f>IF(B21642=C21642, "YES", "WRONG")</f>
        <v/>
      </c>
    </row>
    <row r="21643">
      <c r="A21643" t="n">
        <v>21642</v>
      </c>
      <c r="B21643" t="inlineStr">
        <is>
          <t>x̄x̄MDCXLII</t>
        </is>
      </c>
      <c r="C21643">
        <f>ROMAN(21642)</f>
        <v/>
      </c>
      <c r="D21643">
        <f>IF(B21643=C21643, "YES", "WRONG")</f>
        <v/>
      </c>
    </row>
    <row r="21644">
      <c r="A21644" t="n">
        <v>21643</v>
      </c>
      <c r="B21644" t="inlineStr">
        <is>
          <t>x̄x̄MDCXLIII</t>
        </is>
      </c>
      <c r="C21644">
        <f>ROMAN(21643)</f>
        <v/>
      </c>
      <c r="D21644">
        <f>IF(B21644=C21644, "YES", "WRONG")</f>
        <v/>
      </c>
    </row>
    <row r="21645">
      <c r="A21645" t="n">
        <v>21644</v>
      </c>
      <c r="B21645" t="inlineStr">
        <is>
          <t>x̄x̄MDCXLIV</t>
        </is>
      </c>
      <c r="C21645">
        <f>ROMAN(21644)</f>
        <v/>
      </c>
      <c r="D21645">
        <f>IF(B21645=C21645, "YES", "WRONG")</f>
        <v/>
      </c>
    </row>
    <row r="21646">
      <c r="A21646" t="n">
        <v>21645</v>
      </c>
      <c r="B21646" t="inlineStr">
        <is>
          <t>x̄x̄MDCXLV</t>
        </is>
      </c>
      <c r="C21646">
        <f>ROMAN(21645)</f>
        <v/>
      </c>
      <c r="D21646">
        <f>IF(B21646=C21646, "YES", "WRONG")</f>
        <v/>
      </c>
    </row>
    <row r="21647">
      <c r="A21647" t="n">
        <v>21646</v>
      </c>
      <c r="B21647" t="inlineStr">
        <is>
          <t>x̄x̄MDCXLVI</t>
        </is>
      </c>
      <c r="C21647">
        <f>ROMAN(21646)</f>
        <v/>
      </c>
      <c r="D21647">
        <f>IF(B21647=C21647, "YES", "WRONG")</f>
        <v/>
      </c>
    </row>
    <row r="21648">
      <c r="A21648" t="n">
        <v>21647</v>
      </c>
      <c r="B21648" t="inlineStr">
        <is>
          <t>x̄x̄MDCXLVII</t>
        </is>
      </c>
      <c r="C21648">
        <f>ROMAN(21647)</f>
        <v/>
      </c>
      <c r="D21648">
        <f>IF(B21648=C21648, "YES", "WRONG")</f>
        <v/>
      </c>
    </row>
    <row r="21649">
      <c r="A21649" t="n">
        <v>21648</v>
      </c>
      <c r="B21649" t="inlineStr">
        <is>
          <t>x̄x̄MDCXLVIII</t>
        </is>
      </c>
      <c r="C21649">
        <f>ROMAN(21648)</f>
        <v/>
      </c>
      <c r="D21649">
        <f>IF(B21649=C21649, "YES", "WRONG")</f>
        <v/>
      </c>
    </row>
    <row r="21650">
      <c r="A21650" t="n">
        <v>21649</v>
      </c>
      <c r="B21650" t="inlineStr">
        <is>
          <t>x̄x̄MDCXLIX</t>
        </is>
      </c>
      <c r="C21650">
        <f>ROMAN(21649)</f>
        <v/>
      </c>
      <c r="D21650">
        <f>IF(B21650=C21650, "YES", "WRONG")</f>
        <v/>
      </c>
    </row>
    <row r="21651">
      <c r="A21651" t="n">
        <v>21650</v>
      </c>
      <c r="B21651" t="inlineStr">
        <is>
          <t>x̄x̄MDCL</t>
        </is>
      </c>
      <c r="C21651">
        <f>ROMAN(21650)</f>
        <v/>
      </c>
      <c r="D21651">
        <f>IF(B21651=C21651, "YES", "WRONG")</f>
        <v/>
      </c>
    </row>
    <row r="21652">
      <c r="A21652" t="n">
        <v>21651</v>
      </c>
      <c r="B21652" t="inlineStr">
        <is>
          <t>x̄x̄MDCLI</t>
        </is>
      </c>
      <c r="C21652">
        <f>ROMAN(21651)</f>
        <v/>
      </c>
      <c r="D21652">
        <f>IF(B21652=C21652, "YES", "WRONG")</f>
        <v/>
      </c>
    </row>
    <row r="21653">
      <c r="A21653" t="n">
        <v>21652</v>
      </c>
      <c r="B21653" t="inlineStr">
        <is>
          <t>x̄x̄MDCLII</t>
        </is>
      </c>
      <c r="C21653">
        <f>ROMAN(21652)</f>
        <v/>
      </c>
      <c r="D21653">
        <f>IF(B21653=C21653, "YES", "WRONG")</f>
        <v/>
      </c>
    </row>
    <row r="21654">
      <c r="A21654" t="n">
        <v>21653</v>
      </c>
      <c r="B21654" t="inlineStr">
        <is>
          <t>x̄x̄MDCLIII</t>
        </is>
      </c>
      <c r="C21654">
        <f>ROMAN(21653)</f>
        <v/>
      </c>
      <c r="D21654">
        <f>IF(B21654=C21654, "YES", "WRONG")</f>
        <v/>
      </c>
    </row>
    <row r="21655">
      <c r="A21655" t="n">
        <v>21654</v>
      </c>
      <c r="B21655" t="inlineStr">
        <is>
          <t>x̄x̄MDCLIV</t>
        </is>
      </c>
      <c r="C21655">
        <f>ROMAN(21654)</f>
        <v/>
      </c>
      <c r="D21655">
        <f>IF(B21655=C21655, "YES", "WRONG")</f>
        <v/>
      </c>
    </row>
    <row r="21656">
      <c r="A21656" t="n">
        <v>21655</v>
      </c>
      <c r="B21656" t="inlineStr">
        <is>
          <t>x̄x̄MDCLV</t>
        </is>
      </c>
      <c r="C21656">
        <f>ROMAN(21655)</f>
        <v/>
      </c>
      <c r="D21656">
        <f>IF(B21656=C21656, "YES", "WRONG")</f>
        <v/>
      </c>
    </row>
    <row r="21657">
      <c r="A21657" t="n">
        <v>21656</v>
      </c>
      <c r="B21657" t="inlineStr">
        <is>
          <t>x̄x̄MDCLVI</t>
        </is>
      </c>
      <c r="C21657">
        <f>ROMAN(21656)</f>
        <v/>
      </c>
      <c r="D21657">
        <f>IF(B21657=C21657, "YES", "WRONG")</f>
        <v/>
      </c>
    </row>
    <row r="21658">
      <c r="A21658" t="n">
        <v>21657</v>
      </c>
      <c r="B21658" t="inlineStr">
        <is>
          <t>x̄x̄MDCLVII</t>
        </is>
      </c>
      <c r="C21658">
        <f>ROMAN(21657)</f>
        <v/>
      </c>
      <c r="D21658">
        <f>IF(B21658=C21658, "YES", "WRONG")</f>
        <v/>
      </c>
    </row>
    <row r="21659">
      <c r="A21659" t="n">
        <v>21658</v>
      </c>
      <c r="B21659" t="inlineStr">
        <is>
          <t>x̄x̄MDCLVIII</t>
        </is>
      </c>
      <c r="C21659">
        <f>ROMAN(21658)</f>
        <v/>
      </c>
      <c r="D21659">
        <f>IF(B21659=C21659, "YES", "WRONG")</f>
        <v/>
      </c>
    </row>
    <row r="21660">
      <c r="A21660" t="n">
        <v>21659</v>
      </c>
      <c r="B21660" t="inlineStr">
        <is>
          <t>x̄x̄MDCLIX</t>
        </is>
      </c>
      <c r="C21660">
        <f>ROMAN(21659)</f>
        <v/>
      </c>
      <c r="D21660">
        <f>IF(B21660=C21660, "YES", "WRONG")</f>
        <v/>
      </c>
    </row>
    <row r="21661">
      <c r="A21661" t="n">
        <v>21660</v>
      </c>
      <c r="B21661" t="inlineStr">
        <is>
          <t>x̄x̄MDCLX</t>
        </is>
      </c>
      <c r="C21661">
        <f>ROMAN(21660)</f>
        <v/>
      </c>
      <c r="D21661">
        <f>IF(B21661=C21661, "YES", "WRONG")</f>
        <v/>
      </c>
    </row>
    <row r="21662">
      <c r="A21662" t="n">
        <v>21661</v>
      </c>
      <c r="B21662" t="inlineStr">
        <is>
          <t>x̄x̄MDCLXI</t>
        </is>
      </c>
      <c r="C21662">
        <f>ROMAN(21661)</f>
        <v/>
      </c>
      <c r="D21662">
        <f>IF(B21662=C21662, "YES", "WRONG")</f>
        <v/>
      </c>
    </row>
    <row r="21663">
      <c r="A21663" t="n">
        <v>21662</v>
      </c>
      <c r="B21663" t="inlineStr">
        <is>
          <t>x̄x̄MDCLXII</t>
        </is>
      </c>
      <c r="C21663">
        <f>ROMAN(21662)</f>
        <v/>
      </c>
      <c r="D21663">
        <f>IF(B21663=C21663, "YES", "WRONG")</f>
        <v/>
      </c>
    </row>
    <row r="21664">
      <c r="A21664" t="n">
        <v>21663</v>
      </c>
      <c r="B21664" t="inlineStr">
        <is>
          <t>x̄x̄MDCLXIII</t>
        </is>
      </c>
      <c r="C21664">
        <f>ROMAN(21663)</f>
        <v/>
      </c>
      <c r="D21664">
        <f>IF(B21664=C21664, "YES", "WRONG")</f>
        <v/>
      </c>
    </row>
    <row r="21665">
      <c r="A21665" t="n">
        <v>21664</v>
      </c>
      <c r="B21665" t="inlineStr">
        <is>
          <t>x̄x̄MDCLXIV</t>
        </is>
      </c>
      <c r="C21665">
        <f>ROMAN(21664)</f>
        <v/>
      </c>
      <c r="D21665">
        <f>IF(B21665=C21665, "YES", "WRONG")</f>
        <v/>
      </c>
    </row>
    <row r="21666">
      <c r="A21666" t="n">
        <v>21665</v>
      </c>
      <c r="B21666" t="inlineStr">
        <is>
          <t>x̄x̄MDCLXV</t>
        </is>
      </c>
      <c r="C21666">
        <f>ROMAN(21665)</f>
        <v/>
      </c>
      <c r="D21666">
        <f>IF(B21666=C21666, "YES", "WRONG")</f>
        <v/>
      </c>
    </row>
    <row r="21667">
      <c r="A21667" t="n">
        <v>21666</v>
      </c>
      <c r="B21667" t="inlineStr">
        <is>
          <t>x̄x̄MDCLXVI</t>
        </is>
      </c>
      <c r="C21667">
        <f>ROMAN(21666)</f>
        <v/>
      </c>
      <c r="D21667">
        <f>IF(B21667=C21667, "YES", "WRONG")</f>
        <v/>
      </c>
    </row>
    <row r="21668">
      <c r="A21668" t="n">
        <v>21667</v>
      </c>
      <c r="B21668" t="inlineStr">
        <is>
          <t>x̄x̄MDCLXVII</t>
        </is>
      </c>
      <c r="C21668">
        <f>ROMAN(21667)</f>
        <v/>
      </c>
      <c r="D21668">
        <f>IF(B21668=C21668, "YES", "WRONG")</f>
        <v/>
      </c>
    </row>
    <row r="21669">
      <c r="A21669" t="n">
        <v>21668</v>
      </c>
      <c r="B21669" t="inlineStr">
        <is>
          <t>x̄x̄MDCLXVIII</t>
        </is>
      </c>
      <c r="C21669">
        <f>ROMAN(21668)</f>
        <v/>
      </c>
      <c r="D21669">
        <f>IF(B21669=C21669, "YES", "WRONG")</f>
        <v/>
      </c>
    </row>
    <row r="21670">
      <c r="A21670" t="n">
        <v>21669</v>
      </c>
      <c r="B21670" t="inlineStr">
        <is>
          <t>x̄x̄MDCLXIX</t>
        </is>
      </c>
      <c r="C21670">
        <f>ROMAN(21669)</f>
        <v/>
      </c>
      <c r="D21670">
        <f>IF(B21670=C21670, "YES", "WRONG")</f>
        <v/>
      </c>
    </row>
    <row r="21671">
      <c r="A21671" t="n">
        <v>21670</v>
      </c>
      <c r="B21671" t="inlineStr">
        <is>
          <t>x̄x̄MDCLXX</t>
        </is>
      </c>
      <c r="C21671">
        <f>ROMAN(21670)</f>
        <v/>
      </c>
      <c r="D21671">
        <f>IF(B21671=C21671, "YES", "WRONG")</f>
        <v/>
      </c>
    </row>
    <row r="21672">
      <c r="A21672" t="n">
        <v>21671</v>
      </c>
      <c r="B21672" t="inlineStr">
        <is>
          <t>x̄x̄MDCLXXI</t>
        </is>
      </c>
      <c r="C21672">
        <f>ROMAN(21671)</f>
        <v/>
      </c>
      <c r="D21672">
        <f>IF(B21672=C21672, "YES", "WRONG")</f>
        <v/>
      </c>
    </row>
    <row r="21673">
      <c r="A21673" t="n">
        <v>21672</v>
      </c>
      <c r="B21673" t="inlineStr">
        <is>
          <t>x̄x̄MDCLXXII</t>
        </is>
      </c>
      <c r="C21673">
        <f>ROMAN(21672)</f>
        <v/>
      </c>
      <c r="D21673">
        <f>IF(B21673=C21673, "YES", "WRONG")</f>
        <v/>
      </c>
    </row>
    <row r="21674">
      <c r="A21674" t="n">
        <v>21673</v>
      </c>
      <c r="B21674" t="inlineStr">
        <is>
          <t>x̄x̄MDCLXXIII</t>
        </is>
      </c>
      <c r="C21674">
        <f>ROMAN(21673)</f>
        <v/>
      </c>
      <c r="D21674">
        <f>IF(B21674=C21674, "YES", "WRONG")</f>
        <v/>
      </c>
    </row>
    <row r="21675">
      <c r="A21675" t="n">
        <v>21674</v>
      </c>
      <c r="B21675" t="inlineStr">
        <is>
          <t>x̄x̄MDCLXXIV</t>
        </is>
      </c>
      <c r="C21675">
        <f>ROMAN(21674)</f>
        <v/>
      </c>
      <c r="D21675">
        <f>IF(B21675=C21675, "YES", "WRONG")</f>
        <v/>
      </c>
    </row>
    <row r="21676">
      <c r="A21676" t="n">
        <v>21675</v>
      </c>
      <c r="B21676" t="inlineStr">
        <is>
          <t>x̄x̄MDCLXXV</t>
        </is>
      </c>
      <c r="C21676">
        <f>ROMAN(21675)</f>
        <v/>
      </c>
      <c r="D21676">
        <f>IF(B21676=C21676, "YES", "WRONG")</f>
        <v/>
      </c>
    </row>
    <row r="21677">
      <c r="A21677" t="n">
        <v>21676</v>
      </c>
      <c r="B21677" t="inlineStr">
        <is>
          <t>x̄x̄MDCLXXVI</t>
        </is>
      </c>
      <c r="C21677">
        <f>ROMAN(21676)</f>
        <v/>
      </c>
      <c r="D21677">
        <f>IF(B21677=C21677, "YES", "WRONG")</f>
        <v/>
      </c>
    </row>
    <row r="21678">
      <c r="A21678" t="n">
        <v>21677</v>
      </c>
      <c r="B21678" t="inlineStr">
        <is>
          <t>x̄x̄MDCLXXVII</t>
        </is>
      </c>
      <c r="C21678">
        <f>ROMAN(21677)</f>
        <v/>
      </c>
      <c r="D21678">
        <f>IF(B21678=C21678, "YES", "WRONG")</f>
        <v/>
      </c>
    </row>
    <row r="21679">
      <c r="A21679" t="n">
        <v>21678</v>
      </c>
      <c r="B21679" t="inlineStr">
        <is>
          <t>x̄x̄MDCLXXVIII</t>
        </is>
      </c>
      <c r="C21679">
        <f>ROMAN(21678)</f>
        <v/>
      </c>
      <c r="D21679">
        <f>IF(B21679=C21679, "YES", "WRONG")</f>
        <v/>
      </c>
    </row>
    <row r="21680">
      <c r="A21680" t="n">
        <v>21679</v>
      </c>
      <c r="B21680" t="inlineStr">
        <is>
          <t>x̄x̄MDCLXXIX</t>
        </is>
      </c>
      <c r="C21680">
        <f>ROMAN(21679)</f>
        <v/>
      </c>
      <c r="D21680">
        <f>IF(B21680=C21680, "YES", "WRONG")</f>
        <v/>
      </c>
    </row>
    <row r="21681">
      <c r="A21681" t="n">
        <v>21680</v>
      </c>
      <c r="B21681" t="inlineStr">
        <is>
          <t>x̄x̄MDCLXXX</t>
        </is>
      </c>
      <c r="C21681">
        <f>ROMAN(21680)</f>
        <v/>
      </c>
      <c r="D21681">
        <f>IF(B21681=C21681, "YES", "WRONG")</f>
        <v/>
      </c>
    </row>
    <row r="21682">
      <c r="A21682" t="n">
        <v>21681</v>
      </c>
      <c r="B21682" t="inlineStr">
        <is>
          <t>x̄x̄MDCLXXXI</t>
        </is>
      </c>
      <c r="C21682">
        <f>ROMAN(21681)</f>
        <v/>
      </c>
      <c r="D21682">
        <f>IF(B21682=C21682, "YES", "WRONG")</f>
        <v/>
      </c>
    </row>
    <row r="21683">
      <c r="A21683" t="n">
        <v>21682</v>
      </c>
      <c r="B21683" t="inlineStr">
        <is>
          <t>x̄x̄MDCLXXXII</t>
        </is>
      </c>
      <c r="C21683">
        <f>ROMAN(21682)</f>
        <v/>
      </c>
      <c r="D21683">
        <f>IF(B21683=C21683, "YES", "WRONG")</f>
        <v/>
      </c>
    </row>
    <row r="21684">
      <c r="A21684" t="n">
        <v>21683</v>
      </c>
      <c r="B21684" t="inlineStr">
        <is>
          <t>x̄x̄MDCLXXXIII</t>
        </is>
      </c>
      <c r="C21684">
        <f>ROMAN(21683)</f>
        <v/>
      </c>
      <c r="D21684">
        <f>IF(B21684=C21684, "YES", "WRONG")</f>
        <v/>
      </c>
    </row>
    <row r="21685">
      <c r="A21685" t="n">
        <v>21684</v>
      </c>
      <c r="B21685" t="inlineStr">
        <is>
          <t>x̄x̄MDCLXXXIV</t>
        </is>
      </c>
      <c r="C21685">
        <f>ROMAN(21684)</f>
        <v/>
      </c>
      <c r="D21685">
        <f>IF(B21685=C21685, "YES", "WRONG")</f>
        <v/>
      </c>
    </row>
    <row r="21686">
      <c r="A21686" t="n">
        <v>21685</v>
      </c>
      <c r="B21686" t="inlineStr">
        <is>
          <t>x̄x̄MDCLXXXV</t>
        </is>
      </c>
      <c r="C21686">
        <f>ROMAN(21685)</f>
        <v/>
      </c>
      <c r="D21686">
        <f>IF(B21686=C21686, "YES", "WRONG")</f>
        <v/>
      </c>
    </row>
    <row r="21687">
      <c r="A21687" t="n">
        <v>21686</v>
      </c>
      <c r="B21687" t="inlineStr">
        <is>
          <t>x̄x̄MDCLXXXVI</t>
        </is>
      </c>
      <c r="C21687">
        <f>ROMAN(21686)</f>
        <v/>
      </c>
      <c r="D21687">
        <f>IF(B21687=C21687, "YES", "WRONG")</f>
        <v/>
      </c>
    </row>
    <row r="21688">
      <c r="A21688" t="n">
        <v>21687</v>
      </c>
      <c r="B21688" t="inlineStr">
        <is>
          <t>x̄x̄MDCLXXXVII</t>
        </is>
      </c>
      <c r="C21688">
        <f>ROMAN(21687)</f>
        <v/>
      </c>
      <c r="D21688">
        <f>IF(B21688=C21688, "YES", "WRONG")</f>
        <v/>
      </c>
    </row>
    <row r="21689">
      <c r="A21689" t="n">
        <v>21688</v>
      </c>
      <c r="B21689" t="inlineStr">
        <is>
          <t>x̄x̄MDCLXXXVIII</t>
        </is>
      </c>
      <c r="C21689">
        <f>ROMAN(21688)</f>
        <v/>
      </c>
      <c r="D21689">
        <f>IF(B21689=C21689, "YES", "WRONG")</f>
        <v/>
      </c>
    </row>
    <row r="21690">
      <c r="A21690" t="n">
        <v>21689</v>
      </c>
      <c r="B21690" t="inlineStr">
        <is>
          <t>x̄x̄MDCLXXXIX</t>
        </is>
      </c>
      <c r="C21690">
        <f>ROMAN(21689)</f>
        <v/>
      </c>
      <c r="D21690">
        <f>IF(B21690=C21690, "YES", "WRONG")</f>
        <v/>
      </c>
    </row>
    <row r="21691">
      <c r="A21691" t="n">
        <v>21690</v>
      </c>
      <c r="B21691" t="inlineStr">
        <is>
          <t>x̄x̄MDCXC</t>
        </is>
      </c>
      <c r="C21691">
        <f>ROMAN(21690)</f>
        <v/>
      </c>
      <c r="D21691">
        <f>IF(B21691=C21691, "YES", "WRONG")</f>
        <v/>
      </c>
    </row>
    <row r="21692">
      <c r="A21692" t="n">
        <v>21691</v>
      </c>
      <c r="B21692" t="inlineStr">
        <is>
          <t>x̄x̄MDCXCI</t>
        </is>
      </c>
      <c r="C21692">
        <f>ROMAN(21691)</f>
        <v/>
      </c>
      <c r="D21692">
        <f>IF(B21692=C21692, "YES", "WRONG")</f>
        <v/>
      </c>
    </row>
    <row r="21693">
      <c r="A21693" t="n">
        <v>21692</v>
      </c>
      <c r="B21693" t="inlineStr">
        <is>
          <t>x̄x̄MDCXCII</t>
        </is>
      </c>
      <c r="C21693">
        <f>ROMAN(21692)</f>
        <v/>
      </c>
      <c r="D21693">
        <f>IF(B21693=C21693, "YES", "WRONG")</f>
        <v/>
      </c>
    </row>
    <row r="21694">
      <c r="A21694" t="n">
        <v>21693</v>
      </c>
      <c r="B21694" t="inlineStr">
        <is>
          <t>x̄x̄MDCXCIII</t>
        </is>
      </c>
      <c r="C21694">
        <f>ROMAN(21693)</f>
        <v/>
      </c>
      <c r="D21694">
        <f>IF(B21694=C21694, "YES", "WRONG")</f>
        <v/>
      </c>
    </row>
    <row r="21695">
      <c r="A21695" t="n">
        <v>21694</v>
      </c>
      <c r="B21695" t="inlineStr">
        <is>
          <t>x̄x̄MDCXCIV</t>
        </is>
      </c>
      <c r="C21695">
        <f>ROMAN(21694)</f>
        <v/>
      </c>
      <c r="D21695">
        <f>IF(B21695=C21695, "YES", "WRONG")</f>
        <v/>
      </c>
    </row>
    <row r="21696">
      <c r="A21696" t="n">
        <v>21695</v>
      </c>
      <c r="B21696" t="inlineStr">
        <is>
          <t>x̄x̄MDCXCV</t>
        </is>
      </c>
      <c r="C21696">
        <f>ROMAN(21695)</f>
        <v/>
      </c>
      <c r="D21696">
        <f>IF(B21696=C21696, "YES", "WRONG")</f>
        <v/>
      </c>
    </row>
    <row r="21697">
      <c r="A21697" t="n">
        <v>21696</v>
      </c>
      <c r="B21697" t="inlineStr">
        <is>
          <t>x̄x̄MDCXCVI</t>
        </is>
      </c>
      <c r="C21697">
        <f>ROMAN(21696)</f>
        <v/>
      </c>
      <c r="D21697">
        <f>IF(B21697=C21697, "YES", "WRONG")</f>
        <v/>
      </c>
    </row>
    <row r="21698">
      <c r="A21698" t="n">
        <v>21697</v>
      </c>
      <c r="B21698" t="inlineStr">
        <is>
          <t>x̄x̄MDCXCVII</t>
        </is>
      </c>
      <c r="C21698">
        <f>ROMAN(21697)</f>
        <v/>
      </c>
      <c r="D21698">
        <f>IF(B21698=C21698, "YES", "WRONG")</f>
        <v/>
      </c>
    </row>
    <row r="21699">
      <c r="A21699" t="n">
        <v>21698</v>
      </c>
      <c r="B21699" t="inlineStr">
        <is>
          <t>x̄x̄MDCXCVIII</t>
        </is>
      </c>
      <c r="C21699">
        <f>ROMAN(21698)</f>
        <v/>
      </c>
      <c r="D21699">
        <f>IF(B21699=C21699, "YES", "WRONG")</f>
        <v/>
      </c>
    </row>
    <row r="21700">
      <c r="A21700" t="n">
        <v>21699</v>
      </c>
      <c r="B21700" t="inlineStr">
        <is>
          <t>x̄x̄MDCXCIX</t>
        </is>
      </c>
      <c r="C21700">
        <f>ROMAN(21699)</f>
        <v/>
      </c>
      <c r="D21700">
        <f>IF(B21700=C21700, "YES", "WRONG")</f>
        <v/>
      </c>
    </row>
    <row r="21701">
      <c r="A21701" t="n">
        <v>21700</v>
      </c>
      <c r="B21701" t="inlineStr">
        <is>
          <t>x̄x̄MDCC</t>
        </is>
      </c>
      <c r="C21701">
        <f>ROMAN(21700)</f>
        <v/>
      </c>
      <c r="D21701">
        <f>IF(B21701=C21701, "YES", "WRONG")</f>
        <v/>
      </c>
    </row>
    <row r="21702">
      <c r="A21702" t="n">
        <v>21701</v>
      </c>
      <c r="B21702" t="inlineStr">
        <is>
          <t>x̄x̄MDCCI</t>
        </is>
      </c>
      <c r="C21702">
        <f>ROMAN(21701)</f>
        <v/>
      </c>
      <c r="D21702">
        <f>IF(B21702=C21702, "YES", "WRONG")</f>
        <v/>
      </c>
    </row>
    <row r="21703">
      <c r="A21703" t="n">
        <v>21702</v>
      </c>
      <c r="B21703" t="inlineStr">
        <is>
          <t>x̄x̄MDCCII</t>
        </is>
      </c>
      <c r="C21703">
        <f>ROMAN(21702)</f>
        <v/>
      </c>
      <c r="D21703">
        <f>IF(B21703=C21703, "YES", "WRONG")</f>
        <v/>
      </c>
    </row>
    <row r="21704">
      <c r="A21704" t="n">
        <v>21703</v>
      </c>
      <c r="B21704" t="inlineStr">
        <is>
          <t>x̄x̄MDCCIII</t>
        </is>
      </c>
      <c r="C21704">
        <f>ROMAN(21703)</f>
        <v/>
      </c>
      <c r="D21704">
        <f>IF(B21704=C21704, "YES", "WRONG")</f>
        <v/>
      </c>
    </row>
    <row r="21705">
      <c r="A21705" t="n">
        <v>21704</v>
      </c>
      <c r="B21705" t="inlineStr">
        <is>
          <t>x̄x̄MDCCIV</t>
        </is>
      </c>
      <c r="C21705">
        <f>ROMAN(21704)</f>
        <v/>
      </c>
      <c r="D21705">
        <f>IF(B21705=C21705, "YES", "WRONG")</f>
        <v/>
      </c>
    </row>
    <row r="21706">
      <c r="A21706" t="n">
        <v>21705</v>
      </c>
      <c r="B21706" t="inlineStr">
        <is>
          <t>x̄x̄MDCCV</t>
        </is>
      </c>
      <c r="C21706">
        <f>ROMAN(21705)</f>
        <v/>
      </c>
      <c r="D21706">
        <f>IF(B21706=C21706, "YES", "WRONG")</f>
        <v/>
      </c>
    </row>
    <row r="21707">
      <c r="A21707" t="n">
        <v>21706</v>
      </c>
      <c r="B21707" t="inlineStr">
        <is>
          <t>x̄x̄MDCCVI</t>
        </is>
      </c>
      <c r="C21707">
        <f>ROMAN(21706)</f>
        <v/>
      </c>
      <c r="D21707">
        <f>IF(B21707=C21707, "YES", "WRONG")</f>
        <v/>
      </c>
    </row>
    <row r="21708">
      <c r="A21708" t="n">
        <v>21707</v>
      </c>
      <c r="B21708" t="inlineStr">
        <is>
          <t>x̄x̄MDCCVII</t>
        </is>
      </c>
      <c r="C21708">
        <f>ROMAN(21707)</f>
        <v/>
      </c>
      <c r="D21708">
        <f>IF(B21708=C21708, "YES", "WRONG")</f>
        <v/>
      </c>
    </row>
    <row r="21709">
      <c r="A21709" t="n">
        <v>21708</v>
      </c>
      <c r="B21709" t="inlineStr">
        <is>
          <t>x̄x̄MDCCVIII</t>
        </is>
      </c>
      <c r="C21709">
        <f>ROMAN(21708)</f>
        <v/>
      </c>
      <c r="D21709">
        <f>IF(B21709=C21709, "YES", "WRONG")</f>
        <v/>
      </c>
    </row>
    <row r="21710">
      <c r="A21710" t="n">
        <v>21709</v>
      </c>
      <c r="B21710" t="inlineStr">
        <is>
          <t>x̄x̄MDCCIX</t>
        </is>
      </c>
      <c r="C21710">
        <f>ROMAN(21709)</f>
        <v/>
      </c>
      <c r="D21710">
        <f>IF(B21710=C21710, "YES", "WRONG")</f>
        <v/>
      </c>
    </row>
    <row r="21711">
      <c r="A21711" t="n">
        <v>21710</v>
      </c>
      <c r="B21711" t="inlineStr">
        <is>
          <t>x̄x̄MDCCX</t>
        </is>
      </c>
      <c r="C21711">
        <f>ROMAN(21710)</f>
        <v/>
      </c>
      <c r="D21711">
        <f>IF(B21711=C21711, "YES", "WRONG")</f>
        <v/>
      </c>
    </row>
    <row r="21712">
      <c r="A21712" t="n">
        <v>21711</v>
      </c>
      <c r="B21712" t="inlineStr">
        <is>
          <t>x̄x̄MDCCXI</t>
        </is>
      </c>
      <c r="C21712">
        <f>ROMAN(21711)</f>
        <v/>
      </c>
      <c r="D21712">
        <f>IF(B21712=C21712, "YES", "WRONG")</f>
        <v/>
      </c>
    </row>
    <row r="21713">
      <c r="A21713" t="n">
        <v>21712</v>
      </c>
      <c r="B21713" t="inlineStr">
        <is>
          <t>x̄x̄MDCCXII</t>
        </is>
      </c>
      <c r="C21713">
        <f>ROMAN(21712)</f>
        <v/>
      </c>
      <c r="D21713">
        <f>IF(B21713=C21713, "YES", "WRONG")</f>
        <v/>
      </c>
    </row>
    <row r="21714">
      <c r="A21714" t="n">
        <v>21713</v>
      </c>
      <c r="B21714" t="inlineStr">
        <is>
          <t>x̄x̄MDCCXIII</t>
        </is>
      </c>
      <c r="C21714">
        <f>ROMAN(21713)</f>
        <v/>
      </c>
      <c r="D21714">
        <f>IF(B21714=C21714, "YES", "WRONG")</f>
        <v/>
      </c>
    </row>
    <row r="21715">
      <c r="A21715" t="n">
        <v>21714</v>
      </c>
      <c r="B21715" t="inlineStr">
        <is>
          <t>x̄x̄MDCCXIV</t>
        </is>
      </c>
      <c r="C21715">
        <f>ROMAN(21714)</f>
        <v/>
      </c>
      <c r="D21715">
        <f>IF(B21715=C21715, "YES", "WRONG")</f>
        <v/>
      </c>
    </row>
    <row r="21716">
      <c r="A21716" t="n">
        <v>21715</v>
      </c>
      <c r="B21716" t="inlineStr">
        <is>
          <t>x̄x̄MDCCXV</t>
        </is>
      </c>
      <c r="C21716">
        <f>ROMAN(21715)</f>
        <v/>
      </c>
      <c r="D21716">
        <f>IF(B21716=C21716, "YES", "WRONG")</f>
        <v/>
      </c>
    </row>
    <row r="21717">
      <c r="A21717" t="n">
        <v>21716</v>
      </c>
      <c r="B21717" t="inlineStr">
        <is>
          <t>x̄x̄MDCCXVI</t>
        </is>
      </c>
      <c r="C21717">
        <f>ROMAN(21716)</f>
        <v/>
      </c>
      <c r="D21717">
        <f>IF(B21717=C21717, "YES", "WRONG")</f>
        <v/>
      </c>
    </row>
    <row r="21718">
      <c r="A21718" t="n">
        <v>21717</v>
      </c>
      <c r="B21718" t="inlineStr">
        <is>
          <t>x̄x̄MDCCXVII</t>
        </is>
      </c>
      <c r="C21718">
        <f>ROMAN(21717)</f>
        <v/>
      </c>
      <c r="D21718">
        <f>IF(B21718=C21718, "YES", "WRONG")</f>
        <v/>
      </c>
    </row>
    <row r="21719">
      <c r="A21719" t="n">
        <v>21718</v>
      </c>
      <c r="B21719" t="inlineStr">
        <is>
          <t>x̄x̄MDCCXVIII</t>
        </is>
      </c>
      <c r="C21719">
        <f>ROMAN(21718)</f>
        <v/>
      </c>
      <c r="D21719">
        <f>IF(B21719=C21719, "YES", "WRONG")</f>
        <v/>
      </c>
    </row>
    <row r="21720">
      <c r="A21720" t="n">
        <v>21719</v>
      </c>
      <c r="B21720" t="inlineStr">
        <is>
          <t>x̄x̄MDCCXIX</t>
        </is>
      </c>
      <c r="C21720">
        <f>ROMAN(21719)</f>
        <v/>
      </c>
      <c r="D21720">
        <f>IF(B21720=C21720, "YES", "WRONG")</f>
        <v/>
      </c>
    </row>
    <row r="21721">
      <c r="A21721" t="n">
        <v>21720</v>
      </c>
      <c r="B21721" t="inlineStr">
        <is>
          <t>x̄x̄MDCCXX</t>
        </is>
      </c>
      <c r="C21721">
        <f>ROMAN(21720)</f>
        <v/>
      </c>
      <c r="D21721">
        <f>IF(B21721=C21721, "YES", "WRONG")</f>
        <v/>
      </c>
    </row>
    <row r="21722">
      <c r="A21722" t="n">
        <v>21721</v>
      </c>
      <c r="B21722" t="inlineStr">
        <is>
          <t>x̄x̄MDCCXXI</t>
        </is>
      </c>
      <c r="C21722">
        <f>ROMAN(21721)</f>
        <v/>
      </c>
      <c r="D21722">
        <f>IF(B21722=C21722, "YES", "WRONG")</f>
        <v/>
      </c>
    </row>
    <row r="21723">
      <c r="A21723" t="n">
        <v>21722</v>
      </c>
      <c r="B21723" t="inlineStr">
        <is>
          <t>x̄x̄MDCCXXII</t>
        </is>
      </c>
      <c r="C21723">
        <f>ROMAN(21722)</f>
        <v/>
      </c>
      <c r="D21723">
        <f>IF(B21723=C21723, "YES", "WRONG")</f>
        <v/>
      </c>
    </row>
    <row r="21724">
      <c r="A21724" t="n">
        <v>21723</v>
      </c>
      <c r="B21724" t="inlineStr">
        <is>
          <t>x̄x̄MDCCXXIII</t>
        </is>
      </c>
      <c r="C21724">
        <f>ROMAN(21723)</f>
        <v/>
      </c>
      <c r="D21724">
        <f>IF(B21724=C21724, "YES", "WRONG")</f>
        <v/>
      </c>
    </row>
    <row r="21725">
      <c r="A21725" t="n">
        <v>21724</v>
      </c>
      <c r="B21725" t="inlineStr">
        <is>
          <t>x̄x̄MDCCXXIV</t>
        </is>
      </c>
      <c r="C21725">
        <f>ROMAN(21724)</f>
        <v/>
      </c>
      <c r="D21725">
        <f>IF(B21725=C21725, "YES", "WRONG")</f>
        <v/>
      </c>
    </row>
    <row r="21726">
      <c r="A21726" t="n">
        <v>21725</v>
      </c>
      <c r="B21726" t="inlineStr">
        <is>
          <t>x̄x̄MDCCXXV</t>
        </is>
      </c>
      <c r="C21726">
        <f>ROMAN(21725)</f>
        <v/>
      </c>
      <c r="D21726">
        <f>IF(B21726=C21726, "YES", "WRONG")</f>
        <v/>
      </c>
    </row>
    <row r="21727">
      <c r="A21727" t="n">
        <v>21726</v>
      </c>
      <c r="B21727" t="inlineStr">
        <is>
          <t>x̄x̄MDCCXXVI</t>
        </is>
      </c>
      <c r="C21727">
        <f>ROMAN(21726)</f>
        <v/>
      </c>
      <c r="D21727">
        <f>IF(B21727=C21727, "YES", "WRONG")</f>
        <v/>
      </c>
    </row>
    <row r="21728">
      <c r="A21728" t="n">
        <v>21727</v>
      </c>
      <c r="B21728" t="inlineStr">
        <is>
          <t>x̄x̄MDCCXXVII</t>
        </is>
      </c>
      <c r="C21728">
        <f>ROMAN(21727)</f>
        <v/>
      </c>
      <c r="D21728">
        <f>IF(B21728=C21728, "YES", "WRONG")</f>
        <v/>
      </c>
    </row>
    <row r="21729">
      <c r="A21729" t="n">
        <v>21728</v>
      </c>
      <c r="B21729" t="inlineStr">
        <is>
          <t>x̄x̄MDCCXXVIII</t>
        </is>
      </c>
      <c r="C21729">
        <f>ROMAN(21728)</f>
        <v/>
      </c>
      <c r="D21729">
        <f>IF(B21729=C21729, "YES", "WRONG")</f>
        <v/>
      </c>
    </row>
    <row r="21730">
      <c r="A21730" t="n">
        <v>21729</v>
      </c>
      <c r="B21730" t="inlineStr">
        <is>
          <t>x̄x̄MDCCXXIX</t>
        </is>
      </c>
      <c r="C21730">
        <f>ROMAN(21729)</f>
        <v/>
      </c>
      <c r="D21730">
        <f>IF(B21730=C21730, "YES", "WRONG")</f>
        <v/>
      </c>
    </row>
    <row r="21731">
      <c r="A21731" t="n">
        <v>21730</v>
      </c>
      <c r="B21731" t="inlineStr">
        <is>
          <t>x̄x̄MDCCXXX</t>
        </is>
      </c>
      <c r="C21731">
        <f>ROMAN(21730)</f>
        <v/>
      </c>
      <c r="D21731">
        <f>IF(B21731=C21731, "YES", "WRONG")</f>
        <v/>
      </c>
    </row>
    <row r="21732">
      <c r="A21732" t="n">
        <v>21731</v>
      </c>
      <c r="B21732" t="inlineStr">
        <is>
          <t>x̄x̄MDCCXXXI</t>
        </is>
      </c>
      <c r="C21732">
        <f>ROMAN(21731)</f>
        <v/>
      </c>
      <c r="D21732">
        <f>IF(B21732=C21732, "YES", "WRONG")</f>
        <v/>
      </c>
    </row>
    <row r="21733">
      <c r="A21733" t="n">
        <v>21732</v>
      </c>
      <c r="B21733" t="inlineStr">
        <is>
          <t>x̄x̄MDCCXXXII</t>
        </is>
      </c>
      <c r="C21733">
        <f>ROMAN(21732)</f>
        <v/>
      </c>
      <c r="D21733">
        <f>IF(B21733=C21733, "YES", "WRONG")</f>
        <v/>
      </c>
    </row>
    <row r="21734">
      <c r="A21734" t="n">
        <v>21733</v>
      </c>
      <c r="B21734" t="inlineStr">
        <is>
          <t>x̄x̄MDCCXXXIII</t>
        </is>
      </c>
      <c r="C21734">
        <f>ROMAN(21733)</f>
        <v/>
      </c>
      <c r="D21734">
        <f>IF(B21734=C21734, "YES", "WRONG")</f>
        <v/>
      </c>
    </row>
    <row r="21735">
      <c r="A21735" t="n">
        <v>21734</v>
      </c>
      <c r="B21735" t="inlineStr">
        <is>
          <t>x̄x̄MDCCXXXIV</t>
        </is>
      </c>
      <c r="C21735">
        <f>ROMAN(21734)</f>
        <v/>
      </c>
      <c r="D21735">
        <f>IF(B21735=C21735, "YES", "WRONG")</f>
        <v/>
      </c>
    </row>
    <row r="21736">
      <c r="A21736" t="n">
        <v>21735</v>
      </c>
      <c r="B21736" t="inlineStr">
        <is>
          <t>x̄x̄MDCCXXXV</t>
        </is>
      </c>
      <c r="C21736">
        <f>ROMAN(21735)</f>
        <v/>
      </c>
      <c r="D21736">
        <f>IF(B21736=C21736, "YES", "WRONG")</f>
        <v/>
      </c>
    </row>
    <row r="21737">
      <c r="A21737" t="n">
        <v>21736</v>
      </c>
      <c r="B21737" t="inlineStr">
        <is>
          <t>x̄x̄MDCCXXXVI</t>
        </is>
      </c>
      <c r="C21737">
        <f>ROMAN(21736)</f>
        <v/>
      </c>
      <c r="D21737">
        <f>IF(B21737=C21737, "YES", "WRONG")</f>
        <v/>
      </c>
    </row>
    <row r="21738">
      <c r="A21738" t="n">
        <v>21737</v>
      </c>
      <c r="B21738" t="inlineStr">
        <is>
          <t>x̄x̄MDCCXXXVII</t>
        </is>
      </c>
      <c r="C21738">
        <f>ROMAN(21737)</f>
        <v/>
      </c>
      <c r="D21738">
        <f>IF(B21738=C21738, "YES", "WRONG")</f>
        <v/>
      </c>
    </row>
    <row r="21739">
      <c r="A21739" t="n">
        <v>21738</v>
      </c>
      <c r="B21739" t="inlineStr">
        <is>
          <t>x̄x̄MDCCXXXVIII</t>
        </is>
      </c>
      <c r="C21739">
        <f>ROMAN(21738)</f>
        <v/>
      </c>
      <c r="D21739">
        <f>IF(B21739=C21739, "YES", "WRONG")</f>
        <v/>
      </c>
    </row>
    <row r="21740">
      <c r="A21740" t="n">
        <v>21739</v>
      </c>
      <c r="B21740" t="inlineStr">
        <is>
          <t>x̄x̄MDCCXXXIX</t>
        </is>
      </c>
      <c r="C21740">
        <f>ROMAN(21739)</f>
        <v/>
      </c>
      <c r="D21740">
        <f>IF(B21740=C21740, "YES", "WRONG")</f>
        <v/>
      </c>
    </row>
    <row r="21741">
      <c r="A21741" t="n">
        <v>21740</v>
      </c>
      <c r="B21741" t="inlineStr">
        <is>
          <t>x̄x̄MDCCXL</t>
        </is>
      </c>
      <c r="C21741">
        <f>ROMAN(21740)</f>
        <v/>
      </c>
      <c r="D21741">
        <f>IF(B21741=C21741, "YES", "WRONG")</f>
        <v/>
      </c>
    </row>
    <row r="21742">
      <c r="A21742" t="n">
        <v>21741</v>
      </c>
      <c r="B21742" t="inlineStr">
        <is>
          <t>x̄x̄MDCCXLI</t>
        </is>
      </c>
      <c r="C21742">
        <f>ROMAN(21741)</f>
        <v/>
      </c>
      <c r="D21742">
        <f>IF(B21742=C21742, "YES", "WRONG")</f>
        <v/>
      </c>
    </row>
    <row r="21743">
      <c r="A21743" t="n">
        <v>21742</v>
      </c>
      <c r="B21743" t="inlineStr">
        <is>
          <t>x̄x̄MDCCXLII</t>
        </is>
      </c>
      <c r="C21743">
        <f>ROMAN(21742)</f>
        <v/>
      </c>
      <c r="D21743">
        <f>IF(B21743=C21743, "YES", "WRONG")</f>
        <v/>
      </c>
    </row>
    <row r="21744">
      <c r="A21744" t="n">
        <v>21743</v>
      </c>
      <c r="B21744" t="inlineStr">
        <is>
          <t>x̄x̄MDCCXLIII</t>
        </is>
      </c>
      <c r="C21744">
        <f>ROMAN(21743)</f>
        <v/>
      </c>
      <c r="D21744">
        <f>IF(B21744=C21744, "YES", "WRONG")</f>
        <v/>
      </c>
    </row>
    <row r="21745">
      <c r="A21745" t="n">
        <v>21744</v>
      </c>
      <c r="B21745" t="inlineStr">
        <is>
          <t>x̄x̄MDCCXLIV</t>
        </is>
      </c>
      <c r="C21745">
        <f>ROMAN(21744)</f>
        <v/>
      </c>
      <c r="D21745">
        <f>IF(B21745=C21745, "YES", "WRONG")</f>
        <v/>
      </c>
    </row>
    <row r="21746">
      <c r="A21746" t="n">
        <v>21745</v>
      </c>
      <c r="B21746" t="inlineStr">
        <is>
          <t>x̄x̄MDCCXLV</t>
        </is>
      </c>
      <c r="C21746">
        <f>ROMAN(21745)</f>
        <v/>
      </c>
      <c r="D21746">
        <f>IF(B21746=C21746, "YES", "WRONG")</f>
        <v/>
      </c>
    </row>
    <row r="21747">
      <c r="A21747" t="n">
        <v>21746</v>
      </c>
      <c r="B21747" t="inlineStr">
        <is>
          <t>x̄x̄MDCCXLVI</t>
        </is>
      </c>
      <c r="C21747">
        <f>ROMAN(21746)</f>
        <v/>
      </c>
      <c r="D21747">
        <f>IF(B21747=C21747, "YES", "WRONG")</f>
        <v/>
      </c>
    </row>
    <row r="21748">
      <c r="A21748" t="n">
        <v>21747</v>
      </c>
      <c r="B21748" t="inlineStr">
        <is>
          <t>x̄x̄MDCCXLVII</t>
        </is>
      </c>
      <c r="C21748">
        <f>ROMAN(21747)</f>
        <v/>
      </c>
      <c r="D21748">
        <f>IF(B21748=C21748, "YES", "WRONG")</f>
        <v/>
      </c>
    </row>
    <row r="21749">
      <c r="A21749" t="n">
        <v>21748</v>
      </c>
      <c r="B21749" t="inlineStr">
        <is>
          <t>x̄x̄MDCCXLVIII</t>
        </is>
      </c>
      <c r="C21749">
        <f>ROMAN(21748)</f>
        <v/>
      </c>
      <c r="D21749">
        <f>IF(B21749=C21749, "YES", "WRONG")</f>
        <v/>
      </c>
    </row>
    <row r="21750">
      <c r="A21750" t="n">
        <v>21749</v>
      </c>
      <c r="B21750" t="inlineStr">
        <is>
          <t>x̄x̄MDCCXLIX</t>
        </is>
      </c>
      <c r="C21750">
        <f>ROMAN(21749)</f>
        <v/>
      </c>
      <c r="D21750">
        <f>IF(B21750=C21750, "YES", "WRONG")</f>
        <v/>
      </c>
    </row>
    <row r="21751">
      <c r="A21751" t="n">
        <v>21750</v>
      </c>
      <c r="B21751" t="inlineStr">
        <is>
          <t>x̄x̄MDCCL</t>
        </is>
      </c>
      <c r="C21751">
        <f>ROMAN(21750)</f>
        <v/>
      </c>
      <c r="D21751">
        <f>IF(B21751=C21751, "YES", "WRONG")</f>
        <v/>
      </c>
    </row>
    <row r="21752">
      <c r="A21752" t="n">
        <v>21751</v>
      </c>
      <c r="B21752" t="inlineStr">
        <is>
          <t>x̄x̄MDCCLI</t>
        </is>
      </c>
      <c r="C21752">
        <f>ROMAN(21751)</f>
        <v/>
      </c>
      <c r="D21752">
        <f>IF(B21752=C21752, "YES", "WRONG")</f>
        <v/>
      </c>
    </row>
    <row r="21753">
      <c r="A21753" t="n">
        <v>21752</v>
      </c>
      <c r="B21753" t="inlineStr">
        <is>
          <t>x̄x̄MDCCLII</t>
        </is>
      </c>
      <c r="C21753">
        <f>ROMAN(21752)</f>
        <v/>
      </c>
      <c r="D21753">
        <f>IF(B21753=C21753, "YES", "WRONG")</f>
        <v/>
      </c>
    </row>
    <row r="21754">
      <c r="A21754" t="n">
        <v>21753</v>
      </c>
      <c r="B21754" t="inlineStr">
        <is>
          <t>x̄x̄MDCCLIII</t>
        </is>
      </c>
      <c r="C21754">
        <f>ROMAN(21753)</f>
        <v/>
      </c>
      <c r="D21754">
        <f>IF(B21754=C21754, "YES", "WRONG")</f>
        <v/>
      </c>
    </row>
    <row r="21755">
      <c r="A21755" t="n">
        <v>21754</v>
      </c>
      <c r="B21755" t="inlineStr">
        <is>
          <t>x̄x̄MDCCLIV</t>
        </is>
      </c>
      <c r="C21755">
        <f>ROMAN(21754)</f>
        <v/>
      </c>
      <c r="D21755">
        <f>IF(B21755=C21755, "YES", "WRONG")</f>
        <v/>
      </c>
    </row>
    <row r="21756">
      <c r="A21756" t="n">
        <v>21755</v>
      </c>
      <c r="B21756" t="inlineStr">
        <is>
          <t>x̄x̄MDCCLV</t>
        </is>
      </c>
      <c r="C21756">
        <f>ROMAN(21755)</f>
        <v/>
      </c>
      <c r="D21756">
        <f>IF(B21756=C21756, "YES", "WRONG")</f>
        <v/>
      </c>
    </row>
    <row r="21757">
      <c r="A21757" t="n">
        <v>21756</v>
      </c>
      <c r="B21757" t="inlineStr">
        <is>
          <t>x̄x̄MDCCLVI</t>
        </is>
      </c>
      <c r="C21757">
        <f>ROMAN(21756)</f>
        <v/>
      </c>
      <c r="D21757">
        <f>IF(B21757=C21757, "YES", "WRONG")</f>
        <v/>
      </c>
    </row>
    <row r="21758">
      <c r="A21758" t="n">
        <v>21757</v>
      </c>
      <c r="B21758" t="inlineStr">
        <is>
          <t>x̄x̄MDCCLVII</t>
        </is>
      </c>
      <c r="C21758">
        <f>ROMAN(21757)</f>
        <v/>
      </c>
      <c r="D21758">
        <f>IF(B21758=C21758, "YES", "WRONG")</f>
        <v/>
      </c>
    </row>
    <row r="21759">
      <c r="A21759" t="n">
        <v>21758</v>
      </c>
      <c r="B21759" t="inlineStr">
        <is>
          <t>x̄x̄MDCCLVIII</t>
        </is>
      </c>
      <c r="C21759">
        <f>ROMAN(21758)</f>
        <v/>
      </c>
      <c r="D21759">
        <f>IF(B21759=C21759, "YES", "WRONG")</f>
        <v/>
      </c>
    </row>
    <row r="21760">
      <c r="A21760" t="n">
        <v>21759</v>
      </c>
      <c r="B21760" t="inlineStr">
        <is>
          <t>x̄x̄MDCCLIX</t>
        </is>
      </c>
      <c r="C21760">
        <f>ROMAN(21759)</f>
        <v/>
      </c>
      <c r="D21760">
        <f>IF(B21760=C21760, "YES", "WRONG")</f>
        <v/>
      </c>
    </row>
    <row r="21761">
      <c r="A21761" t="n">
        <v>21760</v>
      </c>
      <c r="B21761" t="inlineStr">
        <is>
          <t>x̄x̄MDCCLX</t>
        </is>
      </c>
      <c r="C21761">
        <f>ROMAN(21760)</f>
        <v/>
      </c>
      <c r="D21761">
        <f>IF(B21761=C21761, "YES", "WRONG")</f>
        <v/>
      </c>
    </row>
    <row r="21762">
      <c r="A21762" t="n">
        <v>21761</v>
      </c>
      <c r="B21762" t="inlineStr">
        <is>
          <t>x̄x̄MDCCLXI</t>
        </is>
      </c>
      <c r="C21762">
        <f>ROMAN(21761)</f>
        <v/>
      </c>
      <c r="D21762">
        <f>IF(B21762=C21762, "YES", "WRONG")</f>
        <v/>
      </c>
    </row>
    <row r="21763">
      <c r="A21763" t="n">
        <v>21762</v>
      </c>
      <c r="B21763" t="inlineStr">
        <is>
          <t>x̄x̄MDCCLXII</t>
        </is>
      </c>
      <c r="C21763">
        <f>ROMAN(21762)</f>
        <v/>
      </c>
      <c r="D21763">
        <f>IF(B21763=C21763, "YES", "WRONG")</f>
        <v/>
      </c>
    </row>
    <row r="21764">
      <c r="A21764" t="n">
        <v>21763</v>
      </c>
      <c r="B21764" t="inlineStr">
        <is>
          <t>x̄x̄MDCCLXIII</t>
        </is>
      </c>
      <c r="C21764">
        <f>ROMAN(21763)</f>
        <v/>
      </c>
      <c r="D21764">
        <f>IF(B21764=C21764, "YES", "WRONG")</f>
        <v/>
      </c>
    </row>
    <row r="21765">
      <c r="A21765" t="n">
        <v>21764</v>
      </c>
      <c r="B21765" t="inlineStr">
        <is>
          <t>x̄x̄MDCCLXIV</t>
        </is>
      </c>
      <c r="C21765">
        <f>ROMAN(21764)</f>
        <v/>
      </c>
      <c r="D21765">
        <f>IF(B21765=C21765, "YES", "WRONG")</f>
        <v/>
      </c>
    </row>
    <row r="21766">
      <c r="A21766" t="n">
        <v>21765</v>
      </c>
      <c r="B21766" t="inlineStr">
        <is>
          <t>x̄x̄MDCCLXV</t>
        </is>
      </c>
      <c r="C21766">
        <f>ROMAN(21765)</f>
        <v/>
      </c>
      <c r="D21766">
        <f>IF(B21766=C21766, "YES", "WRONG")</f>
        <v/>
      </c>
    </row>
    <row r="21767">
      <c r="A21767" t="n">
        <v>21766</v>
      </c>
      <c r="B21767" t="inlineStr">
        <is>
          <t>x̄x̄MDCCLXVI</t>
        </is>
      </c>
      <c r="C21767">
        <f>ROMAN(21766)</f>
        <v/>
      </c>
      <c r="D21767">
        <f>IF(B21767=C21767, "YES", "WRONG")</f>
        <v/>
      </c>
    </row>
    <row r="21768">
      <c r="A21768" t="n">
        <v>21767</v>
      </c>
      <c r="B21768" t="inlineStr">
        <is>
          <t>x̄x̄MDCCLXVII</t>
        </is>
      </c>
      <c r="C21768">
        <f>ROMAN(21767)</f>
        <v/>
      </c>
      <c r="D21768">
        <f>IF(B21768=C21768, "YES", "WRONG")</f>
        <v/>
      </c>
    </row>
    <row r="21769">
      <c r="A21769" t="n">
        <v>21768</v>
      </c>
      <c r="B21769" t="inlineStr">
        <is>
          <t>x̄x̄MDCCLXVIII</t>
        </is>
      </c>
      <c r="C21769">
        <f>ROMAN(21768)</f>
        <v/>
      </c>
      <c r="D21769">
        <f>IF(B21769=C21769, "YES", "WRONG")</f>
        <v/>
      </c>
    </row>
    <row r="21770">
      <c r="A21770" t="n">
        <v>21769</v>
      </c>
      <c r="B21770" t="inlineStr">
        <is>
          <t>x̄x̄MDCCLXIX</t>
        </is>
      </c>
      <c r="C21770">
        <f>ROMAN(21769)</f>
        <v/>
      </c>
      <c r="D21770">
        <f>IF(B21770=C21770, "YES", "WRONG")</f>
        <v/>
      </c>
    </row>
    <row r="21771">
      <c r="A21771" t="n">
        <v>21770</v>
      </c>
      <c r="B21771" t="inlineStr">
        <is>
          <t>x̄x̄MDCCLXX</t>
        </is>
      </c>
      <c r="C21771">
        <f>ROMAN(21770)</f>
        <v/>
      </c>
      <c r="D21771">
        <f>IF(B21771=C21771, "YES", "WRONG")</f>
        <v/>
      </c>
    </row>
    <row r="21772">
      <c r="A21772" t="n">
        <v>21771</v>
      </c>
      <c r="B21772" t="inlineStr">
        <is>
          <t>x̄x̄MDCCLXXI</t>
        </is>
      </c>
      <c r="C21772">
        <f>ROMAN(21771)</f>
        <v/>
      </c>
      <c r="D21772">
        <f>IF(B21772=C21772, "YES", "WRONG")</f>
        <v/>
      </c>
    </row>
    <row r="21773">
      <c r="A21773" t="n">
        <v>21772</v>
      </c>
      <c r="B21773" t="inlineStr">
        <is>
          <t>x̄x̄MDCCLXXII</t>
        </is>
      </c>
      <c r="C21773">
        <f>ROMAN(21772)</f>
        <v/>
      </c>
      <c r="D21773">
        <f>IF(B21773=C21773, "YES", "WRONG")</f>
        <v/>
      </c>
    </row>
    <row r="21774">
      <c r="A21774" t="n">
        <v>21773</v>
      </c>
      <c r="B21774" t="inlineStr">
        <is>
          <t>x̄x̄MDCCLXXIII</t>
        </is>
      </c>
      <c r="C21774">
        <f>ROMAN(21773)</f>
        <v/>
      </c>
      <c r="D21774">
        <f>IF(B21774=C21774, "YES", "WRONG")</f>
        <v/>
      </c>
    </row>
    <row r="21775">
      <c r="A21775" t="n">
        <v>21774</v>
      </c>
      <c r="B21775" t="inlineStr">
        <is>
          <t>x̄x̄MDCCLXXIV</t>
        </is>
      </c>
      <c r="C21775">
        <f>ROMAN(21774)</f>
        <v/>
      </c>
      <c r="D21775">
        <f>IF(B21775=C21775, "YES", "WRONG")</f>
        <v/>
      </c>
    </row>
    <row r="21776">
      <c r="A21776" t="n">
        <v>21775</v>
      </c>
      <c r="B21776" t="inlineStr">
        <is>
          <t>x̄x̄MDCCLXXV</t>
        </is>
      </c>
      <c r="C21776">
        <f>ROMAN(21775)</f>
        <v/>
      </c>
      <c r="D21776">
        <f>IF(B21776=C21776, "YES", "WRONG")</f>
        <v/>
      </c>
    </row>
    <row r="21777">
      <c r="A21777" t="n">
        <v>21776</v>
      </c>
      <c r="B21777" t="inlineStr">
        <is>
          <t>x̄x̄MDCCLXXVI</t>
        </is>
      </c>
      <c r="C21777">
        <f>ROMAN(21776)</f>
        <v/>
      </c>
      <c r="D21777">
        <f>IF(B21777=C21777, "YES", "WRONG")</f>
        <v/>
      </c>
    </row>
    <row r="21778">
      <c r="A21778" t="n">
        <v>21777</v>
      </c>
      <c r="B21778" t="inlineStr">
        <is>
          <t>x̄x̄MDCCLXXVII</t>
        </is>
      </c>
      <c r="C21778">
        <f>ROMAN(21777)</f>
        <v/>
      </c>
      <c r="D21778">
        <f>IF(B21778=C21778, "YES", "WRONG")</f>
        <v/>
      </c>
    </row>
    <row r="21779">
      <c r="A21779" t="n">
        <v>21778</v>
      </c>
      <c r="B21779" t="inlineStr">
        <is>
          <t>x̄x̄MDCCLXXVIII</t>
        </is>
      </c>
      <c r="C21779">
        <f>ROMAN(21778)</f>
        <v/>
      </c>
      <c r="D21779">
        <f>IF(B21779=C21779, "YES", "WRONG")</f>
        <v/>
      </c>
    </row>
    <row r="21780">
      <c r="A21780" t="n">
        <v>21779</v>
      </c>
      <c r="B21780" t="inlineStr">
        <is>
          <t>x̄x̄MDCCLXXIX</t>
        </is>
      </c>
      <c r="C21780">
        <f>ROMAN(21779)</f>
        <v/>
      </c>
      <c r="D21780">
        <f>IF(B21780=C21780, "YES", "WRONG")</f>
        <v/>
      </c>
    </row>
    <row r="21781">
      <c r="A21781" t="n">
        <v>21780</v>
      </c>
      <c r="B21781" t="inlineStr">
        <is>
          <t>x̄x̄MDCCLXXX</t>
        </is>
      </c>
      <c r="C21781">
        <f>ROMAN(21780)</f>
        <v/>
      </c>
      <c r="D21781">
        <f>IF(B21781=C21781, "YES", "WRONG")</f>
        <v/>
      </c>
    </row>
    <row r="21782">
      <c r="A21782" t="n">
        <v>21781</v>
      </c>
      <c r="B21782" t="inlineStr">
        <is>
          <t>x̄x̄MDCCLXXXI</t>
        </is>
      </c>
      <c r="C21782">
        <f>ROMAN(21781)</f>
        <v/>
      </c>
      <c r="D21782">
        <f>IF(B21782=C21782, "YES", "WRONG")</f>
        <v/>
      </c>
    </row>
    <row r="21783">
      <c r="A21783" t="n">
        <v>21782</v>
      </c>
      <c r="B21783" t="inlineStr">
        <is>
          <t>x̄x̄MDCCLXXXII</t>
        </is>
      </c>
      <c r="C21783">
        <f>ROMAN(21782)</f>
        <v/>
      </c>
      <c r="D21783">
        <f>IF(B21783=C21783, "YES", "WRONG")</f>
        <v/>
      </c>
    </row>
    <row r="21784">
      <c r="A21784" t="n">
        <v>21783</v>
      </c>
      <c r="B21784" t="inlineStr">
        <is>
          <t>x̄x̄MDCCLXXXIII</t>
        </is>
      </c>
      <c r="C21784">
        <f>ROMAN(21783)</f>
        <v/>
      </c>
      <c r="D21784">
        <f>IF(B21784=C21784, "YES", "WRONG")</f>
        <v/>
      </c>
    </row>
    <row r="21785">
      <c r="A21785" t="n">
        <v>21784</v>
      </c>
      <c r="B21785" t="inlineStr">
        <is>
          <t>x̄x̄MDCCLXXXIV</t>
        </is>
      </c>
      <c r="C21785">
        <f>ROMAN(21784)</f>
        <v/>
      </c>
      <c r="D21785">
        <f>IF(B21785=C21785, "YES", "WRONG")</f>
        <v/>
      </c>
    </row>
    <row r="21786">
      <c r="A21786" t="n">
        <v>21785</v>
      </c>
      <c r="B21786" t="inlineStr">
        <is>
          <t>x̄x̄MDCCLXXXV</t>
        </is>
      </c>
      <c r="C21786">
        <f>ROMAN(21785)</f>
        <v/>
      </c>
      <c r="D21786">
        <f>IF(B21786=C21786, "YES", "WRONG")</f>
        <v/>
      </c>
    </row>
    <row r="21787">
      <c r="A21787" t="n">
        <v>21786</v>
      </c>
      <c r="B21787" t="inlineStr">
        <is>
          <t>x̄x̄MDCCLXXXVI</t>
        </is>
      </c>
      <c r="C21787">
        <f>ROMAN(21786)</f>
        <v/>
      </c>
      <c r="D21787">
        <f>IF(B21787=C21787, "YES", "WRONG")</f>
        <v/>
      </c>
    </row>
    <row r="21788">
      <c r="A21788" t="n">
        <v>21787</v>
      </c>
      <c r="B21788" t="inlineStr">
        <is>
          <t>x̄x̄MDCCLXXXVII</t>
        </is>
      </c>
      <c r="C21788">
        <f>ROMAN(21787)</f>
        <v/>
      </c>
      <c r="D21788">
        <f>IF(B21788=C21788, "YES", "WRONG")</f>
        <v/>
      </c>
    </row>
    <row r="21789">
      <c r="A21789" t="n">
        <v>21788</v>
      </c>
      <c r="B21789" t="inlineStr">
        <is>
          <t>x̄x̄MDCCLXXXVIII</t>
        </is>
      </c>
      <c r="C21789">
        <f>ROMAN(21788)</f>
        <v/>
      </c>
      <c r="D21789">
        <f>IF(B21789=C21789, "YES", "WRONG")</f>
        <v/>
      </c>
    </row>
    <row r="21790">
      <c r="A21790" t="n">
        <v>21789</v>
      </c>
      <c r="B21790" t="inlineStr">
        <is>
          <t>x̄x̄MDCCLXXXIX</t>
        </is>
      </c>
      <c r="C21790">
        <f>ROMAN(21789)</f>
        <v/>
      </c>
      <c r="D21790">
        <f>IF(B21790=C21790, "YES", "WRONG")</f>
        <v/>
      </c>
    </row>
    <row r="21791">
      <c r="A21791" t="n">
        <v>21790</v>
      </c>
      <c r="B21791" t="inlineStr">
        <is>
          <t>x̄x̄MDCCXC</t>
        </is>
      </c>
      <c r="C21791">
        <f>ROMAN(21790)</f>
        <v/>
      </c>
      <c r="D21791">
        <f>IF(B21791=C21791, "YES", "WRONG")</f>
        <v/>
      </c>
    </row>
    <row r="21792">
      <c r="A21792" t="n">
        <v>21791</v>
      </c>
      <c r="B21792" t="inlineStr">
        <is>
          <t>x̄x̄MDCCXCI</t>
        </is>
      </c>
      <c r="C21792">
        <f>ROMAN(21791)</f>
        <v/>
      </c>
      <c r="D21792">
        <f>IF(B21792=C21792, "YES", "WRONG")</f>
        <v/>
      </c>
    </row>
    <row r="21793">
      <c r="A21793" t="n">
        <v>21792</v>
      </c>
      <c r="B21793" t="inlineStr">
        <is>
          <t>x̄x̄MDCCXCII</t>
        </is>
      </c>
      <c r="C21793">
        <f>ROMAN(21792)</f>
        <v/>
      </c>
      <c r="D21793">
        <f>IF(B21793=C21793, "YES", "WRONG")</f>
        <v/>
      </c>
    </row>
    <row r="21794">
      <c r="A21794" t="n">
        <v>21793</v>
      </c>
      <c r="B21794" t="inlineStr">
        <is>
          <t>x̄x̄MDCCXCIII</t>
        </is>
      </c>
      <c r="C21794">
        <f>ROMAN(21793)</f>
        <v/>
      </c>
      <c r="D21794">
        <f>IF(B21794=C21794, "YES", "WRONG")</f>
        <v/>
      </c>
    </row>
    <row r="21795">
      <c r="A21795" t="n">
        <v>21794</v>
      </c>
      <c r="B21795" t="inlineStr">
        <is>
          <t>x̄x̄MDCCXCIV</t>
        </is>
      </c>
      <c r="C21795">
        <f>ROMAN(21794)</f>
        <v/>
      </c>
      <c r="D21795">
        <f>IF(B21795=C21795, "YES", "WRONG")</f>
        <v/>
      </c>
    </row>
    <row r="21796">
      <c r="A21796" t="n">
        <v>21795</v>
      </c>
      <c r="B21796" t="inlineStr">
        <is>
          <t>x̄x̄MDCCXCV</t>
        </is>
      </c>
      <c r="C21796">
        <f>ROMAN(21795)</f>
        <v/>
      </c>
      <c r="D21796">
        <f>IF(B21796=C21796, "YES", "WRONG")</f>
        <v/>
      </c>
    </row>
    <row r="21797">
      <c r="A21797" t="n">
        <v>21796</v>
      </c>
      <c r="B21797" t="inlineStr">
        <is>
          <t>x̄x̄MDCCXCVI</t>
        </is>
      </c>
      <c r="C21797">
        <f>ROMAN(21796)</f>
        <v/>
      </c>
      <c r="D21797">
        <f>IF(B21797=C21797, "YES", "WRONG")</f>
        <v/>
      </c>
    </row>
    <row r="21798">
      <c r="A21798" t="n">
        <v>21797</v>
      </c>
      <c r="B21798" t="inlineStr">
        <is>
          <t>x̄x̄MDCCXCVII</t>
        </is>
      </c>
      <c r="C21798">
        <f>ROMAN(21797)</f>
        <v/>
      </c>
      <c r="D21798">
        <f>IF(B21798=C21798, "YES", "WRONG")</f>
        <v/>
      </c>
    </row>
    <row r="21799">
      <c r="A21799" t="n">
        <v>21798</v>
      </c>
      <c r="B21799" t="inlineStr">
        <is>
          <t>x̄x̄MDCCXCVIII</t>
        </is>
      </c>
      <c r="C21799">
        <f>ROMAN(21798)</f>
        <v/>
      </c>
      <c r="D21799">
        <f>IF(B21799=C21799, "YES", "WRONG")</f>
        <v/>
      </c>
    </row>
    <row r="21800">
      <c r="A21800" t="n">
        <v>21799</v>
      </c>
      <c r="B21800" t="inlineStr">
        <is>
          <t>x̄x̄MDCCXCIX</t>
        </is>
      </c>
      <c r="C21800">
        <f>ROMAN(21799)</f>
        <v/>
      </c>
      <c r="D21800">
        <f>IF(B21800=C21800, "YES", "WRONG")</f>
        <v/>
      </c>
    </row>
    <row r="21801">
      <c r="A21801" t="n">
        <v>21800</v>
      </c>
      <c r="B21801" t="inlineStr">
        <is>
          <t>x̄x̄MDCCC</t>
        </is>
      </c>
      <c r="C21801">
        <f>ROMAN(21800)</f>
        <v/>
      </c>
      <c r="D21801">
        <f>IF(B21801=C21801, "YES", "WRONG")</f>
        <v/>
      </c>
    </row>
    <row r="21802">
      <c r="A21802" t="n">
        <v>21801</v>
      </c>
      <c r="B21802" t="inlineStr">
        <is>
          <t>x̄x̄MDCCCI</t>
        </is>
      </c>
      <c r="C21802">
        <f>ROMAN(21801)</f>
        <v/>
      </c>
      <c r="D21802">
        <f>IF(B21802=C21802, "YES", "WRONG")</f>
        <v/>
      </c>
    </row>
    <row r="21803">
      <c r="A21803" t="n">
        <v>21802</v>
      </c>
      <c r="B21803" t="inlineStr">
        <is>
          <t>x̄x̄MDCCCII</t>
        </is>
      </c>
      <c r="C21803">
        <f>ROMAN(21802)</f>
        <v/>
      </c>
      <c r="D21803">
        <f>IF(B21803=C21803, "YES", "WRONG")</f>
        <v/>
      </c>
    </row>
    <row r="21804">
      <c r="A21804" t="n">
        <v>21803</v>
      </c>
      <c r="B21804" t="inlineStr">
        <is>
          <t>x̄x̄MDCCCIII</t>
        </is>
      </c>
      <c r="C21804">
        <f>ROMAN(21803)</f>
        <v/>
      </c>
      <c r="D21804">
        <f>IF(B21804=C21804, "YES", "WRONG")</f>
        <v/>
      </c>
    </row>
    <row r="21805">
      <c r="A21805" t="n">
        <v>21804</v>
      </c>
      <c r="B21805" t="inlineStr">
        <is>
          <t>x̄x̄MDCCCIV</t>
        </is>
      </c>
      <c r="C21805">
        <f>ROMAN(21804)</f>
        <v/>
      </c>
      <c r="D21805">
        <f>IF(B21805=C21805, "YES", "WRONG")</f>
        <v/>
      </c>
    </row>
    <row r="21806">
      <c r="A21806" t="n">
        <v>21805</v>
      </c>
      <c r="B21806" t="inlineStr">
        <is>
          <t>x̄x̄MDCCCV</t>
        </is>
      </c>
      <c r="C21806">
        <f>ROMAN(21805)</f>
        <v/>
      </c>
      <c r="D21806">
        <f>IF(B21806=C21806, "YES", "WRONG")</f>
        <v/>
      </c>
    </row>
    <row r="21807">
      <c r="A21807" t="n">
        <v>21806</v>
      </c>
      <c r="B21807" t="inlineStr">
        <is>
          <t>x̄x̄MDCCCVI</t>
        </is>
      </c>
      <c r="C21807">
        <f>ROMAN(21806)</f>
        <v/>
      </c>
      <c r="D21807">
        <f>IF(B21807=C21807, "YES", "WRONG")</f>
        <v/>
      </c>
    </row>
    <row r="21808">
      <c r="A21808" t="n">
        <v>21807</v>
      </c>
      <c r="B21808" t="inlineStr">
        <is>
          <t>x̄x̄MDCCCVII</t>
        </is>
      </c>
      <c r="C21808">
        <f>ROMAN(21807)</f>
        <v/>
      </c>
      <c r="D21808">
        <f>IF(B21808=C21808, "YES", "WRONG")</f>
        <v/>
      </c>
    </row>
    <row r="21809">
      <c r="A21809" t="n">
        <v>21808</v>
      </c>
      <c r="B21809" t="inlineStr">
        <is>
          <t>x̄x̄MDCCCVIII</t>
        </is>
      </c>
      <c r="C21809">
        <f>ROMAN(21808)</f>
        <v/>
      </c>
      <c r="D21809">
        <f>IF(B21809=C21809, "YES", "WRONG")</f>
        <v/>
      </c>
    </row>
    <row r="21810">
      <c r="A21810" t="n">
        <v>21809</v>
      </c>
      <c r="B21810" t="inlineStr">
        <is>
          <t>x̄x̄MDCCCIX</t>
        </is>
      </c>
      <c r="C21810">
        <f>ROMAN(21809)</f>
        <v/>
      </c>
      <c r="D21810">
        <f>IF(B21810=C21810, "YES", "WRONG")</f>
        <v/>
      </c>
    </row>
    <row r="21811">
      <c r="A21811" t="n">
        <v>21810</v>
      </c>
      <c r="B21811" t="inlineStr">
        <is>
          <t>x̄x̄MDCCCX</t>
        </is>
      </c>
      <c r="C21811">
        <f>ROMAN(21810)</f>
        <v/>
      </c>
      <c r="D21811">
        <f>IF(B21811=C21811, "YES", "WRONG")</f>
        <v/>
      </c>
    </row>
    <row r="21812">
      <c r="A21812" t="n">
        <v>21811</v>
      </c>
      <c r="B21812" t="inlineStr">
        <is>
          <t>x̄x̄MDCCCXI</t>
        </is>
      </c>
      <c r="C21812">
        <f>ROMAN(21811)</f>
        <v/>
      </c>
      <c r="D21812">
        <f>IF(B21812=C21812, "YES", "WRONG")</f>
        <v/>
      </c>
    </row>
    <row r="21813">
      <c r="A21813" t="n">
        <v>21812</v>
      </c>
      <c r="B21813" t="inlineStr">
        <is>
          <t>x̄x̄MDCCCXII</t>
        </is>
      </c>
      <c r="C21813">
        <f>ROMAN(21812)</f>
        <v/>
      </c>
      <c r="D21813">
        <f>IF(B21813=C21813, "YES", "WRONG")</f>
        <v/>
      </c>
    </row>
    <row r="21814">
      <c r="A21814" t="n">
        <v>21813</v>
      </c>
      <c r="B21814" t="inlineStr">
        <is>
          <t>x̄x̄MDCCCXIII</t>
        </is>
      </c>
      <c r="C21814">
        <f>ROMAN(21813)</f>
        <v/>
      </c>
      <c r="D21814">
        <f>IF(B21814=C21814, "YES", "WRONG")</f>
        <v/>
      </c>
    </row>
    <row r="21815">
      <c r="A21815" t="n">
        <v>21814</v>
      </c>
      <c r="B21815" t="inlineStr">
        <is>
          <t>x̄x̄MDCCCXIV</t>
        </is>
      </c>
      <c r="C21815">
        <f>ROMAN(21814)</f>
        <v/>
      </c>
      <c r="D21815">
        <f>IF(B21815=C21815, "YES", "WRONG")</f>
        <v/>
      </c>
    </row>
    <row r="21816">
      <c r="A21816" t="n">
        <v>21815</v>
      </c>
      <c r="B21816" t="inlineStr">
        <is>
          <t>x̄x̄MDCCCXV</t>
        </is>
      </c>
      <c r="C21816">
        <f>ROMAN(21815)</f>
        <v/>
      </c>
      <c r="D21816">
        <f>IF(B21816=C21816, "YES", "WRONG")</f>
        <v/>
      </c>
    </row>
    <row r="21817">
      <c r="A21817" t="n">
        <v>21816</v>
      </c>
      <c r="B21817" t="inlineStr">
        <is>
          <t>x̄x̄MDCCCXVI</t>
        </is>
      </c>
      <c r="C21817">
        <f>ROMAN(21816)</f>
        <v/>
      </c>
      <c r="D21817">
        <f>IF(B21817=C21817, "YES", "WRONG")</f>
        <v/>
      </c>
    </row>
    <row r="21818">
      <c r="A21818" t="n">
        <v>21817</v>
      </c>
      <c r="B21818" t="inlineStr">
        <is>
          <t>x̄x̄MDCCCXVII</t>
        </is>
      </c>
      <c r="C21818">
        <f>ROMAN(21817)</f>
        <v/>
      </c>
      <c r="D21818">
        <f>IF(B21818=C21818, "YES", "WRONG")</f>
        <v/>
      </c>
    </row>
    <row r="21819">
      <c r="A21819" t="n">
        <v>21818</v>
      </c>
      <c r="B21819" t="inlineStr">
        <is>
          <t>x̄x̄MDCCCXVIII</t>
        </is>
      </c>
      <c r="C21819">
        <f>ROMAN(21818)</f>
        <v/>
      </c>
      <c r="D21819">
        <f>IF(B21819=C21819, "YES", "WRONG")</f>
        <v/>
      </c>
    </row>
    <row r="21820">
      <c r="A21820" t="n">
        <v>21819</v>
      </c>
      <c r="B21820" t="inlineStr">
        <is>
          <t>x̄x̄MDCCCXIX</t>
        </is>
      </c>
      <c r="C21820">
        <f>ROMAN(21819)</f>
        <v/>
      </c>
      <c r="D21820">
        <f>IF(B21820=C21820, "YES", "WRONG")</f>
        <v/>
      </c>
    </row>
    <row r="21821">
      <c r="A21821" t="n">
        <v>21820</v>
      </c>
      <c r="B21821" t="inlineStr">
        <is>
          <t>x̄x̄MDCCCXX</t>
        </is>
      </c>
      <c r="C21821">
        <f>ROMAN(21820)</f>
        <v/>
      </c>
      <c r="D21821">
        <f>IF(B21821=C21821, "YES", "WRONG")</f>
        <v/>
      </c>
    </row>
    <row r="21822">
      <c r="A21822" t="n">
        <v>21821</v>
      </c>
      <c r="B21822" t="inlineStr">
        <is>
          <t>x̄x̄MDCCCXXI</t>
        </is>
      </c>
      <c r="C21822">
        <f>ROMAN(21821)</f>
        <v/>
      </c>
      <c r="D21822">
        <f>IF(B21822=C21822, "YES", "WRONG")</f>
        <v/>
      </c>
    </row>
    <row r="21823">
      <c r="A21823" t="n">
        <v>21822</v>
      </c>
      <c r="B21823" t="inlineStr">
        <is>
          <t>x̄x̄MDCCCXXII</t>
        </is>
      </c>
      <c r="C21823">
        <f>ROMAN(21822)</f>
        <v/>
      </c>
      <c r="D21823">
        <f>IF(B21823=C21823, "YES", "WRONG")</f>
        <v/>
      </c>
    </row>
    <row r="21824">
      <c r="A21824" t="n">
        <v>21823</v>
      </c>
      <c r="B21824" t="inlineStr">
        <is>
          <t>x̄x̄MDCCCXXIII</t>
        </is>
      </c>
      <c r="C21824">
        <f>ROMAN(21823)</f>
        <v/>
      </c>
      <c r="D21824">
        <f>IF(B21824=C21824, "YES", "WRONG")</f>
        <v/>
      </c>
    </row>
    <row r="21825">
      <c r="A21825" t="n">
        <v>21824</v>
      </c>
      <c r="B21825" t="inlineStr">
        <is>
          <t>x̄x̄MDCCCXXIV</t>
        </is>
      </c>
      <c r="C21825">
        <f>ROMAN(21824)</f>
        <v/>
      </c>
      <c r="D21825">
        <f>IF(B21825=C21825, "YES", "WRONG")</f>
        <v/>
      </c>
    </row>
    <row r="21826">
      <c r="A21826" t="n">
        <v>21825</v>
      </c>
      <c r="B21826" t="inlineStr">
        <is>
          <t>x̄x̄MDCCCXXV</t>
        </is>
      </c>
      <c r="C21826">
        <f>ROMAN(21825)</f>
        <v/>
      </c>
      <c r="D21826">
        <f>IF(B21826=C21826, "YES", "WRONG")</f>
        <v/>
      </c>
    </row>
    <row r="21827">
      <c r="A21827" t="n">
        <v>21826</v>
      </c>
      <c r="B21827" t="inlineStr">
        <is>
          <t>x̄x̄MDCCCXXVI</t>
        </is>
      </c>
      <c r="C21827">
        <f>ROMAN(21826)</f>
        <v/>
      </c>
      <c r="D21827">
        <f>IF(B21827=C21827, "YES", "WRONG")</f>
        <v/>
      </c>
    </row>
    <row r="21828">
      <c r="A21828" t="n">
        <v>21827</v>
      </c>
      <c r="B21828" t="inlineStr">
        <is>
          <t>x̄x̄MDCCCXXVII</t>
        </is>
      </c>
      <c r="C21828">
        <f>ROMAN(21827)</f>
        <v/>
      </c>
      <c r="D21828">
        <f>IF(B21828=C21828, "YES", "WRONG")</f>
        <v/>
      </c>
    </row>
    <row r="21829">
      <c r="A21829" t="n">
        <v>21828</v>
      </c>
      <c r="B21829" t="inlineStr">
        <is>
          <t>x̄x̄MDCCCXXVIII</t>
        </is>
      </c>
      <c r="C21829">
        <f>ROMAN(21828)</f>
        <v/>
      </c>
      <c r="D21829">
        <f>IF(B21829=C21829, "YES", "WRONG")</f>
        <v/>
      </c>
    </row>
    <row r="21830">
      <c r="A21830" t="n">
        <v>21829</v>
      </c>
      <c r="B21830" t="inlineStr">
        <is>
          <t>x̄x̄MDCCCXXIX</t>
        </is>
      </c>
      <c r="C21830">
        <f>ROMAN(21829)</f>
        <v/>
      </c>
      <c r="D21830">
        <f>IF(B21830=C21830, "YES", "WRONG")</f>
        <v/>
      </c>
    </row>
    <row r="21831">
      <c r="A21831" t="n">
        <v>21830</v>
      </c>
      <c r="B21831" t="inlineStr">
        <is>
          <t>x̄x̄MDCCCXXX</t>
        </is>
      </c>
      <c r="C21831">
        <f>ROMAN(21830)</f>
        <v/>
      </c>
      <c r="D21831">
        <f>IF(B21831=C21831, "YES", "WRONG")</f>
        <v/>
      </c>
    </row>
    <row r="21832">
      <c r="A21832" t="n">
        <v>21831</v>
      </c>
      <c r="B21832" t="inlineStr">
        <is>
          <t>x̄x̄MDCCCXXXI</t>
        </is>
      </c>
      <c r="C21832">
        <f>ROMAN(21831)</f>
        <v/>
      </c>
      <c r="D21832">
        <f>IF(B21832=C21832, "YES", "WRONG")</f>
        <v/>
      </c>
    </row>
    <row r="21833">
      <c r="A21833" t="n">
        <v>21832</v>
      </c>
      <c r="B21833" t="inlineStr">
        <is>
          <t>x̄x̄MDCCCXXXII</t>
        </is>
      </c>
      <c r="C21833">
        <f>ROMAN(21832)</f>
        <v/>
      </c>
      <c r="D21833">
        <f>IF(B21833=C21833, "YES", "WRONG")</f>
        <v/>
      </c>
    </row>
    <row r="21834">
      <c r="A21834" t="n">
        <v>21833</v>
      </c>
      <c r="B21834" t="inlineStr">
        <is>
          <t>x̄x̄MDCCCXXXIII</t>
        </is>
      </c>
      <c r="C21834">
        <f>ROMAN(21833)</f>
        <v/>
      </c>
      <c r="D21834">
        <f>IF(B21834=C21834, "YES", "WRONG")</f>
        <v/>
      </c>
    </row>
    <row r="21835">
      <c r="A21835" t="n">
        <v>21834</v>
      </c>
      <c r="B21835" t="inlineStr">
        <is>
          <t>x̄x̄MDCCCXXXIV</t>
        </is>
      </c>
      <c r="C21835">
        <f>ROMAN(21834)</f>
        <v/>
      </c>
      <c r="D21835">
        <f>IF(B21835=C21835, "YES", "WRONG")</f>
        <v/>
      </c>
    </row>
    <row r="21836">
      <c r="A21836" t="n">
        <v>21835</v>
      </c>
      <c r="B21836" t="inlineStr">
        <is>
          <t>x̄x̄MDCCCXXXV</t>
        </is>
      </c>
      <c r="C21836">
        <f>ROMAN(21835)</f>
        <v/>
      </c>
      <c r="D21836">
        <f>IF(B21836=C21836, "YES", "WRONG")</f>
        <v/>
      </c>
    </row>
    <row r="21837">
      <c r="A21837" t="n">
        <v>21836</v>
      </c>
      <c r="B21837" t="inlineStr">
        <is>
          <t>x̄x̄MDCCCXXXVI</t>
        </is>
      </c>
      <c r="C21837">
        <f>ROMAN(21836)</f>
        <v/>
      </c>
      <c r="D21837">
        <f>IF(B21837=C21837, "YES", "WRONG")</f>
        <v/>
      </c>
    </row>
    <row r="21838">
      <c r="A21838" t="n">
        <v>21837</v>
      </c>
      <c r="B21838" t="inlineStr">
        <is>
          <t>x̄x̄MDCCCXXXVII</t>
        </is>
      </c>
      <c r="C21838">
        <f>ROMAN(21837)</f>
        <v/>
      </c>
      <c r="D21838">
        <f>IF(B21838=C21838, "YES", "WRONG")</f>
        <v/>
      </c>
    </row>
    <row r="21839">
      <c r="A21839" t="n">
        <v>21838</v>
      </c>
      <c r="B21839" t="inlineStr">
        <is>
          <t>x̄x̄MDCCCXXXVIII</t>
        </is>
      </c>
      <c r="C21839">
        <f>ROMAN(21838)</f>
        <v/>
      </c>
      <c r="D21839">
        <f>IF(B21839=C21839, "YES", "WRONG")</f>
        <v/>
      </c>
    </row>
    <row r="21840">
      <c r="A21840" t="n">
        <v>21839</v>
      </c>
      <c r="B21840" t="inlineStr">
        <is>
          <t>x̄x̄MDCCCXXXIX</t>
        </is>
      </c>
      <c r="C21840">
        <f>ROMAN(21839)</f>
        <v/>
      </c>
      <c r="D21840">
        <f>IF(B21840=C21840, "YES", "WRONG")</f>
        <v/>
      </c>
    </row>
    <row r="21841">
      <c r="A21841" t="n">
        <v>21840</v>
      </c>
      <c r="B21841" t="inlineStr">
        <is>
          <t>x̄x̄MDCCCXL</t>
        </is>
      </c>
      <c r="C21841">
        <f>ROMAN(21840)</f>
        <v/>
      </c>
      <c r="D21841">
        <f>IF(B21841=C21841, "YES", "WRONG")</f>
        <v/>
      </c>
    </row>
    <row r="21842">
      <c r="A21842" t="n">
        <v>21841</v>
      </c>
      <c r="B21842" t="inlineStr">
        <is>
          <t>x̄x̄MDCCCXLI</t>
        </is>
      </c>
      <c r="C21842">
        <f>ROMAN(21841)</f>
        <v/>
      </c>
      <c r="D21842">
        <f>IF(B21842=C21842, "YES", "WRONG")</f>
        <v/>
      </c>
    </row>
    <row r="21843">
      <c r="A21843" t="n">
        <v>21842</v>
      </c>
      <c r="B21843" t="inlineStr">
        <is>
          <t>x̄x̄MDCCCXLII</t>
        </is>
      </c>
      <c r="C21843">
        <f>ROMAN(21842)</f>
        <v/>
      </c>
      <c r="D21843">
        <f>IF(B21843=C21843, "YES", "WRONG")</f>
        <v/>
      </c>
    </row>
    <row r="21844">
      <c r="A21844" t="n">
        <v>21843</v>
      </c>
      <c r="B21844" t="inlineStr">
        <is>
          <t>x̄x̄MDCCCXLIII</t>
        </is>
      </c>
      <c r="C21844">
        <f>ROMAN(21843)</f>
        <v/>
      </c>
      <c r="D21844">
        <f>IF(B21844=C21844, "YES", "WRONG")</f>
        <v/>
      </c>
    </row>
    <row r="21845">
      <c r="A21845" t="n">
        <v>21844</v>
      </c>
      <c r="B21845" t="inlineStr">
        <is>
          <t>x̄x̄MDCCCXLIV</t>
        </is>
      </c>
      <c r="C21845">
        <f>ROMAN(21844)</f>
        <v/>
      </c>
      <c r="D21845">
        <f>IF(B21845=C21845, "YES", "WRONG")</f>
        <v/>
      </c>
    </row>
    <row r="21846">
      <c r="A21846" t="n">
        <v>21845</v>
      </c>
      <c r="B21846" t="inlineStr">
        <is>
          <t>x̄x̄MDCCCXLV</t>
        </is>
      </c>
      <c r="C21846">
        <f>ROMAN(21845)</f>
        <v/>
      </c>
      <c r="D21846">
        <f>IF(B21846=C21846, "YES", "WRONG")</f>
        <v/>
      </c>
    </row>
    <row r="21847">
      <c r="A21847" t="n">
        <v>21846</v>
      </c>
      <c r="B21847" t="inlineStr">
        <is>
          <t>x̄x̄MDCCCXLVI</t>
        </is>
      </c>
      <c r="C21847">
        <f>ROMAN(21846)</f>
        <v/>
      </c>
      <c r="D21847">
        <f>IF(B21847=C21847, "YES", "WRONG")</f>
        <v/>
      </c>
    </row>
    <row r="21848">
      <c r="A21848" t="n">
        <v>21847</v>
      </c>
      <c r="B21848" t="inlineStr">
        <is>
          <t>x̄x̄MDCCCXLVII</t>
        </is>
      </c>
      <c r="C21848">
        <f>ROMAN(21847)</f>
        <v/>
      </c>
      <c r="D21848">
        <f>IF(B21848=C21848, "YES", "WRONG")</f>
        <v/>
      </c>
    </row>
    <row r="21849">
      <c r="A21849" t="n">
        <v>21848</v>
      </c>
      <c r="B21849" t="inlineStr">
        <is>
          <t>x̄x̄MDCCCXLVIII</t>
        </is>
      </c>
      <c r="C21849">
        <f>ROMAN(21848)</f>
        <v/>
      </c>
      <c r="D21849">
        <f>IF(B21849=C21849, "YES", "WRONG")</f>
        <v/>
      </c>
    </row>
    <row r="21850">
      <c r="A21850" t="n">
        <v>21849</v>
      </c>
      <c r="B21850" t="inlineStr">
        <is>
          <t>x̄x̄MDCCCXLIX</t>
        </is>
      </c>
      <c r="C21850">
        <f>ROMAN(21849)</f>
        <v/>
      </c>
      <c r="D21850">
        <f>IF(B21850=C21850, "YES", "WRONG")</f>
        <v/>
      </c>
    </row>
    <row r="21851">
      <c r="A21851" t="n">
        <v>21850</v>
      </c>
      <c r="B21851" t="inlineStr">
        <is>
          <t>x̄x̄MDCCCL</t>
        </is>
      </c>
      <c r="C21851">
        <f>ROMAN(21850)</f>
        <v/>
      </c>
      <c r="D21851">
        <f>IF(B21851=C21851, "YES", "WRONG")</f>
        <v/>
      </c>
    </row>
    <row r="21852">
      <c r="A21852" t="n">
        <v>21851</v>
      </c>
      <c r="B21852" t="inlineStr">
        <is>
          <t>x̄x̄MDCCCLI</t>
        </is>
      </c>
      <c r="C21852">
        <f>ROMAN(21851)</f>
        <v/>
      </c>
      <c r="D21852">
        <f>IF(B21852=C21852, "YES", "WRONG")</f>
        <v/>
      </c>
    </row>
    <row r="21853">
      <c r="A21853" t="n">
        <v>21852</v>
      </c>
      <c r="B21853" t="inlineStr">
        <is>
          <t>x̄x̄MDCCCLII</t>
        </is>
      </c>
      <c r="C21853">
        <f>ROMAN(21852)</f>
        <v/>
      </c>
      <c r="D21853">
        <f>IF(B21853=C21853, "YES", "WRONG")</f>
        <v/>
      </c>
    </row>
    <row r="21854">
      <c r="A21854" t="n">
        <v>21853</v>
      </c>
      <c r="B21854" t="inlineStr">
        <is>
          <t>x̄x̄MDCCCLIII</t>
        </is>
      </c>
      <c r="C21854">
        <f>ROMAN(21853)</f>
        <v/>
      </c>
      <c r="D21854">
        <f>IF(B21854=C21854, "YES", "WRONG")</f>
        <v/>
      </c>
    </row>
    <row r="21855">
      <c r="A21855" t="n">
        <v>21854</v>
      </c>
      <c r="B21855" t="inlineStr">
        <is>
          <t>x̄x̄MDCCCLIV</t>
        </is>
      </c>
      <c r="C21855">
        <f>ROMAN(21854)</f>
        <v/>
      </c>
      <c r="D21855">
        <f>IF(B21855=C21855, "YES", "WRONG")</f>
        <v/>
      </c>
    </row>
    <row r="21856">
      <c r="A21856" t="n">
        <v>21855</v>
      </c>
      <c r="B21856" t="inlineStr">
        <is>
          <t>x̄x̄MDCCCLV</t>
        </is>
      </c>
      <c r="C21856">
        <f>ROMAN(21855)</f>
        <v/>
      </c>
      <c r="D21856">
        <f>IF(B21856=C21856, "YES", "WRONG")</f>
        <v/>
      </c>
    </row>
    <row r="21857">
      <c r="A21857" t="n">
        <v>21856</v>
      </c>
      <c r="B21857" t="inlineStr">
        <is>
          <t>x̄x̄MDCCCLVI</t>
        </is>
      </c>
      <c r="C21857">
        <f>ROMAN(21856)</f>
        <v/>
      </c>
      <c r="D21857">
        <f>IF(B21857=C21857, "YES", "WRONG")</f>
        <v/>
      </c>
    </row>
    <row r="21858">
      <c r="A21858" t="n">
        <v>21857</v>
      </c>
      <c r="B21858" t="inlineStr">
        <is>
          <t>x̄x̄MDCCCLVII</t>
        </is>
      </c>
      <c r="C21858">
        <f>ROMAN(21857)</f>
        <v/>
      </c>
      <c r="D21858">
        <f>IF(B21858=C21858, "YES", "WRONG")</f>
        <v/>
      </c>
    </row>
    <row r="21859">
      <c r="A21859" t="n">
        <v>21858</v>
      </c>
      <c r="B21859" t="inlineStr">
        <is>
          <t>x̄x̄MDCCCLVIII</t>
        </is>
      </c>
      <c r="C21859">
        <f>ROMAN(21858)</f>
        <v/>
      </c>
      <c r="D21859">
        <f>IF(B21859=C21859, "YES", "WRONG")</f>
        <v/>
      </c>
    </row>
    <row r="21860">
      <c r="A21860" t="n">
        <v>21859</v>
      </c>
      <c r="B21860" t="inlineStr">
        <is>
          <t>x̄x̄MDCCCLIX</t>
        </is>
      </c>
      <c r="C21860">
        <f>ROMAN(21859)</f>
        <v/>
      </c>
      <c r="D21860">
        <f>IF(B21860=C21860, "YES", "WRONG")</f>
        <v/>
      </c>
    </row>
    <row r="21861">
      <c r="A21861" t="n">
        <v>21860</v>
      </c>
      <c r="B21861" t="inlineStr">
        <is>
          <t>x̄x̄MDCCCLX</t>
        </is>
      </c>
      <c r="C21861">
        <f>ROMAN(21860)</f>
        <v/>
      </c>
      <c r="D21861">
        <f>IF(B21861=C21861, "YES", "WRONG")</f>
        <v/>
      </c>
    </row>
    <row r="21862">
      <c r="A21862" t="n">
        <v>21861</v>
      </c>
      <c r="B21862" t="inlineStr">
        <is>
          <t>x̄x̄MDCCCLXI</t>
        </is>
      </c>
      <c r="C21862">
        <f>ROMAN(21861)</f>
        <v/>
      </c>
      <c r="D21862">
        <f>IF(B21862=C21862, "YES", "WRONG")</f>
        <v/>
      </c>
    </row>
    <row r="21863">
      <c r="A21863" t="n">
        <v>21862</v>
      </c>
      <c r="B21863" t="inlineStr">
        <is>
          <t>x̄x̄MDCCCLXII</t>
        </is>
      </c>
      <c r="C21863">
        <f>ROMAN(21862)</f>
        <v/>
      </c>
      <c r="D21863">
        <f>IF(B21863=C21863, "YES", "WRONG")</f>
        <v/>
      </c>
    </row>
    <row r="21864">
      <c r="A21864" t="n">
        <v>21863</v>
      </c>
      <c r="B21864" t="inlineStr">
        <is>
          <t>x̄x̄MDCCCLXIII</t>
        </is>
      </c>
      <c r="C21864">
        <f>ROMAN(21863)</f>
        <v/>
      </c>
      <c r="D21864">
        <f>IF(B21864=C21864, "YES", "WRONG")</f>
        <v/>
      </c>
    </row>
    <row r="21865">
      <c r="A21865" t="n">
        <v>21864</v>
      </c>
      <c r="B21865" t="inlineStr">
        <is>
          <t>x̄x̄MDCCCLXIV</t>
        </is>
      </c>
      <c r="C21865">
        <f>ROMAN(21864)</f>
        <v/>
      </c>
      <c r="D21865">
        <f>IF(B21865=C21865, "YES", "WRONG")</f>
        <v/>
      </c>
    </row>
    <row r="21866">
      <c r="A21866" t="n">
        <v>21865</v>
      </c>
      <c r="B21866" t="inlineStr">
        <is>
          <t>x̄x̄MDCCCLXV</t>
        </is>
      </c>
      <c r="C21866">
        <f>ROMAN(21865)</f>
        <v/>
      </c>
      <c r="D21866">
        <f>IF(B21866=C21866, "YES", "WRONG")</f>
        <v/>
      </c>
    </row>
    <row r="21867">
      <c r="A21867" t="n">
        <v>21866</v>
      </c>
      <c r="B21867" t="inlineStr">
        <is>
          <t>x̄x̄MDCCCLXVI</t>
        </is>
      </c>
      <c r="C21867">
        <f>ROMAN(21866)</f>
        <v/>
      </c>
      <c r="D21867">
        <f>IF(B21867=C21867, "YES", "WRONG")</f>
        <v/>
      </c>
    </row>
    <row r="21868">
      <c r="A21868" t="n">
        <v>21867</v>
      </c>
      <c r="B21868" t="inlineStr">
        <is>
          <t>x̄x̄MDCCCLXVII</t>
        </is>
      </c>
      <c r="C21868">
        <f>ROMAN(21867)</f>
        <v/>
      </c>
      <c r="D21868">
        <f>IF(B21868=C21868, "YES", "WRONG")</f>
        <v/>
      </c>
    </row>
    <row r="21869">
      <c r="A21869" t="n">
        <v>21868</v>
      </c>
      <c r="B21869" t="inlineStr">
        <is>
          <t>x̄x̄MDCCCLXVIII</t>
        </is>
      </c>
      <c r="C21869">
        <f>ROMAN(21868)</f>
        <v/>
      </c>
      <c r="D21869">
        <f>IF(B21869=C21869, "YES", "WRONG")</f>
        <v/>
      </c>
    </row>
    <row r="21870">
      <c r="A21870" t="n">
        <v>21869</v>
      </c>
      <c r="B21870" t="inlineStr">
        <is>
          <t>x̄x̄MDCCCLXIX</t>
        </is>
      </c>
      <c r="C21870">
        <f>ROMAN(21869)</f>
        <v/>
      </c>
      <c r="D21870">
        <f>IF(B21870=C21870, "YES", "WRONG")</f>
        <v/>
      </c>
    </row>
    <row r="21871">
      <c r="A21871" t="n">
        <v>21870</v>
      </c>
      <c r="B21871" t="inlineStr">
        <is>
          <t>x̄x̄MDCCCLXX</t>
        </is>
      </c>
      <c r="C21871">
        <f>ROMAN(21870)</f>
        <v/>
      </c>
      <c r="D21871">
        <f>IF(B21871=C21871, "YES", "WRONG")</f>
        <v/>
      </c>
    </row>
    <row r="21872">
      <c r="A21872" t="n">
        <v>21871</v>
      </c>
      <c r="B21872" t="inlineStr">
        <is>
          <t>x̄x̄MDCCCLXXI</t>
        </is>
      </c>
      <c r="C21872">
        <f>ROMAN(21871)</f>
        <v/>
      </c>
      <c r="D21872">
        <f>IF(B21872=C21872, "YES", "WRONG")</f>
        <v/>
      </c>
    </row>
    <row r="21873">
      <c r="A21873" t="n">
        <v>21872</v>
      </c>
      <c r="B21873" t="inlineStr">
        <is>
          <t>x̄x̄MDCCCLXXII</t>
        </is>
      </c>
      <c r="C21873">
        <f>ROMAN(21872)</f>
        <v/>
      </c>
      <c r="D21873">
        <f>IF(B21873=C21873, "YES", "WRONG")</f>
        <v/>
      </c>
    </row>
    <row r="21874">
      <c r="A21874" t="n">
        <v>21873</v>
      </c>
      <c r="B21874" t="inlineStr">
        <is>
          <t>x̄x̄MDCCCLXXIII</t>
        </is>
      </c>
      <c r="C21874">
        <f>ROMAN(21873)</f>
        <v/>
      </c>
      <c r="D21874">
        <f>IF(B21874=C21874, "YES", "WRONG")</f>
        <v/>
      </c>
    </row>
    <row r="21875">
      <c r="A21875" t="n">
        <v>21874</v>
      </c>
      <c r="B21875" t="inlineStr">
        <is>
          <t>x̄x̄MDCCCLXXIV</t>
        </is>
      </c>
      <c r="C21875">
        <f>ROMAN(21874)</f>
        <v/>
      </c>
      <c r="D21875">
        <f>IF(B21875=C21875, "YES", "WRONG")</f>
        <v/>
      </c>
    </row>
    <row r="21876">
      <c r="A21876" t="n">
        <v>21875</v>
      </c>
      <c r="B21876" t="inlineStr">
        <is>
          <t>x̄x̄MDCCCLXXV</t>
        </is>
      </c>
      <c r="C21876">
        <f>ROMAN(21875)</f>
        <v/>
      </c>
      <c r="D21876">
        <f>IF(B21876=C21876, "YES", "WRONG")</f>
        <v/>
      </c>
    </row>
    <row r="21877">
      <c r="A21877" t="n">
        <v>21876</v>
      </c>
      <c r="B21877" t="inlineStr">
        <is>
          <t>x̄x̄MDCCCLXXVI</t>
        </is>
      </c>
      <c r="C21877">
        <f>ROMAN(21876)</f>
        <v/>
      </c>
      <c r="D21877">
        <f>IF(B21877=C21877, "YES", "WRONG")</f>
        <v/>
      </c>
    </row>
    <row r="21878">
      <c r="A21878" t="n">
        <v>21877</v>
      </c>
      <c r="B21878" t="inlineStr">
        <is>
          <t>x̄x̄MDCCCLXXVII</t>
        </is>
      </c>
      <c r="C21878">
        <f>ROMAN(21877)</f>
        <v/>
      </c>
      <c r="D21878">
        <f>IF(B21878=C21878, "YES", "WRONG")</f>
        <v/>
      </c>
    </row>
    <row r="21879">
      <c r="A21879" t="n">
        <v>21878</v>
      </c>
      <c r="B21879" t="inlineStr">
        <is>
          <t>x̄x̄MDCCCLXXVIII</t>
        </is>
      </c>
      <c r="C21879">
        <f>ROMAN(21878)</f>
        <v/>
      </c>
      <c r="D21879">
        <f>IF(B21879=C21879, "YES", "WRONG")</f>
        <v/>
      </c>
    </row>
    <row r="21880">
      <c r="A21880" t="n">
        <v>21879</v>
      </c>
      <c r="B21880" t="inlineStr">
        <is>
          <t>x̄x̄MDCCCLXXIX</t>
        </is>
      </c>
      <c r="C21880">
        <f>ROMAN(21879)</f>
        <v/>
      </c>
      <c r="D21880">
        <f>IF(B21880=C21880, "YES", "WRONG")</f>
        <v/>
      </c>
    </row>
    <row r="21881">
      <c r="A21881" t="n">
        <v>21880</v>
      </c>
      <c r="B21881" t="inlineStr">
        <is>
          <t>x̄x̄MDCCCLXXX</t>
        </is>
      </c>
      <c r="C21881">
        <f>ROMAN(21880)</f>
        <v/>
      </c>
      <c r="D21881">
        <f>IF(B21881=C21881, "YES", "WRONG")</f>
        <v/>
      </c>
    </row>
    <row r="21882">
      <c r="A21882" t="n">
        <v>21881</v>
      </c>
      <c r="B21882" t="inlineStr">
        <is>
          <t>x̄x̄MDCCCLXXXI</t>
        </is>
      </c>
      <c r="C21882">
        <f>ROMAN(21881)</f>
        <v/>
      </c>
      <c r="D21882">
        <f>IF(B21882=C21882, "YES", "WRONG")</f>
        <v/>
      </c>
    </row>
    <row r="21883">
      <c r="A21883" t="n">
        <v>21882</v>
      </c>
      <c r="B21883" t="inlineStr">
        <is>
          <t>x̄x̄MDCCCLXXXII</t>
        </is>
      </c>
      <c r="C21883">
        <f>ROMAN(21882)</f>
        <v/>
      </c>
      <c r="D21883">
        <f>IF(B21883=C21883, "YES", "WRONG")</f>
        <v/>
      </c>
    </row>
    <row r="21884">
      <c r="A21884" t="n">
        <v>21883</v>
      </c>
      <c r="B21884" t="inlineStr">
        <is>
          <t>x̄x̄MDCCCLXXXIII</t>
        </is>
      </c>
      <c r="C21884">
        <f>ROMAN(21883)</f>
        <v/>
      </c>
      <c r="D21884">
        <f>IF(B21884=C21884, "YES", "WRONG")</f>
        <v/>
      </c>
    </row>
    <row r="21885">
      <c r="A21885" t="n">
        <v>21884</v>
      </c>
      <c r="B21885" t="inlineStr">
        <is>
          <t>x̄x̄MDCCCLXXXIV</t>
        </is>
      </c>
      <c r="C21885">
        <f>ROMAN(21884)</f>
        <v/>
      </c>
      <c r="D21885">
        <f>IF(B21885=C21885, "YES", "WRONG")</f>
        <v/>
      </c>
    </row>
    <row r="21886">
      <c r="A21886" t="n">
        <v>21885</v>
      </c>
      <c r="B21886" t="inlineStr">
        <is>
          <t>x̄x̄MDCCCLXXXV</t>
        </is>
      </c>
      <c r="C21886">
        <f>ROMAN(21885)</f>
        <v/>
      </c>
      <c r="D21886">
        <f>IF(B21886=C21886, "YES", "WRONG")</f>
        <v/>
      </c>
    </row>
    <row r="21887">
      <c r="A21887" t="n">
        <v>21886</v>
      </c>
      <c r="B21887" t="inlineStr">
        <is>
          <t>x̄x̄MDCCCLXXXVI</t>
        </is>
      </c>
      <c r="C21887">
        <f>ROMAN(21886)</f>
        <v/>
      </c>
      <c r="D21887">
        <f>IF(B21887=C21887, "YES", "WRONG")</f>
        <v/>
      </c>
    </row>
    <row r="21888">
      <c r="A21888" t="n">
        <v>21887</v>
      </c>
      <c r="B21888" t="inlineStr">
        <is>
          <t>x̄x̄MDCCCLXXXVII</t>
        </is>
      </c>
      <c r="C21888">
        <f>ROMAN(21887)</f>
        <v/>
      </c>
      <c r="D21888">
        <f>IF(B21888=C21888, "YES", "WRONG")</f>
        <v/>
      </c>
    </row>
    <row r="21889">
      <c r="A21889" t="n">
        <v>21888</v>
      </c>
      <c r="B21889" t="inlineStr">
        <is>
          <t>x̄x̄MDCCCLXXXVIII</t>
        </is>
      </c>
      <c r="C21889">
        <f>ROMAN(21888)</f>
        <v/>
      </c>
      <c r="D21889">
        <f>IF(B21889=C21889, "YES", "WRONG")</f>
        <v/>
      </c>
    </row>
    <row r="21890">
      <c r="A21890" t="n">
        <v>21889</v>
      </c>
      <c r="B21890" t="inlineStr">
        <is>
          <t>x̄x̄MDCCCLXXXIX</t>
        </is>
      </c>
      <c r="C21890">
        <f>ROMAN(21889)</f>
        <v/>
      </c>
      <c r="D21890">
        <f>IF(B21890=C21890, "YES", "WRONG")</f>
        <v/>
      </c>
    </row>
    <row r="21891">
      <c r="A21891" t="n">
        <v>21890</v>
      </c>
      <c r="B21891" t="inlineStr">
        <is>
          <t>x̄x̄MDCCCXC</t>
        </is>
      </c>
      <c r="C21891">
        <f>ROMAN(21890)</f>
        <v/>
      </c>
      <c r="D21891">
        <f>IF(B21891=C21891, "YES", "WRONG")</f>
        <v/>
      </c>
    </row>
    <row r="21892">
      <c r="A21892" t="n">
        <v>21891</v>
      </c>
      <c r="B21892" t="inlineStr">
        <is>
          <t>x̄x̄MDCCCXCI</t>
        </is>
      </c>
      <c r="C21892">
        <f>ROMAN(21891)</f>
        <v/>
      </c>
      <c r="D21892">
        <f>IF(B21892=C21892, "YES", "WRONG")</f>
        <v/>
      </c>
    </row>
    <row r="21893">
      <c r="A21893" t="n">
        <v>21892</v>
      </c>
      <c r="B21893" t="inlineStr">
        <is>
          <t>x̄x̄MDCCCXCII</t>
        </is>
      </c>
      <c r="C21893">
        <f>ROMAN(21892)</f>
        <v/>
      </c>
      <c r="D21893">
        <f>IF(B21893=C21893, "YES", "WRONG")</f>
        <v/>
      </c>
    </row>
    <row r="21894">
      <c r="A21894" t="n">
        <v>21893</v>
      </c>
      <c r="B21894" t="inlineStr">
        <is>
          <t>x̄x̄MDCCCXCIII</t>
        </is>
      </c>
      <c r="C21894">
        <f>ROMAN(21893)</f>
        <v/>
      </c>
      <c r="D21894">
        <f>IF(B21894=C21894, "YES", "WRONG")</f>
        <v/>
      </c>
    </row>
    <row r="21895">
      <c r="A21895" t="n">
        <v>21894</v>
      </c>
      <c r="B21895" t="inlineStr">
        <is>
          <t>x̄x̄MDCCCXCIV</t>
        </is>
      </c>
      <c r="C21895">
        <f>ROMAN(21894)</f>
        <v/>
      </c>
      <c r="D21895">
        <f>IF(B21895=C21895, "YES", "WRONG")</f>
        <v/>
      </c>
    </row>
    <row r="21896">
      <c r="A21896" t="n">
        <v>21895</v>
      </c>
      <c r="B21896" t="inlineStr">
        <is>
          <t>x̄x̄MDCCCXCV</t>
        </is>
      </c>
      <c r="C21896">
        <f>ROMAN(21895)</f>
        <v/>
      </c>
      <c r="D21896">
        <f>IF(B21896=C21896, "YES", "WRONG")</f>
        <v/>
      </c>
    </row>
    <row r="21897">
      <c r="A21897" t="n">
        <v>21896</v>
      </c>
      <c r="B21897" t="inlineStr">
        <is>
          <t>x̄x̄MDCCCXCVI</t>
        </is>
      </c>
      <c r="C21897">
        <f>ROMAN(21896)</f>
        <v/>
      </c>
      <c r="D21897">
        <f>IF(B21897=C21897, "YES", "WRONG")</f>
        <v/>
      </c>
    </row>
    <row r="21898">
      <c r="A21898" t="n">
        <v>21897</v>
      </c>
      <c r="B21898" t="inlineStr">
        <is>
          <t>x̄x̄MDCCCXCVII</t>
        </is>
      </c>
      <c r="C21898">
        <f>ROMAN(21897)</f>
        <v/>
      </c>
      <c r="D21898">
        <f>IF(B21898=C21898, "YES", "WRONG")</f>
        <v/>
      </c>
    </row>
    <row r="21899">
      <c r="A21899" t="n">
        <v>21898</v>
      </c>
      <c r="B21899" t="inlineStr">
        <is>
          <t>x̄x̄MDCCCXCVIII</t>
        </is>
      </c>
      <c r="C21899">
        <f>ROMAN(21898)</f>
        <v/>
      </c>
      <c r="D21899">
        <f>IF(B21899=C21899, "YES", "WRONG")</f>
        <v/>
      </c>
    </row>
    <row r="21900">
      <c r="A21900" t="n">
        <v>21899</v>
      </c>
      <c r="B21900" t="inlineStr">
        <is>
          <t>x̄x̄MDCCCXCIX</t>
        </is>
      </c>
      <c r="C21900">
        <f>ROMAN(21899)</f>
        <v/>
      </c>
      <c r="D21900">
        <f>IF(B21900=C21900, "YES", "WRONG")</f>
        <v/>
      </c>
    </row>
    <row r="21901">
      <c r="A21901" t="n">
        <v>21900</v>
      </c>
      <c r="B21901" t="inlineStr">
        <is>
          <t>x̄x̄MCM</t>
        </is>
      </c>
      <c r="C21901">
        <f>ROMAN(21900)</f>
        <v/>
      </c>
      <c r="D21901">
        <f>IF(B21901=C21901, "YES", "WRONG")</f>
        <v/>
      </c>
    </row>
    <row r="21902">
      <c r="A21902" t="n">
        <v>21901</v>
      </c>
      <c r="B21902" t="inlineStr">
        <is>
          <t>x̄x̄MCMI</t>
        </is>
      </c>
      <c r="C21902">
        <f>ROMAN(21901)</f>
        <v/>
      </c>
      <c r="D21902">
        <f>IF(B21902=C21902, "YES", "WRONG")</f>
        <v/>
      </c>
    </row>
    <row r="21903">
      <c r="A21903" t="n">
        <v>21902</v>
      </c>
      <c r="B21903" t="inlineStr">
        <is>
          <t>x̄x̄MCMII</t>
        </is>
      </c>
      <c r="C21903">
        <f>ROMAN(21902)</f>
        <v/>
      </c>
      <c r="D21903">
        <f>IF(B21903=C21903, "YES", "WRONG")</f>
        <v/>
      </c>
    </row>
    <row r="21904">
      <c r="A21904" t="n">
        <v>21903</v>
      </c>
      <c r="B21904" t="inlineStr">
        <is>
          <t>x̄x̄MCMIII</t>
        </is>
      </c>
      <c r="C21904">
        <f>ROMAN(21903)</f>
        <v/>
      </c>
      <c r="D21904">
        <f>IF(B21904=C21904, "YES", "WRONG")</f>
        <v/>
      </c>
    </row>
    <row r="21905">
      <c r="A21905" t="n">
        <v>21904</v>
      </c>
      <c r="B21905" t="inlineStr">
        <is>
          <t>x̄x̄MCMIV</t>
        </is>
      </c>
      <c r="C21905">
        <f>ROMAN(21904)</f>
        <v/>
      </c>
      <c r="D21905">
        <f>IF(B21905=C21905, "YES", "WRONG")</f>
        <v/>
      </c>
    </row>
    <row r="21906">
      <c r="A21906" t="n">
        <v>21905</v>
      </c>
      <c r="B21906" t="inlineStr">
        <is>
          <t>x̄x̄MCMV</t>
        </is>
      </c>
      <c r="C21906">
        <f>ROMAN(21905)</f>
        <v/>
      </c>
      <c r="D21906">
        <f>IF(B21906=C21906, "YES", "WRONG")</f>
        <v/>
      </c>
    </row>
    <row r="21907">
      <c r="A21907" t="n">
        <v>21906</v>
      </c>
      <c r="B21907" t="inlineStr">
        <is>
          <t>x̄x̄MCMVI</t>
        </is>
      </c>
      <c r="C21907">
        <f>ROMAN(21906)</f>
        <v/>
      </c>
      <c r="D21907">
        <f>IF(B21907=C21907, "YES", "WRONG")</f>
        <v/>
      </c>
    </row>
    <row r="21908">
      <c r="A21908" t="n">
        <v>21907</v>
      </c>
      <c r="B21908" t="inlineStr">
        <is>
          <t>x̄x̄MCMVII</t>
        </is>
      </c>
      <c r="C21908">
        <f>ROMAN(21907)</f>
        <v/>
      </c>
      <c r="D21908">
        <f>IF(B21908=C21908, "YES", "WRONG")</f>
        <v/>
      </c>
    </row>
    <row r="21909">
      <c r="A21909" t="n">
        <v>21908</v>
      </c>
      <c r="B21909" t="inlineStr">
        <is>
          <t>x̄x̄MCMVIII</t>
        </is>
      </c>
      <c r="C21909">
        <f>ROMAN(21908)</f>
        <v/>
      </c>
      <c r="D21909">
        <f>IF(B21909=C21909, "YES", "WRONG")</f>
        <v/>
      </c>
    </row>
    <row r="21910">
      <c r="A21910" t="n">
        <v>21909</v>
      </c>
      <c r="B21910" t="inlineStr">
        <is>
          <t>x̄x̄MCMIX</t>
        </is>
      </c>
      <c r="C21910">
        <f>ROMAN(21909)</f>
        <v/>
      </c>
      <c r="D21910">
        <f>IF(B21910=C21910, "YES", "WRONG")</f>
        <v/>
      </c>
    </row>
    <row r="21911">
      <c r="A21911" t="n">
        <v>21910</v>
      </c>
      <c r="B21911" t="inlineStr">
        <is>
          <t>x̄x̄MCMX</t>
        </is>
      </c>
      <c r="C21911">
        <f>ROMAN(21910)</f>
        <v/>
      </c>
      <c r="D21911">
        <f>IF(B21911=C21911, "YES", "WRONG")</f>
        <v/>
      </c>
    </row>
    <row r="21912">
      <c r="A21912" t="n">
        <v>21911</v>
      </c>
      <c r="B21912" t="inlineStr">
        <is>
          <t>x̄x̄MCMXI</t>
        </is>
      </c>
      <c r="C21912">
        <f>ROMAN(21911)</f>
        <v/>
      </c>
      <c r="D21912">
        <f>IF(B21912=C21912, "YES", "WRONG")</f>
        <v/>
      </c>
    </row>
    <row r="21913">
      <c r="A21913" t="n">
        <v>21912</v>
      </c>
      <c r="B21913" t="inlineStr">
        <is>
          <t>x̄x̄MCMXII</t>
        </is>
      </c>
      <c r="C21913">
        <f>ROMAN(21912)</f>
        <v/>
      </c>
      <c r="D21913">
        <f>IF(B21913=C21913, "YES", "WRONG")</f>
        <v/>
      </c>
    </row>
    <row r="21914">
      <c r="A21914" t="n">
        <v>21913</v>
      </c>
      <c r="B21914" t="inlineStr">
        <is>
          <t>x̄x̄MCMXIII</t>
        </is>
      </c>
      <c r="C21914">
        <f>ROMAN(21913)</f>
        <v/>
      </c>
      <c r="D21914">
        <f>IF(B21914=C21914, "YES", "WRONG")</f>
        <v/>
      </c>
    </row>
    <row r="21915">
      <c r="A21915" t="n">
        <v>21914</v>
      </c>
      <c r="B21915" t="inlineStr">
        <is>
          <t>x̄x̄MCMXIV</t>
        </is>
      </c>
      <c r="C21915">
        <f>ROMAN(21914)</f>
        <v/>
      </c>
      <c r="D21915">
        <f>IF(B21915=C21915, "YES", "WRONG")</f>
        <v/>
      </c>
    </row>
    <row r="21916">
      <c r="A21916" t="n">
        <v>21915</v>
      </c>
      <c r="B21916" t="inlineStr">
        <is>
          <t>x̄x̄MCMXV</t>
        </is>
      </c>
      <c r="C21916">
        <f>ROMAN(21915)</f>
        <v/>
      </c>
      <c r="D21916">
        <f>IF(B21916=C21916, "YES", "WRONG")</f>
        <v/>
      </c>
    </row>
    <row r="21917">
      <c r="A21917" t="n">
        <v>21916</v>
      </c>
      <c r="B21917" t="inlineStr">
        <is>
          <t>x̄x̄MCMXVI</t>
        </is>
      </c>
      <c r="C21917">
        <f>ROMAN(21916)</f>
        <v/>
      </c>
      <c r="D21917">
        <f>IF(B21917=C21917, "YES", "WRONG")</f>
        <v/>
      </c>
    </row>
    <row r="21918">
      <c r="A21918" t="n">
        <v>21917</v>
      </c>
      <c r="B21918" t="inlineStr">
        <is>
          <t>x̄x̄MCMXVII</t>
        </is>
      </c>
      <c r="C21918">
        <f>ROMAN(21917)</f>
        <v/>
      </c>
      <c r="D21918">
        <f>IF(B21918=C21918, "YES", "WRONG")</f>
        <v/>
      </c>
    </row>
    <row r="21919">
      <c r="A21919" t="n">
        <v>21918</v>
      </c>
      <c r="B21919" t="inlineStr">
        <is>
          <t>x̄x̄MCMXVIII</t>
        </is>
      </c>
      <c r="C21919">
        <f>ROMAN(21918)</f>
        <v/>
      </c>
      <c r="D21919">
        <f>IF(B21919=C21919, "YES", "WRONG")</f>
        <v/>
      </c>
    </row>
    <row r="21920">
      <c r="A21920" t="n">
        <v>21919</v>
      </c>
      <c r="B21920" t="inlineStr">
        <is>
          <t>x̄x̄MCMXIX</t>
        </is>
      </c>
      <c r="C21920">
        <f>ROMAN(21919)</f>
        <v/>
      </c>
      <c r="D21920">
        <f>IF(B21920=C21920, "YES", "WRONG")</f>
        <v/>
      </c>
    </row>
    <row r="21921">
      <c r="A21921" t="n">
        <v>21920</v>
      </c>
      <c r="B21921" t="inlineStr">
        <is>
          <t>x̄x̄MCMXX</t>
        </is>
      </c>
      <c r="C21921">
        <f>ROMAN(21920)</f>
        <v/>
      </c>
      <c r="D21921">
        <f>IF(B21921=C21921, "YES", "WRONG")</f>
        <v/>
      </c>
    </row>
    <row r="21922">
      <c r="A21922" t="n">
        <v>21921</v>
      </c>
      <c r="B21922" t="inlineStr">
        <is>
          <t>x̄x̄MCMXXI</t>
        </is>
      </c>
      <c r="C21922">
        <f>ROMAN(21921)</f>
        <v/>
      </c>
      <c r="D21922">
        <f>IF(B21922=C21922, "YES", "WRONG")</f>
        <v/>
      </c>
    </row>
    <row r="21923">
      <c r="A21923" t="n">
        <v>21922</v>
      </c>
      <c r="B21923" t="inlineStr">
        <is>
          <t>x̄x̄MCMXXII</t>
        </is>
      </c>
      <c r="C21923">
        <f>ROMAN(21922)</f>
        <v/>
      </c>
      <c r="D21923">
        <f>IF(B21923=C21923, "YES", "WRONG")</f>
        <v/>
      </c>
    </row>
    <row r="21924">
      <c r="A21924" t="n">
        <v>21923</v>
      </c>
      <c r="B21924" t="inlineStr">
        <is>
          <t>x̄x̄MCMXXIII</t>
        </is>
      </c>
      <c r="C21924">
        <f>ROMAN(21923)</f>
        <v/>
      </c>
      <c r="D21924">
        <f>IF(B21924=C21924, "YES", "WRONG")</f>
        <v/>
      </c>
    </row>
    <row r="21925">
      <c r="A21925" t="n">
        <v>21924</v>
      </c>
      <c r="B21925" t="inlineStr">
        <is>
          <t>x̄x̄MCMXXIV</t>
        </is>
      </c>
      <c r="C21925">
        <f>ROMAN(21924)</f>
        <v/>
      </c>
      <c r="D21925">
        <f>IF(B21925=C21925, "YES", "WRONG")</f>
        <v/>
      </c>
    </row>
    <row r="21926">
      <c r="A21926" t="n">
        <v>21925</v>
      </c>
      <c r="B21926" t="inlineStr">
        <is>
          <t>x̄x̄MCMXXV</t>
        </is>
      </c>
      <c r="C21926">
        <f>ROMAN(21925)</f>
        <v/>
      </c>
      <c r="D21926">
        <f>IF(B21926=C21926, "YES", "WRONG")</f>
        <v/>
      </c>
    </row>
    <row r="21927">
      <c r="A21927" t="n">
        <v>21926</v>
      </c>
      <c r="B21927" t="inlineStr">
        <is>
          <t>x̄x̄MCMXXVI</t>
        </is>
      </c>
      <c r="C21927">
        <f>ROMAN(21926)</f>
        <v/>
      </c>
      <c r="D21927">
        <f>IF(B21927=C21927, "YES", "WRONG")</f>
        <v/>
      </c>
    </row>
    <row r="21928">
      <c r="A21928" t="n">
        <v>21927</v>
      </c>
      <c r="B21928" t="inlineStr">
        <is>
          <t>x̄x̄MCMXXVII</t>
        </is>
      </c>
      <c r="C21928">
        <f>ROMAN(21927)</f>
        <v/>
      </c>
      <c r="D21928">
        <f>IF(B21928=C21928, "YES", "WRONG")</f>
        <v/>
      </c>
    </row>
    <row r="21929">
      <c r="A21929" t="n">
        <v>21928</v>
      </c>
      <c r="B21929" t="inlineStr">
        <is>
          <t>x̄x̄MCMXXVIII</t>
        </is>
      </c>
      <c r="C21929">
        <f>ROMAN(21928)</f>
        <v/>
      </c>
      <c r="D21929">
        <f>IF(B21929=C21929, "YES", "WRONG")</f>
        <v/>
      </c>
    </row>
    <row r="21930">
      <c r="A21930" t="n">
        <v>21929</v>
      </c>
      <c r="B21930" t="inlineStr">
        <is>
          <t>x̄x̄MCMXXIX</t>
        </is>
      </c>
      <c r="C21930">
        <f>ROMAN(21929)</f>
        <v/>
      </c>
      <c r="D21930">
        <f>IF(B21930=C21930, "YES", "WRONG")</f>
        <v/>
      </c>
    </row>
    <row r="21931">
      <c r="A21931" t="n">
        <v>21930</v>
      </c>
      <c r="B21931" t="inlineStr">
        <is>
          <t>x̄x̄MCMXXX</t>
        </is>
      </c>
      <c r="C21931">
        <f>ROMAN(21930)</f>
        <v/>
      </c>
      <c r="D21931">
        <f>IF(B21931=C21931, "YES", "WRONG")</f>
        <v/>
      </c>
    </row>
    <row r="21932">
      <c r="A21932" t="n">
        <v>21931</v>
      </c>
      <c r="B21932" t="inlineStr">
        <is>
          <t>x̄x̄MCMXXXI</t>
        </is>
      </c>
      <c r="C21932">
        <f>ROMAN(21931)</f>
        <v/>
      </c>
      <c r="D21932">
        <f>IF(B21932=C21932, "YES", "WRONG")</f>
        <v/>
      </c>
    </row>
    <row r="21933">
      <c r="A21933" t="n">
        <v>21932</v>
      </c>
      <c r="B21933" t="inlineStr">
        <is>
          <t>x̄x̄MCMXXXII</t>
        </is>
      </c>
      <c r="C21933">
        <f>ROMAN(21932)</f>
        <v/>
      </c>
      <c r="D21933">
        <f>IF(B21933=C21933, "YES", "WRONG")</f>
        <v/>
      </c>
    </row>
    <row r="21934">
      <c r="A21934" t="n">
        <v>21933</v>
      </c>
      <c r="B21934" t="inlineStr">
        <is>
          <t>x̄x̄MCMXXXIII</t>
        </is>
      </c>
      <c r="C21934">
        <f>ROMAN(21933)</f>
        <v/>
      </c>
      <c r="D21934">
        <f>IF(B21934=C21934, "YES", "WRONG")</f>
        <v/>
      </c>
    </row>
    <row r="21935">
      <c r="A21935" t="n">
        <v>21934</v>
      </c>
      <c r="B21935" t="inlineStr">
        <is>
          <t>x̄x̄MCMXXXIV</t>
        </is>
      </c>
      <c r="C21935">
        <f>ROMAN(21934)</f>
        <v/>
      </c>
      <c r="D21935">
        <f>IF(B21935=C21935, "YES", "WRONG")</f>
        <v/>
      </c>
    </row>
    <row r="21936">
      <c r="A21936" t="n">
        <v>21935</v>
      </c>
      <c r="B21936" t="inlineStr">
        <is>
          <t>x̄x̄MCMXXXV</t>
        </is>
      </c>
      <c r="C21936">
        <f>ROMAN(21935)</f>
        <v/>
      </c>
      <c r="D21936">
        <f>IF(B21936=C21936, "YES", "WRONG")</f>
        <v/>
      </c>
    </row>
    <row r="21937">
      <c r="A21937" t="n">
        <v>21936</v>
      </c>
      <c r="B21937" t="inlineStr">
        <is>
          <t>x̄x̄MCMXXXVI</t>
        </is>
      </c>
      <c r="C21937">
        <f>ROMAN(21936)</f>
        <v/>
      </c>
      <c r="D21937">
        <f>IF(B21937=C21937, "YES", "WRONG")</f>
        <v/>
      </c>
    </row>
    <row r="21938">
      <c r="A21938" t="n">
        <v>21937</v>
      </c>
      <c r="B21938" t="inlineStr">
        <is>
          <t>x̄x̄MCMXXXVII</t>
        </is>
      </c>
      <c r="C21938">
        <f>ROMAN(21937)</f>
        <v/>
      </c>
      <c r="D21938">
        <f>IF(B21938=C21938, "YES", "WRONG")</f>
        <v/>
      </c>
    </row>
    <row r="21939">
      <c r="A21939" t="n">
        <v>21938</v>
      </c>
      <c r="B21939" t="inlineStr">
        <is>
          <t>x̄x̄MCMXXXVIII</t>
        </is>
      </c>
      <c r="C21939">
        <f>ROMAN(21938)</f>
        <v/>
      </c>
      <c r="D21939">
        <f>IF(B21939=C21939, "YES", "WRONG")</f>
        <v/>
      </c>
    </row>
    <row r="21940">
      <c r="A21940" t="n">
        <v>21939</v>
      </c>
      <c r="B21940" t="inlineStr">
        <is>
          <t>x̄x̄MCMXXXIX</t>
        </is>
      </c>
      <c r="C21940">
        <f>ROMAN(21939)</f>
        <v/>
      </c>
      <c r="D21940">
        <f>IF(B21940=C21940, "YES", "WRONG")</f>
        <v/>
      </c>
    </row>
    <row r="21941">
      <c r="A21941" t="n">
        <v>21940</v>
      </c>
      <c r="B21941" t="inlineStr">
        <is>
          <t>x̄x̄MCMXL</t>
        </is>
      </c>
      <c r="C21941">
        <f>ROMAN(21940)</f>
        <v/>
      </c>
      <c r="D21941">
        <f>IF(B21941=C21941, "YES", "WRONG")</f>
        <v/>
      </c>
    </row>
    <row r="21942">
      <c r="A21942" t="n">
        <v>21941</v>
      </c>
      <c r="B21942" t="inlineStr">
        <is>
          <t>x̄x̄MCMXLI</t>
        </is>
      </c>
      <c r="C21942">
        <f>ROMAN(21941)</f>
        <v/>
      </c>
      <c r="D21942">
        <f>IF(B21942=C21942, "YES", "WRONG")</f>
        <v/>
      </c>
    </row>
    <row r="21943">
      <c r="A21943" t="n">
        <v>21942</v>
      </c>
      <c r="B21943" t="inlineStr">
        <is>
          <t>x̄x̄MCMXLII</t>
        </is>
      </c>
      <c r="C21943">
        <f>ROMAN(21942)</f>
        <v/>
      </c>
      <c r="D21943">
        <f>IF(B21943=C21943, "YES", "WRONG")</f>
        <v/>
      </c>
    </row>
    <row r="21944">
      <c r="A21944" t="n">
        <v>21943</v>
      </c>
      <c r="B21944" t="inlineStr">
        <is>
          <t>x̄x̄MCMXLIII</t>
        </is>
      </c>
      <c r="C21944">
        <f>ROMAN(21943)</f>
        <v/>
      </c>
      <c r="D21944">
        <f>IF(B21944=C21944, "YES", "WRONG")</f>
        <v/>
      </c>
    </row>
    <row r="21945">
      <c r="A21945" t="n">
        <v>21944</v>
      </c>
      <c r="B21945" t="inlineStr">
        <is>
          <t>x̄x̄MCMXLIV</t>
        </is>
      </c>
      <c r="C21945">
        <f>ROMAN(21944)</f>
        <v/>
      </c>
      <c r="D21945">
        <f>IF(B21945=C21945, "YES", "WRONG")</f>
        <v/>
      </c>
    </row>
    <row r="21946">
      <c r="A21946" t="n">
        <v>21945</v>
      </c>
      <c r="B21946" t="inlineStr">
        <is>
          <t>x̄x̄MCMXLV</t>
        </is>
      </c>
      <c r="C21946">
        <f>ROMAN(21945)</f>
        <v/>
      </c>
      <c r="D21946">
        <f>IF(B21946=C21946, "YES", "WRONG")</f>
        <v/>
      </c>
    </row>
    <row r="21947">
      <c r="A21947" t="n">
        <v>21946</v>
      </c>
      <c r="B21947" t="inlineStr">
        <is>
          <t>x̄x̄MCMXLVI</t>
        </is>
      </c>
      <c r="C21947">
        <f>ROMAN(21946)</f>
        <v/>
      </c>
      <c r="D21947">
        <f>IF(B21947=C21947, "YES", "WRONG")</f>
        <v/>
      </c>
    </row>
    <row r="21948">
      <c r="A21948" t="n">
        <v>21947</v>
      </c>
      <c r="B21948" t="inlineStr">
        <is>
          <t>x̄x̄MCMXLVII</t>
        </is>
      </c>
      <c r="C21948">
        <f>ROMAN(21947)</f>
        <v/>
      </c>
      <c r="D21948">
        <f>IF(B21948=C21948, "YES", "WRONG")</f>
        <v/>
      </c>
    </row>
    <row r="21949">
      <c r="A21949" t="n">
        <v>21948</v>
      </c>
      <c r="B21949" t="inlineStr">
        <is>
          <t>x̄x̄MCMXLVIII</t>
        </is>
      </c>
      <c r="C21949">
        <f>ROMAN(21948)</f>
        <v/>
      </c>
      <c r="D21949">
        <f>IF(B21949=C21949, "YES", "WRONG")</f>
        <v/>
      </c>
    </row>
    <row r="21950">
      <c r="A21950" t="n">
        <v>21949</v>
      </c>
      <c r="B21950" t="inlineStr">
        <is>
          <t>x̄x̄MCMXLIX</t>
        </is>
      </c>
      <c r="C21950">
        <f>ROMAN(21949)</f>
        <v/>
      </c>
      <c r="D21950">
        <f>IF(B21950=C21950, "YES", "WRONG")</f>
        <v/>
      </c>
    </row>
    <row r="21951">
      <c r="A21951" t="n">
        <v>21950</v>
      </c>
      <c r="B21951" t="inlineStr">
        <is>
          <t>x̄x̄MCML</t>
        </is>
      </c>
      <c r="C21951">
        <f>ROMAN(21950)</f>
        <v/>
      </c>
      <c r="D21951">
        <f>IF(B21951=C21951, "YES", "WRONG")</f>
        <v/>
      </c>
    </row>
    <row r="21952">
      <c r="A21952" t="n">
        <v>21951</v>
      </c>
      <c r="B21952" t="inlineStr">
        <is>
          <t>x̄x̄MCMLI</t>
        </is>
      </c>
      <c r="C21952">
        <f>ROMAN(21951)</f>
        <v/>
      </c>
      <c r="D21952">
        <f>IF(B21952=C21952, "YES", "WRONG")</f>
        <v/>
      </c>
    </row>
    <row r="21953">
      <c r="A21953" t="n">
        <v>21952</v>
      </c>
      <c r="B21953" t="inlineStr">
        <is>
          <t>x̄x̄MCMLII</t>
        </is>
      </c>
      <c r="C21953">
        <f>ROMAN(21952)</f>
        <v/>
      </c>
      <c r="D21953">
        <f>IF(B21953=C21953, "YES", "WRONG")</f>
        <v/>
      </c>
    </row>
    <row r="21954">
      <c r="A21954" t="n">
        <v>21953</v>
      </c>
      <c r="B21954" t="inlineStr">
        <is>
          <t>x̄x̄MCMLIII</t>
        </is>
      </c>
      <c r="C21954">
        <f>ROMAN(21953)</f>
        <v/>
      </c>
      <c r="D21954">
        <f>IF(B21954=C21954, "YES", "WRONG")</f>
        <v/>
      </c>
    </row>
    <row r="21955">
      <c r="A21955" t="n">
        <v>21954</v>
      </c>
      <c r="B21955" t="inlineStr">
        <is>
          <t>x̄x̄MCMLIV</t>
        </is>
      </c>
      <c r="C21955">
        <f>ROMAN(21954)</f>
        <v/>
      </c>
      <c r="D21955">
        <f>IF(B21955=C21955, "YES", "WRONG")</f>
        <v/>
      </c>
    </row>
    <row r="21956">
      <c r="A21956" t="n">
        <v>21955</v>
      </c>
      <c r="B21956" t="inlineStr">
        <is>
          <t>x̄x̄MCMLV</t>
        </is>
      </c>
      <c r="C21956">
        <f>ROMAN(21955)</f>
        <v/>
      </c>
      <c r="D21956">
        <f>IF(B21956=C21956, "YES", "WRONG")</f>
        <v/>
      </c>
    </row>
    <row r="21957">
      <c r="A21957" t="n">
        <v>21956</v>
      </c>
      <c r="B21957" t="inlineStr">
        <is>
          <t>x̄x̄MCMLVI</t>
        </is>
      </c>
      <c r="C21957">
        <f>ROMAN(21956)</f>
        <v/>
      </c>
      <c r="D21957">
        <f>IF(B21957=C21957, "YES", "WRONG")</f>
        <v/>
      </c>
    </row>
    <row r="21958">
      <c r="A21958" t="n">
        <v>21957</v>
      </c>
      <c r="B21958" t="inlineStr">
        <is>
          <t>x̄x̄MCMLVII</t>
        </is>
      </c>
      <c r="C21958">
        <f>ROMAN(21957)</f>
        <v/>
      </c>
      <c r="D21958">
        <f>IF(B21958=C21958, "YES", "WRONG")</f>
        <v/>
      </c>
    </row>
    <row r="21959">
      <c r="A21959" t="n">
        <v>21958</v>
      </c>
      <c r="B21959" t="inlineStr">
        <is>
          <t>x̄x̄MCMLVIII</t>
        </is>
      </c>
      <c r="C21959">
        <f>ROMAN(21958)</f>
        <v/>
      </c>
      <c r="D21959">
        <f>IF(B21959=C21959, "YES", "WRONG")</f>
        <v/>
      </c>
    </row>
    <row r="21960">
      <c r="A21960" t="n">
        <v>21959</v>
      </c>
      <c r="B21960" t="inlineStr">
        <is>
          <t>x̄x̄MCMLIX</t>
        </is>
      </c>
      <c r="C21960">
        <f>ROMAN(21959)</f>
        <v/>
      </c>
      <c r="D21960">
        <f>IF(B21960=C21960, "YES", "WRONG")</f>
        <v/>
      </c>
    </row>
    <row r="21961">
      <c r="A21961" t="n">
        <v>21960</v>
      </c>
      <c r="B21961" t="inlineStr">
        <is>
          <t>x̄x̄MCMLX</t>
        </is>
      </c>
      <c r="C21961">
        <f>ROMAN(21960)</f>
        <v/>
      </c>
      <c r="D21961">
        <f>IF(B21961=C21961, "YES", "WRONG")</f>
        <v/>
      </c>
    </row>
    <row r="21962">
      <c r="A21962" t="n">
        <v>21961</v>
      </c>
      <c r="B21962" t="inlineStr">
        <is>
          <t>x̄x̄MCMLXI</t>
        </is>
      </c>
      <c r="C21962">
        <f>ROMAN(21961)</f>
        <v/>
      </c>
      <c r="D21962">
        <f>IF(B21962=C21962, "YES", "WRONG")</f>
        <v/>
      </c>
    </row>
    <row r="21963">
      <c r="A21963" t="n">
        <v>21962</v>
      </c>
      <c r="B21963" t="inlineStr">
        <is>
          <t>x̄x̄MCMLXII</t>
        </is>
      </c>
      <c r="C21963">
        <f>ROMAN(21962)</f>
        <v/>
      </c>
      <c r="D21963">
        <f>IF(B21963=C21963, "YES", "WRONG")</f>
        <v/>
      </c>
    </row>
    <row r="21964">
      <c r="A21964" t="n">
        <v>21963</v>
      </c>
      <c r="B21964" t="inlineStr">
        <is>
          <t>x̄x̄MCMLXIII</t>
        </is>
      </c>
      <c r="C21964">
        <f>ROMAN(21963)</f>
        <v/>
      </c>
      <c r="D21964">
        <f>IF(B21964=C21964, "YES", "WRONG")</f>
        <v/>
      </c>
    </row>
    <row r="21965">
      <c r="A21965" t="n">
        <v>21964</v>
      </c>
      <c r="B21965" t="inlineStr">
        <is>
          <t>x̄x̄MCMLXIV</t>
        </is>
      </c>
      <c r="C21965">
        <f>ROMAN(21964)</f>
        <v/>
      </c>
      <c r="D21965">
        <f>IF(B21965=C21965, "YES", "WRONG")</f>
        <v/>
      </c>
    </row>
    <row r="21966">
      <c r="A21966" t="n">
        <v>21965</v>
      </c>
      <c r="B21966" t="inlineStr">
        <is>
          <t>x̄x̄MCMLXV</t>
        </is>
      </c>
      <c r="C21966">
        <f>ROMAN(21965)</f>
        <v/>
      </c>
      <c r="D21966">
        <f>IF(B21966=C21966, "YES", "WRONG")</f>
        <v/>
      </c>
    </row>
    <row r="21967">
      <c r="A21967" t="n">
        <v>21966</v>
      </c>
      <c r="B21967" t="inlineStr">
        <is>
          <t>x̄x̄MCMLXVI</t>
        </is>
      </c>
      <c r="C21967">
        <f>ROMAN(21966)</f>
        <v/>
      </c>
      <c r="D21967">
        <f>IF(B21967=C21967, "YES", "WRONG")</f>
        <v/>
      </c>
    </row>
    <row r="21968">
      <c r="A21968" t="n">
        <v>21967</v>
      </c>
      <c r="B21968" t="inlineStr">
        <is>
          <t>x̄x̄MCMLXVII</t>
        </is>
      </c>
      <c r="C21968">
        <f>ROMAN(21967)</f>
        <v/>
      </c>
      <c r="D21968">
        <f>IF(B21968=C21968, "YES", "WRONG")</f>
        <v/>
      </c>
    </row>
    <row r="21969">
      <c r="A21969" t="n">
        <v>21968</v>
      </c>
      <c r="B21969" t="inlineStr">
        <is>
          <t>x̄x̄MCMLXVIII</t>
        </is>
      </c>
      <c r="C21969">
        <f>ROMAN(21968)</f>
        <v/>
      </c>
      <c r="D21969">
        <f>IF(B21969=C21969, "YES", "WRONG")</f>
        <v/>
      </c>
    </row>
    <row r="21970">
      <c r="A21970" t="n">
        <v>21969</v>
      </c>
      <c r="B21970" t="inlineStr">
        <is>
          <t>x̄x̄MCMLXIX</t>
        </is>
      </c>
      <c r="C21970">
        <f>ROMAN(21969)</f>
        <v/>
      </c>
      <c r="D21970">
        <f>IF(B21970=C21970, "YES", "WRONG")</f>
        <v/>
      </c>
    </row>
    <row r="21971">
      <c r="A21971" t="n">
        <v>21970</v>
      </c>
      <c r="B21971" t="inlineStr">
        <is>
          <t>x̄x̄MCMLXX</t>
        </is>
      </c>
      <c r="C21971">
        <f>ROMAN(21970)</f>
        <v/>
      </c>
      <c r="D21971">
        <f>IF(B21971=C21971, "YES", "WRONG")</f>
        <v/>
      </c>
    </row>
    <row r="21972">
      <c r="A21972" t="n">
        <v>21971</v>
      </c>
      <c r="B21972" t="inlineStr">
        <is>
          <t>x̄x̄MCMLXXI</t>
        </is>
      </c>
      <c r="C21972">
        <f>ROMAN(21971)</f>
        <v/>
      </c>
      <c r="D21972">
        <f>IF(B21972=C21972, "YES", "WRONG")</f>
        <v/>
      </c>
    </row>
    <row r="21973">
      <c r="A21973" t="n">
        <v>21972</v>
      </c>
      <c r="B21973" t="inlineStr">
        <is>
          <t>x̄x̄MCMLXXII</t>
        </is>
      </c>
      <c r="C21973">
        <f>ROMAN(21972)</f>
        <v/>
      </c>
      <c r="D21973">
        <f>IF(B21973=C21973, "YES", "WRONG")</f>
        <v/>
      </c>
    </row>
    <row r="21974">
      <c r="A21974" t="n">
        <v>21973</v>
      </c>
      <c r="B21974" t="inlineStr">
        <is>
          <t>x̄x̄MCMLXXIII</t>
        </is>
      </c>
      <c r="C21974">
        <f>ROMAN(21973)</f>
        <v/>
      </c>
      <c r="D21974">
        <f>IF(B21974=C21974, "YES", "WRONG")</f>
        <v/>
      </c>
    </row>
    <row r="21975">
      <c r="A21975" t="n">
        <v>21974</v>
      </c>
      <c r="B21975" t="inlineStr">
        <is>
          <t>x̄x̄MCMLXXIV</t>
        </is>
      </c>
      <c r="C21975">
        <f>ROMAN(21974)</f>
        <v/>
      </c>
      <c r="D21975">
        <f>IF(B21975=C21975, "YES", "WRONG")</f>
        <v/>
      </c>
    </row>
    <row r="21976">
      <c r="A21976" t="n">
        <v>21975</v>
      </c>
      <c r="B21976" t="inlineStr">
        <is>
          <t>x̄x̄MCMLXXV</t>
        </is>
      </c>
      <c r="C21976">
        <f>ROMAN(21975)</f>
        <v/>
      </c>
      <c r="D21976">
        <f>IF(B21976=C21976, "YES", "WRONG")</f>
        <v/>
      </c>
    </row>
    <row r="21977">
      <c r="A21977" t="n">
        <v>21976</v>
      </c>
      <c r="B21977" t="inlineStr">
        <is>
          <t>x̄x̄MCMLXXVI</t>
        </is>
      </c>
      <c r="C21977">
        <f>ROMAN(21976)</f>
        <v/>
      </c>
      <c r="D21977">
        <f>IF(B21977=C21977, "YES", "WRONG")</f>
        <v/>
      </c>
    </row>
    <row r="21978">
      <c r="A21978" t="n">
        <v>21977</v>
      </c>
      <c r="B21978" t="inlineStr">
        <is>
          <t>x̄x̄MCMLXXVII</t>
        </is>
      </c>
      <c r="C21978">
        <f>ROMAN(21977)</f>
        <v/>
      </c>
      <c r="D21978">
        <f>IF(B21978=C21978, "YES", "WRONG")</f>
        <v/>
      </c>
    </row>
    <row r="21979">
      <c r="A21979" t="n">
        <v>21978</v>
      </c>
      <c r="B21979" t="inlineStr">
        <is>
          <t>x̄x̄MCMLXXVIII</t>
        </is>
      </c>
      <c r="C21979">
        <f>ROMAN(21978)</f>
        <v/>
      </c>
      <c r="D21979">
        <f>IF(B21979=C21979, "YES", "WRONG")</f>
        <v/>
      </c>
    </row>
    <row r="21980">
      <c r="A21980" t="n">
        <v>21979</v>
      </c>
      <c r="B21980" t="inlineStr">
        <is>
          <t>x̄x̄MCMLXXIX</t>
        </is>
      </c>
      <c r="C21980">
        <f>ROMAN(21979)</f>
        <v/>
      </c>
      <c r="D21980">
        <f>IF(B21980=C21980, "YES", "WRONG")</f>
        <v/>
      </c>
    </row>
    <row r="21981">
      <c r="A21981" t="n">
        <v>21980</v>
      </c>
      <c r="B21981" t="inlineStr">
        <is>
          <t>x̄x̄MCMLXXX</t>
        </is>
      </c>
      <c r="C21981">
        <f>ROMAN(21980)</f>
        <v/>
      </c>
      <c r="D21981">
        <f>IF(B21981=C21981, "YES", "WRONG")</f>
        <v/>
      </c>
    </row>
    <row r="21982">
      <c r="A21982" t="n">
        <v>21981</v>
      </c>
      <c r="B21982" t="inlineStr">
        <is>
          <t>x̄x̄MCMLXXXI</t>
        </is>
      </c>
      <c r="C21982">
        <f>ROMAN(21981)</f>
        <v/>
      </c>
      <c r="D21982">
        <f>IF(B21982=C21982, "YES", "WRONG")</f>
        <v/>
      </c>
    </row>
    <row r="21983">
      <c r="A21983" t="n">
        <v>21982</v>
      </c>
      <c r="B21983" t="inlineStr">
        <is>
          <t>x̄x̄MCMLXXXII</t>
        </is>
      </c>
      <c r="C21983">
        <f>ROMAN(21982)</f>
        <v/>
      </c>
      <c r="D21983">
        <f>IF(B21983=C21983, "YES", "WRONG")</f>
        <v/>
      </c>
    </row>
    <row r="21984">
      <c r="A21984" t="n">
        <v>21983</v>
      </c>
      <c r="B21984" t="inlineStr">
        <is>
          <t>x̄x̄MCMLXXXIII</t>
        </is>
      </c>
      <c r="C21984">
        <f>ROMAN(21983)</f>
        <v/>
      </c>
      <c r="D21984">
        <f>IF(B21984=C21984, "YES", "WRONG")</f>
        <v/>
      </c>
    </row>
    <row r="21985">
      <c r="A21985" t="n">
        <v>21984</v>
      </c>
      <c r="B21985" t="inlineStr">
        <is>
          <t>x̄x̄MCMLXXXIV</t>
        </is>
      </c>
      <c r="C21985">
        <f>ROMAN(21984)</f>
        <v/>
      </c>
      <c r="D21985">
        <f>IF(B21985=C21985, "YES", "WRONG")</f>
        <v/>
      </c>
    </row>
    <row r="21986">
      <c r="A21986" t="n">
        <v>21985</v>
      </c>
      <c r="B21986" t="inlineStr">
        <is>
          <t>x̄x̄MCMLXXXV</t>
        </is>
      </c>
      <c r="C21986">
        <f>ROMAN(21985)</f>
        <v/>
      </c>
      <c r="D21986">
        <f>IF(B21986=C21986, "YES", "WRONG")</f>
        <v/>
      </c>
    </row>
    <row r="21987">
      <c r="A21987" t="n">
        <v>21986</v>
      </c>
      <c r="B21987" t="inlineStr">
        <is>
          <t>x̄x̄MCMLXXXVI</t>
        </is>
      </c>
      <c r="C21987">
        <f>ROMAN(21986)</f>
        <v/>
      </c>
      <c r="D21987">
        <f>IF(B21987=C21987, "YES", "WRONG")</f>
        <v/>
      </c>
    </row>
    <row r="21988">
      <c r="A21988" t="n">
        <v>21987</v>
      </c>
      <c r="B21988" t="inlineStr">
        <is>
          <t>x̄x̄MCMLXXXVII</t>
        </is>
      </c>
      <c r="C21988">
        <f>ROMAN(21987)</f>
        <v/>
      </c>
      <c r="D21988">
        <f>IF(B21988=C21988, "YES", "WRONG")</f>
        <v/>
      </c>
    </row>
    <row r="21989">
      <c r="A21989" t="n">
        <v>21988</v>
      </c>
      <c r="B21989" t="inlineStr">
        <is>
          <t>x̄x̄MCMLXXXVIII</t>
        </is>
      </c>
      <c r="C21989">
        <f>ROMAN(21988)</f>
        <v/>
      </c>
      <c r="D21989">
        <f>IF(B21989=C21989, "YES", "WRONG")</f>
        <v/>
      </c>
    </row>
    <row r="21990">
      <c r="A21990" t="n">
        <v>21989</v>
      </c>
      <c r="B21990" t="inlineStr">
        <is>
          <t>x̄x̄MCMLXXXIX</t>
        </is>
      </c>
      <c r="C21990">
        <f>ROMAN(21989)</f>
        <v/>
      </c>
      <c r="D21990">
        <f>IF(B21990=C21990, "YES", "WRONG")</f>
        <v/>
      </c>
    </row>
    <row r="21991">
      <c r="A21991" t="n">
        <v>21990</v>
      </c>
      <c r="B21991" t="inlineStr">
        <is>
          <t>x̄x̄MCMXC</t>
        </is>
      </c>
      <c r="C21991">
        <f>ROMAN(21990)</f>
        <v/>
      </c>
      <c r="D21991">
        <f>IF(B21991=C21991, "YES", "WRONG")</f>
        <v/>
      </c>
    </row>
    <row r="21992">
      <c r="A21992" t="n">
        <v>21991</v>
      </c>
      <c r="B21992" t="inlineStr">
        <is>
          <t>x̄x̄MCMXCI</t>
        </is>
      </c>
      <c r="C21992">
        <f>ROMAN(21991)</f>
        <v/>
      </c>
      <c r="D21992">
        <f>IF(B21992=C21992, "YES", "WRONG")</f>
        <v/>
      </c>
    </row>
    <row r="21993">
      <c r="A21993" t="n">
        <v>21992</v>
      </c>
      <c r="B21993" t="inlineStr">
        <is>
          <t>x̄x̄MCMXCII</t>
        </is>
      </c>
      <c r="C21993">
        <f>ROMAN(21992)</f>
        <v/>
      </c>
      <c r="D21993">
        <f>IF(B21993=C21993, "YES", "WRONG")</f>
        <v/>
      </c>
    </row>
    <row r="21994">
      <c r="A21994" t="n">
        <v>21993</v>
      </c>
      <c r="B21994" t="inlineStr">
        <is>
          <t>x̄x̄MCMXCIII</t>
        </is>
      </c>
      <c r="C21994">
        <f>ROMAN(21993)</f>
        <v/>
      </c>
      <c r="D21994">
        <f>IF(B21994=C21994, "YES", "WRONG")</f>
        <v/>
      </c>
    </row>
    <row r="21995">
      <c r="A21995" t="n">
        <v>21994</v>
      </c>
      <c r="B21995" t="inlineStr">
        <is>
          <t>x̄x̄MCMXCIV</t>
        </is>
      </c>
      <c r="C21995">
        <f>ROMAN(21994)</f>
        <v/>
      </c>
      <c r="D21995">
        <f>IF(B21995=C21995, "YES", "WRONG")</f>
        <v/>
      </c>
    </row>
    <row r="21996">
      <c r="A21996" t="n">
        <v>21995</v>
      </c>
      <c r="B21996" t="inlineStr">
        <is>
          <t>x̄x̄MCMXCV</t>
        </is>
      </c>
      <c r="C21996">
        <f>ROMAN(21995)</f>
        <v/>
      </c>
      <c r="D21996">
        <f>IF(B21996=C21996, "YES", "WRONG")</f>
        <v/>
      </c>
    </row>
    <row r="21997">
      <c r="A21997" t="n">
        <v>21996</v>
      </c>
      <c r="B21997" t="inlineStr">
        <is>
          <t>x̄x̄MCMXCVI</t>
        </is>
      </c>
      <c r="C21997">
        <f>ROMAN(21996)</f>
        <v/>
      </c>
      <c r="D21997">
        <f>IF(B21997=C21997, "YES", "WRONG")</f>
        <v/>
      </c>
    </row>
    <row r="21998">
      <c r="A21998" t="n">
        <v>21997</v>
      </c>
      <c r="B21998" t="inlineStr">
        <is>
          <t>x̄x̄MCMXCVII</t>
        </is>
      </c>
      <c r="C21998">
        <f>ROMAN(21997)</f>
        <v/>
      </c>
      <c r="D21998">
        <f>IF(B21998=C21998, "YES", "WRONG")</f>
        <v/>
      </c>
    </row>
    <row r="21999">
      <c r="A21999" t="n">
        <v>21998</v>
      </c>
      <c r="B21999" t="inlineStr">
        <is>
          <t>x̄x̄MCMXCVIII</t>
        </is>
      </c>
      <c r="C21999">
        <f>ROMAN(21998)</f>
        <v/>
      </c>
      <c r="D21999">
        <f>IF(B21999=C21999, "YES", "WRONG")</f>
        <v/>
      </c>
    </row>
    <row r="22000">
      <c r="A22000" t="n">
        <v>21999</v>
      </c>
      <c r="B22000" t="inlineStr">
        <is>
          <t>x̄x̄MCMXCIX</t>
        </is>
      </c>
      <c r="C22000">
        <f>ROMAN(21999)</f>
        <v/>
      </c>
      <c r="D22000">
        <f>IF(B22000=C22000, "YES", "WRONG")</f>
        <v/>
      </c>
    </row>
    <row r="22001">
      <c r="A22001" t="n">
        <v>22000</v>
      </c>
      <c r="B22001" t="inlineStr">
        <is>
          <t>x̄x̄MM</t>
        </is>
      </c>
      <c r="C22001">
        <f>ROMAN(22000)</f>
        <v/>
      </c>
      <c r="D22001">
        <f>IF(B22001=C22001, "YES", "WRONG")</f>
        <v/>
      </c>
    </row>
    <row r="22002">
      <c r="A22002" t="n">
        <v>22001</v>
      </c>
      <c r="B22002" t="inlineStr">
        <is>
          <t>x̄x̄MMI</t>
        </is>
      </c>
      <c r="C22002">
        <f>ROMAN(22001)</f>
        <v/>
      </c>
      <c r="D22002">
        <f>IF(B22002=C22002, "YES", "WRONG")</f>
        <v/>
      </c>
    </row>
    <row r="22003">
      <c r="A22003" t="n">
        <v>22002</v>
      </c>
      <c r="B22003" t="inlineStr">
        <is>
          <t>x̄x̄MMII</t>
        </is>
      </c>
      <c r="C22003">
        <f>ROMAN(22002)</f>
        <v/>
      </c>
      <c r="D22003">
        <f>IF(B22003=C22003, "YES", "WRONG")</f>
        <v/>
      </c>
    </row>
    <row r="22004">
      <c r="A22004" t="n">
        <v>22003</v>
      </c>
      <c r="B22004" t="inlineStr">
        <is>
          <t>x̄x̄MMIII</t>
        </is>
      </c>
      <c r="C22004">
        <f>ROMAN(22003)</f>
        <v/>
      </c>
      <c r="D22004">
        <f>IF(B22004=C22004, "YES", "WRONG")</f>
        <v/>
      </c>
    </row>
    <row r="22005">
      <c r="A22005" t="n">
        <v>22004</v>
      </c>
      <c r="B22005" t="inlineStr">
        <is>
          <t>x̄x̄MMIV</t>
        </is>
      </c>
      <c r="C22005">
        <f>ROMAN(22004)</f>
        <v/>
      </c>
      <c r="D22005">
        <f>IF(B22005=C22005, "YES", "WRONG")</f>
        <v/>
      </c>
    </row>
    <row r="22006">
      <c r="A22006" t="n">
        <v>22005</v>
      </c>
      <c r="B22006" t="inlineStr">
        <is>
          <t>x̄x̄MMV</t>
        </is>
      </c>
      <c r="C22006">
        <f>ROMAN(22005)</f>
        <v/>
      </c>
      <c r="D22006">
        <f>IF(B22006=C22006, "YES", "WRONG")</f>
        <v/>
      </c>
    </row>
    <row r="22007">
      <c r="A22007" t="n">
        <v>22006</v>
      </c>
      <c r="B22007" t="inlineStr">
        <is>
          <t>x̄x̄MMVI</t>
        </is>
      </c>
      <c r="C22007">
        <f>ROMAN(22006)</f>
        <v/>
      </c>
      <c r="D22007">
        <f>IF(B22007=C22007, "YES", "WRONG")</f>
        <v/>
      </c>
    </row>
    <row r="22008">
      <c r="A22008" t="n">
        <v>22007</v>
      </c>
      <c r="B22008" t="inlineStr">
        <is>
          <t>x̄x̄MMVII</t>
        </is>
      </c>
      <c r="C22008">
        <f>ROMAN(22007)</f>
        <v/>
      </c>
      <c r="D22008">
        <f>IF(B22008=C22008, "YES", "WRONG")</f>
        <v/>
      </c>
    </row>
    <row r="22009">
      <c r="A22009" t="n">
        <v>22008</v>
      </c>
      <c r="B22009" t="inlineStr">
        <is>
          <t>x̄x̄MMVIII</t>
        </is>
      </c>
      <c r="C22009">
        <f>ROMAN(22008)</f>
        <v/>
      </c>
      <c r="D22009">
        <f>IF(B22009=C22009, "YES", "WRONG")</f>
        <v/>
      </c>
    </row>
    <row r="22010">
      <c r="A22010" t="n">
        <v>22009</v>
      </c>
      <c r="B22010" t="inlineStr">
        <is>
          <t>x̄x̄MMIX</t>
        </is>
      </c>
      <c r="C22010">
        <f>ROMAN(22009)</f>
        <v/>
      </c>
      <c r="D22010">
        <f>IF(B22010=C22010, "YES", "WRONG")</f>
        <v/>
      </c>
    </row>
    <row r="22011">
      <c r="A22011" t="n">
        <v>22010</v>
      </c>
      <c r="B22011" t="inlineStr">
        <is>
          <t>x̄x̄MMX</t>
        </is>
      </c>
      <c r="C22011">
        <f>ROMAN(22010)</f>
        <v/>
      </c>
      <c r="D22011">
        <f>IF(B22011=C22011, "YES", "WRONG")</f>
        <v/>
      </c>
    </row>
    <row r="22012">
      <c r="A22012" t="n">
        <v>22011</v>
      </c>
      <c r="B22012" t="inlineStr">
        <is>
          <t>x̄x̄MMXI</t>
        </is>
      </c>
      <c r="C22012">
        <f>ROMAN(22011)</f>
        <v/>
      </c>
      <c r="D22012">
        <f>IF(B22012=C22012, "YES", "WRONG")</f>
        <v/>
      </c>
    </row>
    <row r="22013">
      <c r="A22013" t="n">
        <v>22012</v>
      </c>
      <c r="B22013" t="inlineStr">
        <is>
          <t>x̄x̄MMXII</t>
        </is>
      </c>
      <c r="C22013">
        <f>ROMAN(22012)</f>
        <v/>
      </c>
      <c r="D22013">
        <f>IF(B22013=C22013, "YES", "WRONG")</f>
        <v/>
      </c>
    </row>
    <row r="22014">
      <c r="A22014" t="n">
        <v>22013</v>
      </c>
      <c r="B22014" t="inlineStr">
        <is>
          <t>x̄x̄MMXIII</t>
        </is>
      </c>
      <c r="C22014">
        <f>ROMAN(22013)</f>
        <v/>
      </c>
      <c r="D22014">
        <f>IF(B22014=C22014, "YES", "WRONG")</f>
        <v/>
      </c>
    </row>
    <row r="22015">
      <c r="A22015" t="n">
        <v>22014</v>
      </c>
      <c r="B22015" t="inlineStr">
        <is>
          <t>x̄x̄MMXIV</t>
        </is>
      </c>
      <c r="C22015">
        <f>ROMAN(22014)</f>
        <v/>
      </c>
      <c r="D22015">
        <f>IF(B22015=C22015, "YES", "WRONG")</f>
        <v/>
      </c>
    </row>
    <row r="22016">
      <c r="A22016" t="n">
        <v>22015</v>
      </c>
      <c r="B22016" t="inlineStr">
        <is>
          <t>x̄x̄MMXV</t>
        </is>
      </c>
      <c r="C22016">
        <f>ROMAN(22015)</f>
        <v/>
      </c>
      <c r="D22016">
        <f>IF(B22016=C22016, "YES", "WRONG")</f>
        <v/>
      </c>
    </row>
    <row r="22017">
      <c r="A22017" t="n">
        <v>22016</v>
      </c>
      <c r="B22017" t="inlineStr">
        <is>
          <t>x̄x̄MMXVI</t>
        </is>
      </c>
      <c r="C22017">
        <f>ROMAN(22016)</f>
        <v/>
      </c>
      <c r="D22017">
        <f>IF(B22017=C22017, "YES", "WRONG")</f>
        <v/>
      </c>
    </row>
    <row r="22018">
      <c r="A22018" t="n">
        <v>22017</v>
      </c>
      <c r="B22018" t="inlineStr">
        <is>
          <t>x̄x̄MMXVII</t>
        </is>
      </c>
      <c r="C22018">
        <f>ROMAN(22017)</f>
        <v/>
      </c>
      <c r="D22018">
        <f>IF(B22018=C22018, "YES", "WRONG")</f>
        <v/>
      </c>
    </row>
    <row r="22019">
      <c r="A22019" t="n">
        <v>22018</v>
      </c>
      <c r="B22019" t="inlineStr">
        <is>
          <t>x̄x̄MMXVIII</t>
        </is>
      </c>
      <c r="C22019">
        <f>ROMAN(22018)</f>
        <v/>
      </c>
      <c r="D22019">
        <f>IF(B22019=C22019, "YES", "WRONG")</f>
        <v/>
      </c>
    </row>
    <row r="22020">
      <c r="A22020" t="n">
        <v>22019</v>
      </c>
      <c r="B22020" t="inlineStr">
        <is>
          <t>x̄x̄MMXIX</t>
        </is>
      </c>
      <c r="C22020">
        <f>ROMAN(22019)</f>
        <v/>
      </c>
      <c r="D22020">
        <f>IF(B22020=C22020, "YES", "WRONG")</f>
        <v/>
      </c>
    </row>
    <row r="22021">
      <c r="A22021" t="n">
        <v>22020</v>
      </c>
      <c r="B22021" t="inlineStr">
        <is>
          <t>x̄x̄MMXX</t>
        </is>
      </c>
      <c r="C22021">
        <f>ROMAN(22020)</f>
        <v/>
      </c>
      <c r="D22021">
        <f>IF(B22021=C22021, "YES", "WRONG")</f>
        <v/>
      </c>
    </row>
    <row r="22022">
      <c r="A22022" t="n">
        <v>22021</v>
      </c>
      <c r="B22022" t="inlineStr">
        <is>
          <t>x̄x̄MMXXI</t>
        </is>
      </c>
      <c r="C22022">
        <f>ROMAN(22021)</f>
        <v/>
      </c>
      <c r="D22022">
        <f>IF(B22022=C22022, "YES", "WRONG")</f>
        <v/>
      </c>
    </row>
    <row r="22023">
      <c r="A22023" t="n">
        <v>22022</v>
      </c>
      <c r="B22023" t="inlineStr">
        <is>
          <t>x̄x̄MMXXII</t>
        </is>
      </c>
      <c r="C22023">
        <f>ROMAN(22022)</f>
        <v/>
      </c>
      <c r="D22023">
        <f>IF(B22023=C22023, "YES", "WRONG")</f>
        <v/>
      </c>
    </row>
    <row r="22024">
      <c r="A22024" t="n">
        <v>22023</v>
      </c>
      <c r="B22024" t="inlineStr">
        <is>
          <t>x̄x̄MMXXIII</t>
        </is>
      </c>
      <c r="C22024">
        <f>ROMAN(22023)</f>
        <v/>
      </c>
      <c r="D22024">
        <f>IF(B22024=C22024, "YES", "WRONG")</f>
        <v/>
      </c>
    </row>
    <row r="22025">
      <c r="A22025" t="n">
        <v>22024</v>
      </c>
      <c r="B22025" t="inlineStr">
        <is>
          <t>x̄x̄MMXXIV</t>
        </is>
      </c>
      <c r="C22025">
        <f>ROMAN(22024)</f>
        <v/>
      </c>
      <c r="D22025">
        <f>IF(B22025=C22025, "YES", "WRONG")</f>
        <v/>
      </c>
    </row>
    <row r="22026">
      <c r="A22026" t="n">
        <v>22025</v>
      </c>
      <c r="B22026" t="inlineStr">
        <is>
          <t>x̄x̄MMXXV</t>
        </is>
      </c>
      <c r="C22026">
        <f>ROMAN(22025)</f>
        <v/>
      </c>
      <c r="D22026">
        <f>IF(B22026=C22026, "YES", "WRONG")</f>
        <v/>
      </c>
    </row>
    <row r="22027">
      <c r="A22027" t="n">
        <v>22026</v>
      </c>
      <c r="B22027" t="inlineStr">
        <is>
          <t>x̄x̄MMXXVI</t>
        </is>
      </c>
      <c r="C22027">
        <f>ROMAN(22026)</f>
        <v/>
      </c>
      <c r="D22027">
        <f>IF(B22027=C22027, "YES", "WRONG")</f>
        <v/>
      </c>
    </row>
    <row r="22028">
      <c r="A22028" t="n">
        <v>22027</v>
      </c>
      <c r="B22028" t="inlineStr">
        <is>
          <t>x̄x̄MMXXVII</t>
        </is>
      </c>
      <c r="C22028">
        <f>ROMAN(22027)</f>
        <v/>
      </c>
      <c r="D22028">
        <f>IF(B22028=C22028, "YES", "WRONG")</f>
        <v/>
      </c>
    </row>
    <row r="22029">
      <c r="A22029" t="n">
        <v>22028</v>
      </c>
      <c r="B22029" t="inlineStr">
        <is>
          <t>x̄x̄MMXXVIII</t>
        </is>
      </c>
      <c r="C22029">
        <f>ROMAN(22028)</f>
        <v/>
      </c>
      <c r="D22029">
        <f>IF(B22029=C22029, "YES", "WRONG")</f>
        <v/>
      </c>
    </row>
    <row r="22030">
      <c r="A22030" t="n">
        <v>22029</v>
      </c>
      <c r="B22030" t="inlineStr">
        <is>
          <t>x̄x̄MMXXIX</t>
        </is>
      </c>
      <c r="C22030">
        <f>ROMAN(22029)</f>
        <v/>
      </c>
      <c r="D22030">
        <f>IF(B22030=C22030, "YES", "WRONG")</f>
        <v/>
      </c>
    </row>
    <row r="22031">
      <c r="A22031" t="n">
        <v>22030</v>
      </c>
      <c r="B22031" t="inlineStr">
        <is>
          <t>x̄x̄MMXXX</t>
        </is>
      </c>
      <c r="C22031">
        <f>ROMAN(22030)</f>
        <v/>
      </c>
      <c r="D22031">
        <f>IF(B22031=C22031, "YES", "WRONG")</f>
        <v/>
      </c>
    </row>
    <row r="22032">
      <c r="A22032" t="n">
        <v>22031</v>
      </c>
      <c r="B22032" t="inlineStr">
        <is>
          <t>x̄x̄MMXXXI</t>
        </is>
      </c>
      <c r="C22032">
        <f>ROMAN(22031)</f>
        <v/>
      </c>
      <c r="D22032">
        <f>IF(B22032=C22032, "YES", "WRONG")</f>
        <v/>
      </c>
    </row>
    <row r="22033">
      <c r="A22033" t="n">
        <v>22032</v>
      </c>
      <c r="B22033" t="inlineStr">
        <is>
          <t>x̄x̄MMXXXII</t>
        </is>
      </c>
      <c r="C22033">
        <f>ROMAN(22032)</f>
        <v/>
      </c>
      <c r="D22033">
        <f>IF(B22033=C22033, "YES", "WRONG")</f>
        <v/>
      </c>
    </row>
    <row r="22034">
      <c r="A22034" t="n">
        <v>22033</v>
      </c>
      <c r="B22034" t="inlineStr">
        <is>
          <t>x̄x̄MMXXXIII</t>
        </is>
      </c>
      <c r="C22034">
        <f>ROMAN(22033)</f>
        <v/>
      </c>
      <c r="D22034">
        <f>IF(B22034=C22034, "YES", "WRONG")</f>
        <v/>
      </c>
    </row>
    <row r="22035">
      <c r="A22035" t="n">
        <v>22034</v>
      </c>
      <c r="B22035" t="inlineStr">
        <is>
          <t>x̄x̄MMXXXIV</t>
        </is>
      </c>
      <c r="C22035">
        <f>ROMAN(22034)</f>
        <v/>
      </c>
      <c r="D22035">
        <f>IF(B22035=C22035, "YES", "WRONG")</f>
        <v/>
      </c>
    </row>
    <row r="22036">
      <c r="A22036" t="n">
        <v>22035</v>
      </c>
      <c r="B22036" t="inlineStr">
        <is>
          <t>x̄x̄MMXXXV</t>
        </is>
      </c>
      <c r="C22036">
        <f>ROMAN(22035)</f>
        <v/>
      </c>
      <c r="D22036">
        <f>IF(B22036=C22036, "YES", "WRONG")</f>
        <v/>
      </c>
    </row>
    <row r="22037">
      <c r="A22037" t="n">
        <v>22036</v>
      </c>
      <c r="B22037" t="inlineStr">
        <is>
          <t>x̄x̄MMXXXVI</t>
        </is>
      </c>
      <c r="C22037">
        <f>ROMAN(22036)</f>
        <v/>
      </c>
      <c r="D22037">
        <f>IF(B22037=C22037, "YES", "WRONG")</f>
        <v/>
      </c>
    </row>
    <row r="22038">
      <c r="A22038" t="n">
        <v>22037</v>
      </c>
      <c r="B22038" t="inlineStr">
        <is>
          <t>x̄x̄MMXXXVII</t>
        </is>
      </c>
      <c r="C22038">
        <f>ROMAN(22037)</f>
        <v/>
      </c>
      <c r="D22038">
        <f>IF(B22038=C22038, "YES", "WRONG")</f>
        <v/>
      </c>
    </row>
    <row r="22039">
      <c r="A22039" t="n">
        <v>22038</v>
      </c>
      <c r="B22039" t="inlineStr">
        <is>
          <t>x̄x̄MMXXXVIII</t>
        </is>
      </c>
      <c r="C22039">
        <f>ROMAN(22038)</f>
        <v/>
      </c>
      <c r="D22039">
        <f>IF(B22039=C22039, "YES", "WRONG")</f>
        <v/>
      </c>
    </row>
    <row r="22040">
      <c r="A22040" t="n">
        <v>22039</v>
      </c>
      <c r="B22040" t="inlineStr">
        <is>
          <t>x̄x̄MMXXXIX</t>
        </is>
      </c>
      <c r="C22040">
        <f>ROMAN(22039)</f>
        <v/>
      </c>
      <c r="D22040">
        <f>IF(B22040=C22040, "YES", "WRONG")</f>
        <v/>
      </c>
    </row>
    <row r="22041">
      <c r="A22041" t="n">
        <v>22040</v>
      </c>
      <c r="B22041" t="inlineStr">
        <is>
          <t>x̄x̄MMXL</t>
        </is>
      </c>
      <c r="C22041">
        <f>ROMAN(22040)</f>
        <v/>
      </c>
      <c r="D22041">
        <f>IF(B22041=C22041, "YES", "WRONG")</f>
        <v/>
      </c>
    </row>
    <row r="22042">
      <c r="A22042" t="n">
        <v>22041</v>
      </c>
      <c r="B22042" t="inlineStr">
        <is>
          <t>x̄x̄MMXLI</t>
        </is>
      </c>
      <c r="C22042">
        <f>ROMAN(22041)</f>
        <v/>
      </c>
      <c r="D22042">
        <f>IF(B22042=C22042, "YES", "WRONG")</f>
        <v/>
      </c>
    </row>
    <row r="22043">
      <c r="A22043" t="n">
        <v>22042</v>
      </c>
      <c r="B22043" t="inlineStr">
        <is>
          <t>x̄x̄MMXLII</t>
        </is>
      </c>
      <c r="C22043">
        <f>ROMAN(22042)</f>
        <v/>
      </c>
      <c r="D22043">
        <f>IF(B22043=C22043, "YES", "WRONG")</f>
        <v/>
      </c>
    </row>
    <row r="22044">
      <c r="A22044" t="n">
        <v>22043</v>
      </c>
      <c r="B22044" t="inlineStr">
        <is>
          <t>x̄x̄MMXLIII</t>
        </is>
      </c>
      <c r="C22044">
        <f>ROMAN(22043)</f>
        <v/>
      </c>
      <c r="D22044">
        <f>IF(B22044=C22044, "YES", "WRONG")</f>
        <v/>
      </c>
    </row>
    <row r="22045">
      <c r="A22045" t="n">
        <v>22044</v>
      </c>
      <c r="B22045" t="inlineStr">
        <is>
          <t>x̄x̄MMXLIV</t>
        </is>
      </c>
      <c r="C22045">
        <f>ROMAN(22044)</f>
        <v/>
      </c>
      <c r="D22045">
        <f>IF(B22045=C22045, "YES", "WRONG")</f>
        <v/>
      </c>
    </row>
    <row r="22046">
      <c r="A22046" t="n">
        <v>22045</v>
      </c>
      <c r="B22046" t="inlineStr">
        <is>
          <t>x̄x̄MMXLV</t>
        </is>
      </c>
      <c r="C22046">
        <f>ROMAN(22045)</f>
        <v/>
      </c>
      <c r="D22046">
        <f>IF(B22046=C22046, "YES", "WRONG")</f>
        <v/>
      </c>
    </row>
    <row r="22047">
      <c r="A22047" t="n">
        <v>22046</v>
      </c>
      <c r="B22047" t="inlineStr">
        <is>
          <t>x̄x̄MMXLVI</t>
        </is>
      </c>
      <c r="C22047">
        <f>ROMAN(22046)</f>
        <v/>
      </c>
      <c r="D22047">
        <f>IF(B22047=C22047, "YES", "WRONG")</f>
        <v/>
      </c>
    </row>
    <row r="22048">
      <c r="A22048" t="n">
        <v>22047</v>
      </c>
      <c r="B22048" t="inlineStr">
        <is>
          <t>x̄x̄MMXLVII</t>
        </is>
      </c>
      <c r="C22048">
        <f>ROMAN(22047)</f>
        <v/>
      </c>
      <c r="D22048">
        <f>IF(B22048=C22048, "YES", "WRONG")</f>
        <v/>
      </c>
    </row>
    <row r="22049">
      <c r="A22049" t="n">
        <v>22048</v>
      </c>
      <c r="B22049" t="inlineStr">
        <is>
          <t>x̄x̄MMXLVIII</t>
        </is>
      </c>
      <c r="C22049">
        <f>ROMAN(22048)</f>
        <v/>
      </c>
      <c r="D22049">
        <f>IF(B22049=C22049, "YES", "WRONG")</f>
        <v/>
      </c>
    </row>
    <row r="22050">
      <c r="A22050" t="n">
        <v>22049</v>
      </c>
      <c r="B22050" t="inlineStr">
        <is>
          <t>x̄x̄MMXLIX</t>
        </is>
      </c>
      <c r="C22050">
        <f>ROMAN(22049)</f>
        <v/>
      </c>
      <c r="D22050">
        <f>IF(B22050=C22050, "YES", "WRONG")</f>
        <v/>
      </c>
    </row>
    <row r="22051">
      <c r="A22051" t="n">
        <v>22050</v>
      </c>
      <c r="B22051" t="inlineStr">
        <is>
          <t>x̄x̄MML</t>
        </is>
      </c>
      <c r="C22051">
        <f>ROMAN(22050)</f>
        <v/>
      </c>
      <c r="D22051">
        <f>IF(B22051=C22051, "YES", "WRONG")</f>
        <v/>
      </c>
    </row>
    <row r="22052">
      <c r="A22052" t="n">
        <v>22051</v>
      </c>
      <c r="B22052" t="inlineStr">
        <is>
          <t>x̄x̄MMLI</t>
        </is>
      </c>
      <c r="C22052">
        <f>ROMAN(22051)</f>
        <v/>
      </c>
      <c r="D22052">
        <f>IF(B22052=C22052, "YES", "WRONG")</f>
        <v/>
      </c>
    </row>
    <row r="22053">
      <c r="A22053" t="n">
        <v>22052</v>
      </c>
      <c r="B22053" t="inlineStr">
        <is>
          <t>x̄x̄MMLII</t>
        </is>
      </c>
      <c r="C22053">
        <f>ROMAN(22052)</f>
        <v/>
      </c>
      <c r="D22053">
        <f>IF(B22053=C22053, "YES", "WRONG")</f>
        <v/>
      </c>
    </row>
    <row r="22054">
      <c r="A22054" t="n">
        <v>22053</v>
      </c>
      <c r="B22054" t="inlineStr">
        <is>
          <t>x̄x̄MMLIII</t>
        </is>
      </c>
      <c r="C22054">
        <f>ROMAN(22053)</f>
        <v/>
      </c>
      <c r="D22054">
        <f>IF(B22054=C22054, "YES", "WRONG")</f>
        <v/>
      </c>
    </row>
    <row r="22055">
      <c r="A22055" t="n">
        <v>22054</v>
      </c>
      <c r="B22055" t="inlineStr">
        <is>
          <t>x̄x̄MMLIV</t>
        </is>
      </c>
      <c r="C22055">
        <f>ROMAN(22054)</f>
        <v/>
      </c>
      <c r="D22055">
        <f>IF(B22055=C22055, "YES", "WRONG")</f>
        <v/>
      </c>
    </row>
    <row r="22056">
      <c r="A22056" t="n">
        <v>22055</v>
      </c>
      <c r="B22056" t="inlineStr">
        <is>
          <t>x̄x̄MMLV</t>
        </is>
      </c>
      <c r="C22056">
        <f>ROMAN(22055)</f>
        <v/>
      </c>
      <c r="D22056">
        <f>IF(B22056=C22056, "YES", "WRONG")</f>
        <v/>
      </c>
    </row>
    <row r="22057">
      <c r="A22057" t="n">
        <v>22056</v>
      </c>
      <c r="B22057" t="inlineStr">
        <is>
          <t>x̄x̄MMLVI</t>
        </is>
      </c>
      <c r="C22057">
        <f>ROMAN(22056)</f>
        <v/>
      </c>
      <c r="D22057">
        <f>IF(B22057=C22057, "YES", "WRONG")</f>
        <v/>
      </c>
    </row>
    <row r="22058">
      <c r="A22058" t="n">
        <v>22057</v>
      </c>
      <c r="B22058" t="inlineStr">
        <is>
          <t>x̄x̄MMLVII</t>
        </is>
      </c>
      <c r="C22058">
        <f>ROMAN(22057)</f>
        <v/>
      </c>
      <c r="D22058">
        <f>IF(B22058=C22058, "YES", "WRONG")</f>
        <v/>
      </c>
    </row>
    <row r="22059">
      <c r="A22059" t="n">
        <v>22058</v>
      </c>
      <c r="B22059" t="inlineStr">
        <is>
          <t>x̄x̄MMLVIII</t>
        </is>
      </c>
      <c r="C22059">
        <f>ROMAN(22058)</f>
        <v/>
      </c>
      <c r="D22059">
        <f>IF(B22059=C22059, "YES", "WRONG")</f>
        <v/>
      </c>
    </row>
    <row r="22060">
      <c r="A22060" t="n">
        <v>22059</v>
      </c>
      <c r="B22060" t="inlineStr">
        <is>
          <t>x̄x̄MMLIX</t>
        </is>
      </c>
      <c r="C22060">
        <f>ROMAN(22059)</f>
        <v/>
      </c>
      <c r="D22060">
        <f>IF(B22060=C22060, "YES", "WRONG")</f>
        <v/>
      </c>
    </row>
    <row r="22061">
      <c r="A22061" t="n">
        <v>22060</v>
      </c>
      <c r="B22061" t="inlineStr">
        <is>
          <t>x̄x̄MMLX</t>
        </is>
      </c>
      <c r="C22061">
        <f>ROMAN(22060)</f>
        <v/>
      </c>
      <c r="D22061">
        <f>IF(B22061=C22061, "YES", "WRONG")</f>
        <v/>
      </c>
    </row>
    <row r="22062">
      <c r="A22062" t="n">
        <v>22061</v>
      </c>
      <c r="B22062" t="inlineStr">
        <is>
          <t>x̄x̄MMLXI</t>
        </is>
      </c>
      <c r="C22062">
        <f>ROMAN(22061)</f>
        <v/>
      </c>
      <c r="D22062">
        <f>IF(B22062=C22062, "YES", "WRONG")</f>
        <v/>
      </c>
    </row>
    <row r="22063">
      <c r="A22063" t="n">
        <v>22062</v>
      </c>
      <c r="B22063" t="inlineStr">
        <is>
          <t>x̄x̄MMLXII</t>
        </is>
      </c>
      <c r="C22063">
        <f>ROMAN(22062)</f>
        <v/>
      </c>
      <c r="D22063">
        <f>IF(B22063=C22063, "YES", "WRONG")</f>
        <v/>
      </c>
    </row>
    <row r="22064">
      <c r="A22064" t="n">
        <v>22063</v>
      </c>
      <c r="B22064" t="inlineStr">
        <is>
          <t>x̄x̄MMLXIII</t>
        </is>
      </c>
      <c r="C22064">
        <f>ROMAN(22063)</f>
        <v/>
      </c>
      <c r="D22064">
        <f>IF(B22064=C22064, "YES", "WRONG")</f>
        <v/>
      </c>
    </row>
    <row r="22065">
      <c r="A22065" t="n">
        <v>22064</v>
      </c>
      <c r="B22065" t="inlineStr">
        <is>
          <t>x̄x̄MMLXIV</t>
        </is>
      </c>
      <c r="C22065">
        <f>ROMAN(22064)</f>
        <v/>
      </c>
      <c r="D22065">
        <f>IF(B22065=C22065, "YES", "WRONG")</f>
        <v/>
      </c>
    </row>
    <row r="22066">
      <c r="A22066" t="n">
        <v>22065</v>
      </c>
      <c r="B22066" t="inlineStr">
        <is>
          <t>x̄x̄MMLXV</t>
        </is>
      </c>
      <c r="C22066">
        <f>ROMAN(22065)</f>
        <v/>
      </c>
      <c r="D22066">
        <f>IF(B22066=C22066, "YES", "WRONG")</f>
        <v/>
      </c>
    </row>
    <row r="22067">
      <c r="A22067" t="n">
        <v>22066</v>
      </c>
      <c r="B22067" t="inlineStr">
        <is>
          <t>x̄x̄MMLXVI</t>
        </is>
      </c>
      <c r="C22067">
        <f>ROMAN(22066)</f>
        <v/>
      </c>
      <c r="D22067">
        <f>IF(B22067=C22067, "YES", "WRONG")</f>
        <v/>
      </c>
    </row>
    <row r="22068">
      <c r="A22068" t="n">
        <v>22067</v>
      </c>
      <c r="B22068" t="inlineStr">
        <is>
          <t>x̄x̄MMLXVII</t>
        </is>
      </c>
      <c r="C22068">
        <f>ROMAN(22067)</f>
        <v/>
      </c>
      <c r="D22068">
        <f>IF(B22068=C22068, "YES", "WRONG")</f>
        <v/>
      </c>
    </row>
    <row r="22069">
      <c r="A22069" t="n">
        <v>22068</v>
      </c>
      <c r="B22069" t="inlineStr">
        <is>
          <t>x̄x̄MMLXVIII</t>
        </is>
      </c>
      <c r="C22069">
        <f>ROMAN(22068)</f>
        <v/>
      </c>
      <c r="D22069">
        <f>IF(B22069=C22069, "YES", "WRONG")</f>
        <v/>
      </c>
    </row>
    <row r="22070">
      <c r="A22070" t="n">
        <v>22069</v>
      </c>
      <c r="B22070" t="inlineStr">
        <is>
          <t>x̄x̄MMLXIX</t>
        </is>
      </c>
      <c r="C22070">
        <f>ROMAN(22069)</f>
        <v/>
      </c>
      <c r="D22070">
        <f>IF(B22070=C22070, "YES", "WRONG")</f>
        <v/>
      </c>
    </row>
    <row r="22071">
      <c r="A22071" t="n">
        <v>22070</v>
      </c>
      <c r="B22071" t="inlineStr">
        <is>
          <t>x̄x̄MMLXX</t>
        </is>
      </c>
      <c r="C22071">
        <f>ROMAN(22070)</f>
        <v/>
      </c>
      <c r="D22071">
        <f>IF(B22071=C22071, "YES", "WRONG")</f>
        <v/>
      </c>
    </row>
    <row r="22072">
      <c r="A22072" t="n">
        <v>22071</v>
      </c>
      <c r="B22072" t="inlineStr">
        <is>
          <t>x̄x̄MMLXXI</t>
        </is>
      </c>
      <c r="C22072">
        <f>ROMAN(22071)</f>
        <v/>
      </c>
      <c r="D22072">
        <f>IF(B22072=C22072, "YES", "WRONG")</f>
        <v/>
      </c>
    </row>
    <row r="22073">
      <c r="A22073" t="n">
        <v>22072</v>
      </c>
      <c r="B22073" t="inlineStr">
        <is>
          <t>x̄x̄MMLXXII</t>
        </is>
      </c>
      <c r="C22073">
        <f>ROMAN(22072)</f>
        <v/>
      </c>
      <c r="D22073">
        <f>IF(B22073=C22073, "YES", "WRONG")</f>
        <v/>
      </c>
    </row>
    <row r="22074">
      <c r="A22074" t="n">
        <v>22073</v>
      </c>
      <c r="B22074" t="inlineStr">
        <is>
          <t>x̄x̄MMLXXIII</t>
        </is>
      </c>
      <c r="C22074">
        <f>ROMAN(22073)</f>
        <v/>
      </c>
      <c r="D22074">
        <f>IF(B22074=C22074, "YES", "WRONG")</f>
        <v/>
      </c>
    </row>
    <row r="22075">
      <c r="A22075" t="n">
        <v>22074</v>
      </c>
      <c r="B22075" t="inlineStr">
        <is>
          <t>x̄x̄MMLXXIV</t>
        </is>
      </c>
      <c r="C22075">
        <f>ROMAN(22074)</f>
        <v/>
      </c>
      <c r="D22075">
        <f>IF(B22075=C22075, "YES", "WRONG")</f>
        <v/>
      </c>
    </row>
    <row r="22076">
      <c r="A22076" t="n">
        <v>22075</v>
      </c>
      <c r="B22076" t="inlineStr">
        <is>
          <t>x̄x̄MMLXXV</t>
        </is>
      </c>
      <c r="C22076">
        <f>ROMAN(22075)</f>
        <v/>
      </c>
      <c r="D22076">
        <f>IF(B22076=C22076, "YES", "WRONG")</f>
        <v/>
      </c>
    </row>
    <row r="22077">
      <c r="A22077" t="n">
        <v>22076</v>
      </c>
      <c r="B22077" t="inlineStr">
        <is>
          <t>x̄x̄MMLXXVI</t>
        </is>
      </c>
      <c r="C22077">
        <f>ROMAN(22076)</f>
        <v/>
      </c>
      <c r="D22077">
        <f>IF(B22077=C22077, "YES", "WRONG")</f>
        <v/>
      </c>
    </row>
    <row r="22078">
      <c r="A22078" t="n">
        <v>22077</v>
      </c>
      <c r="B22078" t="inlineStr">
        <is>
          <t>x̄x̄MMLXXVII</t>
        </is>
      </c>
      <c r="C22078">
        <f>ROMAN(22077)</f>
        <v/>
      </c>
      <c r="D22078">
        <f>IF(B22078=C22078, "YES", "WRONG")</f>
        <v/>
      </c>
    </row>
    <row r="22079">
      <c r="A22079" t="n">
        <v>22078</v>
      </c>
      <c r="B22079" t="inlineStr">
        <is>
          <t>x̄x̄MMLXXVIII</t>
        </is>
      </c>
      <c r="C22079">
        <f>ROMAN(22078)</f>
        <v/>
      </c>
      <c r="D22079">
        <f>IF(B22079=C22079, "YES", "WRONG")</f>
        <v/>
      </c>
    </row>
    <row r="22080">
      <c r="A22080" t="n">
        <v>22079</v>
      </c>
      <c r="B22080" t="inlineStr">
        <is>
          <t>x̄x̄MMLXXIX</t>
        </is>
      </c>
      <c r="C22080">
        <f>ROMAN(22079)</f>
        <v/>
      </c>
      <c r="D22080">
        <f>IF(B22080=C22080, "YES", "WRONG")</f>
        <v/>
      </c>
    </row>
    <row r="22081">
      <c r="A22081" t="n">
        <v>22080</v>
      </c>
      <c r="B22081" t="inlineStr">
        <is>
          <t>x̄x̄MMLXXX</t>
        </is>
      </c>
      <c r="C22081">
        <f>ROMAN(22080)</f>
        <v/>
      </c>
      <c r="D22081">
        <f>IF(B22081=C22081, "YES", "WRONG")</f>
        <v/>
      </c>
    </row>
    <row r="22082">
      <c r="A22082" t="n">
        <v>22081</v>
      </c>
      <c r="B22082" t="inlineStr">
        <is>
          <t>x̄x̄MMLXXXI</t>
        </is>
      </c>
      <c r="C22082">
        <f>ROMAN(22081)</f>
        <v/>
      </c>
      <c r="D22082">
        <f>IF(B22082=C22082, "YES", "WRONG")</f>
        <v/>
      </c>
    </row>
    <row r="22083">
      <c r="A22083" t="n">
        <v>22082</v>
      </c>
      <c r="B22083" t="inlineStr">
        <is>
          <t>x̄x̄MMLXXXII</t>
        </is>
      </c>
      <c r="C22083">
        <f>ROMAN(22082)</f>
        <v/>
      </c>
      <c r="D22083">
        <f>IF(B22083=C22083, "YES", "WRONG")</f>
        <v/>
      </c>
    </row>
    <row r="22084">
      <c r="A22084" t="n">
        <v>22083</v>
      </c>
      <c r="B22084" t="inlineStr">
        <is>
          <t>x̄x̄MMLXXXIII</t>
        </is>
      </c>
      <c r="C22084">
        <f>ROMAN(22083)</f>
        <v/>
      </c>
      <c r="D22084">
        <f>IF(B22084=C22084, "YES", "WRONG")</f>
        <v/>
      </c>
    </row>
    <row r="22085">
      <c r="A22085" t="n">
        <v>22084</v>
      </c>
      <c r="B22085" t="inlineStr">
        <is>
          <t>x̄x̄MMLXXXIV</t>
        </is>
      </c>
      <c r="C22085">
        <f>ROMAN(22084)</f>
        <v/>
      </c>
      <c r="D22085">
        <f>IF(B22085=C22085, "YES", "WRONG")</f>
        <v/>
      </c>
    </row>
    <row r="22086">
      <c r="A22086" t="n">
        <v>22085</v>
      </c>
      <c r="B22086" t="inlineStr">
        <is>
          <t>x̄x̄MMLXXXV</t>
        </is>
      </c>
      <c r="C22086">
        <f>ROMAN(22085)</f>
        <v/>
      </c>
      <c r="D22086">
        <f>IF(B22086=C22086, "YES", "WRONG")</f>
        <v/>
      </c>
    </row>
    <row r="22087">
      <c r="A22087" t="n">
        <v>22086</v>
      </c>
      <c r="B22087" t="inlineStr">
        <is>
          <t>x̄x̄MMLXXXVI</t>
        </is>
      </c>
      <c r="C22087">
        <f>ROMAN(22086)</f>
        <v/>
      </c>
      <c r="D22087">
        <f>IF(B22087=C22087, "YES", "WRONG")</f>
        <v/>
      </c>
    </row>
    <row r="22088">
      <c r="A22088" t="n">
        <v>22087</v>
      </c>
      <c r="B22088" t="inlineStr">
        <is>
          <t>x̄x̄MMLXXXVII</t>
        </is>
      </c>
      <c r="C22088">
        <f>ROMAN(22087)</f>
        <v/>
      </c>
      <c r="D22088">
        <f>IF(B22088=C22088, "YES", "WRONG")</f>
        <v/>
      </c>
    </row>
    <row r="22089">
      <c r="A22089" t="n">
        <v>22088</v>
      </c>
      <c r="B22089" t="inlineStr">
        <is>
          <t>x̄x̄MMLXXXVIII</t>
        </is>
      </c>
      <c r="C22089">
        <f>ROMAN(22088)</f>
        <v/>
      </c>
      <c r="D22089">
        <f>IF(B22089=C22089, "YES", "WRONG")</f>
        <v/>
      </c>
    </row>
    <row r="22090">
      <c r="A22090" t="n">
        <v>22089</v>
      </c>
      <c r="B22090" t="inlineStr">
        <is>
          <t>x̄x̄MMLXXXIX</t>
        </is>
      </c>
      <c r="C22090">
        <f>ROMAN(22089)</f>
        <v/>
      </c>
      <c r="D22090">
        <f>IF(B22090=C22090, "YES", "WRONG")</f>
        <v/>
      </c>
    </row>
    <row r="22091">
      <c r="A22091" t="n">
        <v>22090</v>
      </c>
      <c r="B22091" t="inlineStr">
        <is>
          <t>x̄x̄MMXC</t>
        </is>
      </c>
      <c r="C22091">
        <f>ROMAN(22090)</f>
        <v/>
      </c>
      <c r="D22091">
        <f>IF(B22091=C22091, "YES", "WRONG")</f>
        <v/>
      </c>
    </row>
    <row r="22092">
      <c r="A22092" t="n">
        <v>22091</v>
      </c>
      <c r="B22092" t="inlineStr">
        <is>
          <t>x̄x̄MMXCI</t>
        </is>
      </c>
      <c r="C22092">
        <f>ROMAN(22091)</f>
        <v/>
      </c>
      <c r="D22092">
        <f>IF(B22092=C22092, "YES", "WRONG")</f>
        <v/>
      </c>
    </row>
    <row r="22093">
      <c r="A22093" t="n">
        <v>22092</v>
      </c>
      <c r="B22093" t="inlineStr">
        <is>
          <t>x̄x̄MMXCII</t>
        </is>
      </c>
      <c r="C22093">
        <f>ROMAN(22092)</f>
        <v/>
      </c>
      <c r="D22093">
        <f>IF(B22093=C22093, "YES", "WRONG")</f>
        <v/>
      </c>
    </row>
    <row r="22094">
      <c r="A22094" t="n">
        <v>22093</v>
      </c>
      <c r="B22094" t="inlineStr">
        <is>
          <t>x̄x̄MMXCIII</t>
        </is>
      </c>
      <c r="C22094">
        <f>ROMAN(22093)</f>
        <v/>
      </c>
      <c r="D22094">
        <f>IF(B22094=C22094, "YES", "WRONG")</f>
        <v/>
      </c>
    </row>
    <row r="22095">
      <c r="A22095" t="n">
        <v>22094</v>
      </c>
      <c r="B22095" t="inlineStr">
        <is>
          <t>x̄x̄MMXCIV</t>
        </is>
      </c>
      <c r="C22095">
        <f>ROMAN(22094)</f>
        <v/>
      </c>
      <c r="D22095">
        <f>IF(B22095=C22095, "YES", "WRONG")</f>
        <v/>
      </c>
    </row>
    <row r="22096">
      <c r="A22096" t="n">
        <v>22095</v>
      </c>
      <c r="B22096" t="inlineStr">
        <is>
          <t>x̄x̄MMXCV</t>
        </is>
      </c>
      <c r="C22096">
        <f>ROMAN(22095)</f>
        <v/>
      </c>
      <c r="D22096">
        <f>IF(B22096=C22096, "YES", "WRONG")</f>
        <v/>
      </c>
    </row>
    <row r="22097">
      <c r="A22097" t="n">
        <v>22096</v>
      </c>
      <c r="B22097" t="inlineStr">
        <is>
          <t>x̄x̄MMXCVI</t>
        </is>
      </c>
      <c r="C22097">
        <f>ROMAN(22096)</f>
        <v/>
      </c>
      <c r="D22097">
        <f>IF(B22097=C22097, "YES", "WRONG")</f>
        <v/>
      </c>
    </row>
    <row r="22098">
      <c r="A22098" t="n">
        <v>22097</v>
      </c>
      <c r="B22098" t="inlineStr">
        <is>
          <t>x̄x̄MMXCVII</t>
        </is>
      </c>
      <c r="C22098">
        <f>ROMAN(22097)</f>
        <v/>
      </c>
      <c r="D22098">
        <f>IF(B22098=C22098, "YES", "WRONG")</f>
        <v/>
      </c>
    </row>
    <row r="22099">
      <c r="A22099" t="n">
        <v>22098</v>
      </c>
      <c r="B22099" t="inlineStr">
        <is>
          <t>x̄x̄MMXCVIII</t>
        </is>
      </c>
      <c r="C22099">
        <f>ROMAN(22098)</f>
        <v/>
      </c>
      <c r="D22099">
        <f>IF(B22099=C22099, "YES", "WRONG")</f>
        <v/>
      </c>
    </row>
    <row r="22100">
      <c r="A22100" t="n">
        <v>22099</v>
      </c>
      <c r="B22100" t="inlineStr">
        <is>
          <t>x̄x̄MMXCIX</t>
        </is>
      </c>
      <c r="C22100">
        <f>ROMAN(22099)</f>
        <v/>
      </c>
      <c r="D22100">
        <f>IF(B22100=C22100, "YES", "WRONG")</f>
        <v/>
      </c>
    </row>
    <row r="22101">
      <c r="A22101" t="n">
        <v>22100</v>
      </c>
      <c r="B22101" t="inlineStr">
        <is>
          <t>x̄x̄MMC</t>
        </is>
      </c>
      <c r="C22101">
        <f>ROMAN(22100)</f>
        <v/>
      </c>
      <c r="D22101">
        <f>IF(B22101=C22101, "YES", "WRONG")</f>
        <v/>
      </c>
    </row>
    <row r="22102">
      <c r="A22102" t="n">
        <v>22101</v>
      </c>
      <c r="B22102" t="inlineStr">
        <is>
          <t>x̄x̄MMCI</t>
        </is>
      </c>
      <c r="C22102">
        <f>ROMAN(22101)</f>
        <v/>
      </c>
      <c r="D22102">
        <f>IF(B22102=C22102, "YES", "WRONG")</f>
        <v/>
      </c>
    </row>
    <row r="22103">
      <c r="A22103" t="n">
        <v>22102</v>
      </c>
      <c r="B22103" t="inlineStr">
        <is>
          <t>x̄x̄MMCII</t>
        </is>
      </c>
      <c r="C22103">
        <f>ROMAN(22102)</f>
        <v/>
      </c>
      <c r="D22103">
        <f>IF(B22103=C22103, "YES", "WRONG")</f>
        <v/>
      </c>
    </row>
    <row r="22104">
      <c r="A22104" t="n">
        <v>22103</v>
      </c>
      <c r="B22104" t="inlineStr">
        <is>
          <t>x̄x̄MMCIII</t>
        </is>
      </c>
      <c r="C22104">
        <f>ROMAN(22103)</f>
        <v/>
      </c>
      <c r="D22104">
        <f>IF(B22104=C22104, "YES", "WRONG")</f>
        <v/>
      </c>
    </row>
    <row r="22105">
      <c r="A22105" t="n">
        <v>22104</v>
      </c>
      <c r="B22105" t="inlineStr">
        <is>
          <t>x̄x̄MMCIV</t>
        </is>
      </c>
      <c r="C22105">
        <f>ROMAN(22104)</f>
        <v/>
      </c>
      <c r="D22105">
        <f>IF(B22105=C22105, "YES", "WRONG")</f>
        <v/>
      </c>
    </row>
    <row r="22106">
      <c r="A22106" t="n">
        <v>22105</v>
      </c>
      <c r="B22106" t="inlineStr">
        <is>
          <t>x̄x̄MMCV</t>
        </is>
      </c>
      <c r="C22106">
        <f>ROMAN(22105)</f>
        <v/>
      </c>
      <c r="D22106">
        <f>IF(B22106=C22106, "YES", "WRONG")</f>
        <v/>
      </c>
    </row>
    <row r="22107">
      <c r="A22107" t="n">
        <v>22106</v>
      </c>
      <c r="B22107" t="inlineStr">
        <is>
          <t>x̄x̄MMCVI</t>
        </is>
      </c>
      <c r="C22107">
        <f>ROMAN(22106)</f>
        <v/>
      </c>
      <c r="D22107">
        <f>IF(B22107=C22107, "YES", "WRONG")</f>
        <v/>
      </c>
    </row>
    <row r="22108">
      <c r="A22108" t="n">
        <v>22107</v>
      </c>
      <c r="B22108" t="inlineStr">
        <is>
          <t>x̄x̄MMCVII</t>
        </is>
      </c>
      <c r="C22108">
        <f>ROMAN(22107)</f>
        <v/>
      </c>
      <c r="D22108">
        <f>IF(B22108=C22108, "YES", "WRONG")</f>
        <v/>
      </c>
    </row>
    <row r="22109">
      <c r="A22109" t="n">
        <v>22108</v>
      </c>
      <c r="B22109" t="inlineStr">
        <is>
          <t>x̄x̄MMCVIII</t>
        </is>
      </c>
      <c r="C22109">
        <f>ROMAN(22108)</f>
        <v/>
      </c>
      <c r="D22109">
        <f>IF(B22109=C22109, "YES", "WRONG")</f>
        <v/>
      </c>
    </row>
    <row r="22110">
      <c r="A22110" t="n">
        <v>22109</v>
      </c>
      <c r="B22110" t="inlineStr">
        <is>
          <t>x̄x̄MMCIX</t>
        </is>
      </c>
      <c r="C22110">
        <f>ROMAN(22109)</f>
        <v/>
      </c>
      <c r="D22110">
        <f>IF(B22110=C22110, "YES", "WRONG")</f>
        <v/>
      </c>
    </row>
    <row r="22111">
      <c r="A22111" t="n">
        <v>22110</v>
      </c>
      <c r="B22111" t="inlineStr">
        <is>
          <t>x̄x̄MMCX</t>
        </is>
      </c>
      <c r="C22111">
        <f>ROMAN(22110)</f>
        <v/>
      </c>
      <c r="D22111">
        <f>IF(B22111=C22111, "YES", "WRONG")</f>
        <v/>
      </c>
    </row>
    <row r="22112">
      <c r="A22112" t="n">
        <v>22111</v>
      </c>
      <c r="B22112" t="inlineStr">
        <is>
          <t>x̄x̄MMCXI</t>
        </is>
      </c>
      <c r="C22112">
        <f>ROMAN(22111)</f>
        <v/>
      </c>
      <c r="D22112">
        <f>IF(B22112=C22112, "YES", "WRONG")</f>
        <v/>
      </c>
    </row>
    <row r="22113">
      <c r="A22113" t="n">
        <v>22112</v>
      </c>
      <c r="B22113" t="inlineStr">
        <is>
          <t>x̄x̄MMCXII</t>
        </is>
      </c>
      <c r="C22113">
        <f>ROMAN(22112)</f>
        <v/>
      </c>
      <c r="D22113">
        <f>IF(B22113=C22113, "YES", "WRONG")</f>
        <v/>
      </c>
    </row>
    <row r="22114">
      <c r="A22114" t="n">
        <v>22113</v>
      </c>
      <c r="B22114" t="inlineStr">
        <is>
          <t>x̄x̄MMCXIII</t>
        </is>
      </c>
      <c r="C22114">
        <f>ROMAN(22113)</f>
        <v/>
      </c>
      <c r="D22114">
        <f>IF(B22114=C22114, "YES", "WRONG")</f>
        <v/>
      </c>
    </row>
    <row r="22115">
      <c r="A22115" t="n">
        <v>22114</v>
      </c>
      <c r="B22115" t="inlineStr">
        <is>
          <t>x̄x̄MMCXIV</t>
        </is>
      </c>
      <c r="C22115">
        <f>ROMAN(22114)</f>
        <v/>
      </c>
      <c r="D22115">
        <f>IF(B22115=C22115, "YES", "WRONG")</f>
        <v/>
      </c>
    </row>
    <row r="22116">
      <c r="A22116" t="n">
        <v>22115</v>
      </c>
      <c r="B22116" t="inlineStr">
        <is>
          <t>x̄x̄MMCXV</t>
        </is>
      </c>
      <c r="C22116">
        <f>ROMAN(22115)</f>
        <v/>
      </c>
      <c r="D22116">
        <f>IF(B22116=C22116, "YES", "WRONG")</f>
        <v/>
      </c>
    </row>
    <row r="22117">
      <c r="A22117" t="n">
        <v>22116</v>
      </c>
      <c r="B22117" t="inlineStr">
        <is>
          <t>x̄x̄MMCXVI</t>
        </is>
      </c>
      <c r="C22117">
        <f>ROMAN(22116)</f>
        <v/>
      </c>
      <c r="D22117">
        <f>IF(B22117=C22117, "YES", "WRONG")</f>
        <v/>
      </c>
    </row>
    <row r="22118">
      <c r="A22118" t="n">
        <v>22117</v>
      </c>
      <c r="B22118" t="inlineStr">
        <is>
          <t>x̄x̄MMCXVII</t>
        </is>
      </c>
      <c r="C22118">
        <f>ROMAN(22117)</f>
        <v/>
      </c>
      <c r="D22118">
        <f>IF(B22118=C22118, "YES", "WRONG")</f>
        <v/>
      </c>
    </row>
    <row r="22119">
      <c r="A22119" t="n">
        <v>22118</v>
      </c>
      <c r="B22119" t="inlineStr">
        <is>
          <t>x̄x̄MMCXVIII</t>
        </is>
      </c>
      <c r="C22119">
        <f>ROMAN(22118)</f>
        <v/>
      </c>
      <c r="D22119">
        <f>IF(B22119=C22119, "YES", "WRONG")</f>
        <v/>
      </c>
    </row>
    <row r="22120">
      <c r="A22120" t="n">
        <v>22119</v>
      </c>
      <c r="B22120" t="inlineStr">
        <is>
          <t>x̄x̄MMCXIX</t>
        </is>
      </c>
      <c r="C22120">
        <f>ROMAN(22119)</f>
        <v/>
      </c>
      <c r="D22120">
        <f>IF(B22120=C22120, "YES", "WRONG")</f>
        <v/>
      </c>
    </row>
    <row r="22121">
      <c r="A22121" t="n">
        <v>22120</v>
      </c>
      <c r="B22121" t="inlineStr">
        <is>
          <t>x̄x̄MMCXX</t>
        </is>
      </c>
      <c r="C22121">
        <f>ROMAN(22120)</f>
        <v/>
      </c>
      <c r="D22121">
        <f>IF(B22121=C22121, "YES", "WRONG")</f>
        <v/>
      </c>
    </row>
    <row r="22122">
      <c r="A22122" t="n">
        <v>22121</v>
      </c>
      <c r="B22122" t="inlineStr">
        <is>
          <t>x̄x̄MMCXXI</t>
        </is>
      </c>
      <c r="C22122">
        <f>ROMAN(22121)</f>
        <v/>
      </c>
      <c r="D22122">
        <f>IF(B22122=C22122, "YES", "WRONG")</f>
        <v/>
      </c>
    </row>
    <row r="22123">
      <c r="A22123" t="n">
        <v>22122</v>
      </c>
      <c r="B22123" t="inlineStr">
        <is>
          <t>x̄x̄MMCXXII</t>
        </is>
      </c>
      <c r="C22123">
        <f>ROMAN(22122)</f>
        <v/>
      </c>
      <c r="D22123">
        <f>IF(B22123=C22123, "YES", "WRONG")</f>
        <v/>
      </c>
    </row>
    <row r="22124">
      <c r="A22124" t="n">
        <v>22123</v>
      </c>
      <c r="B22124" t="inlineStr">
        <is>
          <t>x̄x̄MMCXXIII</t>
        </is>
      </c>
      <c r="C22124">
        <f>ROMAN(22123)</f>
        <v/>
      </c>
      <c r="D22124">
        <f>IF(B22124=C22124, "YES", "WRONG")</f>
        <v/>
      </c>
    </row>
    <row r="22125">
      <c r="A22125" t="n">
        <v>22124</v>
      </c>
      <c r="B22125" t="inlineStr">
        <is>
          <t>x̄x̄MMCXXIV</t>
        </is>
      </c>
      <c r="C22125">
        <f>ROMAN(22124)</f>
        <v/>
      </c>
      <c r="D22125">
        <f>IF(B22125=C22125, "YES", "WRONG")</f>
        <v/>
      </c>
    </row>
    <row r="22126">
      <c r="A22126" t="n">
        <v>22125</v>
      </c>
      <c r="B22126" t="inlineStr">
        <is>
          <t>x̄x̄MMCXXV</t>
        </is>
      </c>
      <c r="C22126">
        <f>ROMAN(22125)</f>
        <v/>
      </c>
      <c r="D22126">
        <f>IF(B22126=C22126, "YES", "WRONG")</f>
        <v/>
      </c>
    </row>
    <row r="22127">
      <c r="A22127" t="n">
        <v>22126</v>
      </c>
      <c r="B22127" t="inlineStr">
        <is>
          <t>x̄x̄MMCXXVI</t>
        </is>
      </c>
      <c r="C22127">
        <f>ROMAN(22126)</f>
        <v/>
      </c>
      <c r="D22127">
        <f>IF(B22127=C22127, "YES", "WRONG")</f>
        <v/>
      </c>
    </row>
    <row r="22128">
      <c r="A22128" t="n">
        <v>22127</v>
      </c>
      <c r="B22128" t="inlineStr">
        <is>
          <t>x̄x̄MMCXXVII</t>
        </is>
      </c>
      <c r="C22128">
        <f>ROMAN(22127)</f>
        <v/>
      </c>
      <c r="D22128">
        <f>IF(B22128=C22128, "YES", "WRONG")</f>
        <v/>
      </c>
    </row>
    <row r="22129">
      <c r="A22129" t="n">
        <v>22128</v>
      </c>
      <c r="B22129" t="inlineStr">
        <is>
          <t>x̄x̄MMCXXVIII</t>
        </is>
      </c>
      <c r="C22129">
        <f>ROMAN(22128)</f>
        <v/>
      </c>
      <c r="D22129">
        <f>IF(B22129=C22129, "YES", "WRONG")</f>
        <v/>
      </c>
    </row>
    <row r="22130">
      <c r="A22130" t="n">
        <v>22129</v>
      </c>
      <c r="B22130" t="inlineStr">
        <is>
          <t>x̄x̄MMCXXIX</t>
        </is>
      </c>
      <c r="C22130">
        <f>ROMAN(22129)</f>
        <v/>
      </c>
      <c r="D22130">
        <f>IF(B22130=C22130, "YES", "WRONG")</f>
        <v/>
      </c>
    </row>
    <row r="22131">
      <c r="A22131" t="n">
        <v>22130</v>
      </c>
      <c r="B22131" t="inlineStr">
        <is>
          <t>x̄x̄MMCXXX</t>
        </is>
      </c>
      <c r="C22131">
        <f>ROMAN(22130)</f>
        <v/>
      </c>
      <c r="D22131">
        <f>IF(B22131=C22131, "YES", "WRONG")</f>
        <v/>
      </c>
    </row>
    <row r="22132">
      <c r="A22132" t="n">
        <v>22131</v>
      </c>
      <c r="B22132" t="inlineStr">
        <is>
          <t>x̄x̄MMCXXXI</t>
        </is>
      </c>
      <c r="C22132">
        <f>ROMAN(22131)</f>
        <v/>
      </c>
      <c r="D22132">
        <f>IF(B22132=C22132, "YES", "WRONG")</f>
        <v/>
      </c>
    </row>
    <row r="22133">
      <c r="A22133" t="n">
        <v>22132</v>
      </c>
      <c r="B22133" t="inlineStr">
        <is>
          <t>x̄x̄MMCXXXII</t>
        </is>
      </c>
      <c r="C22133">
        <f>ROMAN(22132)</f>
        <v/>
      </c>
      <c r="D22133">
        <f>IF(B22133=C22133, "YES", "WRONG")</f>
        <v/>
      </c>
    </row>
    <row r="22134">
      <c r="A22134" t="n">
        <v>22133</v>
      </c>
      <c r="B22134" t="inlineStr">
        <is>
          <t>x̄x̄MMCXXXIII</t>
        </is>
      </c>
      <c r="C22134">
        <f>ROMAN(22133)</f>
        <v/>
      </c>
      <c r="D22134">
        <f>IF(B22134=C22134, "YES", "WRONG")</f>
        <v/>
      </c>
    </row>
    <row r="22135">
      <c r="A22135" t="n">
        <v>22134</v>
      </c>
      <c r="B22135" t="inlineStr">
        <is>
          <t>x̄x̄MMCXXXIV</t>
        </is>
      </c>
      <c r="C22135">
        <f>ROMAN(22134)</f>
        <v/>
      </c>
      <c r="D22135">
        <f>IF(B22135=C22135, "YES", "WRONG")</f>
        <v/>
      </c>
    </row>
    <row r="22136">
      <c r="A22136" t="n">
        <v>22135</v>
      </c>
      <c r="B22136" t="inlineStr">
        <is>
          <t>x̄x̄MMCXXXV</t>
        </is>
      </c>
      <c r="C22136">
        <f>ROMAN(22135)</f>
        <v/>
      </c>
      <c r="D22136">
        <f>IF(B22136=C22136, "YES", "WRONG")</f>
        <v/>
      </c>
    </row>
    <row r="22137">
      <c r="A22137" t="n">
        <v>22136</v>
      </c>
      <c r="B22137" t="inlineStr">
        <is>
          <t>x̄x̄MMCXXXVI</t>
        </is>
      </c>
      <c r="C22137">
        <f>ROMAN(22136)</f>
        <v/>
      </c>
      <c r="D22137">
        <f>IF(B22137=C22137, "YES", "WRONG")</f>
        <v/>
      </c>
    </row>
    <row r="22138">
      <c r="A22138" t="n">
        <v>22137</v>
      </c>
      <c r="B22138" t="inlineStr">
        <is>
          <t>x̄x̄MMCXXXVII</t>
        </is>
      </c>
      <c r="C22138">
        <f>ROMAN(22137)</f>
        <v/>
      </c>
      <c r="D22138">
        <f>IF(B22138=C22138, "YES", "WRONG")</f>
        <v/>
      </c>
    </row>
    <row r="22139">
      <c r="A22139" t="n">
        <v>22138</v>
      </c>
      <c r="B22139" t="inlineStr">
        <is>
          <t>x̄x̄MMCXXXVIII</t>
        </is>
      </c>
      <c r="C22139">
        <f>ROMAN(22138)</f>
        <v/>
      </c>
      <c r="D22139">
        <f>IF(B22139=C22139, "YES", "WRONG")</f>
        <v/>
      </c>
    </row>
    <row r="22140">
      <c r="A22140" t="n">
        <v>22139</v>
      </c>
      <c r="B22140" t="inlineStr">
        <is>
          <t>x̄x̄MMCXXXIX</t>
        </is>
      </c>
      <c r="C22140">
        <f>ROMAN(22139)</f>
        <v/>
      </c>
      <c r="D22140">
        <f>IF(B22140=C22140, "YES", "WRONG")</f>
        <v/>
      </c>
    </row>
    <row r="22141">
      <c r="A22141" t="n">
        <v>22140</v>
      </c>
      <c r="B22141" t="inlineStr">
        <is>
          <t>x̄x̄MMCXL</t>
        </is>
      </c>
      <c r="C22141">
        <f>ROMAN(22140)</f>
        <v/>
      </c>
      <c r="D22141">
        <f>IF(B22141=C22141, "YES", "WRONG")</f>
        <v/>
      </c>
    </row>
    <row r="22142">
      <c r="A22142" t="n">
        <v>22141</v>
      </c>
      <c r="B22142" t="inlineStr">
        <is>
          <t>x̄x̄MMCXLI</t>
        </is>
      </c>
      <c r="C22142">
        <f>ROMAN(22141)</f>
        <v/>
      </c>
      <c r="D22142">
        <f>IF(B22142=C22142, "YES", "WRONG")</f>
        <v/>
      </c>
    </row>
    <row r="22143">
      <c r="A22143" t="n">
        <v>22142</v>
      </c>
      <c r="B22143" t="inlineStr">
        <is>
          <t>x̄x̄MMCXLII</t>
        </is>
      </c>
      <c r="C22143">
        <f>ROMAN(22142)</f>
        <v/>
      </c>
      <c r="D22143">
        <f>IF(B22143=C22143, "YES", "WRONG")</f>
        <v/>
      </c>
    </row>
    <row r="22144">
      <c r="A22144" t="n">
        <v>22143</v>
      </c>
      <c r="B22144" t="inlineStr">
        <is>
          <t>x̄x̄MMCXLIII</t>
        </is>
      </c>
      <c r="C22144">
        <f>ROMAN(22143)</f>
        <v/>
      </c>
      <c r="D22144">
        <f>IF(B22144=C22144, "YES", "WRONG")</f>
        <v/>
      </c>
    </row>
    <row r="22145">
      <c r="A22145" t="n">
        <v>22144</v>
      </c>
      <c r="B22145" t="inlineStr">
        <is>
          <t>x̄x̄MMCXLIV</t>
        </is>
      </c>
      <c r="C22145">
        <f>ROMAN(22144)</f>
        <v/>
      </c>
      <c r="D22145">
        <f>IF(B22145=C22145, "YES", "WRONG")</f>
        <v/>
      </c>
    </row>
    <row r="22146">
      <c r="A22146" t="n">
        <v>22145</v>
      </c>
      <c r="B22146" t="inlineStr">
        <is>
          <t>x̄x̄MMCXLV</t>
        </is>
      </c>
      <c r="C22146">
        <f>ROMAN(22145)</f>
        <v/>
      </c>
      <c r="D22146">
        <f>IF(B22146=C22146, "YES", "WRONG")</f>
        <v/>
      </c>
    </row>
    <row r="22147">
      <c r="A22147" t="n">
        <v>22146</v>
      </c>
      <c r="B22147" t="inlineStr">
        <is>
          <t>x̄x̄MMCXLVI</t>
        </is>
      </c>
      <c r="C22147">
        <f>ROMAN(22146)</f>
        <v/>
      </c>
      <c r="D22147">
        <f>IF(B22147=C22147, "YES", "WRONG")</f>
        <v/>
      </c>
    </row>
    <row r="22148">
      <c r="A22148" t="n">
        <v>22147</v>
      </c>
      <c r="B22148" t="inlineStr">
        <is>
          <t>x̄x̄MMCXLVII</t>
        </is>
      </c>
      <c r="C22148">
        <f>ROMAN(22147)</f>
        <v/>
      </c>
      <c r="D22148">
        <f>IF(B22148=C22148, "YES", "WRONG")</f>
        <v/>
      </c>
    </row>
    <row r="22149">
      <c r="A22149" t="n">
        <v>22148</v>
      </c>
      <c r="B22149" t="inlineStr">
        <is>
          <t>x̄x̄MMCXLVIII</t>
        </is>
      </c>
      <c r="C22149">
        <f>ROMAN(22148)</f>
        <v/>
      </c>
      <c r="D22149">
        <f>IF(B22149=C22149, "YES", "WRONG")</f>
        <v/>
      </c>
    </row>
    <row r="22150">
      <c r="A22150" t="n">
        <v>22149</v>
      </c>
      <c r="B22150" t="inlineStr">
        <is>
          <t>x̄x̄MMCXLIX</t>
        </is>
      </c>
      <c r="C22150">
        <f>ROMAN(22149)</f>
        <v/>
      </c>
      <c r="D22150">
        <f>IF(B22150=C22150, "YES", "WRONG")</f>
        <v/>
      </c>
    </row>
    <row r="22151">
      <c r="A22151" t="n">
        <v>22150</v>
      </c>
      <c r="B22151" t="inlineStr">
        <is>
          <t>x̄x̄MMCL</t>
        </is>
      </c>
      <c r="C22151">
        <f>ROMAN(22150)</f>
        <v/>
      </c>
      <c r="D22151">
        <f>IF(B22151=C22151, "YES", "WRONG")</f>
        <v/>
      </c>
    </row>
    <row r="22152">
      <c r="A22152" t="n">
        <v>22151</v>
      </c>
      <c r="B22152" t="inlineStr">
        <is>
          <t>x̄x̄MMCLI</t>
        </is>
      </c>
      <c r="C22152">
        <f>ROMAN(22151)</f>
        <v/>
      </c>
      <c r="D22152">
        <f>IF(B22152=C22152, "YES", "WRONG")</f>
        <v/>
      </c>
    </row>
    <row r="22153">
      <c r="A22153" t="n">
        <v>22152</v>
      </c>
      <c r="B22153" t="inlineStr">
        <is>
          <t>x̄x̄MMCLII</t>
        </is>
      </c>
      <c r="C22153">
        <f>ROMAN(22152)</f>
        <v/>
      </c>
      <c r="D22153">
        <f>IF(B22153=C22153, "YES", "WRONG")</f>
        <v/>
      </c>
    </row>
    <row r="22154">
      <c r="A22154" t="n">
        <v>22153</v>
      </c>
      <c r="B22154" t="inlineStr">
        <is>
          <t>x̄x̄MMCLIII</t>
        </is>
      </c>
      <c r="C22154">
        <f>ROMAN(22153)</f>
        <v/>
      </c>
      <c r="D22154">
        <f>IF(B22154=C22154, "YES", "WRONG")</f>
        <v/>
      </c>
    </row>
    <row r="22155">
      <c r="A22155" t="n">
        <v>22154</v>
      </c>
      <c r="B22155" t="inlineStr">
        <is>
          <t>x̄x̄MMCLIV</t>
        </is>
      </c>
      <c r="C22155">
        <f>ROMAN(22154)</f>
        <v/>
      </c>
      <c r="D22155">
        <f>IF(B22155=C22155, "YES", "WRONG")</f>
        <v/>
      </c>
    </row>
    <row r="22156">
      <c r="A22156" t="n">
        <v>22155</v>
      </c>
      <c r="B22156" t="inlineStr">
        <is>
          <t>x̄x̄MMCLV</t>
        </is>
      </c>
      <c r="C22156">
        <f>ROMAN(22155)</f>
        <v/>
      </c>
      <c r="D22156">
        <f>IF(B22156=C22156, "YES", "WRONG")</f>
        <v/>
      </c>
    </row>
    <row r="22157">
      <c r="A22157" t="n">
        <v>22156</v>
      </c>
      <c r="B22157" t="inlineStr">
        <is>
          <t>x̄x̄MMCLVI</t>
        </is>
      </c>
      <c r="C22157">
        <f>ROMAN(22156)</f>
        <v/>
      </c>
      <c r="D22157">
        <f>IF(B22157=C22157, "YES", "WRONG")</f>
        <v/>
      </c>
    </row>
    <row r="22158">
      <c r="A22158" t="n">
        <v>22157</v>
      </c>
      <c r="B22158" t="inlineStr">
        <is>
          <t>x̄x̄MMCLVII</t>
        </is>
      </c>
      <c r="C22158">
        <f>ROMAN(22157)</f>
        <v/>
      </c>
      <c r="D22158">
        <f>IF(B22158=C22158, "YES", "WRONG")</f>
        <v/>
      </c>
    </row>
    <row r="22159">
      <c r="A22159" t="n">
        <v>22158</v>
      </c>
      <c r="B22159" t="inlineStr">
        <is>
          <t>x̄x̄MMCLVIII</t>
        </is>
      </c>
      <c r="C22159">
        <f>ROMAN(22158)</f>
        <v/>
      </c>
      <c r="D22159">
        <f>IF(B22159=C22159, "YES", "WRONG")</f>
        <v/>
      </c>
    </row>
    <row r="22160">
      <c r="A22160" t="n">
        <v>22159</v>
      </c>
      <c r="B22160" t="inlineStr">
        <is>
          <t>x̄x̄MMCLIX</t>
        </is>
      </c>
      <c r="C22160">
        <f>ROMAN(22159)</f>
        <v/>
      </c>
      <c r="D22160">
        <f>IF(B22160=C22160, "YES", "WRONG")</f>
        <v/>
      </c>
    </row>
    <row r="22161">
      <c r="A22161" t="n">
        <v>22160</v>
      </c>
      <c r="B22161" t="inlineStr">
        <is>
          <t>x̄x̄MMCLX</t>
        </is>
      </c>
      <c r="C22161">
        <f>ROMAN(22160)</f>
        <v/>
      </c>
      <c r="D22161">
        <f>IF(B22161=C22161, "YES", "WRONG")</f>
        <v/>
      </c>
    </row>
    <row r="22162">
      <c r="A22162" t="n">
        <v>22161</v>
      </c>
      <c r="B22162" t="inlineStr">
        <is>
          <t>x̄x̄MMCLXI</t>
        </is>
      </c>
      <c r="C22162">
        <f>ROMAN(22161)</f>
        <v/>
      </c>
      <c r="D22162">
        <f>IF(B22162=C22162, "YES", "WRONG")</f>
        <v/>
      </c>
    </row>
    <row r="22163">
      <c r="A22163" t="n">
        <v>22162</v>
      </c>
      <c r="B22163" t="inlineStr">
        <is>
          <t>x̄x̄MMCLXII</t>
        </is>
      </c>
      <c r="C22163">
        <f>ROMAN(22162)</f>
        <v/>
      </c>
      <c r="D22163">
        <f>IF(B22163=C22163, "YES", "WRONG")</f>
        <v/>
      </c>
    </row>
    <row r="22164">
      <c r="A22164" t="n">
        <v>22163</v>
      </c>
      <c r="B22164" t="inlineStr">
        <is>
          <t>x̄x̄MMCLXIII</t>
        </is>
      </c>
      <c r="C22164">
        <f>ROMAN(22163)</f>
        <v/>
      </c>
      <c r="D22164">
        <f>IF(B22164=C22164, "YES", "WRONG")</f>
        <v/>
      </c>
    </row>
    <row r="22165">
      <c r="A22165" t="n">
        <v>22164</v>
      </c>
      <c r="B22165" t="inlineStr">
        <is>
          <t>x̄x̄MMCLXIV</t>
        </is>
      </c>
      <c r="C22165">
        <f>ROMAN(22164)</f>
        <v/>
      </c>
      <c r="D22165">
        <f>IF(B22165=C22165, "YES", "WRONG")</f>
        <v/>
      </c>
    </row>
    <row r="22166">
      <c r="A22166" t="n">
        <v>22165</v>
      </c>
      <c r="B22166" t="inlineStr">
        <is>
          <t>x̄x̄MMCLXV</t>
        </is>
      </c>
      <c r="C22166">
        <f>ROMAN(22165)</f>
        <v/>
      </c>
      <c r="D22166">
        <f>IF(B22166=C22166, "YES", "WRONG")</f>
        <v/>
      </c>
    </row>
    <row r="22167">
      <c r="A22167" t="n">
        <v>22166</v>
      </c>
      <c r="B22167" t="inlineStr">
        <is>
          <t>x̄x̄MMCLXVI</t>
        </is>
      </c>
      <c r="C22167">
        <f>ROMAN(22166)</f>
        <v/>
      </c>
      <c r="D22167">
        <f>IF(B22167=C22167, "YES", "WRONG")</f>
        <v/>
      </c>
    </row>
    <row r="22168">
      <c r="A22168" t="n">
        <v>22167</v>
      </c>
      <c r="B22168" t="inlineStr">
        <is>
          <t>x̄x̄MMCLXVII</t>
        </is>
      </c>
      <c r="C22168">
        <f>ROMAN(22167)</f>
        <v/>
      </c>
      <c r="D22168">
        <f>IF(B22168=C22168, "YES", "WRONG")</f>
        <v/>
      </c>
    </row>
    <row r="22169">
      <c r="A22169" t="n">
        <v>22168</v>
      </c>
      <c r="B22169" t="inlineStr">
        <is>
          <t>x̄x̄MMCLXVIII</t>
        </is>
      </c>
      <c r="C22169">
        <f>ROMAN(22168)</f>
        <v/>
      </c>
      <c r="D22169">
        <f>IF(B22169=C22169, "YES", "WRONG")</f>
        <v/>
      </c>
    </row>
    <row r="22170">
      <c r="A22170" t="n">
        <v>22169</v>
      </c>
      <c r="B22170" t="inlineStr">
        <is>
          <t>x̄x̄MMCLXIX</t>
        </is>
      </c>
      <c r="C22170">
        <f>ROMAN(22169)</f>
        <v/>
      </c>
      <c r="D22170">
        <f>IF(B22170=C22170, "YES", "WRONG")</f>
        <v/>
      </c>
    </row>
    <row r="22171">
      <c r="A22171" t="n">
        <v>22170</v>
      </c>
      <c r="B22171" t="inlineStr">
        <is>
          <t>x̄x̄MMCLXX</t>
        </is>
      </c>
      <c r="C22171">
        <f>ROMAN(22170)</f>
        <v/>
      </c>
      <c r="D22171">
        <f>IF(B22171=C22171, "YES", "WRONG")</f>
        <v/>
      </c>
    </row>
    <row r="22172">
      <c r="A22172" t="n">
        <v>22171</v>
      </c>
      <c r="B22172" t="inlineStr">
        <is>
          <t>x̄x̄MMCLXXI</t>
        </is>
      </c>
      <c r="C22172">
        <f>ROMAN(22171)</f>
        <v/>
      </c>
      <c r="D22172">
        <f>IF(B22172=C22172, "YES", "WRONG")</f>
        <v/>
      </c>
    </row>
    <row r="22173">
      <c r="A22173" t="n">
        <v>22172</v>
      </c>
      <c r="B22173" t="inlineStr">
        <is>
          <t>x̄x̄MMCLXXII</t>
        </is>
      </c>
      <c r="C22173">
        <f>ROMAN(22172)</f>
        <v/>
      </c>
      <c r="D22173">
        <f>IF(B22173=C22173, "YES", "WRONG")</f>
        <v/>
      </c>
    </row>
    <row r="22174">
      <c r="A22174" t="n">
        <v>22173</v>
      </c>
      <c r="B22174" t="inlineStr">
        <is>
          <t>x̄x̄MMCLXXIII</t>
        </is>
      </c>
      <c r="C22174">
        <f>ROMAN(22173)</f>
        <v/>
      </c>
      <c r="D22174">
        <f>IF(B22174=C22174, "YES", "WRONG")</f>
        <v/>
      </c>
    </row>
    <row r="22175">
      <c r="A22175" t="n">
        <v>22174</v>
      </c>
      <c r="B22175" t="inlineStr">
        <is>
          <t>x̄x̄MMCLXXIV</t>
        </is>
      </c>
      <c r="C22175">
        <f>ROMAN(22174)</f>
        <v/>
      </c>
      <c r="D22175">
        <f>IF(B22175=C22175, "YES", "WRONG")</f>
        <v/>
      </c>
    </row>
    <row r="22176">
      <c r="A22176" t="n">
        <v>22175</v>
      </c>
      <c r="B22176" t="inlineStr">
        <is>
          <t>x̄x̄MMCLXXV</t>
        </is>
      </c>
      <c r="C22176">
        <f>ROMAN(22175)</f>
        <v/>
      </c>
      <c r="D22176">
        <f>IF(B22176=C22176, "YES", "WRONG")</f>
        <v/>
      </c>
    </row>
    <row r="22177">
      <c r="A22177" t="n">
        <v>22176</v>
      </c>
      <c r="B22177" t="inlineStr">
        <is>
          <t>x̄x̄MMCLXXVI</t>
        </is>
      </c>
      <c r="C22177">
        <f>ROMAN(22176)</f>
        <v/>
      </c>
      <c r="D22177">
        <f>IF(B22177=C22177, "YES", "WRONG")</f>
        <v/>
      </c>
    </row>
    <row r="22178">
      <c r="A22178" t="n">
        <v>22177</v>
      </c>
      <c r="B22178" t="inlineStr">
        <is>
          <t>x̄x̄MMCLXXVII</t>
        </is>
      </c>
      <c r="C22178">
        <f>ROMAN(22177)</f>
        <v/>
      </c>
      <c r="D22178">
        <f>IF(B22178=C22178, "YES", "WRONG")</f>
        <v/>
      </c>
    </row>
    <row r="22179">
      <c r="A22179" t="n">
        <v>22178</v>
      </c>
      <c r="B22179" t="inlineStr">
        <is>
          <t>x̄x̄MMCLXXVIII</t>
        </is>
      </c>
      <c r="C22179">
        <f>ROMAN(22178)</f>
        <v/>
      </c>
      <c r="D22179">
        <f>IF(B22179=C22179, "YES", "WRONG")</f>
        <v/>
      </c>
    </row>
    <row r="22180">
      <c r="A22180" t="n">
        <v>22179</v>
      </c>
      <c r="B22180" t="inlineStr">
        <is>
          <t>x̄x̄MMCLXXIX</t>
        </is>
      </c>
      <c r="C22180">
        <f>ROMAN(22179)</f>
        <v/>
      </c>
      <c r="D22180">
        <f>IF(B22180=C22180, "YES", "WRONG")</f>
        <v/>
      </c>
    </row>
    <row r="22181">
      <c r="A22181" t="n">
        <v>22180</v>
      </c>
      <c r="B22181" t="inlineStr">
        <is>
          <t>x̄x̄MMCLXXX</t>
        </is>
      </c>
      <c r="C22181">
        <f>ROMAN(22180)</f>
        <v/>
      </c>
      <c r="D22181">
        <f>IF(B22181=C22181, "YES", "WRONG")</f>
        <v/>
      </c>
    </row>
    <row r="22182">
      <c r="A22182" t="n">
        <v>22181</v>
      </c>
      <c r="B22182" t="inlineStr">
        <is>
          <t>x̄x̄MMCLXXXI</t>
        </is>
      </c>
      <c r="C22182">
        <f>ROMAN(22181)</f>
        <v/>
      </c>
      <c r="D22182">
        <f>IF(B22182=C22182, "YES", "WRONG")</f>
        <v/>
      </c>
    </row>
    <row r="22183">
      <c r="A22183" t="n">
        <v>22182</v>
      </c>
      <c r="B22183" t="inlineStr">
        <is>
          <t>x̄x̄MMCLXXXII</t>
        </is>
      </c>
      <c r="C22183">
        <f>ROMAN(22182)</f>
        <v/>
      </c>
      <c r="D22183">
        <f>IF(B22183=C22183, "YES", "WRONG")</f>
        <v/>
      </c>
    </row>
    <row r="22184">
      <c r="A22184" t="n">
        <v>22183</v>
      </c>
      <c r="B22184" t="inlineStr">
        <is>
          <t>x̄x̄MMCLXXXIII</t>
        </is>
      </c>
      <c r="C22184">
        <f>ROMAN(22183)</f>
        <v/>
      </c>
      <c r="D22184">
        <f>IF(B22184=C22184, "YES", "WRONG")</f>
        <v/>
      </c>
    </row>
    <row r="22185">
      <c r="A22185" t="n">
        <v>22184</v>
      </c>
      <c r="B22185" t="inlineStr">
        <is>
          <t>x̄x̄MMCLXXXIV</t>
        </is>
      </c>
      <c r="C22185">
        <f>ROMAN(22184)</f>
        <v/>
      </c>
      <c r="D22185">
        <f>IF(B22185=C22185, "YES", "WRONG")</f>
        <v/>
      </c>
    </row>
    <row r="22186">
      <c r="A22186" t="n">
        <v>22185</v>
      </c>
      <c r="B22186" t="inlineStr">
        <is>
          <t>x̄x̄MMCLXXXV</t>
        </is>
      </c>
      <c r="C22186">
        <f>ROMAN(22185)</f>
        <v/>
      </c>
      <c r="D22186">
        <f>IF(B22186=C22186, "YES", "WRONG")</f>
        <v/>
      </c>
    </row>
    <row r="22187">
      <c r="A22187" t="n">
        <v>22186</v>
      </c>
      <c r="B22187" t="inlineStr">
        <is>
          <t>x̄x̄MMCLXXXVI</t>
        </is>
      </c>
      <c r="C22187">
        <f>ROMAN(22186)</f>
        <v/>
      </c>
      <c r="D22187">
        <f>IF(B22187=C22187, "YES", "WRONG")</f>
        <v/>
      </c>
    </row>
    <row r="22188">
      <c r="A22188" t="n">
        <v>22187</v>
      </c>
      <c r="B22188" t="inlineStr">
        <is>
          <t>x̄x̄MMCLXXXVII</t>
        </is>
      </c>
      <c r="C22188">
        <f>ROMAN(22187)</f>
        <v/>
      </c>
      <c r="D22188">
        <f>IF(B22188=C22188, "YES", "WRONG")</f>
        <v/>
      </c>
    </row>
    <row r="22189">
      <c r="A22189" t="n">
        <v>22188</v>
      </c>
      <c r="B22189" t="inlineStr">
        <is>
          <t>x̄x̄MMCLXXXVIII</t>
        </is>
      </c>
      <c r="C22189">
        <f>ROMAN(22188)</f>
        <v/>
      </c>
      <c r="D22189">
        <f>IF(B22189=C22189, "YES", "WRONG")</f>
        <v/>
      </c>
    </row>
    <row r="22190">
      <c r="A22190" t="n">
        <v>22189</v>
      </c>
      <c r="B22190" t="inlineStr">
        <is>
          <t>x̄x̄MMCLXXXIX</t>
        </is>
      </c>
      <c r="C22190">
        <f>ROMAN(22189)</f>
        <v/>
      </c>
      <c r="D22190">
        <f>IF(B22190=C22190, "YES", "WRONG")</f>
        <v/>
      </c>
    </row>
    <row r="22191">
      <c r="A22191" t="n">
        <v>22190</v>
      </c>
      <c r="B22191" t="inlineStr">
        <is>
          <t>x̄x̄MMCXC</t>
        </is>
      </c>
      <c r="C22191">
        <f>ROMAN(22190)</f>
        <v/>
      </c>
      <c r="D22191">
        <f>IF(B22191=C22191, "YES", "WRONG")</f>
        <v/>
      </c>
    </row>
    <row r="22192">
      <c r="A22192" t="n">
        <v>22191</v>
      </c>
      <c r="B22192" t="inlineStr">
        <is>
          <t>x̄x̄MMCXCI</t>
        </is>
      </c>
      <c r="C22192">
        <f>ROMAN(22191)</f>
        <v/>
      </c>
      <c r="D22192">
        <f>IF(B22192=C22192, "YES", "WRONG")</f>
        <v/>
      </c>
    </row>
    <row r="22193">
      <c r="A22193" t="n">
        <v>22192</v>
      </c>
      <c r="B22193" t="inlineStr">
        <is>
          <t>x̄x̄MMCXCII</t>
        </is>
      </c>
      <c r="C22193">
        <f>ROMAN(22192)</f>
        <v/>
      </c>
      <c r="D22193">
        <f>IF(B22193=C22193, "YES", "WRONG")</f>
        <v/>
      </c>
    </row>
    <row r="22194">
      <c r="A22194" t="n">
        <v>22193</v>
      </c>
      <c r="B22194" t="inlineStr">
        <is>
          <t>x̄x̄MMCXCIII</t>
        </is>
      </c>
      <c r="C22194">
        <f>ROMAN(22193)</f>
        <v/>
      </c>
      <c r="D22194">
        <f>IF(B22194=C22194, "YES", "WRONG")</f>
        <v/>
      </c>
    </row>
    <row r="22195">
      <c r="A22195" t="n">
        <v>22194</v>
      </c>
      <c r="B22195" t="inlineStr">
        <is>
          <t>x̄x̄MMCXCIV</t>
        </is>
      </c>
      <c r="C22195">
        <f>ROMAN(22194)</f>
        <v/>
      </c>
      <c r="D22195">
        <f>IF(B22195=C22195, "YES", "WRONG")</f>
        <v/>
      </c>
    </row>
    <row r="22196">
      <c r="A22196" t="n">
        <v>22195</v>
      </c>
      <c r="B22196" t="inlineStr">
        <is>
          <t>x̄x̄MMCXCV</t>
        </is>
      </c>
      <c r="C22196">
        <f>ROMAN(22195)</f>
        <v/>
      </c>
      <c r="D22196">
        <f>IF(B22196=C22196, "YES", "WRONG")</f>
        <v/>
      </c>
    </row>
    <row r="22197">
      <c r="A22197" t="n">
        <v>22196</v>
      </c>
      <c r="B22197" t="inlineStr">
        <is>
          <t>x̄x̄MMCXCVI</t>
        </is>
      </c>
      <c r="C22197">
        <f>ROMAN(22196)</f>
        <v/>
      </c>
      <c r="D22197">
        <f>IF(B22197=C22197, "YES", "WRONG")</f>
        <v/>
      </c>
    </row>
    <row r="22198">
      <c r="A22198" t="n">
        <v>22197</v>
      </c>
      <c r="B22198" t="inlineStr">
        <is>
          <t>x̄x̄MMCXCVII</t>
        </is>
      </c>
      <c r="C22198">
        <f>ROMAN(22197)</f>
        <v/>
      </c>
      <c r="D22198">
        <f>IF(B22198=C22198, "YES", "WRONG")</f>
        <v/>
      </c>
    </row>
    <row r="22199">
      <c r="A22199" t="n">
        <v>22198</v>
      </c>
      <c r="B22199" t="inlineStr">
        <is>
          <t>x̄x̄MMCXCVIII</t>
        </is>
      </c>
      <c r="C22199">
        <f>ROMAN(22198)</f>
        <v/>
      </c>
      <c r="D22199">
        <f>IF(B22199=C22199, "YES", "WRONG")</f>
        <v/>
      </c>
    </row>
    <row r="22200">
      <c r="A22200" t="n">
        <v>22199</v>
      </c>
      <c r="B22200" t="inlineStr">
        <is>
          <t>x̄x̄MMCXCIX</t>
        </is>
      </c>
      <c r="C22200">
        <f>ROMAN(22199)</f>
        <v/>
      </c>
      <c r="D22200">
        <f>IF(B22200=C22200, "YES", "WRONG")</f>
        <v/>
      </c>
    </row>
    <row r="22201">
      <c r="A22201" t="n">
        <v>22200</v>
      </c>
      <c r="B22201" t="inlineStr">
        <is>
          <t>x̄x̄MMCC</t>
        </is>
      </c>
      <c r="C22201">
        <f>ROMAN(22200)</f>
        <v/>
      </c>
      <c r="D22201">
        <f>IF(B22201=C22201, "YES", "WRONG")</f>
        <v/>
      </c>
    </row>
    <row r="22202">
      <c r="A22202" t="n">
        <v>22201</v>
      </c>
      <c r="B22202" t="inlineStr">
        <is>
          <t>x̄x̄MMCCI</t>
        </is>
      </c>
      <c r="C22202">
        <f>ROMAN(22201)</f>
        <v/>
      </c>
      <c r="D22202">
        <f>IF(B22202=C22202, "YES", "WRONG")</f>
        <v/>
      </c>
    </row>
    <row r="22203">
      <c r="A22203" t="n">
        <v>22202</v>
      </c>
      <c r="B22203" t="inlineStr">
        <is>
          <t>x̄x̄MMCCII</t>
        </is>
      </c>
      <c r="C22203">
        <f>ROMAN(22202)</f>
        <v/>
      </c>
      <c r="D22203">
        <f>IF(B22203=C22203, "YES", "WRONG")</f>
        <v/>
      </c>
    </row>
    <row r="22204">
      <c r="A22204" t="n">
        <v>22203</v>
      </c>
      <c r="B22204" t="inlineStr">
        <is>
          <t>x̄x̄MMCCIII</t>
        </is>
      </c>
      <c r="C22204">
        <f>ROMAN(22203)</f>
        <v/>
      </c>
      <c r="D22204">
        <f>IF(B22204=C22204, "YES", "WRONG")</f>
        <v/>
      </c>
    </row>
    <row r="22205">
      <c r="A22205" t="n">
        <v>22204</v>
      </c>
      <c r="B22205" t="inlineStr">
        <is>
          <t>x̄x̄MMCCIV</t>
        </is>
      </c>
      <c r="C22205">
        <f>ROMAN(22204)</f>
        <v/>
      </c>
      <c r="D22205">
        <f>IF(B22205=C22205, "YES", "WRONG")</f>
        <v/>
      </c>
    </row>
    <row r="22206">
      <c r="A22206" t="n">
        <v>22205</v>
      </c>
      <c r="B22206" t="inlineStr">
        <is>
          <t>x̄x̄MMCCV</t>
        </is>
      </c>
      <c r="C22206">
        <f>ROMAN(22205)</f>
        <v/>
      </c>
      <c r="D22206">
        <f>IF(B22206=C22206, "YES", "WRONG")</f>
        <v/>
      </c>
    </row>
    <row r="22207">
      <c r="A22207" t="n">
        <v>22206</v>
      </c>
      <c r="B22207" t="inlineStr">
        <is>
          <t>x̄x̄MMCCVI</t>
        </is>
      </c>
      <c r="C22207">
        <f>ROMAN(22206)</f>
        <v/>
      </c>
      <c r="D22207">
        <f>IF(B22207=C22207, "YES", "WRONG")</f>
        <v/>
      </c>
    </row>
    <row r="22208">
      <c r="A22208" t="n">
        <v>22207</v>
      </c>
      <c r="B22208" t="inlineStr">
        <is>
          <t>x̄x̄MMCCVII</t>
        </is>
      </c>
      <c r="C22208">
        <f>ROMAN(22207)</f>
        <v/>
      </c>
      <c r="D22208">
        <f>IF(B22208=C22208, "YES", "WRONG")</f>
        <v/>
      </c>
    </row>
    <row r="22209">
      <c r="A22209" t="n">
        <v>22208</v>
      </c>
      <c r="B22209" t="inlineStr">
        <is>
          <t>x̄x̄MMCCVIII</t>
        </is>
      </c>
      <c r="C22209">
        <f>ROMAN(22208)</f>
        <v/>
      </c>
      <c r="D22209">
        <f>IF(B22209=C22209, "YES", "WRONG")</f>
        <v/>
      </c>
    </row>
    <row r="22210">
      <c r="A22210" t="n">
        <v>22209</v>
      </c>
      <c r="B22210" t="inlineStr">
        <is>
          <t>x̄x̄MMCCIX</t>
        </is>
      </c>
      <c r="C22210">
        <f>ROMAN(22209)</f>
        <v/>
      </c>
      <c r="D22210">
        <f>IF(B22210=C22210, "YES", "WRONG")</f>
        <v/>
      </c>
    </row>
    <row r="22211">
      <c r="A22211" t="n">
        <v>22210</v>
      </c>
      <c r="B22211" t="inlineStr">
        <is>
          <t>x̄x̄MMCCX</t>
        </is>
      </c>
      <c r="C22211">
        <f>ROMAN(22210)</f>
        <v/>
      </c>
      <c r="D22211">
        <f>IF(B22211=C22211, "YES", "WRONG")</f>
        <v/>
      </c>
    </row>
    <row r="22212">
      <c r="A22212" t="n">
        <v>22211</v>
      </c>
      <c r="B22212" t="inlineStr">
        <is>
          <t>x̄x̄MMCCXI</t>
        </is>
      </c>
      <c r="C22212">
        <f>ROMAN(22211)</f>
        <v/>
      </c>
      <c r="D22212">
        <f>IF(B22212=C22212, "YES", "WRONG")</f>
        <v/>
      </c>
    </row>
    <row r="22213">
      <c r="A22213" t="n">
        <v>22212</v>
      </c>
      <c r="B22213" t="inlineStr">
        <is>
          <t>x̄x̄MMCCXII</t>
        </is>
      </c>
      <c r="C22213">
        <f>ROMAN(22212)</f>
        <v/>
      </c>
      <c r="D22213">
        <f>IF(B22213=C22213, "YES", "WRONG")</f>
        <v/>
      </c>
    </row>
    <row r="22214">
      <c r="A22214" t="n">
        <v>22213</v>
      </c>
      <c r="B22214" t="inlineStr">
        <is>
          <t>x̄x̄MMCCXIII</t>
        </is>
      </c>
      <c r="C22214">
        <f>ROMAN(22213)</f>
        <v/>
      </c>
      <c r="D22214">
        <f>IF(B22214=C22214, "YES", "WRONG")</f>
        <v/>
      </c>
    </row>
    <row r="22215">
      <c r="A22215" t="n">
        <v>22214</v>
      </c>
      <c r="B22215" t="inlineStr">
        <is>
          <t>x̄x̄MMCCXIV</t>
        </is>
      </c>
      <c r="C22215">
        <f>ROMAN(22214)</f>
        <v/>
      </c>
      <c r="D22215">
        <f>IF(B22215=C22215, "YES", "WRONG")</f>
        <v/>
      </c>
    </row>
    <row r="22216">
      <c r="A22216" t="n">
        <v>22215</v>
      </c>
      <c r="B22216" t="inlineStr">
        <is>
          <t>x̄x̄MMCCXV</t>
        </is>
      </c>
      <c r="C22216">
        <f>ROMAN(22215)</f>
        <v/>
      </c>
      <c r="D22216">
        <f>IF(B22216=C22216, "YES", "WRONG")</f>
        <v/>
      </c>
    </row>
    <row r="22217">
      <c r="A22217" t="n">
        <v>22216</v>
      </c>
      <c r="B22217" t="inlineStr">
        <is>
          <t>x̄x̄MMCCXVI</t>
        </is>
      </c>
      <c r="C22217">
        <f>ROMAN(22216)</f>
        <v/>
      </c>
      <c r="D22217">
        <f>IF(B22217=C22217, "YES", "WRONG")</f>
        <v/>
      </c>
    </row>
    <row r="22218">
      <c r="A22218" t="n">
        <v>22217</v>
      </c>
      <c r="B22218" t="inlineStr">
        <is>
          <t>x̄x̄MMCCXVII</t>
        </is>
      </c>
      <c r="C22218">
        <f>ROMAN(22217)</f>
        <v/>
      </c>
      <c r="D22218">
        <f>IF(B22218=C22218, "YES", "WRONG")</f>
        <v/>
      </c>
    </row>
    <row r="22219">
      <c r="A22219" t="n">
        <v>22218</v>
      </c>
      <c r="B22219" t="inlineStr">
        <is>
          <t>x̄x̄MMCCXVIII</t>
        </is>
      </c>
      <c r="C22219">
        <f>ROMAN(22218)</f>
        <v/>
      </c>
      <c r="D22219">
        <f>IF(B22219=C22219, "YES", "WRONG")</f>
        <v/>
      </c>
    </row>
    <row r="22220">
      <c r="A22220" t="n">
        <v>22219</v>
      </c>
      <c r="B22220" t="inlineStr">
        <is>
          <t>x̄x̄MMCCXIX</t>
        </is>
      </c>
      <c r="C22220">
        <f>ROMAN(22219)</f>
        <v/>
      </c>
      <c r="D22220">
        <f>IF(B22220=C22220, "YES", "WRONG")</f>
        <v/>
      </c>
    </row>
    <row r="22221">
      <c r="A22221" t="n">
        <v>22220</v>
      </c>
      <c r="B22221" t="inlineStr">
        <is>
          <t>x̄x̄MMCCXX</t>
        </is>
      </c>
      <c r="C22221">
        <f>ROMAN(22220)</f>
        <v/>
      </c>
      <c r="D22221">
        <f>IF(B22221=C22221, "YES", "WRONG")</f>
        <v/>
      </c>
    </row>
    <row r="22222">
      <c r="A22222" t="n">
        <v>22221</v>
      </c>
      <c r="B22222" t="inlineStr">
        <is>
          <t>x̄x̄MMCCXXI</t>
        </is>
      </c>
      <c r="C22222">
        <f>ROMAN(22221)</f>
        <v/>
      </c>
      <c r="D22222">
        <f>IF(B22222=C22222, "YES", "WRONG")</f>
        <v/>
      </c>
    </row>
    <row r="22223">
      <c r="A22223" t="n">
        <v>22222</v>
      </c>
      <c r="B22223" t="inlineStr">
        <is>
          <t>x̄x̄MMCCXXII</t>
        </is>
      </c>
      <c r="C22223">
        <f>ROMAN(22222)</f>
        <v/>
      </c>
      <c r="D22223">
        <f>IF(B22223=C22223, "YES", "WRONG")</f>
        <v/>
      </c>
    </row>
    <row r="22224">
      <c r="A22224" t="n">
        <v>22223</v>
      </c>
      <c r="B22224" t="inlineStr">
        <is>
          <t>x̄x̄MMCCXXIII</t>
        </is>
      </c>
      <c r="C22224">
        <f>ROMAN(22223)</f>
        <v/>
      </c>
      <c r="D22224">
        <f>IF(B22224=C22224, "YES", "WRONG")</f>
        <v/>
      </c>
    </row>
    <row r="22225">
      <c r="A22225" t="n">
        <v>22224</v>
      </c>
      <c r="B22225" t="inlineStr">
        <is>
          <t>x̄x̄MMCCXXIV</t>
        </is>
      </c>
      <c r="C22225">
        <f>ROMAN(22224)</f>
        <v/>
      </c>
      <c r="D22225">
        <f>IF(B22225=C22225, "YES", "WRONG")</f>
        <v/>
      </c>
    </row>
    <row r="22226">
      <c r="A22226" t="n">
        <v>22225</v>
      </c>
      <c r="B22226" t="inlineStr">
        <is>
          <t>x̄x̄MMCCXXV</t>
        </is>
      </c>
      <c r="C22226">
        <f>ROMAN(22225)</f>
        <v/>
      </c>
      <c r="D22226">
        <f>IF(B22226=C22226, "YES", "WRONG")</f>
        <v/>
      </c>
    </row>
    <row r="22227">
      <c r="A22227" t="n">
        <v>22226</v>
      </c>
      <c r="B22227" t="inlineStr">
        <is>
          <t>x̄x̄MMCCXXVI</t>
        </is>
      </c>
      <c r="C22227">
        <f>ROMAN(22226)</f>
        <v/>
      </c>
      <c r="D22227">
        <f>IF(B22227=C22227, "YES", "WRONG")</f>
        <v/>
      </c>
    </row>
    <row r="22228">
      <c r="A22228" t="n">
        <v>22227</v>
      </c>
      <c r="B22228" t="inlineStr">
        <is>
          <t>x̄x̄MMCCXXVII</t>
        </is>
      </c>
      <c r="C22228">
        <f>ROMAN(22227)</f>
        <v/>
      </c>
      <c r="D22228">
        <f>IF(B22228=C22228, "YES", "WRONG")</f>
        <v/>
      </c>
    </row>
    <row r="22229">
      <c r="A22229" t="n">
        <v>22228</v>
      </c>
      <c r="B22229" t="inlineStr">
        <is>
          <t>x̄x̄MMCCXXVIII</t>
        </is>
      </c>
      <c r="C22229">
        <f>ROMAN(22228)</f>
        <v/>
      </c>
      <c r="D22229">
        <f>IF(B22229=C22229, "YES", "WRONG")</f>
        <v/>
      </c>
    </row>
    <row r="22230">
      <c r="A22230" t="n">
        <v>22229</v>
      </c>
      <c r="B22230" t="inlineStr">
        <is>
          <t>x̄x̄MMCCXXIX</t>
        </is>
      </c>
      <c r="C22230">
        <f>ROMAN(22229)</f>
        <v/>
      </c>
      <c r="D22230">
        <f>IF(B22230=C22230, "YES", "WRONG")</f>
        <v/>
      </c>
    </row>
    <row r="22231">
      <c r="A22231" t="n">
        <v>22230</v>
      </c>
      <c r="B22231" t="inlineStr">
        <is>
          <t>x̄x̄MMCCXXX</t>
        </is>
      </c>
      <c r="C22231">
        <f>ROMAN(22230)</f>
        <v/>
      </c>
      <c r="D22231">
        <f>IF(B22231=C22231, "YES", "WRONG")</f>
        <v/>
      </c>
    </row>
    <row r="22232">
      <c r="A22232" t="n">
        <v>22231</v>
      </c>
      <c r="B22232" t="inlineStr">
        <is>
          <t>x̄x̄MMCCXXXI</t>
        </is>
      </c>
      <c r="C22232">
        <f>ROMAN(22231)</f>
        <v/>
      </c>
      <c r="D22232">
        <f>IF(B22232=C22232, "YES", "WRONG")</f>
        <v/>
      </c>
    </row>
    <row r="22233">
      <c r="A22233" t="n">
        <v>22232</v>
      </c>
      <c r="B22233" t="inlineStr">
        <is>
          <t>x̄x̄MMCCXXXII</t>
        </is>
      </c>
      <c r="C22233">
        <f>ROMAN(22232)</f>
        <v/>
      </c>
      <c r="D22233">
        <f>IF(B22233=C22233, "YES", "WRONG")</f>
        <v/>
      </c>
    </row>
    <row r="22234">
      <c r="A22234" t="n">
        <v>22233</v>
      </c>
      <c r="B22234" t="inlineStr">
        <is>
          <t>x̄x̄MMCCXXXIII</t>
        </is>
      </c>
      <c r="C22234">
        <f>ROMAN(22233)</f>
        <v/>
      </c>
      <c r="D22234">
        <f>IF(B22234=C22234, "YES", "WRONG")</f>
        <v/>
      </c>
    </row>
    <row r="22235">
      <c r="A22235" t="n">
        <v>22234</v>
      </c>
      <c r="B22235" t="inlineStr">
        <is>
          <t>x̄x̄MMCCXXXIV</t>
        </is>
      </c>
      <c r="C22235">
        <f>ROMAN(22234)</f>
        <v/>
      </c>
      <c r="D22235">
        <f>IF(B22235=C22235, "YES", "WRONG")</f>
        <v/>
      </c>
    </row>
    <row r="22236">
      <c r="A22236" t="n">
        <v>22235</v>
      </c>
      <c r="B22236" t="inlineStr">
        <is>
          <t>x̄x̄MMCCXXXV</t>
        </is>
      </c>
      <c r="C22236">
        <f>ROMAN(22235)</f>
        <v/>
      </c>
      <c r="D22236">
        <f>IF(B22236=C22236, "YES", "WRONG")</f>
        <v/>
      </c>
    </row>
    <row r="22237">
      <c r="A22237" t="n">
        <v>22236</v>
      </c>
      <c r="B22237" t="inlineStr">
        <is>
          <t>x̄x̄MMCCXXXVI</t>
        </is>
      </c>
      <c r="C22237">
        <f>ROMAN(22236)</f>
        <v/>
      </c>
      <c r="D22237">
        <f>IF(B22237=C22237, "YES", "WRONG")</f>
        <v/>
      </c>
    </row>
    <row r="22238">
      <c r="A22238" t="n">
        <v>22237</v>
      </c>
      <c r="B22238" t="inlineStr">
        <is>
          <t>x̄x̄MMCCXXXVII</t>
        </is>
      </c>
      <c r="C22238">
        <f>ROMAN(22237)</f>
        <v/>
      </c>
      <c r="D22238">
        <f>IF(B22238=C22238, "YES", "WRONG")</f>
        <v/>
      </c>
    </row>
    <row r="22239">
      <c r="A22239" t="n">
        <v>22238</v>
      </c>
      <c r="B22239" t="inlineStr">
        <is>
          <t>x̄x̄MMCCXXXVIII</t>
        </is>
      </c>
      <c r="C22239">
        <f>ROMAN(22238)</f>
        <v/>
      </c>
      <c r="D22239">
        <f>IF(B22239=C22239, "YES", "WRONG")</f>
        <v/>
      </c>
    </row>
    <row r="22240">
      <c r="A22240" t="n">
        <v>22239</v>
      </c>
      <c r="B22240" t="inlineStr">
        <is>
          <t>x̄x̄MMCCXXXIX</t>
        </is>
      </c>
      <c r="C22240">
        <f>ROMAN(22239)</f>
        <v/>
      </c>
      <c r="D22240">
        <f>IF(B22240=C22240, "YES", "WRONG")</f>
        <v/>
      </c>
    </row>
    <row r="22241">
      <c r="A22241" t="n">
        <v>22240</v>
      </c>
      <c r="B22241" t="inlineStr">
        <is>
          <t>x̄x̄MMCCXL</t>
        </is>
      </c>
      <c r="C22241">
        <f>ROMAN(22240)</f>
        <v/>
      </c>
      <c r="D22241">
        <f>IF(B22241=C22241, "YES", "WRONG")</f>
        <v/>
      </c>
    </row>
    <row r="22242">
      <c r="A22242" t="n">
        <v>22241</v>
      </c>
      <c r="B22242" t="inlineStr">
        <is>
          <t>x̄x̄MMCCXLI</t>
        </is>
      </c>
      <c r="C22242">
        <f>ROMAN(22241)</f>
        <v/>
      </c>
      <c r="D22242">
        <f>IF(B22242=C22242, "YES", "WRONG")</f>
        <v/>
      </c>
    </row>
    <row r="22243">
      <c r="A22243" t="n">
        <v>22242</v>
      </c>
      <c r="B22243" t="inlineStr">
        <is>
          <t>x̄x̄MMCCXLII</t>
        </is>
      </c>
      <c r="C22243">
        <f>ROMAN(22242)</f>
        <v/>
      </c>
      <c r="D22243">
        <f>IF(B22243=C22243, "YES", "WRONG")</f>
        <v/>
      </c>
    </row>
    <row r="22244">
      <c r="A22244" t="n">
        <v>22243</v>
      </c>
      <c r="B22244" t="inlineStr">
        <is>
          <t>x̄x̄MMCCXLIII</t>
        </is>
      </c>
      <c r="C22244">
        <f>ROMAN(22243)</f>
        <v/>
      </c>
      <c r="D22244">
        <f>IF(B22244=C22244, "YES", "WRONG")</f>
        <v/>
      </c>
    </row>
    <row r="22245">
      <c r="A22245" t="n">
        <v>22244</v>
      </c>
      <c r="B22245" t="inlineStr">
        <is>
          <t>x̄x̄MMCCXLIV</t>
        </is>
      </c>
      <c r="C22245">
        <f>ROMAN(22244)</f>
        <v/>
      </c>
      <c r="D22245">
        <f>IF(B22245=C22245, "YES", "WRONG")</f>
        <v/>
      </c>
    </row>
    <row r="22246">
      <c r="A22246" t="n">
        <v>22245</v>
      </c>
      <c r="B22246" t="inlineStr">
        <is>
          <t>x̄x̄MMCCXLV</t>
        </is>
      </c>
      <c r="C22246">
        <f>ROMAN(22245)</f>
        <v/>
      </c>
      <c r="D22246">
        <f>IF(B22246=C22246, "YES", "WRONG")</f>
        <v/>
      </c>
    </row>
    <row r="22247">
      <c r="A22247" t="n">
        <v>22246</v>
      </c>
      <c r="B22247" t="inlineStr">
        <is>
          <t>x̄x̄MMCCXLVI</t>
        </is>
      </c>
      <c r="C22247">
        <f>ROMAN(22246)</f>
        <v/>
      </c>
      <c r="D22247">
        <f>IF(B22247=C22247, "YES", "WRONG")</f>
        <v/>
      </c>
    </row>
    <row r="22248">
      <c r="A22248" t="n">
        <v>22247</v>
      </c>
      <c r="B22248" t="inlineStr">
        <is>
          <t>x̄x̄MMCCXLVII</t>
        </is>
      </c>
      <c r="C22248">
        <f>ROMAN(22247)</f>
        <v/>
      </c>
      <c r="D22248">
        <f>IF(B22248=C22248, "YES", "WRONG")</f>
        <v/>
      </c>
    </row>
    <row r="22249">
      <c r="A22249" t="n">
        <v>22248</v>
      </c>
      <c r="B22249" t="inlineStr">
        <is>
          <t>x̄x̄MMCCXLVIII</t>
        </is>
      </c>
      <c r="C22249">
        <f>ROMAN(22248)</f>
        <v/>
      </c>
      <c r="D22249">
        <f>IF(B22249=C22249, "YES", "WRONG")</f>
        <v/>
      </c>
    </row>
    <row r="22250">
      <c r="A22250" t="n">
        <v>22249</v>
      </c>
      <c r="B22250" t="inlineStr">
        <is>
          <t>x̄x̄MMCCXLIX</t>
        </is>
      </c>
      <c r="C22250">
        <f>ROMAN(22249)</f>
        <v/>
      </c>
      <c r="D22250">
        <f>IF(B22250=C22250, "YES", "WRONG")</f>
        <v/>
      </c>
    </row>
    <row r="22251">
      <c r="A22251" t="n">
        <v>22250</v>
      </c>
      <c r="B22251" t="inlineStr">
        <is>
          <t>x̄x̄MMCCL</t>
        </is>
      </c>
      <c r="C22251">
        <f>ROMAN(22250)</f>
        <v/>
      </c>
      <c r="D22251">
        <f>IF(B22251=C22251, "YES", "WRONG")</f>
        <v/>
      </c>
    </row>
    <row r="22252">
      <c r="A22252" t="n">
        <v>22251</v>
      </c>
      <c r="B22252" t="inlineStr">
        <is>
          <t>x̄x̄MMCCLI</t>
        </is>
      </c>
      <c r="C22252">
        <f>ROMAN(22251)</f>
        <v/>
      </c>
      <c r="D22252">
        <f>IF(B22252=C22252, "YES", "WRONG")</f>
        <v/>
      </c>
    </row>
    <row r="22253">
      <c r="A22253" t="n">
        <v>22252</v>
      </c>
      <c r="B22253" t="inlineStr">
        <is>
          <t>x̄x̄MMCCLII</t>
        </is>
      </c>
      <c r="C22253">
        <f>ROMAN(22252)</f>
        <v/>
      </c>
      <c r="D22253">
        <f>IF(B22253=C22253, "YES", "WRONG")</f>
        <v/>
      </c>
    </row>
    <row r="22254">
      <c r="A22254" t="n">
        <v>22253</v>
      </c>
      <c r="B22254" t="inlineStr">
        <is>
          <t>x̄x̄MMCCLIII</t>
        </is>
      </c>
      <c r="C22254">
        <f>ROMAN(22253)</f>
        <v/>
      </c>
      <c r="D22254">
        <f>IF(B22254=C22254, "YES", "WRONG")</f>
        <v/>
      </c>
    </row>
    <row r="22255">
      <c r="A22255" t="n">
        <v>22254</v>
      </c>
      <c r="B22255" t="inlineStr">
        <is>
          <t>x̄x̄MMCCLIV</t>
        </is>
      </c>
      <c r="C22255">
        <f>ROMAN(22254)</f>
        <v/>
      </c>
      <c r="D22255">
        <f>IF(B22255=C22255, "YES", "WRONG")</f>
        <v/>
      </c>
    </row>
    <row r="22256">
      <c r="A22256" t="n">
        <v>22255</v>
      </c>
      <c r="B22256" t="inlineStr">
        <is>
          <t>x̄x̄MMCCLV</t>
        </is>
      </c>
      <c r="C22256">
        <f>ROMAN(22255)</f>
        <v/>
      </c>
      <c r="D22256">
        <f>IF(B22256=C22256, "YES", "WRONG")</f>
        <v/>
      </c>
    </row>
    <row r="22257">
      <c r="A22257" t="n">
        <v>22256</v>
      </c>
      <c r="B22257" t="inlineStr">
        <is>
          <t>x̄x̄MMCCLVI</t>
        </is>
      </c>
      <c r="C22257">
        <f>ROMAN(22256)</f>
        <v/>
      </c>
      <c r="D22257">
        <f>IF(B22257=C22257, "YES", "WRONG")</f>
        <v/>
      </c>
    </row>
    <row r="22258">
      <c r="A22258" t="n">
        <v>22257</v>
      </c>
      <c r="B22258" t="inlineStr">
        <is>
          <t>x̄x̄MMCCLVII</t>
        </is>
      </c>
      <c r="C22258">
        <f>ROMAN(22257)</f>
        <v/>
      </c>
      <c r="D22258">
        <f>IF(B22258=C22258, "YES", "WRONG")</f>
        <v/>
      </c>
    </row>
    <row r="22259">
      <c r="A22259" t="n">
        <v>22258</v>
      </c>
      <c r="B22259" t="inlineStr">
        <is>
          <t>x̄x̄MMCCLVIII</t>
        </is>
      </c>
      <c r="C22259">
        <f>ROMAN(22258)</f>
        <v/>
      </c>
      <c r="D22259">
        <f>IF(B22259=C22259, "YES", "WRONG")</f>
        <v/>
      </c>
    </row>
    <row r="22260">
      <c r="A22260" t="n">
        <v>22259</v>
      </c>
      <c r="B22260" t="inlineStr">
        <is>
          <t>x̄x̄MMCCLIX</t>
        </is>
      </c>
      <c r="C22260">
        <f>ROMAN(22259)</f>
        <v/>
      </c>
      <c r="D22260">
        <f>IF(B22260=C22260, "YES", "WRONG")</f>
        <v/>
      </c>
    </row>
    <row r="22261">
      <c r="A22261" t="n">
        <v>22260</v>
      </c>
      <c r="B22261" t="inlineStr">
        <is>
          <t>x̄x̄MMCCLX</t>
        </is>
      </c>
      <c r="C22261">
        <f>ROMAN(22260)</f>
        <v/>
      </c>
      <c r="D22261">
        <f>IF(B22261=C22261, "YES", "WRONG")</f>
        <v/>
      </c>
    </row>
    <row r="22262">
      <c r="A22262" t="n">
        <v>22261</v>
      </c>
      <c r="B22262" t="inlineStr">
        <is>
          <t>x̄x̄MMCCLXI</t>
        </is>
      </c>
      <c r="C22262">
        <f>ROMAN(22261)</f>
        <v/>
      </c>
      <c r="D22262">
        <f>IF(B22262=C22262, "YES", "WRONG")</f>
        <v/>
      </c>
    </row>
    <row r="22263">
      <c r="A22263" t="n">
        <v>22262</v>
      </c>
      <c r="B22263" t="inlineStr">
        <is>
          <t>x̄x̄MMCCLXII</t>
        </is>
      </c>
      <c r="C22263">
        <f>ROMAN(22262)</f>
        <v/>
      </c>
      <c r="D22263">
        <f>IF(B22263=C22263, "YES", "WRONG")</f>
        <v/>
      </c>
    </row>
    <row r="22264">
      <c r="A22264" t="n">
        <v>22263</v>
      </c>
      <c r="B22264" t="inlineStr">
        <is>
          <t>x̄x̄MMCCLXIII</t>
        </is>
      </c>
      <c r="C22264">
        <f>ROMAN(22263)</f>
        <v/>
      </c>
      <c r="D22264">
        <f>IF(B22264=C22264, "YES", "WRONG")</f>
        <v/>
      </c>
    </row>
    <row r="22265">
      <c r="A22265" t="n">
        <v>22264</v>
      </c>
      <c r="B22265" t="inlineStr">
        <is>
          <t>x̄x̄MMCCLXIV</t>
        </is>
      </c>
      <c r="C22265">
        <f>ROMAN(22264)</f>
        <v/>
      </c>
      <c r="D22265">
        <f>IF(B22265=C22265, "YES", "WRONG")</f>
        <v/>
      </c>
    </row>
    <row r="22266">
      <c r="A22266" t="n">
        <v>22265</v>
      </c>
      <c r="B22266" t="inlineStr">
        <is>
          <t>x̄x̄MMCCLXV</t>
        </is>
      </c>
      <c r="C22266">
        <f>ROMAN(22265)</f>
        <v/>
      </c>
      <c r="D22266">
        <f>IF(B22266=C22266, "YES", "WRONG")</f>
        <v/>
      </c>
    </row>
    <row r="22267">
      <c r="A22267" t="n">
        <v>22266</v>
      </c>
      <c r="B22267" t="inlineStr">
        <is>
          <t>x̄x̄MMCCLXVI</t>
        </is>
      </c>
      <c r="C22267">
        <f>ROMAN(22266)</f>
        <v/>
      </c>
      <c r="D22267">
        <f>IF(B22267=C22267, "YES", "WRONG")</f>
        <v/>
      </c>
    </row>
    <row r="22268">
      <c r="A22268" t="n">
        <v>22267</v>
      </c>
      <c r="B22268" t="inlineStr">
        <is>
          <t>x̄x̄MMCCLXVII</t>
        </is>
      </c>
      <c r="C22268">
        <f>ROMAN(22267)</f>
        <v/>
      </c>
      <c r="D22268">
        <f>IF(B22268=C22268, "YES", "WRONG")</f>
        <v/>
      </c>
    </row>
    <row r="22269">
      <c r="A22269" t="n">
        <v>22268</v>
      </c>
      <c r="B22269" t="inlineStr">
        <is>
          <t>x̄x̄MMCCLXVIII</t>
        </is>
      </c>
      <c r="C22269">
        <f>ROMAN(22268)</f>
        <v/>
      </c>
      <c r="D22269">
        <f>IF(B22269=C22269, "YES", "WRONG")</f>
        <v/>
      </c>
    </row>
    <row r="22270">
      <c r="A22270" t="n">
        <v>22269</v>
      </c>
      <c r="B22270" t="inlineStr">
        <is>
          <t>x̄x̄MMCCLXIX</t>
        </is>
      </c>
      <c r="C22270">
        <f>ROMAN(22269)</f>
        <v/>
      </c>
      <c r="D22270">
        <f>IF(B22270=C22270, "YES", "WRONG")</f>
        <v/>
      </c>
    </row>
    <row r="22271">
      <c r="A22271" t="n">
        <v>22270</v>
      </c>
      <c r="B22271" t="inlineStr">
        <is>
          <t>x̄x̄MMCCLXX</t>
        </is>
      </c>
      <c r="C22271">
        <f>ROMAN(22270)</f>
        <v/>
      </c>
      <c r="D22271">
        <f>IF(B22271=C22271, "YES", "WRONG")</f>
        <v/>
      </c>
    </row>
    <row r="22272">
      <c r="A22272" t="n">
        <v>22271</v>
      </c>
      <c r="B22272" t="inlineStr">
        <is>
          <t>x̄x̄MMCCLXXI</t>
        </is>
      </c>
      <c r="C22272">
        <f>ROMAN(22271)</f>
        <v/>
      </c>
      <c r="D22272">
        <f>IF(B22272=C22272, "YES", "WRONG")</f>
        <v/>
      </c>
    </row>
    <row r="22273">
      <c r="A22273" t="n">
        <v>22272</v>
      </c>
      <c r="B22273" t="inlineStr">
        <is>
          <t>x̄x̄MMCCLXXII</t>
        </is>
      </c>
      <c r="C22273">
        <f>ROMAN(22272)</f>
        <v/>
      </c>
      <c r="D22273">
        <f>IF(B22273=C22273, "YES", "WRONG")</f>
        <v/>
      </c>
    </row>
    <row r="22274">
      <c r="A22274" t="n">
        <v>22273</v>
      </c>
      <c r="B22274" t="inlineStr">
        <is>
          <t>x̄x̄MMCCLXXIII</t>
        </is>
      </c>
      <c r="C22274">
        <f>ROMAN(22273)</f>
        <v/>
      </c>
      <c r="D22274">
        <f>IF(B22274=C22274, "YES", "WRONG")</f>
        <v/>
      </c>
    </row>
    <row r="22275">
      <c r="A22275" t="n">
        <v>22274</v>
      </c>
      <c r="B22275" t="inlineStr">
        <is>
          <t>x̄x̄MMCCLXXIV</t>
        </is>
      </c>
      <c r="C22275">
        <f>ROMAN(22274)</f>
        <v/>
      </c>
      <c r="D22275">
        <f>IF(B22275=C22275, "YES", "WRONG")</f>
        <v/>
      </c>
    </row>
    <row r="22276">
      <c r="A22276" t="n">
        <v>22275</v>
      </c>
      <c r="B22276" t="inlineStr">
        <is>
          <t>x̄x̄MMCCLXXV</t>
        </is>
      </c>
      <c r="C22276">
        <f>ROMAN(22275)</f>
        <v/>
      </c>
      <c r="D22276">
        <f>IF(B22276=C22276, "YES", "WRONG")</f>
        <v/>
      </c>
    </row>
    <row r="22277">
      <c r="A22277" t="n">
        <v>22276</v>
      </c>
      <c r="B22277" t="inlineStr">
        <is>
          <t>x̄x̄MMCCLXXVI</t>
        </is>
      </c>
      <c r="C22277">
        <f>ROMAN(22276)</f>
        <v/>
      </c>
      <c r="D22277">
        <f>IF(B22277=C22277, "YES", "WRONG")</f>
        <v/>
      </c>
    </row>
    <row r="22278">
      <c r="A22278" t="n">
        <v>22277</v>
      </c>
      <c r="B22278" t="inlineStr">
        <is>
          <t>x̄x̄MMCCLXXVII</t>
        </is>
      </c>
      <c r="C22278">
        <f>ROMAN(22277)</f>
        <v/>
      </c>
      <c r="D22278">
        <f>IF(B22278=C22278, "YES", "WRONG")</f>
        <v/>
      </c>
    </row>
    <row r="22279">
      <c r="A22279" t="n">
        <v>22278</v>
      </c>
      <c r="B22279" t="inlineStr">
        <is>
          <t>x̄x̄MMCCLXXVIII</t>
        </is>
      </c>
      <c r="C22279">
        <f>ROMAN(22278)</f>
        <v/>
      </c>
      <c r="D22279">
        <f>IF(B22279=C22279, "YES", "WRONG")</f>
        <v/>
      </c>
    </row>
    <row r="22280">
      <c r="A22280" t="n">
        <v>22279</v>
      </c>
      <c r="B22280" t="inlineStr">
        <is>
          <t>x̄x̄MMCCLXXIX</t>
        </is>
      </c>
      <c r="C22280">
        <f>ROMAN(22279)</f>
        <v/>
      </c>
      <c r="D22280">
        <f>IF(B22280=C22280, "YES", "WRONG")</f>
        <v/>
      </c>
    </row>
    <row r="22281">
      <c r="A22281" t="n">
        <v>22280</v>
      </c>
      <c r="B22281" t="inlineStr">
        <is>
          <t>x̄x̄MMCCLXXX</t>
        </is>
      </c>
      <c r="C22281">
        <f>ROMAN(22280)</f>
        <v/>
      </c>
      <c r="D22281">
        <f>IF(B22281=C22281, "YES", "WRONG")</f>
        <v/>
      </c>
    </row>
    <row r="22282">
      <c r="A22282" t="n">
        <v>22281</v>
      </c>
      <c r="B22282" t="inlineStr">
        <is>
          <t>x̄x̄MMCCLXXXI</t>
        </is>
      </c>
      <c r="C22282">
        <f>ROMAN(22281)</f>
        <v/>
      </c>
      <c r="D22282">
        <f>IF(B22282=C22282, "YES", "WRONG")</f>
        <v/>
      </c>
    </row>
    <row r="22283">
      <c r="A22283" t="n">
        <v>22282</v>
      </c>
      <c r="B22283" t="inlineStr">
        <is>
          <t>x̄x̄MMCCLXXXII</t>
        </is>
      </c>
      <c r="C22283">
        <f>ROMAN(22282)</f>
        <v/>
      </c>
      <c r="D22283">
        <f>IF(B22283=C22283, "YES", "WRONG")</f>
        <v/>
      </c>
    </row>
    <row r="22284">
      <c r="A22284" t="n">
        <v>22283</v>
      </c>
      <c r="B22284" t="inlineStr">
        <is>
          <t>x̄x̄MMCCLXXXIII</t>
        </is>
      </c>
      <c r="C22284">
        <f>ROMAN(22283)</f>
        <v/>
      </c>
      <c r="D22284">
        <f>IF(B22284=C22284, "YES", "WRONG")</f>
        <v/>
      </c>
    </row>
    <row r="22285">
      <c r="A22285" t="n">
        <v>22284</v>
      </c>
      <c r="B22285" t="inlineStr">
        <is>
          <t>x̄x̄MMCCLXXXIV</t>
        </is>
      </c>
      <c r="C22285">
        <f>ROMAN(22284)</f>
        <v/>
      </c>
      <c r="D22285">
        <f>IF(B22285=C22285, "YES", "WRONG")</f>
        <v/>
      </c>
    </row>
    <row r="22286">
      <c r="A22286" t="n">
        <v>22285</v>
      </c>
      <c r="B22286" t="inlineStr">
        <is>
          <t>x̄x̄MMCCLXXXV</t>
        </is>
      </c>
      <c r="C22286">
        <f>ROMAN(22285)</f>
        <v/>
      </c>
      <c r="D22286">
        <f>IF(B22286=C22286, "YES", "WRONG")</f>
        <v/>
      </c>
    </row>
    <row r="22287">
      <c r="A22287" t="n">
        <v>22286</v>
      </c>
      <c r="B22287" t="inlineStr">
        <is>
          <t>x̄x̄MMCCLXXXVI</t>
        </is>
      </c>
      <c r="C22287">
        <f>ROMAN(22286)</f>
        <v/>
      </c>
      <c r="D22287">
        <f>IF(B22287=C22287, "YES", "WRONG")</f>
        <v/>
      </c>
    </row>
    <row r="22288">
      <c r="A22288" t="n">
        <v>22287</v>
      </c>
      <c r="B22288" t="inlineStr">
        <is>
          <t>x̄x̄MMCCLXXXVII</t>
        </is>
      </c>
      <c r="C22288">
        <f>ROMAN(22287)</f>
        <v/>
      </c>
      <c r="D22288">
        <f>IF(B22288=C22288, "YES", "WRONG")</f>
        <v/>
      </c>
    </row>
    <row r="22289">
      <c r="A22289" t="n">
        <v>22288</v>
      </c>
      <c r="B22289" t="inlineStr">
        <is>
          <t>x̄x̄MMCCLXXXVIII</t>
        </is>
      </c>
      <c r="C22289">
        <f>ROMAN(22288)</f>
        <v/>
      </c>
      <c r="D22289">
        <f>IF(B22289=C22289, "YES", "WRONG")</f>
        <v/>
      </c>
    </row>
    <row r="22290">
      <c r="A22290" t="n">
        <v>22289</v>
      </c>
      <c r="B22290" t="inlineStr">
        <is>
          <t>x̄x̄MMCCLXXXIX</t>
        </is>
      </c>
      <c r="C22290">
        <f>ROMAN(22289)</f>
        <v/>
      </c>
      <c r="D22290">
        <f>IF(B22290=C22290, "YES", "WRONG")</f>
        <v/>
      </c>
    </row>
    <row r="22291">
      <c r="A22291" t="n">
        <v>22290</v>
      </c>
      <c r="B22291" t="inlineStr">
        <is>
          <t>x̄x̄MMCCXC</t>
        </is>
      </c>
      <c r="C22291">
        <f>ROMAN(22290)</f>
        <v/>
      </c>
      <c r="D22291">
        <f>IF(B22291=C22291, "YES", "WRONG")</f>
        <v/>
      </c>
    </row>
    <row r="22292">
      <c r="A22292" t="n">
        <v>22291</v>
      </c>
      <c r="B22292" t="inlineStr">
        <is>
          <t>x̄x̄MMCCXCI</t>
        </is>
      </c>
      <c r="C22292">
        <f>ROMAN(22291)</f>
        <v/>
      </c>
      <c r="D22292">
        <f>IF(B22292=C22292, "YES", "WRONG")</f>
        <v/>
      </c>
    </row>
    <row r="22293">
      <c r="A22293" t="n">
        <v>22292</v>
      </c>
      <c r="B22293" t="inlineStr">
        <is>
          <t>x̄x̄MMCCXCII</t>
        </is>
      </c>
      <c r="C22293">
        <f>ROMAN(22292)</f>
        <v/>
      </c>
      <c r="D22293">
        <f>IF(B22293=C22293, "YES", "WRONG")</f>
        <v/>
      </c>
    </row>
    <row r="22294">
      <c r="A22294" t="n">
        <v>22293</v>
      </c>
      <c r="B22294" t="inlineStr">
        <is>
          <t>x̄x̄MMCCXCIII</t>
        </is>
      </c>
      <c r="C22294">
        <f>ROMAN(22293)</f>
        <v/>
      </c>
      <c r="D22294">
        <f>IF(B22294=C22294, "YES", "WRONG")</f>
        <v/>
      </c>
    </row>
    <row r="22295">
      <c r="A22295" t="n">
        <v>22294</v>
      </c>
      <c r="B22295" t="inlineStr">
        <is>
          <t>x̄x̄MMCCXCIV</t>
        </is>
      </c>
      <c r="C22295">
        <f>ROMAN(22294)</f>
        <v/>
      </c>
      <c r="D22295">
        <f>IF(B22295=C22295, "YES", "WRONG")</f>
        <v/>
      </c>
    </row>
    <row r="22296">
      <c r="A22296" t="n">
        <v>22295</v>
      </c>
      <c r="B22296" t="inlineStr">
        <is>
          <t>x̄x̄MMCCXCV</t>
        </is>
      </c>
      <c r="C22296">
        <f>ROMAN(22295)</f>
        <v/>
      </c>
      <c r="D22296">
        <f>IF(B22296=C22296, "YES", "WRONG")</f>
        <v/>
      </c>
    </row>
    <row r="22297">
      <c r="A22297" t="n">
        <v>22296</v>
      </c>
      <c r="B22297" t="inlineStr">
        <is>
          <t>x̄x̄MMCCXCVI</t>
        </is>
      </c>
      <c r="C22297">
        <f>ROMAN(22296)</f>
        <v/>
      </c>
      <c r="D22297">
        <f>IF(B22297=C22297, "YES", "WRONG")</f>
        <v/>
      </c>
    </row>
    <row r="22298">
      <c r="A22298" t="n">
        <v>22297</v>
      </c>
      <c r="B22298" t="inlineStr">
        <is>
          <t>x̄x̄MMCCXCVII</t>
        </is>
      </c>
      <c r="C22298">
        <f>ROMAN(22297)</f>
        <v/>
      </c>
      <c r="D22298">
        <f>IF(B22298=C22298, "YES", "WRONG")</f>
        <v/>
      </c>
    </row>
    <row r="22299">
      <c r="A22299" t="n">
        <v>22298</v>
      </c>
      <c r="B22299" t="inlineStr">
        <is>
          <t>x̄x̄MMCCXCVIII</t>
        </is>
      </c>
      <c r="C22299">
        <f>ROMAN(22298)</f>
        <v/>
      </c>
      <c r="D22299">
        <f>IF(B22299=C22299, "YES", "WRONG")</f>
        <v/>
      </c>
    </row>
    <row r="22300">
      <c r="A22300" t="n">
        <v>22299</v>
      </c>
      <c r="B22300" t="inlineStr">
        <is>
          <t>x̄x̄MMCCXCIX</t>
        </is>
      </c>
      <c r="C22300">
        <f>ROMAN(22299)</f>
        <v/>
      </c>
      <c r="D22300">
        <f>IF(B22300=C22300, "YES", "WRONG")</f>
        <v/>
      </c>
    </row>
    <row r="22301">
      <c r="A22301" t="n">
        <v>22300</v>
      </c>
      <c r="B22301" t="inlineStr">
        <is>
          <t>x̄x̄MMCCC</t>
        </is>
      </c>
      <c r="C22301">
        <f>ROMAN(22300)</f>
        <v/>
      </c>
      <c r="D22301">
        <f>IF(B22301=C22301, "YES", "WRONG")</f>
        <v/>
      </c>
    </row>
    <row r="22302">
      <c r="A22302" t="n">
        <v>22301</v>
      </c>
      <c r="B22302" t="inlineStr">
        <is>
          <t>x̄x̄MMCCCI</t>
        </is>
      </c>
      <c r="C22302">
        <f>ROMAN(22301)</f>
        <v/>
      </c>
      <c r="D22302">
        <f>IF(B22302=C22302, "YES", "WRONG")</f>
        <v/>
      </c>
    </row>
    <row r="22303">
      <c r="A22303" t="n">
        <v>22302</v>
      </c>
      <c r="B22303" t="inlineStr">
        <is>
          <t>x̄x̄MMCCCII</t>
        </is>
      </c>
      <c r="C22303">
        <f>ROMAN(22302)</f>
        <v/>
      </c>
      <c r="D22303">
        <f>IF(B22303=C22303, "YES", "WRONG")</f>
        <v/>
      </c>
    </row>
    <row r="22304">
      <c r="A22304" t="n">
        <v>22303</v>
      </c>
      <c r="B22304" t="inlineStr">
        <is>
          <t>x̄x̄MMCCCIII</t>
        </is>
      </c>
      <c r="C22304">
        <f>ROMAN(22303)</f>
        <v/>
      </c>
      <c r="D22304">
        <f>IF(B22304=C22304, "YES", "WRONG")</f>
        <v/>
      </c>
    </row>
    <row r="22305">
      <c r="A22305" t="n">
        <v>22304</v>
      </c>
      <c r="B22305" t="inlineStr">
        <is>
          <t>x̄x̄MMCCCIV</t>
        </is>
      </c>
      <c r="C22305">
        <f>ROMAN(22304)</f>
        <v/>
      </c>
      <c r="D22305">
        <f>IF(B22305=C22305, "YES", "WRONG")</f>
        <v/>
      </c>
    </row>
    <row r="22306">
      <c r="A22306" t="n">
        <v>22305</v>
      </c>
      <c r="B22306" t="inlineStr">
        <is>
          <t>x̄x̄MMCCCV</t>
        </is>
      </c>
      <c r="C22306">
        <f>ROMAN(22305)</f>
        <v/>
      </c>
      <c r="D22306">
        <f>IF(B22306=C22306, "YES", "WRONG")</f>
        <v/>
      </c>
    </row>
    <row r="22307">
      <c r="A22307" t="n">
        <v>22306</v>
      </c>
      <c r="B22307" t="inlineStr">
        <is>
          <t>x̄x̄MMCCCVI</t>
        </is>
      </c>
      <c r="C22307">
        <f>ROMAN(22306)</f>
        <v/>
      </c>
      <c r="D22307">
        <f>IF(B22307=C22307, "YES", "WRONG")</f>
        <v/>
      </c>
    </row>
    <row r="22308">
      <c r="A22308" t="n">
        <v>22307</v>
      </c>
      <c r="B22308" t="inlineStr">
        <is>
          <t>x̄x̄MMCCCVII</t>
        </is>
      </c>
      <c r="C22308">
        <f>ROMAN(22307)</f>
        <v/>
      </c>
      <c r="D22308">
        <f>IF(B22308=C22308, "YES", "WRONG")</f>
        <v/>
      </c>
    </row>
    <row r="22309">
      <c r="A22309" t="n">
        <v>22308</v>
      </c>
      <c r="B22309" t="inlineStr">
        <is>
          <t>x̄x̄MMCCCVIII</t>
        </is>
      </c>
      <c r="C22309">
        <f>ROMAN(22308)</f>
        <v/>
      </c>
      <c r="D22309">
        <f>IF(B22309=C22309, "YES", "WRONG")</f>
        <v/>
      </c>
    </row>
    <row r="22310">
      <c r="A22310" t="n">
        <v>22309</v>
      </c>
      <c r="B22310" t="inlineStr">
        <is>
          <t>x̄x̄MMCCCIX</t>
        </is>
      </c>
      <c r="C22310">
        <f>ROMAN(22309)</f>
        <v/>
      </c>
      <c r="D22310">
        <f>IF(B22310=C22310, "YES", "WRONG")</f>
        <v/>
      </c>
    </row>
    <row r="22311">
      <c r="A22311" t="n">
        <v>22310</v>
      </c>
      <c r="B22311" t="inlineStr">
        <is>
          <t>x̄x̄MMCCCX</t>
        </is>
      </c>
      <c r="C22311">
        <f>ROMAN(22310)</f>
        <v/>
      </c>
      <c r="D22311">
        <f>IF(B22311=C22311, "YES", "WRONG")</f>
        <v/>
      </c>
    </row>
    <row r="22312">
      <c r="A22312" t="n">
        <v>22311</v>
      </c>
      <c r="B22312" t="inlineStr">
        <is>
          <t>x̄x̄MMCCCXI</t>
        </is>
      </c>
      <c r="C22312">
        <f>ROMAN(22311)</f>
        <v/>
      </c>
      <c r="D22312">
        <f>IF(B22312=C22312, "YES", "WRONG")</f>
        <v/>
      </c>
    </row>
    <row r="22313">
      <c r="A22313" t="n">
        <v>22312</v>
      </c>
      <c r="B22313" t="inlineStr">
        <is>
          <t>x̄x̄MMCCCXII</t>
        </is>
      </c>
      <c r="C22313">
        <f>ROMAN(22312)</f>
        <v/>
      </c>
      <c r="D22313">
        <f>IF(B22313=C22313, "YES", "WRONG")</f>
        <v/>
      </c>
    </row>
    <row r="22314">
      <c r="A22314" t="n">
        <v>22313</v>
      </c>
      <c r="B22314" t="inlineStr">
        <is>
          <t>x̄x̄MMCCCXIII</t>
        </is>
      </c>
      <c r="C22314">
        <f>ROMAN(22313)</f>
        <v/>
      </c>
      <c r="D22314">
        <f>IF(B22314=C22314, "YES", "WRONG")</f>
        <v/>
      </c>
    </row>
    <row r="22315">
      <c r="A22315" t="n">
        <v>22314</v>
      </c>
      <c r="B22315" t="inlineStr">
        <is>
          <t>x̄x̄MMCCCXIV</t>
        </is>
      </c>
      <c r="C22315">
        <f>ROMAN(22314)</f>
        <v/>
      </c>
      <c r="D22315">
        <f>IF(B22315=C22315, "YES", "WRONG")</f>
        <v/>
      </c>
    </row>
    <row r="22316">
      <c r="A22316" t="n">
        <v>22315</v>
      </c>
      <c r="B22316" t="inlineStr">
        <is>
          <t>x̄x̄MMCCCXV</t>
        </is>
      </c>
      <c r="C22316">
        <f>ROMAN(22315)</f>
        <v/>
      </c>
      <c r="D22316">
        <f>IF(B22316=C22316, "YES", "WRONG")</f>
        <v/>
      </c>
    </row>
    <row r="22317">
      <c r="A22317" t="n">
        <v>22316</v>
      </c>
      <c r="B22317" t="inlineStr">
        <is>
          <t>x̄x̄MMCCCXVI</t>
        </is>
      </c>
      <c r="C22317">
        <f>ROMAN(22316)</f>
        <v/>
      </c>
      <c r="D22317">
        <f>IF(B22317=C22317, "YES", "WRONG")</f>
        <v/>
      </c>
    </row>
    <row r="22318">
      <c r="A22318" t="n">
        <v>22317</v>
      </c>
      <c r="B22318" t="inlineStr">
        <is>
          <t>x̄x̄MMCCCXVII</t>
        </is>
      </c>
      <c r="C22318">
        <f>ROMAN(22317)</f>
        <v/>
      </c>
      <c r="D22318">
        <f>IF(B22318=C22318, "YES", "WRONG")</f>
        <v/>
      </c>
    </row>
    <row r="22319">
      <c r="A22319" t="n">
        <v>22318</v>
      </c>
      <c r="B22319" t="inlineStr">
        <is>
          <t>x̄x̄MMCCCXVIII</t>
        </is>
      </c>
      <c r="C22319">
        <f>ROMAN(22318)</f>
        <v/>
      </c>
      <c r="D22319">
        <f>IF(B22319=C22319, "YES", "WRONG")</f>
        <v/>
      </c>
    </row>
    <row r="22320">
      <c r="A22320" t="n">
        <v>22319</v>
      </c>
      <c r="B22320" t="inlineStr">
        <is>
          <t>x̄x̄MMCCCXIX</t>
        </is>
      </c>
      <c r="C22320">
        <f>ROMAN(22319)</f>
        <v/>
      </c>
      <c r="D22320">
        <f>IF(B22320=C22320, "YES", "WRONG")</f>
        <v/>
      </c>
    </row>
    <row r="22321">
      <c r="A22321" t="n">
        <v>22320</v>
      </c>
      <c r="B22321" t="inlineStr">
        <is>
          <t>x̄x̄MMCCCXX</t>
        </is>
      </c>
      <c r="C22321">
        <f>ROMAN(22320)</f>
        <v/>
      </c>
      <c r="D22321">
        <f>IF(B22321=C22321, "YES", "WRONG")</f>
        <v/>
      </c>
    </row>
    <row r="22322">
      <c r="A22322" t="n">
        <v>22321</v>
      </c>
      <c r="B22322" t="inlineStr">
        <is>
          <t>x̄x̄MMCCCXXI</t>
        </is>
      </c>
      <c r="C22322">
        <f>ROMAN(22321)</f>
        <v/>
      </c>
      <c r="D22322">
        <f>IF(B22322=C22322, "YES", "WRONG")</f>
        <v/>
      </c>
    </row>
    <row r="22323">
      <c r="A22323" t="n">
        <v>22322</v>
      </c>
      <c r="B22323" t="inlineStr">
        <is>
          <t>x̄x̄MMCCCXXII</t>
        </is>
      </c>
      <c r="C22323">
        <f>ROMAN(22322)</f>
        <v/>
      </c>
      <c r="D22323">
        <f>IF(B22323=C22323, "YES", "WRONG")</f>
        <v/>
      </c>
    </row>
    <row r="22324">
      <c r="A22324" t="n">
        <v>22323</v>
      </c>
      <c r="B22324" t="inlineStr">
        <is>
          <t>x̄x̄MMCCCXXIII</t>
        </is>
      </c>
      <c r="C22324">
        <f>ROMAN(22323)</f>
        <v/>
      </c>
      <c r="D22324">
        <f>IF(B22324=C22324, "YES", "WRONG")</f>
        <v/>
      </c>
    </row>
    <row r="22325">
      <c r="A22325" t="n">
        <v>22324</v>
      </c>
      <c r="B22325" t="inlineStr">
        <is>
          <t>x̄x̄MMCCCXXIV</t>
        </is>
      </c>
      <c r="C22325">
        <f>ROMAN(22324)</f>
        <v/>
      </c>
      <c r="D22325">
        <f>IF(B22325=C22325, "YES", "WRONG")</f>
        <v/>
      </c>
    </row>
    <row r="22326">
      <c r="A22326" t="n">
        <v>22325</v>
      </c>
      <c r="B22326" t="inlineStr">
        <is>
          <t>x̄x̄MMCCCXXV</t>
        </is>
      </c>
      <c r="C22326">
        <f>ROMAN(22325)</f>
        <v/>
      </c>
      <c r="D22326">
        <f>IF(B22326=C22326, "YES", "WRONG")</f>
        <v/>
      </c>
    </row>
    <row r="22327">
      <c r="A22327" t="n">
        <v>22326</v>
      </c>
      <c r="B22327" t="inlineStr">
        <is>
          <t>x̄x̄MMCCCXXVI</t>
        </is>
      </c>
      <c r="C22327">
        <f>ROMAN(22326)</f>
        <v/>
      </c>
      <c r="D22327">
        <f>IF(B22327=C22327, "YES", "WRONG")</f>
        <v/>
      </c>
    </row>
    <row r="22328">
      <c r="A22328" t="n">
        <v>22327</v>
      </c>
      <c r="B22328" t="inlineStr">
        <is>
          <t>x̄x̄MMCCCXXVII</t>
        </is>
      </c>
      <c r="C22328">
        <f>ROMAN(22327)</f>
        <v/>
      </c>
      <c r="D22328">
        <f>IF(B22328=C22328, "YES", "WRONG")</f>
        <v/>
      </c>
    </row>
    <row r="22329">
      <c r="A22329" t="n">
        <v>22328</v>
      </c>
      <c r="B22329" t="inlineStr">
        <is>
          <t>x̄x̄MMCCCXXVIII</t>
        </is>
      </c>
      <c r="C22329">
        <f>ROMAN(22328)</f>
        <v/>
      </c>
      <c r="D22329">
        <f>IF(B22329=C22329, "YES", "WRONG")</f>
        <v/>
      </c>
    </row>
    <row r="22330">
      <c r="A22330" t="n">
        <v>22329</v>
      </c>
      <c r="B22330" t="inlineStr">
        <is>
          <t>x̄x̄MMCCCXXIX</t>
        </is>
      </c>
      <c r="C22330">
        <f>ROMAN(22329)</f>
        <v/>
      </c>
      <c r="D22330">
        <f>IF(B22330=C22330, "YES", "WRONG")</f>
        <v/>
      </c>
    </row>
    <row r="22331">
      <c r="A22331" t="n">
        <v>22330</v>
      </c>
      <c r="B22331" t="inlineStr">
        <is>
          <t>x̄x̄MMCCCXXX</t>
        </is>
      </c>
      <c r="C22331">
        <f>ROMAN(22330)</f>
        <v/>
      </c>
      <c r="D22331">
        <f>IF(B22331=C22331, "YES", "WRONG")</f>
        <v/>
      </c>
    </row>
    <row r="22332">
      <c r="A22332" t="n">
        <v>22331</v>
      </c>
      <c r="B22332" t="inlineStr">
        <is>
          <t>x̄x̄MMCCCXXXI</t>
        </is>
      </c>
      <c r="C22332">
        <f>ROMAN(22331)</f>
        <v/>
      </c>
      <c r="D22332">
        <f>IF(B22332=C22332, "YES", "WRONG")</f>
        <v/>
      </c>
    </row>
    <row r="22333">
      <c r="A22333" t="n">
        <v>22332</v>
      </c>
      <c r="B22333" t="inlineStr">
        <is>
          <t>x̄x̄MMCCCXXXII</t>
        </is>
      </c>
      <c r="C22333">
        <f>ROMAN(22332)</f>
        <v/>
      </c>
      <c r="D22333">
        <f>IF(B22333=C22333, "YES", "WRONG")</f>
        <v/>
      </c>
    </row>
    <row r="22334">
      <c r="A22334" t="n">
        <v>22333</v>
      </c>
      <c r="B22334" t="inlineStr">
        <is>
          <t>x̄x̄MMCCCXXXIII</t>
        </is>
      </c>
      <c r="C22334">
        <f>ROMAN(22333)</f>
        <v/>
      </c>
      <c r="D22334">
        <f>IF(B22334=C22334, "YES", "WRONG")</f>
        <v/>
      </c>
    </row>
    <row r="22335">
      <c r="A22335" t="n">
        <v>22334</v>
      </c>
      <c r="B22335" t="inlineStr">
        <is>
          <t>x̄x̄MMCCCXXXIV</t>
        </is>
      </c>
      <c r="C22335">
        <f>ROMAN(22334)</f>
        <v/>
      </c>
      <c r="D22335">
        <f>IF(B22335=C22335, "YES", "WRONG")</f>
        <v/>
      </c>
    </row>
    <row r="22336">
      <c r="A22336" t="n">
        <v>22335</v>
      </c>
      <c r="B22336" t="inlineStr">
        <is>
          <t>x̄x̄MMCCCXXXV</t>
        </is>
      </c>
      <c r="C22336">
        <f>ROMAN(22335)</f>
        <v/>
      </c>
      <c r="D22336">
        <f>IF(B22336=C22336, "YES", "WRONG")</f>
        <v/>
      </c>
    </row>
    <row r="22337">
      <c r="A22337" t="n">
        <v>22336</v>
      </c>
      <c r="B22337" t="inlineStr">
        <is>
          <t>x̄x̄MMCCCXXXVI</t>
        </is>
      </c>
      <c r="C22337">
        <f>ROMAN(22336)</f>
        <v/>
      </c>
      <c r="D22337">
        <f>IF(B22337=C22337, "YES", "WRONG")</f>
        <v/>
      </c>
    </row>
    <row r="22338">
      <c r="A22338" t="n">
        <v>22337</v>
      </c>
      <c r="B22338" t="inlineStr">
        <is>
          <t>x̄x̄MMCCCXXXVII</t>
        </is>
      </c>
      <c r="C22338">
        <f>ROMAN(22337)</f>
        <v/>
      </c>
      <c r="D22338">
        <f>IF(B22338=C22338, "YES", "WRONG")</f>
        <v/>
      </c>
    </row>
    <row r="22339">
      <c r="A22339" t="n">
        <v>22338</v>
      </c>
      <c r="B22339" t="inlineStr">
        <is>
          <t>x̄x̄MMCCCXXXVIII</t>
        </is>
      </c>
      <c r="C22339">
        <f>ROMAN(22338)</f>
        <v/>
      </c>
      <c r="D22339">
        <f>IF(B22339=C22339, "YES", "WRONG")</f>
        <v/>
      </c>
    </row>
    <row r="22340">
      <c r="A22340" t="n">
        <v>22339</v>
      </c>
      <c r="B22340" t="inlineStr">
        <is>
          <t>x̄x̄MMCCCXXXIX</t>
        </is>
      </c>
      <c r="C22340">
        <f>ROMAN(22339)</f>
        <v/>
      </c>
      <c r="D22340">
        <f>IF(B22340=C22340, "YES", "WRONG")</f>
        <v/>
      </c>
    </row>
    <row r="22341">
      <c r="A22341" t="n">
        <v>22340</v>
      </c>
      <c r="B22341" t="inlineStr">
        <is>
          <t>x̄x̄MMCCCXL</t>
        </is>
      </c>
      <c r="C22341">
        <f>ROMAN(22340)</f>
        <v/>
      </c>
      <c r="D22341">
        <f>IF(B22341=C22341, "YES", "WRONG")</f>
        <v/>
      </c>
    </row>
    <row r="22342">
      <c r="A22342" t="n">
        <v>22341</v>
      </c>
      <c r="B22342" t="inlineStr">
        <is>
          <t>x̄x̄MMCCCXLI</t>
        </is>
      </c>
      <c r="C22342">
        <f>ROMAN(22341)</f>
        <v/>
      </c>
      <c r="D22342">
        <f>IF(B22342=C22342, "YES", "WRONG")</f>
        <v/>
      </c>
    </row>
    <row r="22343">
      <c r="A22343" t="n">
        <v>22342</v>
      </c>
      <c r="B22343" t="inlineStr">
        <is>
          <t>x̄x̄MMCCCXLII</t>
        </is>
      </c>
      <c r="C22343">
        <f>ROMAN(22342)</f>
        <v/>
      </c>
      <c r="D22343">
        <f>IF(B22343=C22343, "YES", "WRONG")</f>
        <v/>
      </c>
    </row>
    <row r="22344">
      <c r="A22344" t="n">
        <v>22343</v>
      </c>
      <c r="B22344" t="inlineStr">
        <is>
          <t>x̄x̄MMCCCXLIII</t>
        </is>
      </c>
      <c r="C22344">
        <f>ROMAN(22343)</f>
        <v/>
      </c>
      <c r="D22344">
        <f>IF(B22344=C22344, "YES", "WRONG")</f>
        <v/>
      </c>
    </row>
    <row r="22345">
      <c r="A22345" t="n">
        <v>22344</v>
      </c>
      <c r="B22345" t="inlineStr">
        <is>
          <t>x̄x̄MMCCCXLIV</t>
        </is>
      </c>
      <c r="C22345">
        <f>ROMAN(22344)</f>
        <v/>
      </c>
      <c r="D22345">
        <f>IF(B22345=C22345, "YES", "WRONG")</f>
        <v/>
      </c>
    </row>
    <row r="22346">
      <c r="A22346" t="n">
        <v>22345</v>
      </c>
      <c r="B22346" t="inlineStr">
        <is>
          <t>x̄x̄MMCCCXLV</t>
        </is>
      </c>
      <c r="C22346">
        <f>ROMAN(22345)</f>
        <v/>
      </c>
      <c r="D22346">
        <f>IF(B22346=C22346, "YES", "WRONG")</f>
        <v/>
      </c>
    </row>
    <row r="22347">
      <c r="A22347" t="n">
        <v>22346</v>
      </c>
      <c r="B22347" t="inlineStr">
        <is>
          <t>x̄x̄MMCCCXLVI</t>
        </is>
      </c>
      <c r="C22347">
        <f>ROMAN(22346)</f>
        <v/>
      </c>
      <c r="D22347">
        <f>IF(B22347=C22347, "YES", "WRONG")</f>
        <v/>
      </c>
    </row>
    <row r="22348">
      <c r="A22348" t="n">
        <v>22347</v>
      </c>
      <c r="B22348" t="inlineStr">
        <is>
          <t>x̄x̄MMCCCXLVII</t>
        </is>
      </c>
      <c r="C22348">
        <f>ROMAN(22347)</f>
        <v/>
      </c>
      <c r="D22348">
        <f>IF(B22348=C22348, "YES", "WRONG")</f>
        <v/>
      </c>
    </row>
    <row r="22349">
      <c r="A22349" t="n">
        <v>22348</v>
      </c>
      <c r="B22349" t="inlineStr">
        <is>
          <t>x̄x̄MMCCCXLVIII</t>
        </is>
      </c>
      <c r="C22349">
        <f>ROMAN(22348)</f>
        <v/>
      </c>
      <c r="D22349">
        <f>IF(B22349=C22349, "YES", "WRONG")</f>
        <v/>
      </c>
    </row>
    <row r="22350">
      <c r="A22350" t="n">
        <v>22349</v>
      </c>
      <c r="B22350" t="inlineStr">
        <is>
          <t>x̄x̄MMCCCXLIX</t>
        </is>
      </c>
      <c r="C22350">
        <f>ROMAN(22349)</f>
        <v/>
      </c>
      <c r="D22350">
        <f>IF(B22350=C22350, "YES", "WRONG")</f>
        <v/>
      </c>
    </row>
    <row r="22351">
      <c r="A22351" t="n">
        <v>22350</v>
      </c>
      <c r="B22351" t="inlineStr">
        <is>
          <t>x̄x̄MMCCCL</t>
        </is>
      </c>
      <c r="C22351">
        <f>ROMAN(22350)</f>
        <v/>
      </c>
      <c r="D22351">
        <f>IF(B22351=C22351, "YES", "WRONG")</f>
        <v/>
      </c>
    </row>
    <row r="22352">
      <c r="A22352" t="n">
        <v>22351</v>
      </c>
      <c r="B22352" t="inlineStr">
        <is>
          <t>x̄x̄MMCCCLI</t>
        </is>
      </c>
      <c r="C22352">
        <f>ROMAN(22351)</f>
        <v/>
      </c>
      <c r="D22352">
        <f>IF(B22352=C22352, "YES", "WRONG")</f>
        <v/>
      </c>
    </row>
    <row r="22353">
      <c r="A22353" t="n">
        <v>22352</v>
      </c>
      <c r="B22353" t="inlineStr">
        <is>
          <t>x̄x̄MMCCCLII</t>
        </is>
      </c>
      <c r="C22353">
        <f>ROMAN(22352)</f>
        <v/>
      </c>
      <c r="D22353">
        <f>IF(B22353=C22353, "YES", "WRONG")</f>
        <v/>
      </c>
    </row>
    <row r="22354">
      <c r="A22354" t="n">
        <v>22353</v>
      </c>
      <c r="B22354" t="inlineStr">
        <is>
          <t>x̄x̄MMCCCLIII</t>
        </is>
      </c>
      <c r="C22354">
        <f>ROMAN(22353)</f>
        <v/>
      </c>
      <c r="D22354">
        <f>IF(B22354=C22354, "YES", "WRONG")</f>
        <v/>
      </c>
    </row>
    <row r="22355">
      <c r="A22355" t="n">
        <v>22354</v>
      </c>
      <c r="B22355" t="inlineStr">
        <is>
          <t>x̄x̄MMCCCLIV</t>
        </is>
      </c>
      <c r="C22355">
        <f>ROMAN(22354)</f>
        <v/>
      </c>
      <c r="D22355">
        <f>IF(B22355=C22355, "YES", "WRONG")</f>
        <v/>
      </c>
    </row>
    <row r="22356">
      <c r="A22356" t="n">
        <v>22355</v>
      </c>
      <c r="B22356" t="inlineStr">
        <is>
          <t>x̄x̄MMCCCLV</t>
        </is>
      </c>
      <c r="C22356">
        <f>ROMAN(22355)</f>
        <v/>
      </c>
      <c r="D22356">
        <f>IF(B22356=C22356, "YES", "WRONG")</f>
        <v/>
      </c>
    </row>
    <row r="22357">
      <c r="A22357" t="n">
        <v>22356</v>
      </c>
      <c r="B22357" t="inlineStr">
        <is>
          <t>x̄x̄MMCCCLVI</t>
        </is>
      </c>
      <c r="C22357">
        <f>ROMAN(22356)</f>
        <v/>
      </c>
      <c r="D22357">
        <f>IF(B22357=C22357, "YES", "WRONG")</f>
        <v/>
      </c>
    </row>
    <row r="22358">
      <c r="A22358" t="n">
        <v>22357</v>
      </c>
      <c r="B22358" t="inlineStr">
        <is>
          <t>x̄x̄MMCCCLVII</t>
        </is>
      </c>
      <c r="C22358">
        <f>ROMAN(22357)</f>
        <v/>
      </c>
      <c r="D22358">
        <f>IF(B22358=C22358, "YES", "WRONG")</f>
        <v/>
      </c>
    </row>
    <row r="22359">
      <c r="A22359" t="n">
        <v>22358</v>
      </c>
      <c r="B22359" t="inlineStr">
        <is>
          <t>x̄x̄MMCCCLVIII</t>
        </is>
      </c>
      <c r="C22359">
        <f>ROMAN(22358)</f>
        <v/>
      </c>
      <c r="D22359">
        <f>IF(B22359=C22359, "YES", "WRONG")</f>
        <v/>
      </c>
    </row>
    <row r="22360">
      <c r="A22360" t="n">
        <v>22359</v>
      </c>
      <c r="B22360" t="inlineStr">
        <is>
          <t>x̄x̄MMCCCLIX</t>
        </is>
      </c>
      <c r="C22360">
        <f>ROMAN(22359)</f>
        <v/>
      </c>
      <c r="D22360">
        <f>IF(B22360=C22360, "YES", "WRONG")</f>
        <v/>
      </c>
    </row>
    <row r="22361">
      <c r="A22361" t="n">
        <v>22360</v>
      </c>
      <c r="B22361" t="inlineStr">
        <is>
          <t>x̄x̄MMCCCLX</t>
        </is>
      </c>
      <c r="C22361">
        <f>ROMAN(22360)</f>
        <v/>
      </c>
      <c r="D22361">
        <f>IF(B22361=C22361, "YES", "WRONG")</f>
        <v/>
      </c>
    </row>
    <row r="22362">
      <c r="A22362" t="n">
        <v>22361</v>
      </c>
      <c r="B22362" t="inlineStr">
        <is>
          <t>x̄x̄MMCCCLXI</t>
        </is>
      </c>
      <c r="C22362">
        <f>ROMAN(22361)</f>
        <v/>
      </c>
      <c r="D22362">
        <f>IF(B22362=C22362, "YES", "WRONG")</f>
        <v/>
      </c>
    </row>
    <row r="22363">
      <c r="A22363" t="n">
        <v>22362</v>
      </c>
      <c r="B22363" t="inlineStr">
        <is>
          <t>x̄x̄MMCCCLXII</t>
        </is>
      </c>
      <c r="C22363">
        <f>ROMAN(22362)</f>
        <v/>
      </c>
      <c r="D22363">
        <f>IF(B22363=C22363, "YES", "WRONG")</f>
        <v/>
      </c>
    </row>
    <row r="22364">
      <c r="A22364" t="n">
        <v>22363</v>
      </c>
      <c r="B22364" t="inlineStr">
        <is>
          <t>x̄x̄MMCCCLXIII</t>
        </is>
      </c>
      <c r="C22364">
        <f>ROMAN(22363)</f>
        <v/>
      </c>
      <c r="D22364">
        <f>IF(B22364=C22364, "YES", "WRONG")</f>
        <v/>
      </c>
    </row>
    <row r="22365">
      <c r="A22365" t="n">
        <v>22364</v>
      </c>
      <c r="B22365" t="inlineStr">
        <is>
          <t>x̄x̄MMCCCLXIV</t>
        </is>
      </c>
      <c r="C22365">
        <f>ROMAN(22364)</f>
        <v/>
      </c>
      <c r="D22365">
        <f>IF(B22365=C22365, "YES", "WRONG")</f>
        <v/>
      </c>
    </row>
    <row r="22366">
      <c r="A22366" t="n">
        <v>22365</v>
      </c>
      <c r="B22366" t="inlineStr">
        <is>
          <t>x̄x̄MMCCCLXV</t>
        </is>
      </c>
      <c r="C22366">
        <f>ROMAN(22365)</f>
        <v/>
      </c>
      <c r="D22366">
        <f>IF(B22366=C22366, "YES", "WRONG")</f>
        <v/>
      </c>
    </row>
    <row r="22367">
      <c r="A22367" t="n">
        <v>22366</v>
      </c>
      <c r="B22367" t="inlineStr">
        <is>
          <t>x̄x̄MMCCCLXVI</t>
        </is>
      </c>
      <c r="C22367">
        <f>ROMAN(22366)</f>
        <v/>
      </c>
      <c r="D22367">
        <f>IF(B22367=C22367, "YES", "WRONG")</f>
        <v/>
      </c>
    </row>
    <row r="22368">
      <c r="A22368" t="n">
        <v>22367</v>
      </c>
      <c r="B22368" t="inlineStr">
        <is>
          <t>x̄x̄MMCCCLXVII</t>
        </is>
      </c>
      <c r="C22368">
        <f>ROMAN(22367)</f>
        <v/>
      </c>
      <c r="D22368">
        <f>IF(B22368=C22368, "YES", "WRONG")</f>
        <v/>
      </c>
    </row>
    <row r="22369">
      <c r="A22369" t="n">
        <v>22368</v>
      </c>
      <c r="B22369" t="inlineStr">
        <is>
          <t>x̄x̄MMCCCLXVIII</t>
        </is>
      </c>
      <c r="C22369">
        <f>ROMAN(22368)</f>
        <v/>
      </c>
      <c r="D22369">
        <f>IF(B22369=C22369, "YES", "WRONG")</f>
        <v/>
      </c>
    </row>
    <row r="22370">
      <c r="A22370" t="n">
        <v>22369</v>
      </c>
      <c r="B22370" t="inlineStr">
        <is>
          <t>x̄x̄MMCCCLXIX</t>
        </is>
      </c>
      <c r="C22370">
        <f>ROMAN(22369)</f>
        <v/>
      </c>
      <c r="D22370">
        <f>IF(B22370=C22370, "YES", "WRONG")</f>
        <v/>
      </c>
    </row>
    <row r="22371">
      <c r="A22371" t="n">
        <v>22370</v>
      </c>
      <c r="B22371" t="inlineStr">
        <is>
          <t>x̄x̄MMCCCLXX</t>
        </is>
      </c>
      <c r="C22371">
        <f>ROMAN(22370)</f>
        <v/>
      </c>
      <c r="D22371">
        <f>IF(B22371=C22371, "YES", "WRONG")</f>
        <v/>
      </c>
    </row>
    <row r="22372">
      <c r="A22372" t="n">
        <v>22371</v>
      </c>
      <c r="B22372" t="inlineStr">
        <is>
          <t>x̄x̄MMCCCLXXI</t>
        </is>
      </c>
      <c r="C22372">
        <f>ROMAN(22371)</f>
        <v/>
      </c>
      <c r="D22372">
        <f>IF(B22372=C22372, "YES", "WRONG")</f>
        <v/>
      </c>
    </row>
    <row r="22373">
      <c r="A22373" t="n">
        <v>22372</v>
      </c>
      <c r="B22373" t="inlineStr">
        <is>
          <t>x̄x̄MMCCCLXXII</t>
        </is>
      </c>
      <c r="C22373">
        <f>ROMAN(22372)</f>
        <v/>
      </c>
      <c r="D22373">
        <f>IF(B22373=C22373, "YES", "WRONG")</f>
        <v/>
      </c>
    </row>
    <row r="22374">
      <c r="A22374" t="n">
        <v>22373</v>
      </c>
      <c r="B22374" t="inlineStr">
        <is>
          <t>x̄x̄MMCCCLXXIII</t>
        </is>
      </c>
      <c r="C22374">
        <f>ROMAN(22373)</f>
        <v/>
      </c>
      <c r="D22374">
        <f>IF(B22374=C22374, "YES", "WRONG")</f>
        <v/>
      </c>
    </row>
    <row r="22375">
      <c r="A22375" t="n">
        <v>22374</v>
      </c>
      <c r="B22375" t="inlineStr">
        <is>
          <t>x̄x̄MMCCCLXXIV</t>
        </is>
      </c>
      <c r="C22375">
        <f>ROMAN(22374)</f>
        <v/>
      </c>
      <c r="D22375">
        <f>IF(B22375=C22375, "YES", "WRONG")</f>
        <v/>
      </c>
    </row>
    <row r="22376">
      <c r="A22376" t="n">
        <v>22375</v>
      </c>
      <c r="B22376" t="inlineStr">
        <is>
          <t>x̄x̄MMCCCLXXV</t>
        </is>
      </c>
      <c r="C22376">
        <f>ROMAN(22375)</f>
        <v/>
      </c>
      <c r="D22376">
        <f>IF(B22376=C22376, "YES", "WRONG")</f>
        <v/>
      </c>
    </row>
    <row r="22377">
      <c r="A22377" t="n">
        <v>22376</v>
      </c>
      <c r="B22377" t="inlineStr">
        <is>
          <t>x̄x̄MMCCCLXXVI</t>
        </is>
      </c>
      <c r="C22377">
        <f>ROMAN(22376)</f>
        <v/>
      </c>
      <c r="D22377">
        <f>IF(B22377=C22377, "YES", "WRONG")</f>
        <v/>
      </c>
    </row>
    <row r="22378">
      <c r="A22378" t="n">
        <v>22377</v>
      </c>
      <c r="B22378" t="inlineStr">
        <is>
          <t>x̄x̄MMCCCLXXVII</t>
        </is>
      </c>
      <c r="C22378">
        <f>ROMAN(22377)</f>
        <v/>
      </c>
      <c r="D22378">
        <f>IF(B22378=C22378, "YES", "WRONG")</f>
        <v/>
      </c>
    </row>
    <row r="22379">
      <c r="A22379" t="n">
        <v>22378</v>
      </c>
      <c r="B22379" t="inlineStr">
        <is>
          <t>x̄x̄MMCCCLXXVIII</t>
        </is>
      </c>
      <c r="C22379">
        <f>ROMAN(22378)</f>
        <v/>
      </c>
      <c r="D22379">
        <f>IF(B22379=C22379, "YES", "WRONG")</f>
        <v/>
      </c>
    </row>
    <row r="22380">
      <c r="A22380" t="n">
        <v>22379</v>
      </c>
      <c r="B22380" t="inlineStr">
        <is>
          <t>x̄x̄MMCCCLXXIX</t>
        </is>
      </c>
      <c r="C22380">
        <f>ROMAN(22379)</f>
        <v/>
      </c>
      <c r="D22380">
        <f>IF(B22380=C22380, "YES", "WRONG")</f>
        <v/>
      </c>
    </row>
    <row r="22381">
      <c r="A22381" t="n">
        <v>22380</v>
      </c>
      <c r="B22381" t="inlineStr">
        <is>
          <t>x̄x̄MMCCCLXXX</t>
        </is>
      </c>
      <c r="C22381">
        <f>ROMAN(22380)</f>
        <v/>
      </c>
      <c r="D22381">
        <f>IF(B22381=C22381, "YES", "WRONG")</f>
        <v/>
      </c>
    </row>
    <row r="22382">
      <c r="A22382" t="n">
        <v>22381</v>
      </c>
      <c r="B22382" t="inlineStr">
        <is>
          <t>x̄x̄MMCCCLXXXI</t>
        </is>
      </c>
      <c r="C22382">
        <f>ROMAN(22381)</f>
        <v/>
      </c>
      <c r="D22382">
        <f>IF(B22382=C22382, "YES", "WRONG")</f>
        <v/>
      </c>
    </row>
    <row r="22383">
      <c r="A22383" t="n">
        <v>22382</v>
      </c>
      <c r="B22383" t="inlineStr">
        <is>
          <t>x̄x̄MMCCCLXXXII</t>
        </is>
      </c>
      <c r="C22383">
        <f>ROMAN(22382)</f>
        <v/>
      </c>
      <c r="D22383">
        <f>IF(B22383=C22383, "YES", "WRONG")</f>
        <v/>
      </c>
    </row>
    <row r="22384">
      <c r="A22384" t="n">
        <v>22383</v>
      </c>
      <c r="B22384" t="inlineStr">
        <is>
          <t>x̄x̄MMCCCLXXXIII</t>
        </is>
      </c>
      <c r="C22384">
        <f>ROMAN(22383)</f>
        <v/>
      </c>
      <c r="D22384">
        <f>IF(B22384=C22384, "YES", "WRONG")</f>
        <v/>
      </c>
    </row>
    <row r="22385">
      <c r="A22385" t="n">
        <v>22384</v>
      </c>
      <c r="B22385" t="inlineStr">
        <is>
          <t>x̄x̄MMCCCLXXXIV</t>
        </is>
      </c>
      <c r="C22385">
        <f>ROMAN(22384)</f>
        <v/>
      </c>
      <c r="D22385">
        <f>IF(B22385=C22385, "YES", "WRONG")</f>
        <v/>
      </c>
    </row>
    <row r="22386">
      <c r="A22386" t="n">
        <v>22385</v>
      </c>
      <c r="B22386" t="inlineStr">
        <is>
          <t>x̄x̄MMCCCLXXXV</t>
        </is>
      </c>
      <c r="C22386">
        <f>ROMAN(22385)</f>
        <v/>
      </c>
      <c r="D22386">
        <f>IF(B22386=C22386, "YES", "WRONG")</f>
        <v/>
      </c>
    </row>
    <row r="22387">
      <c r="A22387" t="n">
        <v>22386</v>
      </c>
      <c r="B22387" t="inlineStr">
        <is>
          <t>x̄x̄MMCCCLXXXVI</t>
        </is>
      </c>
      <c r="C22387">
        <f>ROMAN(22386)</f>
        <v/>
      </c>
      <c r="D22387">
        <f>IF(B22387=C22387, "YES", "WRONG")</f>
        <v/>
      </c>
    </row>
    <row r="22388">
      <c r="A22388" t="n">
        <v>22387</v>
      </c>
      <c r="B22388" t="inlineStr">
        <is>
          <t>x̄x̄MMCCCLXXXVII</t>
        </is>
      </c>
      <c r="C22388">
        <f>ROMAN(22387)</f>
        <v/>
      </c>
      <c r="D22388">
        <f>IF(B22388=C22388, "YES", "WRONG")</f>
        <v/>
      </c>
    </row>
    <row r="22389">
      <c r="A22389" t="n">
        <v>22388</v>
      </c>
      <c r="B22389" t="inlineStr">
        <is>
          <t>x̄x̄MMCCCLXXXVIII</t>
        </is>
      </c>
      <c r="C22389">
        <f>ROMAN(22388)</f>
        <v/>
      </c>
      <c r="D22389">
        <f>IF(B22389=C22389, "YES", "WRONG")</f>
        <v/>
      </c>
    </row>
    <row r="22390">
      <c r="A22390" t="n">
        <v>22389</v>
      </c>
      <c r="B22390" t="inlineStr">
        <is>
          <t>x̄x̄MMCCCLXXXIX</t>
        </is>
      </c>
      <c r="C22390">
        <f>ROMAN(22389)</f>
        <v/>
      </c>
      <c r="D22390">
        <f>IF(B22390=C22390, "YES", "WRONG")</f>
        <v/>
      </c>
    </row>
    <row r="22391">
      <c r="A22391" t="n">
        <v>22390</v>
      </c>
      <c r="B22391" t="inlineStr">
        <is>
          <t>x̄x̄MMCCCXC</t>
        </is>
      </c>
      <c r="C22391">
        <f>ROMAN(22390)</f>
        <v/>
      </c>
      <c r="D22391">
        <f>IF(B22391=C22391, "YES", "WRONG")</f>
        <v/>
      </c>
    </row>
    <row r="22392">
      <c r="A22392" t="n">
        <v>22391</v>
      </c>
      <c r="B22392" t="inlineStr">
        <is>
          <t>x̄x̄MMCCCXCI</t>
        </is>
      </c>
      <c r="C22392">
        <f>ROMAN(22391)</f>
        <v/>
      </c>
      <c r="D22392">
        <f>IF(B22392=C22392, "YES", "WRONG")</f>
        <v/>
      </c>
    </row>
    <row r="22393">
      <c r="A22393" t="n">
        <v>22392</v>
      </c>
      <c r="B22393" t="inlineStr">
        <is>
          <t>x̄x̄MMCCCXCII</t>
        </is>
      </c>
      <c r="C22393">
        <f>ROMAN(22392)</f>
        <v/>
      </c>
      <c r="D22393">
        <f>IF(B22393=C22393, "YES", "WRONG")</f>
        <v/>
      </c>
    </row>
    <row r="22394">
      <c r="A22394" t="n">
        <v>22393</v>
      </c>
      <c r="B22394" t="inlineStr">
        <is>
          <t>x̄x̄MMCCCXCIII</t>
        </is>
      </c>
      <c r="C22394">
        <f>ROMAN(22393)</f>
        <v/>
      </c>
      <c r="D22394">
        <f>IF(B22394=C22394, "YES", "WRONG")</f>
        <v/>
      </c>
    </row>
    <row r="22395">
      <c r="A22395" t="n">
        <v>22394</v>
      </c>
      <c r="B22395" t="inlineStr">
        <is>
          <t>x̄x̄MMCCCXCIV</t>
        </is>
      </c>
      <c r="C22395">
        <f>ROMAN(22394)</f>
        <v/>
      </c>
      <c r="D22395">
        <f>IF(B22395=C22395, "YES", "WRONG")</f>
        <v/>
      </c>
    </row>
    <row r="22396">
      <c r="A22396" t="n">
        <v>22395</v>
      </c>
      <c r="B22396" t="inlineStr">
        <is>
          <t>x̄x̄MMCCCXCV</t>
        </is>
      </c>
      <c r="C22396">
        <f>ROMAN(22395)</f>
        <v/>
      </c>
      <c r="D22396">
        <f>IF(B22396=C22396, "YES", "WRONG")</f>
        <v/>
      </c>
    </row>
    <row r="22397">
      <c r="A22397" t="n">
        <v>22396</v>
      </c>
      <c r="B22397" t="inlineStr">
        <is>
          <t>x̄x̄MMCCCXCVI</t>
        </is>
      </c>
      <c r="C22397">
        <f>ROMAN(22396)</f>
        <v/>
      </c>
      <c r="D22397">
        <f>IF(B22397=C22397, "YES", "WRONG")</f>
        <v/>
      </c>
    </row>
    <row r="22398">
      <c r="A22398" t="n">
        <v>22397</v>
      </c>
      <c r="B22398" t="inlineStr">
        <is>
          <t>x̄x̄MMCCCXCVII</t>
        </is>
      </c>
      <c r="C22398">
        <f>ROMAN(22397)</f>
        <v/>
      </c>
      <c r="D22398">
        <f>IF(B22398=C22398, "YES", "WRONG")</f>
        <v/>
      </c>
    </row>
    <row r="22399">
      <c r="A22399" t="n">
        <v>22398</v>
      </c>
      <c r="B22399" t="inlineStr">
        <is>
          <t>x̄x̄MMCCCXCVIII</t>
        </is>
      </c>
      <c r="C22399">
        <f>ROMAN(22398)</f>
        <v/>
      </c>
      <c r="D22399">
        <f>IF(B22399=C22399, "YES", "WRONG")</f>
        <v/>
      </c>
    </row>
    <row r="22400">
      <c r="A22400" t="n">
        <v>22399</v>
      </c>
      <c r="B22400" t="inlineStr">
        <is>
          <t>x̄x̄MMCCCXCIX</t>
        </is>
      </c>
      <c r="C22400">
        <f>ROMAN(22399)</f>
        <v/>
      </c>
      <c r="D22400">
        <f>IF(B22400=C22400, "YES", "WRONG")</f>
        <v/>
      </c>
    </row>
    <row r="22401">
      <c r="A22401" t="n">
        <v>22400</v>
      </c>
      <c r="B22401" t="inlineStr">
        <is>
          <t>x̄x̄MMCD</t>
        </is>
      </c>
      <c r="C22401">
        <f>ROMAN(22400)</f>
        <v/>
      </c>
      <c r="D22401">
        <f>IF(B22401=C22401, "YES", "WRONG")</f>
        <v/>
      </c>
    </row>
    <row r="22402">
      <c r="A22402" t="n">
        <v>22401</v>
      </c>
      <c r="B22402" t="inlineStr">
        <is>
          <t>x̄x̄MMCDI</t>
        </is>
      </c>
      <c r="C22402">
        <f>ROMAN(22401)</f>
        <v/>
      </c>
      <c r="D22402">
        <f>IF(B22402=C22402, "YES", "WRONG")</f>
        <v/>
      </c>
    </row>
    <row r="22403">
      <c r="A22403" t="n">
        <v>22402</v>
      </c>
      <c r="B22403" t="inlineStr">
        <is>
          <t>x̄x̄MMCDII</t>
        </is>
      </c>
      <c r="C22403">
        <f>ROMAN(22402)</f>
        <v/>
      </c>
      <c r="D22403">
        <f>IF(B22403=C22403, "YES", "WRONG")</f>
        <v/>
      </c>
    </row>
    <row r="22404">
      <c r="A22404" t="n">
        <v>22403</v>
      </c>
      <c r="B22404" t="inlineStr">
        <is>
          <t>x̄x̄MMCDIII</t>
        </is>
      </c>
      <c r="C22404">
        <f>ROMAN(22403)</f>
        <v/>
      </c>
      <c r="D22404">
        <f>IF(B22404=C22404, "YES", "WRONG")</f>
        <v/>
      </c>
    </row>
    <row r="22405">
      <c r="A22405" t="n">
        <v>22404</v>
      </c>
      <c r="B22405" t="inlineStr">
        <is>
          <t>x̄x̄MMCDIV</t>
        </is>
      </c>
      <c r="C22405">
        <f>ROMAN(22404)</f>
        <v/>
      </c>
      <c r="D22405">
        <f>IF(B22405=C22405, "YES", "WRONG")</f>
        <v/>
      </c>
    </row>
    <row r="22406">
      <c r="A22406" t="n">
        <v>22405</v>
      </c>
      <c r="B22406" t="inlineStr">
        <is>
          <t>x̄x̄MMCDV</t>
        </is>
      </c>
      <c r="C22406">
        <f>ROMAN(22405)</f>
        <v/>
      </c>
      <c r="D22406">
        <f>IF(B22406=C22406, "YES", "WRONG")</f>
        <v/>
      </c>
    </row>
    <row r="22407">
      <c r="A22407" t="n">
        <v>22406</v>
      </c>
      <c r="B22407" t="inlineStr">
        <is>
          <t>x̄x̄MMCDVI</t>
        </is>
      </c>
      <c r="C22407">
        <f>ROMAN(22406)</f>
        <v/>
      </c>
      <c r="D22407">
        <f>IF(B22407=C22407, "YES", "WRONG")</f>
        <v/>
      </c>
    </row>
    <row r="22408">
      <c r="A22408" t="n">
        <v>22407</v>
      </c>
      <c r="B22408" t="inlineStr">
        <is>
          <t>x̄x̄MMCDVII</t>
        </is>
      </c>
      <c r="C22408">
        <f>ROMAN(22407)</f>
        <v/>
      </c>
      <c r="D22408">
        <f>IF(B22408=C22408, "YES", "WRONG")</f>
        <v/>
      </c>
    </row>
    <row r="22409">
      <c r="A22409" t="n">
        <v>22408</v>
      </c>
      <c r="B22409" t="inlineStr">
        <is>
          <t>x̄x̄MMCDVIII</t>
        </is>
      </c>
      <c r="C22409">
        <f>ROMAN(22408)</f>
        <v/>
      </c>
      <c r="D22409">
        <f>IF(B22409=C22409, "YES", "WRONG")</f>
        <v/>
      </c>
    </row>
    <row r="22410">
      <c r="A22410" t="n">
        <v>22409</v>
      </c>
      <c r="B22410" t="inlineStr">
        <is>
          <t>x̄x̄MMCDIX</t>
        </is>
      </c>
      <c r="C22410">
        <f>ROMAN(22409)</f>
        <v/>
      </c>
      <c r="D22410">
        <f>IF(B22410=C22410, "YES", "WRONG")</f>
        <v/>
      </c>
    </row>
    <row r="22411">
      <c r="A22411" t="n">
        <v>22410</v>
      </c>
      <c r="B22411" t="inlineStr">
        <is>
          <t>x̄x̄MMCDX</t>
        </is>
      </c>
      <c r="C22411">
        <f>ROMAN(22410)</f>
        <v/>
      </c>
      <c r="D22411">
        <f>IF(B22411=C22411, "YES", "WRONG")</f>
        <v/>
      </c>
    </row>
    <row r="22412">
      <c r="A22412" t="n">
        <v>22411</v>
      </c>
      <c r="B22412" t="inlineStr">
        <is>
          <t>x̄x̄MMCDXI</t>
        </is>
      </c>
      <c r="C22412">
        <f>ROMAN(22411)</f>
        <v/>
      </c>
      <c r="D22412">
        <f>IF(B22412=C22412, "YES", "WRONG")</f>
        <v/>
      </c>
    </row>
    <row r="22413">
      <c r="A22413" t="n">
        <v>22412</v>
      </c>
      <c r="B22413" t="inlineStr">
        <is>
          <t>x̄x̄MMCDXII</t>
        </is>
      </c>
      <c r="C22413">
        <f>ROMAN(22412)</f>
        <v/>
      </c>
      <c r="D22413">
        <f>IF(B22413=C22413, "YES", "WRONG")</f>
        <v/>
      </c>
    </row>
    <row r="22414">
      <c r="A22414" t="n">
        <v>22413</v>
      </c>
      <c r="B22414" t="inlineStr">
        <is>
          <t>x̄x̄MMCDXIII</t>
        </is>
      </c>
      <c r="C22414">
        <f>ROMAN(22413)</f>
        <v/>
      </c>
      <c r="D22414">
        <f>IF(B22414=C22414, "YES", "WRONG")</f>
        <v/>
      </c>
    </row>
    <row r="22415">
      <c r="A22415" t="n">
        <v>22414</v>
      </c>
      <c r="B22415" t="inlineStr">
        <is>
          <t>x̄x̄MMCDXIV</t>
        </is>
      </c>
      <c r="C22415">
        <f>ROMAN(22414)</f>
        <v/>
      </c>
      <c r="D22415">
        <f>IF(B22415=C22415, "YES", "WRONG")</f>
        <v/>
      </c>
    </row>
    <row r="22416">
      <c r="A22416" t="n">
        <v>22415</v>
      </c>
      <c r="B22416" t="inlineStr">
        <is>
          <t>x̄x̄MMCDXV</t>
        </is>
      </c>
      <c r="C22416">
        <f>ROMAN(22415)</f>
        <v/>
      </c>
      <c r="D22416">
        <f>IF(B22416=C22416, "YES", "WRONG")</f>
        <v/>
      </c>
    </row>
    <row r="22417">
      <c r="A22417" t="n">
        <v>22416</v>
      </c>
      <c r="B22417" t="inlineStr">
        <is>
          <t>x̄x̄MMCDXVI</t>
        </is>
      </c>
      <c r="C22417">
        <f>ROMAN(22416)</f>
        <v/>
      </c>
      <c r="D22417">
        <f>IF(B22417=C22417, "YES", "WRONG")</f>
        <v/>
      </c>
    </row>
    <row r="22418">
      <c r="A22418" t="n">
        <v>22417</v>
      </c>
      <c r="B22418" t="inlineStr">
        <is>
          <t>x̄x̄MMCDXVII</t>
        </is>
      </c>
      <c r="C22418">
        <f>ROMAN(22417)</f>
        <v/>
      </c>
      <c r="D22418">
        <f>IF(B22418=C22418, "YES", "WRONG")</f>
        <v/>
      </c>
    </row>
    <row r="22419">
      <c r="A22419" t="n">
        <v>22418</v>
      </c>
      <c r="B22419" t="inlineStr">
        <is>
          <t>x̄x̄MMCDXVIII</t>
        </is>
      </c>
      <c r="C22419">
        <f>ROMAN(22418)</f>
        <v/>
      </c>
      <c r="D22419">
        <f>IF(B22419=C22419, "YES", "WRONG")</f>
        <v/>
      </c>
    </row>
    <row r="22420">
      <c r="A22420" t="n">
        <v>22419</v>
      </c>
      <c r="B22420" t="inlineStr">
        <is>
          <t>x̄x̄MMCDXIX</t>
        </is>
      </c>
      <c r="C22420">
        <f>ROMAN(22419)</f>
        <v/>
      </c>
      <c r="D22420">
        <f>IF(B22420=C22420, "YES", "WRONG")</f>
        <v/>
      </c>
    </row>
    <row r="22421">
      <c r="A22421" t="n">
        <v>22420</v>
      </c>
      <c r="B22421" t="inlineStr">
        <is>
          <t>x̄x̄MMCDXX</t>
        </is>
      </c>
      <c r="C22421">
        <f>ROMAN(22420)</f>
        <v/>
      </c>
      <c r="D22421">
        <f>IF(B22421=C22421, "YES", "WRONG")</f>
        <v/>
      </c>
    </row>
    <row r="22422">
      <c r="A22422" t="n">
        <v>22421</v>
      </c>
      <c r="B22422" t="inlineStr">
        <is>
          <t>x̄x̄MMCDXXI</t>
        </is>
      </c>
      <c r="C22422">
        <f>ROMAN(22421)</f>
        <v/>
      </c>
      <c r="D22422">
        <f>IF(B22422=C22422, "YES", "WRONG")</f>
        <v/>
      </c>
    </row>
    <row r="22423">
      <c r="A22423" t="n">
        <v>22422</v>
      </c>
      <c r="B22423" t="inlineStr">
        <is>
          <t>x̄x̄MMCDXXII</t>
        </is>
      </c>
      <c r="C22423">
        <f>ROMAN(22422)</f>
        <v/>
      </c>
      <c r="D22423">
        <f>IF(B22423=C22423, "YES", "WRONG")</f>
        <v/>
      </c>
    </row>
    <row r="22424">
      <c r="A22424" t="n">
        <v>22423</v>
      </c>
      <c r="B22424" t="inlineStr">
        <is>
          <t>x̄x̄MMCDXXIII</t>
        </is>
      </c>
      <c r="C22424">
        <f>ROMAN(22423)</f>
        <v/>
      </c>
      <c r="D22424">
        <f>IF(B22424=C22424, "YES", "WRONG")</f>
        <v/>
      </c>
    </row>
    <row r="22425">
      <c r="A22425" t="n">
        <v>22424</v>
      </c>
      <c r="B22425" t="inlineStr">
        <is>
          <t>x̄x̄MMCDXXIV</t>
        </is>
      </c>
      <c r="C22425">
        <f>ROMAN(22424)</f>
        <v/>
      </c>
      <c r="D22425">
        <f>IF(B22425=C22425, "YES", "WRONG")</f>
        <v/>
      </c>
    </row>
    <row r="22426">
      <c r="A22426" t="n">
        <v>22425</v>
      </c>
      <c r="B22426" t="inlineStr">
        <is>
          <t>x̄x̄MMCDXXV</t>
        </is>
      </c>
      <c r="C22426">
        <f>ROMAN(22425)</f>
        <v/>
      </c>
      <c r="D22426">
        <f>IF(B22426=C22426, "YES", "WRONG")</f>
        <v/>
      </c>
    </row>
    <row r="22427">
      <c r="A22427" t="n">
        <v>22426</v>
      </c>
      <c r="B22427" t="inlineStr">
        <is>
          <t>x̄x̄MMCDXXVI</t>
        </is>
      </c>
      <c r="C22427">
        <f>ROMAN(22426)</f>
        <v/>
      </c>
      <c r="D22427">
        <f>IF(B22427=C22427, "YES", "WRONG")</f>
        <v/>
      </c>
    </row>
    <row r="22428">
      <c r="A22428" t="n">
        <v>22427</v>
      </c>
      <c r="B22428" t="inlineStr">
        <is>
          <t>x̄x̄MMCDXXVII</t>
        </is>
      </c>
      <c r="C22428">
        <f>ROMAN(22427)</f>
        <v/>
      </c>
      <c r="D22428">
        <f>IF(B22428=C22428, "YES", "WRONG")</f>
        <v/>
      </c>
    </row>
    <row r="22429">
      <c r="A22429" t="n">
        <v>22428</v>
      </c>
      <c r="B22429" t="inlineStr">
        <is>
          <t>x̄x̄MMCDXXVIII</t>
        </is>
      </c>
      <c r="C22429">
        <f>ROMAN(22428)</f>
        <v/>
      </c>
      <c r="D22429">
        <f>IF(B22429=C22429, "YES", "WRONG")</f>
        <v/>
      </c>
    </row>
    <row r="22430">
      <c r="A22430" t="n">
        <v>22429</v>
      </c>
      <c r="B22430" t="inlineStr">
        <is>
          <t>x̄x̄MMCDXXIX</t>
        </is>
      </c>
      <c r="C22430">
        <f>ROMAN(22429)</f>
        <v/>
      </c>
      <c r="D22430">
        <f>IF(B22430=C22430, "YES", "WRONG")</f>
        <v/>
      </c>
    </row>
    <row r="22431">
      <c r="A22431" t="n">
        <v>22430</v>
      </c>
      <c r="B22431" t="inlineStr">
        <is>
          <t>x̄x̄MMCDXXX</t>
        </is>
      </c>
      <c r="C22431">
        <f>ROMAN(22430)</f>
        <v/>
      </c>
      <c r="D22431">
        <f>IF(B22431=C22431, "YES", "WRONG")</f>
        <v/>
      </c>
    </row>
    <row r="22432">
      <c r="A22432" t="n">
        <v>22431</v>
      </c>
      <c r="B22432" t="inlineStr">
        <is>
          <t>x̄x̄MMCDXXXI</t>
        </is>
      </c>
      <c r="C22432">
        <f>ROMAN(22431)</f>
        <v/>
      </c>
      <c r="D22432">
        <f>IF(B22432=C22432, "YES", "WRONG")</f>
        <v/>
      </c>
    </row>
    <row r="22433">
      <c r="A22433" t="n">
        <v>22432</v>
      </c>
      <c r="B22433" t="inlineStr">
        <is>
          <t>x̄x̄MMCDXXXII</t>
        </is>
      </c>
      <c r="C22433">
        <f>ROMAN(22432)</f>
        <v/>
      </c>
      <c r="D22433">
        <f>IF(B22433=C22433, "YES", "WRONG")</f>
        <v/>
      </c>
    </row>
    <row r="22434">
      <c r="A22434" t="n">
        <v>22433</v>
      </c>
      <c r="B22434" t="inlineStr">
        <is>
          <t>x̄x̄MMCDXXXIII</t>
        </is>
      </c>
      <c r="C22434">
        <f>ROMAN(22433)</f>
        <v/>
      </c>
      <c r="D22434">
        <f>IF(B22434=C22434, "YES", "WRONG")</f>
        <v/>
      </c>
    </row>
    <row r="22435">
      <c r="A22435" t="n">
        <v>22434</v>
      </c>
      <c r="B22435" t="inlineStr">
        <is>
          <t>x̄x̄MMCDXXXIV</t>
        </is>
      </c>
      <c r="C22435">
        <f>ROMAN(22434)</f>
        <v/>
      </c>
      <c r="D22435">
        <f>IF(B22435=C22435, "YES", "WRONG")</f>
        <v/>
      </c>
    </row>
    <row r="22436">
      <c r="A22436" t="n">
        <v>22435</v>
      </c>
      <c r="B22436" t="inlineStr">
        <is>
          <t>x̄x̄MMCDXXXV</t>
        </is>
      </c>
      <c r="C22436">
        <f>ROMAN(22435)</f>
        <v/>
      </c>
      <c r="D22436">
        <f>IF(B22436=C22436, "YES", "WRONG")</f>
        <v/>
      </c>
    </row>
    <row r="22437">
      <c r="A22437" t="n">
        <v>22436</v>
      </c>
      <c r="B22437" t="inlineStr">
        <is>
          <t>x̄x̄MMCDXXXVI</t>
        </is>
      </c>
      <c r="C22437">
        <f>ROMAN(22436)</f>
        <v/>
      </c>
      <c r="D22437">
        <f>IF(B22437=C22437, "YES", "WRONG")</f>
        <v/>
      </c>
    </row>
    <row r="22438">
      <c r="A22438" t="n">
        <v>22437</v>
      </c>
      <c r="B22438" t="inlineStr">
        <is>
          <t>x̄x̄MMCDXXXVII</t>
        </is>
      </c>
      <c r="C22438">
        <f>ROMAN(22437)</f>
        <v/>
      </c>
      <c r="D22438">
        <f>IF(B22438=C22438, "YES", "WRONG")</f>
        <v/>
      </c>
    </row>
    <row r="22439">
      <c r="A22439" t="n">
        <v>22438</v>
      </c>
      <c r="B22439" t="inlineStr">
        <is>
          <t>x̄x̄MMCDXXXVIII</t>
        </is>
      </c>
      <c r="C22439">
        <f>ROMAN(22438)</f>
        <v/>
      </c>
      <c r="D22439">
        <f>IF(B22439=C22439, "YES", "WRONG")</f>
        <v/>
      </c>
    </row>
    <row r="22440">
      <c r="A22440" t="n">
        <v>22439</v>
      </c>
      <c r="B22440" t="inlineStr">
        <is>
          <t>x̄x̄MMCDXXXIX</t>
        </is>
      </c>
      <c r="C22440">
        <f>ROMAN(22439)</f>
        <v/>
      </c>
      <c r="D22440">
        <f>IF(B22440=C22440, "YES", "WRONG")</f>
        <v/>
      </c>
    </row>
    <row r="22441">
      <c r="A22441" t="n">
        <v>22440</v>
      </c>
      <c r="B22441" t="inlineStr">
        <is>
          <t>x̄x̄MMCDXL</t>
        </is>
      </c>
      <c r="C22441">
        <f>ROMAN(22440)</f>
        <v/>
      </c>
      <c r="D22441">
        <f>IF(B22441=C22441, "YES", "WRONG")</f>
        <v/>
      </c>
    </row>
    <row r="22442">
      <c r="A22442" t="n">
        <v>22441</v>
      </c>
      <c r="B22442" t="inlineStr">
        <is>
          <t>x̄x̄MMCDXLI</t>
        </is>
      </c>
      <c r="C22442">
        <f>ROMAN(22441)</f>
        <v/>
      </c>
      <c r="D22442">
        <f>IF(B22442=C22442, "YES", "WRONG")</f>
        <v/>
      </c>
    </row>
    <row r="22443">
      <c r="A22443" t="n">
        <v>22442</v>
      </c>
      <c r="B22443" t="inlineStr">
        <is>
          <t>x̄x̄MMCDXLII</t>
        </is>
      </c>
      <c r="C22443">
        <f>ROMAN(22442)</f>
        <v/>
      </c>
      <c r="D22443">
        <f>IF(B22443=C22443, "YES", "WRONG")</f>
        <v/>
      </c>
    </row>
    <row r="22444">
      <c r="A22444" t="n">
        <v>22443</v>
      </c>
      <c r="B22444" t="inlineStr">
        <is>
          <t>x̄x̄MMCDXLIII</t>
        </is>
      </c>
      <c r="C22444">
        <f>ROMAN(22443)</f>
        <v/>
      </c>
      <c r="D22444">
        <f>IF(B22444=C22444, "YES", "WRONG")</f>
        <v/>
      </c>
    </row>
    <row r="22445">
      <c r="A22445" t="n">
        <v>22444</v>
      </c>
      <c r="B22445" t="inlineStr">
        <is>
          <t>x̄x̄MMCDXLIV</t>
        </is>
      </c>
      <c r="C22445">
        <f>ROMAN(22444)</f>
        <v/>
      </c>
      <c r="D22445">
        <f>IF(B22445=C22445, "YES", "WRONG")</f>
        <v/>
      </c>
    </row>
    <row r="22446">
      <c r="A22446" t="n">
        <v>22445</v>
      </c>
      <c r="B22446" t="inlineStr">
        <is>
          <t>x̄x̄MMCDXLV</t>
        </is>
      </c>
      <c r="C22446">
        <f>ROMAN(22445)</f>
        <v/>
      </c>
      <c r="D22446">
        <f>IF(B22446=C22446, "YES", "WRONG")</f>
        <v/>
      </c>
    </row>
    <row r="22447">
      <c r="A22447" t="n">
        <v>22446</v>
      </c>
      <c r="B22447" t="inlineStr">
        <is>
          <t>x̄x̄MMCDXLVI</t>
        </is>
      </c>
      <c r="C22447">
        <f>ROMAN(22446)</f>
        <v/>
      </c>
      <c r="D22447">
        <f>IF(B22447=C22447, "YES", "WRONG")</f>
        <v/>
      </c>
    </row>
    <row r="22448">
      <c r="A22448" t="n">
        <v>22447</v>
      </c>
      <c r="B22448" t="inlineStr">
        <is>
          <t>x̄x̄MMCDXLVII</t>
        </is>
      </c>
      <c r="C22448">
        <f>ROMAN(22447)</f>
        <v/>
      </c>
      <c r="D22448">
        <f>IF(B22448=C22448, "YES", "WRONG")</f>
        <v/>
      </c>
    </row>
    <row r="22449">
      <c r="A22449" t="n">
        <v>22448</v>
      </c>
      <c r="B22449" t="inlineStr">
        <is>
          <t>x̄x̄MMCDXLVIII</t>
        </is>
      </c>
      <c r="C22449">
        <f>ROMAN(22448)</f>
        <v/>
      </c>
      <c r="D22449">
        <f>IF(B22449=C22449, "YES", "WRONG")</f>
        <v/>
      </c>
    </row>
    <row r="22450">
      <c r="A22450" t="n">
        <v>22449</v>
      </c>
      <c r="B22450" t="inlineStr">
        <is>
          <t>x̄x̄MMCDXLIX</t>
        </is>
      </c>
      <c r="C22450">
        <f>ROMAN(22449)</f>
        <v/>
      </c>
      <c r="D22450">
        <f>IF(B22450=C22450, "YES", "WRONG")</f>
        <v/>
      </c>
    </row>
    <row r="22451">
      <c r="A22451" t="n">
        <v>22450</v>
      </c>
      <c r="B22451" t="inlineStr">
        <is>
          <t>x̄x̄MMCDL</t>
        </is>
      </c>
      <c r="C22451">
        <f>ROMAN(22450)</f>
        <v/>
      </c>
      <c r="D22451">
        <f>IF(B22451=C22451, "YES", "WRONG")</f>
        <v/>
      </c>
    </row>
    <row r="22452">
      <c r="A22452" t="n">
        <v>22451</v>
      </c>
      <c r="B22452" t="inlineStr">
        <is>
          <t>x̄x̄MMCDLI</t>
        </is>
      </c>
      <c r="C22452">
        <f>ROMAN(22451)</f>
        <v/>
      </c>
      <c r="D22452">
        <f>IF(B22452=C22452, "YES", "WRONG")</f>
        <v/>
      </c>
    </row>
    <row r="22453">
      <c r="A22453" t="n">
        <v>22452</v>
      </c>
      <c r="B22453" t="inlineStr">
        <is>
          <t>x̄x̄MMCDLII</t>
        </is>
      </c>
      <c r="C22453">
        <f>ROMAN(22452)</f>
        <v/>
      </c>
      <c r="D22453">
        <f>IF(B22453=C22453, "YES", "WRONG")</f>
        <v/>
      </c>
    </row>
    <row r="22454">
      <c r="A22454" t="n">
        <v>22453</v>
      </c>
      <c r="B22454" t="inlineStr">
        <is>
          <t>x̄x̄MMCDLIII</t>
        </is>
      </c>
      <c r="C22454">
        <f>ROMAN(22453)</f>
        <v/>
      </c>
      <c r="D22454">
        <f>IF(B22454=C22454, "YES", "WRONG")</f>
        <v/>
      </c>
    </row>
    <row r="22455">
      <c r="A22455" t="n">
        <v>22454</v>
      </c>
      <c r="B22455" t="inlineStr">
        <is>
          <t>x̄x̄MMCDLIV</t>
        </is>
      </c>
      <c r="C22455">
        <f>ROMAN(22454)</f>
        <v/>
      </c>
      <c r="D22455">
        <f>IF(B22455=C22455, "YES", "WRONG")</f>
        <v/>
      </c>
    </row>
    <row r="22456">
      <c r="A22456" t="n">
        <v>22455</v>
      </c>
      <c r="B22456" t="inlineStr">
        <is>
          <t>x̄x̄MMCDLV</t>
        </is>
      </c>
      <c r="C22456">
        <f>ROMAN(22455)</f>
        <v/>
      </c>
      <c r="D22456">
        <f>IF(B22456=C22456, "YES", "WRONG")</f>
        <v/>
      </c>
    </row>
    <row r="22457">
      <c r="A22457" t="n">
        <v>22456</v>
      </c>
      <c r="B22457" t="inlineStr">
        <is>
          <t>x̄x̄MMCDLVI</t>
        </is>
      </c>
      <c r="C22457">
        <f>ROMAN(22456)</f>
        <v/>
      </c>
      <c r="D22457">
        <f>IF(B22457=C22457, "YES", "WRONG")</f>
        <v/>
      </c>
    </row>
    <row r="22458">
      <c r="A22458" t="n">
        <v>22457</v>
      </c>
      <c r="B22458" t="inlineStr">
        <is>
          <t>x̄x̄MMCDLVII</t>
        </is>
      </c>
      <c r="C22458">
        <f>ROMAN(22457)</f>
        <v/>
      </c>
      <c r="D22458">
        <f>IF(B22458=C22458, "YES", "WRONG")</f>
        <v/>
      </c>
    </row>
    <row r="22459">
      <c r="A22459" t="n">
        <v>22458</v>
      </c>
      <c r="B22459" t="inlineStr">
        <is>
          <t>x̄x̄MMCDLVIII</t>
        </is>
      </c>
      <c r="C22459">
        <f>ROMAN(22458)</f>
        <v/>
      </c>
      <c r="D22459">
        <f>IF(B22459=C22459, "YES", "WRONG")</f>
        <v/>
      </c>
    </row>
    <row r="22460">
      <c r="A22460" t="n">
        <v>22459</v>
      </c>
      <c r="B22460" t="inlineStr">
        <is>
          <t>x̄x̄MMCDLIX</t>
        </is>
      </c>
      <c r="C22460">
        <f>ROMAN(22459)</f>
        <v/>
      </c>
      <c r="D22460">
        <f>IF(B22460=C22460, "YES", "WRONG")</f>
        <v/>
      </c>
    </row>
    <row r="22461">
      <c r="A22461" t="n">
        <v>22460</v>
      </c>
      <c r="B22461" t="inlineStr">
        <is>
          <t>x̄x̄MMCDLX</t>
        </is>
      </c>
      <c r="C22461">
        <f>ROMAN(22460)</f>
        <v/>
      </c>
      <c r="D22461">
        <f>IF(B22461=C22461, "YES", "WRONG")</f>
        <v/>
      </c>
    </row>
    <row r="22462">
      <c r="A22462" t="n">
        <v>22461</v>
      </c>
      <c r="B22462" t="inlineStr">
        <is>
          <t>x̄x̄MMCDLXI</t>
        </is>
      </c>
      <c r="C22462">
        <f>ROMAN(22461)</f>
        <v/>
      </c>
      <c r="D22462">
        <f>IF(B22462=C22462, "YES", "WRONG")</f>
        <v/>
      </c>
    </row>
    <row r="22463">
      <c r="A22463" t="n">
        <v>22462</v>
      </c>
      <c r="B22463" t="inlineStr">
        <is>
          <t>x̄x̄MMCDLXII</t>
        </is>
      </c>
      <c r="C22463">
        <f>ROMAN(22462)</f>
        <v/>
      </c>
      <c r="D22463">
        <f>IF(B22463=C22463, "YES", "WRONG")</f>
        <v/>
      </c>
    </row>
    <row r="22464">
      <c r="A22464" t="n">
        <v>22463</v>
      </c>
      <c r="B22464" t="inlineStr">
        <is>
          <t>x̄x̄MMCDLXIII</t>
        </is>
      </c>
      <c r="C22464">
        <f>ROMAN(22463)</f>
        <v/>
      </c>
      <c r="D22464">
        <f>IF(B22464=C22464, "YES", "WRONG")</f>
        <v/>
      </c>
    </row>
    <row r="22465">
      <c r="A22465" t="n">
        <v>22464</v>
      </c>
      <c r="B22465" t="inlineStr">
        <is>
          <t>x̄x̄MMCDLXIV</t>
        </is>
      </c>
      <c r="C22465">
        <f>ROMAN(22464)</f>
        <v/>
      </c>
      <c r="D22465">
        <f>IF(B22465=C22465, "YES", "WRONG")</f>
        <v/>
      </c>
    </row>
    <row r="22466">
      <c r="A22466" t="n">
        <v>22465</v>
      </c>
      <c r="B22466" t="inlineStr">
        <is>
          <t>x̄x̄MMCDLXV</t>
        </is>
      </c>
      <c r="C22466">
        <f>ROMAN(22465)</f>
        <v/>
      </c>
      <c r="D22466">
        <f>IF(B22466=C22466, "YES", "WRONG")</f>
        <v/>
      </c>
    </row>
    <row r="22467">
      <c r="A22467" t="n">
        <v>22466</v>
      </c>
      <c r="B22467" t="inlineStr">
        <is>
          <t>x̄x̄MMCDLXVI</t>
        </is>
      </c>
      <c r="C22467">
        <f>ROMAN(22466)</f>
        <v/>
      </c>
      <c r="D22467">
        <f>IF(B22467=C22467, "YES", "WRONG")</f>
        <v/>
      </c>
    </row>
    <row r="22468">
      <c r="A22468" t="n">
        <v>22467</v>
      </c>
      <c r="B22468" t="inlineStr">
        <is>
          <t>x̄x̄MMCDLXVII</t>
        </is>
      </c>
      <c r="C22468">
        <f>ROMAN(22467)</f>
        <v/>
      </c>
      <c r="D22468">
        <f>IF(B22468=C22468, "YES", "WRONG")</f>
        <v/>
      </c>
    </row>
    <row r="22469">
      <c r="A22469" t="n">
        <v>22468</v>
      </c>
      <c r="B22469" t="inlineStr">
        <is>
          <t>x̄x̄MMCDLXVIII</t>
        </is>
      </c>
      <c r="C22469">
        <f>ROMAN(22468)</f>
        <v/>
      </c>
      <c r="D22469">
        <f>IF(B22469=C22469, "YES", "WRONG")</f>
        <v/>
      </c>
    </row>
    <row r="22470">
      <c r="A22470" t="n">
        <v>22469</v>
      </c>
      <c r="B22470" t="inlineStr">
        <is>
          <t>x̄x̄MMCDLXIX</t>
        </is>
      </c>
      <c r="C22470">
        <f>ROMAN(22469)</f>
        <v/>
      </c>
      <c r="D22470">
        <f>IF(B22470=C22470, "YES", "WRONG")</f>
        <v/>
      </c>
    </row>
    <row r="22471">
      <c r="A22471" t="n">
        <v>22470</v>
      </c>
      <c r="B22471" t="inlineStr">
        <is>
          <t>x̄x̄MMCDLXX</t>
        </is>
      </c>
      <c r="C22471">
        <f>ROMAN(22470)</f>
        <v/>
      </c>
      <c r="D22471">
        <f>IF(B22471=C22471, "YES", "WRONG")</f>
        <v/>
      </c>
    </row>
    <row r="22472">
      <c r="A22472" t="n">
        <v>22471</v>
      </c>
      <c r="B22472" t="inlineStr">
        <is>
          <t>x̄x̄MMCDLXXI</t>
        </is>
      </c>
      <c r="C22472">
        <f>ROMAN(22471)</f>
        <v/>
      </c>
      <c r="D22472">
        <f>IF(B22472=C22472, "YES", "WRONG")</f>
        <v/>
      </c>
    </row>
    <row r="22473">
      <c r="A22473" t="n">
        <v>22472</v>
      </c>
      <c r="B22473" t="inlineStr">
        <is>
          <t>x̄x̄MMCDLXXII</t>
        </is>
      </c>
      <c r="C22473">
        <f>ROMAN(22472)</f>
        <v/>
      </c>
      <c r="D22473">
        <f>IF(B22473=C22473, "YES", "WRONG")</f>
        <v/>
      </c>
    </row>
    <row r="22474">
      <c r="A22474" t="n">
        <v>22473</v>
      </c>
      <c r="B22474" t="inlineStr">
        <is>
          <t>x̄x̄MMCDLXXIII</t>
        </is>
      </c>
      <c r="C22474">
        <f>ROMAN(22473)</f>
        <v/>
      </c>
      <c r="D22474">
        <f>IF(B22474=C22474, "YES", "WRONG")</f>
        <v/>
      </c>
    </row>
    <row r="22475">
      <c r="A22475" t="n">
        <v>22474</v>
      </c>
      <c r="B22475" t="inlineStr">
        <is>
          <t>x̄x̄MMCDLXXIV</t>
        </is>
      </c>
      <c r="C22475">
        <f>ROMAN(22474)</f>
        <v/>
      </c>
      <c r="D22475">
        <f>IF(B22475=C22475, "YES", "WRONG")</f>
        <v/>
      </c>
    </row>
    <row r="22476">
      <c r="A22476" t="n">
        <v>22475</v>
      </c>
      <c r="B22476" t="inlineStr">
        <is>
          <t>x̄x̄MMCDLXXV</t>
        </is>
      </c>
      <c r="C22476">
        <f>ROMAN(22475)</f>
        <v/>
      </c>
      <c r="D22476">
        <f>IF(B22476=C22476, "YES", "WRONG")</f>
        <v/>
      </c>
    </row>
    <row r="22477">
      <c r="A22477" t="n">
        <v>22476</v>
      </c>
      <c r="B22477" t="inlineStr">
        <is>
          <t>x̄x̄MMCDLXXVI</t>
        </is>
      </c>
      <c r="C22477">
        <f>ROMAN(22476)</f>
        <v/>
      </c>
      <c r="D22477">
        <f>IF(B22477=C22477, "YES", "WRONG")</f>
        <v/>
      </c>
    </row>
    <row r="22478">
      <c r="A22478" t="n">
        <v>22477</v>
      </c>
      <c r="B22478" t="inlineStr">
        <is>
          <t>x̄x̄MMCDLXXVII</t>
        </is>
      </c>
      <c r="C22478">
        <f>ROMAN(22477)</f>
        <v/>
      </c>
      <c r="D22478">
        <f>IF(B22478=C22478, "YES", "WRONG")</f>
        <v/>
      </c>
    </row>
    <row r="22479">
      <c r="A22479" t="n">
        <v>22478</v>
      </c>
      <c r="B22479" t="inlineStr">
        <is>
          <t>x̄x̄MMCDLXXVIII</t>
        </is>
      </c>
      <c r="C22479">
        <f>ROMAN(22478)</f>
        <v/>
      </c>
      <c r="D22479">
        <f>IF(B22479=C22479, "YES", "WRONG")</f>
        <v/>
      </c>
    </row>
    <row r="22480">
      <c r="A22480" t="n">
        <v>22479</v>
      </c>
      <c r="B22480" t="inlineStr">
        <is>
          <t>x̄x̄MMCDLXXIX</t>
        </is>
      </c>
      <c r="C22480">
        <f>ROMAN(22479)</f>
        <v/>
      </c>
      <c r="D22480">
        <f>IF(B22480=C22480, "YES", "WRONG")</f>
        <v/>
      </c>
    </row>
    <row r="22481">
      <c r="A22481" t="n">
        <v>22480</v>
      </c>
      <c r="B22481" t="inlineStr">
        <is>
          <t>x̄x̄MMCDLXXX</t>
        </is>
      </c>
      <c r="C22481">
        <f>ROMAN(22480)</f>
        <v/>
      </c>
      <c r="D22481">
        <f>IF(B22481=C22481, "YES", "WRONG")</f>
        <v/>
      </c>
    </row>
    <row r="22482">
      <c r="A22482" t="n">
        <v>22481</v>
      </c>
      <c r="B22482" t="inlineStr">
        <is>
          <t>x̄x̄MMCDLXXXI</t>
        </is>
      </c>
      <c r="C22482">
        <f>ROMAN(22481)</f>
        <v/>
      </c>
      <c r="D22482">
        <f>IF(B22482=C22482, "YES", "WRONG")</f>
        <v/>
      </c>
    </row>
    <row r="22483">
      <c r="A22483" t="n">
        <v>22482</v>
      </c>
      <c r="B22483" t="inlineStr">
        <is>
          <t>x̄x̄MMCDLXXXII</t>
        </is>
      </c>
      <c r="C22483">
        <f>ROMAN(22482)</f>
        <v/>
      </c>
      <c r="D22483">
        <f>IF(B22483=C22483, "YES", "WRONG")</f>
        <v/>
      </c>
    </row>
    <row r="22484">
      <c r="A22484" t="n">
        <v>22483</v>
      </c>
      <c r="B22484" t="inlineStr">
        <is>
          <t>x̄x̄MMCDLXXXIII</t>
        </is>
      </c>
      <c r="C22484">
        <f>ROMAN(22483)</f>
        <v/>
      </c>
      <c r="D22484">
        <f>IF(B22484=C22484, "YES", "WRONG")</f>
        <v/>
      </c>
    </row>
    <row r="22485">
      <c r="A22485" t="n">
        <v>22484</v>
      </c>
      <c r="B22485" t="inlineStr">
        <is>
          <t>x̄x̄MMCDLXXXIV</t>
        </is>
      </c>
      <c r="C22485">
        <f>ROMAN(22484)</f>
        <v/>
      </c>
      <c r="D22485">
        <f>IF(B22485=C22485, "YES", "WRONG")</f>
        <v/>
      </c>
    </row>
    <row r="22486">
      <c r="A22486" t="n">
        <v>22485</v>
      </c>
      <c r="B22486" t="inlineStr">
        <is>
          <t>x̄x̄MMCDLXXXV</t>
        </is>
      </c>
      <c r="C22486">
        <f>ROMAN(22485)</f>
        <v/>
      </c>
      <c r="D22486">
        <f>IF(B22486=C22486, "YES", "WRONG")</f>
        <v/>
      </c>
    </row>
    <row r="22487">
      <c r="A22487" t="n">
        <v>22486</v>
      </c>
      <c r="B22487" t="inlineStr">
        <is>
          <t>x̄x̄MMCDLXXXVI</t>
        </is>
      </c>
      <c r="C22487">
        <f>ROMAN(22486)</f>
        <v/>
      </c>
      <c r="D22487">
        <f>IF(B22487=C22487, "YES", "WRONG")</f>
        <v/>
      </c>
    </row>
    <row r="22488">
      <c r="A22488" t="n">
        <v>22487</v>
      </c>
      <c r="B22488" t="inlineStr">
        <is>
          <t>x̄x̄MMCDLXXXVII</t>
        </is>
      </c>
      <c r="C22488">
        <f>ROMAN(22487)</f>
        <v/>
      </c>
      <c r="D22488">
        <f>IF(B22488=C22488, "YES", "WRONG")</f>
        <v/>
      </c>
    </row>
    <row r="22489">
      <c r="A22489" t="n">
        <v>22488</v>
      </c>
      <c r="B22489" t="inlineStr">
        <is>
          <t>x̄x̄MMCDLXXXVIII</t>
        </is>
      </c>
      <c r="C22489">
        <f>ROMAN(22488)</f>
        <v/>
      </c>
      <c r="D22489">
        <f>IF(B22489=C22489, "YES", "WRONG")</f>
        <v/>
      </c>
    </row>
    <row r="22490">
      <c r="A22490" t="n">
        <v>22489</v>
      </c>
      <c r="B22490" t="inlineStr">
        <is>
          <t>x̄x̄MMCDLXXXIX</t>
        </is>
      </c>
      <c r="C22490">
        <f>ROMAN(22489)</f>
        <v/>
      </c>
      <c r="D22490">
        <f>IF(B22490=C22490, "YES", "WRONG")</f>
        <v/>
      </c>
    </row>
    <row r="22491">
      <c r="A22491" t="n">
        <v>22490</v>
      </c>
      <c r="B22491" t="inlineStr">
        <is>
          <t>x̄x̄MMCDXC</t>
        </is>
      </c>
      <c r="C22491">
        <f>ROMAN(22490)</f>
        <v/>
      </c>
      <c r="D22491">
        <f>IF(B22491=C22491, "YES", "WRONG")</f>
        <v/>
      </c>
    </row>
    <row r="22492">
      <c r="A22492" t="n">
        <v>22491</v>
      </c>
      <c r="B22492" t="inlineStr">
        <is>
          <t>x̄x̄MMCDXCI</t>
        </is>
      </c>
      <c r="C22492">
        <f>ROMAN(22491)</f>
        <v/>
      </c>
      <c r="D22492">
        <f>IF(B22492=C22492, "YES", "WRONG")</f>
        <v/>
      </c>
    </row>
    <row r="22493">
      <c r="A22493" t="n">
        <v>22492</v>
      </c>
      <c r="B22493" t="inlineStr">
        <is>
          <t>x̄x̄MMCDXCII</t>
        </is>
      </c>
      <c r="C22493">
        <f>ROMAN(22492)</f>
        <v/>
      </c>
      <c r="D22493">
        <f>IF(B22493=C22493, "YES", "WRONG")</f>
        <v/>
      </c>
    </row>
    <row r="22494">
      <c r="A22494" t="n">
        <v>22493</v>
      </c>
      <c r="B22494" t="inlineStr">
        <is>
          <t>x̄x̄MMCDXCIII</t>
        </is>
      </c>
      <c r="C22494">
        <f>ROMAN(22493)</f>
        <v/>
      </c>
      <c r="D22494">
        <f>IF(B22494=C22494, "YES", "WRONG")</f>
        <v/>
      </c>
    </row>
    <row r="22495">
      <c r="A22495" t="n">
        <v>22494</v>
      </c>
      <c r="B22495" t="inlineStr">
        <is>
          <t>x̄x̄MMCDXCIV</t>
        </is>
      </c>
      <c r="C22495">
        <f>ROMAN(22494)</f>
        <v/>
      </c>
      <c r="D22495">
        <f>IF(B22495=C22495, "YES", "WRONG")</f>
        <v/>
      </c>
    </row>
    <row r="22496">
      <c r="A22496" t="n">
        <v>22495</v>
      </c>
      <c r="B22496" t="inlineStr">
        <is>
          <t>x̄x̄MMCDXCV</t>
        </is>
      </c>
      <c r="C22496">
        <f>ROMAN(22495)</f>
        <v/>
      </c>
      <c r="D22496">
        <f>IF(B22496=C22496, "YES", "WRONG")</f>
        <v/>
      </c>
    </row>
    <row r="22497">
      <c r="A22497" t="n">
        <v>22496</v>
      </c>
      <c r="B22497" t="inlineStr">
        <is>
          <t>x̄x̄MMCDXCVI</t>
        </is>
      </c>
      <c r="C22497">
        <f>ROMAN(22496)</f>
        <v/>
      </c>
      <c r="D22497">
        <f>IF(B22497=C22497, "YES", "WRONG")</f>
        <v/>
      </c>
    </row>
    <row r="22498">
      <c r="A22498" t="n">
        <v>22497</v>
      </c>
      <c r="B22498" t="inlineStr">
        <is>
          <t>x̄x̄MMCDXCVII</t>
        </is>
      </c>
      <c r="C22498">
        <f>ROMAN(22497)</f>
        <v/>
      </c>
      <c r="D22498">
        <f>IF(B22498=C22498, "YES", "WRONG")</f>
        <v/>
      </c>
    </row>
    <row r="22499">
      <c r="A22499" t="n">
        <v>22498</v>
      </c>
      <c r="B22499" t="inlineStr">
        <is>
          <t>x̄x̄MMCDXCVIII</t>
        </is>
      </c>
      <c r="C22499">
        <f>ROMAN(22498)</f>
        <v/>
      </c>
      <c r="D22499">
        <f>IF(B22499=C22499, "YES", "WRONG")</f>
        <v/>
      </c>
    </row>
    <row r="22500">
      <c r="A22500" t="n">
        <v>22499</v>
      </c>
      <c r="B22500" t="inlineStr">
        <is>
          <t>x̄x̄MMCDXCIX</t>
        </is>
      </c>
      <c r="C22500">
        <f>ROMAN(22499)</f>
        <v/>
      </c>
      <c r="D22500">
        <f>IF(B22500=C22500, "YES", "WRONG")</f>
        <v/>
      </c>
    </row>
    <row r="22501">
      <c r="A22501" t="n">
        <v>22500</v>
      </c>
      <c r="B22501" t="inlineStr">
        <is>
          <t>x̄x̄MMD</t>
        </is>
      </c>
      <c r="C22501">
        <f>ROMAN(22500)</f>
        <v/>
      </c>
      <c r="D22501">
        <f>IF(B22501=C22501, "YES", "WRONG")</f>
        <v/>
      </c>
    </row>
    <row r="22502">
      <c r="A22502" t="n">
        <v>22501</v>
      </c>
      <c r="B22502" t="inlineStr">
        <is>
          <t>x̄x̄MMDI</t>
        </is>
      </c>
      <c r="C22502">
        <f>ROMAN(22501)</f>
        <v/>
      </c>
      <c r="D22502">
        <f>IF(B22502=C22502, "YES", "WRONG")</f>
        <v/>
      </c>
    </row>
    <row r="22503">
      <c r="A22503" t="n">
        <v>22502</v>
      </c>
      <c r="B22503" t="inlineStr">
        <is>
          <t>x̄x̄MMDII</t>
        </is>
      </c>
      <c r="C22503">
        <f>ROMAN(22502)</f>
        <v/>
      </c>
      <c r="D22503">
        <f>IF(B22503=C22503, "YES", "WRONG")</f>
        <v/>
      </c>
    </row>
    <row r="22504">
      <c r="A22504" t="n">
        <v>22503</v>
      </c>
      <c r="B22504" t="inlineStr">
        <is>
          <t>x̄x̄MMDIII</t>
        </is>
      </c>
      <c r="C22504">
        <f>ROMAN(22503)</f>
        <v/>
      </c>
      <c r="D22504">
        <f>IF(B22504=C22504, "YES", "WRONG")</f>
        <v/>
      </c>
    </row>
    <row r="22505">
      <c r="A22505" t="n">
        <v>22504</v>
      </c>
      <c r="B22505" t="inlineStr">
        <is>
          <t>x̄x̄MMDIV</t>
        </is>
      </c>
      <c r="C22505">
        <f>ROMAN(22504)</f>
        <v/>
      </c>
      <c r="D22505">
        <f>IF(B22505=C22505, "YES", "WRONG")</f>
        <v/>
      </c>
    </row>
    <row r="22506">
      <c r="A22506" t="n">
        <v>22505</v>
      </c>
      <c r="B22506" t="inlineStr">
        <is>
          <t>x̄x̄MMDV</t>
        </is>
      </c>
      <c r="C22506">
        <f>ROMAN(22505)</f>
        <v/>
      </c>
      <c r="D22506">
        <f>IF(B22506=C22506, "YES", "WRONG")</f>
        <v/>
      </c>
    </row>
    <row r="22507">
      <c r="A22507" t="n">
        <v>22506</v>
      </c>
      <c r="B22507" t="inlineStr">
        <is>
          <t>x̄x̄MMDVI</t>
        </is>
      </c>
      <c r="C22507">
        <f>ROMAN(22506)</f>
        <v/>
      </c>
      <c r="D22507">
        <f>IF(B22507=C22507, "YES", "WRONG")</f>
        <v/>
      </c>
    </row>
    <row r="22508">
      <c r="A22508" t="n">
        <v>22507</v>
      </c>
      <c r="B22508" t="inlineStr">
        <is>
          <t>x̄x̄MMDVII</t>
        </is>
      </c>
      <c r="C22508">
        <f>ROMAN(22507)</f>
        <v/>
      </c>
      <c r="D22508">
        <f>IF(B22508=C22508, "YES", "WRONG")</f>
        <v/>
      </c>
    </row>
    <row r="22509">
      <c r="A22509" t="n">
        <v>22508</v>
      </c>
      <c r="B22509" t="inlineStr">
        <is>
          <t>x̄x̄MMDVIII</t>
        </is>
      </c>
      <c r="C22509">
        <f>ROMAN(22508)</f>
        <v/>
      </c>
      <c r="D22509">
        <f>IF(B22509=C22509, "YES", "WRONG")</f>
        <v/>
      </c>
    </row>
    <row r="22510">
      <c r="A22510" t="n">
        <v>22509</v>
      </c>
      <c r="B22510" t="inlineStr">
        <is>
          <t>x̄x̄MMDIX</t>
        </is>
      </c>
      <c r="C22510">
        <f>ROMAN(22509)</f>
        <v/>
      </c>
      <c r="D22510">
        <f>IF(B22510=C22510, "YES", "WRONG")</f>
        <v/>
      </c>
    </row>
    <row r="22511">
      <c r="A22511" t="n">
        <v>22510</v>
      </c>
      <c r="B22511" t="inlineStr">
        <is>
          <t>x̄x̄MMDX</t>
        </is>
      </c>
      <c r="C22511">
        <f>ROMAN(22510)</f>
        <v/>
      </c>
      <c r="D22511">
        <f>IF(B22511=C22511, "YES", "WRONG")</f>
        <v/>
      </c>
    </row>
    <row r="22512">
      <c r="A22512" t="n">
        <v>22511</v>
      </c>
      <c r="B22512" t="inlineStr">
        <is>
          <t>x̄x̄MMDXI</t>
        </is>
      </c>
      <c r="C22512">
        <f>ROMAN(22511)</f>
        <v/>
      </c>
      <c r="D22512">
        <f>IF(B22512=C22512, "YES", "WRONG")</f>
        <v/>
      </c>
    </row>
    <row r="22513">
      <c r="A22513" t="n">
        <v>22512</v>
      </c>
      <c r="B22513" t="inlineStr">
        <is>
          <t>x̄x̄MMDXII</t>
        </is>
      </c>
      <c r="C22513">
        <f>ROMAN(22512)</f>
        <v/>
      </c>
      <c r="D22513">
        <f>IF(B22513=C22513, "YES", "WRONG")</f>
        <v/>
      </c>
    </row>
    <row r="22514">
      <c r="A22514" t="n">
        <v>22513</v>
      </c>
      <c r="B22514" t="inlineStr">
        <is>
          <t>x̄x̄MMDXIII</t>
        </is>
      </c>
      <c r="C22514">
        <f>ROMAN(22513)</f>
        <v/>
      </c>
      <c r="D22514">
        <f>IF(B22514=C22514, "YES", "WRONG")</f>
        <v/>
      </c>
    </row>
    <row r="22515">
      <c r="A22515" t="n">
        <v>22514</v>
      </c>
      <c r="B22515" t="inlineStr">
        <is>
          <t>x̄x̄MMDXIV</t>
        </is>
      </c>
      <c r="C22515">
        <f>ROMAN(22514)</f>
        <v/>
      </c>
      <c r="D22515">
        <f>IF(B22515=C22515, "YES", "WRONG")</f>
        <v/>
      </c>
    </row>
    <row r="22516">
      <c r="A22516" t="n">
        <v>22515</v>
      </c>
      <c r="B22516" t="inlineStr">
        <is>
          <t>x̄x̄MMDXV</t>
        </is>
      </c>
      <c r="C22516">
        <f>ROMAN(22515)</f>
        <v/>
      </c>
      <c r="D22516">
        <f>IF(B22516=C22516, "YES", "WRONG")</f>
        <v/>
      </c>
    </row>
    <row r="22517">
      <c r="A22517" t="n">
        <v>22516</v>
      </c>
      <c r="B22517" t="inlineStr">
        <is>
          <t>x̄x̄MMDXVI</t>
        </is>
      </c>
      <c r="C22517">
        <f>ROMAN(22516)</f>
        <v/>
      </c>
      <c r="D22517">
        <f>IF(B22517=C22517, "YES", "WRONG")</f>
        <v/>
      </c>
    </row>
    <row r="22518">
      <c r="A22518" t="n">
        <v>22517</v>
      </c>
      <c r="B22518" t="inlineStr">
        <is>
          <t>x̄x̄MMDXVII</t>
        </is>
      </c>
      <c r="C22518">
        <f>ROMAN(22517)</f>
        <v/>
      </c>
      <c r="D22518">
        <f>IF(B22518=C22518, "YES", "WRONG")</f>
        <v/>
      </c>
    </row>
    <row r="22519">
      <c r="A22519" t="n">
        <v>22518</v>
      </c>
      <c r="B22519" t="inlineStr">
        <is>
          <t>x̄x̄MMDXVIII</t>
        </is>
      </c>
      <c r="C22519">
        <f>ROMAN(22518)</f>
        <v/>
      </c>
      <c r="D22519">
        <f>IF(B22519=C22519, "YES", "WRONG")</f>
        <v/>
      </c>
    </row>
    <row r="22520">
      <c r="A22520" t="n">
        <v>22519</v>
      </c>
      <c r="B22520" t="inlineStr">
        <is>
          <t>x̄x̄MMDXIX</t>
        </is>
      </c>
      <c r="C22520">
        <f>ROMAN(22519)</f>
        <v/>
      </c>
      <c r="D22520">
        <f>IF(B22520=C22520, "YES", "WRONG")</f>
        <v/>
      </c>
    </row>
    <row r="22521">
      <c r="A22521" t="n">
        <v>22520</v>
      </c>
      <c r="B22521" t="inlineStr">
        <is>
          <t>x̄x̄MMDXX</t>
        </is>
      </c>
      <c r="C22521">
        <f>ROMAN(22520)</f>
        <v/>
      </c>
      <c r="D22521">
        <f>IF(B22521=C22521, "YES", "WRONG")</f>
        <v/>
      </c>
    </row>
    <row r="22522">
      <c r="A22522" t="n">
        <v>22521</v>
      </c>
      <c r="B22522" t="inlineStr">
        <is>
          <t>x̄x̄MMDXXI</t>
        </is>
      </c>
      <c r="C22522">
        <f>ROMAN(22521)</f>
        <v/>
      </c>
      <c r="D22522">
        <f>IF(B22522=C22522, "YES", "WRONG")</f>
        <v/>
      </c>
    </row>
    <row r="22523">
      <c r="A22523" t="n">
        <v>22522</v>
      </c>
      <c r="B22523" t="inlineStr">
        <is>
          <t>x̄x̄MMDXXII</t>
        </is>
      </c>
      <c r="C22523">
        <f>ROMAN(22522)</f>
        <v/>
      </c>
      <c r="D22523">
        <f>IF(B22523=C22523, "YES", "WRONG")</f>
        <v/>
      </c>
    </row>
    <row r="22524">
      <c r="A22524" t="n">
        <v>22523</v>
      </c>
      <c r="B22524" t="inlineStr">
        <is>
          <t>x̄x̄MMDXXIII</t>
        </is>
      </c>
      <c r="C22524">
        <f>ROMAN(22523)</f>
        <v/>
      </c>
      <c r="D22524">
        <f>IF(B22524=C22524, "YES", "WRONG")</f>
        <v/>
      </c>
    </row>
    <row r="22525">
      <c r="A22525" t="n">
        <v>22524</v>
      </c>
      <c r="B22525" t="inlineStr">
        <is>
          <t>x̄x̄MMDXXIV</t>
        </is>
      </c>
      <c r="C22525">
        <f>ROMAN(22524)</f>
        <v/>
      </c>
      <c r="D22525">
        <f>IF(B22525=C22525, "YES", "WRONG")</f>
        <v/>
      </c>
    </row>
    <row r="22526">
      <c r="A22526" t="n">
        <v>22525</v>
      </c>
      <c r="B22526" t="inlineStr">
        <is>
          <t>x̄x̄MMDXXV</t>
        </is>
      </c>
      <c r="C22526">
        <f>ROMAN(22525)</f>
        <v/>
      </c>
      <c r="D22526">
        <f>IF(B22526=C22526, "YES", "WRONG")</f>
        <v/>
      </c>
    </row>
    <row r="22527">
      <c r="A22527" t="n">
        <v>22526</v>
      </c>
      <c r="B22527" t="inlineStr">
        <is>
          <t>x̄x̄MMDXXVI</t>
        </is>
      </c>
      <c r="C22527">
        <f>ROMAN(22526)</f>
        <v/>
      </c>
      <c r="D22527">
        <f>IF(B22527=C22527, "YES", "WRONG")</f>
        <v/>
      </c>
    </row>
    <row r="22528">
      <c r="A22528" t="n">
        <v>22527</v>
      </c>
      <c r="B22528" t="inlineStr">
        <is>
          <t>x̄x̄MMDXXVII</t>
        </is>
      </c>
      <c r="C22528">
        <f>ROMAN(22527)</f>
        <v/>
      </c>
      <c r="D22528">
        <f>IF(B22528=C22528, "YES", "WRONG")</f>
        <v/>
      </c>
    </row>
    <row r="22529">
      <c r="A22529" t="n">
        <v>22528</v>
      </c>
      <c r="B22529" t="inlineStr">
        <is>
          <t>x̄x̄MMDXXVIII</t>
        </is>
      </c>
      <c r="C22529">
        <f>ROMAN(22528)</f>
        <v/>
      </c>
      <c r="D22529">
        <f>IF(B22529=C22529, "YES", "WRONG")</f>
        <v/>
      </c>
    </row>
    <row r="22530">
      <c r="A22530" t="n">
        <v>22529</v>
      </c>
      <c r="B22530" t="inlineStr">
        <is>
          <t>x̄x̄MMDXXIX</t>
        </is>
      </c>
      <c r="C22530">
        <f>ROMAN(22529)</f>
        <v/>
      </c>
      <c r="D22530">
        <f>IF(B22530=C22530, "YES", "WRONG")</f>
        <v/>
      </c>
    </row>
    <row r="22531">
      <c r="A22531" t="n">
        <v>22530</v>
      </c>
      <c r="B22531" t="inlineStr">
        <is>
          <t>x̄x̄MMDXXX</t>
        </is>
      </c>
      <c r="C22531">
        <f>ROMAN(22530)</f>
        <v/>
      </c>
      <c r="D22531">
        <f>IF(B22531=C22531, "YES", "WRONG")</f>
        <v/>
      </c>
    </row>
    <row r="22532">
      <c r="A22532" t="n">
        <v>22531</v>
      </c>
      <c r="B22532" t="inlineStr">
        <is>
          <t>x̄x̄MMDXXXI</t>
        </is>
      </c>
      <c r="C22532">
        <f>ROMAN(22531)</f>
        <v/>
      </c>
      <c r="D22532">
        <f>IF(B22532=C22532, "YES", "WRONG")</f>
        <v/>
      </c>
    </row>
    <row r="22533">
      <c r="A22533" t="n">
        <v>22532</v>
      </c>
      <c r="B22533" t="inlineStr">
        <is>
          <t>x̄x̄MMDXXXII</t>
        </is>
      </c>
      <c r="C22533">
        <f>ROMAN(22532)</f>
        <v/>
      </c>
      <c r="D22533">
        <f>IF(B22533=C22533, "YES", "WRONG")</f>
        <v/>
      </c>
    </row>
    <row r="22534">
      <c r="A22534" t="n">
        <v>22533</v>
      </c>
      <c r="B22534" t="inlineStr">
        <is>
          <t>x̄x̄MMDXXXIII</t>
        </is>
      </c>
      <c r="C22534">
        <f>ROMAN(22533)</f>
        <v/>
      </c>
      <c r="D22534">
        <f>IF(B22534=C22534, "YES", "WRONG")</f>
        <v/>
      </c>
    </row>
    <row r="22535">
      <c r="A22535" t="n">
        <v>22534</v>
      </c>
      <c r="B22535" t="inlineStr">
        <is>
          <t>x̄x̄MMDXXXIV</t>
        </is>
      </c>
      <c r="C22535">
        <f>ROMAN(22534)</f>
        <v/>
      </c>
      <c r="D22535">
        <f>IF(B22535=C22535, "YES", "WRONG")</f>
        <v/>
      </c>
    </row>
    <row r="22536">
      <c r="A22536" t="n">
        <v>22535</v>
      </c>
      <c r="B22536" t="inlineStr">
        <is>
          <t>x̄x̄MMDXXXV</t>
        </is>
      </c>
      <c r="C22536">
        <f>ROMAN(22535)</f>
        <v/>
      </c>
      <c r="D22536">
        <f>IF(B22536=C22536, "YES", "WRONG")</f>
        <v/>
      </c>
    </row>
    <row r="22537">
      <c r="A22537" t="n">
        <v>22536</v>
      </c>
      <c r="B22537" t="inlineStr">
        <is>
          <t>x̄x̄MMDXXXVI</t>
        </is>
      </c>
      <c r="C22537">
        <f>ROMAN(22536)</f>
        <v/>
      </c>
      <c r="D22537">
        <f>IF(B22537=C22537, "YES", "WRONG")</f>
        <v/>
      </c>
    </row>
    <row r="22538">
      <c r="A22538" t="n">
        <v>22537</v>
      </c>
      <c r="B22538" t="inlineStr">
        <is>
          <t>x̄x̄MMDXXXVII</t>
        </is>
      </c>
      <c r="C22538">
        <f>ROMAN(22537)</f>
        <v/>
      </c>
      <c r="D22538">
        <f>IF(B22538=C22538, "YES", "WRONG")</f>
        <v/>
      </c>
    </row>
    <row r="22539">
      <c r="A22539" t="n">
        <v>22538</v>
      </c>
      <c r="B22539" t="inlineStr">
        <is>
          <t>x̄x̄MMDXXXVIII</t>
        </is>
      </c>
      <c r="C22539">
        <f>ROMAN(22538)</f>
        <v/>
      </c>
      <c r="D22539">
        <f>IF(B22539=C22539, "YES", "WRONG")</f>
        <v/>
      </c>
    </row>
    <row r="22540">
      <c r="A22540" t="n">
        <v>22539</v>
      </c>
      <c r="B22540" t="inlineStr">
        <is>
          <t>x̄x̄MMDXXXIX</t>
        </is>
      </c>
      <c r="C22540">
        <f>ROMAN(22539)</f>
        <v/>
      </c>
      <c r="D22540">
        <f>IF(B22540=C22540, "YES", "WRONG")</f>
        <v/>
      </c>
    </row>
    <row r="22541">
      <c r="A22541" t="n">
        <v>22540</v>
      </c>
      <c r="B22541" t="inlineStr">
        <is>
          <t>x̄x̄MMDXL</t>
        </is>
      </c>
      <c r="C22541">
        <f>ROMAN(22540)</f>
        <v/>
      </c>
      <c r="D22541">
        <f>IF(B22541=C22541, "YES", "WRONG")</f>
        <v/>
      </c>
    </row>
    <row r="22542">
      <c r="A22542" t="n">
        <v>22541</v>
      </c>
      <c r="B22542" t="inlineStr">
        <is>
          <t>x̄x̄MMDXLI</t>
        </is>
      </c>
      <c r="C22542">
        <f>ROMAN(22541)</f>
        <v/>
      </c>
      <c r="D22542">
        <f>IF(B22542=C22542, "YES", "WRONG")</f>
        <v/>
      </c>
    </row>
    <row r="22543">
      <c r="A22543" t="n">
        <v>22542</v>
      </c>
      <c r="B22543" t="inlineStr">
        <is>
          <t>x̄x̄MMDXLII</t>
        </is>
      </c>
      <c r="C22543">
        <f>ROMAN(22542)</f>
        <v/>
      </c>
      <c r="D22543">
        <f>IF(B22543=C22543, "YES", "WRONG")</f>
        <v/>
      </c>
    </row>
    <row r="22544">
      <c r="A22544" t="n">
        <v>22543</v>
      </c>
      <c r="B22544" t="inlineStr">
        <is>
          <t>x̄x̄MMDXLIII</t>
        </is>
      </c>
      <c r="C22544">
        <f>ROMAN(22543)</f>
        <v/>
      </c>
      <c r="D22544">
        <f>IF(B22544=C22544, "YES", "WRONG")</f>
        <v/>
      </c>
    </row>
    <row r="22545">
      <c r="A22545" t="n">
        <v>22544</v>
      </c>
      <c r="B22545" t="inlineStr">
        <is>
          <t>x̄x̄MMDXLIV</t>
        </is>
      </c>
      <c r="C22545">
        <f>ROMAN(22544)</f>
        <v/>
      </c>
      <c r="D22545">
        <f>IF(B22545=C22545, "YES", "WRONG")</f>
        <v/>
      </c>
    </row>
    <row r="22546">
      <c r="A22546" t="n">
        <v>22545</v>
      </c>
      <c r="B22546" t="inlineStr">
        <is>
          <t>x̄x̄MMDXLV</t>
        </is>
      </c>
      <c r="C22546">
        <f>ROMAN(22545)</f>
        <v/>
      </c>
      <c r="D22546">
        <f>IF(B22546=C22546, "YES", "WRONG")</f>
        <v/>
      </c>
    </row>
    <row r="22547">
      <c r="A22547" t="n">
        <v>22546</v>
      </c>
      <c r="B22547" t="inlineStr">
        <is>
          <t>x̄x̄MMDXLVI</t>
        </is>
      </c>
      <c r="C22547">
        <f>ROMAN(22546)</f>
        <v/>
      </c>
      <c r="D22547">
        <f>IF(B22547=C22547, "YES", "WRONG")</f>
        <v/>
      </c>
    </row>
    <row r="22548">
      <c r="A22548" t="n">
        <v>22547</v>
      </c>
      <c r="B22548" t="inlineStr">
        <is>
          <t>x̄x̄MMDXLVII</t>
        </is>
      </c>
      <c r="C22548">
        <f>ROMAN(22547)</f>
        <v/>
      </c>
      <c r="D22548">
        <f>IF(B22548=C22548, "YES", "WRONG")</f>
        <v/>
      </c>
    </row>
    <row r="22549">
      <c r="A22549" t="n">
        <v>22548</v>
      </c>
      <c r="B22549" t="inlineStr">
        <is>
          <t>x̄x̄MMDXLVIII</t>
        </is>
      </c>
      <c r="C22549">
        <f>ROMAN(22548)</f>
        <v/>
      </c>
      <c r="D22549">
        <f>IF(B22549=C22549, "YES", "WRONG")</f>
        <v/>
      </c>
    </row>
    <row r="22550">
      <c r="A22550" t="n">
        <v>22549</v>
      </c>
      <c r="B22550" t="inlineStr">
        <is>
          <t>x̄x̄MMDXLIX</t>
        </is>
      </c>
      <c r="C22550">
        <f>ROMAN(22549)</f>
        <v/>
      </c>
      <c r="D22550">
        <f>IF(B22550=C22550, "YES", "WRONG")</f>
        <v/>
      </c>
    </row>
    <row r="22551">
      <c r="A22551" t="n">
        <v>22550</v>
      </c>
      <c r="B22551" t="inlineStr">
        <is>
          <t>x̄x̄MMDL</t>
        </is>
      </c>
      <c r="C22551">
        <f>ROMAN(22550)</f>
        <v/>
      </c>
      <c r="D22551">
        <f>IF(B22551=C22551, "YES", "WRONG")</f>
        <v/>
      </c>
    </row>
    <row r="22552">
      <c r="A22552" t="n">
        <v>22551</v>
      </c>
      <c r="B22552" t="inlineStr">
        <is>
          <t>x̄x̄MMDLI</t>
        </is>
      </c>
      <c r="C22552">
        <f>ROMAN(22551)</f>
        <v/>
      </c>
      <c r="D22552">
        <f>IF(B22552=C22552, "YES", "WRONG")</f>
        <v/>
      </c>
    </row>
    <row r="22553">
      <c r="A22553" t="n">
        <v>22552</v>
      </c>
      <c r="B22553" t="inlineStr">
        <is>
          <t>x̄x̄MMDLII</t>
        </is>
      </c>
      <c r="C22553">
        <f>ROMAN(22552)</f>
        <v/>
      </c>
      <c r="D22553">
        <f>IF(B22553=C22553, "YES", "WRONG")</f>
        <v/>
      </c>
    </row>
    <row r="22554">
      <c r="A22554" t="n">
        <v>22553</v>
      </c>
      <c r="B22554" t="inlineStr">
        <is>
          <t>x̄x̄MMDLIII</t>
        </is>
      </c>
      <c r="C22554">
        <f>ROMAN(22553)</f>
        <v/>
      </c>
      <c r="D22554">
        <f>IF(B22554=C22554, "YES", "WRONG")</f>
        <v/>
      </c>
    </row>
    <row r="22555">
      <c r="A22555" t="n">
        <v>22554</v>
      </c>
      <c r="B22555" t="inlineStr">
        <is>
          <t>x̄x̄MMDLIV</t>
        </is>
      </c>
      <c r="C22555">
        <f>ROMAN(22554)</f>
        <v/>
      </c>
      <c r="D22555">
        <f>IF(B22555=C22555, "YES", "WRONG")</f>
        <v/>
      </c>
    </row>
    <row r="22556">
      <c r="A22556" t="n">
        <v>22555</v>
      </c>
      <c r="B22556" t="inlineStr">
        <is>
          <t>x̄x̄MMDLV</t>
        </is>
      </c>
      <c r="C22556">
        <f>ROMAN(22555)</f>
        <v/>
      </c>
      <c r="D22556">
        <f>IF(B22556=C22556, "YES", "WRONG")</f>
        <v/>
      </c>
    </row>
    <row r="22557">
      <c r="A22557" t="n">
        <v>22556</v>
      </c>
      <c r="B22557" t="inlineStr">
        <is>
          <t>x̄x̄MMDLVI</t>
        </is>
      </c>
      <c r="C22557">
        <f>ROMAN(22556)</f>
        <v/>
      </c>
      <c r="D22557">
        <f>IF(B22557=C22557, "YES", "WRONG")</f>
        <v/>
      </c>
    </row>
    <row r="22558">
      <c r="A22558" t="n">
        <v>22557</v>
      </c>
      <c r="B22558" t="inlineStr">
        <is>
          <t>x̄x̄MMDLVII</t>
        </is>
      </c>
      <c r="C22558">
        <f>ROMAN(22557)</f>
        <v/>
      </c>
      <c r="D22558">
        <f>IF(B22558=C22558, "YES", "WRONG")</f>
        <v/>
      </c>
    </row>
    <row r="22559">
      <c r="A22559" t="n">
        <v>22558</v>
      </c>
      <c r="B22559" t="inlineStr">
        <is>
          <t>x̄x̄MMDLVIII</t>
        </is>
      </c>
      <c r="C22559">
        <f>ROMAN(22558)</f>
        <v/>
      </c>
      <c r="D22559">
        <f>IF(B22559=C22559, "YES", "WRONG")</f>
        <v/>
      </c>
    </row>
    <row r="22560">
      <c r="A22560" t="n">
        <v>22559</v>
      </c>
      <c r="B22560" t="inlineStr">
        <is>
          <t>x̄x̄MMDLIX</t>
        </is>
      </c>
      <c r="C22560">
        <f>ROMAN(22559)</f>
        <v/>
      </c>
      <c r="D22560">
        <f>IF(B22560=C22560, "YES", "WRONG")</f>
        <v/>
      </c>
    </row>
    <row r="22561">
      <c r="A22561" t="n">
        <v>22560</v>
      </c>
      <c r="B22561" t="inlineStr">
        <is>
          <t>x̄x̄MMDLX</t>
        </is>
      </c>
      <c r="C22561">
        <f>ROMAN(22560)</f>
        <v/>
      </c>
      <c r="D22561">
        <f>IF(B22561=C22561, "YES", "WRONG")</f>
        <v/>
      </c>
    </row>
    <row r="22562">
      <c r="A22562" t="n">
        <v>22561</v>
      </c>
      <c r="B22562" t="inlineStr">
        <is>
          <t>x̄x̄MMDLXI</t>
        </is>
      </c>
      <c r="C22562">
        <f>ROMAN(22561)</f>
        <v/>
      </c>
      <c r="D22562">
        <f>IF(B22562=C22562, "YES", "WRONG")</f>
        <v/>
      </c>
    </row>
    <row r="22563">
      <c r="A22563" t="n">
        <v>22562</v>
      </c>
      <c r="B22563" t="inlineStr">
        <is>
          <t>x̄x̄MMDLXII</t>
        </is>
      </c>
      <c r="C22563">
        <f>ROMAN(22562)</f>
        <v/>
      </c>
      <c r="D22563">
        <f>IF(B22563=C22563, "YES", "WRONG")</f>
        <v/>
      </c>
    </row>
    <row r="22564">
      <c r="A22564" t="n">
        <v>22563</v>
      </c>
      <c r="B22564" t="inlineStr">
        <is>
          <t>x̄x̄MMDLXIII</t>
        </is>
      </c>
      <c r="C22564">
        <f>ROMAN(22563)</f>
        <v/>
      </c>
      <c r="D22564">
        <f>IF(B22564=C22564, "YES", "WRONG")</f>
        <v/>
      </c>
    </row>
    <row r="22565">
      <c r="A22565" t="n">
        <v>22564</v>
      </c>
      <c r="B22565" t="inlineStr">
        <is>
          <t>x̄x̄MMDLXIV</t>
        </is>
      </c>
      <c r="C22565">
        <f>ROMAN(22564)</f>
        <v/>
      </c>
      <c r="D22565">
        <f>IF(B22565=C22565, "YES", "WRONG")</f>
        <v/>
      </c>
    </row>
    <row r="22566">
      <c r="A22566" t="n">
        <v>22565</v>
      </c>
      <c r="B22566" t="inlineStr">
        <is>
          <t>x̄x̄MMDLXV</t>
        </is>
      </c>
      <c r="C22566">
        <f>ROMAN(22565)</f>
        <v/>
      </c>
      <c r="D22566">
        <f>IF(B22566=C22566, "YES", "WRONG")</f>
        <v/>
      </c>
    </row>
    <row r="22567">
      <c r="A22567" t="n">
        <v>22566</v>
      </c>
      <c r="B22567" t="inlineStr">
        <is>
          <t>x̄x̄MMDLXVI</t>
        </is>
      </c>
      <c r="C22567">
        <f>ROMAN(22566)</f>
        <v/>
      </c>
      <c r="D22567">
        <f>IF(B22567=C22567, "YES", "WRONG")</f>
        <v/>
      </c>
    </row>
    <row r="22568">
      <c r="A22568" t="n">
        <v>22567</v>
      </c>
      <c r="B22568" t="inlineStr">
        <is>
          <t>x̄x̄MMDLXVII</t>
        </is>
      </c>
      <c r="C22568">
        <f>ROMAN(22567)</f>
        <v/>
      </c>
      <c r="D22568">
        <f>IF(B22568=C22568, "YES", "WRONG")</f>
        <v/>
      </c>
    </row>
    <row r="22569">
      <c r="A22569" t="n">
        <v>22568</v>
      </c>
      <c r="B22569" t="inlineStr">
        <is>
          <t>x̄x̄MMDLXVIII</t>
        </is>
      </c>
      <c r="C22569">
        <f>ROMAN(22568)</f>
        <v/>
      </c>
      <c r="D22569">
        <f>IF(B22569=C22569, "YES", "WRONG")</f>
        <v/>
      </c>
    </row>
    <row r="22570">
      <c r="A22570" t="n">
        <v>22569</v>
      </c>
      <c r="B22570" t="inlineStr">
        <is>
          <t>x̄x̄MMDLXIX</t>
        </is>
      </c>
      <c r="C22570">
        <f>ROMAN(22569)</f>
        <v/>
      </c>
      <c r="D22570">
        <f>IF(B22570=C22570, "YES", "WRONG")</f>
        <v/>
      </c>
    </row>
    <row r="22571">
      <c r="A22571" t="n">
        <v>22570</v>
      </c>
      <c r="B22571" t="inlineStr">
        <is>
          <t>x̄x̄MMDLXX</t>
        </is>
      </c>
      <c r="C22571">
        <f>ROMAN(22570)</f>
        <v/>
      </c>
      <c r="D22571">
        <f>IF(B22571=C22571, "YES", "WRONG")</f>
        <v/>
      </c>
    </row>
    <row r="22572">
      <c r="A22572" t="n">
        <v>22571</v>
      </c>
      <c r="B22572" t="inlineStr">
        <is>
          <t>x̄x̄MMDLXXI</t>
        </is>
      </c>
      <c r="C22572">
        <f>ROMAN(22571)</f>
        <v/>
      </c>
      <c r="D22572">
        <f>IF(B22572=C22572, "YES", "WRONG")</f>
        <v/>
      </c>
    </row>
    <row r="22573">
      <c r="A22573" t="n">
        <v>22572</v>
      </c>
      <c r="B22573" t="inlineStr">
        <is>
          <t>x̄x̄MMDLXXII</t>
        </is>
      </c>
      <c r="C22573">
        <f>ROMAN(22572)</f>
        <v/>
      </c>
      <c r="D22573">
        <f>IF(B22573=C22573, "YES", "WRONG")</f>
        <v/>
      </c>
    </row>
    <row r="22574">
      <c r="A22574" t="n">
        <v>22573</v>
      </c>
      <c r="B22574" t="inlineStr">
        <is>
          <t>x̄x̄MMDLXXIII</t>
        </is>
      </c>
      <c r="C22574">
        <f>ROMAN(22573)</f>
        <v/>
      </c>
      <c r="D22574">
        <f>IF(B22574=C22574, "YES", "WRONG")</f>
        <v/>
      </c>
    </row>
    <row r="22575">
      <c r="A22575" t="n">
        <v>22574</v>
      </c>
      <c r="B22575" t="inlineStr">
        <is>
          <t>x̄x̄MMDLXXIV</t>
        </is>
      </c>
      <c r="C22575">
        <f>ROMAN(22574)</f>
        <v/>
      </c>
      <c r="D22575">
        <f>IF(B22575=C22575, "YES", "WRONG")</f>
        <v/>
      </c>
    </row>
    <row r="22576">
      <c r="A22576" t="n">
        <v>22575</v>
      </c>
      <c r="B22576" t="inlineStr">
        <is>
          <t>x̄x̄MMDLXXV</t>
        </is>
      </c>
      <c r="C22576">
        <f>ROMAN(22575)</f>
        <v/>
      </c>
      <c r="D22576">
        <f>IF(B22576=C22576, "YES", "WRONG")</f>
        <v/>
      </c>
    </row>
    <row r="22577">
      <c r="A22577" t="n">
        <v>22576</v>
      </c>
      <c r="B22577" t="inlineStr">
        <is>
          <t>x̄x̄MMDLXXVI</t>
        </is>
      </c>
      <c r="C22577">
        <f>ROMAN(22576)</f>
        <v/>
      </c>
      <c r="D22577">
        <f>IF(B22577=C22577, "YES", "WRONG")</f>
        <v/>
      </c>
    </row>
    <row r="22578">
      <c r="A22578" t="n">
        <v>22577</v>
      </c>
      <c r="B22578" t="inlineStr">
        <is>
          <t>x̄x̄MMDLXXVII</t>
        </is>
      </c>
      <c r="C22578">
        <f>ROMAN(22577)</f>
        <v/>
      </c>
      <c r="D22578">
        <f>IF(B22578=C22578, "YES", "WRONG")</f>
        <v/>
      </c>
    </row>
    <row r="22579">
      <c r="A22579" t="n">
        <v>22578</v>
      </c>
      <c r="B22579" t="inlineStr">
        <is>
          <t>x̄x̄MMDLXXVIII</t>
        </is>
      </c>
      <c r="C22579">
        <f>ROMAN(22578)</f>
        <v/>
      </c>
      <c r="D22579">
        <f>IF(B22579=C22579, "YES", "WRONG")</f>
        <v/>
      </c>
    </row>
    <row r="22580">
      <c r="A22580" t="n">
        <v>22579</v>
      </c>
      <c r="B22580" t="inlineStr">
        <is>
          <t>x̄x̄MMDLXXIX</t>
        </is>
      </c>
      <c r="C22580">
        <f>ROMAN(22579)</f>
        <v/>
      </c>
      <c r="D22580">
        <f>IF(B22580=C22580, "YES", "WRONG")</f>
        <v/>
      </c>
    </row>
    <row r="22581">
      <c r="A22581" t="n">
        <v>22580</v>
      </c>
      <c r="B22581" t="inlineStr">
        <is>
          <t>x̄x̄MMDLXXX</t>
        </is>
      </c>
      <c r="C22581">
        <f>ROMAN(22580)</f>
        <v/>
      </c>
      <c r="D22581">
        <f>IF(B22581=C22581, "YES", "WRONG")</f>
        <v/>
      </c>
    </row>
    <row r="22582">
      <c r="A22582" t="n">
        <v>22581</v>
      </c>
      <c r="B22582" t="inlineStr">
        <is>
          <t>x̄x̄MMDLXXXI</t>
        </is>
      </c>
      <c r="C22582">
        <f>ROMAN(22581)</f>
        <v/>
      </c>
      <c r="D22582">
        <f>IF(B22582=C22582, "YES", "WRONG")</f>
        <v/>
      </c>
    </row>
    <row r="22583">
      <c r="A22583" t="n">
        <v>22582</v>
      </c>
      <c r="B22583" t="inlineStr">
        <is>
          <t>x̄x̄MMDLXXXII</t>
        </is>
      </c>
      <c r="C22583">
        <f>ROMAN(22582)</f>
        <v/>
      </c>
      <c r="D22583">
        <f>IF(B22583=C22583, "YES", "WRONG")</f>
        <v/>
      </c>
    </row>
    <row r="22584">
      <c r="A22584" t="n">
        <v>22583</v>
      </c>
      <c r="B22584" t="inlineStr">
        <is>
          <t>x̄x̄MMDLXXXIII</t>
        </is>
      </c>
      <c r="C22584">
        <f>ROMAN(22583)</f>
        <v/>
      </c>
      <c r="D22584">
        <f>IF(B22584=C22584, "YES", "WRONG")</f>
        <v/>
      </c>
    </row>
    <row r="22585">
      <c r="A22585" t="n">
        <v>22584</v>
      </c>
      <c r="B22585" t="inlineStr">
        <is>
          <t>x̄x̄MMDLXXXIV</t>
        </is>
      </c>
      <c r="C22585">
        <f>ROMAN(22584)</f>
        <v/>
      </c>
      <c r="D22585">
        <f>IF(B22585=C22585, "YES", "WRONG")</f>
        <v/>
      </c>
    </row>
    <row r="22586">
      <c r="A22586" t="n">
        <v>22585</v>
      </c>
      <c r="B22586" t="inlineStr">
        <is>
          <t>x̄x̄MMDLXXXV</t>
        </is>
      </c>
      <c r="C22586">
        <f>ROMAN(22585)</f>
        <v/>
      </c>
      <c r="D22586">
        <f>IF(B22586=C22586, "YES", "WRONG")</f>
        <v/>
      </c>
    </row>
    <row r="22587">
      <c r="A22587" t="n">
        <v>22586</v>
      </c>
      <c r="B22587" t="inlineStr">
        <is>
          <t>x̄x̄MMDLXXXVI</t>
        </is>
      </c>
      <c r="C22587">
        <f>ROMAN(22586)</f>
        <v/>
      </c>
      <c r="D22587">
        <f>IF(B22587=C22587, "YES", "WRONG")</f>
        <v/>
      </c>
    </row>
    <row r="22588">
      <c r="A22588" t="n">
        <v>22587</v>
      </c>
      <c r="B22588" t="inlineStr">
        <is>
          <t>x̄x̄MMDLXXXVII</t>
        </is>
      </c>
      <c r="C22588">
        <f>ROMAN(22587)</f>
        <v/>
      </c>
      <c r="D22588">
        <f>IF(B22588=C22588, "YES", "WRONG")</f>
        <v/>
      </c>
    </row>
    <row r="22589">
      <c r="A22589" t="n">
        <v>22588</v>
      </c>
      <c r="B22589" t="inlineStr">
        <is>
          <t>x̄x̄MMDLXXXVIII</t>
        </is>
      </c>
      <c r="C22589">
        <f>ROMAN(22588)</f>
        <v/>
      </c>
      <c r="D22589">
        <f>IF(B22589=C22589, "YES", "WRONG")</f>
        <v/>
      </c>
    </row>
    <row r="22590">
      <c r="A22590" t="n">
        <v>22589</v>
      </c>
      <c r="B22590" t="inlineStr">
        <is>
          <t>x̄x̄MMDLXXXIX</t>
        </is>
      </c>
      <c r="C22590">
        <f>ROMAN(22589)</f>
        <v/>
      </c>
      <c r="D22590">
        <f>IF(B22590=C22590, "YES", "WRONG")</f>
        <v/>
      </c>
    </row>
    <row r="22591">
      <c r="A22591" t="n">
        <v>22590</v>
      </c>
      <c r="B22591" t="inlineStr">
        <is>
          <t>x̄x̄MMDXC</t>
        </is>
      </c>
      <c r="C22591">
        <f>ROMAN(22590)</f>
        <v/>
      </c>
      <c r="D22591">
        <f>IF(B22591=C22591, "YES", "WRONG")</f>
        <v/>
      </c>
    </row>
    <row r="22592">
      <c r="A22592" t="n">
        <v>22591</v>
      </c>
      <c r="B22592" t="inlineStr">
        <is>
          <t>x̄x̄MMDXCI</t>
        </is>
      </c>
      <c r="C22592">
        <f>ROMAN(22591)</f>
        <v/>
      </c>
      <c r="D22592">
        <f>IF(B22592=C22592, "YES", "WRONG")</f>
        <v/>
      </c>
    </row>
    <row r="22593">
      <c r="A22593" t="n">
        <v>22592</v>
      </c>
      <c r="B22593" t="inlineStr">
        <is>
          <t>x̄x̄MMDXCII</t>
        </is>
      </c>
      <c r="C22593">
        <f>ROMAN(22592)</f>
        <v/>
      </c>
      <c r="D22593">
        <f>IF(B22593=C22593, "YES", "WRONG")</f>
        <v/>
      </c>
    </row>
    <row r="22594">
      <c r="A22594" t="n">
        <v>22593</v>
      </c>
      <c r="B22594" t="inlineStr">
        <is>
          <t>x̄x̄MMDXCIII</t>
        </is>
      </c>
      <c r="C22594">
        <f>ROMAN(22593)</f>
        <v/>
      </c>
      <c r="D22594">
        <f>IF(B22594=C22594, "YES", "WRONG")</f>
        <v/>
      </c>
    </row>
    <row r="22595">
      <c r="A22595" t="n">
        <v>22594</v>
      </c>
      <c r="B22595" t="inlineStr">
        <is>
          <t>x̄x̄MMDXCIV</t>
        </is>
      </c>
      <c r="C22595">
        <f>ROMAN(22594)</f>
        <v/>
      </c>
      <c r="D22595">
        <f>IF(B22595=C22595, "YES", "WRONG")</f>
        <v/>
      </c>
    </row>
    <row r="22596">
      <c r="A22596" t="n">
        <v>22595</v>
      </c>
      <c r="B22596" t="inlineStr">
        <is>
          <t>x̄x̄MMDXCV</t>
        </is>
      </c>
      <c r="C22596">
        <f>ROMAN(22595)</f>
        <v/>
      </c>
      <c r="D22596">
        <f>IF(B22596=C22596, "YES", "WRONG")</f>
        <v/>
      </c>
    </row>
    <row r="22597">
      <c r="A22597" t="n">
        <v>22596</v>
      </c>
      <c r="B22597" t="inlineStr">
        <is>
          <t>x̄x̄MMDXCVI</t>
        </is>
      </c>
      <c r="C22597">
        <f>ROMAN(22596)</f>
        <v/>
      </c>
      <c r="D22597">
        <f>IF(B22597=C22597, "YES", "WRONG")</f>
        <v/>
      </c>
    </row>
    <row r="22598">
      <c r="A22598" t="n">
        <v>22597</v>
      </c>
      <c r="B22598" t="inlineStr">
        <is>
          <t>x̄x̄MMDXCVII</t>
        </is>
      </c>
      <c r="C22598">
        <f>ROMAN(22597)</f>
        <v/>
      </c>
      <c r="D22598">
        <f>IF(B22598=C22598, "YES", "WRONG")</f>
        <v/>
      </c>
    </row>
    <row r="22599">
      <c r="A22599" t="n">
        <v>22598</v>
      </c>
      <c r="B22599" t="inlineStr">
        <is>
          <t>x̄x̄MMDXCVIII</t>
        </is>
      </c>
      <c r="C22599">
        <f>ROMAN(22598)</f>
        <v/>
      </c>
      <c r="D22599">
        <f>IF(B22599=C22599, "YES", "WRONG")</f>
        <v/>
      </c>
    </row>
    <row r="22600">
      <c r="A22600" t="n">
        <v>22599</v>
      </c>
      <c r="B22600" t="inlineStr">
        <is>
          <t>x̄x̄MMDXCIX</t>
        </is>
      </c>
      <c r="C22600">
        <f>ROMAN(22599)</f>
        <v/>
      </c>
      <c r="D22600">
        <f>IF(B22600=C22600, "YES", "WRONG")</f>
        <v/>
      </c>
    </row>
    <row r="22601">
      <c r="A22601" t="n">
        <v>22600</v>
      </c>
      <c r="B22601" t="inlineStr">
        <is>
          <t>x̄x̄MMDC</t>
        </is>
      </c>
      <c r="C22601">
        <f>ROMAN(22600)</f>
        <v/>
      </c>
      <c r="D22601">
        <f>IF(B22601=C22601, "YES", "WRONG")</f>
        <v/>
      </c>
    </row>
    <row r="22602">
      <c r="A22602" t="n">
        <v>22601</v>
      </c>
      <c r="B22602" t="inlineStr">
        <is>
          <t>x̄x̄MMDCI</t>
        </is>
      </c>
      <c r="C22602">
        <f>ROMAN(22601)</f>
        <v/>
      </c>
      <c r="D22602">
        <f>IF(B22602=C22602, "YES", "WRONG")</f>
        <v/>
      </c>
    </row>
    <row r="22603">
      <c r="A22603" t="n">
        <v>22602</v>
      </c>
      <c r="B22603" t="inlineStr">
        <is>
          <t>x̄x̄MMDCII</t>
        </is>
      </c>
      <c r="C22603">
        <f>ROMAN(22602)</f>
        <v/>
      </c>
      <c r="D22603">
        <f>IF(B22603=C22603, "YES", "WRONG")</f>
        <v/>
      </c>
    </row>
    <row r="22604">
      <c r="A22604" t="n">
        <v>22603</v>
      </c>
      <c r="B22604" t="inlineStr">
        <is>
          <t>x̄x̄MMDCIII</t>
        </is>
      </c>
      <c r="C22604">
        <f>ROMAN(22603)</f>
        <v/>
      </c>
      <c r="D22604">
        <f>IF(B22604=C22604, "YES", "WRONG")</f>
        <v/>
      </c>
    </row>
    <row r="22605">
      <c r="A22605" t="n">
        <v>22604</v>
      </c>
      <c r="B22605" t="inlineStr">
        <is>
          <t>x̄x̄MMDCIV</t>
        </is>
      </c>
      <c r="C22605">
        <f>ROMAN(22604)</f>
        <v/>
      </c>
      <c r="D22605">
        <f>IF(B22605=C22605, "YES", "WRONG")</f>
        <v/>
      </c>
    </row>
    <row r="22606">
      <c r="A22606" t="n">
        <v>22605</v>
      </c>
      <c r="B22606" t="inlineStr">
        <is>
          <t>x̄x̄MMDCV</t>
        </is>
      </c>
      <c r="C22606">
        <f>ROMAN(22605)</f>
        <v/>
      </c>
      <c r="D22606">
        <f>IF(B22606=C22606, "YES", "WRONG")</f>
        <v/>
      </c>
    </row>
    <row r="22607">
      <c r="A22607" t="n">
        <v>22606</v>
      </c>
      <c r="B22607" t="inlineStr">
        <is>
          <t>x̄x̄MMDCVI</t>
        </is>
      </c>
      <c r="C22607">
        <f>ROMAN(22606)</f>
        <v/>
      </c>
      <c r="D22607">
        <f>IF(B22607=C22607, "YES", "WRONG")</f>
        <v/>
      </c>
    </row>
    <row r="22608">
      <c r="A22608" t="n">
        <v>22607</v>
      </c>
      <c r="B22608" t="inlineStr">
        <is>
          <t>x̄x̄MMDCVII</t>
        </is>
      </c>
      <c r="C22608">
        <f>ROMAN(22607)</f>
        <v/>
      </c>
      <c r="D22608">
        <f>IF(B22608=C22608, "YES", "WRONG")</f>
        <v/>
      </c>
    </row>
    <row r="22609">
      <c r="A22609" t="n">
        <v>22608</v>
      </c>
      <c r="B22609" t="inlineStr">
        <is>
          <t>x̄x̄MMDCVIII</t>
        </is>
      </c>
      <c r="C22609">
        <f>ROMAN(22608)</f>
        <v/>
      </c>
      <c r="D22609">
        <f>IF(B22609=C22609, "YES", "WRONG")</f>
        <v/>
      </c>
    </row>
    <row r="22610">
      <c r="A22610" t="n">
        <v>22609</v>
      </c>
      <c r="B22610" t="inlineStr">
        <is>
          <t>x̄x̄MMDCIX</t>
        </is>
      </c>
      <c r="C22610">
        <f>ROMAN(22609)</f>
        <v/>
      </c>
      <c r="D22610">
        <f>IF(B22610=C22610, "YES", "WRONG")</f>
        <v/>
      </c>
    </row>
    <row r="22611">
      <c r="A22611" t="n">
        <v>22610</v>
      </c>
      <c r="B22611" t="inlineStr">
        <is>
          <t>x̄x̄MMDCX</t>
        </is>
      </c>
      <c r="C22611">
        <f>ROMAN(22610)</f>
        <v/>
      </c>
      <c r="D22611">
        <f>IF(B22611=C22611, "YES", "WRONG")</f>
        <v/>
      </c>
    </row>
    <row r="22612">
      <c r="A22612" t="n">
        <v>22611</v>
      </c>
      <c r="B22612" t="inlineStr">
        <is>
          <t>x̄x̄MMDCXI</t>
        </is>
      </c>
      <c r="C22612">
        <f>ROMAN(22611)</f>
        <v/>
      </c>
      <c r="D22612">
        <f>IF(B22612=C22612, "YES", "WRONG")</f>
        <v/>
      </c>
    </row>
    <row r="22613">
      <c r="A22613" t="n">
        <v>22612</v>
      </c>
      <c r="B22613" t="inlineStr">
        <is>
          <t>x̄x̄MMDCXII</t>
        </is>
      </c>
      <c r="C22613">
        <f>ROMAN(22612)</f>
        <v/>
      </c>
      <c r="D22613">
        <f>IF(B22613=C22613, "YES", "WRONG")</f>
        <v/>
      </c>
    </row>
    <row r="22614">
      <c r="A22614" t="n">
        <v>22613</v>
      </c>
      <c r="B22614" t="inlineStr">
        <is>
          <t>x̄x̄MMDCXIII</t>
        </is>
      </c>
      <c r="C22614">
        <f>ROMAN(22613)</f>
        <v/>
      </c>
      <c r="D22614">
        <f>IF(B22614=C22614, "YES", "WRONG")</f>
        <v/>
      </c>
    </row>
    <row r="22615">
      <c r="A22615" t="n">
        <v>22614</v>
      </c>
      <c r="B22615" t="inlineStr">
        <is>
          <t>x̄x̄MMDCXIV</t>
        </is>
      </c>
      <c r="C22615">
        <f>ROMAN(22614)</f>
        <v/>
      </c>
      <c r="D22615">
        <f>IF(B22615=C22615, "YES", "WRONG")</f>
        <v/>
      </c>
    </row>
    <row r="22616">
      <c r="A22616" t="n">
        <v>22615</v>
      </c>
      <c r="B22616" t="inlineStr">
        <is>
          <t>x̄x̄MMDCXV</t>
        </is>
      </c>
      <c r="C22616">
        <f>ROMAN(22615)</f>
        <v/>
      </c>
      <c r="D22616">
        <f>IF(B22616=C22616, "YES", "WRONG")</f>
        <v/>
      </c>
    </row>
    <row r="22617">
      <c r="A22617" t="n">
        <v>22616</v>
      </c>
      <c r="B22617" t="inlineStr">
        <is>
          <t>x̄x̄MMDCXVI</t>
        </is>
      </c>
      <c r="C22617">
        <f>ROMAN(22616)</f>
        <v/>
      </c>
      <c r="D22617">
        <f>IF(B22617=C22617, "YES", "WRONG")</f>
        <v/>
      </c>
    </row>
    <row r="22618">
      <c r="A22618" t="n">
        <v>22617</v>
      </c>
      <c r="B22618" t="inlineStr">
        <is>
          <t>x̄x̄MMDCXVII</t>
        </is>
      </c>
      <c r="C22618">
        <f>ROMAN(22617)</f>
        <v/>
      </c>
      <c r="D22618">
        <f>IF(B22618=C22618, "YES", "WRONG")</f>
        <v/>
      </c>
    </row>
    <row r="22619">
      <c r="A22619" t="n">
        <v>22618</v>
      </c>
      <c r="B22619" t="inlineStr">
        <is>
          <t>x̄x̄MMDCXVIII</t>
        </is>
      </c>
      <c r="C22619">
        <f>ROMAN(22618)</f>
        <v/>
      </c>
      <c r="D22619">
        <f>IF(B22619=C22619, "YES", "WRONG")</f>
        <v/>
      </c>
    </row>
    <row r="22620">
      <c r="A22620" t="n">
        <v>22619</v>
      </c>
      <c r="B22620" t="inlineStr">
        <is>
          <t>x̄x̄MMDCXIX</t>
        </is>
      </c>
      <c r="C22620">
        <f>ROMAN(22619)</f>
        <v/>
      </c>
      <c r="D22620">
        <f>IF(B22620=C22620, "YES", "WRONG")</f>
        <v/>
      </c>
    </row>
    <row r="22621">
      <c r="A22621" t="n">
        <v>22620</v>
      </c>
      <c r="B22621" t="inlineStr">
        <is>
          <t>x̄x̄MMDCXX</t>
        </is>
      </c>
      <c r="C22621">
        <f>ROMAN(22620)</f>
        <v/>
      </c>
      <c r="D22621">
        <f>IF(B22621=C22621, "YES", "WRONG")</f>
        <v/>
      </c>
    </row>
    <row r="22622">
      <c r="A22622" t="n">
        <v>22621</v>
      </c>
      <c r="B22622" t="inlineStr">
        <is>
          <t>x̄x̄MMDCXXI</t>
        </is>
      </c>
      <c r="C22622">
        <f>ROMAN(22621)</f>
        <v/>
      </c>
      <c r="D22622">
        <f>IF(B22622=C22622, "YES", "WRONG")</f>
        <v/>
      </c>
    </row>
    <row r="22623">
      <c r="A22623" t="n">
        <v>22622</v>
      </c>
      <c r="B22623" t="inlineStr">
        <is>
          <t>x̄x̄MMDCXXII</t>
        </is>
      </c>
      <c r="C22623">
        <f>ROMAN(22622)</f>
        <v/>
      </c>
      <c r="D22623">
        <f>IF(B22623=C22623, "YES", "WRONG")</f>
        <v/>
      </c>
    </row>
    <row r="22624">
      <c r="A22624" t="n">
        <v>22623</v>
      </c>
      <c r="B22624" t="inlineStr">
        <is>
          <t>x̄x̄MMDCXXIII</t>
        </is>
      </c>
      <c r="C22624">
        <f>ROMAN(22623)</f>
        <v/>
      </c>
      <c r="D22624">
        <f>IF(B22624=C22624, "YES", "WRONG")</f>
        <v/>
      </c>
    </row>
    <row r="22625">
      <c r="A22625" t="n">
        <v>22624</v>
      </c>
      <c r="B22625" t="inlineStr">
        <is>
          <t>x̄x̄MMDCXXIV</t>
        </is>
      </c>
      <c r="C22625">
        <f>ROMAN(22624)</f>
        <v/>
      </c>
      <c r="D22625">
        <f>IF(B22625=C22625, "YES", "WRONG")</f>
        <v/>
      </c>
    </row>
    <row r="22626">
      <c r="A22626" t="n">
        <v>22625</v>
      </c>
      <c r="B22626" t="inlineStr">
        <is>
          <t>x̄x̄MMDCXXV</t>
        </is>
      </c>
      <c r="C22626">
        <f>ROMAN(22625)</f>
        <v/>
      </c>
      <c r="D22626">
        <f>IF(B22626=C22626, "YES", "WRONG")</f>
        <v/>
      </c>
    </row>
    <row r="22627">
      <c r="A22627" t="n">
        <v>22626</v>
      </c>
      <c r="B22627" t="inlineStr">
        <is>
          <t>x̄x̄MMDCXXVI</t>
        </is>
      </c>
      <c r="C22627">
        <f>ROMAN(22626)</f>
        <v/>
      </c>
      <c r="D22627">
        <f>IF(B22627=C22627, "YES", "WRONG")</f>
        <v/>
      </c>
    </row>
    <row r="22628">
      <c r="A22628" t="n">
        <v>22627</v>
      </c>
      <c r="B22628" t="inlineStr">
        <is>
          <t>x̄x̄MMDCXXVII</t>
        </is>
      </c>
      <c r="C22628">
        <f>ROMAN(22627)</f>
        <v/>
      </c>
      <c r="D22628">
        <f>IF(B22628=C22628, "YES", "WRONG")</f>
        <v/>
      </c>
    </row>
    <row r="22629">
      <c r="A22629" t="n">
        <v>22628</v>
      </c>
      <c r="B22629" t="inlineStr">
        <is>
          <t>x̄x̄MMDCXXVIII</t>
        </is>
      </c>
      <c r="C22629">
        <f>ROMAN(22628)</f>
        <v/>
      </c>
      <c r="D22629">
        <f>IF(B22629=C22629, "YES", "WRONG")</f>
        <v/>
      </c>
    </row>
    <row r="22630">
      <c r="A22630" t="n">
        <v>22629</v>
      </c>
      <c r="B22630" t="inlineStr">
        <is>
          <t>x̄x̄MMDCXXIX</t>
        </is>
      </c>
      <c r="C22630">
        <f>ROMAN(22629)</f>
        <v/>
      </c>
      <c r="D22630">
        <f>IF(B22630=C22630, "YES", "WRONG")</f>
        <v/>
      </c>
    </row>
    <row r="22631">
      <c r="A22631" t="n">
        <v>22630</v>
      </c>
      <c r="B22631" t="inlineStr">
        <is>
          <t>x̄x̄MMDCXXX</t>
        </is>
      </c>
      <c r="C22631">
        <f>ROMAN(22630)</f>
        <v/>
      </c>
      <c r="D22631">
        <f>IF(B22631=C22631, "YES", "WRONG")</f>
        <v/>
      </c>
    </row>
    <row r="22632">
      <c r="A22632" t="n">
        <v>22631</v>
      </c>
      <c r="B22632" t="inlineStr">
        <is>
          <t>x̄x̄MMDCXXXI</t>
        </is>
      </c>
      <c r="C22632">
        <f>ROMAN(22631)</f>
        <v/>
      </c>
      <c r="D22632">
        <f>IF(B22632=C22632, "YES", "WRONG")</f>
        <v/>
      </c>
    </row>
    <row r="22633">
      <c r="A22633" t="n">
        <v>22632</v>
      </c>
      <c r="B22633" t="inlineStr">
        <is>
          <t>x̄x̄MMDCXXXII</t>
        </is>
      </c>
      <c r="C22633">
        <f>ROMAN(22632)</f>
        <v/>
      </c>
      <c r="D22633">
        <f>IF(B22633=C22633, "YES", "WRONG")</f>
        <v/>
      </c>
    </row>
    <row r="22634">
      <c r="A22634" t="n">
        <v>22633</v>
      </c>
      <c r="B22634" t="inlineStr">
        <is>
          <t>x̄x̄MMDCXXXIII</t>
        </is>
      </c>
      <c r="C22634">
        <f>ROMAN(22633)</f>
        <v/>
      </c>
      <c r="D22634">
        <f>IF(B22634=C22634, "YES", "WRONG")</f>
        <v/>
      </c>
    </row>
    <row r="22635">
      <c r="A22635" t="n">
        <v>22634</v>
      </c>
      <c r="B22635" t="inlineStr">
        <is>
          <t>x̄x̄MMDCXXXIV</t>
        </is>
      </c>
      <c r="C22635">
        <f>ROMAN(22634)</f>
        <v/>
      </c>
      <c r="D22635">
        <f>IF(B22635=C22635, "YES", "WRONG")</f>
        <v/>
      </c>
    </row>
    <row r="22636">
      <c r="A22636" t="n">
        <v>22635</v>
      </c>
      <c r="B22636" t="inlineStr">
        <is>
          <t>x̄x̄MMDCXXXV</t>
        </is>
      </c>
      <c r="C22636">
        <f>ROMAN(22635)</f>
        <v/>
      </c>
      <c r="D22636">
        <f>IF(B22636=C22636, "YES", "WRONG")</f>
        <v/>
      </c>
    </row>
    <row r="22637">
      <c r="A22637" t="n">
        <v>22636</v>
      </c>
      <c r="B22637" t="inlineStr">
        <is>
          <t>x̄x̄MMDCXXXVI</t>
        </is>
      </c>
      <c r="C22637">
        <f>ROMAN(22636)</f>
        <v/>
      </c>
      <c r="D22637">
        <f>IF(B22637=C22637, "YES", "WRONG")</f>
        <v/>
      </c>
    </row>
    <row r="22638">
      <c r="A22638" t="n">
        <v>22637</v>
      </c>
      <c r="B22638" t="inlineStr">
        <is>
          <t>x̄x̄MMDCXXXVII</t>
        </is>
      </c>
      <c r="C22638">
        <f>ROMAN(22637)</f>
        <v/>
      </c>
      <c r="D22638">
        <f>IF(B22638=C22638, "YES", "WRONG")</f>
        <v/>
      </c>
    </row>
    <row r="22639">
      <c r="A22639" t="n">
        <v>22638</v>
      </c>
      <c r="B22639" t="inlineStr">
        <is>
          <t>x̄x̄MMDCXXXVIII</t>
        </is>
      </c>
      <c r="C22639">
        <f>ROMAN(22638)</f>
        <v/>
      </c>
      <c r="D22639">
        <f>IF(B22639=C22639, "YES", "WRONG")</f>
        <v/>
      </c>
    </row>
    <row r="22640">
      <c r="A22640" t="n">
        <v>22639</v>
      </c>
      <c r="B22640" t="inlineStr">
        <is>
          <t>x̄x̄MMDCXXXIX</t>
        </is>
      </c>
      <c r="C22640">
        <f>ROMAN(22639)</f>
        <v/>
      </c>
      <c r="D22640">
        <f>IF(B22640=C22640, "YES", "WRONG")</f>
        <v/>
      </c>
    </row>
    <row r="22641">
      <c r="A22641" t="n">
        <v>22640</v>
      </c>
      <c r="B22641" t="inlineStr">
        <is>
          <t>x̄x̄MMDCXL</t>
        </is>
      </c>
      <c r="C22641">
        <f>ROMAN(22640)</f>
        <v/>
      </c>
      <c r="D22641">
        <f>IF(B22641=C22641, "YES", "WRONG")</f>
        <v/>
      </c>
    </row>
    <row r="22642">
      <c r="A22642" t="n">
        <v>22641</v>
      </c>
      <c r="B22642" t="inlineStr">
        <is>
          <t>x̄x̄MMDCXLI</t>
        </is>
      </c>
      <c r="C22642">
        <f>ROMAN(22641)</f>
        <v/>
      </c>
      <c r="D22642">
        <f>IF(B22642=C22642, "YES", "WRONG")</f>
        <v/>
      </c>
    </row>
    <row r="22643">
      <c r="A22643" t="n">
        <v>22642</v>
      </c>
      <c r="B22643" t="inlineStr">
        <is>
          <t>x̄x̄MMDCXLII</t>
        </is>
      </c>
      <c r="C22643">
        <f>ROMAN(22642)</f>
        <v/>
      </c>
      <c r="D22643">
        <f>IF(B22643=C22643, "YES", "WRONG")</f>
        <v/>
      </c>
    </row>
    <row r="22644">
      <c r="A22644" t="n">
        <v>22643</v>
      </c>
      <c r="B22644" t="inlineStr">
        <is>
          <t>x̄x̄MMDCXLIII</t>
        </is>
      </c>
      <c r="C22644">
        <f>ROMAN(22643)</f>
        <v/>
      </c>
      <c r="D22644">
        <f>IF(B22644=C22644, "YES", "WRONG")</f>
        <v/>
      </c>
    </row>
    <row r="22645">
      <c r="A22645" t="n">
        <v>22644</v>
      </c>
      <c r="B22645" t="inlineStr">
        <is>
          <t>x̄x̄MMDCXLIV</t>
        </is>
      </c>
      <c r="C22645">
        <f>ROMAN(22644)</f>
        <v/>
      </c>
      <c r="D22645">
        <f>IF(B22645=C22645, "YES", "WRONG")</f>
        <v/>
      </c>
    </row>
    <row r="22646">
      <c r="A22646" t="n">
        <v>22645</v>
      </c>
      <c r="B22646" t="inlineStr">
        <is>
          <t>x̄x̄MMDCXLV</t>
        </is>
      </c>
      <c r="C22646">
        <f>ROMAN(22645)</f>
        <v/>
      </c>
      <c r="D22646">
        <f>IF(B22646=C22646, "YES", "WRONG")</f>
        <v/>
      </c>
    </row>
    <row r="22647">
      <c r="A22647" t="n">
        <v>22646</v>
      </c>
      <c r="B22647" t="inlineStr">
        <is>
          <t>x̄x̄MMDCXLVI</t>
        </is>
      </c>
      <c r="C22647">
        <f>ROMAN(22646)</f>
        <v/>
      </c>
      <c r="D22647">
        <f>IF(B22647=C22647, "YES", "WRONG")</f>
        <v/>
      </c>
    </row>
    <row r="22648">
      <c r="A22648" t="n">
        <v>22647</v>
      </c>
      <c r="B22648" t="inlineStr">
        <is>
          <t>x̄x̄MMDCXLVII</t>
        </is>
      </c>
      <c r="C22648">
        <f>ROMAN(22647)</f>
        <v/>
      </c>
      <c r="D22648">
        <f>IF(B22648=C22648, "YES", "WRONG")</f>
        <v/>
      </c>
    </row>
    <row r="22649">
      <c r="A22649" t="n">
        <v>22648</v>
      </c>
      <c r="B22649" t="inlineStr">
        <is>
          <t>x̄x̄MMDCXLVIII</t>
        </is>
      </c>
      <c r="C22649">
        <f>ROMAN(22648)</f>
        <v/>
      </c>
      <c r="D22649">
        <f>IF(B22649=C22649, "YES", "WRONG")</f>
        <v/>
      </c>
    </row>
    <row r="22650">
      <c r="A22650" t="n">
        <v>22649</v>
      </c>
      <c r="B22650" t="inlineStr">
        <is>
          <t>x̄x̄MMDCXLIX</t>
        </is>
      </c>
      <c r="C22650">
        <f>ROMAN(22649)</f>
        <v/>
      </c>
      <c r="D22650">
        <f>IF(B22650=C22650, "YES", "WRONG")</f>
        <v/>
      </c>
    </row>
    <row r="22651">
      <c r="A22651" t="n">
        <v>22650</v>
      </c>
      <c r="B22651" t="inlineStr">
        <is>
          <t>x̄x̄MMDCL</t>
        </is>
      </c>
      <c r="C22651">
        <f>ROMAN(22650)</f>
        <v/>
      </c>
      <c r="D22651">
        <f>IF(B22651=C22651, "YES", "WRONG")</f>
        <v/>
      </c>
    </row>
    <row r="22652">
      <c r="A22652" t="n">
        <v>22651</v>
      </c>
      <c r="B22652" t="inlineStr">
        <is>
          <t>x̄x̄MMDCLI</t>
        </is>
      </c>
      <c r="C22652">
        <f>ROMAN(22651)</f>
        <v/>
      </c>
      <c r="D22652">
        <f>IF(B22652=C22652, "YES", "WRONG")</f>
        <v/>
      </c>
    </row>
    <row r="22653">
      <c r="A22653" t="n">
        <v>22652</v>
      </c>
      <c r="B22653" t="inlineStr">
        <is>
          <t>x̄x̄MMDCLII</t>
        </is>
      </c>
      <c r="C22653">
        <f>ROMAN(22652)</f>
        <v/>
      </c>
      <c r="D22653">
        <f>IF(B22653=C22653, "YES", "WRONG")</f>
        <v/>
      </c>
    </row>
    <row r="22654">
      <c r="A22654" t="n">
        <v>22653</v>
      </c>
      <c r="B22654" t="inlineStr">
        <is>
          <t>x̄x̄MMDCLIII</t>
        </is>
      </c>
      <c r="C22654">
        <f>ROMAN(22653)</f>
        <v/>
      </c>
      <c r="D22654">
        <f>IF(B22654=C22654, "YES", "WRONG")</f>
        <v/>
      </c>
    </row>
    <row r="22655">
      <c r="A22655" t="n">
        <v>22654</v>
      </c>
      <c r="B22655" t="inlineStr">
        <is>
          <t>x̄x̄MMDCLIV</t>
        </is>
      </c>
      <c r="C22655">
        <f>ROMAN(22654)</f>
        <v/>
      </c>
      <c r="D22655">
        <f>IF(B22655=C22655, "YES", "WRONG")</f>
        <v/>
      </c>
    </row>
    <row r="22656">
      <c r="A22656" t="n">
        <v>22655</v>
      </c>
      <c r="B22656" t="inlineStr">
        <is>
          <t>x̄x̄MMDCLV</t>
        </is>
      </c>
      <c r="C22656">
        <f>ROMAN(22655)</f>
        <v/>
      </c>
      <c r="D22656">
        <f>IF(B22656=C22656, "YES", "WRONG")</f>
        <v/>
      </c>
    </row>
    <row r="22657">
      <c r="A22657" t="n">
        <v>22656</v>
      </c>
      <c r="B22657" t="inlineStr">
        <is>
          <t>x̄x̄MMDCLVI</t>
        </is>
      </c>
      <c r="C22657">
        <f>ROMAN(22656)</f>
        <v/>
      </c>
      <c r="D22657">
        <f>IF(B22657=C22657, "YES", "WRONG")</f>
        <v/>
      </c>
    </row>
    <row r="22658">
      <c r="A22658" t="n">
        <v>22657</v>
      </c>
      <c r="B22658" t="inlineStr">
        <is>
          <t>x̄x̄MMDCLVII</t>
        </is>
      </c>
      <c r="C22658">
        <f>ROMAN(22657)</f>
        <v/>
      </c>
      <c r="D22658">
        <f>IF(B22658=C22658, "YES", "WRONG")</f>
        <v/>
      </c>
    </row>
    <row r="22659">
      <c r="A22659" t="n">
        <v>22658</v>
      </c>
      <c r="B22659" t="inlineStr">
        <is>
          <t>x̄x̄MMDCLVIII</t>
        </is>
      </c>
      <c r="C22659">
        <f>ROMAN(22658)</f>
        <v/>
      </c>
      <c r="D22659">
        <f>IF(B22659=C22659, "YES", "WRONG")</f>
        <v/>
      </c>
    </row>
    <row r="22660">
      <c r="A22660" t="n">
        <v>22659</v>
      </c>
      <c r="B22660" t="inlineStr">
        <is>
          <t>x̄x̄MMDCLIX</t>
        </is>
      </c>
      <c r="C22660">
        <f>ROMAN(22659)</f>
        <v/>
      </c>
      <c r="D22660">
        <f>IF(B22660=C22660, "YES", "WRONG")</f>
        <v/>
      </c>
    </row>
    <row r="22661">
      <c r="A22661" t="n">
        <v>22660</v>
      </c>
      <c r="B22661" t="inlineStr">
        <is>
          <t>x̄x̄MMDCLX</t>
        </is>
      </c>
      <c r="C22661">
        <f>ROMAN(22660)</f>
        <v/>
      </c>
      <c r="D22661">
        <f>IF(B22661=C22661, "YES", "WRONG")</f>
        <v/>
      </c>
    </row>
    <row r="22662">
      <c r="A22662" t="n">
        <v>22661</v>
      </c>
      <c r="B22662" t="inlineStr">
        <is>
          <t>x̄x̄MMDCLXI</t>
        </is>
      </c>
      <c r="C22662">
        <f>ROMAN(22661)</f>
        <v/>
      </c>
      <c r="D22662">
        <f>IF(B22662=C22662, "YES", "WRONG")</f>
        <v/>
      </c>
    </row>
    <row r="22663">
      <c r="A22663" t="n">
        <v>22662</v>
      </c>
      <c r="B22663" t="inlineStr">
        <is>
          <t>x̄x̄MMDCLXII</t>
        </is>
      </c>
      <c r="C22663">
        <f>ROMAN(22662)</f>
        <v/>
      </c>
      <c r="D22663">
        <f>IF(B22663=C22663, "YES", "WRONG")</f>
        <v/>
      </c>
    </row>
    <row r="22664">
      <c r="A22664" t="n">
        <v>22663</v>
      </c>
      <c r="B22664" t="inlineStr">
        <is>
          <t>x̄x̄MMDCLXIII</t>
        </is>
      </c>
      <c r="C22664">
        <f>ROMAN(22663)</f>
        <v/>
      </c>
      <c r="D22664">
        <f>IF(B22664=C22664, "YES", "WRONG")</f>
        <v/>
      </c>
    </row>
    <row r="22665">
      <c r="A22665" t="n">
        <v>22664</v>
      </c>
      <c r="B22665" t="inlineStr">
        <is>
          <t>x̄x̄MMDCLXIV</t>
        </is>
      </c>
      <c r="C22665">
        <f>ROMAN(22664)</f>
        <v/>
      </c>
      <c r="D22665">
        <f>IF(B22665=C22665, "YES", "WRONG")</f>
        <v/>
      </c>
    </row>
    <row r="22666">
      <c r="A22666" t="n">
        <v>22665</v>
      </c>
      <c r="B22666" t="inlineStr">
        <is>
          <t>x̄x̄MMDCLXV</t>
        </is>
      </c>
      <c r="C22666">
        <f>ROMAN(22665)</f>
        <v/>
      </c>
      <c r="D22666">
        <f>IF(B22666=C22666, "YES", "WRONG")</f>
        <v/>
      </c>
    </row>
    <row r="22667">
      <c r="A22667" t="n">
        <v>22666</v>
      </c>
      <c r="B22667" t="inlineStr">
        <is>
          <t>x̄x̄MMDCLXVI</t>
        </is>
      </c>
      <c r="C22667">
        <f>ROMAN(22666)</f>
        <v/>
      </c>
      <c r="D22667">
        <f>IF(B22667=C22667, "YES", "WRONG")</f>
        <v/>
      </c>
    </row>
    <row r="22668">
      <c r="A22668" t="n">
        <v>22667</v>
      </c>
      <c r="B22668" t="inlineStr">
        <is>
          <t>x̄x̄MMDCLXVII</t>
        </is>
      </c>
      <c r="C22668">
        <f>ROMAN(22667)</f>
        <v/>
      </c>
      <c r="D22668">
        <f>IF(B22668=C22668, "YES", "WRONG")</f>
        <v/>
      </c>
    </row>
    <row r="22669">
      <c r="A22669" t="n">
        <v>22668</v>
      </c>
      <c r="B22669" t="inlineStr">
        <is>
          <t>x̄x̄MMDCLXVIII</t>
        </is>
      </c>
      <c r="C22669">
        <f>ROMAN(22668)</f>
        <v/>
      </c>
      <c r="D22669">
        <f>IF(B22669=C22669, "YES", "WRONG")</f>
        <v/>
      </c>
    </row>
    <row r="22670">
      <c r="A22670" t="n">
        <v>22669</v>
      </c>
      <c r="B22670" t="inlineStr">
        <is>
          <t>x̄x̄MMDCLXIX</t>
        </is>
      </c>
      <c r="C22670">
        <f>ROMAN(22669)</f>
        <v/>
      </c>
      <c r="D22670">
        <f>IF(B22670=C22670, "YES", "WRONG")</f>
        <v/>
      </c>
    </row>
    <row r="22671">
      <c r="A22671" t="n">
        <v>22670</v>
      </c>
      <c r="B22671" t="inlineStr">
        <is>
          <t>x̄x̄MMDCLXX</t>
        </is>
      </c>
      <c r="C22671">
        <f>ROMAN(22670)</f>
        <v/>
      </c>
      <c r="D22671">
        <f>IF(B22671=C22671, "YES", "WRONG")</f>
        <v/>
      </c>
    </row>
    <row r="22672">
      <c r="A22672" t="n">
        <v>22671</v>
      </c>
      <c r="B22672" t="inlineStr">
        <is>
          <t>x̄x̄MMDCLXXI</t>
        </is>
      </c>
      <c r="C22672">
        <f>ROMAN(22671)</f>
        <v/>
      </c>
      <c r="D22672">
        <f>IF(B22672=C22672, "YES", "WRONG")</f>
        <v/>
      </c>
    </row>
    <row r="22673">
      <c r="A22673" t="n">
        <v>22672</v>
      </c>
      <c r="B22673" t="inlineStr">
        <is>
          <t>x̄x̄MMDCLXXII</t>
        </is>
      </c>
      <c r="C22673">
        <f>ROMAN(22672)</f>
        <v/>
      </c>
      <c r="D22673">
        <f>IF(B22673=C22673, "YES", "WRONG")</f>
        <v/>
      </c>
    </row>
    <row r="22674">
      <c r="A22674" t="n">
        <v>22673</v>
      </c>
      <c r="B22674" t="inlineStr">
        <is>
          <t>x̄x̄MMDCLXXIII</t>
        </is>
      </c>
      <c r="C22674">
        <f>ROMAN(22673)</f>
        <v/>
      </c>
      <c r="D22674">
        <f>IF(B22674=C22674, "YES", "WRONG")</f>
        <v/>
      </c>
    </row>
    <row r="22675">
      <c r="A22675" t="n">
        <v>22674</v>
      </c>
      <c r="B22675" t="inlineStr">
        <is>
          <t>x̄x̄MMDCLXXIV</t>
        </is>
      </c>
      <c r="C22675">
        <f>ROMAN(22674)</f>
        <v/>
      </c>
      <c r="D22675">
        <f>IF(B22675=C22675, "YES", "WRONG")</f>
        <v/>
      </c>
    </row>
    <row r="22676">
      <c r="A22676" t="n">
        <v>22675</v>
      </c>
      <c r="B22676" t="inlineStr">
        <is>
          <t>x̄x̄MMDCLXXV</t>
        </is>
      </c>
      <c r="C22676">
        <f>ROMAN(22675)</f>
        <v/>
      </c>
      <c r="D22676">
        <f>IF(B22676=C22676, "YES", "WRONG")</f>
        <v/>
      </c>
    </row>
    <row r="22677">
      <c r="A22677" t="n">
        <v>22676</v>
      </c>
      <c r="B22677" t="inlineStr">
        <is>
          <t>x̄x̄MMDCLXXVI</t>
        </is>
      </c>
      <c r="C22677">
        <f>ROMAN(22676)</f>
        <v/>
      </c>
      <c r="D22677">
        <f>IF(B22677=C22677, "YES", "WRONG")</f>
        <v/>
      </c>
    </row>
    <row r="22678">
      <c r="A22678" t="n">
        <v>22677</v>
      </c>
      <c r="B22678" t="inlineStr">
        <is>
          <t>x̄x̄MMDCLXXVII</t>
        </is>
      </c>
      <c r="C22678">
        <f>ROMAN(22677)</f>
        <v/>
      </c>
      <c r="D22678">
        <f>IF(B22678=C22678, "YES", "WRONG")</f>
        <v/>
      </c>
    </row>
    <row r="22679">
      <c r="A22679" t="n">
        <v>22678</v>
      </c>
      <c r="B22679" t="inlineStr">
        <is>
          <t>x̄x̄MMDCLXXVIII</t>
        </is>
      </c>
      <c r="C22679">
        <f>ROMAN(22678)</f>
        <v/>
      </c>
      <c r="D22679">
        <f>IF(B22679=C22679, "YES", "WRONG")</f>
        <v/>
      </c>
    </row>
    <row r="22680">
      <c r="A22680" t="n">
        <v>22679</v>
      </c>
      <c r="B22680" t="inlineStr">
        <is>
          <t>x̄x̄MMDCLXXIX</t>
        </is>
      </c>
      <c r="C22680">
        <f>ROMAN(22679)</f>
        <v/>
      </c>
      <c r="D22680">
        <f>IF(B22680=C22680, "YES", "WRONG")</f>
        <v/>
      </c>
    </row>
    <row r="22681">
      <c r="A22681" t="n">
        <v>22680</v>
      </c>
      <c r="B22681" t="inlineStr">
        <is>
          <t>x̄x̄MMDCLXXX</t>
        </is>
      </c>
      <c r="C22681">
        <f>ROMAN(22680)</f>
        <v/>
      </c>
      <c r="D22681">
        <f>IF(B22681=C22681, "YES", "WRONG")</f>
        <v/>
      </c>
    </row>
    <row r="22682">
      <c r="A22682" t="n">
        <v>22681</v>
      </c>
      <c r="B22682" t="inlineStr">
        <is>
          <t>x̄x̄MMDCLXXXI</t>
        </is>
      </c>
      <c r="C22682">
        <f>ROMAN(22681)</f>
        <v/>
      </c>
      <c r="D22682">
        <f>IF(B22682=C22682, "YES", "WRONG")</f>
        <v/>
      </c>
    </row>
    <row r="22683">
      <c r="A22683" t="n">
        <v>22682</v>
      </c>
      <c r="B22683" t="inlineStr">
        <is>
          <t>x̄x̄MMDCLXXXII</t>
        </is>
      </c>
      <c r="C22683">
        <f>ROMAN(22682)</f>
        <v/>
      </c>
      <c r="D22683">
        <f>IF(B22683=C22683, "YES", "WRONG")</f>
        <v/>
      </c>
    </row>
    <row r="22684">
      <c r="A22684" t="n">
        <v>22683</v>
      </c>
      <c r="B22684" t="inlineStr">
        <is>
          <t>x̄x̄MMDCLXXXIII</t>
        </is>
      </c>
      <c r="C22684">
        <f>ROMAN(22683)</f>
        <v/>
      </c>
      <c r="D22684">
        <f>IF(B22684=C22684, "YES", "WRONG")</f>
        <v/>
      </c>
    </row>
    <row r="22685">
      <c r="A22685" t="n">
        <v>22684</v>
      </c>
      <c r="B22685" t="inlineStr">
        <is>
          <t>x̄x̄MMDCLXXXIV</t>
        </is>
      </c>
      <c r="C22685">
        <f>ROMAN(22684)</f>
        <v/>
      </c>
      <c r="D22685">
        <f>IF(B22685=C22685, "YES", "WRONG")</f>
        <v/>
      </c>
    </row>
    <row r="22686">
      <c r="A22686" t="n">
        <v>22685</v>
      </c>
      <c r="B22686" t="inlineStr">
        <is>
          <t>x̄x̄MMDCLXXXV</t>
        </is>
      </c>
      <c r="C22686">
        <f>ROMAN(22685)</f>
        <v/>
      </c>
      <c r="D22686">
        <f>IF(B22686=C22686, "YES", "WRONG")</f>
        <v/>
      </c>
    </row>
    <row r="22687">
      <c r="A22687" t="n">
        <v>22686</v>
      </c>
      <c r="B22687" t="inlineStr">
        <is>
          <t>x̄x̄MMDCLXXXVI</t>
        </is>
      </c>
      <c r="C22687">
        <f>ROMAN(22686)</f>
        <v/>
      </c>
      <c r="D22687">
        <f>IF(B22687=C22687, "YES", "WRONG")</f>
        <v/>
      </c>
    </row>
    <row r="22688">
      <c r="A22688" t="n">
        <v>22687</v>
      </c>
      <c r="B22688" t="inlineStr">
        <is>
          <t>x̄x̄MMDCLXXXVII</t>
        </is>
      </c>
      <c r="C22688">
        <f>ROMAN(22687)</f>
        <v/>
      </c>
      <c r="D22688">
        <f>IF(B22688=C22688, "YES", "WRONG")</f>
        <v/>
      </c>
    </row>
    <row r="22689">
      <c r="A22689" t="n">
        <v>22688</v>
      </c>
      <c r="B22689" t="inlineStr">
        <is>
          <t>x̄x̄MMDCLXXXVIII</t>
        </is>
      </c>
      <c r="C22689">
        <f>ROMAN(22688)</f>
        <v/>
      </c>
      <c r="D22689">
        <f>IF(B22689=C22689, "YES", "WRONG")</f>
        <v/>
      </c>
    </row>
    <row r="22690">
      <c r="A22690" t="n">
        <v>22689</v>
      </c>
      <c r="B22690" t="inlineStr">
        <is>
          <t>x̄x̄MMDCLXXXIX</t>
        </is>
      </c>
      <c r="C22690">
        <f>ROMAN(22689)</f>
        <v/>
      </c>
      <c r="D22690">
        <f>IF(B22690=C22690, "YES", "WRONG")</f>
        <v/>
      </c>
    </row>
    <row r="22691">
      <c r="A22691" t="n">
        <v>22690</v>
      </c>
      <c r="B22691" t="inlineStr">
        <is>
          <t>x̄x̄MMDCXC</t>
        </is>
      </c>
      <c r="C22691">
        <f>ROMAN(22690)</f>
        <v/>
      </c>
      <c r="D22691">
        <f>IF(B22691=C22691, "YES", "WRONG")</f>
        <v/>
      </c>
    </row>
    <row r="22692">
      <c r="A22692" t="n">
        <v>22691</v>
      </c>
      <c r="B22692" t="inlineStr">
        <is>
          <t>x̄x̄MMDCXCI</t>
        </is>
      </c>
      <c r="C22692">
        <f>ROMAN(22691)</f>
        <v/>
      </c>
      <c r="D22692">
        <f>IF(B22692=C22692, "YES", "WRONG")</f>
        <v/>
      </c>
    </row>
    <row r="22693">
      <c r="A22693" t="n">
        <v>22692</v>
      </c>
      <c r="B22693" t="inlineStr">
        <is>
          <t>x̄x̄MMDCXCII</t>
        </is>
      </c>
      <c r="C22693">
        <f>ROMAN(22692)</f>
        <v/>
      </c>
      <c r="D22693">
        <f>IF(B22693=C22693, "YES", "WRONG")</f>
        <v/>
      </c>
    </row>
    <row r="22694">
      <c r="A22694" t="n">
        <v>22693</v>
      </c>
      <c r="B22694" t="inlineStr">
        <is>
          <t>x̄x̄MMDCXCIII</t>
        </is>
      </c>
      <c r="C22694">
        <f>ROMAN(22693)</f>
        <v/>
      </c>
      <c r="D22694">
        <f>IF(B22694=C22694, "YES", "WRONG")</f>
        <v/>
      </c>
    </row>
    <row r="22695">
      <c r="A22695" t="n">
        <v>22694</v>
      </c>
      <c r="B22695" t="inlineStr">
        <is>
          <t>x̄x̄MMDCXCIV</t>
        </is>
      </c>
      <c r="C22695">
        <f>ROMAN(22694)</f>
        <v/>
      </c>
      <c r="D22695">
        <f>IF(B22695=C22695, "YES", "WRONG")</f>
        <v/>
      </c>
    </row>
    <row r="22696">
      <c r="A22696" t="n">
        <v>22695</v>
      </c>
      <c r="B22696" t="inlineStr">
        <is>
          <t>x̄x̄MMDCXCV</t>
        </is>
      </c>
      <c r="C22696">
        <f>ROMAN(22695)</f>
        <v/>
      </c>
      <c r="D22696">
        <f>IF(B22696=C22696, "YES", "WRONG")</f>
        <v/>
      </c>
    </row>
    <row r="22697">
      <c r="A22697" t="n">
        <v>22696</v>
      </c>
      <c r="B22697" t="inlineStr">
        <is>
          <t>x̄x̄MMDCXCVI</t>
        </is>
      </c>
      <c r="C22697">
        <f>ROMAN(22696)</f>
        <v/>
      </c>
      <c r="D22697">
        <f>IF(B22697=C22697, "YES", "WRONG")</f>
        <v/>
      </c>
    </row>
    <row r="22698">
      <c r="A22698" t="n">
        <v>22697</v>
      </c>
      <c r="B22698" t="inlineStr">
        <is>
          <t>x̄x̄MMDCXCVII</t>
        </is>
      </c>
      <c r="C22698">
        <f>ROMAN(22697)</f>
        <v/>
      </c>
      <c r="D22698">
        <f>IF(B22698=C22698, "YES", "WRONG")</f>
        <v/>
      </c>
    </row>
    <row r="22699">
      <c r="A22699" t="n">
        <v>22698</v>
      </c>
      <c r="B22699" t="inlineStr">
        <is>
          <t>x̄x̄MMDCXCVIII</t>
        </is>
      </c>
      <c r="C22699">
        <f>ROMAN(22698)</f>
        <v/>
      </c>
      <c r="D22699">
        <f>IF(B22699=C22699, "YES", "WRONG")</f>
        <v/>
      </c>
    </row>
    <row r="22700">
      <c r="A22700" t="n">
        <v>22699</v>
      </c>
      <c r="B22700" t="inlineStr">
        <is>
          <t>x̄x̄MMDCXCIX</t>
        </is>
      </c>
      <c r="C22700">
        <f>ROMAN(22699)</f>
        <v/>
      </c>
      <c r="D22700">
        <f>IF(B22700=C22700, "YES", "WRONG")</f>
        <v/>
      </c>
    </row>
    <row r="22701">
      <c r="A22701" t="n">
        <v>22700</v>
      </c>
      <c r="B22701" t="inlineStr">
        <is>
          <t>x̄x̄MMDCC</t>
        </is>
      </c>
      <c r="C22701">
        <f>ROMAN(22700)</f>
        <v/>
      </c>
      <c r="D22701">
        <f>IF(B22701=C22701, "YES", "WRONG")</f>
        <v/>
      </c>
    </row>
    <row r="22702">
      <c r="A22702" t="n">
        <v>22701</v>
      </c>
      <c r="B22702" t="inlineStr">
        <is>
          <t>x̄x̄MMDCCI</t>
        </is>
      </c>
      <c r="C22702">
        <f>ROMAN(22701)</f>
        <v/>
      </c>
      <c r="D22702">
        <f>IF(B22702=C22702, "YES", "WRONG")</f>
        <v/>
      </c>
    </row>
    <row r="22703">
      <c r="A22703" t="n">
        <v>22702</v>
      </c>
      <c r="B22703" t="inlineStr">
        <is>
          <t>x̄x̄MMDCCII</t>
        </is>
      </c>
      <c r="C22703">
        <f>ROMAN(22702)</f>
        <v/>
      </c>
      <c r="D22703">
        <f>IF(B22703=C22703, "YES", "WRONG")</f>
        <v/>
      </c>
    </row>
    <row r="22704">
      <c r="A22704" t="n">
        <v>22703</v>
      </c>
      <c r="B22704" t="inlineStr">
        <is>
          <t>x̄x̄MMDCCIII</t>
        </is>
      </c>
      <c r="C22704">
        <f>ROMAN(22703)</f>
        <v/>
      </c>
      <c r="D22704">
        <f>IF(B22704=C22704, "YES", "WRONG")</f>
        <v/>
      </c>
    </row>
    <row r="22705">
      <c r="A22705" t="n">
        <v>22704</v>
      </c>
      <c r="B22705" t="inlineStr">
        <is>
          <t>x̄x̄MMDCCIV</t>
        </is>
      </c>
      <c r="C22705">
        <f>ROMAN(22704)</f>
        <v/>
      </c>
      <c r="D22705">
        <f>IF(B22705=C22705, "YES", "WRONG")</f>
        <v/>
      </c>
    </row>
    <row r="22706">
      <c r="A22706" t="n">
        <v>22705</v>
      </c>
      <c r="B22706" t="inlineStr">
        <is>
          <t>x̄x̄MMDCCV</t>
        </is>
      </c>
      <c r="C22706">
        <f>ROMAN(22705)</f>
        <v/>
      </c>
      <c r="D22706">
        <f>IF(B22706=C22706, "YES", "WRONG")</f>
        <v/>
      </c>
    </row>
    <row r="22707">
      <c r="A22707" t="n">
        <v>22706</v>
      </c>
      <c r="B22707" t="inlineStr">
        <is>
          <t>x̄x̄MMDCCVI</t>
        </is>
      </c>
      <c r="C22707">
        <f>ROMAN(22706)</f>
        <v/>
      </c>
      <c r="D22707">
        <f>IF(B22707=C22707, "YES", "WRONG")</f>
        <v/>
      </c>
    </row>
    <row r="22708">
      <c r="A22708" t="n">
        <v>22707</v>
      </c>
      <c r="B22708" t="inlineStr">
        <is>
          <t>x̄x̄MMDCCVII</t>
        </is>
      </c>
      <c r="C22708">
        <f>ROMAN(22707)</f>
        <v/>
      </c>
      <c r="D22708">
        <f>IF(B22708=C22708, "YES", "WRONG")</f>
        <v/>
      </c>
    </row>
    <row r="22709">
      <c r="A22709" t="n">
        <v>22708</v>
      </c>
      <c r="B22709" t="inlineStr">
        <is>
          <t>x̄x̄MMDCCVIII</t>
        </is>
      </c>
      <c r="C22709">
        <f>ROMAN(22708)</f>
        <v/>
      </c>
      <c r="D22709">
        <f>IF(B22709=C22709, "YES", "WRONG")</f>
        <v/>
      </c>
    </row>
    <row r="22710">
      <c r="A22710" t="n">
        <v>22709</v>
      </c>
      <c r="B22710" t="inlineStr">
        <is>
          <t>x̄x̄MMDCCIX</t>
        </is>
      </c>
      <c r="C22710">
        <f>ROMAN(22709)</f>
        <v/>
      </c>
      <c r="D22710">
        <f>IF(B22710=C22710, "YES", "WRONG")</f>
        <v/>
      </c>
    </row>
    <row r="22711">
      <c r="A22711" t="n">
        <v>22710</v>
      </c>
      <c r="B22711" t="inlineStr">
        <is>
          <t>x̄x̄MMDCCX</t>
        </is>
      </c>
      <c r="C22711">
        <f>ROMAN(22710)</f>
        <v/>
      </c>
      <c r="D22711">
        <f>IF(B22711=C22711, "YES", "WRONG")</f>
        <v/>
      </c>
    </row>
    <row r="22712">
      <c r="A22712" t="n">
        <v>22711</v>
      </c>
      <c r="B22712" t="inlineStr">
        <is>
          <t>x̄x̄MMDCCXI</t>
        </is>
      </c>
      <c r="C22712">
        <f>ROMAN(22711)</f>
        <v/>
      </c>
      <c r="D22712">
        <f>IF(B22712=C22712, "YES", "WRONG")</f>
        <v/>
      </c>
    </row>
    <row r="22713">
      <c r="A22713" t="n">
        <v>22712</v>
      </c>
      <c r="B22713" t="inlineStr">
        <is>
          <t>x̄x̄MMDCCXII</t>
        </is>
      </c>
      <c r="C22713">
        <f>ROMAN(22712)</f>
        <v/>
      </c>
      <c r="D22713">
        <f>IF(B22713=C22713, "YES", "WRONG")</f>
        <v/>
      </c>
    </row>
    <row r="22714">
      <c r="A22714" t="n">
        <v>22713</v>
      </c>
      <c r="B22714" t="inlineStr">
        <is>
          <t>x̄x̄MMDCCXIII</t>
        </is>
      </c>
      <c r="C22714">
        <f>ROMAN(22713)</f>
        <v/>
      </c>
      <c r="D22714">
        <f>IF(B22714=C22714, "YES", "WRONG")</f>
        <v/>
      </c>
    </row>
    <row r="22715">
      <c r="A22715" t="n">
        <v>22714</v>
      </c>
      <c r="B22715" t="inlineStr">
        <is>
          <t>x̄x̄MMDCCXIV</t>
        </is>
      </c>
      <c r="C22715">
        <f>ROMAN(22714)</f>
        <v/>
      </c>
      <c r="D22715">
        <f>IF(B22715=C22715, "YES", "WRONG")</f>
        <v/>
      </c>
    </row>
    <row r="22716">
      <c r="A22716" t="n">
        <v>22715</v>
      </c>
      <c r="B22716" t="inlineStr">
        <is>
          <t>x̄x̄MMDCCXV</t>
        </is>
      </c>
      <c r="C22716">
        <f>ROMAN(22715)</f>
        <v/>
      </c>
      <c r="D22716">
        <f>IF(B22716=C22716, "YES", "WRONG")</f>
        <v/>
      </c>
    </row>
    <row r="22717">
      <c r="A22717" t="n">
        <v>22716</v>
      </c>
      <c r="B22717" t="inlineStr">
        <is>
          <t>x̄x̄MMDCCXVI</t>
        </is>
      </c>
      <c r="C22717">
        <f>ROMAN(22716)</f>
        <v/>
      </c>
      <c r="D22717">
        <f>IF(B22717=C22717, "YES", "WRONG")</f>
        <v/>
      </c>
    </row>
    <row r="22718">
      <c r="A22718" t="n">
        <v>22717</v>
      </c>
      <c r="B22718" t="inlineStr">
        <is>
          <t>x̄x̄MMDCCXVII</t>
        </is>
      </c>
      <c r="C22718">
        <f>ROMAN(22717)</f>
        <v/>
      </c>
      <c r="D22718">
        <f>IF(B22718=C22718, "YES", "WRONG")</f>
        <v/>
      </c>
    </row>
    <row r="22719">
      <c r="A22719" t="n">
        <v>22718</v>
      </c>
      <c r="B22719" t="inlineStr">
        <is>
          <t>x̄x̄MMDCCXVIII</t>
        </is>
      </c>
      <c r="C22719">
        <f>ROMAN(22718)</f>
        <v/>
      </c>
      <c r="D22719">
        <f>IF(B22719=C22719, "YES", "WRONG")</f>
        <v/>
      </c>
    </row>
    <row r="22720">
      <c r="A22720" t="n">
        <v>22719</v>
      </c>
      <c r="B22720" t="inlineStr">
        <is>
          <t>x̄x̄MMDCCXIX</t>
        </is>
      </c>
      <c r="C22720">
        <f>ROMAN(22719)</f>
        <v/>
      </c>
      <c r="D22720">
        <f>IF(B22720=C22720, "YES", "WRONG")</f>
        <v/>
      </c>
    </row>
    <row r="22721">
      <c r="A22721" t="n">
        <v>22720</v>
      </c>
      <c r="B22721" t="inlineStr">
        <is>
          <t>x̄x̄MMDCCXX</t>
        </is>
      </c>
      <c r="C22721">
        <f>ROMAN(22720)</f>
        <v/>
      </c>
      <c r="D22721">
        <f>IF(B22721=C22721, "YES", "WRONG")</f>
        <v/>
      </c>
    </row>
    <row r="22722">
      <c r="A22722" t="n">
        <v>22721</v>
      </c>
      <c r="B22722" t="inlineStr">
        <is>
          <t>x̄x̄MMDCCXXI</t>
        </is>
      </c>
      <c r="C22722">
        <f>ROMAN(22721)</f>
        <v/>
      </c>
      <c r="D22722">
        <f>IF(B22722=C22722, "YES", "WRONG")</f>
        <v/>
      </c>
    </row>
    <row r="22723">
      <c r="A22723" t="n">
        <v>22722</v>
      </c>
      <c r="B22723" t="inlineStr">
        <is>
          <t>x̄x̄MMDCCXXII</t>
        </is>
      </c>
      <c r="C22723">
        <f>ROMAN(22722)</f>
        <v/>
      </c>
      <c r="D22723">
        <f>IF(B22723=C22723, "YES", "WRONG")</f>
        <v/>
      </c>
    </row>
    <row r="22724">
      <c r="A22724" t="n">
        <v>22723</v>
      </c>
      <c r="B22724" t="inlineStr">
        <is>
          <t>x̄x̄MMDCCXXIII</t>
        </is>
      </c>
      <c r="C22724">
        <f>ROMAN(22723)</f>
        <v/>
      </c>
      <c r="D22724">
        <f>IF(B22724=C22724, "YES", "WRONG")</f>
        <v/>
      </c>
    </row>
    <row r="22725">
      <c r="A22725" t="n">
        <v>22724</v>
      </c>
      <c r="B22725" t="inlineStr">
        <is>
          <t>x̄x̄MMDCCXXIV</t>
        </is>
      </c>
      <c r="C22725">
        <f>ROMAN(22724)</f>
        <v/>
      </c>
      <c r="D22725">
        <f>IF(B22725=C22725, "YES", "WRONG")</f>
        <v/>
      </c>
    </row>
    <row r="22726">
      <c r="A22726" t="n">
        <v>22725</v>
      </c>
      <c r="B22726" t="inlineStr">
        <is>
          <t>x̄x̄MMDCCXXV</t>
        </is>
      </c>
      <c r="C22726">
        <f>ROMAN(22725)</f>
        <v/>
      </c>
      <c r="D22726">
        <f>IF(B22726=C22726, "YES", "WRONG")</f>
        <v/>
      </c>
    </row>
    <row r="22727">
      <c r="A22727" t="n">
        <v>22726</v>
      </c>
      <c r="B22727" t="inlineStr">
        <is>
          <t>x̄x̄MMDCCXXVI</t>
        </is>
      </c>
      <c r="C22727">
        <f>ROMAN(22726)</f>
        <v/>
      </c>
      <c r="D22727">
        <f>IF(B22727=C22727, "YES", "WRONG")</f>
        <v/>
      </c>
    </row>
    <row r="22728">
      <c r="A22728" t="n">
        <v>22727</v>
      </c>
      <c r="B22728" t="inlineStr">
        <is>
          <t>x̄x̄MMDCCXXVII</t>
        </is>
      </c>
      <c r="C22728">
        <f>ROMAN(22727)</f>
        <v/>
      </c>
      <c r="D22728">
        <f>IF(B22728=C22728, "YES", "WRONG")</f>
        <v/>
      </c>
    </row>
    <row r="22729">
      <c r="A22729" t="n">
        <v>22728</v>
      </c>
      <c r="B22729" t="inlineStr">
        <is>
          <t>x̄x̄MMDCCXXVIII</t>
        </is>
      </c>
      <c r="C22729">
        <f>ROMAN(22728)</f>
        <v/>
      </c>
      <c r="D22729">
        <f>IF(B22729=C22729, "YES", "WRONG")</f>
        <v/>
      </c>
    </row>
    <row r="22730">
      <c r="A22730" t="n">
        <v>22729</v>
      </c>
      <c r="B22730" t="inlineStr">
        <is>
          <t>x̄x̄MMDCCXXIX</t>
        </is>
      </c>
      <c r="C22730">
        <f>ROMAN(22729)</f>
        <v/>
      </c>
      <c r="D22730">
        <f>IF(B22730=C22730, "YES", "WRONG")</f>
        <v/>
      </c>
    </row>
    <row r="22731">
      <c r="A22731" t="n">
        <v>22730</v>
      </c>
      <c r="B22731" t="inlineStr">
        <is>
          <t>x̄x̄MMDCCXXX</t>
        </is>
      </c>
      <c r="C22731">
        <f>ROMAN(22730)</f>
        <v/>
      </c>
      <c r="D22731">
        <f>IF(B22731=C22731, "YES", "WRONG")</f>
        <v/>
      </c>
    </row>
    <row r="22732">
      <c r="A22732" t="n">
        <v>22731</v>
      </c>
      <c r="B22732" t="inlineStr">
        <is>
          <t>x̄x̄MMDCCXXXI</t>
        </is>
      </c>
      <c r="C22732">
        <f>ROMAN(22731)</f>
        <v/>
      </c>
      <c r="D22732">
        <f>IF(B22732=C22732, "YES", "WRONG")</f>
        <v/>
      </c>
    </row>
    <row r="22733">
      <c r="A22733" t="n">
        <v>22732</v>
      </c>
      <c r="B22733" t="inlineStr">
        <is>
          <t>x̄x̄MMDCCXXXII</t>
        </is>
      </c>
      <c r="C22733">
        <f>ROMAN(22732)</f>
        <v/>
      </c>
      <c r="D22733">
        <f>IF(B22733=C22733, "YES", "WRONG")</f>
        <v/>
      </c>
    </row>
    <row r="22734">
      <c r="A22734" t="n">
        <v>22733</v>
      </c>
      <c r="B22734" t="inlineStr">
        <is>
          <t>x̄x̄MMDCCXXXIII</t>
        </is>
      </c>
      <c r="C22734">
        <f>ROMAN(22733)</f>
        <v/>
      </c>
      <c r="D22734">
        <f>IF(B22734=C22734, "YES", "WRONG")</f>
        <v/>
      </c>
    </row>
    <row r="22735">
      <c r="A22735" t="n">
        <v>22734</v>
      </c>
      <c r="B22735" t="inlineStr">
        <is>
          <t>x̄x̄MMDCCXXXIV</t>
        </is>
      </c>
      <c r="C22735">
        <f>ROMAN(22734)</f>
        <v/>
      </c>
      <c r="D22735">
        <f>IF(B22735=C22735, "YES", "WRONG")</f>
        <v/>
      </c>
    </row>
    <row r="22736">
      <c r="A22736" t="n">
        <v>22735</v>
      </c>
      <c r="B22736" t="inlineStr">
        <is>
          <t>x̄x̄MMDCCXXXV</t>
        </is>
      </c>
      <c r="C22736">
        <f>ROMAN(22735)</f>
        <v/>
      </c>
      <c r="D22736">
        <f>IF(B22736=C22736, "YES", "WRONG")</f>
        <v/>
      </c>
    </row>
    <row r="22737">
      <c r="A22737" t="n">
        <v>22736</v>
      </c>
      <c r="B22737" t="inlineStr">
        <is>
          <t>x̄x̄MMDCCXXXVI</t>
        </is>
      </c>
      <c r="C22737">
        <f>ROMAN(22736)</f>
        <v/>
      </c>
      <c r="D22737">
        <f>IF(B22737=C22737, "YES", "WRONG")</f>
        <v/>
      </c>
    </row>
    <row r="22738">
      <c r="A22738" t="n">
        <v>22737</v>
      </c>
      <c r="B22738" t="inlineStr">
        <is>
          <t>x̄x̄MMDCCXXXVII</t>
        </is>
      </c>
      <c r="C22738">
        <f>ROMAN(22737)</f>
        <v/>
      </c>
      <c r="D22738">
        <f>IF(B22738=C22738, "YES", "WRONG")</f>
        <v/>
      </c>
    </row>
    <row r="22739">
      <c r="A22739" t="n">
        <v>22738</v>
      </c>
      <c r="B22739" t="inlineStr">
        <is>
          <t>x̄x̄MMDCCXXXVIII</t>
        </is>
      </c>
      <c r="C22739">
        <f>ROMAN(22738)</f>
        <v/>
      </c>
      <c r="D22739">
        <f>IF(B22739=C22739, "YES", "WRONG")</f>
        <v/>
      </c>
    </row>
    <row r="22740">
      <c r="A22740" t="n">
        <v>22739</v>
      </c>
      <c r="B22740" t="inlineStr">
        <is>
          <t>x̄x̄MMDCCXXXIX</t>
        </is>
      </c>
      <c r="C22740">
        <f>ROMAN(22739)</f>
        <v/>
      </c>
      <c r="D22740">
        <f>IF(B22740=C22740, "YES", "WRONG")</f>
        <v/>
      </c>
    </row>
    <row r="22741">
      <c r="A22741" t="n">
        <v>22740</v>
      </c>
      <c r="B22741" t="inlineStr">
        <is>
          <t>x̄x̄MMDCCXL</t>
        </is>
      </c>
      <c r="C22741">
        <f>ROMAN(22740)</f>
        <v/>
      </c>
      <c r="D22741">
        <f>IF(B22741=C22741, "YES", "WRONG")</f>
        <v/>
      </c>
    </row>
    <row r="22742">
      <c r="A22742" t="n">
        <v>22741</v>
      </c>
      <c r="B22742" t="inlineStr">
        <is>
          <t>x̄x̄MMDCCXLI</t>
        </is>
      </c>
      <c r="C22742">
        <f>ROMAN(22741)</f>
        <v/>
      </c>
      <c r="D22742">
        <f>IF(B22742=C22742, "YES", "WRONG")</f>
        <v/>
      </c>
    </row>
    <row r="22743">
      <c r="A22743" t="n">
        <v>22742</v>
      </c>
      <c r="B22743" t="inlineStr">
        <is>
          <t>x̄x̄MMDCCXLII</t>
        </is>
      </c>
      <c r="C22743">
        <f>ROMAN(22742)</f>
        <v/>
      </c>
      <c r="D22743">
        <f>IF(B22743=C22743, "YES", "WRONG")</f>
        <v/>
      </c>
    </row>
    <row r="22744">
      <c r="A22744" t="n">
        <v>22743</v>
      </c>
      <c r="B22744" t="inlineStr">
        <is>
          <t>x̄x̄MMDCCXLIII</t>
        </is>
      </c>
      <c r="C22744">
        <f>ROMAN(22743)</f>
        <v/>
      </c>
      <c r="D22744">
        <f>IF(B22744=C22744, "YES", "WRONG")</f>
        <v/>
      </c>
    </row>
    <row r="22745">
      <c r="A22745" t="n">
        <v>22744</v>
      </c>
      <c r="B22745" t="inlineStr">
        <is>
          <t>x̄x̄MMDCCXLIV</t>
        </is>
      </c>
      <c r="C22745">
        <f>ROMAN(22744)</f>
        <v/>
      </c>
      <c r="D22745">
        <f>IF(B22745=C22745, "YES", "WRONG")</f>
        <v/>
      </c>
    </row>
    <row r="22746">
      <c r="A22746" t="n">
        <v>22745</v>
      </c>
      <c r="B22746" t="inlineStr">
        <is>
          <t>x̄x̄MMDCCXLV</t>
        </is>
      </c>
      <c r="C22746">
        <f>ROMAN(22745)</f>
        <v/>
      </c>
      <c r="D22746">
        <f>IF(B22746=C22746, "YES", "WRONG")</f>
        <v/>
      </c>
    </row>
    <row r="22747">
      <c r="A22747" t="n">
        <v>22746</v>
      </c>
      <c r="B22747" t="inlineStr">
        <is>
          <t>x̄x̄MMDCCXLVI</t>
        </is>
      </c>
      <c r="C22747">
        <f>ROMAN(22746)</f>
        <v/>
      </c>
      <c r="D22747">
        <f>IF(B22747=C22747, "YES", "WRONG")</f>
        <v/>
      </c>
    </row>
    <row r="22748">
      <c r="A22748" t="n">
        <v>22747</v>
      </c>
      <c r="B22748" t="inlineStr">
        <is>
          <t>x̄x̄MMDCCXLVII</t>
        </is>
      </c>
      <c r="C22748">
        <f>ROMAN(22747)</f>
        <v/>
      </c>
      <c r="D22748">
        <f>IF(B22748=C22748, "YES", "WRONG")</f>
        <v/>
      </c>
    </row>
    <row r="22749">
      <c r="A22749" t="n">
        <v>22748</v>
      </c>
      <c r="B22749" t="inlineStr">
        <is>
          <t>x̄x̄MMDCCXLVIII</t>
        </is>
      </c>
      <c r="C22749">
        <f>ROMAN(22748)</f>
        <v/>
      </c>
      <c r="D22749">
        <f>IF(B22749=C22749, "YES", "WRONG")</f>
        <v/>
      </c>
    </row>
    <row r="22750">
      <c r="A22750" t="n">
        <v>22749</v>
      </c>
      <c r="B22750" t="inlineStr">
        <is>
          <t>x̄x̄MMDCCXLIX</t>
        </is>
      </c>
      <c r="C22750">
        <f>ROMAN(22749)</f>
        <v/>
      </c>
      <c r="D22750">
        <f>IF(B22750=C22750, "YES", "WRONG")</f>
        <v/>
      </c>
    </row>
    <row r="22751">
      <c r="A22751" t="n">
        <v>22750</v>
      </c>
      <c r="B22751" t="inlineStr">
        <is>
          <t>x̄x̄MMDCCL</t>
        </is>
      </c>
      <c r="C22751">
        <f>ROMAN(22750)</f>
        <v/>
      </c>
      <c r="D22751">
        <f>IF(B22751=C22751, "YES", "WRONG")</f>
        <v/>
      </c>
    </row>
    <row r="22752">
      <c r="A22752" t="n">
        <v>22751</v>
      </c>
      <c r="B22752" t="inlineStr">
        <is>
          <t>x̄x̄MMDCCLI</t>
        </is>
      </c>
      <c r="C22752">
        <f>ROMAN(22751)</f>
        <v/>
      </c>
      <c r="D22752">
        <f>IF(B22752=C22752, "YES", "WRONG")</f>
        <v/>
      </c>
    </row>
    <row r="22753">
      <c r="A22753" t="n">
        <v>22752</v>
      </c>
      <c r="B22753" t="inlineStr">
        <is>
          <t>x̄x̄MMDCCLII</t>
        </is>
      </c>
      <c r="C22753">
        <f>ROMAN(22752)</f>
        <v/>
      </c>
      <c r="D22753">
        <f>IF(B22753=C22753, "YES", "WRONG")</f>
        <v/>
      </c>
    </row>
    <row r="22754">
      <c r="A22754" t="n">
        <v>22753</v>
      </c>
      <c r="B22754" t="inlineStr">
        <is>
          <t>x̄x̄MMDCCLIII</t>
        </is>
      </c>
      <c r="C22754">
        <f>ROMAN(22753)</f>
        <v/>
      </c>
      <c r="D22754">
        <f>IF(B22754=C22754, "YES", "WRONG")</f>
        <v/>
      </c>
    </row>
    <row r="22755">
      <c r="A22755" t="n">
        <v>22754</v>
      </c>
      <c r="B22755" t="inlineStr">
        <is>
          <t>x̄x̄MMDCCLIV</t>
        </is>
      </c>
      <c r="C22755">
        <f>ROMAN(22754)</f>
        <v/>
      </c>
      <c r="D22755">
        <f>IF(B22755=C22755, "YES", "WRONG")</f>
        <v/>
      </c>
    </row>
    <row r="22756">
      <c r="A22756" t="n">
        <v>22755</v>
      </c>
      <c r="B22756" t="inlineStr">
        <is>
          <t>x̄x̄MMDCCLV</t>
        </is>
      </c>
      <c r="C22756">
        <f>ROMAN(22755)</f>
        <v/>
      </c>
      <c r="D22756">
        <f>IF(B22756=C22756, "YES", "WRONG")</f>
        <v/>
      </c>
    </row>
    <row r="22757">
      <c r="A22757" t="n">
        <v>22756</v>
      </c>
      <c r="B22757" t="inlineStr">
        <is>
          <t>x̄x̄MMDCCLVI</t>
        </is>
      </c>
      <c r="C22757">
        <f>ROMAN(22756)</f>
        <v/>
      </c>
      <c r="D22757">
        <f>IF(B22757=C22757, "YES", "WRONG")</f>
        <v/>
      </c>
    </row>
    <row r="22758">
      <c r="A22758" t="n">
        <v>22757</v>
      </c>
      <c r="B22758" t="inlineStr">
        <is>
          <t>x̄x̄MMDCCLVII</t>
        </is>
      </c>
      <c r="C22758">
        <f>ROMAN(22757)</f>
        <v/>
      </c>
      <c r="D22758">
        <f>IF(B22758=C22758, "YES", "WRONG")</f>
        <v/>
      </c>
    </row>
    <row r="22759">
      <c r="A22759" t="n">
        <v>22758</v>
      </c>
      <c r="B22759" t="inlineStr">
        <is>
          <t>x̄x̄MMDCCLVIII</t>
        </is>
      </c>
      <c r="C22759">
        <f>ROMAN(22758)</f>
        <v/>
      </c>
      <c r="D22759">
        <f>IF(B22759=C22759, "YES", "WRONG")</f>
        <v/>
      </c>
    </row>
    <row r="22760">
      <c r="A22760" t="n">
        <v>22759</v>
      </c>
      <c r="B22760" t="inlineStr">
        <is>
          <t>x̄x̄MMDCCLIX</t>
        </is>
      </c>
      <c r="C22760">
        <f>ROMAN(22759)</f>
        <v/>
      </c>
      <c r="D22760">
        <f>IF(B22760=C22760, "YES", "WRONG")</f>
        <v/>
      </c>
    </row>
    <row r="22761">
      <c r="A22761" t="n">
        <v>22760</v>
      </c>
      <c r="B22761" t="inlineStr">
        <is>
          <t>x̄x̄MMDCCLX</t>
        </is>
      </c>
      <c r="C22761">
        <f>ROMAN(22760)</f>
        <v/>
      </c>
      <c r="D22761">
        <f>IF(B22761=C22761, "YES", "WRONG")</f>
        <v/>
      </c>
    </row>
    <row r="22762">
      <c r="A22762" t="n">
        <v>22761</v>
      </c>
      <c r="B22762" t="inlineStr">
        <is>
          <t>x̄x̄MMDCCLXI</t>
        </is>
      </c>
      <c r="C22762">
        <f>ROMAN(22761)</f>
        <v/>
      </c>
      <c r="D22762">
        <f>IF(B22762=C22762, "YES", "WRONG")</f>
        <v/>
      </c>
    </row>
    <row r="22763">
      <c r="A22763" t="n">
        <v>22762</v>
      </c>
      <c r="B22763" t="inlineStr">
        <is>
          <t>x̄x̄MMDCCLXII</t>
        </is>
      </c>
      <c r="C22763">
        <f>ROMAN(22762)</f>
        <v/>
      </c>
      <c r="D22763">
        <f>IF(B22763=C22763, "YES", "WRONG")</f>
        <v/>
      </c>
    </row>
    <row r="22764">
      <c r="A22764" t="n">
        <v>22763</v>
      </c>
      <c r="B22764" t="inlineStr">
        <is>
          <t>x̄x̄MMDCCLXIII</t>
        </is>
      </c>
      <c r="C22764">
        <f>ROMAN(22763)</f>
        <v/>
      </c>
      <c r="D22764">
        <f>IF(B22764=C22764, "YES", "WRONG")</f>
        <v/>
      </c>
    </row>
    <row r="22765">
      <c r="A22765" t="n">
        <v>22764</v>
      </c>
      <c r="B22765" t="inlineStr">
        <is>
          <t>x̄x̄MMDCCLXIV</t>
        </is>
      </c>
      <c r="C22765">
        <f>ROMAN(22764)</f>
        <v/>
      </c>
      <c r="D22765">
        <f>IF(B22765=C22765, "YES", "WRONG")</f>
        <v/>
      </c>
    </row>
    <row r="22766">
      <c r="A22766" t="n">
        <v>22765</v>
      </c>
      <c r="B22766" t="inlineStr">
        <is>
          <t>x̄x̄MMDCCLXV</t>
        </is>
      </c>
      <c r="C22766">
        <f>ROMAN(22765)</f>
        <v/>
      </c>
      <c r="D22766">
        <f>IF(B22766=C22766, "YES", "WRONG")</f>
        <v/>
      </c>
    </row>
    <row r="22767">
      <c r="A22767" t="n">
        <v>22766</v>
      </c>
      <c r="B22767" t="inlineStr">
        <is>
          <t>x̄x̄MMDCCLXVI</t>
        </is>
      </c>
      <c r="C22767">
        <f>ROMAN(22766)</f>
        <v/>
      </c>
      <c r="D22767">
        <f>IF(B22767=C22767, "YES", "WRONG")</f>
        <v/>
      </c>
    </row>
    <row r="22768">
      <c r="A22768" t="n">
        <v>22767</v>
      </c>
      <c r="B22768" t="inlineStr">
        <is>
          <t>x̄x̄MMDCCLXVII</t>
        </is>
      </c>
      <c r="C22768">
        <f>ROMAN(22767)</f>
        <v/>
      </c>
      <c r="D22768">
        <f>IF(B22768=C22768, "YES", "WRONG")</f>
        <v/>
      </c>
    </row>
    <row r="22769">
      <c r="A22769" t="n">
        <v>22768</v>
      </c>
      <c r="B22769" t="inlineStr">
        <is>
          <t>x̄x̄MMDCCLXVIII</t>
        </is>
      </c>
      <c r="C22769">
        <f>ROMAN(22768)</f>
        <v/>
      </c>
      <c r="D22769">
        <f>IF(B22769=C22769, "YES", "WRONG")</f>
        <v/>
      </c>
    </row>
    <row r="22770">
      <c r="A22770" t="n">
        <v>22769</v>
      </c>
      <c r="B22770" t="inlineStr">
        <is>
          <t>x̄x̄MMDCCLXIX</t>
        </is>
      </c>
      <c r="C22770">
        <f>ROMAN(22769)</f>
        <v/>
      </c>
      <c r="D22770">
        <f>IF(B22770=C22770, "YES", "WRONG")</f>
        <v/>
      </c>
    </row>
    <row r="22771">
      <c r="A22771" t="n">
        <v>22770</v>
      </c>
      <c r="B22771" t="inlineStr">
        <is>
          <t>x̄x̄MMDCCLXX</t>
        </is>
      </c>
      <c r="C22771">
        <f>ROMAN(22770)</f>
        <v/>
      </c>
      <c r="D22771">
        <f>IF(B22771=C22771, "YES", "WRONG")</f>
        <v/>
      </c>
    </row>
    <row r="22772">
      <c r="A22772" t="n">
        <v>22771</v>
      </c>
      <c r="B22772" t="inlineStr">
        <is>
          <t>x̄x̄MMDCCLXXI</t>
        </is>
      </c>
      <c r="C22772">
        <f>ROMAN(22771)</f>
        <v/>
      </c>
      <c r="D22772">
        <f>IF(B22772=C22772, "YES", "WRONG")</f>
        <v/>
      </c>
    </row>
    <row r="22773">
      <c r="A22773" t="n">
        <v>22772</v>
      </c>
      <c r="B22773" t="inlineStr">
        <is>
          <t>x̄x̄MMDCCLXXII</t>
        </is>
      </c>
      <c r="C22773">
        <f>ROMAN(22772)</f>
        <v/>
      </c>
      <c r="D22773">
        <f>IF(B22773=C22773, "YES", "WRONG")</f>
        <v/>
      </c>
    </row>
    <row r="22774">
      <c r="A22774" t="n">
        <v>22773</v>
      </c>
      <c r="B22774" t="inlineStr">
        <is>
          <t>x̄x̄MMDCCLXXIII</t>
        </is>
      </c>
      <c r="C22774">
        <f>ROMAN(22773)</f>
        <v/>
      </c>
      <c r="D22774">
        <f>IF(B22774=C22774, "YES", "WRONG")</f>
        <v/>
      </c>
    </row>
    <row r="22775">
      <c r="A22775" t="n">
        <v>22774</v>
      </c>
      <c r="B22775" t="inlineStr">
        <is>
          <t>x̄x̄MMDCCLXXIV</t>
        </is>
      </c>
      <c r="C22775">
        <f>ROMAN(22774)</f>
        <v/>
      </c>
      <c r="D22775">
        <f>IF(B22775=C22775, "YES", "WRONG")</f>
        <v/>
      </c>
    </row>
    <row r="22776">
      <c r="A22776" t="n">
        <v>22775</v>
      </c>
      <c r="B22776" t="inlineStr">
        <is>
          <t>x̄x̄MMDCCLXXV</t>
        </is>
      </c>
      <c r="C22776">
        <f>ROMAN(22775)</f>
        <v/>
      </c>
      <c r="D22776">
        <f>IF(B22776=C22776, "YES", "WRONG")</f>
        <v/>
      </c>
    </row>
    <row r="22777">
      <c r="A22777" t="n">
        <v>22776</v>
      </c>
      <c r="B22777" t="inlineStr">
        <is>
          <t>x̄x̄MMDCCLXXVI</t>
        </is>
      </c>
      <c r="C22777">
        <f>ROMAN(22776)</f>
        <v/>
      </c>
      <c r="D22777">
        <f>IF(B22777=C22777, "YES", "WRONG")</f>
        <v/>
      </c>
    </row>
    <row r="22778">
      <c r="A22778" t="n">
        <v>22777</v>
      </c>
      <c r="B22778" t="inlineStr">
        <is>
          <t>x̄x̄MMDCCLXXVII</t>
        </is>
      </c>
      <c r="C22778">
        <f>ROMAN(22777)</f>
        <v/>
      </c>
      <c r="D22778">
        <f>IF(B22778=C22778, "YES", "WRONG")</f>
        <v/>
      </c>
    </row>
    <row r="22779">
      <c r="A22779" t="n">
        <v>22778</v>
      </c>
      <c r="B22779" t="inlineStr">
        <is>
          <t>x̄x̄MMDCCLXXVIII</t>
        </is>
      </c>
      <c r="C22779">
        <f>ROMAN(22778)</f>
        <v/>
      </c>
      <c r="D22779">
        <f>IF(B22779=C22779, "YES", "WRONG")</f>
        <v/>
      </c>
    </row>
    <row r="22780">
      <c r="A22780" t="n">
        <v>22779</v>
      </c>
      <c r="B22780" t="inlineStr">
        <is>
          <t>x̄x̄MMDCCLXXIX</t>
        </is>
      </c>
      <c r="C22780">
        <f>ROMAN(22779)</f>
        <v/>
      </c>
      <c r="D22780">
        <f>IF(B22780=C22780, "YES", "WRONG")</f>
        <v/>
      </c>
    </row>
    <row r="22781">
      <c r="A22781" t="n">
        <v>22780</v>
      </c>
      <c r="B22781" t="inlineStr">
        <is>
          <t>x̄x̄MMDCCLXXX</t>
        </is>
      </c>
      <c r="C22781">
        <f>ROMAN(22780)</f>
        <v/>
      </c>
      <c r="D22781">
        <f>IF(B22781=C22781, "YES", "WRONG")</f>
        <v/>
      </c>
    </row>
    <row r="22782">
      <c r="A22782" t="n">
        <v>22781</v>
      </c>
      <c r="B22782" t="inlineStr">
        <is>
          <t>x̄x̄MMDCCLXXXI</t>
        </is>
      </c>
      <c r="C22782">
        <f>ROMAN(22781)</f>
        <v/>
      </c>
      <c r="D22782">
        <f>IF(B22782=C22782, "YES", "WRONG")</f>
        <v/>
      </c>
    </row>
    <row r="22783">
      <c r="A22783" t="n">
        <v>22782</v>
      </c>
      <c r="B22783" t="inlineStr">
        <is>
          <t>x̄x̄MMDCCLXXXII</t>
        </is>
      </c>
      <c r="C22783">
        <f>ROMAN(22782)</f>
        <v/>
      </c>
      <c r="D22783">
        <f>IF(B22783=C22783, "YES", "WRONG")</f>
        <v/>
      </c>
    </row>
    <row r="22784">
      <c r="A22784" t="n">
        <v>22783</v>
      </c>
      <c r="B22784" t="inlineStr">
        <is>
          <t>x̄x̄MMDCCLXXXIII</t>
        </is>
      </c>
      <c r="C22784">
        <f>ROMAN(22783)</f>
        <v/>
      </c>
      <c r="D22784">
        <f>IF(B22784=C22784, "YES", "WRONG")</f>
        <v/>
      </c>
    </row>
    <row r="22785">
      <c r="A22785" t="n">
        <v>22784</v>
      </c>
      <c r="B22785" t="inlineStr">
        <is>
          <t>x̄x̄MMDCCLXXXIV</t>
        </is>
      </c>
      <c r="C22785">
        <f>ROMAN(22784)</f>
        <v/>
      </c>
      <c r="D22785">
        <f>IF(B22785=C22785, "YES", "WRONG")</f>
        <v/>
      </c>
    </row>
    <row r="22786">
      <c r="A22786" t="n">
        <v>22785</v>
      </c>
      <c r="B22786" t="inlineStr">
        <is>
          <t>x̄x̄MMDCCLXXXV</t>
        </is>
      </c>
      <c r="C22786">
        <f>ROMAN(22785)</f>
        <v/>
      </c>
      <c r="D22786">
        <f>IF(B22786=C22786, "YES", "WRONG")</f>
        <v/>
      </c>
    </row>
    <row r="22787">
      <c r="A22787" t="n">
        <v>22786</v>
      </c>
      <c r="B22787" t="inlineStr">
        <is>
          <t>x̄x̄MMDCCLXXXVI</t>
        </is>
      </c>
      <c r="C22787">
        <f>ROMAN(22786)</f>
        <v/>
      </c>
      <c r="D22787">
        <f>IF(B22787=C22787, "YES", "WRONG")</f>
        <v/>
      </c>
    </row>
    <row r="22788">
      <c r="A22788" t="n">
        <v>22787</v>
      </c>
      <c r="B22788" t="inlineStr">
        <is>
          <t>x̄x̄MMDCCLXXXVII</t>
        </is>
      </c>
      <c r="C22788">
        <f>ROMAN(22787)</f>
        <v/>
      </c>
      <c r="D22788">
        <f>IF(B22788=C22788, "YES", "WRONG")</f>
        <v/>
      </c>
    </row>
    <row r="22789">
      <c r="A22789" t="n">
        <v>22788</v>
      </c>
      <c r="B22789" t="inlineStr">
        <is>
          <t>x̄x̄MMDCCLXXXVIII</t>
        </is>
      </c>
      <c r="C22789">
        <f>ROMAN(22788)</f>
        <v/>
      </c>
      <c r="D22789">
        <f>IF(B22789=C22789, "YES", "WRONG")</f>
        <v/>
      </c>
    </row>
    <row r="22790">
      <c r="A22790" t="n">
        <v>22789</v>
      </c>
      <c r="B22790" t="inlineStr">
        <is>
          <t>x̄x̄MMDCCLXXXIX</t>
        </is>
      </c>
      <c r="C22790">
        <f>ROMAN(22789)</f>
        <v/>
      </c>
      <c r="D22790">
        <f>IF(B22790=C22790, "YES", "WRONG")</f>
        <v/>
      </c>
    </row>
    <row r="22791">
      <c r="A22791" t="n">
        <v>22790</v>
      </c>
      <c r="B22791" t="inlineStr">
        <is>
          <t>x̄x̄MMDCCXC</t>
        </is>
      </c>
      <c r="C22791">
        <f>ROMAN(22790)</f>
        <v/>
      </c>
      <c r="D22791">
        <f>IF(B22791=C22791, "YES", "WRONG")</f>
        <v/>
      </c>
    </row>
    <row r="22792">
      <c r="A22792" t="n">
        <v>22791</v>
      </c>
      <c r="B22792" t="inlineStr">
        <is>
          <t>x̄x̄MMDCCXCI</t>
        </is>
      </c>
      <c r="C22792">
        <f>ROMAN(22791)</f>
        <v/>
      </c>
      <c r="D22792">
        <f>IF(B22792=C22792, "YES", "WRONG")</f>
        <v/>
      </c>
    </row>
    <row r="22793">
      <c r="A22793" t="n">
        <v>22792</v>
      </c>
      <c r="B22793" t="inlineStr">
        <is>
          <t>x̄x̄MMDCCXCII</t>
        </is>
      </c>
      <c r="C22793">
        <f>ROMAN(22792)</f>
        <v/>
      </c>
      <c r="D22793">
        <f>IF(B22793=C22793, "YES", "WRONG")</f>
        <v/>
      </c>
    </row>
    <row r="22794">
      <c r="A22794" t="n">
        <v>22793</v>
      </c>
      <c r="B22794" t="inlineStr">
        <is>
          <t>x̄x̄MMDCCXCIII</t>
        </is>
      </c>
      <c r="C22794">
        <f>ROMAN(22793)</f>
        <v/>
      </c>
      <c r="D22794">
        <f>IF(B22794=C22794, "YES", "WRONG")</f>
        <v/>
      </c>
    </row>
    <row r="22795">
      <c r="A22795" t="n">
        <v>22794</v>
      </c>
      <c r="B22795" t="inlineStr">
        <is>
          <t>x̄x̄MMDCCXCIV</t>
        </is>
      </c>
      <c r="C22795">
        <f>ROMAN(22794)</f>
        <v/>
      </c>
      <c r="D22795">
        <f>IF(B22795=C22795, "YES", "WRONG")</f>
        <v/>
      </c>
    </row>
    <row r="22796">
      <c r="A22796" t="n">
        <v>22795</v>
      </c>
      <c r="B22796" t="inlineStr">
        <is>
          <t>x̄x̄MMDCCXCV</t>
        </is>
      </c>
      <c r="C22796">
        <f>ROMAN(22795)</f>
        <v/>
      </c>
      <c r="D22796">
        <f>IF(B22796=C22796, "YES", "WRONG")</f>
        <v/>
      </c>
    </row>
    <row r="22797">
      <c r="A22797" t="n">
        <v>22796</v>
      </c>
      <c r="B22797" t="inlineStr">
        <is>
          <t>x̄x̄MMDCCXCVI</t>
        </is>
      </c>
      <c r="C22797">
        <f>ROMAN(22796)</f>
        <v/>
      </c>
      <c r="D22797">
        <f>IF(B22797=C22797, "YES", "WRONG")</f>
        <v/>
      </c>
    </row>
    <row r="22798">
      <c r="A22798" t="n">
        <v>22797</v>
      </c>
      <c r="B22798" t="inlineStr">
        <is>
          <t>x̄x̄MMDCCXCVII</t>
        </is>
      </c>
      <c r="C22798">
        <f>ROMAN(22797)</f>
        <v/>
      </c>
      <c r="D22798">
        <f>IF(B22798=C22798, "YES", "WRONG")</f>
        <v/>
      </c>
    </row>
    <row r="22799">
      <c r="A22799" t="n">
        <v>22798</v>
      </c>
      <c r="B22799" t="inlineStr">
        <is>
          <t>x̄x̄MMDCCXCVIII</t>
        </is>
      </c>
      <c r="C22799">
        <f>ROMAN(22798)</f>
        <v/>
      </c>
      <c r="D22799">
        <f>IF(B22799=C22799, "YES", "WRONG")</f>
        <v/>
      </c>
    </row>
    <row r="22800">
      <c r="A22800" t="n">
        <v>22799</v>
      </c>
      <c r="B22800" t="inlineStr">
        <is>
          <t>x̄x̄MMDCCXCIX</t>
        </is>
      </c>
      <c r="C22800">
        <f>ROMAN(22799)</f>
        <v/>
      </c>
      <c r="D22800">
        <f>IF(B22800=C22800, "YES", "WRONG")</f>
        <v/>
      </c>
    </row>
    <row r="22801">
      <c r="A22801" t="n">
        <v>22800</v>
      </c>
      <c r="B22801" t="inlineStr">
        <is>
          <t>x̄x̄MMDCCC</t>
        </is>
      </c>
      <c r="C22801">
        <f>ROMAN(22800)</f>
        <v/>
      </c>
      <c r="D22801">
        <f>IF(B22801=C22801, "YES", "WRONG")</f>
        <v/>
      </c>
    </row>
    <row r="22802">
      <c r="A22802" t="n">
        <v>22801</v>
      </c>
      <c r="B22802" t="inlineStr">
        <is>
          <t>x̄x̄MMDCCCI</t>
        </is>
      </c>
      <c r="C22802">
        <f>ROMAN(22801)</f>
        <v/>
      </c>
      <c r="D22802">
        <f>IF(B22802=C22802, "YES", "WRONG")</f>
        <v/>
      </c>
    </row>
    <row r="22803">
      <c r="A22803" t="n">
        <v>22802</v>
      </c>
      <c r="B22803" t="inlineStr">
        <is>
          <t>x̄x̄MMDCCCII</t>
        </is>
      </c>
      <c r="C22803">
        <f>ROMAN(22802)</f>
        <v/>
      </c>
      <c r="D22803">
        <f>IF(B22803=C22803, "YES", "WRONG")</f>
        <v/>
      </c>
    </row>
    <row r="22804">
      <c r="A22804" t="n">
        <v>22803</v>
      </c>
      <c r="B22804" t="inlineStr">
        <is>
          <t>x̄x̄MMDCCCIII</t>
        </is>
      </c>
      <c r="C22804">
        <f>ROMAN(22803)</f>
        <v/>
      </c>
      <c r="D22804">
        <f>IF(B22804=C22804, "YES", "WRONG")</f>
        <v/>
      </c>
    </row>
    <row r="22805">
      <c r="A22805" t="n">
        <v>22804</v>
      </c>
      <c r="B22805" t="inlineStr">
        <is>
          <t>x̄x̄MMDCCCIV</t>
        </is>
      </c>
      <c r="C22805">
        <f>ROMAN(22804)</f>
        <v/>
      </c>
      <c r="D22805">
        <f>IF(B22805=C22805, "YES", "WRONG")</f>
        <v/>
      </c>
    </row>
    <row r="22806">
      <c r="A22806" t="n">
        <v>22805</v>
      </c>
      <c r="B22806" t="inlineStr">
        <is>
          <t>x̄x̄MMDCCCV</t>
        </is>
      </c>
      <c r="C22806">
        <f>ROMAN(22805)</f>
        <v/>
      </c>
      <c r="D22806">
        <f>IF(B22806=C22806, "YES", "WRONG")</f>
        <v/>
      </c>
    </row>
    <row r="22807">
      <c r="A22807" t="n">
        <v>22806</v>
      </c>
      <c r="B22807" t="inlineStr">
        <is>
          <t>x̄x̄MMDCCCVI</t>
        </is>
      </c>
      <c r="C22807">
        <f>ROMAN(22806)</f>
        <v/>
      </c>
      <c r="D22807">
        <f>IF(B22807=C22807, "YES", "WRONG")</f>
        <v/>
      </c>
    </row>
    <row r="22808">
      <c r="A22808" t="n">
        <v>22807</v>
      </c>
      <c r="B22808" t="inlineStr">
        <is>
          <t>x̄x̄MMDCCCVII</t>
        </is>
      </c>
      <c r="C22808">
        <f>ROMAN(22807)</f>
        <v/>
      </c>
      <c r="D22808">
        <f>IF(B22808=C22808, "YES", "WRONG")</f>
        <v/>
      </c>
    </row>
    <row r="22809">
      <c r="A22809" t="n">
        <v>22808</v>
      </c>
      <c r="B22809" t="inlineStr">
        <is>
          <t>x̄x̄MMDCCCVIII</t>
        </is>
      </c>
      <c r="C22809">
        <f>ROMAN(22808)</f>
        <v/>
      </c>
      <c r="D22809">
        <f>IF(B22809=C22809, "YES", "WRONG")</f>
        <v/>
      </c>
    </row>
    <row r="22810">
      <c r="A22810" t="n">
        <v>22809</v>
      </c>
      <c r="B22810" t="inlineStr">
        <is>
          <t>x̄x̄MMDCCCIX</t>
        </is>
      </c>
      <c r="C22810">
        <f>ROMAN(22809)</f>
        <v/>
      </c>
      <c r="D22810">
        <f>IF(B22810=C22810, "YES", "WRONG")</f>
        <v/>
      </c>
    </row>
    <row r="22811">
      <c r="A22811" t="n">
        <v>22810</v>
      </c>
      <c r="B22811" t="inlineStr">
        <is>
          <t>x̄x̄MMDCCCX</t>
        </is>
      </c>
      <c r="C22811">
        <f>ROMAN(22810)</f>
        <v/>
      </c>
      <c r="D22811">
        <f>IF(B22811=C22811, "YES", "WRONG")</f>
        <v/>
      </c>
    </row>
    <row r="22812">
      <c r="A22812" t="n">
        <v>22811</v>
      </c>
      <c r="B22812" t="inlineStr">
        <is>
          <t>x̄x̄MMDCCCXI</t>
        </is>
      </c>
      <c r="C22812">
        <f>ROMAN(22811)</f>
        <v/>
      </c>
      <c r="D22812">
        <f>IF(B22812=C22812, "YES", "WRONG")</f>
        <v/>
      </c>
    </row>
    <row r="22813">
      <c r="A22813" t="n">
        <v>22812</v>
      </c>
      <c r="B22813" t="inlineStr">
        <is>
          <t>x̄x̄MMDCCCXII</t>
        </is>
      </c>
      <c r="C22813">
        <f>ROMAN(22812)</f>
        <v/>
      </c>
      <c r="D22813">
        <f>IF(B22813=C22813, "YES", "WRONG")</f>
        <v/>
      </c>
    </row>
    <row r="22814">
      <c r="A22814" t="n">
        <v>22813</v>
      </c>
      <c r="B22814" t="inlineStr">
        <is>
          <t>x̄x̄MMDCCCXIII</t>
        </is>
      </c>
      <c r="C22814">
        <f>ROMAN(22813)</f>
        <v/>
      </c>
      <c r="D22814">
        <f>IF(B22814=C22814, "YES", "WRONG")</f>
        <v/>
      </c>
    </row>
    <row r="22815">
      <c r="A22815" t="n">
        <v>22814</v>
      </c>
      <c r="B22815" t="inlineStr">
        <is>
          <t>x̄x̄MMDCCCXIV</t>
        </is>
      </c>
      <c r="C22815">
        <f>ROMAN(22814)</f>
        <v/>
      </c>
      <c r="D22815">
        <f>IF(B22815=C22815, "YES", "WRONG")</f>
        <v/>
      </c>
    </row>
    <row r="22816">
      <c r="A22816" t="n">
        <v>22815</v>
      </c>
      <c r="B22816" t="inlineStr">
        <is>
          <t>x̄x̄MMDCCCXV</t>
        </is>
      </c>
      <c r="C22816">
        <f>ROMAN(22815)</f>
        <v/>
      </c>
      <c r="D22816">
        <f>IF(B22816=C22816, "YES", "WRONG")</f>
        <v/>
      </c>
    </row>
    <row r="22817">
      <c r="A22817" t="n">
        <v>22816</v>
      </c>
      <c r="B22817" t="inlineStr">
        <is>
          <t>x̄x̄MMDCCCXVI</t>
        </is>
      </c>
      <c r="C22817">
        <f>ROMAN(22816)</f>
        <v/>
      </c>
      <c r="D22817">
        <f>IF(B22817=C22817, "YES", "WRONG")</f>
        <v/>
      </c>
    </row>
    <row r="22818">
      <c r="A22818" t="n">
        <v>22817</v>
      </c>
      <c r="B22818" t="inlineStr">
        <is>
          <t>x̄x̄MMDCCCXVII</t>
        </is>
      </c>
      <c r="C22818">
        <f>ROMAN(22817)</f>
        <v/>
      </c>
      <c r="D22818">
        <f>IF(B22818=C22818, "YES", "WRONG")</f>
        <v/>
      </c>
    </row>
    <row r="22819">
      <c r="A22819" t="n">
        <v>22818</v>
      </c>
      <c r="B22819" t="inlineStr">
        <is>
          <t>x̄x̄MMDCCCXVIII</t>
        </is>
      </c>
      <c r="C22819">
        <f>ROMAN(22818)</f>
        <v/>
      </c>
      <c r="D22819">
        <f>IF(B22819=C22819, "YES", "WRONG")</f>
        <v/>
      </c>
    </row>
    <row r="22820">
      <c r="A22820" t="n">
        <v>22819</v>
      </c>
      <c r="B22820" t="inlineStr">
        <is>
          <t>x̄x̄MMDCCCXIX</t>
        </is>
      </c>
      <c r="C22820">
        <f>ROMAN(22819)</f>
        <v/>
      </c>
      <c r="D22820">
        <f>IF(B22820=C22820, "YES", "WRONG")</f>
        <v/>
      </c>
    </row>
    <row r="22821">
      <c r="A22821" t="n">
        <v>22820</v>
      </c>
      <c r="B22821" t="inlineStr">
        <is>
          <t>x̄x̄MMDCCCXX</t>
        </is>
      </c>
      <c r="C22821">
        <f>ROMAN(22820)</f>
        <v/>
      </c>
      <c r="D22821">
        <f>IF(B22821=C22821, "YES", "WRONG")</f>
        <v/>
      </c>
    </row>
    <row r="22822">
      <c r="A22822" t="n">
        <v>22821</v>
      </c>
      <c r="B22822" t="inlineStr">
        <is>
          <t>x̄x̄MMDCCCXXI</t>
        </is>
      </c>
      <c r="C22822">
        <f>ROMAN(22821)</f>
        <v/>
      </c>
      <c r="D22822">
        <f>IF(B22822=C22822, "YES", "WRONG")</f>
        <v/>
      </c>
    </row>
    <row r="22823">
      <c r="A22823" t="n">
        <v>22822</v>
      </c>
      <c r="B22823" t="inlineStr">
        <is>
          <t>x̄x̄MMDCCCXXII</t>
        </is>
      </c>
      <c r="C22823">
        <f>ROMAN(22822)</f>
        <v/>
      </c>
      <c r="D22823">
        <f>IF(B22823=C22823, "YES", "WRONG")</f>
        <v/>
      </c>
    </row>
    <row r="22824">
      <c r="A22824" t="n">
        <v>22823</v>
      </c>
      <c r="B22824" t="inlineStr">
        <is>
          <t>x̄x̄MMDCCCXXIII</t>
        </is>
      </c>
      <c r="C22824">
        <f>ROMAN(22823)</f>
        <v/>
      </c>
      <c r="D22824">
        <f>IF(B22824=C22824, "YES", "WRONG")</f>
        <v/>
      </c>
    </row>
    <row r="22825">
      <c r="A22825" t="n">
        <v>22824</v>
      </c>
      <c r="B22825" t="inlineStr">
        <is>
          <t>x̄x̄MMDCCCXXIV</t>
        </is>
      </c>
      <c r="C22825">
        <f>ROMAN(22824)</f>
        <v/>
      </c>
      <c r="D22825">
        <f>IF(B22825=C22825, "YES", "WRONG")</f>
        <v/>
      </c>
    </row>
    <row r="22826">
      <c r="A22826" t="n">
        <v>22825</v>
      </c>
      <c r="B22826" t="inlineStr">
        <is>
          <t>x̄x̄MMDCCCXXV</t>
        </is>
      </c>
      <c r="C22826">
        <f>ROMAN(22825)</f>
        <v/>
      </c>
      <c r="D22826">
        <f>IF(B22826=C22826, "YES", "WRONG")</f>
        <v/>
      </c>
    </row>
    <row r="22827">
      <c r="A22827" t="n">
        <v>22826</v>
      </c>
      <c r="B22827" t="inlineStr">
        <is>
          <t>x̄x̄MMDCCCXXVI</t>
        </is>
      </c>
      <c r="C22827">
        <f>ROMAN(22826)</f>
        <v/>
      </c>
      <c r="D22827">
        <f>IF(B22827=C22827, "YES", "WRONG")</f>
        <v/>
      </c>
    </row>
    <row r="22828">
      <c r="A22828" t="n">
        <v>22827</v>
      </c>
      <c r="B22828" t="inlineStr">
        <is>
          <t>x̄x̄MMDCCCXXVII</t>
        </is>
      </c>
      <c r="C22828">
        <f>ROMAN(22827)</f>
        <v/>
      </c>
      <c r="D22828">
        <f>IF(B22828=C22828, "YES", "WRONG")</f>
        <v/>
      </c>
    </row>
    <row r="22829">
      <c r="A22829" t="n">
        <v>22828</v>
      </c>
      <c r="B22829" t="inlineStr">
        <is>
          <t>x̄x̄MMDCCCXXVIII</t>
        </is>
      </c>
      <c r="C22829">
        <f>ROMAN(22828)</f>
        <v/>
      </c>
      <c r="D22829">
        <f>IF(B22829=C22829, "YES", "WRONG")</f>
        <v/>
      </c>
    </row>
    <row r="22830">
      <c r="A22830" t="n">
        <v>22829</v>
      </c>
      <c r="B22830" t="inlineStr">
        <is>
          <t>x̄x̄MMDCCCXXIX</t>
        </is>
      </c>
      <c r="C22830">
        <f>ROMAN(22829)</f>
        <v/>
      </c>
      <c r="D22830">
        <f>IF(B22830=C22830, "YES", "WRONG")</f>
        <v/>
      </c>
    </row>
    <row r="22831">
      <c r="A22831" t="n">
        <v>22830</v>
      </c>
      <c r="B22831" t="inlineStr">
        <is>
          <t>x̄x̄MMDCCCXXX</t>
        </is>
      </c>
      <c r="C22831">
        <f>ROMAN(22830)</f>
        <v/>
      </c>
      <c r="D22831">
        <f>IF(B22831=C22831, "YES", "WRONG")</f>
        <v/>
      </c>
    </row>
    <row r="22832">
      <c r="A22832" t="n">
        <v>22831</v>
      </c>
      <c r="B22832" t="inlineStr">
        <is>
          <t>x̄x̄MMDCCCXXXI</t>
        </is>
      </c>
      <c r="C22832">
        <f>ROMAN(22831)</f>
        <v/>
      </c>
      <c r="D22832">
        <f>IF(B22832=C22832, "YES", "WRONG")</f>
        <v/>
      </c>
    </row>
    <row r="22833">
      <c r="A22833" t="n">
        <v>22832</v>
      </c>
      <c r="B22833" t="inlineStr">
        <is>
          <t>x̄x̄MMDCCCXXXII</t>
        </is>
      </c>
      <c r="C22833">
        <f>ROMAN(22832)</f>
        <v/>
      </c>
      <c r="D22833">
        <f>IF(B22833=C22833, "YES", "WRONG")</f>
        <v/>
      </c>
    </row>
    <row r="22834">
      <c r="A22834" t="n">
        <v>22833</v>
      </c>
      <c r="B22834" t="inlineStr">
        <is>
          <t>x̄x̄MMDCCCXXXIII</t>
        </is>
      </c>
      <c r="C22834">
        <f>ROMAN(22833)</f>
        <v/>
      </c>
      <c r="D22834">
        <f>IF(B22834=C22834, "YES", "WRONG")</f>
        <v/>
      </c>
    </row>
    <row r="22835">
      <c r="A22835" t="n">
        <v>22834</v>
      </c>
      <c r="B22835" t="inlineStr">
        <is>
          <t>x̄x̄MMDCCCXXXIV</t>
        </is>
      </c>
      <c r="C22835">
        <f>ROMAN(22834)</f>
        <v/>
      </c>
      <c r="D22835">
        <f>IF(B22835=C22835, "YES", "WRONG")</f>
        <v/>
      </c>
    </row>
    <row r="22836">
      <c r="A22836" t="n">
        <v>22835</v>
      </c>
      <c r="B22836" t="inlineStr">
        <is>
          <t>x̄x̄MMDCCCXXXV</t>
        </is>
      </c>
      <c r="C22836">
        <f>ROMAN(22835)</f>
        <v/>
      </c>
      <c r="D22836">
        <f>IF(B22836=C22836, "YES", "WRONG")</f>
        <v/>
      </c>
    </row>
    <row r="22837">
      <c r="A22837" t="n">
        <v>22836</v>
      </c>
      <c r="B22837" t="inlineStr">
        <is>
          <t>x̄x̄MMDCCCXXXVI</t>
        </is>
      </c>
      <c r="C22837">
        <f>ROMAN(22836)</f>
        <v/>
      </c>
      <c r="D22837">
        <f>IF(B22837=C22837, "YES", "WRONG")</f>
        <v/>
      </c>
    </row>
    <row r="22838">
      <c r="A22838" t="n">
        <v>22837</v>
      </c>
      <c r="B22838" t="inlineStr">
        <is>
          <t>x̄x̄MMDCCCXXXVII</t>
        </is>
      </c>
      <c r="C22838">
        <f>ROMAN(22837)</f>
        <v/>
      </c>
      <c r="D22838">
        <f>IF(B22838=C22838, "YES", "WRONG")</f>
        <v/>
      </c>
    </row>
    <row r="22839">
      <c r="A22839" t="n">
        <v>22838</v>
      </c>
      <c r="B22839" t="inlineStr">
        <is>
          <t>x̄x̄MMDCCCXXXVIII</t>
        </is>
      </c>
      <c r="C22839">
        <f>ROMAN(22838)</f>
        <v/>
      </c>
      <c r="D22839">
        <f>IF(B22839=C22839, "YES", "WRONG")</f>
        <v/>
      </c>
    </row>
    <row r="22840">
      <c r="A22840" t="n">
        <v>22839</v>
      </c>
      <c r="B22840" t="inlineStr">
        <is>
          <t>x̄x̄MMDCCCXXXIX</t>
        </is>
      </c>
      <c r="C22840">
        <f>ROMAN(22839)</f>
        <v/>
      </c>
      <c r="D22840">
        <f>IF(B22840=C22840, "YES", "WRONG")</f>
        <v/>
      </c>
    </row>
    <row r="22841">
      <c r="A22841" t="n">
        <v>22840</v>
      </c>
      <c r="B22841" t="inlineStr">
        <is>
          <t>x̄x̄MMDCCCXL</t>
        </is>
      </c>
      <c r="C22841">
        <f>ROMAN(22840)</f>
        <v/>
      </c>
      <c r="D22841">
        <f>IF(B22841=C22841, "YES", "WRONG")</f>
        <v/>
      </c>
    </row>
    <row r="22842">
      <c r="A22842" t="n">
        <v>22841</v>
      </c>
      <c r="B22842" t="inlineStr">
        <is>
          <t>x̄x̄MMDCCCXLI</t>
        </is>
      </c>
      <c r="C22842">
        <f>ROMAN(22841)</f>
        <v/>
      </c>
      <c r="D22842">
        <f>IF(B22842=C22842, "YES", "WRONG")</f>
        <v/>
      </c>
    </row>
    <row r="22843">
      <c r="A22843" t="n">
        <v>22842</v>
      </c>
      <c r="B22843" t="inlineStr">
        <is>
          <t>x̄x̄MMDCCCXLII</t>
        </is>
      </c>
      <c r="C22843">
        <f>ROMAN(22842)</f>
        <v/>
      </c>
      <c r="D22843">
        <f>IF(B22843=C22843, "YES", "WRONG")</f>
        <v/>
      </c>
    </row>
    <row r="22844">
      <c r="A22844" t="n">
        <v>22843</v>
      </c>
      <c r="B22844" t="inlineStr">
        <is>
          <t>x̄x̄MMDCCCXLIII</t>
        </is>
      </c>
      <c r="C22844">
        <f>ROMAN(22843)</f>
        <v/>
      </c>
      <c r="D22844">
        <f>IF(B22844=C22844, "YES", "WRONG")</f>
        <v/>
      </c>
    </row>
    <row r="22845">
      <c r="A22845" t="n">
        <v>22844</v>
      </c>
      <c r="B22845" t="inlineStr">
        <is>
          <t>x̄x̄MMDCCCXLIV</t>
        </is>
      </c>
      <c r="C22845">
        <f>ROMAN(22844)</f>
        <v/>
      </c>
      <c r="D22845">
        <f>IF(B22845=C22845, "YES", "WRONG")</f>
        <v/>
      </c>
    </row>
    <row r="22846">
      <c r="A22846" t="n">
        <v>22845</v>
      </c>
      <c r="B22846" t="inlineStr">
        <is>
          <t>x̄x̄MMDCCCXLV</t>
        </is>
      </c>
      <c r="C22846">
        <f>ROMAN(22845)</f>
        <v/>
      </c>
      <c r="D22846">
        <f>IF(B22846=C22846, "YES", "WRONG")</f>
        <v/>
      </c>
    </row>
    <row r="22847">
      <c r="A22847" t="n">
        <v>22846</v>
      </c>
      <c r="B22847" t="inlineStr">
        <is>
          <t>x̄x̄MMDCCCXLVI</t>
        </is>
      </c>
      <c r="C22847">
        <f>ROMAN(22846)</f>
        <v/>
      </c>
      <c r="D22847">
        <f>IF(B22847=C22847, "YES", "WRONG")</f>
        <v/>
      </c>
    </row>
    <row r="22848">
      <c r="A22848" t="n">
        <v>22847</v>
      </c>
      <c r="B22848" t="inlineStr">
        <is>
          <t>x̄x̄MMDCCCXLVII</t>
        </is>
      </c>
      <c r="C22848">
        <f>ROMAN(22847)</f>
        <v/>
      </c>
      <c r="D22848">
        <f>IF(B22848=C22848, "YES", "WRONG")</f>
        <v/>
      </c>
    </row>
    <row r="22849">
      <c r="A22849" t="n">
        <v>22848</v>
      </c>
      <c r="B22849" t="inlineStr">
        <is>
          <t>x̄x̄MMDCCCXLVIII</t>
        </is>
      </c>
      <c r="C22849">
        <f>ROMAN(22848)</f>
        <v/>
      </c>
      <c r="D22849">
        <f>IF(B22849=C22849, "YES", "WRONG")</f>
        <v/>
      </c>
    </row>
    <row r="22850">
      <c r="A22850" t="n">
        <v>22849</v>
      </c>
      <c r="B22850" t="inlineStr">
        <is>
          <t>x̄x̄MMDCCCXLIX</t>
        </is>
      </c>
      <c r="C22850">
        <f>ROMAN(22849)</f>
        <v/>
      </c>
      <c r="D22850">
        <f>IF(B22850=C22850, "YES", "WRONG")</f>
        <v/>
      </c>
    </row>
    <row r="22851">
      <c r="A22851" t="n">
        <v>22850</v>
      </c>
      <c r="B22851" t="inlineStr">
        <is>
          <t>x̄x̄MMDCCCL</t>
        </is>
      </c>
      <c r="C22851">
        <f>ROMAN(22850)</f>
        <v/>
      </c>
      <c r="D22851">
        <f>IF(B22851=C22851, "YES", "WRONG")</f>
        <v/>
      </c>
    </row>
    <row r="22852">
      <c r="A22852" t="n">
        <v>22851</v>
      </c>
      <c r="B22852" t="inlineStr">
        <is>
          <t>x̄x̄MMDCCCLI</t>
        </is>
      </c>
      <c r="C22852">
        <f>ROMAN(22851)</f>
        <v/>
      </c>
      <c r="D22852">
        <f>IF(B22852=C22852, "YES", "WRONG")</f>
        <v/>
      </c>
    </row>
    <row r="22853">
      <c r="A22853" t="n">
        <v>22852</v>
      </c>
      <c r="B22853" t="inlineStr">
        <is>
          <t>x̄x̄MMDCCCLII</t>
        </is>
      </c>
      <c r="C22853">
        <f>ROMAN(22852)</f>
        <v/>
      </c>
      <c r="D22853">
        <f>IF(B22853=C22853, "YES", "WRONG")</f>
        <v/>
      </c>
    </row>
    <row r="22854">
      <c r="A22854" t="n">
        <v>22853</v>
      </c>
      <c r="B22854" t="inlineStr">
        <is>
          <t>x̄x̄MMDCCCLIII</t>
        </is>
      </c>
      <c r="C22854">
        <f>ROMAN(22853)</f>
        <v/>
      </c>
      <c r="D22854">
        <f>IF(B22854=C22854, "YES", "WRONG")</f>
        <v/>
      </c>
    </row>
    <row r="22855">
      <c r="A22855" t="n">
        <v>22854</v>
      </c>
      <c r="B22855" t="inlineStr">
        <is>
          <t>x̄x̄MMDCCCLIV</t>
        </is>
      </c>
      <c r="C22855">
        <f>ROMAN(22854)</f>
        <v/>
      </c>
      <c r="D22855">
        <f>IF(B22855=C22855, "YES", "WRONG")</f>
        <v/>
      </c>
    </row>
    <row r="22856">
      <c r="A22856" t="n">
        <v>22855</v>
      </c>
      <c r="B22856" t="inlineStr">
        <is>
          <t>x̄x̄MMDCCCLV</t>
        </is>
      </c>
      <c r="C22856">
        <f>ROMAN(22855)</f>
        <v/>
      </c>
      <c r="D22856">
        <f>IF(B22856=C22856, "YES", "WRONG")</f>
        <v/>
      </c>
    </row>
    <row r="22857">
      <c r="A22857" t="n">
        <v>22856</v>
      </c>
      <c r="B22857" t="inlineStr">
        <is>
          <t>x̄x̄MMDCCCLVI</t>
        </is>
      </c>
      <c r="C22857">
        <f>ROMAN(22856)</f>
        <v/>
      </c>
      <c r="D22857">
        <f>IF(B22857=C22857, "YES", "WRONG")</f>
        <v/>
      </c>
    </row>
    <row r="22858">
      <c r="A22858" t="n">
        <v>22857</v>
      </c>
      <c r="B22858" t="inlineStr">
        <is>
          <t>x̄x̄MMDCCCLVII</t>
        </is>
      </c>
      <c r="C22858">
        <f>ROMAN(22857)</f>
        <v/>
      </c>
      <c r="D22858">
        <f>IF(B22858=C22858, "YES", "WRONG")</f>
        <v/>
      </c>
    </row>
    <row r="22859">
      <c r="A22859" t="n">
        <v>22858</v>
      </c>
      <c r="B22859" t="inlineStr">
        <is>
          <t>x̄x̄MMDCCCLVIII</t>
        </is>
      </c>
      <c r="C22859">
        <f>ROMAN(22858)</f>
        <v/>
      </c>
      <c r="D22859">
        <f>IF(B22859=C22859, "YES", "WRONG")</f>
        <v/>
      </c>
    </row>
    <row r="22860">
      <c r="A22860" t="n">
        <v>22859</v>
      </c>
      <c r="B22860" t="inlineStr">
        <is>
          <t>x̄x̄MMDCCCLIX</t>
        </is>
      </c>
      <c r="C22860">
        <f>ROMAN(22859)</f>
        <v/>
      </c>
      <c r="D22860">
        <f>IF(B22860=C22860, "YES", "WRONG")</f>
        <v/>
      </c>
    </row>
    <row r="22861">
      <c r="A22861" t="n">
        <v>22860</v>
      </c>
      <c r="B22861" t="inlineStr">
        <is>
          <t>x̄x̄MMDCCCLX</t>
        </is>
      </c>
      <c r="C22861">
        <f>ROMAN(22860)</f>
        <v/>
      </c>
      <c r="D22861">
        <f>IF(B22861=C22861, "YES", "WRONG")</f>
        <v/>
      </c>
    </row>
    <row r="22862">
      <c r="A22862" t="n">
        <v>22861</v>
      </c>
      <c r="B22862" t="inlineStr">
        <is>
          <t>x̄x̄MMDCCCLXI</t>
        </is>
      </c>
      <c r="C22862">
        <f>ROMAN(22861)</f>
        <v/>
      </c>
      <c r="D22862">
        <f>IF(B22862=C22862, "YES", "WRONG")</f>
        <v/>
      </c>
    </row>
    <row r="22863">
      <c r="A22863" t="n">
        <v>22862</v>
      </c>
      <c r="B22863" t="inlineStr">
        <is>
          <t>x̄x̄MMDCCCLXII</t>
        </is>
      </c>
      <c r="C22863">
        <f>ROMAN(22862)</f>
        <v/>
      </c>
      <c r="D22863">
        <f>IF(B22863=C22863, "YES", "WRONG")</f>
        <v/>
      </c>
    </row>
    <row r="22864">
      <c r="A22864" t="n">
        <v>22863</v>
      </c>
      <c r="B22864" t="inlineStr">
        <is>
          <t>x̄x̄MMDCCCLXIII</t>
        </is>
      </c>
      <c r="C22864">
        <f>ROMAN(22863)</f>
        <v/>
      </c>
      <c r="D22864">
        <f>IF(B22864=C22864, "YES", "WRONG")</f>
        <v/>
      </c>
    </row>
    <row r="22865">
      <c r="A22865" t="n">
        <v>22864</v>
      </c>
      <c r="B22865" t="inlineStr">
        <is>
          <t>x̄x̄MMDCCCLXIV</t>
        </is>
      </c>
      <c r="C22865">
        <f>ROMAN(22864)</f>
        <v/>
      </c>
      <c r="D22865">
        <f>IF(B22865=C22865, "YES", "WRONG")</f>
        <v/>
      </c>
    </row>
    <row r="22866">
      <c r="A22866" t="n">
        <v>22865</v>
      </c>
      <c r="B22866" t="inlineStr">
        <is>
          <t>x̄x̄MMDCCCLXV</t>
        </is>
      </c>
      <c r="C22866">
        <f>ROMAN(22865)</f>
        <v/>
      </c>
      <c r="D22866">
        <f>IF(B22866=C22866, "YES", "WRONG")</f>
        <v/>
      </c>
    </row>
    <row r="22867">
      <c r="A22867" t="n">
        <v>22866</v>
      </c>
      <c r="B22867" t="inlineStr">
        <is>
          <t>x̄x̄MMDCCCLXVI</t>
        </is>
      </c>
      <c r="C22867">
        <f>ROMAN(22866)</f>
        <v/>
      </c>
      <c r="D22867">
        <f>IF(B22867=C22867, "YES", "WRONG")</f>
        <v/>
      </c>
    </row>
    <row r="22868">
      <c r="A22868" t="n">
        <v>22867</v>
      </c>
      <c r="B22868" t="inlineStr">
        <is>
          <t>x̄x̄MMDCCCLXVII</t>
        </is>
      </c>
      <c r="C22868">
        <f>ROMAN(22867)</f>
        <v/>
      </c>
      <c r="D22868">
        <f>IF(B22868=C22868, "YES", "WRONG")</f>
        <v/>
      </c>
    </row>
    <row r="22869">
      <c r="A22869" t="n">
        <v>22868</v>
      </c>
      <c r="B22869" t="inlineStr">
        <is>
          <t>x̄x̄MMDCCCLXVIII</t>
        </is>
      </c>
      <c r="C22869">
        <f>ROMAN(22868)</f>
        <v/>
      </c>
      <c r="D22869">
        <f>IF(B22869=C22869, "YES", "WRONG")</f>
        <v/>
      </c>
    </row>
    <row r="22870">
      <c r="A22870" t="n">
        <v>22869</v>
      </c>
      <c r="B22870" t="inlineStr">
        <is>
          <t>x̄x̄MMDCCCLXIX</t>
        </is>
      </c>
      <c r="C22870">
        <f>ROMAN(22869)</f>
        <v/>
      </c>
      <c r="D22870">
        <f>IF(B22870=C22870, "YES", "WRONG")</f>
        <v/>
      </c>
    </row>
    <row r="22871">
      <c r="A22871" t="n">
        <v>22870</v>
      </c>
      <c r="B22871" t="inlineStr">
        <is>
          <t>x̄x̄MMDCCCLXX</t>
        </is>
      </c>
      <c r="C22871">
        <f>ROMAN(22870)</f>
        <v/>
      </c>
      <c r="D22871">
        <f>IF(B22871=C22871, "YES", "WRONG")</f>
        <v/>
      </c>
    </row>
    <row r="22872">
      <c r="A22872" t="n">
        <v>22871</v>
      </c>
      <c r="B22872" t="inlineStr">
        <is>
          <t>x̄x̄MMDCCCLXXI</t>
        </is>
      </c>
      <c r="C22872">
        <f>ROMAN(22871)</f>
        <v/>
      </c>
      <c r="D22872">
        <f>IF(B22872=C22872, "YES", "WRONG")</f>
        <v/>
      </c>
    </row>
    <row r="22873">
      <c r="A22873" t="n">
        <v>22872</v>
      </c>
      <c r="B22873" t="inlineStr">
        <is>
          <t>x̄x̄MMDCCCLXXII</t>
        </is>
      </c>
      <c r="C22873">
        <f>ROMAN(22872)</f>
        <v/>
      </c>
      <c r="D22873">
        <f>IF(B22873=C22873, "YES", "WRONG")</f>
        <v/>
      </c>
    </row>
    <row r="22874">
      <c r="A22874" t="n">
        <v>22873</v>
      </c>
      <c r="B22874" t="inlineStr">
        <is>
          <t>x̄x̄MMDCCCLXXIII</t>
        </is>
      </c>
      <c r="C22874">
        <f>ROMAN(22873)</f>
        <v/>
      </c>
      <c r="D22874">
        <f>IF(B22874=C22874, "YES", "WRONG")</f>
        <v/>
      </c>
    </row>
    <row r="22875">
      <c r="A22875" t="n">
        <v>22874</v>
      </c>
      <c r="B22875" t="inlineStr">
        <is>
          <t>x̄x̄MMDCCCLXXIV</t>
        </is>
      </c>
      <c r="C22875">
        <f>ROMAN(22874)</f>
        <v/>
      </c>
      <c r="D22875">
        <f>IF(B22875=C22875, "YES", "WRONG")</f>
        <v/>
      </c>
    </row>
    <row r="22876">
      <c r="A22876" t="n">
        <v>22875</v>
      </c>
      <c r="B22876" t="inlineStr">
        <is>
          <t>x̄x̄MMDCCCLXXV</t>
        </is>
      </c>
      <c r="C22876">
        <f>ROMAN(22875)</f>
        <v/>
      </c>
      <c r="D22876">
        <f>IF(B22876=C22876, "YES", "WRONG")</f>
        <v/>
      </c>
    </row>
    <row r="22877">
      <c r="A22877" t="n">
        <v>22876</v>
      </c>
      <c r="B22877" t="inlineStr">
        <is>
          <t>x̄x̄MMDCCCLXXVI</t>
        </is>
      </c>
      <c r="C22877">
        <f>ROMAN(22876)</f>
        <v/>
      </c>
      <c r="D22877">
        <f>IF(B22877=C22877, "YES", "WRONG")</f>
        <v/>
      </c>
    </row>
    <row r="22878">
      <c r="A22878" t="n">
        <v>22877</v>
      </c>
      <c r="B22878" t="inlineStr">
        <is>
          <t>x̄x̄MMDCCCLXXVII</t>
        </is>
      </c>
      <c r="C22878">
        <f>ROMAN(22877)</f>
        <v/>
      </c>
      <c r="D22878">
        <f>IF(B22878=C22878, "YES", "WRONG")</f>
        <v/>
      </c>
    </row>
    <row r="22879">
      <c r="A22879" t="n">
        <v>22878</v>
      </c>
      <c r="B22879" t="inlineStr">
        <is>
          <t>x̄x̄MMDCCCLXXVIII</t>
        </is>
      </c>
      <c r="C22879">
        <f>ROMAN(22878)</f>
        <v/>
      </c>
      <c r="D22879">
        <f>IF(B22879=C22879, "YES", "WRONG")</f>
        <v/>
      </c>
    </row>
    <row r="22880">
      <c r="A22880" t="n">
        <v>22879</v>
      </c>
      <c r="B22880" t="inlineStr">
        <is>
          <t>x̄x̄MMDCCCLXXIX</t>
        </is>
      </c>
      <c r="C22880">
        <f>ROMAN(22879)</f>
        <v/>
      </c>
      <c r="D22880">
        <f>IF(B22880=C22880, "YES", "WRONG")</f>
        <v/>
      </c>
    </row>
    <row r="22881">
      <c r="A22881" t="n">
        <v>22880</v>
      </c>
      <c r="B22881" t="inlineStr">
        <is>
          <t>x̄x̄MMDCCCLXXX</t>
        </is>
      </c>
      <c r="C22881">
        <f>ROMAN(22880)</f>
        <v/>
      </c>
      <c r="D22881">
        <f>IF(B22881=C22881, "YES", "WRONG")</f>
        <v/>
      </c>
    </row>
    <row r="22882">
      <c r="A22882" t="n">
        <v>22881</v>
      </c>
      <c r="B22882" t="inlineStr">
        <is>
          <t>x̄x̄MMDCCCLXXXI</t>
        </is>
      </c>
      <c r="C22882">
        <f>ROMAN(22881)</f>
        <v/>
      </c>
      <c r="D22882">
        <f>IF(B22882=C22882, "YES", "WRONG")</f>
        <v/>
      </c>
    </row>
    <row r="22883">
      <c r="A22883" t="n">
        <v>22882</v>
      </c>
      <c r="B22883" t="inlineStr">
        <is>
          <t>x̄x̄MMDCCCLXXXII</t>
        </is>
      </c>
      <c r="C22883">
        <f>ROMAN(22882)</f>
        <v/>
      </c>
      <c r="D22883">
        <f>IF(B22883=C22883, "YES", "WRONG")</f>
        <v/>
      </c>
    </row>
    <row r="22884">
      <c r="A22884" t="n">
        <v>22883</v>
      </c>
      <c r="B22884" t="inlineStr">
        <is>
          <t>x̄x̄MMDCCCLXXXIII</t>
        </is>
      </c>
      <c r="C22884">
        <f>ROMAN(22883)</f>
        <v/>
      </c>
      <c r="D22884">
        <f>IF(B22884=C22884, "YES", "WRONG")</f>
        <v/>
      </c>
    </row>
    <row r="22885">
      <c r="A22885" t="n">
        <v>22884</v>
      </c>
      <c r="B22885" t="inlineStr">
        <is>
          <t>x̄x̄MMDCCCLXXXIV</t>
        </is>
      </c>
      <c r="C22885">
        <f>ROMAN(22884)</f>
        <v/>
      </c>
      <c r="D22885">
        <f>IF(B22885=C22885, "YES", "WRONG")</f>
        <v/>
      </c>
    </row>
    <row r="22886">
      <c r="A22886" t="n">
        <v>22885</v>
      </c>
      <c r="B22886" t="inlineStr">
        <is>
          <t>x̄x̄MMDCCCLXXXV</t>
        </is>
      </c>
      <c r="C22886">
        <f>ROMAN(22885)</f>
        <v/>
      </c>
      <c r="D22886">
        <f>IF(B22886=C22886, "YES", "WRONG")</f>
        <v/>
      </c>
    </row>
    <row r="22887">
      <c r="A22887" t="n">
        <v>22886</v>
      </c>
      <c r="B22887" t="inlineStr">
        <is>
          <t>x̄x̄MMDCCCLXXXVI</t>
        </is>
      </c>
      <c r="C22887">
        <f>ROMAN(22886)</f>
        <v/>
      </c>
      <c r="D22887">
        <f>IF(B22887=C22887, "YES", "WRONG")</f>
        <v/>
      </c>
    </row>
    <row r="22888">
      <c r="A22888" t="n">
        <v>22887</v>
      </c>
      <c r="B22888" t="inlineStr">
        <is>
          <t>x̄x̄MMDCCCLXXXVII</t>
        </is>
      </c>
      <c r="C22888">
        <f>ROMAN(22887)</f>
        <v/>
      </c>
      <c r="D22888">
        <f>IF(B22888=C22888, "YES", "WRONG")</f>
        <v/>
      </c>
    </row>
    <row r="22889">
      <c r="A22889" t="n">
        <v>22888</v>
      </c>
      <c r="B22889" t="inlineStr">
        <is>
          <t>x̄x̄MMDCCCLXXXVIII</t>
        </is>
      </c>
      <c r="C22889">
        <f>ROMAN(22888)</f>
        <v/>
      </c>
      <c r="D22889">
        <f>IF(B22889=C22889, "YES", "WRONG")</f>
        <v/>
      </c>
    </row>
    <row r="22890">
      <c r="A22890" t="n">
        <v>22889</v>
      </c>
      <c r="B22890" t="inlineStr">
        <is>
          <t>x̄x̄MMDCCCLXXXIX</t>
        </is>
      </c>
      <c r="C22890">
        <f>ROMAN(22889)</f>
        <v/>
      </c>
      <c r="D22890">
        <f>IF(B22890=C22890, "YES", "WRONG")</f>
        <v/>
      </c>
    </row>
    <row r="22891">
      <c r="A22891" t="n">
        <v>22890</v>
      </c>
      <c r="B22891" t="inlineStr">
        <is>
          <t>x̄x̄MMDCCCXC</t>
        </is>
      </c>
      <c r="C22891">
        <f>ROMAN(22890)</f>
        <v/>
      </c>
      <c r="D22891">
        <f>IF(B22891=C22891, "YES", "WRONG")</f>
        <v/>
      </c>
    </row>
    <row r="22892">
      <c r="A22892" t="n">
        <v>22891</v>
      </c>
      <c r="B22892" t="inlineStr">
        <is>
          <t>x̄x̄MMDCCCXCI</t>
        </is>
      </c>
      <c r="C22892">
        <f>ROMAN(22891)</f>
        <v/>
      </c>
      <c r="D22892">
        <f>IF(B22892=C22892, "YES", "WRONG")</f>
        <v/>
      </c>
    </row>
    <row r="22893">
      <c r="A22893" t="n">
        <v>22892</v>
      </c>
      <c r="B22893" t="inlineStr">
        <is>
          <t>x̄x̄MMDCCCXCII</t>
        </is>
      </c>
      <c r="C22893">
        <f>ROMAN(22892)</f>
        <v/>
      </c>
      <c r="D22893">
        <f>IF(B22893=C22893, "YES", "WRONG")</f>
        <v/>
      </c>
    </row>
    <row r="22894">
      <c r="A22894" t="n">
        <v>22893</v>
      </c>
      <c r="B22894" t="inlineStr">
        <is>
          <t>x̄x̄MMDCCCXCIII</t>
        </is>
      </c>
      <c r="C22894">
        <f>ROMAN(22893)</f>
        <v/>
      </c>
      <c r="D22894">
        <f>IF(B22894=C22894, "YES", "WRONG")</f>
        <v/>
      </c>
    </row>
    <row r="22895">
      <c r="A22895" t="n">
        <v>22894</v>
      </c>
      <c r="B22895" t="inlineStr">
        <is>
          <t>x̄x̄MMDCCCXCIV</t>
        </is>
      </c>
      <c r="C22895">
        <f>ROMAN(22894)</f>
        <v/>
      </c>
      <c r="D22895">
        <f>IF(B22895=C22895, "YES", "WRONG")</f>
        <v/>
      </c>
    </row>
    <row r="22896">
      <c r="A22896" t="n">
        <v>22895</v>
      </c>
      <c r="B22896" t="inlineStr">
        <is>
          <t>x̄x̄MMDCCCXCV</t>
        </is>
      </c>
      <c r="C22896">
        <f>ROMAN(22895)</f>
        <v/>
      </c>
      <c r="D22896">
        <f>IF(B22896=C22896, "YES", "WRONG")</f>
        <v/>
      </c>
    </row>
    <row r="22897">
      <c r="A22897" t="n">
        <v>22896</v>
      </c>
      <c r="B22897" t="inlineStr">
        <is>
          <t>x̄x̄MMDCCCXCVI</t>
        </is>
      </c>
      <c r="C22897">
        <f>ROMAN(22896)</f>
        <v/>
      </c>
      <c r="D22897">
        <f>IF(B22897=C22897, "YES", "WRONG")</f>
        <v/>
      </c>
    </row>
    <row r="22898">
      <c r="A22898" t="n">
        <v>22897</v>
      </c>
      <c r="B22898" t="inlineStr">
        <is>
          <t>x̄x̄MMDCCCXCVII</t>
        </is>
      </c>
      <c r="C22898">
        <f>ROMAN(22897)</f>
        <v/>
      </c>
      <c r="D22898">
        <f>IF(B22898=C22898, "YES", "WRONG")</f>
        <v/>
      </c>
    </row>
    <row r="22899">
      <c r="A22899" t="n">
        <v>22898</v>
      </c>
      <c r="B22899" t="inlineStr">
        <is>
          <t>x̄x̄MMDCCCXCVIII</t>
        </is>
      </c>
      <c r="C22899">
        <f>ROMAN(22898)</f>
        <v/>
      </c>
      <c r="D22899">
        <f>IF(B22899=C22899, "YES", "WRONG")</f>
        <v/>
      </c>
    </row>
    <row r="22900">
      <c r="A22900" t="n">
        <v>22899</v>
      </c>
      <c r="B22900" t="inlineStr">
        <is>
          <t>x̄x̄MMDCCCXCIX</t>
        </is>
      </c>
      <c r="C22900">
        <f>ROMAN(22899)</f>
        <v/>
      </c>
      <c r="D22900">
        <f>IF(B22900=C22900, "YES", "WRONG")</f>
        <v/>
      </c>
    </row>
    <row r="22901">
      <c r="A22901" t="n">
        <v>22900</v>
      </c>
      <c r="B22901" t="inlineStr">
        <is>
          <t>x̄x̄MMCM</t>
        </is>
      </c>
      <c r="C22901">
        <f>ROMAN(22900)</f>
        <v/>
      </c>
      <c r="D22901">
        <f>IF(B22901=C22901, "YES", "WRONG")</f>
        <v/>
      </c>
    </row>
    <row r="22902">
      <c r="A22902" t="n">
        <v>22901</v>
      </c>
      <c r="B22902" t="inlineStr">
        <is>
          <t>x̄x̄MMCMI</t>
        </is>
      </c>
      <c r="C22902">
        <f>ROMAN(22901)</f>
        <v/>
      </c>
      <c r="D22902">
        <f>IF(B22902=C22902, "YES", "WRONG")</f>
        <v/>
      </c>
    </row>
    <row r="22903">
      <c r="A22903" t="n">
        <v>22902</v>
      </c>
      <c r="B22903" t="inlineStr">
        <is>
          <t>x̄x̄MMCMII</t>
        </is>
      </c>
      <c r="C22903">
        <f>ROMAN(22902)</f>
        <v/>
      </c>
      <c r="D22903">
        <f>IF(B22903=C22903, "YES", "WRONG")</f>
        <v/>
      </c>
    </row>
    <row r="22904">
      <c r="A22904" t="n">
        <v>22903</v>
      </c>
      <c r="B22904" t="inlineStr">
        <is>
          <t>x̄x̄MMCMIII</t>
        </is>
      </c>
      <c r="C22904">
        <f>ROMAN(22903)</f>
        <v/>
      </c>
      <c r="D22904">
        <f>IF(B22904=C22904, "YES", "WRONG")</f>
        <v/>
      </c>
    </row>
    <row r="22905">
      <c r="A22905" t="n">
        <v>22904</v>
      </c>
      <c r="B22905" t="inlineStr">
        <is>
          <t>x̄x̄MMCMIV</t>
        </is>
      </c>
      <c r="C22905">
        <f>ROMAN(22904)</f>
        <v/>
      </c>
      <c r="D22905">
        <f>IF(B22905=C22905, "YES", "WRONG")</f>
        <v/>
      </c>
    </row>
    <row r="22906">
      <c r="A22906" t="n">
        <v>22905</v>
      </c>
      <c r="B22906" t="inlineStr">
        <is>
          <t>x̄x̄MMCMV</t>
        </is>
      </c>
      <c r="C22906">
        <f>ROMAN(22905)</f>
        <v/>
      </c>
      <c r="D22906">
        <f>IF(B22906=C22906, "YES", "WRONG")</f>
        <v/>
      </c>
    </row>
    <row r="22907">
      <c r="A22907" t="n">
        <v>22906</v>
      </c>
      <c r="B22907" t="inlineStr">
        <is>
          <t>x̄x̄MMCMVI</t>
        </is>
      </c>
      <c r="C22907">
        <f>ROMAN(22906)</f>
        <v/>
      </c>
      <c r="D22907">
        <f>IF(B22907=C22907, "YES", "WRONG")</f>
        <v/>
      </c>
    </row>
    <row r="22908">
      <c r="A22908" t="n">
        <v>22907</v>
      </c>
      <c r="B22908" t="inlineStr">
        <is>
          <t>x̄x̄MMCMVII</t>
        </is>
      </c>
      <c r="C22908">
        <f>ROMAN(22907)</f>
        <v/>
      </c>
      <c r="D22908">
        <f>IF(B22908=C22908, "YES", "WRONG")</f>
        <v/>
      </c>
    </row>
    <row r="22909">
      <c r="A22909" t="n">
        <v>22908</v>
      </c>
      <c r="B22909" t="inlineStr">
        <is>
          <t>x̄x̄MMCMVIII</t>
        </is>
      </c>
      <c r="C22909">
        <f>ROMAN(22908)</f>
        <v/>
      </c>
      <c r="D22909">
        <f>IF(B22909=C22909, "YES", "WRONG")</f>
        <v/>
      </c>
    </row>
    <row r="22910">
      <c r="A22910" t="n">
        <v>22909</v>
      </c>
      <c r="B22910" t="inlineStr">
        <is>
          <t>x̄x̄MMCMIX</t>
        </is>
      </c>
      <c r="C22910">
        <f>ROMAN(22909)</f>
        <v/>
      </c>
      <c r="D22910">
        <f>IF(B22910=C22910, "YES", "WRONG")</f>
        <v/>
      </c>
    </row>
    <row r="22911">
      <c r="A22911" t="n">
        <v>22910</v>
      </c>
      <c r="B22911" t="inlineStr">
        <is>
          <t>x̄x̄MMCMX</t>
        </is>
      </c>
      <c r="C22911">
        <f>ROMAN(22910)</f>
        <v/>
      </c>
      <c r="D22911">
        <f>IF(B22911=C22911, "YES", "WRONG")</f>
        <v/>
      </c>
    </row>
    <row r="22912">
      <c r="A22912" t="n">
        <v>22911</v>
      </c>
      <c r="B22912" t="inlineStr">
        <is>
          <t>x̄x̄MMCMXI</t>
        </is>
      </c>
      <c r="C22912">
        <f>ROMAN(22911)</f>
        <v/>
      </c>
      <c r="D22912">
        <f>IF(B22912=C22912, "YES", "WRONG")</f>
        <v/>
      </c>
    </row>
    <row r="22913">
      <c r="A22913" t="n">
        <v>22912</v>
      </c>
      <c r="B22913" t="inlineStr">
        <is>
          <t>x̄x̄MMCMXII</t>
        </is>
      </c>
      <c r="C22913">
        <f>ROMAN(22912)</f>
        <v/>
      </c>
      <c r="D22913">
        <f>IF(B22913=C22913, "YES", "WRONG")</f>
        <v/>
      </c>
    </row>
    <row r="22914">
      <c r="A22914" t="n">
        <v>22913</v>
      </c>
      <c r="B22914" t="inlineStr">
        <is>
          <t>x̄x̄MMCMXIII</t>
        </is>
      </c>
      <c r="C22914">
        <f>ROMAN(22913)</f>
        <v/>
      </c>
      <c r="D22914">
        <f>IF(B22914=C22914, "YES", "WRONG")</f>
        <v/>
      </c>
    </row>
    <row r="22915">
      <c r="A22915" t="n">
        <v>22914</v>
      </c>
      <c r="B22915" t="inlineStr">
        <is>
          <t>x̄x̄MMCMXIV</t>
        </is>
      </c>
      <c r="C22915">
        <f>ROMAN(22914)</f>
        <v/>
      </c>
      <c r="D22915">
        <f>IF(B22915=C22915, "YES", "WRONG")</f>
        <v/>
      </c>
    </row>
    <row r="22916">
      <c r="A22916" t="n">
        <v>22915</v>
      </c>
      <c r="B22916" t="inlineStr">
        <is>
          <t>x̄x̄MMCMXV</t>
        </is>
      </c>
      <c r="C22916">
        <f>ROMAN(22915)</f>
        <v/>
      </c>
      <c r="D22916">
        <f>IF(B22916=C22916, "YES", "WRONG")</f>
        <v/>
      </c>
    </row>
    <row r="22917">
      <c r="A22917" t="n">
        <v>22916</v>
      </c>
      <c r="B22917" t="inlineStr">
        <is>
          <t>x̄x̄MMCMXVI</t>
        </is>
      </c>
      <c r="C22917">
        <f>ROMAN(22916)</f>
        <v/>
      </c>
      <c r="D22917">
        <f>IF(B22917=C22917, "YES", "WRONG")</f>
        <v/>
      </c>
    </row>
    <row r="22918">
      <c r="A22918" t="n">
        <v>22917</v>
      </c>
      <c r="B22918" t="inlineStr">
        <is>
          <t>x̄x̄MMCMXVII</t>
        </is>
      </c>
      <c r="C22918">
        <f>ROMAN(22917)</f>
        <v/>
      </c>
      <c r="D22918">
        <f>IF(B22918=C22918, "YES", "WRONG")</f>
        <v/>
      </c>
    </row>
    <row r="22919">
      <c r="A22919" t="n">
        <v>22918</v>
      </c>
      <c r="B22919" t="inlineStr">
        <is>
          <t>x̄x̄MMCMXVIII</t>
        </is>
      </c>
      <c r="C22919">
        <f>ROMAN(22918)</f>
        <v/>
      </c>
      <c r="D22919">
        <f>IF(B22919=C22919, "YES", "WRONG")</f>
        <v/>
      </c>
    </row>
    <row r="22920">
      <c r="A22920" t="n">
        <v>22919</v>
      </c>
      <c r="B22920" t="inlineStr">
        <is>
          <t>x̄x̄MMCMXIX</t>
        </is>
      </c>
      <c r="C22920">
        <f>ROMAN(22919)</f>
        <v/>
      </c>
      <c r="D22920">
        <f>IF(B22920=C22920, "YES", "WRONG")</f>
        <v/>
      </c>
    </row>
    <row r="22921">
      <c r="A22921" t="n">
        <v>22920</v>
      </c>
      <c r="B22921" t="inlineStr">
        <is>
          <t>x̄x̄MMCMXX</t>
        </is>
      </c>
      <c r="C22921">
        <f>ROMAN(22920)</f>
        <v/>
      </c>
      <c r="D22921">
        <f>IF(B22921=C22921, "YES", "WRONG")</f>
        <v/>
      </c>
    </row>
    <row r="22922">
      <c r="A22922" t="n">
        <v>22921</v>
      </c>
      <c r="B22922" t="inlineStr">
        <is>
          <t>x̄x̄MMCMXXI</t>
        </is>
      </c>
      <c r="C22922">
        <f>ROMAN(22921)</f>
        <v/>
      </c>
      <c r="D22922">
        <f>IF(B22922=C22922, "YES", "WRONG")</f>
        <v/>
      </c>
    </row>
    <row r="22923">
      <c r="A22923" t="n">
        <v>22922</v>
      </c>
      <c r="B22923" t="inlineStr">
        <is>
          <t>x̄x̄MMCMXXII</t>
        </is>
      </c>
      <c r="C22923">
        <f>ROMAN(22922)</f>
        <v/>
      </c>
      <c r="D22923">
        <f>IF(B22923=C22923, "YES", "WRONG")</f>
        <v/>
      </c>
    </row>
    <row r="22924">
      <c r="A22924" t="n">
        <v>22923</v>
      </c>
      <c r="B22924" t="inlineStr">
        <is>
          <t>x̄x̄MMCMXXIII</t>
        </is>
      </c>
      <c r="C22924">
        <f>ROMAN(22923)</f>
        <v/>
      </c>
      <c r="D22924">
        <f>IF(B22924=C22924, "YES", "WRONG")</f>
        <v/>
      </c>
    </row>
    <row r="22925">
      <c r="A22925" t="n">
        <v>22924</v>
      </c>
      <c r="B22925" t="inlineStr">
        <is>
          <t>x̄x̄MMCMXXIV</t>
        </is>
      </c>
      <c r="C22925">
        <f>ROMAN(22924)</f>
        <v/>
      </c>
      <c r="D22925">
        <f>IF(B22925=C22925, "YES", "WRONG")</f>
        <v/>
      </c>
    </row>
    <row r="22926">
      <c r="A22926" t="n">
        <v>22925</v>
      </c>
      <c r="B22926" t="inlineStr">
        <is>
          <t>x̄x̄MMCMXXV</t>
        </is>
      </c>
      <c r="C22926">
        <f>ROMAN(22925)</f>
        <v/>
      </c>
      <c r="D22926">
        <f>IF(B22926=C22926, "YES", "WRONG")</f>
        <v/>
      </c>
    </row>
    <row r="22927">
      <c r="A22927" t="n">
        <v>22926</v>
      </c>
      <c r="B22927" t="inlineStr">
        <is>
          <t>x̄x̄MMCMXXVI</t>
        </is>
      </c>
      <c r="C22927">
        <f>ROMAN(22926)</f>
        <v/>
      </c>
      <c r="D22927">
        <f>IF(B22927=C22927, "YES", "WRONG")</f>
        <v/>
      </c>
    </row>
    <row r="22928">
      <c r="A22928" t="n">
        <v>22927</v>
      </c>
      <c r="B22928" t="inlineStr">
        <is>
          <t>x̄x̄MMCMXXVII</t>
        </is>
      </c>
      <c r="C22928">
        <f>ROMAN(22927)</f>
        <v/>
      </c>
      <c r="D22928">
        <f>IF(B22928=C22928, "YES", "WRONG")</f>
        <v/>
      </c>
    </row>
    <row r="22929">
      <c r="A22929" t="n">
        <v>22928</v>
      </c>
      <c r="B22929" t="inlineStr">
        <is>
          <t>x̄x̄MMCMXXVIII</t>
        </is>
      </c>
      <c r="C22929">
        <f>ROMAN(22928)</f>
        <v/>
      </c>
      <c r="D22929">
        <f>IF(B22929=C22929, "YES", "WRONG")</f>
        <v/>
      </c>
    </row>
    <row r="22930">
      <c r="A22930" t="n">
        <v>22929</v>
      </c>
      <c r="B22930" t="inlineStr">
        <is>
          <t>x̄x̄MMCMXXIX</t>
        </is>
      </c>
      <c r="C22930">
        <f>ROMAN(22929)</f>
        <v/>
      </c>
      <c r="D22930">
        <f>IF(B22930=C22930, "YES", "WRONG")</f>
        <v/>
      </c>
    </row>
    <row r="22931">
      <c r="A22931" t="n">
        <v>22930</v>
      </c>
      <c r="B22931" t="inlineStr">
        <is>
          <t>x̄x̄MMCMXXX</t>
        </is>
      </c>
      <c r="C22931">
        <f>ROMAN(22930)</f>
        <v/>
      </c>
      <c r="D22931">
        <f>IF(B22931=C22931, "YES", "WRONG")</f>
        <v/>
      </c>
    </row>
    <row r="22932">
      <c r="A22932" t="n">
        <v>22931</v>
      </c>
      <c r="B22932" t="inlineStr">
        <is>
          <t>x̄x̄MMCMXXXI</t>
        </is>
      </c>
      <c r="C22932">
        <f>ROMAN(22931)</f>
        <v/>
      </c>
      <c r="D22932">
        <f>IF(B22932=C22932, "YES", "WRONG")</f>
        <v/>
      </c>
    </row>
    <row r="22933">
      <c r="A22933" t="n">
        <v>22932</v>
      </c>
      <c r="B22933" t="inlineStr">
        <is>
          <t>x̄x̄MMCMXXXII</t>
        </is>
      </c>
      <c r="C22933">
        <f>ROMAN(22932)</f>
        <v/>
      </c>
      <c r="D22933">
        <f>IF(B22933=C22933, "YES", "WRONG")</f>
        <v/>
      </c>
    </row>
    <row r="22934">
      <c r="A22934" t="n">
        <v>22933</v>
      </c>
      <c r="B22934" t="inlineStr">
        <is>
          <t>x̄x̄MMCMXXXIII</t>
        </is>
      </c>
      <c r="C22934">
        <f>ROMAN(22933)</f>
        <v/>
      </c>
      <c r="D22934">
        <f>IF(B22934=C22934, "YES", "WRONG")</f>
        <v/>
      </c>
    </row>
    <row r="22935">
      <c r="A22935" t="n">
        <v>22934</v>
      </c>
      <c r="B22935" t="inlineStr">
        <is>
          <t>x̄x̄MMCMXXXIV</t>
        </is>
      </c>
      <c r="C22935">
        <f>ROMAN(22934)</f>
        <v/>
      </c>
      <c r="D22935">
        <f>IF(B22935=C22935, "YES", "WRONG")</f>
        <v/>
      </c>
    </row>
    <row r="22936">
      <c r="A22936" t="n">
        <v>22935</v>
      </c>
      <c r="B22936" t="inlineStr">
        <is>
          <t>x̄x̄MMCMXXXV</t>
        </is>
      </c>
      <c r="C22936">
        <f>ROMAN(22935)</f>
        <v/>
      </c>
      <c r="D22936">
        <f>IF(B22936=C22936, "YES", "WRONG")</f>
        <v/>
      </c>
    </row>
    <row r="22937">
      <c r="A22937" t="n">
        <v>22936</v>
      </c>
      <c r="B22937" t="inlineStr">
        <is>
          <t>x̄x̄MMCMXXXVI</t>
        </is>
      </c>
      <c r="C22937">
        <f>ROMAN(22936)</f>
        <v/>
      </c>
      <c r="D22937">
        <f>IF(B22937=C22937, "YES", "WRONG")</f>
        <v/>
      </c>
    </row>
    <row r="22938">
      <c r="A22938" t="n">
        <v>22937</v>
      </c>
      <c r="B22938" t="inlineStr">
        <is>
          <t>x̄x̄MMCMXXXVII</t>
        </is>
      </c>
      <c r="C22938">
        <f>ROMAN(22937)</f>
        <v/>
      </c>
      <c r="D22938">
        <f>IF(B22938=C22938, "YES", "WRONG")</f>
        <v/>
      </c>
    </row>
    <row r="22939">
      <c r="A22939" t="n">
        <v>22938</v>
      </c>
      <c r="B22939" t="inlineStr">
        <is>
          <t>x̄x̄MMCMXXXVIII</t>
        </is>
      </c>
      <c r="C22939">
        <f>ROMAN(22938)</f>
        <v/>
      </c>
      <c r="D22939">
        <f>IF(B22939=C22939, "YES", "WRONG")</f>
        <v/>
      </c>
    </row>
    <row r="22940">
      <c r="A22940" t="n">
        <v>22939</v>
      </c>
      <c r="B22940" t="inlineStr">
        <is>
          <t>x̄x̄MMCMXXXIX</t>
        </is>
      </c>
      <c r="C22940">
        <f>ROMAN(22939)</f>
        <v/>
      </c>
      <c r="D22940">
        <f>IF(B22940=C22940, "YES", "WRONG")</f>
        <v/>
      </c>
    </row>
    <row r="22941">
      <c r="A22941" t="n">
        <v>22940</v>
      </c>
      <c r="B22941" t="inlineStr">
        <is>
          <t>x̄x̄MMCMXL</t>
        </is>
      </c>
      <c r="C22941">
        <f>ROMAN(22940)</f>
        <v/>
      </c>
      <c r="D22941">
        <f>IF(B22941=C22941, "YES", "WRONG")</f>
        <v/>
      </c>
    </row>
    <row r="22942">
      <c r="A22942" t="n">
        <v>22941</v>
      </c>
      <c r="B22942" t="inlineStr">
        <is>
          <t>x̄x̄MMCMXLI</t>
        </is>
      </c>
      <c r="C22942">
        <f>ROMAN(22941)</f>
        <v/>
      </c>
      <c r="D22942">
        <f>IF(B22942=C22942, "YES", "WRONG")</f>
        <v/>
      </c>
    </row>
    <row r="22943">
      <c r="A22943" t="n">
        <v>22942</v>
      </c>
      <c r="B22943" t="inlineStr">
        <is>
          <t>x̄x̄MMCMXLII</t>
        </is>
      </c>
      <c r="C22943">
        <f>ROMAN(22942)</f>
        <v/>
      </c>
      <c r="D22943">
        <f>IF(B22943=C22943, "YES", "WRONG")</f>
        <v/>
      </c>
    </row>
    <row r="22944">
      <c r="A22944" t="n">
        <v>22943</v>
      </c>
      <c r="B22944" t="inlineStr">
        <is>
          <t>x̄x̄MMCMXLIII</t>
        </is>
      </c>
      <c r="C22944">
        <f>ROMAN(22943)</f>
        <v/>
      </c>
      <c r="D22944">
        <f>IF(B22944=C22944, "YES", "WRONG")</f>
        <v/>
      </c>
    </row>
    <row r="22945">
      <c r="A22945" t="n">
        <v>22944</v>
      </c>
      <c r="B22945" t="inlineStr">
        <is>
          <t>x̄x̄MMCMXLIV</t>
        </is>
      </c>
      <c r="C22945">
        <f>ROMAN(22944)</f>
        <v/>
      </c>
      <c r="D22945">
        <f>IF(B22945=C22945, "YES", "WRONG")</f>
        <v/>
      </c>
    </row>
    <row r="22946">
      <c r="A22946" t="n">
        <v>22945</v>
      </c>
      <c r="B22946" t="inlineStr">
        <is>
          <t>x̄x̄MMCMXLV</t>
        </is>
      </c>
      <c r="C22946">
        <f>ROMAN(22945)</f>
        <v/>
      </c>
      <c r="D22946">
        <f>IF(B22946=C22946, "YES", "WRONG")</f>
        <v/>
      </c>
    </row>
    <row r="22947">
      <c r="A22947" t="n">
        <v>22946</v>
      </c>
      <c r="B22947" t="inlineStr">
        <is>
          <t>x̄x̄MMCMXLVI</t>
        </is>
      </c>
      <c r="C22947">
        <f>ROMAN(22946)</f>
        <v/>
      </c>
      <c r="D22947">
        <f>IF(B22947=C22947, "YES", "WRONG")</f>
        <v/>
      </c>
    </row>
    <row r="22948">
      <c r="A22948" t="n">
        <v>22947</v>
      </c>
      <c r="B22948" t="inlineStr">
        <is>
          <t>x̄x̄MMCMXLVII</t>
        </is>
      </c>
      <c r="C22948">
        <f>ROMAN(22947)</f>
        <v/>
      </c>
      <c r="D22948">
        <f>IF(B22948=C22948, "YES", "WRONG")</f>
        <v/>
      </c>
    </row>
    <row r="22949">
      <c r="A22949" t="n">
        <v>22948</v>
      </c>
      <c r="B22949" t="inlineStr">
        <is>
          <t>x̄x̄MMCMXLVIII</t>
        </is>
      </c>
      <c r="C22949">
        <f>ROMAN(22948)</f>
        <v/>
      </c>
      <c r="D22949">
        <f>IF(B22949=C22949, "YES", "WRONG")</f>
        <v/>
      </c>
    </row>
    <row r="22950">
      <c r="A22950" t="n">
        <v>22949</v>
      </c>
      <c r="B22950" t="inlineStr">
        <is>
          <t>x̄x̄MMCMXLIX</t>
        </is>
      </c>
      <c r="C22950">
        <f>ROMAN(22949)</f>
        <v/>
      </c>
      <c r="D22950">
        <f>IF(B22950=C22950, "YES", "WRONG")</f>
        <v/>
      </c>
    </row>
    <row r="22951">
      <c r="A22951" t="n">
        <v>22950</v>
      </c>
      <c r="B22951" t="inlineStr">
        <is>
          <t>x̄x̄MMCML</t>
        </is>
      </c>
      <c r="C22951">
        <f>ROMAN(22950)</f>
        <v/>
      </c>
      <c r="D22951">
        <f>IF(B22951=C22951, "YES", "WRONG")</f>
        <v/>
      </c>
    </row>
    <row r="22952">
      <c r="A22952" t="n">
        <v>22951</v>
      </c>
      <c r="B22952" t="inlineStr">
        <is>
          <t>x̄x̄MMCMLI</t>
        </is>
      </c>
      <c r="C22952">
        <f>ROMAN(22951)</f>
        <v/>
      </c>
      <c r="D22952">
        <f>IF(B22952=C22952, "YES", "WRONG")</f>
        <v/>
      </c>
    </row>
    <row r="22953">
      <c r="A22953" t="n">
        <v>22952</v>
      </c>
      <c r="B22953" t="inlineStr">
        <is>
          <t>x̄x̄MMCMLII</t>
        </is>
      </c>
      <c r="C22953">
        <f>ROMAN(22952)</f>
        <v/>
      </c>
      <c r="D22953">
        <f>IF(B22953=C22953, "YES", "WRONG")</f>
        <v/>
      </c>
    </row>
    <row r="22954">
      <c r="A22954" t="n">
        <v>22953</v>
      </c>
      <c r="B22954" t="inlineStr">
        <is>
          <t>x̄x̄MMCMLIII</t>
        </is>
      </c>
      <c r="C22954">
        <f>ROMAN(22953)</f>
        <v/>
      </c>
      <c r="D22954">
        <f>IF(B22954=C22954, "YES", "WRONG")</f>
        <v/>
      </c>
    </row>
    <row r="22955">
      <c r="A22955" t="n">
        <v>22954</v>
      </c>
      <c r="B22955" t="inlineStr">
        <is>
          <t>x̄x̄MMCMLIV</t>
        </is>
      </c>
      <c r="C22955">
        <f>ROMAN(22954)</f>
        <v/>
      </c>
      <c r="D22955">
        <f>IF(B22955=C22955, "YES", "WRONG")</f>
        <v/>
      </c>
    </row>
    <row r="22956">
      <c r="A22956" t="n">
        <v>22955</v>
      </c>
      <c r="B22956" t="inlineStr">
        <is>
          <t>x̄x̄MMCMLV</t>
        </is>
      </c>
      <c r="C22956">
        <f>ROMAN(22955)</f>
        <v/>
      </c>
      <c r="D22956">
        <f>IF(B22956=C22956, "YES", "WRONG")</f>
        <v/>
      </c>
    </row>
    <row r="22957">
      <c r="A22957" t="n">
        <v>22956</v>
      </c>
      <c r="B22957" t="inlineStr">
        <is>
          <t>x̄x̄MMCMLVI</t>
        </is>
      </c>
      <c r="C22957">
        <f>ROMAN(22956)</f>
        <v/>
      </c>
      <c r="D22957">
        <f>IF(B22957=C22957, "YES", "WRONG")</f>
        <v/>
      </c>
    </row>
    <row r="22958">
      <c r="A22958" t="n">
        <v>22957</v>
      </c>
      <c r="B22958" t="inlineStr">
        <is>
          <t>x̄x̄MMCMLVII</t>
        </is>
      </c>
      <c r="C22958">
        <f>ROMAN(22957)</f>
        <v/>
      </c>
      <c r="D22958">
        <f>IF(B22958=C22958, "YES", "WRONG")</f>
        <v/>
      </c>
    </row>
    <row r="22959">
      <c r="A22959" t="n">
        <v>22958</v>
      </c>
      <c r="B22959" t="inlineStr">
        <is>
          <t>x̄x̄MMCMLVIII</t>
        </is>
      </c>
      <c r="C22959">
        <f>ROMAN(22958)</f>
        <v/>
      </c>
      <c r="D22959">
        <f>IF(B22959=C22959, "YES", "WRONG")</f>
        <v/>
      </c>
    </row>
    <row r="22960">
      <c r="A22960" t="n">
        <v>22959</v>
      </c>
      <c r="B22960" t="inlineStr">
        <is>
          <t>x̄x̄MMCMLIX</t>
        </is>
      </c>
      <c r="C22960">
        <f>ROMAN(22959)</f>
        <v/>
      </c>
      <c r="D22960">
        <f>IF(B22960=C22960, "YES", "WRONG")</f>
        <v/>
      </c>
    </row>
    <row r="22961">
      <c r="A22961" t="n">
        <v>22960</v>
      </c>
      <c r="B22961" t="inlineStr">
        <is>
          <t>x̄x̄MMCMLX</t>
        </is>
      </c>
      <c r="C22961">
        <f>ROMAN(22960)</f>
        <v/>
      </c>
      <c r="D22961">
        <f>IF(B22961=C22961, "YES", "WRONG")</f>
        <v/>
      </c>
    </row>
    <row r="22962">
      <c r="A22962" t="n">
        <v>22961</v>
      </c>
      <c r="B22962" t="inlineStr">
        <is>
          <t>x̄x̄MMCMLXI</t>
        </is>
      </c>
      <c r="C22962">
        <f>ROMAN(22961)</f>
        <v/>
      </c>
      <c r="D22962">
        <f>IF(B22962=C22962, "YES", "WRONG")</f>
        <v/>
      </c>
    </row>
    <row r="22963">
      <c r="A22963" t="n">
        <v>22962</v>
      </c>
      <c r="B22963" t="inlineStr">
        <is>
          <t>x̄x̄MMCMLXII</t>
        </is>
      </c>
      <c r="C22963">
        <f>ROMAN(22962)</f>
        <v/>
      </c>
      <c r="D22963">
        <f>IF(B22963=C22963, "YES", "WRONG")</f>
        <v/>
      </c>
    </row>
    <row r="22964">
      <c r="A22964" t="n">
        <v>22963</v>
      </c>
      <c r="B22964" t="inlineStr">
        <is>
          <t>x̄x̄MMCMLXIII</t>
        </is>
      </c>
      <c r="C22964">
        <f>ROMAN(22963)</f>
        <v/>
      </c>
      <c r="D22964">
        <f>IF(B22964=C22964, "YES", "WRONG")</f>
        <v/>
      </c>
    </row>
    <row r="22965">
      <c r="A22965" t="n">
        <v>22964</v>
      </c>
      <c r="B22965" t="inlineStr">
        <is>
          <t>x̄x̄MMCMLXIV</t>
        </is>
      </c>
      <c r="C22965">
        <f>ROMAN(22964)</f>
        <v/>
      </c>
      <c r="D22965">
        <f>IF(B22965=C22965, "YES", "WRONG")</f>
        <v/>
      </c>
    </row>
    <row r="22966">
      <c r="A22966" t="n">
        <v>22965</v>
      </c>
      <c r="B22966" t="inlineStr">
        <is>
          <t>x̄x̄MMCMLXV</t>
        </is>
      </c>
      <c r="C22966">
        <f>ROMAN(22965)</f>
        <v/>
      </c>
      <c r="D22966">
        <f>IF(B22966=C22966, "YES", "WRONG")</f>
        <v/>
      </c>
    </row>
    <row r="22967">
      <c r="A22967" t="n">
        <v>22966</v>
      </c>
      <c r="B22967" t="inlineStr">
        <is>
          <t>x̄x̄MMCMLXVI</t>
        </is>
      </c>
      <c r="C22967">
        <f>ROMAN(22966)</f>
        <v/>
      </c>
      <c r="D22967">
        <f>IF(B22967=C22967, "YES", "WRONG")</f>
        <v/>
      </c>
    </row>
    <row r="22968">
      <c r="A22968" t="n">
        <v>22967</v>
      </c>
      <c r="B22968" t="inlineStr">
        <is>
          <t>x̄x̄MMCMLXVII</t>
        </is>
      </c>
      <c r="C22968">
        <f>ROMAN(22967)</f>
        <v/>
      </c>
      <c r="D22968">
        <f>IF(B22968=C22968, "YES", "WRONG")</f>
        <v/>
      </c>
    </row>
    <row r="22969">
      <c r="A22969" t="n">
        <v>22968</v>
      </c>
      <c r="B22969" t="inlineStr">
        <is>
          <t>x̄x̄MMCMLXVIII</t>
        </is>
      </c>
      <c r="C22969">
        <f>ROMAN(22968)</f>
        <v/>
      </c>
      <c r="D22969">
        <f>IF(B22969=C22969, "YES", "WRONG")</f>
        <v/>
      </c>
    </row>
    <row r="22970">
      <c r="A22970" t="n">
        <v>22969</v>
      </c>
      <c r="B22970" t="inlineStr">
        <is>
          <t>x̄x̄MMCMLXIX</t>
        </is>
      </c>
      <c r="C22970">
        <f>ROMAN(22969)</f>
        <v/>
      </c>
      <c r="D22970">
        <f>IF(B22970=C22970, "YES", "WRONG")</f>
        <v/>
      </c>
    </row>
    <row r="22971">
      <c r="A22971" t="n">
        <v>22970</v>
      </c>
      <c r="B22971" t="inlineStr">
        <is>
          <t>x̄x̄MMCMLXX</t>
        </is>
      </c>
      <c r="C22971">
        <f>ROMAN(22970)</f>
        <v/>
      </c>
      <c r="D22971">
        <f>IF(B22971=C22971, "YES", "WRONG")</f>
        <v/>
      </c>
    </row>
    <row r="22972">
      <c r="A22972" t="n">
        <v>22971</v>
      </c>
      <c r="B22972" t="inlineStr">
        <is>
          <t>x̄x̄MMCMLXXI</t>
        </is>
      </c>
      <c r="C22972">
        <f>ROMAN(22971)</f>
        <v/>
      </c>
      <c r="D22972">
        <f>IF(B22972=C22972, "YES", "WRONG")</f>
        <v/>
      </c>
    </row>
    <row r="22973">
      <c r="A22973" t="n">
        <v>22972</v>
      </c>
      <c r="B22973" t="inlineStr">
        <is>
          <t>x̄x̄MMCMLXXII</t>
        </is>
      </c>
      <c r="C22973">
        <f>ROMAN(22972)</f>
        <v/>
      </c>
      <c r="D22973">
        <f>IF(B22973=C22973, "YES", "WRONG")</f>
        <v/>
      </c>
    </row>
    <row r="22974">
      <c r="A22974" t="n">
        <v>22973</v>
      </c>
      <c r="B22974" t="inlineStr">
        <is>
          <t>x̄x̄MMCMLXXIII</t>
        </is>
      </c>
      <c r="C22974">
        <f>ROMAN(22973)</f>
        <v/>
      </c>
      <c r="D22974">
        <f>IF(B22974=C22974, "YES", "WRONG")</f>
        <v/>
      </c>
    </row>
    <row r="22975">
      <c r="A22975" t="n">
        <v>22974</v>
      </c>
      <c r="B22975" t="inlineStr">
        <is>
          <t>x̄x̄MMCMLXXIV</t>
        </is>
      </c>
      <c r="C22975">
        <f>ROMAN(22974)</f>
        <v/>
      </c>
      <c r="D22975">
        <f>IF(B22975=C22975, "YES", "WRONG")</f>
        <v/>
      </c>
    </row>
    <row r="22976">
      <c r="A22976" t="n">
        <v>22975</v>
      </c>
      <c r="B22976" t="inlineStr">
        <is>
          <t>x̄x̄MMCMLXXV</t>
        </is>
      </c>
      <c r="C22976">
        <f>ROMAN(22975)</f>
        <v/>
      </c>
      <c r="D22976">
        <f>IF(B22976=C22976, "YES", "WRONG")</f>
        <v/>
      </c>
    </row>
    <row r="22977">
      <c r="A22977" t="n">
        <v>22976</v>
      </c>
      <c r="B22977" t="inlineStr">
        <is>
          <t>x̄x̄MMCMLXXVI</t>
        </is>
      </c>
      <c r="C22977">
        <f>ROMAN(22976)</f>
        <v/>
      </c>
      <c r="D22977">
        <f>IF(B22977=C22977, "YES", "WRONG")</f>
        <v/>
      </c>
    </row>
    <row r="22978">
      <c r="A22978" t="n">
        <v>22977</v>
      </c>
      <c r="B22978" t="inlineStr">
        <is>
          <t>x̄x̄MMCMLXXVII</t>
        </is>
      </c>
      <c r="C22978">
        <f>ROMAN(22977)</f>
        <v/>
      </c>
      <c r="D22978">
        <f>IF(B22978=C22978, "YES", "WRONG")</f>
        <v/>
      </c>
    </row>
    <row r="22979">
      <c r="A22979" t="n">
        <v>22978</v>
      </c>
      <c r="B22979" t="inlineStr">
        <is>
          <t>x̄x̄MMCMLXXVIII</t>
        </is>
      </c>
      <c r="C22979">
        <f>ROMAN(22978)</f>
        <v/>
      </c>
      <c r="D22979">
        <f>IF(B22979=C22979, "YES", "WRONG")</f>
        <v/>
      </c>
    </row>
    <row r="22980">
      <c r="A22980" t="n">
        <v>22979</v>
      </c>
      <c r="B22980" t="inlineStr">
        <is>
          <t>x̄x̄MMCMLXXIX</t>
        </is>
      </c>
      <c r="C22980">
        <f>ROMAN(22979)</f>
        <v/>
      </c>
      <c r="D22980">
        <f>IF(B22980=C22980, "YES", "WRONG")</f>
        <v/>
      </c>
    </row>
    <row r="22981">
      <c r="A22981" t="n">
        <v>22980</v>
      </c>
      <c r="B22981" t="inlineStr">
        <is>
          <t>x̄x̄MMCMLXXX</t>
        </is>
      </c>
      <c r="C22981">
        <f>ROMAN(22980)</f>
        <v/>
      </c>
      <c r="D22981">
        <f>IF(B22981=C22981, "YES", "WRONG")</f>
        <v/>
      </c>
    </row>
    <row r="22982">
      <c r="A22982" t="n">
        <v>22981</v>
      </c>
      <c r="B22982" t="inlineStr">
        <is>
          <t>x̄x̄MMCMLXXXI</t>
        </is>
      </c>
      <c r="C22982">
        <f>ROMAN(22981)</f>
        <v/>
      </c>
      <c r="D22982">
        <f>IF(B22982=C22982, "YES", "WRONG")</f>
        <v/>
      </c>
    </row>
    <row r="22983">
      <c r="A22983" t="n">
        <v>22982</v>
      </c>
      <c r="B22983" t="inlineStr">
        <is>
          <t>x̄x̄MMCMLXXXII</t>
        </is>
      </c>
      <c r="C22983">
        <f>ROMAN(22982)</f>
        <v/>
      </c>
      <c r="D22983">
        <f>IF(B22983=C22983, "YES", "WRONG")</f>
        <v/>
      </c>
    </row>
    <row r="22984">
      <c r="A22984" t="n">
        <v>22983</v>
      </c>
      <c r="B22984" t="inlineStr">
        <is>
          <t>x̄x̄MMCMLXXXIII</t>
        </is>
      </c>
      <c r="C22984">
        <f>ROMAN(22983)</f>
        <v/>
      </c>
      <c r="D22984">
        <f>IF(B22984=C22984, "YES", "WRONG")</f>
        <v/>
      </c>
    </row>
    <row r="22985">
      <c r="A22985" t="n">
        <v>22984</v>
      </c>
      <c r="B22985" t="inlineStr">
        <is>
          <t>x̄x̄MMCMLXXXIV</t>
        </is>
      </c>
      <c r="C22985">
        <f>ROMAN(22984)</f>
        <v/>
      </c>
      <c r="D22985">
        <f>IF(B22985=C22985, "YES", "WRONG")</f>
        <v/>
      </c>
    </row>
    <row r="22986">
      <c r="A22986" t="n">
        <v>22985</v>
      </c>
      <c r="B22986" t="inlineStr">
        <is>
          <t>x̄x̄MMCMLXXXV</t>
        </is>
      </c>
      <c r="C22986">
        <f>ROMAN(22985)</f>
        <v/>
      </c>
      <c r="D22986">
        <f>IF(B22986=C22986, "YES", "WRONG")</f>
        <v/>
      </c>
    </row>
    <row r="22987">
      <c r="A22987" t="n">
        <v>22986</v>
      </c>
      <c r="B22987" t="inlineStr">
        <is>
          <t>x̄x̄MMCMLXXXVI</t>
        </is>
      </c>
      <c r="C22987">
        <f>ROMAN(22986)</f>
        <v/>
      </c>
      <c r="D22987">
        <f>IF(B22987=C22987, "YES", "WRONG")</f>
        <v/>
      </c>
    </row>
    <row r="22988">
      <c r="A22988" t="n">
        <v>22987</v>
      </c>
      <c r="B22988" t="inlineStr">
        <is>
          <t>x̄x̄MMCMLXXXVII</t>
        </is>
      </c>
      <c r="C22988">
        <f>ROMAN(22987)</f>
        <v/>
      </c>
      <c r="D22988">
        <f>IF(B22988=C22988, "YES", "WRONG")</f>
        <v/>
      </c>
    </row>
    <row r="22989">
      <c r="A22989" t="n">
        <v>22988</v>
      </c>
      <c r="B22989" t="inlineStr">
        <is>
          <t>x̄x̄MMCMLXXXVIII</t>
        </is>
      </c>
      <c r="C22989">
        <f>ROMAN(22988)</f>
        <v/>
      </c>
      <c r="D22989">
        <f>IF(B22989=C22989, "YES", "WRONG")</f>
        <v/>
      </c>
    </row>
    <row r="22990">
      <c r="A22990" t="n">
        <v>22989</v>
      </c>
      <c r="B22990" t="inlineStr">
        <is>
          <t>x̄x̄MMCMLXXXIX</t>
        </is>
      </c>
      <c r="C22990">
        <f>ROMAN(22989)</f>
        <v/>
      </c>
      <c r="D22990">
        <f>IF(B22990=C22990, "YES", "WRONG")</f>
        <v/>
      </c>
    </row>
    <row r="22991">
      <c r="A22991" t="n">
        <v>22990</v>
      </c>
      <c r="B22991" t="inlineStr">
        <is>
          <t>x̄x̄MMCMXC</t>
        </is>
      </c>
      <c r="C22991">
        <f>ROMAN(22990)</f>
        <v/>
      </c>
      <c r="D22991">
        <f>IF(B22991=C22991, "YES", "WRONG")</f>
        <v/>
      </c>
    </row>
    <row r="22992">
      <c r="A22992" t="n">
        <v>22991</v>
      </c>
      <c r="B22992" t="inlineStr">
        <is>
          <t>x̄x̄MMCMXCI</t>
        </is>
      </c>
      <c r="C22992">
        <f>ROMAN(22991)</f>
        <v/>
      </c>
      <c r="D22992">
        <f>IF(B22992=C22992, "YES", "WRONG")</f>
        <v/>
      </c>
    </row>
    <row r="22993">
      <c r="A22993" t="n">
        <v>22992</v>
      </c>
      <c r="B22993" t="inlineStr">
        <is>
          <t>x̄x̄MMCMXCII</t>
        </is>
      </c>
      <c r="C22993">
        <f>ROMAN(22992)</f>
        <v/>
      </c>
      <c r="D22993">
        <f>IF(B22993=C22993, "YES", "WRONG")</f>
        <v/>
      </c>
    </row>
    <row r="22994">
      <c r="A22994" t="n">
        <v>22993</v>
      </c>
      <c r="B22994" t="inlineStr">
        <is>
          <t>x̄x̄MMCMXCIII</t>
        </is>
      </c>
      <c r="C22994">
        <f>ROMAN(22993)</f>
        <v/>
      </c>
      <c r="D22994">
        <f>IF(B22994=C22994, "YES", "WRONG")</f>
        <v/>
      </c>
    </row>
    <row r="22995">
      <c r="A22995" t="n">
        <v>22994</v>
      </c>
      <c r="B22995" t="inlineStr">
        <is>
          <t>x̄x̄MMCMXCIV</t>
        </is>
      </c>
      <c r="C22995">
        <f>ROMAN(22994)</f>
        <v/>
      </c>
      <c r="D22995">
        <f>IF(B22995=C22995, "YES", "WRONG")</f>
        <v/>
      </c>
    </row>
    <row r="22996">
      <c r="A22996" t="n">
        <v>22995</v>
      </c>
      <c r="B22996" t="inlineStr">
        <is>
          <t>x̄x̄MMCMXCV</t>
        </is>
      </c>
      <c r="C22996">
        <f>ROMAN(22995)</f>
        <v/>
      </c>
      <c r="D22996">
        <f>IF(B22996=C22996, "YES", "WRONG")</f>
        <v/>
      </c>
    </row>
    <row r="22997">
      <c r="A22997" t="n">
        <v>22996</v>
      </c>
      <c r="B22997" t="inlineStr">
        <is>
          <t>x̄x̄MMCMXCVI</t>
        </is>
      </c>
      <c r="C22997">
        <f>ROMAN(22996)</f>
        <v/>
      </c>
      <c r="D22997">
        <f>IF(B22997=C22997, "YES", "WRONG")</f>
        <v/>
      </c>
    </row>
    <row r="22998">
      <c r="A22998" t="n">
        <v>22997</v>
      </c>
      <c r="B22998" t="inlineStr">
        <is>
          <t>x̄x̄MMCMXCVII</t>
        </is>
      </c>
      <c r="C22998">
        <f>ROMAN(22997)</f>
        <v/>
      </c>
      <c r="D22998">
        <f>IF(B22998=C22998, "YES", "WRONG")</f>
        <v/>
      </c>
    </row>
    <row r="22999">
      <c r="A22999" t="n">
        <v>22998</v>
      </c>
      <c r="B22999" t="inlineStr">
        <is>
          <t>x̄x̄MMCMXCVIII</t>
        </is>
      </c>
      <c r="C22999">
        <f>ROMAN(22998)</f>
        <v/>
      </c>
      <c r="D22999">
        <f>IF(B22999=C22999, "YES", "WRONG")</f>
        <v/>
      </c>
    </row>
    <row r="23000">
      <c r="A23000" t="n">
        <v>22999</v>
      </c>
      <c r="B23000" t="inlineStr">
        <is>
          <t>x̄x̄MMCMXCIX</t>
        </is>
      </c>
      <c r="C23000">
        <f>ROMAN(22999)</f>
        <v/>
      </c>
      <c r="D23000">
        <f>IF(B23000=C23000, "YES", "WRONG")</f>
        <v/>
      </c>
    </row>
    <row r="23001">
      <c r="A23001" t="n">
        <v>23000</v>
      </c>
      <c r="B23001" t="inlineStr">
        <is>
          <t>x̄x̄MMM</t>
        </is>
      </c>
      <c r="C23001">
        <f>ROMAN(23000)</f>
        <v/>
      </c>
      <c r="D23001">
        <f>IF(B23001=C23001, "YES", "WRONG")</f>
        <v/>
      </c>
    </row>
    <row r="23002">
      <c r="A23002" t="n">
        <v>23001</v>
      </c>
      <c r="B23002" t="inlineStr">
        <is>
          <t>x̄x̄MMMI</t>
        </is>
      </c>
      <c r="C23002">
        <f>ROMAN(23001)</f>
        <v/>
      </c>
      <c r="D23002">
        <f>IF(B23002=C23002, "YES", "WRONG")</f>
        <v/>
      </c>
    </row>
    <row r="23003">
      <c r="A23003" t="n">
        <v>23002</v>
      </c>
      <c r="B23003" t="inlineStr">
        <is>
          <t>x̄x̄MMMII</t>
        </is>
      </c>
      <c r="C23003">
        <f>ROMAN(23002)</f>
        <v/>
      </c>
      <c r="D23003">
        <f>IF(B23003=C23003, "YES", "WRONG")</f>
        <v/>
      </c>
    </row>
    <row r="23004">
      <c r="A23004" t="n">
        <v>23003</v>
      </c>
      <c r="B23004" t="inlineStr">
        <is>
          <t>x̄x̄MMMIII</t>
        </is>
      </c>
      <c r="C23004">
        <f>ROMAN(23003)</f>
        <v/>
      </c>
      <c r="D23004">
        <f>IF(B23004=C23004, "YES", "WRONG")</f>
        <v/>
      </c>
    </row>
    <row r="23005">
      <c r="A23005" t="n">
        <v>23004</v>
      </c>
      <c r="B23005" t="inlineStr">
        <is>
          <t>x̄x̄MMMIV</t>
        </is>
      </c>
      <c r="C23005">
        <f>ROMAN(23004)</f>
        <v/>
      </c>
      <c r="D23005">
        <f>IF(B23005=C23005, "YES", "WRONG")</f>
        <v/>
      </c>
    </row>
    <row r="23006">
      <c r="A23006" t="n">
        <v>23005</v>
      </c>
      <c r="B23006" t="inlineStr">
        <is>
          <t>x̄x̄MMMV</t>
        </is>
      </c>
      <c r="C23006">
        <f>ROMAN(23005)</f>
        <v/>
      </c>
      <c r="D23006">
        <f>IF(B23006=C23006, "YES", "WRONG")</f>
        <v/>
      </c>
    </row>
    <row r="23007">
      <c r="A23007" t="n">
        <v>23006</v>
      </c>
      <c r="B23007" t="inlineStr">
        <is>
          <t>x̄x̄MMMVI</t>
        </is>
      </c>
      <c r="C23007">
        <f>ROMAN(23006)</f>
        <v/>
      </c>
      <c r="D23007">
        <f>IF(B23007=C23007, "YES", "WRONG")</f>
        <v/>
      </c>
    </row>
    <row r="23008">
      <c r="A23008" t="n">
        <v>23007</v>
      </c>
      <c r="B23008" t="inlineStr">
        <is>
          <t>x̄x̄MMMVII</t>
        </is>
      </c>
      <c r="C23008">
        <f>ROMAN(23007)</f>
        <v/>
      </c>
      <c r="D23008">
        <f>IF(B23008=C23008, "YES", "WRONG")</f>
        <v/>
      </c>
    </row>
    <row r="23009">
      <c r="A23009" t="n">
        <v>23008</v>
      </c>
      <c r="B23009" t="inlineStr">
        <is>
          <t>x̄x̄MMMVIII</t>
        </is>
      </c>
      <c r="C23009">
        <f>ROMAN(23008)</f>
        <v/>
      </c>
      <c r="D23009">
        <f>IF(B23009=C23009, "YES", "WRONG")</f>
        <v/>
      </c>
    </row>
    <row r="23010">
      <c r="A23010" t="n">
        <v>23009</v>
      </c>
      <c r="B23010" t="inlineStr">
        <is>
          <t>x̄x̄MMMIX</t>
        </is>
      </c>
      <c r="C23010">
        <f>ROMAN(23009)</f>
        <v/>
      </c>
      <c r="D23010">
        <f>IF(B23010=C23010, "YES", "WRONG")</f>
        <v/>
      </c>
    </row>
    <row r="23011">
      <c r="A23011" t="n">
        <v>23010</v>
      </c>
      <c r="B23011" t="inlineStr">
        <is>
          <t>x̄x̄MMMX</t>
        </is>
      </c>
      <c r="C23011">
        <f>ROMAN(23010)</f>
        <v/>
      </c>
      <c r="D23011">
        <f>IF(B23011=C23011, "YES", "WRONG")</f>
        <v/>
      </c>
    </row>
    <row r="23012">
      <c r="A23012" t="n">
        <v>23011</v>
      </c>
      <c r="B23012" t="inlineStr">
        <is>
          <t>x̄x̄MMMXI</t>
        </is>
      </c>
      <c r="C23012">
        <f>ROMAN(23011)</f>
        <v/>
      </c>
      <c r="D23012">
        <f>IF(B23012=C23012, "YES", "WRONG")</f>
        <v/>
      </c>
    </row>
    <row r="23013">
      <c r="A23013" t="n">
        <v>23012</v>
      </c>
      <c r="B23013" t="inlineStr">
        <is>
          <t>x̄x̄MMMXII</t>
        </is>
      </c>
      <c r="C23013">
        <f>ROMAN(23012)</f>
        <v/>
      </c>
      <c r="D23013">
        <f>IF(B23013=C23013, "YES", "WRONG")</f>
        <v/>
      </c>
    </row>
    <row r="23014">
      <c r="A23014" t="n">
        <v>23013</v>
      </c>
      <c r="B23014" t="inlineStr">
        <is>
          <t>x̄x̄MMMXIII</t>
        </is>
      </c>
      <c r="C23014">
        <f>ROMAN(23013)</f>
        <v/>
      </c>
      <c r="D23014">
        <f>IF(B23014=C23014, "YES", "WRONG")</f>
        <v/>
      </c>
    </row>
    <row r="23015">
      <c r="A23015" t="n">
        <v>23014</v>
      </c>
      <c r="B23015" t="inlineStr">
        <is>
          <t>x̄x̄MMMXIV</t>
        </is>
      </c>
      <c r="C23015">
        <f>ROMAN(23014)</f>
        <v/>
      </c>
      <c r="D23015">
        <f>IF(B23015=C23015, "YES", "WRONG")</f>
        <v/>
      </c>
    </row>
    <row r="23016">
      <c r="A23016" t="n">
        <v>23015</v>
      </c>
      <c r="B23016" t="inlineStr">
        <is>
          <t>x̄x̄MMMXV</t>
        </is>
      </c>
      <c r="C23016">
        <f>ROMAN(23015)</f>
        <v/>
      </c>
      <c r="D23016">
        <f>IF(B23016=C23016, "YES", "WRONG")</f>
        <v/>
      </c>
    </row>
    <row r="23017">
      <c r="A23017" t="n">
        <v>23016</v>
      </c>
      <c r="B23017" t="inlineStr">
        <is>
          <t>x̄x̄MMMXVI</t>
        </is>
      </c>
      <c r="C23017">
        <f>ROMAN(23016)</f>
        <v/>
      </c>
      <c r="D23017">
        <f>IF(B23017=C23017, "YES", "WRONG")</f>
        <v/>
      </c>
    </row>
    <row r="23018">
      <c r="A23018" t="n">
        <v>23017</v>
      </c>
      <c r="B23018" t="inlineStr">
        <is>
          <t>x̄x̄MMMXVII</t>
        </is>
      </c>
      <c r="C23018">
        <f>ROMAN(23017)</f>
        <v/>
      </c>
      <c r="D23018">
        <f>IF(B23018=C23018, "YES", "WRONG")</f>
        <v/>
      </c>
    </row>
    <row r="23019">
      <c r="A23019" t="n">
        <v>23018</v>
      </c>
      <c r="B23019" t="inlineStr">
        <is>
          <t>x̄x̄MMMXVIII</t>
        </is>
      </c>
      <c r="C23019">
        <f>ROMAN(23018)</f>
        <v/>
      </c>
      <c r="D23019">
        <f>IF(B23019=C23019, "YES", "WRONG")</f>
        <v/>
      </c>
    </row>
    <row r="23020">
      <c r="A23020" t="n">
        <v>23019</v>
      </c>
      <c r="B23020" t="inlineStr">
        <is>
          <t>x̄x̄MMMXIX</t>
        </is>
      </c>
      <c r="C23020">
        <f>ROMAN(23019)</f>
        <v/>
      </c>
      <c r="D23020">
        <f>IF(B23020=C23020, "YES", "WRONG")</f>
        <v/>
      </c>
    </row>
    <row r="23021">
      <c r="A23021" t="n">
        <v>23020</v>
      </c>
      <c r="B23021" t="inlineStr">
        <is>
          <t>x̄x̄MMMXX</t>
        </is>
      </c>
      <c r="C23021">
        <f>ROMAN(23020)</f>
        <v/>
      </c>
      <c r="D23021">
        <f>IF(B23021=C23021, "YES", "WRONG")</f>
        <v/>
      </c>
    </row>
    <row r="23022">
      <c r="A23022" t="n">
        <v>23021</v>
      </c>
      <c r="B23022" t="inlineStr">
        <is>
          <t>x̄x̄MMMXXI</t>
        </is>
      </c>
      <c r="C23022">
        <f>ROMAN(23021)</f>
        <v/>
      </c>
      <c r="D23022">
        <f>IF(B23022=C23022, "YES", "WRONG")</f>
        <v/>
      </c>
    </row>
    <row r="23023">
      <c r="A23023" t="n">
        <v>23022</v>
      </c>
      <c r="B23023" t="inlineStr">
        <is>
          <t>x̄x̄MMMXXII</t>
        </is>
      </c>
      <c r="C23023">
        <f>ROMAN(23022)</f>
        <v/>
      </c>
      <c r="D23023">
        <f>IF(B23023=C23023, "YES", "WRONG")</f>
        <v/>
      </c>
    </row>
    <row r="23024">
      <c r="A23024" t="n">
        <v>23023</v>
      </c>
      <c r="B23024" t="inlineStr">
        <is>
          <t>x̄x̄MMMXXIII</t>
        </is>
      </c>
      <c r="C23024">
        <f>ROMAN(23023)</f>
        <v/>
      </c>
      <c r="D23024">
        <f>IF(B23024=C23024, "YES", "WRONG")</f>
        <v/>
      </c>
    </row>
    <row r="23025">
      <c r="A23025" t="n">
        <v>23024</v>
      </c>
      <c r="B23025" t="inlineStr">
        <is>
          <t>x̄x̄MMMXXIV</t>
        </is>
      </c>
      <c r="C23025">
        <f>ROMAN(23024)</f>
        <v/>
      </c>
      <c r="D23025">
        <f>IF(B23025=C23025, "YES", "WRONG")</f>
        <v/>
      </c>
    </row>
    <row r="23026">
      <c r="A23026" t="n">
        <v>23025</v>
      </c>
      <c r="B23026" t="inlineStr">
        <is>
          <t>x̄x̄MMMXXV</t>
        </is>
      </c>
      <c r="C23026">
        <f>ROMAN(23025)</f>
        <v/>
      </c>
      <c r="D23026">
        <f>IF(B23026=C23026, "YES", "WRONG")</f>
        <v/>
      </c>
    </row>
    <row r="23027">
      <c r="A23027" t="n">
        <v>23026</v>
      </c>
      <c r="B23027" t="inlineStr">
        <is>
          <t>x̄x̄MMMXXVI</t>
        </is>
      </c>
      <c r="C23027">
        <f>ROMAN(23026)</f>
        <v/>
      </c>
      <c r="D23027">
        <f>IF(B23027=C23027, "YES", "WRONG")</f>
        <v/>
      </c>
    </row>
    <row r="23028">
      <c r="A23028" t="n">
        <v>23027</v>
      </c>
      <c r="B23028" t="inlineStr">
        <is>
          <t>x̄x̄MMMXXVII</t>
        </is>
      </c>
      <c r="C23028">
        <f>ROMAN(23027)</f>
        <v/>
      </c>
      <c r="D23028">
        <f>IF(B23028=C23028, "YES", "WRONG")</f>
        <v/>
      </c>
    </row>
    <row r="23029">
      <c r="A23029" t="n">
        <v>23028</v>
      </c>
      <c r="B23029" t="inlineStr">
        <is>
          <t>x̄x̄MMMXXVIII</t>
        </is>
      </c>
      <c r="C23029">
        <f>ROMAN(23028)</f>
        <v/>
      </c>
      <c r="D23029">
        <f>IF(B23029=C23029, "YES", "WRONG")</f>
        <v/>
      </c>
    </row>
    <row r="23030">
      <c r="A23030" t="n">
        <v>23029</v>
      </c>
      <c r="B23030" t="inlineStr">
        <is>
          <t>x̄x̄MMMXXIX</t>
        </is>
      </c>
      <c r="C23030">
        <f>ROMAN(23029)</f>
        <v/>
      </c>
      <c r="D23030">
        <f>IF(B23030=C23030, "YES", "WRONG")</f>
        <v/>
      </c>
    </row>
    <row r="23031">
      <c r="A23031" t="n">
        <v>23030</v>
      </c>
      <c r="B23031" t="inlineStr">
        <is>
          <t>x̄x̄MMMXXX</t>
        </is>
      </c>
      <c r="C23031">
        <f>ROMAN(23030)</f>
        <v/>
      </c>
      <c r="D23031">
        <f>IF(B23031=C23031, "YES", "WRONG")</f>
        <v/>
      </c>
    </row>
    <row r="23032">
      <c r="A23032" t="n">
        <v>23031</v>
      </c>
      <c r="B23032" t="inlineStr">
        <is>
          <t>x̄x̄MMMXXXI</t>
        </is>
      </c>
      <c r="C23032">
        <f>ROMAN(23031)</f>
        <v/>
      </c>
      <c r="D23032">
        <f>IF(B23032=C23032, "YES", "WRONG")</f>
        <v/>
      </c>
    </row>
    <row r="23033">
      <c r="A23033" t="n">
        <v>23032</v>
      </c>
      <c r="B23033" t="inlineStr">
        <is>
          <t>x̄x̄MMMXXXII</t>
        </is>
      </c>
      <c r="C23033">
        <f>ROMAN(23032)</f>
        <v/>
      </c>
      <c r="D23033">
        <f>IF(B23033=C23033, "YES", "WRONG")</f>
        <v/>
      </c>
    </row>
    <row r="23034">
      <c r="A23034" t="n">
        <v>23033</v>
      </c>
      <c r="B23034" t="inlineStr">
        <is>
          <t>x̄x̄MMMXXXIII</t>
        </is>
      </c>
      <c r="C23034">
        <f>ROMAN(23033)</f>
        <v/>
      </c>
      <c r="D23034">
        <f>IF(B23034=C23034, "YES", "WRONG")</f>
        <v/>
      </c>
    </row>
    <row r="23035">
      <c r="A23035" t="n">
        <v>23034</v>
      </c>
      <c r="B23035" t="inlineStr">
        <is>
          <t>x̄x̄MMMXXXIV</t>
        </is>
      </c>
      <c r="C23035">
        <f>ROMAN(23034)</f>
        <v/>
      </c>
      <c r="D23035">
        <f>IF(B23035=C23035, "YES", "WRONG")</f>
        <v/>
      </c>
    </row>
    <row r="23036">
      <c r="A23036" t="n">
        <v>23035</v>
      </c>
      <c r="B23036" t="inlineStr">
        <is>
          <t>x̄x̄MMMXXXV</t>
        </is>
      </c>
      <c r="C23036">
        <f>ROMAN(23035)</f>
        <v/>
      </c>
      <c r="D23036">
        <f>IF(B23036=C23036, "YES", "WRONG")</f>
        <v/>
      </c>
    </row>
    <row r="23037">
      <c r="A23037" t="n">
        <v>23036</v>
      </c>
      <c r="B23037" t="inlineStr">
        <is>
          <t>x̄x̄MMMXXXVI</t>
        </is>
      </c>
      <c r="C23037">
        <f>ROMAN(23036)</f>
        <v/>
      </c>
      <c r="D23037">
        <f>IF(B23037=C23037, "YES", "WRONG")</f>
        <v/>
      </c>
    </row>
    <row r="23038">
      <c r="A23038" t="n">
        <v>23037</v>
      </c>
      <c r="B23038" t="inlineStr">
        <is>
          <t>x̄x̄MMMXXXVII</t>
        </is>
      </c>
      <c r="C23038">
        <f>ROMAN(23037)</f>
        <v/>
      </c>
      <c r="D23038">
        <f>IF(B23038=C23038, "YES", "WRONG")</f>
        <v/>
      </c>
    </row>
    <row r="23039">
      <c r="A23039" t="n">
        <v>23038</v>
      </c>
      <c r="B23039" t="inlineStr">
        <is>
          <t>x̄x̄MMMXXXVIII</t>
        </is>
      </c>
      <c r="C23039">
        <f>ROMAN(23038)</f>
        <v/>
      </c>
      <c r="D23039">
        <f>IF(B23039=C23039, "YES", "WRONG")</f>
        <v/>
      </c>
    </row>
    <row r="23040">
      <c r="A23040" t="n">
        <v>23039</v>
      </c>
      <c r="B23040" t="inlineStr">
        <is>
          <t>x̄x̄MMMXXXIX</t>
        </is>
      </c>
      <c r="C23040">
        <f>ROMAN(23039)</f>
        <v/>
      </c>
      <c r="D23040">
        <f>IF(B23040=C23040, "YES", "WRONG")</f>
        <v/>
      </c>
    </row>
    <row r="23041">
      <c r="A23041" t="n">
        <v>23040</v>
      </c>
      <c r="B23041" t="inlineStr">
        <is>
          <t>x̄x̄MMMXL</t>
        </is>
      </c>
      <c r="C23041">
        <f>ROMAN(23040)</f>
        <v/>
      </c>
      <c r="D23041">
        <f>IF(B23041=C23041, "YES", "WRONG")</f>
        <v/>
      </c>
    </row>
    <row r="23042">
      <c r="A23042" t="n">
        <v>23041</v>
      </c>
      <c r="B23042" t="inlineStr">
        <is>
          <t>x̄x̄MMMXLI</t>
        </is>
      </c>
      <c r="C23042">
        <f>ROMAN(23041)</f>
        <v/>
      </c>
      <c r="D23042">
        <f>IF(B23042=C23042, "YES", "WRONG")</f>
        <v/>
      </c>
    </row>
    <row r="23043">
      <c r="A23043" t="n">
        <v>23042</v>
      </c>
      <c r="B23043" t="inlineStr">
        <is>
          <t>x̄x̄MMMXLII</t>
        </is>
      </c>
      <c r="C23043">
        <f>ROMAN(23042)</f>
        <v/>
      </c>
      <c r="D23043">
        <f>IF(B23043=C23043, "YES", "WRONG")</f>
        <v/>
      </c>
    </row>
    <row r="23044">
      <c r="A23044" t="n">
        <v>23043</v>
      </c>
      <c r="B23044" t="inlineStr">
        <is>
          <t>x̄x̄MMMXLIII</t>
        </is>
      </c>
      <c r="C23044">
        <f>ROMAN(23043)</f>
        <v/>
      </c>
      <c r="D23044">
        <f>IF(B23044=C23044, "YES", "WRONG")</f>
        <v/>
      </c>
    </row>
    <row r="23045">
      <c r="A23045" t="n">
        <v>23044</v>
      </c>
      <c r="B23045" t="inlineStr">
        <is>
          <t>x̄x̄MMMXLIV</t>
        </is>
      </c>
      <c r="C23045">
        <f>ROMAN(23044)</f>
        <v/>
      </c>
      <c r="D23045">
        <f>IF(B23045=C23045, "YES", "WRONG")</f>
        <v/>
      </c>
    </row>
    <row r="23046">
      <c r="A23046" t="n">
        <v>23045</v>
      </c>
      <c r="B23046" t="inlineStr">
        <is>
          <t>x̄x̄MMMXLV</t>
        </is>
      </c>
      <c r="C23046">
        <f>ROMAN(23045)</f>
        <v/>
      </c>
      <c r="D23046">
        <f>IF(B23046=C23046, "YES", "WRONG")</f>
        <v/>
      </c>
    </row>
    <row r="23047">
      <c r="A23047" t="n">
        <v>23046</v>
      </c>
      <c r="B23047" t="inlineStr">
        <is>
          <t>x̄x̄MMMXLVI</t>
        </is>
      </c>
      <c r="C23047">
        <f>ROMAN(23046)</f>
        <v/>
      </c>
      <c r="D23047">
        <f>IF(B23047=C23047, "YES", "WRONG")</f>
        <v/>
      </c>
    </row>
    <row r="23048">
      <c r="A23048" t="n">
        <v>23047</v>
      </c>
      <c r="B23048" t="inlineStr">
        <is>
          <t>x̄x̄MMMXLVII</t>
        </is>
      </c>
      <c r="C23048">
        <f>ROMAN(23047)</f>
        <v/>
      </c>
      <c r="D23048">
        <f>IF(B23048=C23048, "YES", "WRONG")</f>
        <v/>
      </c>
    </row>
    <row r="23049">
      <c r="A23049" t="n">
        <v>23048</v>
      </c>
      <c r="B23049" t="inlineStr">
        <is>
          <t>x̄x̄MMMXLVIII</t>
        </is>
      </c>
      <c r="C23049">
        <f>ROMAN(23048)</f>
        <v/>
      </c>
      <c r="D23049">
        <f>IF(B23049=C23049, "YES", "WRONG")</f>
        <v/>
      </c>
    </row>
    <row r="23050">
      <c r="A23050" t="n">
        <v>23049</v>
      </c>
      <c r="B23050" t="inlineStr">
        <is>
          <t>x̄x̄MMMXLIX</t>
        </is>
      </c>
      <c r="C23050">
        <f>ROMAN(23049)</f>
        <v/>
      </c>
      <c r="D23050">
        <f>IF(B23050=C23050, "YES", "WRONG")</f>
        <v/>
      </c>
    </row>
    <row r="23051">
      <c r="A23051" t="n">
        <v>23050</v>
      </c>
      <c r="B23051" t="inlineStr">
        <is>
          <t>x̄x̄MMML</t>
        </is>
      </c>
      <c r="C23051">
        <f>ROMAN(23050)</f>
        <v/>
      </c>
      <c r="D23051">
        <f>IF(B23051=C23051, "YES", "WRONG")</f>
        <v/>
      </c>
    </row>
    <row r="23052">
      <c r="A23052" t="n">
        <v>23051</v>
      </c>
      <c r="B23052" t="inlineStr">
        <is>
          <t>x̄x̄MMMLI</t>
        </is>
      </c>
      <c r="C23052">
        <f>ROMAN(23051)</f>
        <v/>
      </c>
      <c r="D23052">
        <f>IF(B23052=C23052, "YES", "WRONG")</f>
        <v/>
      </c>
    </row>
    <row r="23053">
      <c r="A23053" t="n">
        <v>23052</v>
      </c>
      <c r="B23053" t="inlineStr">
        <is>
          <t>x̄x̄MMMLII</t>
        </is>
      </c>
      <c r="C23053">
        <f>ROMAN(23052)</f>
        <v/>
      </c>
      <c r="D23053">
        <f>IF(B23053=C23053, "YES", "WRONG")</f>
        <v/>
      </c>
    </row>
    <row r="23054">
      <c r="A23054" t="n">
        <v>23053</v>
      </c>
      <c r="B23054" t="inlineStr">
        <is>
          <t>x̄x̄MMMLIII</t>
        </is>
      </c>
      <c r="C23054">
        <f>ROMAN(23053)</f>
        <v/>
      </c>
      <c r="D23054">
        <f>IF(B23054=C23054, "YES", "WRONG")</f>
        <v/>
      </c>
    </row>
    <row r="23055">
      <c r="A23055" t="n">
        <v>23054</v>
      </c>
      <c r="B23055" t="inlineStr">
        <is>
          <t>x̄x̄MMMLIV</t>
        </is>
      </c>
      <c r="C23055">
        <f>ROMAN(23054)</f>
        <v/>
      </c>
      <c r="D23055">
        <f>IF(B23055=C23055, "YES", "WRONG")</f>
        <v/>
      </c>
    </row>
    <row r="23056">
      <c r="A23056" t="n">
        <v>23055</v>
      </c>
      <c r="B23056" t="inlineStr">
        <is>
          <t>x̄x̄MMMLV</t>
        </is>
      </c>
      <c r="C23056">
        <f>ROMAN(23055)</f>
        <v/>
      </c>
      <c r="D23056">
        <f>IF(B23056=C23056, "YES", "WRONG")</f>
        <v/>
      </c>
    </row>
    <row r="23057">
      <c r="A23057" t="n">
        <v>23056</v>
      </c>
      <c r="B23057" t="inlineStr">
        <is>
          <t>x̄x̄MMMLVI</t>
        </is>
      </c>
      <c r="C23057">
        <f>ROMAN(23056)</f>
        <v/>
      </c>
      <c r="D23057">
        <f>IF(B23057=C23057, "YES", "WRONG")</f>
        <v/>
      </c>
    </row>
    <row r="23058">
      <c r="A23058" t="n">
        <v>23057</v>
      </c>
      <c r="B23058" t="inlineStr">
        <is>
          <t>x̄x̄MMMLVII</t>
        </is>
      </c>
      <c r="C23058">
        <f>ROMAN(23057)</f>
        <v/>
      </c>
      <c r="D23058">
        <f>IF(B23058=C23058, "YES", "WRONG")</f>
        <v/>
      </c>
    </row>
    <row r="23059">
      <c r="A23059" t="n">
        <v>23058</v>
      </c>
      <c r="B23059" t="inlineStr">
        <is>
          <t>x̄x̄MMMLVIII</t>
        </is>
      </c>
      <c r="C23059">
        <f>ROMAN(23058)</f>
        <v/>
      </c>
      <c r="D23059">
        <f>IF(B23059=C23059, "YES", "WRONG")</f>
        <v/>
      </c>
    </row>
    <row r="23060">
      <c r="A23060" t="n">
        <v>23059</v>
      </c>
      <c r="B23060" t="inlineStr">
        <is>
          <t>x̄x̄MMMLIX</t>
        </is>
      </c>
      <c r="C23060">
        <f>ROMAN(23059)</f>
        <v/>
      </c>
      <c r="D23060">
        <f>IF(B23060=C23060, "YES", "WRONG")</f>
        <v/>
      </c>
    </row>
    <row r="23061">
      <c r="A23061" t="n">
        <v>23060</v>
      </c>
      <c r="B23061" t="inlineStr">
        <is>
          <t>x̄x̄MMMLX</t>
        </is>
      </c>
      <c r="C23061">
        <f>ROMAN(23060)</f>
        <v/>
      </c>
      <c r="D23061">
        <f>IF(B23061=C23061, "YES", "WRONG")</f>
        <v/>
      </c>
    </row>
    <row r="23062">
      <c r="A23062" t="n">
        <v>23061</v>
      </c>
      <c r="B23062" t="inlineStr">
        <is>
          <t>x̄x̄MMMLXI</t>
        </is>
      </c>
      <c r="C23062">
        <f>ROMAN(23061)</f>
        <v/>
      </c>
      <c r="D23062">
        <f>IF(B23062=C23062, "YES", "WRONG")</f>
        <v/>
      </c>
    </row>
    <row r="23063">
      <c r="A23063" t="n">
        <v>23062</v>
      </c>
      <c r="B23063" t="inlineStr">
        <is>
          <t>x̄x̄MMMLXII</t>
        </is>
      </c>
      <c r="C23063">
        <f>ROMAN(23062)</f>
        <v/>
      </c>
      <c r="D23063">
        <f>IF(B23063=C23063, "YES", "WRONG")</f>
        <v/>
      </c>
    </row>
    <row r="23064">
      <c r="A23064" t="n">
        <v>23063</v>
      </c>
      <c r="B23064" t="inlineStr">
        <is>
          <t>x̄x̄MMMLXIII</t>
        </is>
      </c>
      <c r="C23064">
        <f>ROMAN(23063)</f>
        <v/>
      </c>
      <c r="D23064">
        <f>IF(B23064=C23064, "YES", "WRONG")</f>
        <v/>
      </c>
    </row>
    <row r="23065">
      <c r="A23065" t="n">
        <v>23064</v>
      </c>
      <c r="B23065" t="inlineStr">
        <is>
          <t>x̄x̄MMMLXIV</t>
        </is>
      </c>
      <c r="C23065">
        <f>ROMAN(23064)</f>
        <v/>
      </c>
      <c r="D23065">
        <f>IF(B23065=C23065, "YES", "WRONG")</f>
        <v/>
      </c>
    </row>
    <row r="23066">
      <c r="A23066" t="n">
        <v>23065</v>
      </c>
      <c r="B23066" t="inlineStr">
        <is>
          <t>x̄x̄MMMLXV</t>
        </is>
      </c>
      <c r="C23066">
        <f>ROMAN(23065)</f>
        <v/>
      </c>
      <c r="D23066">
        <f>IF(B23066=C23066, "YES", "WRONG")</f>
        <v/>
      </c>
    </row>
    <row r="23067">
      <c r="A23067" t="n">
        <v>23066</v>
      </c>
      <c r="B23067" t="inlineStr">
        <is>
          <t>x̄x̄MMMLXVI</t>
        </is>
      </c>
      <c r="C23067">
        <f>ROMAN(23066)</f>
        <v/>
      </c>
      <c r="D23067">
        <f>IF(B23067=C23067, "YES", "WRONG")</f>
        <v/>
      </c>
    </row>
    <row r="23068">
      <c r="A23068" t="n">
        <v>23067</v>
      </c>
      <c r="B23068" t="inlineStr">
        <is>
          <t>x̄x̄MMMLXVII</t>
        </is>
      </c>
      <c r="C23068">
        <f>ROMAN(23067)</f>
        <v/>
      </c>
      <c r="D23068">
        <f>IF(B23068=C23068, "YES", "WRONG")</f>
        <v/>
      </c>
    </row>
    <row r="23069">
      <c r="A23069" t="n">
        <v>23068</v>
      </c>
      <c r="B23069" t="inlineStr">
        <is>
          <t>x̄x̄MMMLXVIII</t>
        </is>
      </c>
      <c r="C23069">
        <f>ROMAN(23068)</f>
        <v/>
      </c>
      <c r="D23069">
        <f>IF(B23069=C23069, "YES", "WRONG")</f>
        <v/>
      </c>
    </row>
    <row r="23070">
      <c r="A23070" t="n">
        <v>23069</v>
      </c>
      <c r="B23070" t="inlineStr">
        <is>
          <t>x̄x̄MMMLXIX</t>
        </is>
      </c>
      <c r="C23070">
        <f>ROMAN(23069)</f>
        <v/>
      </c>
      <c r="D23070">
        <f>IF(B23070=C23070, "YES", "WRONG")</f>
        <v/>
      </c>
    </row>
    <row r="23071">
      <c r="A23071" t="n">
        <v>23070</v>
      </c>
      <c r="B23071" t="inlineStr">
        <is>
          <t>x̄x̄MMMLXX</t>
        </is>
      </c>
      <c r="C23071">
        <f>ROMAN(23070)</f>
        <v/>
      </c>
      <c r="D23071">
        <f>IF(B23071=C23071, "YES", "WRONG")</f>
        <v/>
      </c>
    </row>
    <row r="23072">
      <c r="A23072" t="n">
        <v>23071</v>
      </c>
      <c r="B23072" t="inlineStr">
        <is>
          <t>x̄x̄MMMLXXI</t>
        </is>
      </c>
      <c r="C23072">
        <f>ROMAN(23071)</f>
        <v/>
      </c>
      <c r="D23072">
        <f>IF(B23072=C23072, "YES", "WRONG")</f>
        <v/>
      </c>
    </row>
    <row r="23073">
      <c r="A23073" t="n">
        <v>23072</v>
      </c>
      <c r="B23073" t="inlineStr">
        <is>
          <t>x̄x̄MMMLXXII</t>
        </is>
      </c>
      <c r="C23073">
        <f>ROMAN(23072)</f>
        <v/>
      </c>
      <c r="D23073">
        <f>IF(B23073=C23073, "YES", "WRONG")</f>
        <v/>
      </c>
    </row>
    <row r="23074">
      <c r="A23074" t="n">
        <v>23073</v>
      </c>
      <c r="B23074" t="inlineStr">
        <is>
          <t>x̄x̄MMMLXXIII</t>
        </is>
      </c>
      <c r="C23074">
        <f>ROMAN(23073)</f>
        <v/>
      </c>
      <c r="D23074">
        <f>IF(B23074=C23074, "YES", "WRONG")</f>
        <v/>
      </c>
    </row>
    <row r="23075">
      <c r="A23075" t="n">
        <v>23074</v>
      </c>
      <c r="B23075" t="inlineStr">
        <is>
          <t>x̄x̄MMMLXXIV</t>
        </is>
      </c>
      <c r="C23075">
        <f>ROMAN(23074)</f>
        <v/>
      </c>
      <c r="D23075">
        <f>IF(B23075=C23075, "YES", "WRONG")</f>
        <v/>
      </c>
    </row>
    <row r="23076">
      <c r="A23076" t="n">
        <v>23075</v>
      </c>
      <c r="B23076" t="inlineStr">
        <is>
          <t>x̄x̄MMMLXXV</t>
        </is>
      </c>
      <c r="C23076">
        <f>ROMAN(23075)</f>
        <v/>
      </c>
      <c r="D23076">
        <f>IF(B23076=C23076, "YES", "WRONG")</f>
        <v/>
      </c>
    </row>
    <row r="23077">
      <c r="A23077" t="n">
        <v>23076</v>
      </c>
      <c r="B23077" t="inlineStr">
        <is>
          <t>x̄x̄MMMLXXVI</t>
        </is>
      </c>
      <c r="C23077">
        <f>ROMAN(23076)</f>
        <v/>
      </c>
      <c r="D23077">
        <f>IF(B23077=C23077, "YES", "WRONG")</f>
        <v/>
      </c>
    </row>
    <row r="23078">
      <c r="A23078" t="n">
        <v>23077</v>
      </c>
      <c r="B23078" t="inlineStr">
        <is>
          <t>x̄x̄MMMLXXVII</t>
        </is>
      </c>
      <c r="C23078">
        <f>ROMAN(23077)</f>
        <v/>
      </c>
      <c r="D23078">
        <f>IF(B23078=C23078, "YES", "WRONG")</f>
        <v/>
      </c>
    </row>
    <row r="23079">
      <c r="A23079" t="n">
        <v>23078</v>
      </c>
      <c r="B23079" t="inlineStr">
        <is>
          <t>x̄x̄MMMLXXVIII</t>
        </is>
      </c>
      <c r="C23079">
        <f>ROMAN(23078)</f>
        <v/>
      </c>
      <c r="D23079">
        <f>IF(B23079=C23079, "YES", "WRONG")</f>
        <v/>
      </c>
    </row>
    <row r="23080">
      <c r="A23080" t="n">
        <v>23079</v>
      </c>
      <c r="B23080" t="inlineStr">
        <is>
          <t>x̄x̄MMMLXXIX</t>
        </is>
      </c>
      <c r="C23080">
        <f>ROMAN(23079)</f>
        <v/>
      </c>
      <c r="D23080">
        <f>IF(B23080=C23080, "YES", "WRONG")</f>
        <v/>
      </c>
    </row>
    <row r="23081">
      <c r="A23081" t="n">
        <v>23080</v>
      </c>
      <c r="B23081" t="inlineStr">
        <is>
          <t>x̄x̄MMMLXXX</t>
        </is>
      </c>
      <c r="C23081">
        <f>ROMAN(23080)</f>
        <v/>
      </c>
      <c r="D23081">
        <f>IF(B23081=C23081, "YES", "WRONG")</f>
        <v/>
      </c>
    </row>
    <row r="23082">
      <c r="A23082" t="n">
        <v>23081</v>
      </c>
      <c r="B23082" t="inlineStr">
        <is>
          <t>x̄x̄MMMLXXXI</t>
        </is>
      </c>
      <c r="C23082">
        <f>ROMAN(23081)</f>
        <v/>
      </c>
      <c r="D23082">
        <f>IF(B23082=C23082, "YES", "WRONG")</f>
        <v/>
      </c>
    </row>
    <row r="23083">
      <c r="A23083" t="n">
        <v>23082</v>
      </c>
      <c r="B23083" t="inlineStr">
        <is>
          <t>x̄x̄MMMLXXXII</t>
        </is>
      </c>
      <c r="C23083">
        <f>ROMAN(23082)</f>
        <v/>
      </c>
      <c r="D23083">
        <f>IF(B23083=C23083, "YES", "WRONG")</f>
        <v/>
      </c>
    </row>
    <row r="23084">
      <c r="A23084" t="n">
        <v>23083</v>
      </c>
      <c r="B23084" t="inlineStr">
        <is>
          <t>x̄x̄MMMLXXXIII</t>
        </is>
      </c>
      <c r="C23084">
        <f>ROMAN(23083)</f>
        <v/>
      </c>
      <c r="D23084">
        <f>IF(B23084=C23084, "YES", "WRONG")</f>
        <v/>
      </c>
    </row>
    <row r="23085">
      <c r="A23085" t="n">
        <v>23084</v>
      </c>
      <c r="B23085" t="inlineStr">
        <is>
          <t>x̄x̄MMMLXXXIV</t>
        </is>
      </c>
      <c r="C23085">
        <f>ROMAN(23084)</f>
        <v/>
      </c>
      <c r="D23085">
        <f>IF(B23085=C23085, "YES", "WRONG")</f>
        <v/>
      </c>
    </row>
    <row r="23086">
      <c r="A23086" t="n">
        <v>23085</v>
      </c>
      <c r="B23086" t="inlineStr">
        <is>
          <t>x̄x̄MMMLXXXV</t>
        </is>
      </c>
      <c r="C23086">
        <f>ROMAN(23085)</f>
        <v/>
      </c>
      <c r="D23086">
        <f>IF(B23086=C23086, "YES", "WRONG")</f>
        <v/>
      </c>
    </row>
    <row r="23087">
      <c r="A23087" t="n">
        <v>23086</v>
      </c>
      <c r="B23087" t="inlineStr">
        <is>
          <t>x̄x̄MMMLXXXVI</t>
        </is>
      </c>
      <c r="C23087">
        <f>ROMAN(23086)</f>
        <v/>
      </c>
      <c r="D23087">
        <f>IF(B23087=C23087, "YES", "WRONG")</f>
        <v/>
      </c>
    </row>
    <row r="23088">
      <c r="A23088" t="n">
        <v>23087</v>
      </c>
      <c r="B23088" t="inlineStr">
        <is>
          <t>x̄x̄MMMLXXXVII</t>
        </is>
      </c>
      <c r="C23088">
        <f>ROMAN(23087)</f>
        <v/>
      </c>
      <c r="D23088">
        <f>IF(B23088=C23088, "YES", "WRONG")</f>
        <v/>
      </c>
    </row>
    <row r="23089">
      <c r="A23089" t="n">
        <v>23088</v>
      </c>
      <c r="B23089" t="inlineStr">
        <is>
          <t>x̄x̄MMMLXXXVIII</t>
        </is>
      </c>
      <c r="C23089">
        <f>ROMAN(23088)</f>
        <v/>
      </c>
      <c r="D23089">
        <f>IF(B23089=C23089, "YES", "WRONG")</f>
        <v/>
      </c>
    </row>
    <row r="23090">
      <c r="A23090" t="n">
        <v>23089</v>
      </c>
      <c r="B23090" t="inlineStr">
        <is>
          <t>x̄x̄MMMLXXXIX</t>
        </is>
      </c>
      <c r="C23090">
        <f>ROMAN(23089)</f>
        <v/>
      </c>
      <c r="D23090">
        <f>IF(B23090=C23090, "YES", "WRONG")</f>
        <v/>
      </c>
    </row>
    <row r="23091">
      <c r="A23091" t="n">
        <v>23090</v>
      </c>
      <c r="B23091" t="inlineStr">
        <is>
          <t>x̄x̄MMMXC</t>
        </is>
      </c>
      <c r="C23091">
        <f>ROMAN(23090)</f>
        <v/>
      </c>
      <c r="D23091">
        <f>IF(B23091=C23091, "YES", "WRONG")</f>
        <v/>
      </c>
    </row>
    <row r="23092">
      <c r="A23092" t="n">
        <v>23091</v>
      </c>
      <c r="B23092" t="inlineStr">
        <is>
          <t>x̄x̄MMMXCI</t>
        </is>
      </c>
      <c r="C23092">
        <f>ROMAN(23091)</f>
        <v/>
      </c>
      <c r="D23092">
        <f>IF(B23092=C23092, "YES", "WRONG")</f>
        <v/>
      </c>
    </row>
    <row r="23093">
      <c r="A23093" t="n">
        <v>23092</v>
      </c>
      <c r="B23093" t="inlineStr">
        <is>
          <t>x̄x̄MMMXCII</t>
        </is>
      </c>
      <c r="C23093">
        <f>ROMAN(23092)</f>
        <v/>
      </c>
      <c r="D23093">
        <f>IF(B23093=C23093, "YES", "WRONG")</f>
        <v/>
      </c>
    </row>
    <row r="23094">
      <c r="A23094" t="n">
        <v>23093</v>
      </c>
      <c r="B23094" t="inlineStr">
        <is>
          <t>x̄x̄MMMXCIII</t>
        </is>
      </c>
      <c r="C23094">
        <f>ROMAN(23093)</f>
        <v/>
      </c>
      <c r="D23094">
        <f>IF(B23094=C23094, "YES", "WRONG")</f>
        <v/>
      </c>
    </row>
    <row r="23095">
      <c r="A23095" t="n">
        <v>23094</v>
      </c>
      <c r="B23095" t="inlineStr">
        <is>
          <t>x̄x̄MMMXCIV</t>
        </is>
      </c>
      <c r="C23095">
        <f>ROMAN(23094)</f>
        <v/>
      </c>
      <c r="D23095">
        <f>IF(B23095=C23095, "YES", "WRONG")</f>
        <v/>
      </c>
    </row>
    <row r="23096">
      <c r="A23096" t="n">
        <v>23095</v>
      </c>
      <c r="B23096" t="inlineStr">
        <is>
          <t>x̄x̄MMMXCV</t>
        </is>
      </c>
      <c r="C23096">
        <f>ROMAN(23095)</f>
        <v/>
      </c>
      <c r="D23096">
        <f>IF(B23096=C23096, "YES", "WRONG")</f>
        <v/>
      </c>
    </row>
    <row r="23097">
      <c r="A23097" t="n">
        <v>23096</v>
      </c>
      <c r="B23097" t="inlineStr">
        <is>
          <t>x̄x̄MMMXCVI</t>
        </is>
      </c>
      <c r="C23097">
        <f>ROMAN(23096)</f>
        <v/>
      </c>
      <c r="D23097">
        <f>IF(B23097=C23097, "YES", "WRONG")</f>
        <v/>
      </c>
    </row>
    <row r="23098">
      <c r="A23098" t="n">
        <v>23097</v>
      </c>
      <c r="B23098" t="inlineStr">
        <is>
          <t>x̄x̄MMMXCVII</t>
        </is>
      </c>
      <c r="C23098">
        <f>ROMAN(23097)</f>
        <v/>
      </c>
      <c r="D23098">
        <f>IF(B23098=C23098, "YES", "WRONG")</f>
        <v/>
      </c>
    </row>
    <row r="23099">
      <c r="A23099" t="n">
        <v>23098</v>
      </c>
      <c r="B23099" t="inlineStr">
        <is>
          <t>x̄x̄MMMXCVIII</t>
        </is>
      </c>
      <c r="C23099">
        <f>ROMAN(23098)</f>
        <v/>
      </c>
      <c r="D23099">
        <f>IF(B23099=C23099, "YES", "WRONG")</f>
        <v/>
      </c>
    </row>
    <row r="23100">
      <c r="A23100" t="n">
        <v>23099</v>
      </c>
      <c r="B23100" t="inlineStr">
        <is>
          <t>x̄x̄MMMXCIX</t>
        </is>
      </c>
      <c r="C23100">
        <f>ROMAN(23099)</f>
        <v/>
      </c>
      <c r="D23100">
        <f>IF(B23100=C23100, "YES", "WRONG")</f>
        <v/>
      </c>
    </row>
    <row r="23101">
      <c r="A23101" t="n">
        <v>23100</v>
      </c>
      <c r="B23101" t="inlineStr">
        <is>
          <t>x̄x̄MMMC</t>
        </is>
      </c>
      <c r="C23101">
        <f>ROMAN(23100)</f>
        <v/>
      </c>
      <c r="D23101">
        <f>IF(B23101=C23101, "YES", "WRONG")</f>
        <v/>
      </c>
    </row>
    <row r="23102">
      <c r="A23102" t="n">
        <v>23101</v>
      </c>
      <c r="B23102" t="inlineStr">
        <is>
          <t>x̄x̄MMMCI</t>
        </is>
      </c>
      <c r="C23102">
        <f>ROMAN(23101)</f>
        <v/>
      </c>
      <c r="D23102">
        <f>IF(B23102=C23102, "YES", "WRONG")</f>
        <v/>
      </c>
    </row>
    <row r="23103">
      <c r="A23103" t="n">
        <v>23102</v>
      </c>
      <c r="B23103" t="inlineStr">
        <is>
          <t>x̄x̄MMMCII</t>
        </is>
      </c>
      <c r="C23103">
        <f>ROMAN(23102)</f>
        <v/>
      </c>
      <c r="D23103">
        <f>IF(B23103=C23103, "YES", "WRONG")</f>
        <v/>
      </c>
    </row>
    <row r="23104">
      <c r="A23104" t="n">
        <v>23103</v>
      </c>
      <c r="B23104" t="inlineStr">
        <is>
          <t>x̄x̄MMMCIII</t>
        </is>
      </c>
      <c r="C23104">
        <f>ROMAN(23103)</f>
        <v/>
      </c>
      <c r="D23104">
        <f>IF(B23104=C23104, "YES", "WRONG")</f>
        <v/>
      </c>
    </row>
    <row r="23105">
      <c r="A23105" t="n">
        <v>23104</v>
      </c>
      <c r="B23105" t="inlineStr">
        <is>
          <t>x̄x̄MMMCIV</t>
        </is>
      </c>
      <c r="C23105">
        <f>ROMAN(23104)</f>
        <v/>
      </c>
      <c r="D23105">
        <f>IF(B23105=C23105, "YES", "WRONG")</f>
        <v/>
      </c>
    </row>
    <row r="23106">
      <c r="A23106" t="n">
        <v>23105</v>
      </c>
      <c r="B23106" t="inlineStr">
        <is>
          <t>x̄x̄MMMCV</t>
        </is>
      </c>
      <c r="C23106">
        <f>ROMAN(23105)</f>
        <v/>
      </c>
      <c r="D23106">
        <f>IF(B23106=C23106, "YES", "WRONG")</f>
        <v/>
      </c>
    </row>
    <row r="23107">
      <c r="A23107" t="n">
        <v>23106</v>
      </c>
      <c r="B23107" t="inlineStr">
        <is>
          <t>x̄x̄MMMCVI</t>
        </is>
      </c>
      <c r="C23107">
        <f>ROMAN(23106)</f>
        <v/>
      </c>
      <c r="D23107">
        <f>IF(B23107=C23107, "YES", "WRONG")</f>
        <v/>
      </c>
    </row>
    <row r="23108">
      <c r="A23108" t="n">
        <v>23107</v>
      </c>
      <c r="B23108" t="inlineStr">
        <is>
          <t>x̄x̄MMMCVII</t>
        </is>
      </c>
      <c r="C23108">
        <f>ROMAN(23107)</f>
        <v/>
      </c>
      <c r="D23108">
        <f>IF(B23108=C23108, "YES", "WRONG")</f>
        <v/>
      </c>
    </row>
    <row r="23109">
      <c r="A23109" t="n">
        <v>23108</v>
      </c>
      <c r="B23109" t="inlineStr">
        <is>
          <t>x̄x̄MMMCVIII</t>
        </is>
      </c>
      <c r="C23109">
        <f>ROMAN(23108)</f>
        <v/>
      </c>
      <c r="D23109">
        <f>IF(B23109=C23109, "YES", "WRONG")</f>
        <v/>
      </c>
    </row>
    <row r="23110">
      <c r="A23110" t="n">
        <v>23109</v>
      </c>
      <c r="B23110" t="inlineStr">
        <is>
          <t>x̄x̄MMMCIX</t>
        </is>
      </c>
      <c r="C23110">
        <f>ROMAN(23109)</f>
        <v/>
      </c>
      <c r="D23110">
        <f>IF(B23110=C23110, "YES", "WRONG")</f>
        <v/>
      </c>
    </row>
    <row r="23111">
      <c r="A23111" t="n">
        <v>23110</v>
      </c>
      <c r="B23111" t="inlineStr">
        <is>
          <t>x̄x̄MMMCX</t>
        </is>
      </c>
      <c r="C23111">
        <f>ROMAN(23110)</f>
        <v/>
      </c>
      <c r="D23111">
        <f>IF(B23111=C23111, "YES", "WRONG")</f>
        <v/>
      </c>
    </row>
    <row r="23112">
      <c r="A23112" t="n">
        <v>23111</v>
      </c>
      <c r="B23112" t="inlineStr">
        <is>
          <t>x̄x̄MMMCXI</t>
        </is>
      </c>
      <c r="C23112">
        <f>ROMAN(23111)</f>
        <v/>
      </c>
      <c r="D23112">
        <f>IF(B23112=C23112, "YES", "WRONG")</f>
        <v/>
      </c>
    </row>
    <row r="23113">
      <c r="A23113" t="n">
        <v>23112</v>
      </c>
      <c r="B23113" t="inlineStr">
        <is>
          <t>x̄x̄MMMCXII</t>
        </is>
      </c>
      <c r="C23113">
        <f>ROMAN(23112)</f>
        <v/>
      </c>
      <c r="D23113">
        <f>IF(B23113=C23113, "YES", "WRONG")</f>
        <v/>
      </c>
    </row>
    <row r="23114">
      <c r="A23114" t="n">
        <v>23113</v>
      </c>
      <c r="B23114" t="inlineStr">
        <is>
          <t>x̄x̄MMMCXIII</t>
        </is>
      </c>
      <c r="C23114">
        <f>ROMAN(23113)</f>
        <v/>
      </c>
      <c r="D23114">
        <f>IF(B23114=C23114, "YES", "WRONG")</f>
        <v/>
      </c>
    </row>
    <row r="23115">
      <c r="A23115" t="n">
        <v>23114</v>
      </c>
      <c r="B23115" t="inlineStr">
        <is>
          <t>x̄x̄MMMCXIV</t>
        </is>
      </c>
      <c r="C23115">
        <f>ROMAN(23114)</f>
        <v/>
      </c>
      <c r="D23115">
        <f>IF(B23115=C23115, "YES", "WRONG")</f>
        <v/>
      </c>
    </row>
    <row r="23116">
      <c r="A23116" t="n">
        <v>23115</v>
      </c>
      <c r="B23116" t="inlineStr">
        <is>
          <t>x̄x̄MMMCXV</t>
        </is>
      </c>
      <c r="C23116">
        <f>ROMAN(23115)</f>
        <v/>
      </c>
      <c r="D23116">
        <f>IF(B23116=C23116, "YES", "WRONG")</f>
        <v/>
      </c>
    </row>
    <row r="23117">
      <c r="A23117" t="n">
        <v>23116</v>
      </c>
      <c r="B23117" t="inlineStr">
        <is>
          <t>x̄x̄MMMCXVI</t>
        </is>
      </c>
      <c r="C23117">
        <f>ROMAN(23116)</f>
        <v/>
      </c>
      <c r="D23117">
        <f>IF(B23117=C23117, "YES", "WRONG")</f>
        <v/>
      </c>
    </row>
    <row r="23118">
      <c r="A23118" t="n">
        <v>23117</v>
      </c>
      <c r="B23118" t="inlineStr">
        <is>
          <t>x̄x̄MMMCXVII</t>
        </is>
      </c>
      <c r="C23118">
        <f>ROMAN(23117)</f>
        <v/>
      </c>
      <c r="D23118">
        <f>IF(B23118=C23118, "YES", "WRONG")</f>
        <v/>
      </c>
    </row>
    <row r="23119">
      <c r="A23119" t="n">
        <v>23118</v>
      </c>
      <c r="B23119" t="inlineStr">
        <is>
          <t>x̄x̄MMMCXVIII</t>
        </is>
      </c>
      <c r="C23119">
        <f>ROMAN(23118)</f>
        <v/>
      </c>
      <c r="D23119">
        <f>IF(B23119=C23119, "YES", "WRONG")</f>
        <v/>
      </c>
    </row>
    <row r="23120">
      <c r="A23120" t="n">
        <v>23119</v>
      </c>
      <c r="B23120" t="inlineStr">
        <is>
          <t>x̄x̄MMMCXIX</t>
        </is>
      </c>
      <c r="C23120">
        <f>ROMAN(23119)</f>
        <v/>
      </c>
      <c r="D23120">
        <f>IF(B23120=C23120, "YES", "WRONG")</f>
        <v/>
      </c>
    </row>
    <row r="23121">
      <c r="A23121" t="n">
        <v>23120</v>
      </c>
      <c r="B23121" t="inlineStr">
        <is>
          <t>x̄x̄MMMCXX</t>
        </is>
      </c>
      <c r="C23121">
        <f>ROMAN(23120)</f>
        <v/>
      </c>
      <c r="D23121">
        <f>IF(B23121=C23121, "YES", "WRONG")</f>
        <v/>
      </c>
    </row>
    <row r="23122">
      <c r="A23122" t="n">
        <v>23121</v>
      </c>
      <c r="B23122" t="inlineStr">
        <is>
          <t>x̄x̄MMMCXXI</t>
        </is>
      </c>
      <c r="C23122">
        <f>ROMAN(23121)</f>
        <v/>
      </c>
      <c r="D23122">
        <f>IF(B23122=C23122, "YES", "WRONG")</f>
        <v/>
      </c>
    </row>
    <row r="23123">
      <c r="A23123" t="n">
        <v>23122</v>
      </c>
      <c r="B23123" t="inlineStr">
        <is>
          <t>x̄x̄MMMCXXII</t>
        </is>
      </c>
      <c r="C23123">
        <f>ROMAN(23122)</f>
        <v/>
      </c>
      <c r="D23123">
        <f>IF(B23123=C23123, "YES", "WRONG")</f>
        <v/>
      </c>
    </row>
    <row r="23124">
      <c r="A23124" t="n">
        <v>23123</v>
      </c>
      <c r="B23124" t="inlineStr">
        <is>
          <t>x̄x̄MMMCXXIII</t>
        </is>
      </c>
      <c r="C23124">
        <f>ROMAN(23123)</f>
        <v/>
      </c>
      <c r="D23124">
        <f>IF(B23124=C23124, "YES", "WRONG")</f>
        <v/>
      </c>
    </row>
    <row r="23125">
      <c r="A23125" t="n">
        <v>23124</v>
      </c>
      <c r="B23125" t="inlineStr">
        <is>
          <t>x̄x̄MMMCXXIV</t>
        </is>
      </c>
      <c r="C23125">
        <f>ROMAN(23124)</f>
        <v/>
      </c>
      <c r="D23125">
        <f>IF(B23125=C23125, "YES", "WRONG")</f>
        <v/>
      </c>
    </row>
    <row r="23126">
      <c r="A23126" t="n">
        <v>23125</v>
      </c>
      <c r="B23126" t="inlineStr">
        <is>
          <t>x̄x̄MMMCXXV</t>
        </is>
      </c>
      <c r="C23126">
        <f>ROMAN(23125)</f>
        <v/>
      </c>
      <c r="D23126">
        <f>IF(B23126=C23126, "YES", "WRONG")</f>
        <v/>
      </c>
    </row>
    <row r="23127">
      <c r="A23127" t="n">
        <v>23126</v>
      </c>
      <c r="B23127" t="inlineStr">
        <is>
          <t>x̄x̄MMMCXXVI</t>
        </is>
      </c>
      <c r="C23127">
        <f>ROMAN(23126)</f>
        <v/>
      </c>
      <c r="D23127">
        <f>IF(B23127=C23127, "YES", "WRONG")</f>
        <v/>
      </c>
    </row>
    <row r="23128">
      <c r="A23128" t="n">
        <v>23127</v>
      </c>
      <c r="B23128" t="inlineStr">
        <is>
          <t>x̄x̄MMMCXXVII</t>
        </is>
      </c>
      <c r="C23128">
        <f>ROMAN(23127)</f>
        <v/>
      </c>
      <c r="D23128">
        <f>IF(B23128=C23128, "YES", "WRONG")</f>
        <v/>
      </c>
    </row>
    <row r="23129">
      <c r="A23129" t="n">
        <v>23128</v>
      </c>
      <c r="B23129" t="inlineStr">
        <is>
          <t>x̄x̄MMMCXXVIII</t>
        </is>
      </c>
      <c r="C23129">
        <f>ROMAN(23128)</f>
        <v/>
      </c>
      <c r="D23129">
        <f>IF(B23129=C23129, "YES", "WRONG")</f>
        <v/>
      </c>
    </row>
    <row r="23130">
      <c r="A23130" t="n">
        <v>23129</v>
      </c>
      <c r="B23130" t="inlineStr">
        <is>
          <t>x̄x̄MMMCXXIX</t>
        </is>
      </c>
      <c r="C23130">
        <f>ROMAN(23129)</f>
        <v/>
      </c>
      <c r="D23130">
        <f>IF(B23130=C23130, "YES", "WRONG")</f>
        <v/>
      </c>
    </row>
    <row r="23131">
      <c r="A23131" t="n">
        <v>23130</v>
      </c>
      <c r="B23131" t="inlineStr">
        <is>
          <t>x̄x̄MMMCXXX</t>
        </is>
      </c>
      <c r="C23131">
        <f>ROMAN(23130)</f>
        <v/>
      </c>
      <c r="D23131">
        <f>IF(B23131=C23131, "YES", "WRONG")</f>
        <v/>
      </c>
    </row>
    <row r="23132">
      <c r="A23132" t="n">
        <v>23131</v>
      </c>
      <c r="B23132" t="inlineStr">
        <is>
          <t>x̄x̄MMMCXXXI</t>
        </is>
      </c>
      <c r="C23132">
        <f>ROMAN(23131)</f>
        <v/>
      </c>
      <c r="D23132">
        <f>IF(B23132=C23132, "YES", "WRONG")</f>
        <v/>
      </c>
    </row>
    <row r="23133">
      <c r="A23133" t="n">
        <v>23132</v>
      </c>
      <c r="B23133" t="inlineStr">
        <is>
          <t>x̄x̄MMMCXXXII</t>
        </is>
      </c>
      <c r="C23133">
        <f>ROMAN(23132)</f>
        <v/>
      </c>
      <c r="D23133">
        <f>IF(B23133=C23133, "YES", "WRONG")</f>
        <v/>
      </c>
    </row>
    <row r="23134">
      <c r="A23134" t="n">
        <v>23133</v>
      </c>
      <c r="B23134" t="inlineStr">
        <is>
          <t>x̄x̄MMMCXXXIII</t>
        </is>
      </c>
      <c r="C23134">
        <f>ROMAN(23133)</f>
        <v/>
      </c>
      <c r="D23134">
        <f>IF(B23134=C23134, "YES", "WRONG")</f>
        <v/>
      </c>
    </row>
    <row r="23135">
      <c r="A23135" t="n">
        <v>23134</v>
      </c>
      <c r="B23135" t="inlineStr">
        <is>
          <t>x̄x̄MMMCXXXIV</t>
        </is>
      </c>
      <c r="C23135">
        <f>ROMAN(23134)</f>
        <v/>
      </c>
      <c r="D23135">
        <f>IF(B23135=C23135, "YES", "WRONG")</f>
        <v/>
      </c>
    </row>
    <row r="23136">
      <c r="A23136" t="n">
        <v>23135</v>
      </c>
      <c r="B23136" t="inlineStr">
        <is>
          <t>x̄x̄MMMCXXXV</t>
        </is>
      </c>
      <c r="C23136">
        <f>ROMAN(23135)</f>
        <v/>
      </c>
      <c r="D23136">
        <f>IF(B23136=C23136, "YES", "WRONG")</f>
        <v/>
      </c>
    </row>
    <row r="23137">
      <c r="A23137" t="n">
        <v>23136</v>
      </c>
      <c r="B23137" t="inlineStr">
        <is>
          <t>x̄x̄MMMCXXXVI</t>
        </is>
      </c>
      <c r="C23137">
        <f>ROMAN(23136)</f>
        <v/>
      </c>
      <c r="D23137">
        <f>IF(B23137=C23137, "YES", "WRONG")</f>
        <v/>
      </c>
    </row>
    <row r="23138">
      <c r="A23138" t="n">
        <v>23137</v>
      </c>
      <c r="B23138" t="inlineStr">
        <is>
          <t>x̄x̄MMMCXXXVII</t>
        </is>
      </c>
      <c r="C23138">
        <f>ROMAN(23137)</f>
        <v/>
      </c>
      <c r="D23138">
        <f>IF(B23138=C23138, "YES", "WRONG")</f>
        <v/>
      </c>
    </row>
    <row r="23139">
      <c r="A23139" t="n">
        <v>23138</v>
      </c>
      <c r="B23139" t="inlineStr">
        <is>
          <t>x̄x̄MMMCXXXVIII</t>
        </is>
      </c>
      <c r="C23139">
        <f>ROMAN(23138)</f>
        <v/>
      </c>
      <c r="D23139">
        <f>IF(B23139=C23139, "YES", "WRONG")</f>
        <v/>
      </c>
    </row>
    <row r="23140">
      <c r="A23140" t="n">
        <v>23139</v>
      </c>
      <c r="B23140" t="inlineStr">
        <is>
          <t>x̄x̄MMMCXXXIX</t>
        </is>
      </c>
      <c r="C23140">
        <f>ROMAN(23139)</f>
        <v/>
      </c>
      <c r="D23140">
        <f>IF(B23140=C23140, "YES", "WRONG")</f>
        <v/>
      </c>
    </row>
    <row r="23141">
      <c r="A23141" t="n">
        <v>23140</v>
      </c>
      <c r="B23141" t="inlineStr">
        <is>
          <t>x̄x̄MMMCXL</t>
        </is>
      </c>
      <c r="C23141">
        <f>ROMAN(23140)</f>
        <v/>
      </c>
      <c r="D23141">
        <f>IF(B23141=C23141, "YES", "WRONG")</f>
        <v/>
      </c>
    </row>
    <row r="23142">
      <c r="A23142" t="n">
        <v>23141</v>
      </c>
      <c r="B23142" t="inlineStr">
        <is>
          <t>x̄x̄MMMCXLI</t>
        </is>
      </c>
      <c r="C23142">
        <f>ROMAN(23141)</f>
        <v/>
      </c>
      <c r="D23142">
        <f>IF(B23142=C23142, "YES", "WRONG")</f>
        <v/>
      </c>
    </row>
    <row r="23143">
      <c r="A23143" t="n">
        <v>23142</v>
      </c>
      <c r="B23143" t="inlineStr">
        <is>
          <t>x̄x̄MMMCXLII</t>
        </is>
      </c>
      <c r="C23143">
        <f>ROMAN(23142)</f>
        <v/>
      </c>
      <c r="D23143">
        <f>IF(B23143=C23143, "YES", "WRONG")</f>
        <v/>
      </c>
    </row>
    <row r="23144">
      <c r="A23144" t="n">
        <v>23143</v>
      </c>
      <c r="B23144" t="inlineStr">
        <is>
          <t>x̄x̄MMMCXLIII</t>
        </is>
      </c>
      <c r="C23144">
        <f>ROMAN(23143)</f>
        <v/>
      </c>
      <c r="D23144">
        <f>IF(B23144=C23144, "YES", "WRONG")</f>
        <v/>
      </c>
    </row>
    <row r="23145">
      <c r="A23145" t="n">
        <v>23144</v>
      </c>
      <c r="B23145" t="inlineStr">
        <is>
          <t>x̄x̄MMMCXLIV</t>
        </is>
      </c>
      <c r="C23145">
        <f>ROMAN(23144)</f>
        <v/>
      </c>
      <c r="D23145">
        <f>IF(B23145=C23145, "YES", "WRONG")</f>
        <v/>
      </c>
    </row>
    <row r="23146">
      <c r="A23146" t="n">
        <v>23145</v>
      </c>
      <c r="B23146" t="inlineStr">
        <is>
          <t>x̄x̄MMMCXLV</t>
        </is>
      </c>
      <c r="C23146">
        <f>ROMAN(23145)</f>
        <v/>
      </c>
      <c r="D23146">
        <f>IF(B23146=C23146, "YES", "WRONG")</f>
        <v/>
      </c>
    </row>
    <row r="23147">
      <c r="A23147" t="n">
        <v>23146</v>
      </c>
      <c r="B23147" t="inlineStr">
        <is>
          <t>x̄x̄MMMCXLVI</t>
        </is>
      </c>
      <c r="C23147">
        <f>ROMAN(23146)</f>
        <v/>
      </c>
      <c r="D23147">
        <f>IF(B23147=C23147, "YES", "WRONG")</f>
        <v/>
      </c>
    </row>
    <row r="23148">
      <c r="A23148" t="n">
        <v>23147</v>
      </c>
      <c r="B23148" t="inlineStr">
        <is>
          <t>x̄x̄MMMCXLVII</t>
        </is>
      </c>
      <c r="C23148">
        <f>ROMAN(23147)</f>
        <v/>
      </c>
      <c r="D23148">
        <f>IF(B23148=C23148, "YES", "WRONG")</f>
        <v/>
      </c>
    </row>
    <row r="23149">
      <c r="A23149" t="n">
        <v>23148</v>
      </c>
      <c r="B23149" t="inlineStr">
        <is>
          <t>x̄x̄MMMCXLVIII</t>
        </is>
      </c>
      <c r="C23149">
        <f>ROMAN(23148)</f>
        <v/>
      </c>
      <c r="D23149">
        <f>IF(B23149=C23149, "YES", "WRONG")</f>
        <v/>
      </c>
    </row>
    <row r="23150">
      <c r="A23150" t="n">
        <v>23149</v>
      </c>
      <c r="B23150" t="inlineStr">
        <is>
          <t>x̄x̄MMMCXLIX</t>
        </is>
      </c>
      <c r="C23150">
        <f>ROMAN(23149)</f>
        <v/>
      </c>
      <c r="D23150">
        <f>IF(B23150=C23150, "YES", "WRONG")</f>
        <v/>
      </c>
    </row>
    <row r="23151">
      <c r="A23151" t="n">
        <v>23150</v>
      </c>
      <c r="B23151" t="inlineStr">
        <is>
          <t>x̄x̄MMMCL</t>
        </is>
      </c>
      <c r="C23151">
        <f>ROMAN(23150)</f>
        <v/>
      </c>
      <c r="D23151">
        <f>IF(B23151=C23151, "YES", "WRONG")</f>
        <v/>
      </c>
    </row>
    <row r="23152">
      <c r="A23152" t="n">
        <v>23151</v>
      </c>
      <c r="B23152" t="inlineStr">
        <is>
          <t>x̄x̄MMMCLI</t>
        </is>
      </c>
      <c r="C23152">
        <f>ROMAN(23151)</f>
        <v/>
      </c>
      <c r="D23152">
        <f>IF(B23152=C23152, "YES", "WRONG")</f>
        <v/>
      </c>
    </row>
    <row r="23153">
      <c r="A23153" t="n">
        <v>23152</v>
      </c>
      <c r="B23153" t="inlineStr">
        <is>
          <t>x̄x̄MMMCLII</t>
        </is>
      </c>
      <c r="C23153">
        <f>ROMAN(23152)</f>
        <v/>
      </c>
      <c r="D23153">
        <f>IF(B23153=C23153, "YES", "WRONG")</f>
        <v/>
      </c>
    </row>
    <row r="23154">
      <c r="A23154" t="n">
        <v>23153</v>
      </c>
      <c r="B23154" t="inlineStr">
        <is>
          <t>x̄x̄MMMCLIII</t>
        </is>
      </c>
      <c r="C23154">
        <f>ROMAN(23153)</f>
        <v/>
      </c>
      <c r="D23154">
        <f>IF(B23154=C23154, "YES", "WRONG")</f>
        <v/>
      </c>
    </row>
    <row r="23155">
      <c r="A23155" t="n">
        <v>23154</v>
      </c>
      <c r="B23155" t="inlineStr">
        <is>
          <t>x̄x̄MMMCLIV</t>
        </is>
      </c>
      <c r="C23155">
        <f>ROMAN(23154)</f>
        <v/>
      </c>
      <c r="D23155">
        <f>IF(B23155=C23155, "YES", "WRONG")</f>
        <v/>
      </c>
    </row>
    <row r="23156">
      <c r="A23156" t="n">
        <v>23155</v>
      </c>
      <c r="B23156" t="inlineStr">
        <is>
          <t>x̄x̄MMMCLV</t>
        </is>
      </c>
      <c r="C23156">
        <f>ROMAN(23155)</f>
        <v/>
      </c>
      <c r="D23156">
        <f>IF(B23156=C23156, "YES", "WRONG")</f>
        <v/>
      </c>
    </row>
    <row r="23157">
      <c r="A23157" t="n">
        <v>23156</v>
      </c>
      <c r="B23157" t="inlineStr">
        <is>
          <t>x̄x̄MMMCLVI</t>
        </is>
      </c>
      <c r="C23157">
        <f>ROMAN(23156)</f>
        <v/>
      </c>
      <c r="D23157">
        <f>IF(B23157=C23157, "YES", "WRONG")</f>
        <v/>
      </c>
    </row>
    <row r="23158">
      <c r="A23158" t="n">
        <v>23157</v>
      </c>
      <c r="B23158" t="inlineStr">
        <is>
          <t>x̄x̄MMMCLVII</t>
        </is>
      </c>
      <c r="C23158">
        <f>ROMAN(23157)</f>
        <v/>
      </c>
      <c r="D23158">
        <f>IF(B23158=C23158, "YES", "WRONG")</f>
        <v/>
      </c>
    </row>
    <row r="23159">
      <c r="A23159" t="n">
        <v>23158</v>
      </c>
      <c r="B23159" t="inlineStr">
        <is>
          <t>x̄x̄MMMCLVIII</t>
        </is>
      </c>
      <c r="C23159">
        <f>ROMAN(23158)</f>
        <v/>
      </c>
      <c r="D23159">
        <f>IF(B23159=C23159, "YES", "WRONG")</f>
        <v/>
      </c>
    </row>
    <row r="23160">
      <c r="A23160" t="n">
        <v>23159</v>
      </c>
      <c r="B23160" t="inlineStr">
        <is>
          <t>x̄x̄MMMCLIX</t>
        </is>
      </c>
      <c r="C23160">
        <f>ROMAN(23159)</f>
        <v/>
      </c>
      <c r="D23160">
        <f>IF(B23160=C23160, "YES", "WRONG")</f>
        <v/>
      </c>
    </row>
    <row r="23161">
      <c r="A23161" t="n">
        <v>23160</v>
      </c>
      <c r="B23161" t="inlineStr">
        <is>
          <t>x̄x̄MMMCLX</t>
        </is>
      </c>
      <c r="C23161">
        <f>ROMAN(23160)</f>
        <v/>
      </c>
      <c r="D23161">
        <f>IF(B23161=C23161, "YES", "WRONG")</f>
        <v/>
      </c>
    </row>
    <row r="23162">
      <c r="A23162" t="n">
        <v>23161</v>
      </c>
      <c r="B23162" t="inlineStr">
        <is>
          <t>x̄x̄MMMCLXI</t>
        </is>
      </c>
      <c r="C23162">
        <f>ROMAN(23161)</f>
        <v/>
      </c>
      <c r="D23162">
        <f>IF(B23162=C23162, "YES", "WRONG")</f>
        <v/>
      </c>
    </row>
    <row r="23163">
      <c r="A23163" t="n">
        <v>23162</v>
      </c>
      <c r="B23163" t="inlineStr">
        <is>
          <t>x̄x̄MMMCLXII</t>
        </is>
      </c>
      <c r="C23163">
        <f>ROMAN(23162)</f>
        <v/>
      </c>
      <c r="D23163">
        <f>IF(B23163=C23163, "YES", "WRONG")</f>
        <v/>
      </c>
    </row>
    <row r="23164">
      <c r="A23164" t="n">
        <v>23163</v>
      </c>
      <c r="B23164" t="inlineStr">
        <is>
          <t>x̄x̄MMMCLXIII</t>
        </is>
      </c>
      <c r="C23164">
        <f>ROMAN(23163)</f>
        <v/>
      </c>
      <c r="D23164">
        <f>IF(B23164=C23164, "YES", "WRONG")</f>
        <v/>
      </c>
    </row>
    <row r="23165">
      <c r="A23165" t="n">
        <v>23164</v>
      </c>
      <c r="B23165" t="inlineStr">
        <is>
          <t>x̄x̄MMMCLXIV</t>
        </is>
      </c>
      <c r="C23165">
        <f>ROMAN(23164)</f>
        <v/>
      </c>
      <c r="D23165">
        <f>IF(B23165=C23165, "YES", "WRONG")</f>
        <v/>
      </c>
    </row>
    <row r="23166">
      <c r="A23166" t="n">
        <v>23165</v>
      </c>
      <c r="B23166" t="inlineStr">
        <is>
          <t>x̄x̄MMMCLXV</t>
        </is>
      </c>
      <c r="C23166">
        <f>ROMAN(23165)</f>
        <v/>
      </c>
      <c r="D23166">
        <f>IF(B23166=C23166, "YES", "WRONG")</f>
        <v/>
      </c>
    </row>
    <row r="23167">
      <c r="A23167" t="n">
        <v>23166</v>
      </c>
      <c r="B23167" t="inlineStr">
        <is>
          <t>x̄x̄MMMCLXVI</t>
        </is>
      </c>
      <c r="C23167">
        <f>ROMAN(23166)</f>
        <v/>
      </c>
      <c r="D23167">
        <f>IF(B23167=C23167, "YES", "WRONG")</f>
        <v/>
      </c>
    </row>
    <row r="23168">
      <c r="A23168" t="n">
        <v>23167</v>
      </c>
      <c r="B23168" t="inlineStr">
        <is>
          <t>x̄x̄MMMCLXVII</t>
        </is>
      </c>
      <c r="C23168">
        <f>ROMAN(23167)</f>
        <v/>
      </c>
      <c r="D23168">
        <f>IF(B23168=C23168, "YES", "WRONG")</f>
        <v/>
      </c>
    </row>
    <row r="23169">
      <c r="A23169" t="n">
        <v>23168</v>
      </c>
      <c r="B23169" t="inlineStr">
        <is>
          <t>x̄x̄MMMCLXVIII</t>
        </is>
      </c>
      <c r="C23169">
        <f>ROMAN(23168)</f>
        <v/>
      </c>
      <c r="D23169">
        <f>IF(B23169=C23169, "YES", "WRONG")</f>
        <v/>
      </c>
    </row>
    <row r="23170">
      <c r="A23170" t="n">
        <v>23169</v>
      </c>
      <c r="B23170" t="inlineStr">
        <is>
          <t>x̄x̄MMMCLXIX</t>
        </is>
      </c>
      <c r="C23170">
        <f>ROMAN(23169)</f>
        <v/>
      </c>
      <c r="D23170">
        <f>IF(B23170=C23170, "YES", "WRONG")</f>
        <v/>
      </c>
    </row>
    <row r="23171">
      <c r="A23171" t="n">
        <v>23170</v>
      </c>
      <c r="B23171" t="inlineStr">
        <is>
          <t>x̄x̄MMMCLXX</t>
        </is>
      </c>
      <c r="C23171">
        <f>ROMAN(23170)</f>
        <v/>
      </c>
      <c r="D23171">
        <f>IF(B23171=C23171, "YES", "WRONG")</f>
        <v/>
      </c>
    </row>
    <row r="23172">
      <c r="A23172" t="n">
        <v>23171</v>
      </c>
      <c r="B23172" t="inlineStr">
        <is>
          <t>x̄x̄MMMCLXXI</t>
        </is>
      </c>
      <c r="C23172">
        <f>ROMAN(23171)</f>
        <v/>
      </c>
      <c r="D23172">
        <f>IF(B23172=C23172, "YES", "WRONG")</f>
        <v/>
      </c>
    </row>
    <row r="23173">
      <c r="A23173" t="n">
        <v>23172</v>
      </c>
      <c r="B23173" t="inlineStr">
        <is>
          <t>x̄x̄MMMCLXXII</t>
        </is>
      </c>
      <c r="C23173">
        <f>ROMAN(23172)</f>
        <v/>
      </c>
      <c r="D23173">
        <f>IF(B23173=C23173, "YES", "WRONG")</f>
        <v/>
      </c>
    </row>
    <row r="23174">
      <c r="A23174" t="n">
        <v>23173</v>
      </c>
      <c r="B23174" t="inlineStr">
        <is>
          <t>x̄x̄MMMCLXXIII</t>
        </is>
      </c>
      <c r="C23174">
        <f>ROMAN(23173)</f>
        <v/>
      </c>
      <c r="D23174">
        <f>IF(B23174=C23174, "YES", "WRONG")</f>
        <v/>
      </c>
    </row>
    <row r="23175">
      <c r="A23175" t="n">
        <v>23174</v>
      </c>
      <c r="B23175" t="inlineStr">
        <is>
          <t>x̄x̄MMMCLXXIV</t>
        </is>
      </c>
      <c r="C23175">
        <f>ROMAN(23174)</f>
        <v/>
      </c>
      <c r="D23175">
        <f>IF(B23175=C23175, "YES", "WRONG")</f>
        <v/>
      </c>
    </row>
    <row r="23176">
      <c r="A23176" t="n">
        <v>23175</v>
      </c>
      <c r="B23176" t="inlineStr">
        <is>
          <t>x̄x̄MMMCLXXV</t>
        </is>
      </c>
      <c r="C23176">
        <f>ROMAN(23175)</f>
        <v/>
      </c>
      <c r="D23176">
        <f>IF(B23176=C23176, "YES", "WRONG")</f>
        <v/>
      </c>
    </row>
    <row r="23177">
      <c r="A23177" t="n">
        <v>23176</v>
      </c>
      <c r="B23177" t="inlineStr">
        <is>
          <t>x̄x̄MMMCLXXVI</t>
        </is>
      </c>
      <c r="C23177">
        <f>ROMAN(23176)</f>
        <v/>
      </c>
      <c r="D23177">
        <f>IF(B23177=C23177, "YES", "WRONG")</f>
        <v/>
      </c>
    </row>
    <row r="23178">
      <c r="A23178" t="n">
        <v>23177</v>
      </c>
      <c r="B23178" t="inlineStr">
        <is>
          <t>x̄x̄MMMCLXXVII</t>
        </is>
      </c>
      <c r="C23178">
        <f>ROMAN(23177)</f>
        <v/>
      </c>
      <c r="D23178">
        <f>IF(B23178=C23178, "YES", "WRONG")</f>
        <v/>
      </c>
    </row>
    <row r="23179">
      <c r="A23179" t="n">
        <v>23178</v>
      </c>
      <c r="B23179" t="inlineStr">
        <is>
          <t>x̄x̄MMMCLXXVIII</t>
        </is>
      </c>
      <c r="C23179">
        <f>ROMAN(23178)</f>
        <v/>
      </c>
      <c r="D23179">
        <f>IF(B23179=C23179, "YES", "WRONG")</f>
        <v/>
      </c>
    </row>
    <row r="23180">
      <c r="A23180" t="n">
        <v>23179</v>
      </c>
      <c r="B23180" t="inlineStr">
        <is>
          <t>x̄x̄MMMCLXXIX</t>
        </is>
      </c>
      <c r="C23180">
        <f>ROMAN(23179)</f>
        <v/>
      </c>
      <c r="D23180">
        <f>IF(B23180=C23180, "YES", "WRONG")</f>
        <v/>
      </c>
    </row>
    <row r="23181">
      <c r="A23181" t="n">
        <v>23180</v>
      </c>
      <c r="B23181" t="inlineStr">
        <is>
          <t>x̄x̄MMMCLXXX</t>
        </is>
      </c>
      <c r="C23181">
        <f>ROMAN(23180)</f>
        <v/>
      </c>
      <c r="D23181">
        <f>IF(B23181=C23181, "YES", "WRONG")</f>
        <v/>
      </c>
    </row>
    <row r="23182">
      <c r="A23182" t="n">
        <v>23181</v>
      </c>
      <c r="B23182" t="inlineStr">
        <is>
          <t>x̄x̄MMMCLXXXI</t>
        </is>
      </c>
      <c r="C23182">
        <f>ROMAN(23181)</f>
        <v/>
      </c>
      <c r="D23182">
        <f>IF(B23182=C23182, "YES", "WRONG")</f>
        <v/>
      </c>
    </row>
    <row r="23183">
      <c r="A23183" t="n">
        <v>23182</v>
      </c>
      <c r="B23183" t="inlineStr">
        <is>
          <t>x̄x̄MMMCLXXXII</t>
        </is>
      </c>
      <c r="C23183">
        <f>ROMAN(23182)</f>
        <v/>
      </c>
      <c r="D23183">
        <f>IF(B23183=C23183, "YES", "WRONG")</f>
        <v/>
      </c>
    </row>
    <row r="23184">
      <c r="A23184" t="n">
        <v>23183</v>
      </c>
      <c r="B23184" t="inlineStr">
        <is>
          <t>x̄x̄MMMCLXXXIII</t>
        </is>
      </c>
      <c r="C23184">
        <f>ROMAN(23183)</f>
        <v/>
      </c>
      <c r="D23184">
        <f>IF(B23184=C23184, "YES", "WRONG")</f>
        <v/>
      </c>
    </row>
    <row r="23185">
      <c r="A23185" t="n">
        <v>23184</v>
      </c>
      <c r="B23185" t="inlineStr">
        <is>
          <t>x̄x̄MMMCLXXXIV</t>
        </is>
      </c>
      <c r="C23185">
        <f>ROMAN(23184)</f>
        <v/>
      </c>
      <c r="D23185">
        <f>IF(B23185=C23185, "YES", "WRONG")</f>
        <v/>
      </c>
    </row>
    <row r="23186">
      <c r="A23186" t="n">
        <v>23185</v>
      </c>
      <c r="B23186" t="inlineStr">
        <is>
          <t>x̄x̄MMMCLXXXV</t>
        </is>
      </c>
      <c r="C23186">
        <f>ROMAN(23185)</f>
        <v/>
      </c>
      <c r="D23186">
        <f>IF(B23186=C23186, "YES", "WRONG")</f>
        <v/>
      </c>
    </row>
    <row r="23187">
      <c r="A23187" t="n">
        <v>23186</v>
      </c>
      <c r="B23187" t="inlineStr">
        <is>
          <t>x̄x̄MMMCLXXXVI</t>
        </is>
      </c>
      <c r="C23187">
        <f>ROMAN(23186)</f>
        <v/>
      </c>
      <c r="D23187">
        <f>IF(B23187=C23187, "YES", "WRONG")</f>
        <v/>
      </c>
    </row>
    <row r="23188">
      <c r="A23188" t="n">
        <v>23187</v>
      </c>
      <c r="B23188" t="inlineStr">
        <is>
          <t>x̄x̄MMMCLXXXVII</t>
        </is>
      </c>
      <c r="C23188">
        <f>ROMAN(23187)</f>
        <v/>
      </c>
      <c r="D23188">
        <f>IF(B23188=C23188, "YES", "WRONG")</f>
        <v/>
      </c>
    </row>
    <row r="23189">
      <c r="A23189" t="n">
        <v>23188</v>
      </c>
      <c r="B23189" t="inlineStr">
        <is>
          <t>x̄x̄MMMCLXXXVIII</t>
        </is>
      </c>
      <c r="C23189">
        <f>ROMAN(23188)</f>
        <v/>
      </c>
      <c r="D23189">
        <f>IF(B23189=C23189, "YES", "WRONG")</f>
        <v/>
      </c>
    </row>
    <row r="23190">
      <c r="A23190" t="n">
        <v>23189</v>
      </c>
      <c r="B23190" t="inlineStr">
        <is>
          <t>x̄x̄MMMCLXXXIX</t>
        </is>
      </c>
      <c r="C23190">
        <f>ROMAN(23189)</f>
        <v/>
      </c>
      <c r="D23190">
        <f>IF(B23190=C23190, "YES", "WRONG")</f>
        <v/>
      </c>
    </row>
    <row r="23191">
      <c r="A23191" t="n">
        <v>23190</v>
      </c>
      <c r="B23191" t="inlineStr">
        <is>
          <t>x̄x̄MMMCXC</t>
        </is>
      </c>
      <c r="C23191">
        <f>ROMAN(23190)</f>
        <v/>
      </c>
      <c r="D23191">
        <f>IF(B23191=C23191, "YES", "WRONG")</f>
        <v/>
      </c>
    </row>
    <row r="23192">
      <c r="A23192" t="n">
        <v>23191</v>
      </c>
      <c r="B23192" t="inlineStr">
        <is>
          <t>x̄x̄MMMCXCI</t>
        </is>
      </c>
      <c r="C23192">
        <f>ROMAN(23191)</f>
        <v/>
      </c>
      <c r="D23192">
        <f>IF(B23192=C23192, "YES", "WRONG")</f>
        <v/>
      </c>
    </row>
    <row r="23193">
      <c r="A23193" t="n">
        <v>23192</v>
      </c>
      <c r="B23193" t="inlineStr">
        <is>
          <t>x̄x̄MMMCXCII</t>
        </is>
      </c>
      <c r="C23193">
        <f>ROMAN(23192)</f>
        <v/>
      </c>
      <c r="D23193">
        <f>IF(B23193=C23193, "YES", "WRONG")</f>
        <v/>
      </c>
    </row>
    <row r="23194">
      <c r="A23194" t="n">
        <v>23193</v>
      </c>
      <c r="B23194" t="inlineStr">
        <is>
          <t>x̄x̄MMMCXCIII</t>
        </is>
      </c>
      <c r="C23194">
        <f>ROMAN(23193)</f>
        <v/>
      </c>
      <c r="D23194">
        <f>IF(B23194=C23194, "YES", "WRONG")</f>
        <v/>
      </c>
    </row>
    <row r="23195">
      <c r="A23195" t="n">
        <v>23194</v>
      </c>
      <c r="B23195" t="inlineStr">
        <is>
          <t>x̄x̄MMMCXCIV</t>
        </is>
      </c>
      <c r="C23195">
        <f>ROMAN(23194)</f>
        <v/>
      </c>
      <c r="D23195">
        <f>IF(B23195=C23195, "YES", "WRONG")</f>
        <v/>
      </c>
    </row>
    <row r="23196">
      <c r="A23196" t="n">
        <v>23195</v>
      </c>
      <c r="B23196" t="inlineStr">
        <is>
          <t>x̄x̄MMMCXCV</t>
        </is>
      </c>
      <c r="C23196">
        <f>ROMAN(23195)</f>
        <v/>
      </c>
      <c r="D23196">
        <f>IF(B23196=C23196, "YES", "WRONG")</f>
        <v/>
      </c>
    </row>
    <row r="23197">
      <c r="A23197" t="n">
        <v>23196</v>
      </c>
      <c r="B23197" t="inlineStr">
        <is>
          <t>x̄x̄MMMCXCVI</t>
        </is>
      </c>
      <c r="C23197">
        <f>ROMAN(23196)</f>
        <v/>
      </c>
      <c r="D23197">
        <f>IF(B23197=C23197, "YES", "WRONG")</f>
        <v/>
      </c>
    </row>
    <row r="23198">
      <c r="A23198" t="n">
        <v>23197</v>
      </c>
      <c r="B23198" t="inlineStr">
        <is>
          <t>x̄x̄MMMCXCVII</t>
        </is>
      </c>
      <c r="C23198">
        <f>ROMAN(23197)</f>
        <v/>
      </c>
      <c r="D23198">
        <f>IF(B23198=C23198, "YES", "WRONG")</f>
        <v/>
      </c>
    </row>
    <row r="23199">
      <c r="A23199" t="n">
        <v>23198</v>
      </c>
      <c r="B23199" t="inlineStr">
        <is>
          <t>x̄x̄MMMCXCVIII</t>
        </is>
      </c>
      <c r="C23199">
        <f>ROMAN(23198)</f>
        <v/>
      </c>
      <c r="D23199">
        <f>IF(B23199=C23199, "YES", "WRONG")</f>
        <v/>
      </c>
    </row>
    <row r="23200">
      <c r="A23200" t="n">
        <v>23199</v>
      </c>
      <c r="B23200" t="inlineStr">
        <is>
          <t>x̄x̄MMMCXCIX</t>
        </is>
      </c>
      <c r="C23200">
        <f>ROMAN(23199)</f>
        <v/>
      </c>
      <c r="D23200">
        <f>IF(B23200=C23200, "YES", "WRONG")</f>
        <v/>
      </c>
    </row>
    <row r="23201">
      <c r="A23201" t="n">
        <v>23200</v>
      </c>
      <c r="B23201" t="inlineStr">
        <is>
          <t>x̄x̄MMMCC</t>
        </is>
      </c>
      <c r="C23201">
        <f>ROMAN(23200)</f>
        <v/>
      </c>
      <c r="D23201">
        <f>IF(B23201=C23201, "YES", "WRONG")</f>
        <v/>
      </c>
    </row>
    <row r="23202">
      <c r="A23202" t="n">
        <v>23201</v>
      </c>
      <c r="B23202" t="inlineStr">
        <is>
          <t>x̄x̄MMMCCI</t>
        </is>
      </c>
      <c r="C23202">
        <f>ROMAN(23201)</f>
        <v/>
      </c>
      <c r="D23202">
        <f>IF(B23202=C23202, "YES", "WRONG")</f>
        <v/>
      </c>
    </row>
    <row r="23203">
      <c r="A23203" t="n">
        <v>23202</v>
      </c>
      <c r="B23203" t="inlineStr">
        <is>
          <t>x̄x̄MMMCCII</t>
        </is>
      </c>
      <c r="C23203">
        <f>ROMAN(23202)</f>
        <v/>
      </c>
      <c r="D23203">
        <f>IF(B23203=C23203, "YES", "WRONG")</f>
        <v/>
      </c>
    </row>
    <row r="23204">
      <c r="A23204" t="n">
        <v>23203</v>
      </c>
      <c r="B23204" t="inlineStr">
        <is>
          <t>x̄x̄MMMCCIII</t>
        </is>
      </c>
      <c r="C23204">
        <f>ROMAN(23203)</f>
        <v/>
      </c>
      <c r="D23204">
        <f>IF(B23204=C23204, "YES", "WRONG")</f>
        <v/>
      </c>
    </row>
    <row r="23205">
      <c r="A23205" t="n">
        <v>23204</v>
      </c>
      <c r="B23205" t="inlineStr">
        <is>
          <t>x̄x̄MMMCCIV</t>
        </is>
      </c>
      <c r="C23205">
        <f>ROMAN(23204)</f>
        <v/>
      </c>
      <c r="D23205">
        <f>IF(B23205=C23205, "YES", "WRONG")</f>
        <v/>
      </c>
    </row>
    <row r="23206">
      <c r="A23206" t="n">
        <v>23205</v>
      </c>
      <c r="B23206" t="inlineStr">
        <is>
          <t>x̄x̄MMMCCV</t>
        </is>
      </c>
      <c r="C23206">
        <f>ROMAN(23205)</f>
        <v/>
      </c>
      <c r="D23206">
        <f>IF(B23206=C23206, "YES", "WRONG")</f>
        <v/>
      </c>
    </row>
    <row r="23207">
      <c r="A23207" t="n">
        <v>23206</v>
      </c>
      <c r="B23207" t="inlineStr">
        <is>
          <t>x̄x̄MMMCCVI</t>
        </is>
      </c>
      <c r="C23207">
        <f>ROMAN(23206)</f>
        <v/>
      </c>
      <c r="D23207">
        <f>IF(B23207=C23207, "YES", "WRONG")</f>
        <v/>
      </c>
    </row>
    <row r="23208">
      <c r="A23208" t="n">
        <v>23207</v>
      </c>
      <c r="B23208" t="inlineStr">
        <is>
          <t>x̄x̄MMMCCVII</t>
        </is>
      </c>
      <c r="C23208">
        <f>ROMAN(23207)</f>
        <v/>
      </c>
      <c r="D23208">
        <f>IF(B23208=C23208, "YES", "WRONG")</f>
        <v/>
      </c>
    </row>
    <row r="23209">
      <c r="A23209" t="n">
        <v>23208</v>
      </c>
      <c r="B23209" t="inlineStr">
        <is>
          <t>x̄x̄MMMCCVIII</t>
        </is>
      </c>
      <c r="C23209">
        <f>ROMAN(23208)</f>
        <v/>
      </c>
      <c r="D23209">
        <f>IF(B23209=C23209, "YES", "WRONG")</f>
        <v/>
      </c>
    </row>
    <row r="23210">
      <c r="A23210" t="n">
        <v>23209</v>
      </c>
      <c r="B23210" t="inlineStr">
        <is>
          <t>x̄x̄MMMCCIX</t>
        </is>
      </c>
      <c r="C23210">
        <f>ROMAN(23209)</f>
        <v/>
      </c>
      <c r="D23210">
        <f>IF(B23210=C23210, "YES", "WRONG")</f>
        <v/>
      </c>
    </row>
    <row r="23211">
      <c r="A23211" t="n">
        <v>23210</v>
      </c>
      <c r="B23211" t="inlineStr">
        <is>
          <t>x̄x̄MMMCCX</t>
        </is>
      </c>
      <c r="C23211">
        <f>ROMAN(23210)</f>
        <v/>
      </c>
      <c r="D23211">
        <f>IF(B23211=C23211, "YES", "WRONG")</f>
        <v/>
      </c>
    </row>
    <row r="23212">
      <c r="A23212" t="n">
        <v>23211</v>
      </c>
      <c r="B23212" t="inlineStr">
        <is>
          <t>x̄x̄MMMCCXI</t>
        </is>
      </c>
      <c r="C23212">
        <f>ROMAN(23211)</f>
        <v/>
      </c>
      <c r="D23212">
        <f>IF(B23212=C23212, "YES", "WRONG")</f>
        <v/>
      </c>
    </row>
    <row r="23213">
      <c r="A23213" t="n">
        <v>23212</v>
      </c>
      <c r="B23213" t="inlineStr">
        <is>
          <t>x̄x̄MMMCCXII</t>
        </is>
      </c>
      <c r="C23213">
        <f>ROMAN(23212)</f>
        <v/>
      </c>
      <c r="D23213">
        <f>IF(B23213=C23213, "YES", "WRONG")</f>
        <v/>
      </c>
    </row>
    <row r="23214">
      <c r="A23214" t="n">
        <v>23213</v>
      </c>
      <c r="B23214" t="inlineStr">
        <is>
          <t>x̄x̄MMMCCXIII</t>
        </is>
      </c>
      <c r="C23214">
        <f>ROMAN(23213)</f>
        <v/>
      </c>
      <c r="D23214">
        <f>IF(B23214=C23214, "YES", "WRONG")</f>
        <v/>
      </c>
    </row>
    <row r="23215">
      <c r="A23215" t="n">
        <v>23214</v>
      </c>
      <c r="B23215" t="inlineStr">
        <is>
          <t>x̄x̄MMMCCXIV</t>
        </is>
      </c>
      <c r="C23215">
        <f>ROMAN(23214)</f>
        <v/>
      </c>
      <c r="D23215">
        <f>IF(B23215=C23215, "YES", "WRONG")</f>
        <v/>
      </c>
    </row>
    <row r="23216">
      <c r="A23216" t="n">
        <v>23215</v>
      </c>
      <c r="B23216" t="inlineStr">
        <is>
          <t>x̄x̄MMMCCXV</t>
        </is>
      </c>
      <c r="C23216">
        <f>ROMAN(23215)</f>
        <v/>
      </c>
      <c r="D23216">
        <f>IF(B23216=C23216, "YES", "WRONG")</f>
        <v/>
      </c>
    </row>
    <row r="23217">
      <c r="A23217" t="n">
        <v>23216</v>
      </c>
      <c r="B23217" t="inlineStr">
        <is>
          <t>x̄x̄MMMCCXVI</t>
        </is>
      </c>
      <c r="C23217">
        <f>ROMAN(23216)</f>
        <v/>
      </c>
      <c r="D23217">
        <f>IF(B23217=C23217, "YES", "WRONG")</f>
        <v/>
      </c>
    </row>
    <row r="23218">
      <c r="A23218" t="n">
        <v>23217</v>
      </c>
      <c r="B23218" t="inlineStr">
        <is>
          <t>x̄x̄MMMCCXVII</t>
        </is>
      </c>
      <c r="C23218">
        <f>ROMAN(23217)</f>
        <v/>
      </c>
      <c r="D23218">
        <f>IF(B23218=C23218, "YES", "WRONG")</f>
        <v/>
      </c>
    </row>
    <row r="23219">
      <c r="A23219" t="n">
        <v>23218</v>
      </c>
      <c r="B23219" t="inlineStr">
        <is>
          <t>x̄x̄MMMCCXVIII</t>
        </is>
      </c>
      <c r="C23219">
        <f>ROMAN(23218)</f>
        <v/>
      </c>
      <c r="D23219">
        <f>IF(B23219=C23219, "YES", "WRONG")</f>
        <v/>
      </c>
    </row>
    <row r="23220">
      <c r="A23220" t="n">
        <v>23219</v>
      </c>
      <c r="B23220" t="inlineStr">
        <is>
          <t>x̄x̄MMMCCXIX</t>
        </is>
      </c>
      <c r="C23220">
        <f>ROMAN(23219)</f>
        <v/>
      </c>
      <c r="D23220">
        <f>IF(B23220=C23220, "YES", "WRONG")</f>
        <v/>
      </c>
    </row>
    <row r="23221">
      <c r="A23221" t="n">
        <v>23220</v>
      </c>
      <c r="B23221" t="inlineStr">
        <is>
          <t>x̄x̄MMMCCXX</t>
        </is>
      </c>
      <c r="C23221">
        <f>ROMAN(23220)</f>
        <v/>
      </c>
      <c r="D23221">
        <f>IF(B23221=C23221, "YES", "WRONG")</f>
        <v/>
      </c>
    </row>
    <row r="23222">
      <c r="A23222" t="n">
        <v>23221</v>
      </c>
      <c r="B23222" t="inlineStr">
        <is>
          <t>x̄x̄MMMCCXXI</t>
        </is>
      </c>
      <c r="C23222">
        <f>ROMAN(23221)</f>
        <v/>
      </c>
      <c r="D23222">
        <f>IF(B23222=C23222, "YES", "WRONG")</f>
        <v/>
      </c>
    </row>
    <row r="23223">
      <c r="A23223" t="n">
        <v>23222</v>
      </c>
      <c r="B23223" t="inlineStr">
        <is>
          <t>x̄x̄MMMCCXXII</t>
        </is>
      </c>
      <c r="C23223">
        <f>ROMAN(23222)</f>
        <v/>
      </c>
      <c r="D23223">
        <f>IF(B23223=C23223, "YES", "WRONG")</f>
        <v/>
      </c>
    </row>
    <row r="23224">
      <c r="A23224" t="n">
        <v>23223</v>
      </c>
      <c r="B23224" t="inlineStr">
        <is>
          <t>x̄x̄MMMCCXXIII</t>
        </is>
      </c>
      <c r="C23224">
        <f>ROMAN(23223)</f>
        <v/>
      </c>
      <c r="D23224">
        <f>IF(B23224=C23224, "YES", "WRONG")</f>
        <v/>
      </c>
    </row>
    <row r="23225">
      <c r="A23225" t="n">
        <v>23224</v>
      </c>
      <c r="B23225" t="inlineStr">
        <is>
          <t>x̄x̄MMMCCXXIV</t>
        </is>
      </c>
      <c r="C23225">
        <f>ROMAN(23224)</f>
        <v/>
      </c>
      <c r="D23225">
        <f>IF(B23225=C23225, "YES", "WRONG")</f>
        <v/>
      </c>
    </row>
    <row r="23226">
      <c r="A23226" t="n">
        <v>23225</v>
      </c>
      <c r="B23226" t="inlineStr">
        <is>
          <t>x̄x̄MMMCCXXV</t>
        </is>
      </c>
      <c r="C23226">
        <f>ROMAN(23225)</f>
        <v/>
      </c>
      <c r="D23226">
        <f>IF(B23226=C23226, "YES", "WRONG")</f>
        <v/>
      </c>
    </row>
    <row r="23227">
      <c r="A23227" t="n">
        <v>23226</v>
      </c>
      <c r="B23227" t="inlineStr">
        <is>
          <t>x̄x̄MMMCCXXVI</t>
        </is>
      </c>
      <c r="C23227">
        <f>ROMAN(23226)</f>
        <v/>
      </c>
      <c r="D23227">
        <f>IF(B23227=C23227, "YES", "WRONG")</f>
        <v/>
      </c>
    </row>
    <row r="23228">
      <c r="A23228" t="n">
        <v>23227</v>
      </c>
      <c r="B23228" t="inlineStr">
        <is>
          <t>x̄x̄MMMCCXXVII</t>
        </is>
      </c>
      <c r="C23228">
        <f>ROMAN(23227)</f>
        <v/>
      </c>
      <c r="D23228">
        <f>IF(B23228=C23228, "YES", "WRONG")</f>
        <v/>
      </c>
    </row>
    <row r="23229">
      <c r="A23229" t="n">
        <v>23228</v>
      </c>
      <c r="B23229" t="inlineStr">
        <is>
          <t>x̄x̄MMMCCXXVIII</t>
        </is>
      </c>
      <c r="C23229">
        <f>ROMAN(23228)</f>
        <v/>
      </c>
      <c r="D23229">
        <f>IF(B23229=C23229, "YES", "WRONG")</f>
        <v/>
      </c>
    </row>
    <row r="23230">
      <c r="A23230" t="n">
        <v>23229</v>
      </c>
      <c r="B23230" t="inlineStr">
        <is>
          <t>x̄x̄MMMCCXXIX</t>
        </is>
      </c>
      <c r="C23230">
        <f>ROMAN(23229)</f>
        <v/>
      </c>
      <c r="D23230">
        <f>IF(B23230=C23230, "YES", "WRONG")</f>
        <v/>
      </c>
    </row>
    <row r="23231">
      <c r="A23231" t="n">
        <v>23230</v>
      </c>
      <c r="B23231" t="inlineStr">
        <is>
          <t>x̄x̄MMMCCXXX</t>
        </is>
      </c>
      <c r="C23231">
        <f>ROMAN(23230)</f>
        <v/>
      </c>
      <c r="D23231">
        <f>IF(B23231=C23231, "YES", "WRONG")</f>
        <v/>
      </c>
    </row>
    <row r="23232">
      <c r="A23232" t="n">
        <v>23231</v>
      </c>
      <c r="B23232" t="inlineStr">
        <is>
          <t>x̄x̄MMMCCXXXI</t>
        </is>
      </c>
      <c r="C23232">
        <f>ROMAN(23231)</f>
        <v/>
      </c>
      <c r="D23232">
        <f>IF(B23232=C23232, "YES", "WRONG")</f>
        <v/>
      </c>
    </row>
    <row r="23233">
      <c r="A23233" t="n">
        <v>23232</v>
      </c>
      <c r="B23233" t="inlineStr">
        <is>
          <t>x̄x̄MMMCCXXXII</t>
        </is>
      </c>
      <c r="C23233">
        <f>ROMAN(23232)</f>
        <v/>
      </c>
      <c r="D23233">
        <f>IF(B23233=C23233, "YES", "WRONG")</f>
        <v/>
      </c>
    </row>
    <row r="23234">
      <c r="A23234" t="n">
        <v>23233</v>
      </c>
      <c r="B23234" t="inlineStr">
        <is>
          <t>x̄x̄MMMCCXXXIII</t>
        </is>
      </c>
      <c r="C23234">
        <f>ROMAN(23233)</f>
        <v/>
      </c>
      <c r="D23234">
        <f>IF(B23234=C23234, "YES", "WRONG")</f>
        <v/>
      </c>
    </row>
    <row r="23235">
      <c r="A23235" t="n">
        <v>23234</v>
      </c>
      <c r="B23235" t="inlineStr">
        <is>
          <t>x̄x̄MMMCCXXXIV</t>
        </is>
      </c>
      <c r="C23235">
        <f>ROMAN(23234)</f>
        <v/>
      </c>
      <c r="D23235">
        <f>IF(B23235=C23235, "YES", "WRONG")</f>
        <v/>
      </c>
    </row>
    <row r="23236">
      <c r="A23236" t="n">
        <v>23235</v>
      </c>
      <c r="B23236" t="inlineStr">
        <is>
          <t>x̄x̄MMMCCXXXV</t>
        </is>
      </c>
      <c r="C23236">
        <f>ROMAN(23235)</f>
        <v/>
      </c>
      <c r="D23236">
        <f>IF(B23236=C23236, "YES", "WRONG")</f>
        <v/>
      </c>
    </row>
    <row r="23237">
      <c r="A23237" t="n">
        <v>23236</v>
      </c>
      <c r="B23237" t="inlineStr">
        <is>
          <t>x̄x̄MMMCCXXXVI</t>
        </is>
      </c>
      <c r="C23237">
        <f>ROMAN(23236)</f>
        <v/>
      </c>
      <c r="D23237">
        <f>IF(B23237=C23237, "YES", "WRONG")</f>
        <v/>
      </c>
    </row>
    <row r="23238">
      <c r="A23238" t="n">
        <v>23237</v>
      </c>
      <c r="B23238" t="inlineStr">
        <is>
          <t>x̄x̄MMMCCXXXVII</t>
        </is>
      </c>
      <c r="C23238">
        <f>ROMAN(23237)</f>
        <v/>
      </c>
      <c r="D23238">
        <f>IF(B23238=C23238, "YES", "WRONG")</f>
        <v/>
      </c>
    </row>
    <row r="23239">
      <c r="A23239" t="n">
        <v>23238</v>
      </c>
      <c r="B23239" t="inlineStr">
        <is>
          <t>x̄x̄MMMCCXXXVIII</t>
        </is>
      </c>
      <c r="C23239">
        <f>ROMAN(23238)</f>
        <v/>
      </c>
      <c r="D23239">
        <f>IF(B23239=C23239, "YES", "WRONG")</f>
        <v/>
      </c>
    </row>
    <row r="23240">
      <c r="A23240" t="n">
        <v>23239</v>
      </c>
      <c r="B23240" t="inlineStr">
        <is>
          <t>x̄x̄MMMCCXXXIX</t>
        </is>
      </c>
      <c r="C23240">
        <f>ROMAN(23239)</f>
        <v/>
      </c>
      <c r="D23240">
        <f>IF(B23240=C23240, "YES", "WRONG")</f>
        <v/>
      </c>
    </row>
    <row r="23241">
      <c r="A23241" t="n">
        <v>23240</v>
      </c>
      <c r="B23241" t="inlineStr">
        <is>
          <t>x̄x̄MMMCCXL</t>
        </is>
      </c>
      <c r="C23241">
        <f>ROMAN(23240)</f>
        <v/>
      </c>
      <c r="D23241">
        <f>IF(B23241=C23241, "YES", "WRONG")</f>
        <v/>
      </c>
    </row>
    <row r="23242">
      <c r="A23242" t="n">
        <v>23241</v>
      </c>
      <c r="B23242" t="inlineStr">
        <is>
          <t>x̄x̄MMMCCXLI</t>
        </is>
      </c>
      <c r="C23242">
        <f>ROMAN(23241)</f>
        <v/>
      </c>
      <c r="D23242">
        <f>IF(B23242=C23242, "YES", "WRONG")</f>
        <v/>
      </c>
    </row>
    <row r="23243">
      <c r="A23243" t="n">
        <v>23242</v>
      </c>
      <c r="B23243" t="inlineStr">
        <is>
          <t>x̄x̄MMMCCXLII</t>
        </is>
      </c>
      <c r="C23243">
        <f>ROMAN(23242)</f>
        <v/>
      </c>
      <c r="D23243">
        <f>IF(B23243=C23243, "YES", "WRONG")</f>
        <v/>
      </c>
    </row>
    <row r="23244">
      <c r="A23244" t="n">
        <v>23243</v>
      </c>
      <c r="B23244" t="inlineStr">
        <is>
          <t>x̄x̄MMMCCXLIII</t>
        </is>
      </c>
      <c r="C23244">
        <f>ROMAN(23243)</f>
        <v/>
      </c>
      <c r="D23244">
        <f>IF(B23244=C23244, "YES", "WRONG")</f>
        <v/>
      </c>
    </row>
    <row r="23245">
      <c r="A23245" t="n">
        <v>23244</v>
      </c>
      <c r="B23245" t="inlineStr">
        <is>
          <t>x̄x̄MMMCCXLIV</t>
        </is>
      </c>
      <c r="C23245">
        <f>ROMAN(23244)</f>
        <v/>
      </c>
      <c r="D23245">
        <f>IF(B23245=C23245, "YES", "WRONG")</f>
        <v/>
      </c>
    </row>
    <row r="23246">
      <c r="A23246" t="n">
        <v>23245</v>
      </c>
      <c r="B23246" t="inlineStr">
        <is>
          <t>x̄x̄MMMCCXLV</t>
        </is>
      </c>
      <c r="C23246">
        <f>ROMAN(23245)</f>
        <v/>
      </c>
      <c r="D23246">
        <f>IF(B23246=C23246, "YES", "WRONG")</f>
        <v/>
      </c>
    </row>
    <row r="23247">
      <c r="A23247" t="n">
        <v>23246</v>
      </c>
      <c r="B23247" t="inlineStr">
        <is>
          <t>x̄x̄MMMCCXLVI</t>
        </is>
      </c>
      <c r="C23247">
        <f>ROMAN(23246)</f>
        <v/>
      </c>
      <c r="D23247">
        <f>IF(B23247=C23247, "YES", "WRONG")</f>
        <v/>
      </c>
    </row>
    <row r="23248">
      <c r="A23248" t="n">
        <v>23247</v>
      </c>
      <c r="B23248" t="inlineStr">
        <is>
          <t>x̄x̄MMMCCXLVII</t>
        </is>
      </c>
      <c r="C23248">
        <f>ROMAN(23247)</f>
        <v/>
      </c>
      <c r="D23248">
        <f>IF(B23248=C23248, "YES", "WRONG")</f>
        <v/>
      </c>
    </row>
    <row r="23249">
      <c r="A23249" t="n">
        <v>23248</v>
      </c>
      <c r="B23249" t="inlineStr">
        <is>
          <t>x̄x̄MMMCCXLVIII</t>
        </is>
      </c>
      <c r="C23249">
        <f>ROMAN(23248)</f>
        <v/>
      </c>
      <c r="D23249">
        <f>IF(B23249=C23249, "YES", "WRONG")</f>
        <v/>
      </c>
    </row>
    <row r="23250">
      <c r="A23250" t="n">
        <v>23249</v>
      </c>
      <c r="B23250" t="inlineStr">
        <is>
          <t>x̄x̄MMMCCXLIX</t>
        </is>
      </c>
      <c r="C23250">
        <f>ROMAN(23249)</f>
        <v/>
      </c>
      <c r="D23250">
        <f>IF(B23250=C23250, "YES", "WRONG")</f>
        <v/>
      </c>
    </row>
    <row r="23251">
      <c r="A23251" t="n">
        <v>23250</v>
      </c>
      <c r="B23251" t="inlineStr">
        <is>
          <t>x̄x̄MMMCCL</t>
        </is>
      </c>
      <c r="C23251">
        <f>ROMAN(23250)</f>
        <v/>
      </c>
      <c r="D23251">
        <f>IF(B23251=C23251, "YES", "WRONG")</f>
        <v/>
      </c>
    </row>
    <row r="23252">
      <c r="A23252" t="n">
        <v>23251</v>
      </c>
      <c r="B23252" t="inlineStr">
        <is>
          <t>x̄x̄MMMCCLI</t>
        </is>
      </c>
      <c r="C23252">
        <f>ROMAN(23251)</f>
        <v/>
      </c>
      <c r="D23252">
        <f>IF(B23252=C23252, "YES", "WRONG")</f>
        <v/>
      </c>
    </row>
    <row r="23253">
      <c r="A23253" t="n">
        <v>23252</v>
      </c>
      <c r="B23253" t="inlineStr">
        <is>
          <t>x̄x̄MMMCCLII</t>
        </is>
      </c>
      <c r="C23253">
        <f>ROMAN(23252)</f>
        <v/>
      </c>
      <c r="D23253">
        <f>IF(B23253=C23253, "YES", "WRONG")</f>
        <v/>
      </c>
    </row>
    <row r="23254">
      <c r="A23254" t="n">
        <v>23253</v>
      </c>
      <c r="B23254" t="inlineStr">
        <is>
          <t>x̄x̄MMMCCLIII</t>
        </is>
      </c>
      <c r="C23254">
        <f>ROMAN(23253)</f>
        <v/>
      </c>
      <c r="D23254">
        <f>IF(B23254=C23254, "YES", "WRONG")</f>
        <v/>
      </c>
    </row>
    <row r="23255">
      <c r="A23255" t="n">
        <v>23254</v>
      </c>
      <c r="B23255" t="inlineStr">
        <is>
          <t>x̄x̄MMMCCLIV</t>
        </is>
      </c>
      <c r="C23255">
        <f>ROMAN(23254)</f>
        <v/>
      </c>
      <c r="D23255">
        <f>IF(B23255=C23255, "YES", "WRONG")</f>
        <v/>
      </c>
    </row>
    <row r="23256">
      <c r="A23256" t="n">
        <v>23255</v>
      </c>
      <c r="B23256" t="inlineStr">
        <is>
          <t>x̄x̄MMMCCLV</t>
        </is>
      </c>
      <c r="C23256">
        <f>ROMAN(23255)</f>
        <v/>
      </c>
      <c r="D23256">
        <f>IF(B23256=C23256, "YES", "WRONG")</f>
        <v/>
      </c>
    </row>
    <row r="23257">
      <c r="A23257" t="n">
        <v>23256</v>
      </c>
      <c r="B23257" t="inlineStr">
        <is>
          <t>x̄x̄MMMCCLVI</t>
        </is>
      </c>
      <c r="C23257">
        <f>ROMAN(23256)</f>
        <v/>
      </c>
      <c r="D23257">
        <f>IF(B23257=C23257, "YES", "WRONG")</f>
        <v/>
      </c>
    </row>
    <row r="23258">
      <c r="A23258" t="n">
        <v>23257</v>
      </c>
      <c r="B23258" t="inlineStr">
        <is>
          <t>x̄x̄MMMCCLVII</t>
        </is>
      </c>
      <c r="C23258">
        <f>ROMAN(23257)</f>
        <v/>
      </c>
      <c r="D23258">
        <f>IF(B23258=C23258, "YES", "WRONG")</f>
        <v/>
      </c>
    </row>
    <row r="23259">
      <c r="A23259" t="n">
        <v>23258</v>
      </c>
      <c r="B23259" t="inlineStr">
        <is>
          <t>x̄x̄MMMCCLVIII</t>
        </is>
      </c>
      <c r="C23259">
        <f>ROMAN(23258)</f>
        <v/>
      </c>
      <c r="D23259">
        <f>IF(B23259=C23259, "YES", "WRONG")</f>
        <v/>
      </c>
    </row>
    <row r="23260">
      <c r="A23260" t="n">
        <v>23259</v>
      </c>
      <c r="B23260" t="inlineStr">
        <is>
          <t>x̄x̄MMMCCLIX</t>
        </is>
      </c>
      <c r="C23260">
        <f>ROMAN(23259)</f>
        <v/>
      </c>
      <c r="D23260">
        <f>IF(B23260=C23260, "YES", "WRONG")</f>
        <v/>
      </c>
    </row>
    <row r="23261">
      <c r="A23261" t="n">
        <v>23260</v>
      </c>
      <c r="B23261" t="inlineStr">
        <is>
          <t>x̄x̄MMMCCLX</t>
        </is>
      </c>
      <c r="C23261">
        <f>ROMAN(23260)</f>
        <v/>
      </c>
      <c r="D23261">
        <f>IF(B23261=C23261, "YES", "WRONG")</f>
        <v/>
      </c>
    </row>
    <row r="23262">
      <c r="A23262" t="n">
        <v>23261</v>
      </c>
      <c r="B23262" t="inlineStr">
        <is>
          <t>x̄x̄MMMCCLXI</t>
        </is>
      </c>
      <c r="C23262">
        <f>ROMAN(23261)</f>
        <v/>
      </c>
      <c r="D23262">
        <f>IF(B23262=C23262, "YES", "WRONG")</f>
        <v/>
      </c>
    </row>
    <row r="23263">
      <c r="A23263" t="n">
        <v>23262</v>
      </c>
      <c r="B23263" t="inlineStr">
        <is>
          <t>x̄x̄MMMCCLXII</t>
        </is>
      </c>
      <c r="C23263">
        <f>ROMAN(23262)</f>
        <v/>
      </c>
      <c r="D23263">
        <f>IF(B23263=C23263, "YES", "WRONG")</f>
        <v/>
      </c>
    </row>
    <row r="23264">
      <c r="A23264" t="n">
        <v>23263</v>
      </c>
      <c r="B23264" t="inlineStr">
        <is>
          <t>x̄x̄MMMCCLXIII</t>
        </is>
      </c>
      <c r="C23264">
        <f>ROMAN(23263)</f>
        <v/>
      </c>
      <c r="D23264">
        <f>IF(B23264=C23264, "YES", "WRONG")</f>
        <v/>
      </c>
    </row>
    <row r="23265">
      <c r="A23265" t="n">
        <v>23264</v>
      </c>
      <c r="B23265" t="inlineStr">
        <is>
          <t>x̄x̄MMMCCLXIV</t>
        </is>
      </c>
      <c r="C23265">
        <f>ROMAN(23264)</f>
        <v/>
      </c>
      <c r="D23265">
        <f>IF(B23265=C23265, "YES", "WRONG")</f>
        <v/>
      </c>
    </row>
    <row r="23266">
      <c r="A23266" t="n">
        <v>23265</v>
      </c>
      <c r="B23266" t="inlineStr">
        <is>
          <t>x̄x̄MMMCCLXV</t>
        </is>
      </c>
      <c r="C23266">
        <f>ROMAN(23265)</f>
        <v/>
      </c>
      <c r="D23266">
        <f>IF(B23266=C23266, "YES", "WRONG")</f>
        <v/>
      </c>
    </row>
    <row r="23267">
      <c r="A23267" t="n">
        <v>23266</v>
      </c>
      <c r="B23267" t="inlineStr">
        <is>
          <t>x̄x̄MMMCCLXVI</t>
        </is>
      </c>
      <c r="C23267">
        <f>ROMAN(23266)</f>
        <v/>
      </c>
      <c r="D23267">
        <f>IF(B23267=C23267, "YES", "WRONG")</f>
        <v/>
      </c>
    </row>
    <row r="23268">
      <c r="A23268" t="n">
        <v>23267</v>
      </c>
      <c r="B23268" t="inlineStr">
        <is>
          <t>x̄x̄MMMCCLXVII</t>
        </is>
      </c>
      <c r="C23268">
        <f>ROMAN(23267)</f>
        <v/>
      </c>
      <c r="D23268">
        <f>IF(B23268=C23268, "YES", "WRONG")</f>
        <v/>
      </c>
    </row>
    <row r="23269">
      <c r="A23269" t="n">
        <v>23268</v>
      </c>
      <c r="B23269" t="inlineStr">
        <is>
          <t>x̄x̄MMMCCLXVIII</t>
        </is>
      </c>
      <c r="C23269">
        <f>ROMAN(23268)</f>
        <v/>
      </c>
      <c r="D23269">
        <f>IF(B23269=C23269, "YES", "WRONG")</f>
        <v/>
      </c>
    </row>
    <row r="23270">
      <c r="A23270" t="n">
        <v>23269</v>
      </c>
      <c r="B23270" t="inlineStr">
        <is>
          <t>x̄x̄MMMCCLXIX</t>
        </is>
      </c>
      <c r="C23270">
        <f>ROMAN(23269)</f>
        <v/>
      </c>
      <c r="D23270">
        <f>IF(B23270=C23270, "YES", "WRONG")</f>
        <v/>
      </c>
    </row>
    <row r="23271">
      <c r="A23271" t="n">
        <v>23270</v>
      </c>
      <c r="B23271" t="inlineStr">
        <is>
          <t>x̄x̄MMMCCLXX</t>
        </is>
      </c>
      <c r="C23271">
        <f>ROMAN(23270)</f>
        <v/>
      </c>
      <c r="D23271">
        <f>IF(B23271=C23271, "YES", "WRONG")</f>
        <v/>
      </c>
    </row>
    <row r="23272">
      <c r="A23272" t="n">
        <v>23271</v>
      </c>
      <c r="B23272" t="inlineStr">
        <is>
          <t>x̄x̄MMMCCLXXI</t>
        </is>
      </c>
      <c r="C23272">
        <f>ROMAN(23271)</f>
        <v/>
      </c>
      <c r="D23272">
        <f>IF(B23272=C23272, "YES", "WRONG")</f>
        <v/>
      </c>
    </row>
    <row r="23273">
      <c r="A23273" t="n">
        <v>23272</v>
      </c>
      <c r="B23273" t="inlineStr">
        <is>
          <t>x̄x̄MMMCCLXXII</t>
        </is>
      </c>
      <c r="C23273">
        <f>ROMAN(23272)</f>
        <v/>
      </c>
      <c r="D23273">
        <f>IF(B23273=C23273, "YES", "WRONG")</f>
        <v/>
      </c>
    </row>
    <row r="23274">
      <c r="A23274" t="n">
        <v>23273</v>
      </c>
      <c r="B23274" t="inlineStr">
        <is>
          <t>x̄x̄MMMCCLXXIII</t>
        </is>
      </c>
      <c r="C23274">
        <f>ROMAN(23273)</f>
        <v/>
      </c>
      <c r="D23274">
        <f>IF(B23274=C23274, "YES", "WRONG")</f>
        <v/>
      </c>
    </row>
    <row r="23275">
      <c r="A23275" t="n">
        <v>23274</v>
      </c>
      <c r="B23275" t="inlineStr">
        <is>
          <t>x̄x̄MMMCCLXXIV</t>
        </is>
      </c>
      <c r="C23275">
        <f>ROMAN(23274)</f>
        <v/>
      </c>
      <c r="D23275">
        <f>IF(B23275=C23275, "YES", "WRONG")</f>
        <v/>
      </c>
    </row>
    <row r="23276">
      <c r="A23276" t="n">
        <v>23275</v>
      </c>
      <c r="B23276" t="inlineStr">
        <is>
          <t>x̄x̄MMMCCLXXV</t>
        </is>
      </c>
      <c r="C23276">
        <f>ROMAN(23275)</f>
        <v/>
      </c>
      <c r="D23276">
        <f>IF(B23276=C23276, "YES", "WRONG")</f>
        <v/>
      </c>
    </row>
    <row r="23277">
      <c r="A23277" t="n">
        <v>23276</v>
      </c>
      <c r="B23277" t="inlineStr">
        <is>
          <t>x̄x̄MMMCCLXXVI</t>
        </is>
      </c>
      <c r="C23277">
        <f>ROMAN(23276)</f>
        <v/>
      </c>
      <c r="D23277">
        <f>IF(B23277=C23277, "YES", "WRONG")</f>
        <v/>
      </c>
    </row>
    <row r="23278">
      <c r="A23278" t="n">
        <v>23277</v>
      </c>
      <c r="B23278" t="inlineStr">
        <is>
          <t>x̄x̄MMMCCLXXVII</t>
        </is>
      </c>
      <c r="C23278">
        <f>ROMAN(23277)</f>
        <v/>
      </c>
      <c r="D23278">
        <f>IF(B23278=C23278, "YES", "WRONG")</f>
        <v/>
      </c>
    </row>
    <row r="23279">
      <c r="A23279" t="n">
        <v>23278</v>
      </c>
      <c r="B23279" t="inlineStr">
        <is>
          <t>x̄x̄MMMCCLXXVIII</t>
        </is>
      </c>
      <c r="C23279">
        <f>ROMAN(23278)</f>
        <v/>
      </c>
      <c r="D23279">
        <f>IF(B23279=C23279, "YES", "WRONG")</f>
        <v/>
      </c>
    </row>
    <row r="23280">
      <c r="A23280" t="n">
        <v>23279</v>
      </c>
      <c r="B23280" t="inlineStr">
        <is>
          <t>x̄x̄MMMCCLXXIX</t>
        </is>
      </c>
      <c r="C23280">
        <f>ROMAN(23279)</f>
        <v/>
      </c>
      <c r="D23280">
        <f>IF(B23280=C23280, "YES", "WRONG")</f>
        <v/>
      </c>
    </row>
    <row r="23281">
      <c r="A23281" t="n">
        <v>23280</v>
      </c>
      <c r="B23281" t="inlineStr">
        <is>
          <t>x̄x̄MMMCCLXXX</t>
        </is>
      </c>
      <c r="C23281">
        <f>ROMAN(23280)</f>
        <v/>
      </c>
      <c r="D23281">
        <f>IF(B23281=C23281, "YES", "WRONG")</f>
        <v/>
      </c>
    </row>
    <row r="23282">
      <c r="A23282" t="n">
        <v>23281</v>
      </c>
      <c r="B23282" t="inlineStr">
        <is>
          <t>x̄x̄MMMCCLXXXI</t>
        </is>
      </c>
      <c r="C23282">
        <f>ROMAN(23281)</f>
        <v/>
      </c>
      <c r="D23282">
        <f>IF(B23282=C23282, "YES", "WRONG")</f>
        <v/>
      </c>
    </row>
    <row r="23283">
      <c r="A23283" t="n">
        <v>23282</v>
      </c>
      <c r="B23283" t="inlineStr">
        <is>
          <t>x̄x̄MMMCCLXXXII</t>
        </is>
      </c>
      <c r="C23283">
        <f>ROMAN(23282)</f>
        <v/>
      </c>
      <c r="D23283">
        <f>IF(B23283=C23283, "YES", "WRONG")</f>
        <v/>
      </c>
    </row>
    <row r="23284">
      <c r="A23284" t="n">
        <v>23283</v>
      </c>
      <c r="B23284" t="inlineStr">
        <is>
          <t>x̄x̄MMMCCLXXXIII</t>
        </is>
      </c>
      <c r="C23284">
        <f>ROMAN(23283)</f>
        <v/>
      </c>
      <c r="D23284">
        <f>IF(B23284=C23284, "YES", "WRONG")</f>
        <v/>
      </c>
    </row>
    <row r="23285">
      <c r="A23285" t="n">
        <v>23284</v>
      </c>
      <c r="B23285" t="inlineStr">
        <is>
          <t>x̄x̄MMMCCLXXXIV</t>
        </is>
      </c>
      <c r="C23285">
        <f>ROMAN(23284)</f>
        <v/>
      </c>
      <c r="D23285">
        <f>IF(B23285=C23285, "YES", "WRONG")</f>
        <v/>
      </c>
    </row>
    <row r="23286">
      <c r="A23286" t="n">
        <v>23285</v>
      </c>
      <c r="B23286" t="inlineStr">
        <is>
          <t>x̄x̄MMMCCLXXXV</t>
        </is>
      </c>
      <c r="C23286">
        <f>ROMAN(23285)</f>
        <v/>
      </c>
      <c r="D23286">
        <f>IF(B23286=C23286, "YES", "WRONG")</f>
        <v/>
      </c>
    </row>
    <row r="23287">
      <c r="A23287" t="n">
        <v>23286</v>
      </c>
      <c r="B23287" t="inlineStr">
        <is>
          <t>x̄x̄MMMCCLXXXVI</t>
        </is>
      </c>
      <c r="C23287">
        <f>ROMAN(23286)</f>
        <v/>
      </c>
      <c r="D23287">
        <f>IF(B23287=C23287, "YES", "WRONG")</f>
        <v/>
      </c>
    </row>
    <row r="23288">
      <c r="A23288" t="n">
        <v>23287</v>
      </c>
      <c r="B23288" t="inlineStr">
        <is>
          <t>x̄x̄MMMCCLXXXVII</t>
        </is>
      </c>
      <c r="C23288">
        <f>ROMAN(23287)</f>
        <v/>
      </c>
      <c r="D23288">
        <f>IF(B23288=C23288, "YES", "WRONG")</f>
        <v/>
      </c>
    </row>
    <row r="23289">
      <c r="A23289" t="n">
        <v>23288</v>
      </c>
      <c r="B23289" t="inlineStr">
        <is>
          <t>x̄x̄MMMCCLXXXVIII</t>
        </is>
      </c>
      <c r="C23289">
        <f>ROMAN(23288)</f>
        <v/>
      </c>
      <c r="D23289">
        <f>IF(B23289=C23289, "YES", "WRONG")</f>
        <v/>
      </c>
    </row>
    <row r="23290">
      <c r="A23290" t="n">
        <v>23289</v>
      </c>
      <c r="B23290" t="inlineStr">
        <is>
          <t>x̄x̄MMMCCLXXXIX</t>
        </is>
      </c>
      <c r="C23290">
        <f>ROMAN(23289)</f>
        <v/>
      </c>
      <c r="D23290">
        <f>IF(B23290=C23290, "YES", "WRONG")</f>
        <v/>
      </c>
    </row>
    <row r="23291">
      <c r="A23291" t="n">
        <v>23290</v>
      </c>
      <c r="B23291" t="inlineStr">
        <is>
          <t>x̄x̄MMMCCXC</t>
        </is>
      </c>
      <c r="C23291">
        <f>ROMAN(23290)</f>
        <v/>
      </c>
      <c r="D23291">
        <f>IF(B23291=C23291, "YES", "WRONG")</f>
        <v/>
      </c>
    </row>
    <row r="23292">
      <c r="A23292" t="n">
        <v>23291</v>
      </c>
      <c r="B23292" t="inlineStr">
        <is>
          <t>x̄x̄MMMCCXCI</t>
        </is>
      </c>
      <c r="C23292">
        <f>ROMAN(23291)</f>
        <v/>
      </c>
      <c r="D23292">
        <f>IF(B23292=C23292, "YES", "WRONG")</f>
        <v/>
      </c>
    </row>
    <row r="23293">
      <c r="A23293" t="n">
        <v>23292</v>
      </c>
      <c r="B23293" t="inlineStr">
        <is>
          <t>x̄x̄MMMCCXCII</t>
        </is>
      </c>
      <c r="C23293">
        <f>ROMAN(23292)</f>
        <v/>
      </c>
      <c r="D23293">
        <f>IF(B23293=C23293, "YES", "WRONG")</f>
        <v/>
      </c>
    </row>
    <row r="23294">
      <c r="A23294" t="n">
        <v>23293</v>
      </c>
      <c r="B23294" t="inlineStr">
        <is>
          <t>x̄x̄MMMCCXCIII</t>
        </is>
      </c>
      <c r="C23294">
        <f>ROMAN(23293)</f>
        <v/>
      </c>
      <c r="D23294">
        <f>IF(B23294=C23294, "YES", "WRONG")</f>
        <v/>
      </c>
    </row>
    <row r="23295">
      <c r="A23295" t="n">
        <v>23294</v>
      </c>
      <c r="B23295" t="inlineStr">
        <is>
          <t>x̄x̄MMMCCXCIV</t>
        </is>
      </c>
      <c r="C23295">
        <f>ROMAN(23294)</f>
        <v/>
      </c>
      <c r="D23295">
        <f>IF(B23295=C23295, "YES", "WRONG")</f>
        <v/>
      </c>
    </row>
    <row r="23296">
      <c r="A23296" t="n">
        <v>23295</v>
      </c>
      <c r="B23296" t="inlineStr">
        <is>
          <t>x̄x̄MMMCCXCV</t>
        </is>
      </c>
      <c r="C23296">
        <f>ROMAN(23295)</f>
        <v/>
      </c>
      <c r="D23296">
        <f>IF(B23296=C23296, "YES", "WRONG")</f>
        <v/>
      </c>
    </row>
    <row r="23297">
      <c r="A23297" t="n">
        <v>23296</v>
      </c>
      <c r="B23297" t="inlineStr">
        <is>
          <t>x̄x̄MMMCCXCVI</t>
        </is>
      </c>
      <c r="C23297">
        <f>ROMAN(23296)</f>
        <v/>
      </c>
      <c r="D23297">
        <f>IF(B23297=C23297, "YES", "WRONG")</f>
        <v/>
      </c>
    </row>
    <row r="23298">
      <c r="A23298" t="n">
        <v>23297</v>
      </c>
      <c r="B23298" t="inlineStr">
        <is>
          <t>x̄x̄MMMCCXCVII</t>
        </is>
      </c>
      <c r="C23298">
        <f>ROMAN(23297)</f>
        <v/>
      </c>
      <c r="D23298">
        <f>IF(B23298=C23298, "YES", "WRONG")</f>
        <v/>
      </c>
    </row>
    <row r="23299">
      <c r="A23299" t="n">
        <v>23298</v>
      </c>
      <c r="B23299" t="inlineStr">
        <is>
          <t>x̄x̄MMMCCXCVIII</t>
        </is>
      </c>
      <c r="C23299">
        <f>ROMAN(23298)</f>
        <v/>
      </c>
      <c r="D23299">
        <f>IF(B23299=C23299, "YES", "WRONG")</f>
        <v/>
      </c>
    </row>
    <row r="23300">
      <c r="A23300" t="n">
        <v>23299</v>
      </c>
      <c r="B23300" t="inlineStr">
        <is>
          <t>x̄x̄MMMCCXCIX</t>
        </is>
      </c>
      <c r="C23300">
        <f>ROMAN(23299)</f>
        <v/>
      </c>
      <c r="D23300">
        <f>IF(B23300=C23300, "YES", "WRONG")</f>
        <v/>
      </c>
    </row>
    <row r="23301">
      <c r="A23301" t="n">
        <v>23300</v>
      </c>
      <c r="B23301" t="inlineStr">
        <is>
          <t>x̄x̄MMMCCC</t>
        </is>
      </c>
      <c r="C23301">
        <f>ROMAN(23300)</f>
        <v/>
      </c>
      <c r="D23301">
        <f>IF(B23301=C23301, "YES", "WRONG")</f>
        <v/>
      </c>
    </row>
    <row r="23302">
      <c r="A23302" t="n">
        <v>23301</v>
      </c>
      <c r="B23302" t="inlineStr">
        <is>
          <t>x̄x̄MMMCCCI</t>
        </is>
      </c>
      <c r="C23302">
        <f>ROMAN(23301)</f>
        <v/>
      </c>
      <c r="D23302">
        <f>IF(B23302=C23302, "YES", "WRONG")</f>
        <v/>
      </c>
    </row>
    <row r="23303">
      <c r="A23303" t="n">
        <v>23302</v>
      </c>
      <c r="B23303" t="inlineStr">
        <is>
          <t>x̄x̄MMMCCCII</t>
        </is>
      </c>
      <c r="C23303">
        <f>ROMAN(23302)</f>
        <v/>
      </c>
      <c r="D23303">
        <f>IF(B23303=C23303, "YES", "WRONG")</f>
        <v/>
      </c>
    </row>
    <row r="23304">
      <c r="A23304" t="n">
        <v>23303</v>
      </c>
      <c r="B23304" t="inlineStr">
        <is>
          <t>x̄x̄MMMCCCIII</t>
        </is>
      </c>
      <c r="C23304">
        <f>ROMAN(23303)</f>
        <v/>
      </c>
      <c r="D23304">
        <f>IF(B23304=C23304, "YES", "WRONG")</f>
        <v/>
      </c>
    </row>
    <row r="23305">
      <c r="A23305" t="n">
        <v>23304</v>
      </c>
      <c r="B23305" t="inlineStr">
        <is>
          <t>x̄x̄MMMCCCIV</t>
        </is>
      </c>
      <c r="C23305">
        <f>ROMAN(23304)</f>
        <v/>
      </c>
      <c r="D23305">
        <f>IF(B23305=C23305, "YES", "WRONG")</f>
        <v/>
      </c>
    </row>
    <row r="23306">
      <c r="A23306" t="n">
        <v>23305</v>
      </c>
      <c r="B23306" t="inlineStr">
        <is>
          <t>x̄x̄MMMCCCV</t>
        </is>
      </c>
      <c r="C23306">
        <f>ROMAN(23305)</f>
        <v/>
      </c>
      <c r="D23306">
        <f>IF(B23306=C23306, "YES", "WRONG")</f>
        <v/>
      </c>
    </row>
    <row r="23307">
      <c r="A23307" t="n">
        <v>23306</v>
      </c>
      <c r="B23307" t="inlineStr">
        <is>
          <t>x̄x̄MMMCCCVI</t>
        </is>
      </c>
      <c r="C23307">
        <f>ROMAN(23306)</f>
        <v/>
      </c>
      <c r="D23307">
        <f>IF(B23307=C23307, "YES", "WRONG")</f>
        <v/>
      </c>
    </row>
    <row r="23308">
      <c r="A23308" t="n">
        <v>23307</v>
      </c>
      <c r="B23308" t="inlineStr">
        <is>
          <t>x̄x̄MMMCCCVII</t>
        </is>
      </c>
      <c r="C23308">
        <f>ROMAN(23307)</f>
        <v/>
      </c>
      <c r="D23308">
        <f>IF(B23308=C23308, "YES", "WRONG")</f>
        <v/>
      </c>
    </row>
    <row r="23309">
      <c r="A23309" t="n">
        <v>23308</v>
      </c>
      <c r="B23309" t="inlineStr">
        <is>
          <t>x̄x̄MMMCCCVIII</t>
        </is>
      </c>
      <c r="C23309">
        <f>ROMAN(23308)</f>
        <v/>
      </c>
      <c r="D23309">
        <f>IF(B23309=C23309, "YES", "WRONG")</f>
        <v/>
      </c>
    </row>
    <row r="23310">
      <c r="A23310" t="n">
        <v>23309</v>
      </c>
      <c r="B23310" t="inlineStr">
        <is>
          <t>x̄x̄MMMCCCIX</t>
        </is>
      </c>
      <c r="C23310">
        <f>ROMAN(23309)</f>
        <v/>
      </c>
      <c r="D23310">
        <f>IF(B23310=C23310, "YES", "WRONG")</f>
        <v/>
      </c>
    </row>
    <row r="23311">
      <c r="A23311" t="n">
        <v>23310</v>
      </c>
      <c r="B23311" t="inlineStr">
        <is>
          <t>x̄x̄MMMCCCX</t>
        </is>
      </c>
      <c r="C23311">
        <f>ROMAN(23310)</f>
        <v/>
      </c>
      <c r="D23311">
        <f>IF(B23311=C23311, "YES", "WRONG")</f>
        <v/>
      </c>
    </row>
    <row r="23312">
      <c r="A23312" t="n">
        <v>23311</v>
      </c>
      <c r="B23312" t="inlineStr">
        <is>
          <t>x̄x̄MMMCCCXI</t>
        </is>
      </c>
      <c r="C23312">
        <f>ROMAN(23311)</f>
        <v/>
      </c>
      <c r="D23312">
        <f>IF(B23312=C23312, "YES", "WRONG")</f>
        <v/>
      </c>
    </row>
    <row r="23313">
      <c r="A23313" t="n">
        <v>23312</v>
      </c>
      <c r="B23313" t="inlineStr">
        <is>
          <t>x̄x̄MMMCCCXII</t>
        </is>
      </c>
      <c r="C23313">
        <f>ROMAN(23312)</f>
        <v/>
      </c>
      <c r="D23313">
        <f>IF(B23313=C23313, "YES", "WRONG")</f>
        <v/>
      </c>
    </row>
    <row r="23314">
      <c r="A23314" t="n">
        <v>23313</v>
      </c>
      <c r="B23314" t="inlineStr">
        <is>
          <t>x̄x̄MMMCCCXIII</t>
        </is>
      </c>
      <c r="C23314">
        <f>ROMAN(23313)</f>
        <v/>
      </c>
      <c r="D23314">
        <f>IF(B23314=C23314, "YES", "WRONG")</f>
        <v/>
      </c>
    </row>
    <row r="23315">
      <c r="A23315" t="n">
        <v>23314</v>
      </c>
      <c r="B23315" t="inlineStr">
        <is>
          <t>x̄x̄MMMCCCXIV</t>
        </is>
      </c>
      <c r="C23315">
        <f>ROMAN(23314)</f>
        <v/>
      </c>
      <c r="D23315">
        <f>IF(B23315=C23315, "YES", "WRONG")</f>
        <v/>
      </c>
    </row>
    <row r="23316">
      <c r="A23316" t="n">
        <v>23315</v>
      </c>
      <c r="B23316" t="inlineStr">
        <is>
          <t>x̄x̄MMMCCCXV</t>
        </is>
      </c>
      <c r="C23316">
        <f>ROMAN(23315)</f>
        <v/>
      </c>
      <c r="D23316">
        <f>IF(B23316=C23316, "YES", "WRONG")</f>
        <v/>
      </c>
    </row>
    <row r="23317">
      <c r="A23317" t="n">
        <v>23316</v>
      </c>
      <c r="B23317" t="inlineStr">
        <is>
          <t>x̄x̄MMMCCCXVI</t>
        </is>
      </c>
      <c r="C23317">
        <f>ROMAN(23316)</f>
        <v/>
      </c>
      <c r="D23317">
        <f>IF(B23317=C23317, "YES", "WRONG")</f>
        <v/>
      </c>
    </row>
    <row r="23318">
      <c r="A23318" t="n">
        <v>23317</v>
      </c>
      <c r="B23318" t="inlineStr">
        <is>
          <t>x̄x̄MMMCCCXVII</t>
        </is>
      </c>
      <c r="C23318">
        <f>ROMAN(23317)</f>
        <v/>
      </c>
      <c r="D23318">
        <f>IF(B23318=C23318, "YES", "WRONG")</f>
        <v/>
      </c>
    </row>
    <row r="23319">
      <c r="A23319" t="n">
        <v>23318</v>
      </c>
      <c r="B23319" t="inlineStr">
        <is>
          <t>x̄x̄MMMCCCXVIII</t>
        </is>
      </c>
      <c r="C23319">
        <f>ROMAN(23318)</f>
        <v/>
      </c>
      <c r="D23319">
        <f>IF(B23319=C23319, "YES", "WRONG")</f>
        <v/>
      </c>
    </row>
    <row r="23320">
      <c r="A23320" t="n">
        <v>23319</v>
      </c>
      <c r="B23320" t="inlineStr">
        <is>
          <t>x̄x̄MMMCCCXIX</t>
        </is>
      </c>
      <c r="C23320">
        <f>ROMAN(23319)</f>
        <v/>
      </c>
      <c r="D23320">
        <f>IF(B23320=C23320, "YES", "WRONG")</f>
        <v/>
      </c>
    </row>
    <row r="23321">
      <c r="A23321" t="n">
        <v>23320</v>
      </c>
      <c r="B23321" t="inlineStr">
        <is>
          <t>x̄x̄MMMCCCXX</t>
        </is>
      </c>
      <c r="C23321">
        <f>ROMAN(23320)</f>
        <v/>
      </c>
      <c r="D23321">
        <f>IF(B23321=C23321, "YES", "WRONG")</f>
        <v/>
      </c>
    </row>
    <row r="23322">
      <c r="A23322" t="n">
        <v>23321</v>
      </c>
      <c r="B23322" t="inlineStr">
        <is>
          <t>x̄x̄MMMCCCXXI</t>
        </is>
      </c>
      <c r="C23322">
        <f>ROMAN(23321)</f>
        <v/>
      </c>
      <c r="D23322">
        <f>IF(B23322=C23322, "YES", "WRONG")</f>
        <v/>
      </c>
    </row>
    <row r="23323">
      <c r="A23323" t="n">
        <v>23322</v>
      </c>
      <c r="B23323" t="inlineStr">
        <is>
          <t>x̄x̄MMMCCCXXII</t>
        </is>
      </c>
      <c r="C23323">
        <f>ROMAN(23322)</f>
        <v/>
      </c>
      <c r="D23323">
        <f>IF(B23323=C23323, "YES", "WRONG")</f>
        <v/>
      </c>
    </row>
    <row r="23324">
      <c r="A23324" t="n">
        <v>23323</v>
      </c>
      <c r="B23324" t="inlineStr">
        <is>
          <t>x̄x̄MMMCCCXXIII</t>
        </is>
      </c>
      <c r="C23324">
        <f>ROMAN(23323)</f>
        <v/>
      </c>
      <c r="D23324">
        <f>IF(B23324=C23324, "YES", "WRONG")</f>
        <v/>
      </c>
    </row>
    <row r="23325">
      <c r="A23325" t="n">
        <v>23324</v>
      </c>
      <c r="B23325" t="inlineStr">
        <is>
          <t>x̄x̄MMMCCCXXIV</t>
        </is>
      </c>
      <c r="C23325">
        <f>ROMAN(23324)</f>
        <v/>
      </c>
      <c r="D23325">
        <f>IF(B23325=C23325, "YES", "WRONG")</f>
        <v/>
      </c>
    </row>
    <row r="23326">
      <c r="A23326" t="n">
        <v>23325</v>
      </c>
      <c r="B23326" t="inlineStr">
        <is>
          <t>x̄x̄MMMCCCXXV</t>
        </is>
      </c>
      <c r="C23326">
        <f>ROMAN(23325)</f>
        <v/>
      </c>
      <c r="D23326">
        <f>IF(B23326=C23326, "YES", "WRONG")</f>
        <v/>
      </c>
    </row>
    <row r="23327">
      <c r="A23327" t="n">
        <v>23326</v>
      </c>
      <c r="B23327" t="inlineStr">
        <is>
          <t>x̄x̄MMMCCCXXVI</t>
        </is>
      </c>
      <c r="C23327">
        <f>ROMAN(23326)</f>
        <v/>
      </c>
      <c r="D23327">
        <f>IF(B23327=C23327, "YES", "WRONG")</f>
        <v/>
      </c>
    </row>
    <row r="23328">
      <c r="A23328" t="n">
        <v>23327</v>
      </c>
      <c r="B23328" t="inlineStr">
        <is>
          <t>x̄x̄MMMCCCXXVII</t>
        </is>
      </c>
      <c r="C23328">
        <f>ROMAN(23327)</f>
        <v/>
      </c>
      <c r="D23328">
        <f>IF(B23328=C23328, "YES", "WRONG")</f>
        <v/>
      </c>
    </row>
    <row r="23329">
      <c r="A23329" t="n">
        <v>23328</v>
      </c>
      <c r="B23329" t="inlineStr">
        <is>
          <t>x̄x̄MMMCCCXXVIII</t>
        </is>
      </c>
      <c r="C23329">
        <f>ROMAN(23328)</f>
        <v/>
      </c>
      <c r="D23329">
        <f>IF(B23329=C23329, "YES", "WRONG")</f>
        <v/>
      </c>
    </row>
    <row r="23330">
      <c r="A23330" t="n">
        <v>23329</v>
      </c>
      <c r="B23330" t="inlineStr">
        <is>
          <t>x̄x̄MMMCCCXXIX</t>
        </is>
      </c>
      <c r="C23330">
        <f>ROMAN(23329)</f>
        <v/>
      </c>
      <c r="D23330">
        <f>IF(B23330=C23330, "YES", "WRONG")</f>
        <v/>
      </c>
    </row>
    <row r="23331">
      <c r="A23331" t="n">
        <v>23330</v>
      </c>
      <c r="B23331" t="inlineStr">
        <is>
          <t>x̄x̄MMMCCCXXX</t>
        </is>
      </c>
      <c r="C23331">
        <f>ROMAN(23330)</f>
        <v/>
      </c>
      <c r="D23331">
        <f>IF(B23331=C23331, "YES", "WRONG")</f>
        <v/>
      </c>
    </row>
    <row r="23332">
      <c r="A23332" t="n">
        <v>23331</v>
      </c>
      <c r="B23332" t="inlineStr">
        <is>
          <t>x̄x̄MMMCCCXXXI</t>
        </is>
      </c>
      <c r="C23332">
        <f>ROMAN(23331)</f>
        <v/>
      </c>
      <c r="D23332">
        <f>IF(B23332=C23332, "YES", "WRONG")</f>
        <v/>
      </c>
    </row>
    <row r="23333">
      <c r="A23333" t="n">
        <v>23332</v>
      </c>
      <c r="B23333" t="inlineStr">
        <is>
          <t>x̄x̄MMMCCCXXXII</t>
        </is>
      </c>
      <c r="C23333">
        <f>ROMAN(23332)</f>
        <v/>
      </c>
      <c r="D23333">
        <f>IF(B23333=C23333, "YES", "WRONG")</f>
        <v/>
      </c>
    </row>
    <row r="23334">
      <c r="A23334" t="n">
        <v>23333</v>
      </c>
      <c r="B23334" t="inlineStr">
        <is>
          <t>x̄x̄MMMCCCXXXIII</t>
        </is>
      </c>
      <c r="C23334">
        <f>ROMAN(23333)</f>
        <v/>
      </c>
      <c r="D23334">
        <f>IF(B23334=C23334, "YES", "WRONG")</f>
        <v/>
      </c>
    </row>
    <row r="23335">
      <c r="A23335" t="n">
        <v>23334</v>
      </c>
      <c r="B23335" t="inlineStr">
        <is>
          <t>x̄x̄MMMCCCXXXIV</t>
        </is>
      </c>
      <c r="C23335">
        <f>ROMAN(23334)</f>
        <v/>
      </c>
      <c r="D23335">
        <f>IF(B23335=C23335, "YES", "WRONG")</f>
        <v/>
      </c>
    </row>
    <row r="23336">
      <c r="A23336" t="n">
        <v>23335</v>
      </c>
      <c r="B23336" t="inlineStr">
        <is>
          <t>x̄x̄MMMCCCXXXV</t>
        </is>
      </c>
      <c r="C23336">
        <f>ROMAN(23335)</f>
        <v/>
      </c>
      <c r="D23336">
        <f>IF(B23336=C23336, "YES", "WRONG")</f>
        <v/>
      </c>
    </row>
    <row r="23337">
      <c r="A23337" t="n">
        <v>23336</v>
      </c>
      <c r="B23337" t="inlineStr">
        <is>
          <t>x̄x̄MMMCCCXXXVI</t>
        </is>
      </c>
      <c r="C23337">
        <f>ROMAN(23336)</f>
        <v/>
      </c>
      <c r="D23337">
        <f>IF(B23337=C23337, "YES", "WRONG")</f>
        <v/>
      </c>
    </row>
    <row r="23338">
      <c r="A23338" t="n">
        <v>23337</v>
      </c>
      <c r="B23338" t="inlineStr">
        <is>
          <t>x̄x̄MMMCCCXXXVII</t>
        </is>
      </c>
      <c r="C23338">
        <f>ROMAN(23337)</f>
        <v/>
      </c>
      <c r="D23338">
        <f>IF(B23338=C23338, "YES", "WRONG")</f>
        <v/>
      </c>
    </row>
    <row r="23339">
      <c r="A23339" t="n">
        <v>23338</v>
      </c>
      <c r="B23339" t="inlineStr">
        <is>
          <t>x̄x̄MMMCCCXXXVIII</t>
        </is>
      </c>
      <c r="C23339">
        <f>ROMAN(23338)</f>
        <v/>
      </c>
      <c r="D23339">
        <f>IF(B23339=C23339, "YES", "WRONG")</f>
        <v/>
      </c>
    </row>
    <row r="23340">
      <c r="A23340" t="n">
        <v>23339</v>
      </c>
      <c r="B23340" t="inlineStr">
        <is>
          <t>x̄x̄MMMCCCXXXIX</t>
        </is>
      </c>
      <c r="C23340">
        <f>ROMAN(23339)</f>
        <v/>
      </c>
      <c r="D23340">
        <f>IF(B23340=C23340, "YES", "WRONG")</f>
        <v/>
      </c>
    </row>
    <row r="23341">
      <c r="A23341" t="n">
        <v>23340</v>
      </c>
      <c r="B23341" t="inlineStr">
        <is>
          <t>x̄x̄MMMCCCXL</t>
        </is>
      </c>
      <c r="C23341">
        <f>ROMAN(23340)</f>
        <v/>
      </c>
      <c r="D23341">
        <f>IF(B23341=C23341, "YES", "WRONG")</f>
        <v/>
      </c>
    </row>
    <row r="23342">
      <c r="A23342" t="n">
        <v>23341</v>
      </c>
      <c r="B23342" t="inlineStr">
        <is>
          <t>x̄x̄MMMCCCXLI</t>
        </is>
      </c>
      <c r="C23342">
        <f>ROMAN(23341)</f>
        <v/>
      </c>
      <c r="D23342">
        <f>IF(B23342=C23342, "YES", "WRONG")</f>
        <v/>
      </c>
    </row>
    <row r="23343">
      <c r="A23343" t="n">
        <v>23342</v>
      </c>
      <c r="B23343" t="inlineStr">
        <is>
          <t>x̄x̄MMMCCCXLII</t>
        </is>
      </c>
      <c r="C23343">
        <f>ROMAN(23342)</f>
        <v/>
      </c>
      <c r="D23343">
        <f>IF(B23343=C23343, "YES", "WRONG")</f>
        <v/>
      </c>
    </row>
    <row r="23344">
      <c r="A23344" t="n">
        <v>23343</v>
      </c>
      <c r="B23344" t="inlineStr">
        <is>
          <t>x̄x̄MMMCCCXLIII</t>
        </is>
      </c>
      <c r="C23344">
        <f>ROMAN(23343)</f>
        <v/>
      </c>
      <c r="D23344">
        <f>IF(B23344=C23344, "YES", "WRONG")</f>
        <v/>
      </c>
    </row>
    <row r="23345">
      <c r="A23345" t="n">
        <v>23344</v>
      </c>
      <c r="B23345" t="inlineStr">
        <is>
          <t>x̄x̄MMMCCCXLIV</t>
        </is>
      </c>
      <c r="C23345">
        <f>ROMAN(23344)</f>
        <v/>
      </c>
      <c r="D23345">
        <f>IF(B23345=C23345, "YES", "WRONG")</f>
        <v/>
      </c>
    </row>
    <row r="23346">
      <c r="A23346" t="n">
        <v>23345</v>
      </c>
      <c r="B23346" t="inlineStr">
        <is>
          <t>x̄x̄MMMCCCXLV</t>
        </is>
      </c>
      <c r="C23346">
        <f>ROMAN(23345)</f>
        <v/>
      </c>
      <c r="D23346">
        <f>IF(B23346=C23346, "YES", "WRONG")</f>
        <v/>
      </c>
    </row>
    <row r="23347">
      <c r="A23347" t="n">
        <v>23346</v>
      </c>
      <c r="B23347" t="inlineStr">
        <is>
          <t>x̄x̄MMMCCCXLVI</t>
        </is>
      </c>
      <c r="C23347">
        <f>ROMAN(23346)</f>
        <v/>
      </c>
      <c r="D23347">
        <f>IF(B23347=C23347, "YES", "WRONG")</f>
        <v/>
      </c>
    </row>
    <row r="23348">
      <c r="A23348" t="n">
        <v>23347</v>
      </c>
      <c r="B23348" t="inlineStr">
        <is>
          <t>x̄x̄MMMCCCXLVII</t>
        </is>
      </c>
      <c r="C23348">
        <f>ROMAN(23347)</f>
        <v/>
      </c>
      <c r="D23348">
        <f>IF(B23348=C23348, "YES", "WRONG")</f>
        <v/>
      </c>
    </row>
    <row r="23349">
      <c r="A23349" t="n">
        <v>23348</v>
      </c>
      <c r="B23349" t="inlineStr">
        <is>
          <t>x̄x̄MMMCCCXLVIII</t>
        </is>
      </c>
      <c r="C23349">
        <f>ROMAN(23348)</f>
        <v/>
      </c>
      <c r="D23349">
        <f>IF(B23349=C23349, "YES", "WRONG")</f>
        <v/>
      </c>
    </row>
    <row r="23350">
      <c r="A23350" t="n">
        <v>23349</v>
      </c>
      <c r="B23350" t="inlineStr">
        <is>
          <t>x̄x̄MMMCCCXLIX</t>
        </is>
      </c>
      <c r="C23350">
        <f>ROMAN(23349)</f>
        <v/>
      </c>
      <c r="D23350">
        <f>IF(B23350=C23350, "YES", "WRONG")</f>
        <v/>
      </c>
    </row>
    <row r="23351">
      <c r="A23351" t="n">
        <v>23350</v>
      </c>
      <c r="B23351" t="inlineStr">
        <is>
          <t>x̄x̄MMMCCCL</t>
        </is>
      </c>
      <c r="C23351">
        <f>ROMAN(23350)</f>
        <v/>
      </c>
      <c r="D23351">
        <f>IF(B23351=C23351, "YES", "WRONG")</f>
        <v/>
      </c>
    </row>
    <row r="23352">
      <c r="A23352" t="n">
        <v>23351</v>
      </c>
      <c r="B23352" t="inlineStr">
        <is>
          <t>x̄x̄MMMCCCLI</t>
        </is>
      </c>
      <c r="C23352">
        <f>ROMAN(23351)</f>
        <v/>
      </c>
      <c r="D23352">
        <f>IF(B23352=C23352, "YES", "WRONG")</f>
        <v/>
      </c>
    </row>
    <row r="23353">
      <c r="A23353" t="n">
        <v>23352</v>
      </c>
      <c r="B23353" t="inlineStr">
        <is>
          <t>x̄x̄MMMCCCLII</t>
        </is>
      </c>
      <c r="C23353">
        <f>ROMAN(23352)</f>
        <v/>
      </c>
      <c r="D23353">
        <f>IF(B23353=C23353, "YES", "WRONG")</f>
        <v/>
      </c>
    </row>
    <row r="23354">
      <c r="A23354" t="n">
        <v>23353</v>
      </c>
      <c r="B23354" t="inlineStr">
        <is>
          <t>x̄x̄MMMCCCLIII</t>
        </is>
      </c>
      <c r="C23354">
        <f>ROMAN(23353)</f>
        <v/>
      </c>
      <c r="D23354">
        <f>IF(B23354=C23354, "YES", "WRONG")</f>
        <v/>
      </c>
    </row>
    <row r="23355">
      <c r="A23355" t="n">
        <v>23354</v>
      </c>
      <c r="B23355" t="inlineStr">
        <is>
          <t>x̄x̄MMMCCCLIV</t>
        </is>
      </c>
      <c r="C23355">
        <f>ROMAN(23354)</f>
        <v/>
      </c>
      <c r="D23355">
        <f>IF(B23355=C23355, "YES", "WRONG")</f>
        <v/>
      </c>
    </row>
    <row r="23356">
      <c r="A23356" t="n">
        <v>23355</v>
      </c>
      <c r="B23356" t="inlineStr">
        <is>
          <t>x̄x̄MMMCCCLV</t>
        </is>
      </c>
      <c r="C23356">
        <f>ROMAN(23355)</f>
        <v/>
      </c>
      <c r="D23356">
        <f>IF(B23356=C23356, "YES", "WRONG")</f>
        <v/>
      </c>
    </row>
    <row r="23357">
      <c r="A23357" t="n">
        <v>23356</v>
      </c>
      <c r="B23357" t="inlineStr">
        <is>
          <t>x̄x̄MMMCCCLVI</t>
        </is>
      </c>
      <c r="C23357">
        <f>ROMAN(23356)</f>
        <v/>
      </c>
      <c r="D23357">
        <f>IF(B23357=C23357, "YES", "WRONG")</f>
        <v/>
      </c>
    </row>
    <row r="23358">
      <c r="A23358" t="n">
        <v>23357</v>
      </c>
      <c r="B23358" t="inlineStr">
        <is>
          <t>x̄x̄MMMCCCLVII</t>
        </is>
      </c>
      <c r="C23358">
        <f>ROMAN(23357)</f>
        <v/>
      </c>
      <c r="D23358">
        <f>IF(B23358=C23358, "YES", "WRONG")</f>
        <v/>
      </c>
    </row>
    <row r="23359">
      <c r="A23359" t="n">
        <v>23358</v>
      </c>
      <c r="B23359" t="inlineStr">
        <is>
          <t>x̄x̄MMMCCCLVIII</t>
        </is>
      </c>
      <c r="C23359">
        <f>ROMAN(23358)</f>
        <v/>
      </c>
      <c r="D23359">
        <f>IF(B23359=C23359, "YES", "WRONG")</f>
        <v/>
      </c>
    </row>
    <row r="23360">
      <c r="A23360" t="n">
        <v>23359</v>
      </c>
      <c r="B23360" t="inlineStr">
        <is>
          <t>x̄x̄MMMCCCLIX</t>
        </is>
      </c>
      <c r="C23360">
        <f>ROMAN(23359)</f>
        <v/>
      </c>
      <c r="D23360">
        <f>IF(B23360=C23360, "YES", "WRONG")</f>
        <v/>
      </c>
    </row>
    <row r="23361">
      <c r="A23361" t="n">
        <v>23360</v>
      </c>
      <c r="B23361" t="inlineStr">
        <is>
          <t>x̄x̄MMMCCCLX</t>
        </is>
      </c>
      <c r="C23361">
        <f>ROMAN(23360)</f>
        <v/>
      </c>
      <c r="D23361">
        <f>IF(B23361=C23361, "YES", "WRONG")</f>
        <v/>
      </c>
    </row>
    <row r="23362">
      <c r="A23362" t="n">
        <v>23361</v>
      </c>
      <c r="B23362" t="inlineStr">
        <is>
          <t>x̄x̄MMMCCCLXI</t>
        </is>
      </c>
      <c r="C23362">
        <f>ROMAN(23361)</f>
        <v/>
      </c>
      <c r="D23362">
        <f>IF(B23362=C23362, "YES", "WRONG")</f>
        <v/>
      </c>
    </row>
    <row r="23363">
      <c r="A23363" t="n">
        <v>23362</v>
      </c>
      <c r="B23363" t="inlineStr">
        <is>
          <t>x̄x̄MMMCCCLXII</t>
        </is>
      </c>
      <c r="C23363">
        <f>ROMAN(23362)</f>
        <v/>
      </c>
      <c r="D23363">
        <f>IF(B23363=C23363, "YES", "WRONG")</f>
        <v/>
      </c>
    </row>
    <row r="23364">
      <c r="A23364" t="n">
        <v>23363</v>
      </c>
      <c r="B23364" t="inlineStr">
        <is>
          <t>x̄x̄MMMCCCLXIII</t>
        </is>
      </c>
      <c r="C23364">
        <f>ROMAN(23363)</f>
        <v/>
      </c>
      <c r="D23364">
        <f>IF(B23364=C23364, "YES", "WRONG")</f>
        <v/>
      </c>
    </row>
    <row r="23365">
      <c r="A23365" t="n">
        <v>23364</v>
      </c>
      <c r="B23365" t="inlineStr">
        <is>
          <t>x̄x̄MMMCCCLXIV</t>
        </is>
      </c>
      <c r="C23365">
        <f>ROMAN(23364)</f>
        <v/>
      </c>
      <c r="D23365">
        <f>IF(B23365=C23365, "YES", "WRONG")</f>
        <v/>
      </c>
    </row>
    <row r="23366">
      <c r="A23366" t="n">
        <v>23365</v>
      </c>
      <c r="B23366" t="inlineStr">
        <is>
          <t>x̄x̄MMMCCCLXV</t>
        </is>
      </c>
      <c r="C23366">
        <f>ROMAN(23365)</f>
        <v/>
      </c>
      <c r="D23366">
        <f>IF(B23366=C23366, "YES", "WRONG")</f>
        <v/>
      </c>
    </row>
    <row r="23367">
      <c r="A23367" t="n">
        <v>23366</v>
      </c>
      <c r="B23367" t="inlineStr">
        <is>
          <t>x̄x̄MMMCCCLXVI</t>
        </is>
      </c>
      <c r="C23367">
        <f>ROMAN(23366)</f>
        <v/>
      </c>
      <c r="D23367">
        <f>IF(B23367=C23367, "YES", "WRONG")</f>
        <v/>
      </c>
    </row>
    <row r="23368">
      <c r="A23368" t="n">
        <v>23367</v>
      </c>
      <c r="B23368" t="inlineStr">
        <is>
          <t>x̄x̄MMMCCCLXVII</t>
        </is>
      </c>
      <c r="C23368">
        <f>ROMAN(23367)</f>
        <v/>
      </c>
      <c r="D23368">
        <f>IF(B23368=C23368, "YES", "WRONG")</f>
        <v/>
      </c>
    </row>
    <row r="23369">
      <c r="A23369" t="n">
        <v>23368</v>
      </c>
      <c r="B23369" t="inlineStr">
        <is>
          <t>x̄x̄MMMCCCLXVIII</t>
        </is>
      </c>
      <c r="C23369">
        <f>ROMAN(23368)</f>
        <v/>
      </c>
      <c r="D23369">
        <f>IF(B23369=C23369, "YES", "WRONG")</f>
        <v/>
      </c>
    </row>
    <row r="23370">
      <c r="A23370" t="n">
        <v>23369</v>
      </c>
      <c r="B23370" t="inlineStr">
        <is>
          <t>x̄x̄MMMCCCLXIX</t>
        </is>
      </c>
      <c r="C23370">
        <f>ROMAN(23369)</f>
        <v/>
      </c>
      <c r="D23370">
        <f>IF(B23370=C23370, "YES", "WRONG")</f>
        <v/>
      </c>
    </row>
    <row r="23371">
      <c r="A23371" t="n">
        <v>23370</v>
      </c>
      <c r="B23371" t="inlineStr">
        <is>
          <t>x̄x̄MMMCCCLXX</t>
        </is>
      </c>
      <c r="C23371">
        <f>ROMAN(23370)</f>
        <v/>
      </c>
      <c r="D23371">
        <f>IF(B23371=C23371, "YES", "WRONG")</f>
        <v/>
      </c>
    </row>
    <row r="23372">
      <c r="A23372" t="n">
        <v>23371</v>
      </c>
      <c r="B23372" t="inlineStr">
        <is>
          <t>x̄x̄MMMCCCLXXI</t>
        </is>
      </c>
      <c r="C23372">
        <f>ROMAN(23371)</f>
        <v/>
      </c>
      <c r="D23372">
        <f>IF(B23372=C23372, "YES", "WRONG")</f>
        <v/>
      </c>
    </row>
    <row r="23373">
      <c r="A23373" t="n">
        <v>23372</v>
      </c>
      <c r="B23373" t="inlineStr">
        <is>
          <t>x̄x̄MMMCCCLXXII</t>
        </is>
      </c>
      <c r="C23373">
        <f>ROMAN(23372)</f>
        <v/>
      </c>
      <c r="D23373">
        <f>IF(B23373=C23373, "YES", "WRONG")</f>
        <v/>
      </c>
    </row>
    <row r="23374">
      <c r="A23374" t="n">
        <v>23373</v>
      </c>
      <c r="B23374" t="inlineStr">
        <is>
          <t>x̄x̄MMMCCCLXXIII</t>
        </is>
      </c>
      <c r="C23374">
        <f>ROMAN(23373)</f>
        <v/>
      </c>
      <c r="D23374">
        <f>IF(B23374=C23374, "YES", "WRONG")</f>
        <v/>
      </c>
    </row>
    <row r="23375">
      <c r="A23375" t="n">
        <v>23374</v>
      </c>
      <c r="B23375" t="inlineStr">
        <is>
          <t>x̄x̄MMMCCCLXXIV</t>
        </is>
      </c>
      <c r="C23375">
        <f>ROMAN(23374)</f>
        <v/>
      </c>
      <c r="D23375">
        <f>IF(B23375=C23375, "YES", "WRONG")</f>
        <v/>
      </c>
    </row>
    <row r="23376">
      <c r="A23376" t="n">
        <v>23375</v>
      </c>
      <c r="B23376" t="inlineStr">
        <is>
          <t>x̄x̄MMMCCCLXXV</t>
        </is>
      </c>
      <c r="C23376">
        <f>ROMAN(23375)</f>
        <v/>
      </c>
      <c r="D23376">
        <f>IF(B23376=C23376, "YES", "WRONG")</f>
        <v/>
      </c>
    </row>
    <row r="23377">
      <c r="A23377" t="n">
        <v>23376</v>
      </c>
      <c r="B23377" t="inlineStr">
        <is>
          <t>x̄x̄MMMCCCLXXVI</t>
        </is>
      </c>
      <c r="C23377">
        <f>ROMAN(23376)</f>
        <v/>
      </c>
      <c r="D23377">
        <f>IF(B23377=C23377, "YES", "WRONG")</f>
        <v/>
      </c>
    </row>
    <row r="23378">
      <c r="A23378" t="n">
        <v>23377</v>
      </c>
      <c r="B23378" t="inlineStr">
        <is>
          <t>x̄x̄MMMCCCLXXVII</t>
        </is>
      </c>
      <c r="C23378">
        <f>ROMAN(23377)</f>
        <v/>
      </c>
      <c r="D23378">
        <f>IF(B23378=C23378, "YES", "WRONG")</f>
        <v/>
      </c>
    </row>
    <row r="23379">
      <c r="A23379" t="n">
        <v>23378</v>
      </c>
      <c r="B23379" t="inlineStr">
        <is>
          <t>x̄x̄MMMCCCLXXVIII</t>
        </is>
      </c>
      <c r="C23379">
        <f>ROMAN(23378)</f>
        <v/>
      </c>
      <c r="D23379">
        <f>IF(B23379=C23379, "YES", "WRONG")</f>
        <v/>
      </c>
    </row>
    <row r="23380">
      <c r="A23380" t="n">
        <v>23379</v>
      </c>
      <c r="B23380" t="inlineStr">
        <is>
          <t>x̄x̄MMMCCCLXXIX</t>
        </is>
      </c>
      <c r="C23380">
        <f>ROMAN(23379)</f>
        <v/>
      </c>
      <c r="D23380">
        <f>IF(B23380=C23380, "YES", "WRONG")</f>
        <v/>
      </c>
    </row>
    <row r="23381">
      <c r="A23381" t="n">
        <v>23380</v>
      </c>
      <c r="B23381" t="inlineStr">
        <is>
          <t>x̄x̄MMMCCCLXXX</t>
        </is>
      </c>
      <c r="C23381">
        <f>ROMAN(23380)</f>
        <v/>
      </c>
      <c r="D23381">
        <f>IF(B23381=C23381, "YES", "WRONG")</f>
        <v/>
      </c>
    </row>
    <row r="23382">
      <c r="A23382" t="n">
        <v>23381</v>
      </c>
      <c r="B23382" t="inlineStr">
        <is>
          <t>x̄x̄MMMCCCLXXXI</t>
        </is>
      </c>
      <c r="C23382">
        <f>ROMAN(23381)</f>
        <v/>
      </c>
      <c r="D23382">
        <f>IF(B23382=C23382, "YES", "WRONG")</f>
        <v/>
      </c>
    </row>
    <row r="23383">
      <c r="A23383" t="n">
        <v>23382</v>
      </c>
      <c r="B23383" t="inlineStr">
        <is>
          <t>x̄x̄MMMCCCLXXXII</t>
        </is>
      </c>
      <c r="C23383">
        <f>ROMAN(23382)</f>
        <v/>
      </c>
      <c r="D23383">
        <f>IF(B23383=C23383, "YES", "WRONG")</f>
        <v/>
      </c>
    </row>
    <row r="23384">
      <c r="A23384" t="n">
        <v>23383</v>
      </c>
      <c r="B23384" t="inlineStr">
        <is>
          <t>x̄x̄MMMCCCLXXXIII</t>
        </is>
      </c>
      <c r="C23384">
        <f>ROMAN(23383)</f>
        <v/>
      </c>
      <c r="D23384">
        <f>IF(B23384=C23384, "YES", "WRONG")</f>
        <v/>
      </c>
    </row>
    <row r="23385">
      <c r="A23385" t="n">
        <v>23384</v>
      </c>
      <c r="B23385" t="inlineStr">
        <is>
          <t>x̄x̄MMMCCCLXXXIV</t>
        </is>
      </c>
      <c r="C23385">
        <f>ROMAN(23384)</f>
        <v/>
      </c>
      <c r="D23385">
        <f>IF(B23385=C23385, "YES", "WRONG")</f>
        <v/>
      </c>
    </row>
    <row r="23386">
      <c r="A23386" t="n">
        <v>23385</v>
      </c>
      <c r="B23386" t="inlineStr">
        <is>
          <t>x̄x̄MMMCCCLXXXV</t>
        </is>
      </c>
      <c r="C23386">
        <f>ROMAN(23385)</f>
        <v/>
      </c>
      <c r="D23386">
        <f>IF(B23386=C23386, "YES", "WRONG")</f>
        <v/>
      </c>
    </row>
    <row r="23387">
      <c r="A23387" t="n">
        <v>23386</v>
      </c>
      <c r="B23387" t="inlineStr">
        <is>
          <t>x̄x̄MMMCCCLXXXVI</t>
        </is>
      </c>
      <c r="C23387">
        <f>ROMAN(23386)</f>
        <v/>
      </c>
      <c r="D23387">
        <f>IF(B23387=C23387, "YES", "WRONG")</f>
        <v/>
      </c>
    </row>
    <row r="23388">
      <c r="A23388" t="n">
        <v>23387</v>
      </c>
      <c r="B23388" t="inlineStr">
        <is>
          <t>x̄x̄MMMCCCLXXXVII</t>
        </is>
      </c>
      <c r="C23388">
        <f>ROMAN(23387)</f>
        <v/>
      </c>
      <c r="D23388">
        <f>IF(B23388=C23388, "YES", "WRONG")</f>
        <v/>
      </c>
    </row>
    <row r="23389">
      <c r="A23389" t="n">
        <v>23388</v>
      </c>
      <c r="B23389" t="inlineStr">
        <is>
          <t>x̄x̄MMMCCCLXXXVIII</t>
        </is>
      </c>
      <c r="C23389">
        <f>ROMAN(23388)</f>
        <v/>
      </c>
      <c r="D23389">
        <f>IF(B23389=C23389, "YES", "WRONG")</f>
        <v/>
      </c>
    </row>
    <row r="23390">
      <c r="A23390" t="n">
        <v>23389</v>
      </c>
      <c r="B23390" t="inlineStr">
        <is>
          <t>x̄x̄MMMCCCLXXXIX</t>
        </is>
      </c>
      <c r="C23390">
        <f>ROMAN(23389)</f>
        <v/>
      </c>
      <c r="D23390">
        <f>IF(B23390=C23390, "YES", "WRONG")</f>
        <v/>
      </c>
    </row>
    <row r="23391">
      <c r="A23391" t="n">
        <v>23390</v>
      </c>
      <c r="B23391" t="inlineStr">
        <is>
          <t>x̄x̄MMMCCCXC</t>
        </is>
      </c>
      <c r="C23391">
        <f>ROMAN(23390)</f>
        <v/>
      </c>
      <c r="D23391">
        <f>IF(B23391=C23391, "YES", "WRONG")</f>
        <v/>
      </c>
    </row>
    <row r="23392">
      <c r="A23392" t="n">
        <v>23391</v>
      </c>
      <c r="B23392" t="inlineStr">
        <is>
          <t>x̄x̄MMMCCCXCI</t>
        </is>
      </c>
      <c r="C23392">
        <f>ROMAN(23391)</f>
        <v/>
      </c>
      <c r="D23392">
        <f>IF(B23392=C23392, "YES", "WRONG")</f>
        <v/>
      </c>
    </row>
    <row r="23393">
      <c r="A23393" t="n">
        <v>23392</v>
      </c>
      <c r="B23393" t="inlineStr">
        <is>
          <t>x̄x̄MMMCCCXCII</t>
        </is>
      </c>
      <c r="C23393">
        <f>ROMAN(23392)</f>
        <v/>
      </c>
      <c r="D23393">
        <f>IF(B23393=C23393, "YES", "WRONG")</f>
        <v/>
      </c>
    </row>
    <row r="23394">
      <c r="A23394" t="n">
        <v>23393</v>
      </c>
      <c r="B23394" t="inlineStr">
        <is>
          <t>x̄x̄MMMCCCXCIII</t>
        </is>
      </c>
      <c r="C23394">
        <f>ROMAN(23393)</f>
        <v/>
      </c>
      <c r="D23394">
        <f>IF(B23394=C23394, "YES", "WRONG")</f>
        <v/>
      </c>
    </row>
    <row r="23395">
      <c r="A23395" t="n">
        <v>23394</v>
      </c>
      <c r="B23395" t="inlineStr">
        <is>
          <t>x̄x̄MMMCCCXCIV</t>
        </is>
      </c>
      <c r="C23395">
        <f>ROMAN(23394)</f>
        <v/>
      </c>
      <c r="D23395">
        <f>IF(B23395=C23395, "YES", "WRONG")</f>
        <v/>
      </c>
    </row>
    <row r="23396">
      <c r="A23396" t="n">
        <v>23395</v>
      </c>
      <c r="B23396" t="inlineStr">
        <is>
          <t>x̄x̄MMMCCCXCV</t>
        </is>
      </c>
      <c r="C23396">
        <f>ROMAN(23395)</f>
        <v/>
      </c>
      <c r="D23396">
        <f>IF(B23396=C23396, "YES", "WRONG")</f>
        <v/>
      </c>
    </row>
    <row r="23397">
      <c r="A23397" t="n">
        <v>23396</v>
      </c>
      <c r="B23397" t="inlineStr">
        <is>
          <t>x̄x̄MMMCCCXCVI</t>
        </is>
      </c>
      <c r="C23397">
        <f>ROMAN(23396)</f>
        <v/>
      </c>
      <c r="D23397">
        <f>IF(B23397=C23397, "YES", "WRONG")</f>
        <v/>
      </c>
    </row>
    <row r="23398">
      <c r="A23398" t="n">
        <v>23397</v>
      </c>
      <c r="B23398" t="inlineStr">
        <is>
          <t>x̄x̄MMMCCCXCVII</t>
        </is>
      </c>
      <c r="C23398">
        <f>ROMAN(23397)</f>
        <v/>
      </c>
      <c r="D23398">
        <f>IF(B23398=C23398, "YES", "WRONG")</f>
        <v/>
      </c>
    </row>
    <row r="23399">
      <c r="A23399" t="n">
        <v>23398</v>
      </c>
      <c r="B23399" t="inlineStr">
        <is>
          <t>x̄x̄MMMCCCXCVIII</t>
        </is>
      </c>
      <c r="C23399">
        <f>ROMAN(23398)</f>
        <v/>
      </c>
      <c r="D23399">
        <f>IF(B23399=C23399, "YES", "WRONG")</f>
        <v/>
      </c>
    </row>
    <row r="23400">
      <c r="A23400" t="n">
        <v>23399</v>
      </c>
      <c r="B23400" t="inlineStr">
        <is>
          <t>x̄x̄MMMCCCXCIX</t>
        </is>
      </c>
      <c r="C23400">
        <f>ROMAN(23399)</f>
        <v/>
      </c>
      <c r="D23400">
        <f>IF(B23400=C23400, "YES", "WRONG")</f>
        <v/>
      </c>
    </row>
    <row r="23401">
      <c r="A23401" t="n">
        <v>23400</v>
      </c>
      <c r="B23401" t="inlineStr">
        <is>
          <t>x̄x̄MMMCD</t>
        </is>
      </c>
      <c r="C23401">
        <f>ROMAN(23400)</f>
        <v/>
      </c>
      <c r="D23401">
        <f>IF(B23401=C23401, "YES", "WRONG")</f>
        <v/>
      </c>
    </row>
    <row r="23402">
      <c r="A23402" t="n">
        <v>23401</v>
      </c>
      <c r="B23402" t="inlineStr">
        <is>
          <t>x̄x̄MMMCDI</t>
        </is>
      </c>
      <c r="C23402">
        <f>ROMAN(23401)</f>
        <v/>
      </c>
      <c r="D23402">
        <f>IF(B23402=C23402, "YES", "WRONG")</f>
        <v/>
      </c>
    </row>
    <row r="23403">
      <c r="A23403" t="n">
        <v>23402</v>
      </c>
      <c r="B23403" t="inlineStr">
        <is>
          <t>x̄x̄MMMCDII</t>
        </is>
      </c>
      <c r="C23403">
        <f>ROMAN(23402)</f>
        <v/>
      </c>
      <c r="D23403">
        <f>IF(B23403=C23403, "YES", "WRONG")</f>
        <v/>
      </c>
    </row>
    <row r="23404">
      <c r="A23404" t="n">
        <v>23403</v>
      </c>
      <c r="B23404" t="inlineStr">
        <is>
          <t>x̄x̄MMMCDIII</t>
        </is>
      </c>
      <c r="C23404">
        <f>ROMAN(23403)</f>
        <v/>
      </c>
      <c r="D23404">
        <f>IF(B23404=C23404, "YES", "WRONG")</f>
        <v/>
      </c>
    </row>
    <row r="23405">
      <c r="A23405" t="n">
        <v>23404</v>
      </c>
      <c r="B23405" t="inlineStr">
        <is>
          <t>x̄x̄MMMCDIV</t>
        </is>
      </c>
      <c r="C23405">
        <f>ROMAN(23404)</f>
        <v/>
      </c>
      <c r="D23405">
        <f>IF(B23405=C23405, "YES", "WRONG")</f>
        <v/>
      </c>
    </row>
    <row r="23406">
      <c r="A23406" t="n">
        <v>23405</v>
      </c>
      <c r="B23406" t="inlineStr">
        <is>
          <t>x̄x̄MMMCDV</t>
        </is>
      </c>
      <c r="C23406">
        <f>ROMAN(23405)</f>
        <v/>
      </c>
      <c r="D23406">
        <f>IF(B23406=C23406, "YES", "WRONG")</f>
        <v/>
      </c>
    </row>
    <row r="23407">
      <c r="A23407" t="n">
        <v>23406</v>
      </c>
      <c r="B23407" t="inlineStr">
        <is>
          <t>x̄x̄MMMCDVI</t>
        </is>
      </c>
      <c r="C23407">
        <f>ROMAN(23406)</f>
        <v/>
      </c>
      <c r="D23407">
        <f>IF(B23407=C23407, "YES", "WRONG")</f>
        <v/>
      </c>
    </row>
    <row r="23408">
      <c r="A23408" t="n">
        <v>23407</v>
      </c>
      <c r="B23408" t="inlineStr">
        <is>
          <t>x̄x̄MMMCDVII</t>
        </is>
      </c>
      <c r="C23408">
        <f>ROMAN(23407)</f>
        <v/>
      </c>
      <c r="D23408">
        <f>IF(B23408=C23408, "YES", "WRONG")</f>
        <v/>
      </c>
    </row>
    <row r="23409">
      <c r="A23409" t="n">
        <v>23408</v>
      </c>
      <c r="B23409" t="inlineStr">
        <is>
          <t>x̄x̄MMMCDVIII</t>
        </is>
      </c>
      <c r="C23409">
        <f>ROMAN(23408)</f>
        <v/>
      </c>
      <c r="D23409">
        <f>IF(B23409=C23409, "YES", "WRONG")</f>
        <v/>
      </c>
    </row>
    <row r="23410">
      <c r="A23410" t="n">
        <v>23409</v>
      </c>
      <c r="B23410" t="inlineStr">
        <is>
          <t>x̄x̄MMMCDIX</t>
        </is>
      </c>
      <c r="C23410">
        <f>ROMAN(23409)</f>
        <v/>
      </c>
      <c r="D23410">
        <f>IF(B23410=C23410, "YES", "WRONG")</f>
        <v/>
      </c>
    </row>
    <row r="23411">
      <c r="A23411" t="n">
        <v>23410</v>
      </c>
      <c r="B23411" t="inlineStr">
        <is>
          <t>x̄x̄MMMCDX</t>
        </is>
      </c>
      <c r="C23411">
        <f>ROMAN(23410)</f>
        <v/>
      </c>
      <c r="D23411">
        <f>IF(B23411=C23411, "YES", "WRONG")</f>
        <v/>
      </c>
    </row>
    <row r="23412">
      <c r="A23412" t="n">
        <v>23411</v>
      </c>
      <c r="B23412" t="inlineStr">
        <is>
          <t>x̄x̄MMMCDXI</t>
        </is>
      </c>
      <c r="C23412">
        <f>ROMAN(23411)</f>
        <v/>
      </c>
      <c r="D23412">
        <f>IF(B23412=C23412, "YES", "WRONG")</f>
        <v/>
      </c>
    </row>
    <row r="23413">
      <c r="A23413" t="n">
        <v>23412</v>
      </c>
      <c r="B23413" t="inlineStr">
        <is>
          <t>x̄x̄MMMCDXII</t>
        </is>
      </c>
      <c r="C23413">
        <f>ROMAN(23412)</f>
        <v/>
      </c>
      <c r="D23413">
        <f>IF(B23413=C23413, "YES", "WRONG")</f>
        <v/>
      </c>
    </row>
    <row r="23414">
      <c r="A23414" t="n">
        <v>23413</v>
      </c>
      <c r="B23414" t="inlineStr">
        <is>
          <t>x̄x̄MMMCDXIII</t>
        </is>
      </c>
      <c r="C23414">
        <f>ROMAN(23413)</f>
        <v/>
      </c>
      <c r="D23414">
        <f>IF(B23414=C23414, "YES", "WRONG")</f>
        <v/>
      </c>
    </row>
    <row r="23415">
      <c r="A23415" t="n">
        <v>23414</v>
      </c>
      <c r="B23415" t="inlineStr">
        <is>
          <t>x̄x̄MMMCDXIV</t>
        </is>
      </c>
      <c r="C23415">
        <f>ROMAN(23414)</f>
        <v/>
      </c>
      <c r="D23415">
        <f>IF(B23415=C23415, "YES", "WRONG")</f>
        <v/>
      </c>
    </row>
    <row r="23416">
      <c r="A23416" t="n">
        <v>23415</v>
      </c>
      <c r="B23416" t="inlineStr">
        <is>
          <t>x̄x̄MMMCDXV</t>
        </is>
      </c>
      <c r="C23416">
        <f>ROMAN(23415)</f>
        <v/>
      </c>
      <c r="D23416">
        <f>IF(B23416=C23416, "YES", "WRONG")</f>
        <v/>
      </c>
    </row>
    <row r="23417">
      <c r="A23417" t="n">
        <v>23416</v>
      </c>
      <c r="B23417" t="inlineStr">
        <is>
          <t>x̄x̄MMMCDXVI</t>
        </is>
      </c>
      <c r="C23417">
        <f>ROMAN(23416)</f>
        <v/>
      </c>
      <c r="D23417">
        <f>IF(B23417=C23417, "YES", "WRONG")</f>
        <v/>
      </c>
    </row>
    <row r="23418">
      <c r="A23418" t="n">
        <v>23417</v>
      </c>
      <c r="B23418" t="inlineStr">
        <is>
          <t>x̄x̄MMMCDXVII</t>
        </is>
      </c>
      <c r="C23418">
        <f>ROMAN(23417)</f>
        <v/>
      </c>
      <c r="D23418">
        <f>IF(B23418=C23418, "YES", "WRONG")</f>
        <v/>
      </c>
    </row>
    <row r="23419">
      <c r="A23419" t="n">
        <v>23418</v>
      </c>
      <c r="B23419" t="inlineStr">
        <is>
          <t>x̄x̄MMMCDXVIII</t>
        </is>
      </c>
      <c r="C23419">
        <f>ROMAN(23418)</f>
        <v/>
      </c>
      <c r="D23419">
        <f>IF(B23419=C23419, "YES", "WRONG")</f>
        <v/>
      </c>
    </row>
    <row r="23420">
      <c r="A23420" t="n">
        <v>23419</v>
      </c>
      <c r="B23420" t="inlineStr">
        <is>
          <t>x̄x̄MMMCDXIX</t>
        </is>
      </c>
      <c r="C23420">
        <f>ROMAN(23419)</f>
        <v/>
      </c>
      <c r="D23420">
        <f>IF(B23420=C23420, "YES", "WRONG")</f>
        <v/>
      </c>
    </row>
    <row r="23421">
      <c r="A23421" t="n">
        <v>23420</v>
      </c>
      <c r="B23421" t="inlineStr">
        <is>
          <t>x̄x̄MMMCDXX</t>
        </is>
      </c>
      <c r="C23421">
        <f>ROMAN(23420)</f>
        <v/>
      </c>
      <c r="D23421">
        <f>IF(B23421=C23421, "YES", "WRONG")</f>
        <v/>
      </c>
    </row>
    <row r="23422">
      <c r="A23422" t="n">
        <v>23421</v>
      </c>
      <c r="B23422" t="inlineStr">
        <is>
          <t>x̄x̄MMMCDXXI</t>
        </is>
      </c>
      <c r="C23422">
        <f>ROMAN(23421)</f>
        <v/>
      </c>
      <c r="D23422">
        <f>IF(B23422=C23422, "YES", "WRONG")</f>
        <v/>
      </c>
    </row>
    <row r="23423">
      <c r="A23423" t="n">
        <v>23422</v>
      </c>
      <c r="B23423" t="inlineStr">
        <is>
          <t>x̄x̄MMMCDXXII</t>
        </is>
      </c>
      <c r="C23423">
        <f>ROMAN(23422)</f>
        <v/>
      </c>
      <c r="D23423">
        <f>IF(B23423=C23423, "YES", "WRONG")</f>
        <v/>
      </c>
    </row>
    <row r="23424">
      <c r="A23424" t="n">
        <v>23423</v>
      </c>
      <c r="B23424" t="inlineStr">
        <is>
          <t>x̄x̄MMMCDXXIII</t>
        </is>
      </c>
      <c r="C23424">
        <f>ROMAN(23423)</f>
        <v/>
      </c>
      <c r="D23424">
        <f>IF(B23424=C23424, "YES", "WRONG")</f>
        <v/>
      </c>
    </row>
    <row r="23425">
      <c r="A23425" t="n">
        <v>23424</v>
      </c>
      <c r="B23425" t="inlineStr">
        <is>
          <t>x̄x̄MMMCDXXIV</t>
        </is>
      </c>
      <c r="C23425">
        <f>ROMAN(23424)</f>
        <v/>
      </c>
      <c r="D23425">
        <f>IF(B23425=C23425, "YES", "WRONG")</f>
        <v/>
      </c>
    </row>
    <row r="23426">
      <c r="A23426" t="n">
        <v>23425</v>
      </c>
      <c r="B23426" t="inlineStr">
        <is>
          <t>x̄x̄MMMCDXXV</t>
        </is>
      </c>
      <c r="C23426">
        <f>ROMAN(23425)</f>
        <v/>
      </c>
      <c r="D23426">
        <f>IF(B23426=C23426, "YES", "WRONG")</f>
        <v/>
      </c>
    </row>
    <row r="23427">
      <c r="A23427" t="n">
        <v>23426</v>
      </c>
      <c r="B23427" t="inlineStr">
        <is>
          <t>x̄x̄MMMCDXXVI</t>
        </is>
      </c>
      <c r="C23427">
        <f>ROMAN(23426)</f>
        <v/>
      </c>
      <c r="D23427">
        <f>IF(B23427=C23427, "YES", "WRONG")</f>
        <v/>
      </c>
    </row>
    <row r="23428">
      <c r="A23428" t="n">
        <v>23427</v>
      </c>
      <c r="B23428" t="inlineStr">
        <is>
          <t>x̄x̄MMMCDXXVII</t>
        </is>
      </c>
      <c r="C23428">
        <f>ROMAN(23427)</f>
        <v/>
      </c>
      <c r="D23428">
        <f>IF(B23428=C23428, "YES", "WRONG")</f>
        <v/>
      </c>
    </row>
    <row r="23429">
      <c r="A23429" t="n">
        <v>23428</v>
      </c>
      <c r="B23429" t="inlineStr">
        <is>
          <t>x̄x̄MMMCDXXVIII</t>
        </is>
      </c>
      <c r="C23429">
        <f>ROMAN(23428)</f>
        <v/>
      </c>
      <c r="D23429">
        <f>IF(B23429=C23429, "YES", "WRONG")</f>
        <v/>
      </c>
    </row>
    <row r="23430">
      <c r="A23430" t="n">
        <v>23429</v>
      </c>
      <c r="B23430" t="inlineStr">
        <is>
          <t>x̄x̄MMMCDXXIX</t>
        </is>
      </c>
      <c r="C23430">
        <f>ROMAN(23429)</f>
        <v/>
      </c>
      <c r="D23430">
        <f>IF(B23430=C23430, "YES", "WRONG")</f>
        <v/>
      </c>
    </row>
    <row r="23431">
      <c r="A23431" t="n">
        <v>23430</v>
      </c>
      <c r="B23431" t="inlineStr">
        <is>
          <t>x̄x̄MMMCDXXX</t>
        </is>
      </c>
      <c r="C23431">
        <f>ROMAN(23430)</f>
        <v/>
      </c>
      <c r="D23431">
        <f>IF(B23431=C23431, "YES", "WRONG")</f>
        <v/>
      </c>
    </row>
    <row r="23432">
      <c r="A23432" t="n">
        <v>23431</v>
      </c>
      <c r="B23432" t="inlineStr">
        <is>
          <t>x̄x̄MMMCDXXXI</t>
        </is>
      </c>
      <c r="C23432">
        <f>ROMAN(23431)</f>
        <v/>
      </c>
      <c r="D23432">
        <f>IF(B23432=C23432, "YES", "WRONG")</f>
        <v/>
      </c>
    </row>
    <row r="23433">
      <c r="A23433" t="n">
        <v>23432</v>
      </c>
      <c r="B23433" t="inlineStr">
        <is>
          <t>x̄x̄MMMCDXXXII</t>
        </is>
      </c>
      <c r="C23433">
        <f>ROMAN(23432)</f>
        <v/>
      </c>
      <c r="D23433">
        <f>IF(B23433=C23433, "YES", "WRONG")</f>
        <v/>
      </c>
    </row>
    <row r="23434">
      <c r="A23434" t="n">
        <v>23433</v>
      </c>
      <c r="B23434" t="inlineStr">
        <is>
          <t>x̄x̄MMMCDXXXIII</t>
        </is>
      </c>
      <c r="C23434">
        <f>ROMAN(23433)</f>
        <v/>
      </c>
      <c r="D23434">
        <f>IF(B23434=C23434, "YES", "WRONG")</f>
        <v/>
      </c>
    </row>
    <row r="23435">
      <c r="A23435" t="n">
        <v>23434</v>
      </c>
      <c r="B23435" t="inlineStr">
        <is>
          <t>x̄x̄MMMCDXXXIV</t>
        </is>
      </c>
      <c r="C23435">
        <f>ROMAN(23434)</f>
        <v/>
      </c>
      <c r="D23435">
        <f>IF(B23435=C23435, "YES", "WRONG")</f>
        <v/>
      </c>
    </row>
    <row r="23436">
      <c r="A23436" t="n">
        <v>23435</v>
      </c>
      <c r="B23436" t="inlineStr">
        <is>
          <t>x̄x̄MMMCDXXXV</t>
        </is>
      </c>
      <c r="C23436">
        <f>ROMAN(23435)</f>
        <v/>
      </c>
      <c r="D23436">
        <f>IF(B23436=C23436, "YES", "WRONG")</f>
        <v/>
      </c>
    </row>
    <row r="23437">
      <c r="A23437" t="n">
        <v>23436</v>
      </c>
      <c r="B23437" t="inlineStr">
        <is>
          <t>x̄x̄MMMCDXXXVI</t>
        </is>
      </c>
      <c r="C23437">
        <f>ROMAN(23436)</f>
        <v/>
      </c>
      <c r="D23437">
        <f>IF(B23437=C23437, "YES", "WRONG")</f>
        <v/>
      </c>
    </row>
    <row r="23438">
      <c r="A23438" t="n">
        <v>23437</v>
      </c>
      <c r="B23438" t="inlineStr">
        <is>
          <t>x̄x̄MMMCDXXXVII</t>
        </is>
      </c>
      <c r="C23438">
        <f>ROMAN(23437)</f>
        <v/>
      </c>
      <c r="D23438">
        <f>IF(B23438=C23438, "YES", "WRONG")</f>
        <v/>
      </c>
    </row>
    <row r="23439">
      <c r="A23439" t="n">
        <v>23438</v>
      </c>
      <c r="B23439" t="inlineStr">
        <is>
          <t>x̄x̄MMMCDXXXVIII</t>
        </is>
      </c>
      <c r="C23439">
        <f>ROMAN(23438)</f>
        <v/>
      </c>
      <c r="D23439">
        <f>IF(B23439=C23439, "YES", "WRONG")</f>
        <v/>
      </c>
    </row>
    <row r="23440">
      <c r="A23440" t="n">
        <v>23439</v>
      </c>
      <c r="B23440" t="inlineStr">
        <is>
          <t>x̄x̄MMMCDXXXIX</t>
        </is>
      </c>
      <c r="C23440">
        <f>ROMAN(23439)</f>
        <v/>
      </c>
      <c r="D23440">
        <f>IF(B23440=C23440, "YES", "WRONG")</f>
        <v/>
      </c>
    </row>
    <row r="23441">
      <c r="A23441" t="n">
        <v>23440</v>
      </c>
      <c r="B23441" t="inlineStr">
        <is>
          <t>x̄x̄MMMCDXL</t>
        </is>
      </c>
      <c r="C23441">
        <f>ROMAN(23440)</f>
        <v/>
      </c>
      <c r="D23441">
        <f>IF(B23441=C23441, "YES", "WRONG")</f>
        <v/>
      </c>
    </row>
    <row r="23442">
      <c r="A23442" t="n">
        <v>23441</v>
      </c>
      <c r="B23442" t="inlineStr">
        <is>
          <t>x̄x̄MMMCDXLI</t>
        </is>
      </c>
      <c r="C23442">
        <f>ROMAN(23441)</f>
        <v/>
      </c>
      <c r="D23442">
        <f>IF(B23442=C23442, "YES", "WRONG")</f>
        <v/>
      </c>
    </row>
    <row r="23443">
      <c r="A23443" t="n">
        <v>23442</v>
      </c>
      <c r="B23443" t="inlineStr">
        <is>
          <t>x̄x̄MMMCDXLII</t>
        </is>
      </c>
      <c r="C23443">
        <f>ROMAN(23442)</f>
        <v/>
      </c>
      <c r="D23443">
        <f>IF(B23443=C23443, "YES", "WRONG")</f>
        <v/>
      </c>
    </row>
    <row r="23444">
      <c r="A23444" t="n">
        <v>23443</v>
      </c>
      <c r="B23444" t="inlineStr">
        <is>
          <t>x̄x̄MMMCDXLIII</t>
        </is>
      </c>
      <c r="C23444">
        <f>ROMAN(23443)</f>
        <v/>
      </c>
      <c r="D23444">
        <f>IF(B23444=C23444, "YES", "WRONG")</f>
        <v/>
      </c>
    </row>
    <row r="23445">
      <c r="A23445" t="n">
        <v>23444</v>
      </c>
      <c r="B23445" t="inlineStr">
        <is>
          <t>x̄x̄MMMCDXLIV</t>
        </is>
      </c>
      <c r="C23445">
        <f>ROMAN(23444)</f>
        <v/>
      </c>
      <c r="D23445">
        <f>IF(B23445=C23445, "YES", "WRONG")</f>
        <v/>
      </c>
    </row>
    <row r="23446">
      <c r="A23446" t="n">
        <v>23445</v>
      </c>
      <c r="B23446" t="inlineStr">
        <is>
          <t>x̄x̄MMMCDXLV</t>
        </is>
      </c>
      <c r="C23446">
        <f>ROMAN(23445)</f>
        <v/>
      </c>
      <c r="D23446">
        <f>IF(B23446=C23446, "YES", "WRONG")</f>
        <v/>
      </c>
    </row>
    <row r="23447">
      <c r="A23447" t="n">
        <v>23446</v>
      </c>
      <c r="B23447" t="inlineStr">
        <is>
          <t>x̄x̄MMMCDXLVI</t>
        </is>
      </c>
      <c r="C23447">
        <f>ROMAN(23446)</f>
        <v/>
      </c>
      <c r="D23447">
        <f>IF(B23447=C23447, "YES", "WRONG")</f>
        <v/>
      </c>
    </row>
    <row r="23448">
      <c r="A23448" t="n">
        <v>23447</v>
      </c>
      <c r="B23448" t="inlineStr">
        <is>
          <t>x̄x̄MMMCDXLVII</t>
        </is>
      </c>
      <c r="C23448">
        <f>ROMAN(23447)</f>
        <v/>
      </c>
      <c r="D23448">
        <f>IF(B23448=C23448, "YES", "WRONG")</f>
        <v/>
      </c>
    </row>
    <row r="23449">
      <c r="A23449" t="n">
        <v>23448</v>
      </c>
      <c r="B23449" t="inlineStr">
        <is>
          <t>x̄x̄MMMCDXLVIII</t>
        </is>
      </c>
      <c r="C23449">
        <f>ROMAN(23448)</f>
        <v/>
      </c>
      <c r="D23449">
        <f>IF(B23449=C23449, "YES", "WRONG")</f>
        <v/>
      </c>
    </row>
    <row r="23450">
      <c r="A23450" t="n">
        <v>23449</v>
      </c>
      <c r="B23450" t="inlineStr">
        <is>
          <t>x̄x̄MMMCDXLIX</t>
        </is>
      </c>
      <c r="C23450">
        <f>ROMAN(23449)</f>
        <v/>
      </c>
      <c r="D23450">
        <f>IF(B23450=C23450, "YES", "WRONG")</f>
        <v/>
      </c>
    </row>
    <row r="23451">
      <c r="A23451" t="n">
        <v>23450</v>
      </c>
      <c r="B23451" t="inlineStr">
        <is>
          <t>x̄x̄MMMCDL</t>
        </is>
      </c>
      <c r="C23451">
        <f>ROMAN(23450)</f>
        <v/>
      </c>
      <c r="D23451">
        <f>IF(B23451=C23451, "YES", "WRONG")</f>
        <v/>
      </c>
    </row>
    <row r="23452">
      <c r="A23452" t="n">
        <v>23451</v>
      </c>
      <c r="B23452" t="inlineStr">
        <is>
          <t>x̄x̄MMMCDLI</t>
        </is>
      </c>
      <c r="C23452">
        <f>ROMAN(23451)</f>
        <v/>
      </c>
      <c r="D23452">
        <f>IF(B23452=C23452, "YES", "WRONG")</f>
        <v/>
      </c>
    </row>
    <row r="23453">
      <c r="A23453" t="n">
        <v>23452</v>
      </c>
      <c r="B23453" t="inlineStr">
        <is>
          <t>x̄x̄MMMCDLII</t>
        </is>
      </c>
      <c r="C23453">
        <f>ROMAN(23452)</f>
        <v/>
      </c>
      <c r="D23453">
        <f>IF(B23453=C23453, "YES", "WRONG")</f>
        <v/>
      </c>
    </row>
    <row r="23454">
      <c r="A23454" t="n">
        <v>23453</v>
      </c>
      <c r="B23454" t="inlineStr">
        <is>
          <t>x̄x̄MMMCDLIII</t>
        </is>
      </c>
      <c r="C23454">
        <f>ROMAN(23453)</f>
        <v/>
      </c>
      <c r="D23454">
        <f>IF(B23454=C23454, "YES", "WRONG")</f>
        <v/>
      </c>
    </row>
    <row r="23455">
      <c r="A23455" t="n">
        <v>23454</v>
      </c>
      <c r="B23455" t="inlineStr">
        <is>
          <t>x̄x̄MMMCDLIV</t>
        </is>
      </c>
      <c r="C23455">
        <f>ROMAN(23454)</f>
        <v/>
      </c>
      <c r="D23455">
        <f>IF(B23455=C23455, "YES", "WRONG")</f>
        <v/>
      </c>
    </row>
    <row r="23456">
      <c r="A23456" t="n">
        <v>23455</v>
      </c>
      <c r="B23456" t="inlineStr">
        <is>
          <t>x̄x̄MMMCDLV</t>
        </is>
      </c>
      <c r="C23456">
        <f>ROMAN(23455)</f>
        <v/>
      </c>
      <c r="D23456">
        <f>IF(B23456=C23456, "YES", "WRONG")</f>
        <v/>
      </c>
    </row>
    <row r="23457">
      <c r="A23457" t="n">
        <v>23456</v>
      </c>
      <c r="B23457" t="inlineStr">
        <is>
          <t>x̄x̄MMMCDLVI</t>
        </is>
      </c>
      <c r="C23457">
        <f>ROMAN(23456)</f>
        <v/>
      </c>
      <c r="D23457">
        <f>IF(B23457=C23457, "YES", "WRONG")</f>
        <v/>
      </c>
    </row>
    <row r="23458">
      <c r="A23458" t="n">
        <v>23457</v>
      </c>
      <c r="B23458" t="inlineStr">
        <is>
          <t>x̄x̄MMMCDLVII</t>
        </is>
      </c>
      <c r="C23458">
        <f>ROMAN(23457)</f>
        <v/>
      </c>
      <c r="D23458">
        <f>IF(B23458=C23458, "YES", "WRONG")</f>
        <v/>
      </c>
    </row>
    <row r="23459">
      <c r="A23459" t="n">
        <v>23458</v>
      </c>
      <c r="B23459" t="inlineStr">
        <is>
          <t>x̄x̄MMMCDLVIII</t>
        </is>
      </c>
      <c r="C23459">
        <f>ROMAN(23458)</f>
        <v/>
      </c>
      <c r="D23459">
        <f>IF(B23459=C23459, "YES", "WRONG")</f>
        <v/>
      </c>
    </row>
    <row r="23460">
      <c r="A23460" t="n">
        <v>23459</v>
      </c>
      <c r="B23460" t="inlineStr">
        <is>
          <t>x̄x̄MMMCDLIX</t>
        </is>
      </c>
      <c r="C23460">
        <f>ROMAN(23459)</f>
        <v/>
      </c>
      <c r="D23460">
        <f>IF(B23460=C23460, "YES", "WRONG")</f>
        <v/>
      </c>
    </row>
    <row r="23461">
      <c r="A23461" t="n">
        <v>23460</v>
      </c>
      <c r="B23461" t="inlineStr">
        <is>
          <t>x̄x̄MMMCDLX</t>
        </is>
      </c>
      <c r="C23461">
        <f>ROMAN(23460)</f>
        <v/>
      </c>
      <c r="D23461">
        <f>IF(B23461=C23461, "YES", "WRONG")</f>
        <v/>
      </c>
    </row>
    <row r="23462">
      <c r="A23462" t="n">
        <v>23461</v>
      </c>
      <c r="B23462" t="inlineStr">
        <is>
          <t>x̄x̄MMMCDLXI</t>
        </is>
      </c>
      <c r="C23462">
        <f>ROMAN(23461)</f>
        <v/>
      </c>
      <c r="D23462">
        <f>IF(B23462=C23462, "YES", "WRONG")</f>
        <v/>
      </c>
    </row>
    <row r="23463">
      <c r="A23463" t="n">
        <v>23462</v>
      </c>
      <c r="B23463" t="inlineStr">
        <is>
          <t>x̄x̄MMMCDLXII</t>
        </is>
      </c>
      <c r="C23463">
        <f>ROMAN(23462)</f>
        <v/>
      </c>
      <c r="D23463">
        <f>IF(B23463=C23463, "YES", "WRONG")</f>
        <v/>
      </c>
    </row>
    <row r="23464">
      <c r="A23464" t="n">
        <v>23463</v>
      </c>
      <c r="B23464" t="inlineStr">
        <is>
          <t>x̄x̄MMMCDLXIII</t>
        </is>
      </c>
      <c r="C23464">
        <f>ROMAN(23463)</f>
        <v/>
      </c>
      <c r="D23464">
        <f>IF(B23464=C23464, "YES", "WRONG")</f>
        <v/>
      </c>
    </row>
    <row r="23465">
      <c r="A23465" t="n">
        <v>23464</v>
      </c>
      <c r="B23465" t="inlineStr">
        <is>
          <t>x̄x̄MMMCDLXIV</t>
        </is>
      </c>
      <c r="C23465">
        <f>ROMAN(23464)</f>
        <v/>
      </c>
      <c r="D23465">
        <f>IF(B23465=C23465, "YES", "WRONG")</f>
        <v/>
      </c>
    </row>
    <row r="23466">
      <c r="A23466" t="n">
        <v>23465</v>
      </c>
      <c r="B23466" t="inlineStr">
        <is>
          <t>x̄x̄MMMCDLXV</t>
        </is>
      </c>
      <c r="C23466">
        <f>ROMAN(23465)</f>
        <v/>
      </c>
      <c r="D23466">
        <f>IF(B23466=C23466, "YES", "WRONG")</f>
        <v/>
      </c>
    </row>
    <row r="23467">
      <c r="A23467" t="n">
        <v>23466</v>
      </c>
      <c r="B23467" t="inlineStr">
        <is>
          <t>x̄x̄MMMCDLXVI</t>
        </is>
      </c>
      <c r="C23467">
        <f>ROMAN(23466)</f>
        <v/>
      </c>
      <c r="D23467">
        <f>IF(B23467=C23467, "YES", "WRONG")</f>
        <v/>
      </c>
    </row>
    <row r="23468">
      <c r="A23468" t="n">
        <v>23467</v>
      </c>
      <c r="B23468" t="inlineStr">
        <is>
          <t>x̄x̄MMMCDLXVII</t>
        </is>
      </c>
      <c r="C23468">
        <f>ROMAN(23467)</f>
        <v/>
      </c>
      <c r="D23468">
        <f>IF(B23468=C23468, "YES", "WRONG")</f>
        <v/>
      </c>
    </row>
    <row r="23469">
      <c r="A23469" t="n">
        <v>23468</v>
      </c>
      <c r="B23469" t="inlineStr">
        <is>
          <t>x̄x̄MMMCDLXVIII</t>
        </is>
      </c>
      <c r="C23469">
        <f>ROMAN(23468)</f>
        <v/>
      </c>
      <c r="D23469">
        <f>IF(B23469=C23469, "YES", "WRONG")</f>
        <v/>
      </c>
    </row>
    <row r="23470">
      <c r="A23470" t="n">
        <v>23469</v>
      </c>
      <c r="B23470" t="inlineStr">
        <is>
          <t>x̄x̄MMMCDLXIX</t>
        </is>
      </c>
      <c r="C23470">
        <f>ROMAN(23469)</f>
        <v/>
      </c>
      <c r="D23470">
        <f>IF(B23470=C23470, "YES", "WRONG")</f>
        <v/>
      </c>
    </row>
    <row r="23471">
      <c r="A23471" t="n">
        <v>23470</v>
      </c>
      <c r="B23471" t="inlineStr">
        <is>
          <t>x̄x̄MMMCDLXX</t>
        </is>
      </c>
      <c r="C23471">
        <f>ROMAN(23470)</f>
        <v/>
      </c>
      <c r="D23471">
        <f>IF(B23471=C23471, "YES", "WRONG")</f>
        <v/>
      </c>
    </row>
    <row r="23472">
      <c r="A23472" t="n">
        <v>23471</v>
      </c>
      <c r="B23472" t="inlineStr">
        <is>
          <t>x̄x̄MMMCDLXXI</t>
        </is>
      </c>
      <c r="C23472">
        <f>ROMAN(23471)</f>
        <v/>
      </c>
      <c r="D23472">
        <f>IF(B23472=C23472, "YES", "WRONG")</f>
        <v/>
      </c>
    </row>
    <row r="23473">
      <c r="A23473" t="n">
        <v>23472</v>
      </c>
      <c r="B23473" t="inlineStr">
        <is>
          <t>x̄x̄MMMCDLXXII</t>
        </is>
      </c>
      <c r="C23473">
        <f>ROMAN(23472)</f>
        <v/>
      </c>
      <c r="D23473">
        <f>IF(B23473=C23473, "YES", "WRONG")</f>
        <v/>
      </c>
    </row>
    <row r="23474">
      <c r="A23474" t="n">
        <v>23473</v>
      </c>
      <c r="B23474" t="inlineStr">
        <is>
          <t>x̄x̄MMMCDLXXIII</t>
        </is>
      </c>
      <c r="C23474">
        <f>ROMAN(23473)</f>
        <v/>
      </c>
      <c r="D23474">
        <f>IF(B23474=C23474, "YES", "WRONG")</f>
        <v/>
      </c>
    </row>
    <row r="23475">
      <c r="A23475" t="n">
        <v>23474</v>
      </c>
      <c r="B23475" t="inlineStr">
        <is>
          <t>x̄x̄MMMCDLXXIV</t>
        </is>
      </c>
      <c r="C23475">
        <f>ROMAN(23474)</f>
        <v/>
      </c>
      <c r="D23475">
        <f>IF(B23475=C23475, "YES", "WRONG")</f>
        <v/>
      </c>
    </row>
    <row r="23476">
      <c r="A23476" t="n">
        <v>23475</v>
      </c>
      <c r="B23476" t="inlineStr">
        <is>
          <t>x̄x̄MMMCDLXXV</t>
        </is>
      </c>
      <c r="C23476">
        <f>ROMAN(23475)</f>
        <v/>
      </c>
      <c r="D23476">
        <f>IF(B23476=C23476, "YES", "WRONG")</f>
        <v/>
      </c>
    </row>
    <row r="23477">
      <c r="A23477" t="n">
        <v>23476</v>
      </c>
      <c r="B23477" t="inlineStr">
        <is>
          <t>x̄x̄MMMCDLXXVI</t>
        </is>
      </c>
      <c r="C23477">
        <f>ROMAN(23476)</f>
        <v/>
      </c>
      <c r="D23477">
        <f>IF(B23477=C23477, "YES", "WRONG")</f>
        <v/>
      </c>
    </row>
    <row r="23478">
      <c r="A23478" t="n">
        <v>23477</v>
      </c>
      <c r="B23478" t="inlineStr">
        <is>
          <t>x̄x̄MMMCDLXXVII</t>
        </is>
      </c>
      <c r="C23478">
        <f>ROMAN(23477)</f>
        <v/>
      </c>
      <c r="D23478">
        <f>IF(B23478=C23478, "YES", "WRONG")</f>
        <v/>
      </c>
    </row>
    <row r="23479">
      <c r="A23479" t="n">
        <v>23478</v>
      </c>
      <c r="B23479" t="inlineStr">
        <is>
          <t>x̄x̄MMMCDLXXVIII</t>
        </is>
      </c>
      <c r="C23479">
        <f>ROMAN(23478)</f>
        <v/>
      </c>
      <c r="D23479">
        <f>IF(B23479=C23479, "YES", "WRONG")</f>
        <v/>
      </c>
    </row>
    <row r="23480">
      <c r="A23480" t="n">
        <v>23479</v>
      </c>
      <c r="B23480" t="inlineStr">
        <is>
          <t>x̄x̄MMMCDLXXIX</t>
        </is>
      </c>
      <c r="C23480">
        <f>ROMAN(23479)</f>
        <v/>
      </c>
      <c r="D23480">
        <f>IF(B23480=C23480, "YES", "WRONG")</f>
        <v/>
      </c>
    </row>
    <row r="23481">
      <c r="A23481" t="n">
        <v>23480</v>
      </c>
      <c r="B23481" t="inlineStr">
        <is>
          <t>x̄x̄MMMCDLXXX</t>
        </is>
      </c>
      <c r="C23481">
        <f>ROMAN(23480)</f>
        <v/>
      </c>
      <c r="D23481">
        <f>IF(B23481=C23481, "YES", "WRONG")</f>
        <v/>
      </c>
    </row>
    <row r="23482">
      <c r="A23482" t="n">
        <v>23481</v>
      </c>
      <c r="B23482" t="inlineStr">
        <is>
          <t>x̄x̄MMMCDLXXXI</t>
        </is>
      </c>
      <c r="C23482">
        <f>ROMAN(23481)</f>
        <v/>
      </c>
      <c r="D23482">
        <f>IF(B23482=C23482, "YES", "WRONG")</f>
        <v/>
      </c>
    </row>
    <row r="23483">
      <c r="A23483" t="n">
        <v>23482</v>
      </c>
      <c r="B23483" t="inlineStr">
        <is>
          <t>x̄x̄MMMCDLXXXII</t>
        </is>
      </c>
      <c r="C23483">
        <f>ROMAN(23482)</f>
        <v/>
      </c>
      <c r="D23483">
        <f>IF(B23483=C23483, "YES", "WRONG")</f>
        <v/>
      </c>
    </row>
    <row r="23484">
      <c r="A23484" t="n">
        <v>23483</v>
      </c>
      <c r="B23484" t="inlineStr">
        <is>
          <t>x̄x̄MMMCDLXXXIII</t>
        </is>
      </c>
      <c r="C23484">
        <f>ROMAN(23483)</f>
        <v/>
      </c>
      <c r="D23484">
        <f>IF(B23484=C23484, "YES", "WRONG")</f>
        <v/>
      </c>
    </row>
    <row r="23485">
      <c r="A23485" t="n">
        <v>23484</v>
      </c>
      <c r="B23485" t="inlineStr">
        <is>
          <t>x̄x̄MMMCDLXXXIV</t>
        </is>
      </c>
      <c r="C23485">
        <f>ROMAN(23484)</f>
        <v/>
      </c>
      <c r="D23485">
        <f>IF(B23485=C23485, "YES", "WRONG")</f>
        <v/>
      </c>
    </row>
    <row r="23486">
      <c r="A23486" t="n">
        <v>23485</v>
      </c>
      <c r="B23486" t="inlineStr">
        <is>
          <t>x̄x̄MMMCDLXXXV</t>
        </is>
      </c>
      <c r="C23486">
        <f>ROMAN(23485)</f>
        <v/>
      </c>
      <c r="D23486">
        <f>IF(B23486=C23486, "YES", "WRONG")</f>
        <v/>
      </c>
    </row>
    <row r="23487">
      <c r="A23487" t="n">
        <v>23486</v>
      </c>
      <c r="B23487" t="inlineStr">
        <is>
          <t>x̄x̄MMMCDLXXXVI</t>
        </is>
      </c>
      <c r="C23487">
        <f>ROMAN(23486)</f>
        <v/>
      </c>
      <c r="D23487">
        <f>IF(B23487=C23487, "YES", "WRONG")</f>
        <v/>
      </c>
    </row>
    <row r="23488">
      <c r="A23488" t="n">
        <v>23487</v>
      </c>
      <c r="B23488" t="inlineStr">
        <is>
          <t>x̄x̄MMMCDLXXXVII</t>
        </is>
      </c>
      <c r="C23488">
        <f>ROMAN(23487)</f>
        <v/>
      </c>
      <c r="D23488">
        <f>IF(B23488=C23488, "YES", "WRONG")</f>
        <v/>
      </c>
    </row>
    <row r="23489">
      <c r="A23489" t="n">
        <v>23488</v>
      </c>
      <c r="B23489" t="inlineStr">
        <is>
          <t>x̄x̄MMMCDLXXXVIII</t>
        </is>
      </c>
      <c r="C23489">
        <f>ROMAN(23488)</f>
        <v/>
      </c>
      <c r="D23489">
        <f>IF(B23489=C23489, "YES", "WRONG")</f>
        <v/>
      </c>
    </row>
    <row r="23490">
      <c r="A23490" t="n">
        <v>23489</v>
      </c>
      <c r="B23490" t="inlineStr">
        <is>
          <t>x̄x̄MMMCDLXXXIX</t>
        </is>
      </c>
      <c r="C23490">
        <f>ROMAN(23489)</f>
        <v/>
      </c>
      <c r="D23490">
        <f>IF(B23490=C23490, "YES", "WRONG")</f>
        <v/>
      </c>
    </row>
    <row r="23491">
      <c r="A23491" t="n">
        <v>23490</v>
      </c>
      <c r="B23491" t="inlineStr">
        <is>
          <t>x̄x̄MMMCDXC</t>
        </is>
      </c>
      <c r="C23491">
        <f>ROMAN(23490)</f>
        <v/>
      </c>
      <c r="D23491">
        <f>IF(B23491=C23491, "YES", "WRONG")</f>
        <v/>
      </c>
    </row>
    <row r="23492">
      <c r="A23492" t="n">
        <v>23491</v>
      </c>
      <c r="B23492" t="inlineStr">
        <is>
          <t>x̄x̄MMMCDXCI</t>
        </is>
      </c>
      <c r="C23492">
        <f>ROMAN(23491)</f>
        <v/>
      </c>
      <c r="D23492">
        <f>IF(B23492=C23492, "YES", "WRONG")</f>
        <v/>
      </c>
    </row>
    <row r="23493">
      <c r="A23493" t="n">
        <v>23492</v>
      </c>
      <c r="B23493" t="inlineStr">
        <is>
          <t>x̄x̄MMMCDXCII</t>
        </is>
      </c>
      <c r="C23493">
        <f>ROMAN(23492)</f>
        <v/>
      </c>
      <c r="D23493">
        <f>IF(B23493=C23493, "YES", "WRONG")</f>
        <v/>
      </c>
    </row>
    <row r="23494">
      <c r="A23494" t="n">
        <v>23493</v>
      </c>
      <c r="B23494" t="inlineStr">
        <is>
          <t>x̄x̄MMMCDXCIII</t>
        </is>
      </c>
      <c r="C23494">
        <f>ROMAN(23493)</f>
        <v/>
      </c>
      <c r="D23494">
        <f>IF(B23494=C23494, "YES", "WRONG")</f>
        <v/>
      </c>
    </row>
    <row r="23495">
      <c r="A23495" t="n">
        <v>23494</v>
      </c>
      <c r="B23495" t="inlineStr">
        <is>
          <t>x̄x̄MMMCDXCIV</t>
        </is>
      </c>
      <c r="C23495">
        <f>ROMAN(23494)</f>
        <v/>
      </c>
      <c r="D23495">
        <f>IF(B23495=C23495, "YES", "WRONG")</f>
        <v/>
      </c>
    </row>
    <row r="23496">
      <c r="A23496" t="n">
        <v>23495</v>
      </c>
      <c r="B23496" t="inlineStr">
        <is>
          <t>x̄x̄MMMCDXCV</t>
        </is>
      </c>
      <c r="C23496">
        <f>ROMAN(23495)</f>
        <v/>
      </c>
      <c r="D23496">
        <f>IF(B23496=C23496, "YES", "WRONG")</f>
        <v/>
      </c>
    </row>
    <row r="23497">
      <c r="A23497" t="n">
        <v>23496</v>
      </c>
      <c r="B23497" t="inlineStr">
        <is>
          <t>x̄x̄MMMCDXCVI</t>
        </is>
      </c>
      <c r="C23497">
        <f>ROMAN(23496)</f>
        <v/>
      </c>
      <c r="D23497">
        <f>IF(B23497=C23497, "YES", "WRONG")</f>
        <v/>
      </c>
    </row>
    <row r="23498">
      <c r="A23498" t="n">
        <v>23497</v>
      </c>
      <c r="B23498" t="inlineStr">
        <is>
          <t>x̄x̄MMMCDXCVII</t>
        </is>
      </c>
      <c r="C23498">
        <f>ROMAN(23497)</f>
        <v/>
      </c>
      <c r="D23498">
        <f>IF(B23498=C23498, "YES", "WRONG")</f>
        <v/>
      </c>
    </row>
    <row r="23499">
      <c r="A23499" t="n">
        <v>23498</v>
      </c>
      <c r="B23499" t="inlineStr">
        <is>
          <t>x̄x̄MMMCDXCVIII</t>
        </is>
      </c>
      <c r="C23499">
        <f>ROMAN(23498)</f>
        <v/>
      </c>
      <c r="D23499">
        <f>IF(B23499=C23499, "YES", "WRONG")</f>
        <v/>
      </c>
    </row>
    <row r="23500">
      <c r="A23500" t="n">
        <v>23499</v>
      </c>
      <c r="B23500" t="inlineStr">
        <is>
          <t>x̄x̄MMMCDXCIX</t>
        </is>
      </c>
      <c r="C23500">
        <f>ROMAN(23499)</f>
        <v/>
      </c>
      <c r="D23500">
        <f>IF(B23500=C23500, "YES", "WRONG")</f>
        <v/>
      </c>
    </row>
    <row r="23501">
      <c r="A23501" t="n">
        <v>23500</v>
      </c>
      <c r="B23501" t="inlineStr">
        <is>
          <t>x̄x̄MMMD</t>
        </is>
      </c>
      <c r="C23501">
        <f>ROMAN(23500)</f>
        <v/>
      </c>
      <c r="D23501">
        <f>IF(B23501=C23501, "YES", "WRONG")</f>
        <v/>
      </c>
    </row>
    <row r="23502">
      <c r="A23502" t="n">
        <v>23501</v>
      </c>
      <c r="B23502" t="inlineStr">
        <is>
          <t>x̄x̄MMMDI</t>
        </is>
      </c>
      <c r="C23502">
        <f>ROMAN(23501)</f>
        <v/>
      </c>
      <c r="D23502">
        <f>IF(B23502=C23502, "YES", "WRONG")</f>
        <v/>
      </c>
    </row>
    <row r="23503">
      <c r="A23503" t="n">
        <v>23502</v>
      </c>
      <c r="B23503" t="inlineStr">
        <is>
          <t>x̄x̄MMMDII</t>
        </is>
      </c>
      <c r="C23503">
        <f>ROMAN(23502)</f>
        <v/>
      </c>
      <c r="D23503">
        <f>IF(B23503=C23503, "YES", "WRONG")</f>
        <v/>
      </c>
    </row>
    <row r="23504">
      <c r="A23504" t="n">
        <v>23503</v>
      </c>
      <c r="B23504" t="inlineStr">
        <is>
          <t>x̄x̄MMMDIII</t>
        </is>
      </c>
      <c r="C23504">
        <f>ROMAN(23503)</f>
        <v/>
      </c>
      <c r="D23504">
        <f>IF(B23504=C23504, "YES", "WRONG")</f>
        <v/>
      </c>
    </row>
    <row r="23505">
      <c r="A23505" t="n">
        <v>23504</v>
      </c>
      <c r="B23505" t="inlineStr">
        <is>
          <t>x̄x̄MMMDIV</t>
        </is>
      </c>
      <c r="C23505">
        <f>ROMAN(23504)</f>
        <v/>
      </c>
      <c r="D23505">
        <f>IF(B23505=C23505, "YES", "WRONG")</f>
        <v/>
      </c>
    </row>
    <row r="23506">
      <c r="A23506" t="n">
        <v>23505</v>
      </c>
      <c r="B23506" t="inlineStr">
        <is>
          <t>x̄x̄MMMDV</t>
        </is>
      </c>
      <c r="C23506">
        <f>ROMAN(23505)</f>
        <v/>
      </c>
      <c r="D23506">
        <f>IF(B23506=C23506, "YES", "WRONG")</f>
        <v/>
      </c>
    </row>
    <row r="23507">
      <c r="A23507" t="n">
        <v>23506</v>
      </c>
      <c r="B23507" t="inlineStr">
        <is>
          <t>x̄x̄MMMDVI</t>
        </is>
      </c>
      <c r="C23507">
        <f>ROMAN(23506)</f>
        <v/>
      </c>
      <c r="D23507">
        <f>IF(B23507=C23507, "YES", "WRONG")</f>
        <v/>
      </c>
    </row>
    <row r="23508">
      <c r="A23508" t="n">
        <v>23507</v>
      </c>
      <c r="B23508" t="inlineStr">
        <is>
          <t>x̄x̄MMMDVII</t>
        </is>
      </c>
      <c r="C23508">
        <f>ROMAN(23507)</f>
        <v/>
      </c>
      <c r="D23508">
        <f>IF(B23508=C23508, "YES", "WRONG")</f>
        <v/>
      </c>
    </row>
    <row r="23509">
      <c r="A23509" t="n">
        <v>23508</v>
      </c>
      <c r="B23509" t="inlineStr">
        <is>
          <t>x̄x̄MMMDVIII</t>
        </is>
      </c>
      <c r="C23509">
        <f>ROMAN(23508)</f>
        <v/>
      </c>
      <c r="D23509">
        <f>IF(B23509=C23509, "YES", "WRONG")</f>
        <v/>
      </c>
    </row>
    <row r="23510">
      <c r="A23510" t="n">
        <v>23509</v>
      </c>
      <c r="B23510" t="inlineStr">
        <is>
          <t>x̄x̄MMMDIX</t>
        </is>
      </c>
      <c r="C23510">
        <f>ROMAN(23509)</f>
        <v/>
      </c>
      <c r="D23510">
        <f>IF(B23510=C23510, "YES", "WRONG")</f>
        <v/>
      </c>
    </row>
    <row r="23511">
      <c r="A23511" t="n">
        <v>23510</v>
      </c>
      <c r="B23511" t="inlineStr">
        <is>
          <t>x̄x̄MMMDX</t>
        </is>
      </c>
      <c r="C23511">
        <f>ROMAN(23510)</f>
        <v/>
      </c>
      <c r="D23511">
        <f>IF(B23511=C23511, "YES", "WRONG")</f>
        <v/>
      </c>
    </row>
    <row r="23512">
      <c r="A23512" t="n">
        <v>23511</v>
      </c>
      <c r="B23512" t="inlineStr">
        <is>
          <t>x̄x̄MMMDXI</t>
        </is>
      </c>
      <c r="C23512">
        <f>ROMAN(23511)</f>
        <v/>
      </c>
      <c r="D23512">
        <f>IF(B23512=C23512, "YES", "WRONG")</f>
        <v/>
      </c>
    </row>
    <row r="23513">
      <c r="A23513" t="n">
        <v>23512</v>
      </c>
      <c r="B23513" t="inlineStr">
        <is>
          <t>x̄x̄MMMDXII</t>
        </is>
      </c>
      <c r="C23513">
        <f>ROMAN(23512)</f>
        <v/>
      </c>
      <c r="D23513">
        <f>IF(B23513=C23513, "YES", "WRONG")</f>
        <v/>
      </c>
    </row>
    <row r="23514">
      <c r="A23514" t="n">
        <v>23513</v>
      </c>
      <c r="B23514" t="inlineStr">
        <is>
          <t>x̄x̄MMMDXIII</t>
        </is>
      </c>
      <c r="C23514">
        <f>ROMAN(23513)</f>
        <v/>
      </c>
      <c r="D23514">
        <f>IF(B23514=C23514, "YES", "WRONG")</f>
        <v/>
      </c>
    </row>
    <row r="23515">
      <c r="A23515" t="n">
        <v>23514</v>
      </c>
      <c r="B23515" t="inlineStr">
        <is>
          <t>x̄x̄MMMDXIV</t>
        </is>
      </c>
      <c r="C23515">
        <f>ROMAN(23514)</f>
        <v/>
      </c>
      <c r="D23515">
        <f>IF(B23515=C23515, "YES", "WRONG")</f>
        <v/>
      </c>
    </row>
    <row r="23516">
      <c r="A23516" t="n">
        <v>23515</v>
      </c>
      <c r="B23516" t="inlineStr">
        <is>
          <t>x̄x̄MMMDXV</t>
        </is>
      </c>
      <c r="C23516">
        <f>ROMAN(23515)</f>
        <v/>
      </c>
      <c r="D23516">
        <f>IF(B23516=C23516, "YES", "WRONG")</f>
        <v/>
      </c>
    </row>
    <row r="23517">
      <c r="A23517" t="n">
        <v>23516</v>
      </c>
      <c r="B23517" t="inlineStr">
        <is>
          <t>x̄x̄MMMDXVI</t>
        </is>
      </c>
      <c r="C23517">
        <f>ROMAN(23516)</f>
        <v/>
      </c>
      <c r="D23517">
        <f>IF(B23517=C23517, "YES", "WRONG")</f>
        <v/>
      </c>
    </row>
    <row r="23518">
      <c r="A23518" t="n">
        <v>23517</v>
      </c>
      <c r="B23518" t="inlineStr">
        <is>
          <t>x̄x̄MMMDXVII</t>
        </is>
      </c>
      <c r="C23518">
        <f>ROMAN(23517)</f>
        <v/>
      </c>
      <c r="D23518">
        <f>IF(B23518=C23518, "YES", "WRONG")</f>
        <v/>
      </c>
    </row>
    <row r="23519">
      <c r="A23519" t="n">
        <v>23518</v>
      </c>
      <c r="B23519" t="inlineStr">
        <is>
          <t>x̄x̄MMMDXVIII</t>
        </is>
      </c>
      <c r="C23519">
        <f>ROMAN(23518)</f>
        <v/>
      </c>
      <c r="D23519">
        <f>IF(B23519=C23519, "YES", "WRONG")</f>
        <v/>
      </c>
    </row>
    <row r="23520">
      <c r="A23520" t="n">
        <v>23519</v>
      </c>
      <c r="B23520" t="inlineStr">
        <is>
          <t>x̄x̄MMMDXIX</t>
        </is>
      </c>
      <c r="C23520">
        <f>ROMAN(23519)</f>
        <v/>
      </c>
      <c r="D23520">
        <f>IF(B23520=C23520, "YES", "WRONG")</f>
        <v/>
      </c>
    </row>
    <row r="23521">
      <c r="A23521" t="n">
        <v>23520</v>
      </c>
      <c r="B23521" t="inlineStr">
        <is>
          <t>x̄x̄MMMDXX</t>
        </is>
      </c>
      <c r="C23521">
        <f>ROMAN(23520)</f>
        <v/>
      </c>
      <c r="D23521">
        <f>IF(B23521=C23521, "YES", "WRONG")</f>
        <v/>
      </c>
    </row>
    <row r="23522">
      <c r="A23522" t="n">
        <v>23521</v>
      </c>
      <c r="B23522" t="inlineStr">
        <is>
          <t>x̄x̄MMMDXXI</t>
        </is>
      </c>
      <c r="C23522">
        <f>ROMAN(23521)</f>
        <v/>
      </c>
      <c r="D23522">
        <f>IF(B23522=C23522, "YES", "WRONG")</f>
        <v/>
      </c>
    </row>
    <row r="23523">
      <c r="A23523" t="n">
        <v>23522</v>
      </c>
      <c r="B23523" t="inlineStr">
        <is>
          <t>x̄x̄MMMDXXII</t>
        </is>
      </c>
      <c r="C23523">
        <f>ROMAN(23522)</f>
        <v/>
      </c>
      <c r="D23523">
        <f>IF(B23523=C23523, "YES", "WRONG")</f>
        <v/>
      </c>
    </row>
    <row r="23524">
      <c r="A23524" t="n">
        <v>23523</v>
      </c>
      <c r="B23524" t="inlineStr">
        <is>
          <t>x̄x̄MMMDXXIII</t>
        </is>
      </c>
      <c r="C23524">
        <f>ROMAN(23523)</f>
        <v/>
      </c>
      <c r="D23524">
        <f>IF(B23524=C23524, "YES", "WRONG")</f>
        <v/>
      </c>
    </row>
    <row r="23525">
      <c r="A23525" t="n">
        <v>23524</v>
      </c>
      <c r="B23525" t="inlineStr">
        <is>
          <t>x̄x̄MMMDXXIV</t>
        </is>
      </c>
      <c r="C23525">
        <f>ROMAN(23524)</f>
        <v/>
      </c>
      <c r="D23525">
        <f>IF(B23525=C23525, "YES", "WRONG")</f>
        <v/>
      </c>
    </row>
    <row r="23526">
      <c r="A23526" t="n">
        <v>23525</v>
      </c>
      <c r="B23526" t="inlineStr">
        <is>
          <t>x̄x̄MMMDXXV</t>
        </is>
      </c>
      <c r="C23526">
        <f>ROMAN(23525)</f>
        <v/>
      </c>
      <c r="D23526">
        <f>IF(B23526=C23526, "YES", "WRONG")</f>
        <v/>
      </c>
    </row>
    <row r="23527">
      <c r="A23527" t="n">
        <v>23526</v>
      </c>
      <c r="B23527" t="inlineStr">
        <is>
          <t>x̄x̄MMMDXXVI</t>
        </is>
      </c>
      <c r="C23527">
        <f>ROMAN(23526)</f>
        <v/>
      </c>
      <c r="D23527">
        <f>IF(B23527=C23527, "YES", "WRONG")</f>
        <v/>
      </c>
    </row>
    <row r="23528">
      <c r="A23528" t="n">
        <v>23527</v>
      </c>
      <c r="B23528" t="inlineStr">
        <is>
          <t>x̄x̄MMMDXXVII</t>
        </is>
      </c>
      <c r="C23528">
        <f>ROMAN(23527)</f>
        <v/>
      </c>
      <c r="D23528">
        <f>IF(B23528=C23528, "YES", "WRONG")</f>
        <v/>
      </c>
    </row>
    <row r="23529">
      <c r="A23529" t="n">
        <v>23528</v>
      </c>
      <c r="B23529" t="inlineStr">
        <is>
          <t>x̄x̄MMMDXXVIII</t>
        </is>
      </c>
      <c r="C23529">
        <f>ROMAN(23528)</f>
        <v/>
      </c>
      <c r="D23529">
        <f>IF(B23529=C23529, "YES", "WRONG")</f>
        <v/>
      </c>
    </row>
    <row r="23530">
      <c r="A23530" t="n">
        <v>23529</v>
      </c>
      <c r="B23530" t="inlineStr">
        <is>
          <t>x̄x̄MMMDXXIX</t>
        </is>
      </c>
      <c r="C23530">
        <f>ROMAN(23529)</f>
        <v/>
      </c>
      <c r="D23530">
        <f>IF(B23530=C23530, "YES", "WRONG")</f>
        <v/>
      </c>
    </row>
    <row r="23531">
      <c r="A23531" t="n">
        <v>23530</v>
      </c>
      <c r="B23531" t="inlineStr">
        <is>
          <t>x̄x̄MMMDXXX</t>
        </is>
      </c>
      <c r="C23531">
        <f>ROMAN(23530)</f>
        <v/>
      </c>
      <c r="D23531">
        <f>IF(B23531=C23531, "YES", "WRONG")</f>
        <v/>
      </c>
    </row>
    <row r="23532">
      <c r="A23532" t="n">
        <v>23531</v>
      </c>
      <c r="B23532" t="inlineStr">
        <is>
          <t>x̄x̄MMMDXXXI</t>
        </is>
      </c>
      <c r="C23532">
        <f>ROMAN(23531)</f>
        <v/>
      </c>
      <c r="D23532">
        <f>IF(B23532=C23532, "YES", "WRONG")</f>
        <v/>
      </c>
    </row>
    <row r="23533">
      <c r="A23533" t="n">
        <v>23532</v>
      </c>
      <c r="B23533" t="inlineStr">
        <is>
          <t>x̄x̄MMMDXXXII</t>
        </is>
      </c>
      <c r="C23533">
        <f>ROMAN(23532)</f>
        <v/>
      </c>
      <c r="D23533">
        <f>IF(B23533=C23533, "YES", "WRONG")</f>
        <v/>
      </c>
    </row>
    <row r="23534">
      <c r="A23534" t="n">
        <v>23533</v>
      </c>
      <c r="B23534" t="inlineStr">
        <is>
          <t>x̄x̄MMMDXXXIII</t>
        </is>
      </c>
      <c r="C23534">
        <f>ROMAN(23533)</f>
        <v/>
      </c>
      <c r="D23534">
        <f>IF(B23534=C23534, "YES", "WRONG")</f>
        <v/>
      </c>
    </row>
    <row r="23535">
      <c r="A23535" t="n">
        <v>23534</v>
      </c>
      <c r="B23535" t="inlineStr">
        <is>
          <t>x̄x̄MMMDXXXIV</t>
        </is>
      </c>
      <c r="C23535">
        <f>ROMAN(23534)</f>
        <v/>
      </c>
      <c r="D23535">
        <f>IF(B23535=C23535, "YES", "WRONG")</f>
        <v/>
      </c>
    </row>
    <row r="23536">
      <c r="A23536" t="n">
        <v>23535</v>
      </c>
      <c r="B23536" t="inlineStr">
        <is>
          <t>x̄x̄MMMDXXXV</t>
        </is>
      </c>
      <c r="C23536">
        <f>ROMAN(23535)</f>
        <v/>
      </c>
      <c r="D23536">
        <f>IF(B23536=C23536, "YES", "WRONG")</f>
        <v/>
      </c>
    </row>
    <row r="23537">
      <c r="A23537" t="n">
        <v>23536</v>
      </c>
      <c r="B23537" t="inlineStr">
        <is>
          <t>x̄x̄MMMDXXXVI</t>
        </is>
      </c>
      <c r="C23537">
        <f>ROMAN(23536)</f>
        <v/>
      </c>
      <c r="D23537">
        <f>IF(B23537=C23537, "YES", "WRONG")</f>
        <v/>
      </c>
    </row>
    <row r="23538">
      <c r="A23538" t="n">
        <v>23537</v>
      </c>
      <c r="B23538" t="inlineStr">
        <is>
          <t>x̄x̄MMMDXXXVII</t>
        </is>
      </c>
      <c r="C23538">
        <f>ROMAN(23537)</f>
        <v/>
      </c>
      <c r="D23538">
        <f>IF(B23538=C23538, "YES", "WRONG")</f>
        <v/>
      </c>
    </row>
    <row r="23539">
      <c r="A23539" t="n">
        <v>23538</v>
      </c>
      <c r="B23539" t="inlineStr">
        <is>
          <t>x̄x̄MMMDXXXVIII</t>
        </is>
      </c>
      <c r="C23539">
        <f>ROMAN(23538)</f>
        <v/>
      </c>
      <c r="D23539">
        <f>IF(B23539=C23539, "YES", "WRONG")</f>
        <v/>
      </c>
    </row>
    <row r="23540">
      <c r="A23540" t="n">
        <v>23539</v>
      </c>
      <c r="B23540" t="inlineStr">
        <is>
          <t>x̄x̄MMMDXXXIX</t>
        </is>
      </c>
      <c r="C23540">
        <f>ROMAN(23539)</f>
        <v/>
      </c>
      <c r="D23540">
        <f>IF(B23540=C23540, "YES", "WRONG")</f>
        <v/>
      </c>
    </row>
    <row r="23541">
      <c r="A23541" t="n">
        <v>23540</v>
      </c>
      <c r="B23541" t="inlineStr">
        <is>
          <t>x̄x̄MMMDXL</t>
        </is>
      </c>
      <c r="C23541">
        <f>ROMAN(23540)</f>
        <v/>
      </c>
      <c r="D23541">
        <f>IF(B23541=C23541, "YES", "WRONG")</f>
        <v/>
      </c>
    </row>
    <row r="23542">
      <c r="A23542" t="n">
        <v>23541</v>
      </c>
      <c r="B23542" t="inlineStr">
        <is>
          <t>x̄x̄MMMDXLI</t>
        </is>
      </c>
      <c r="C23542">
        <f>ROMAN(23541)</f>
        <v/>
      </c>
      <c r="D23542">
        <f>IF(B23542=C23542, "YES", "WRONG")</f>
        <v/>
      </c>
    </row>
    <row r="23543">
      <c r="A23543" t="n">
        <v>23542</v>
      </c>
      <c r="B23543" t="inlineStr">
        <is>
          <t>x̄x̄MMMDXLII</t>
        </is>
      </c>
      <c r="C23543">
        <f>ROMAN(23542)</f>
        <v/>
      </c>
      <c r="D23543">
        <f>IF(B23543=C23543, "YES", "WRONG")</f>
        <v/>
      </c>
    </row>
    <row r="23544">
      <c r="A23544" t="n">
        <v>23543</v>
      </c>
      <c r="B23544" t="inlineStr">
        <is>
          <t>x̄x̄MMMDXLIII</t>
        </is>
      </c>
      <c r="C23544">
        <f>ROMAN(23543)</f>
        <v/>
      </c>
      <c r="D23544">
        <f>IF(B23544=C23544, "YES", "WRONG")</f>
        <v/>
      </c>
    </row>
    <row r="23545">
      <c r="A23545" t="n">
        <v>23544</v>
      </c>
      <c r="B23545" t="inlineStr">
        <is>
          <t>x̄x̄MMMDXLIV</t>
        </is>
      </c>
      <c r="C23545">
        <f>ROMAN(23544)</f>
        <v/>
      </c>
      <c r="D23545">
        <f>IF(B23545=C23545, "YES", "WRONG")</f>
        <v/>
      </c>
    </row>
    <row r="23546">
      <c r="A23546" t="n">
        <v>23545</v>
      </c>
      <c r="B23546" t="inlineStr">
        <is>
          <t>x̄x̄MMMDXLV</t>
        </is>
      </c>
      <c r="C23546">
        <f>ROMAN(23545)</f>
        <v/>
      </c>
      <c r="D23546">
        <f>IF(B23546=C23546, "YES", "WRONG")</f>
        <v/>
      </c>
    </row>
    <row r="23547">
      <c r="A23547" t="n">
        <v>23546</v>
      </c>
      <c r="B23547" t="inlineStr">
        <is>
          <t>x̄x̄MMMDXLVI</t>
        </is>
      </c>
      <c r="C23547">
        <f>ROMAN(23546)</f>
        <v/>
      </c>
      <c r="D23547">
        <f>IF(B23547=C23547, "YES", "WRONG")</f>
        <v/>
      </c>
    </row>
    <row r="23548">
      <c r="A23548" t="n">
        <v>23547</v>
      </c>
      <c r="B23548" t="inlineStr">
        <is>
          <t>x̄x̄MMMDXLVII</t>
        </is>
      </c>
      <c r="C23548">
        <f>ROMAN(23547)</f>
        <v/>
      </c>
      <c r="D23548">
        <f>IF(B23548=C23548, "YES", "WRONG")</f>
        <v/>
      </c>
    </row>
    <row r="23549">
      <c r="A23549" t="n">
        <v>23548</v>
      </c>
      <c r="B23549" t="inlineStr">
        <is>
          <t>x̄x̄MMMDXLVIII</t>
        </is>
      </c>
      <c r="C23549">
        <f>ROMAN(23548)</f>
        <v/>
      </c>
      <c r="D23549">
        <f>IF(B23549=C23549, "YES", "WRONG")</f>
        <v/>
      </c>
    </row>
    <row r="23550">
      <c r="A23550" t="n">
        <v>23549</v>
      </c>
      <c r="B23550" t="inlineStr">
        <is>
          <t>x̄x̄MMMDXLIX</t>
        </is>
      </c>
      <c r="C23550">
        <f>ROMAN(23549)</f>
        <v/>
      </c>
      <c r="D23550">
        <f>IF(B23550=C23550, "YES", "WRONG")</f>
        <v/>
      </c>
    </row>
    <row r="23551">
      <c r="A23551" t="n">
        <v>23550</v>
      </c>
      <c r="B23551" t="inlineStr">
        <is>
          <t>x̄x̄MMMDL</t>
        </is>
      </c>
      <c r="C23551">
        <f>ROMAN(23550)</f>
        <v/>
      </c>
      <c r="D23551">
        <f>IF(B23551=C23551, "YES", "WRONG")</f>
        <v/>
      </c>
    </row>
    <row r="23552">
      <c r="A23552" t="n">
        <v>23551</v>
      </c>
      <c r="B23552" t="inlineStr">
        <is>
          <t>x̄x̄MMMDLI</t>
        </is>
      </c>
      <c r="C23552">
        <f>ROMAN(23551)</f>
        <v/>
      </c>
      <c r="D23552">
        <f>IF(B23552=C23552, "YES", "WRONG")</f>
        <v/>
      </c>
    </row>
    <row r="23553">
      <c r="A23553" t="n">
        <v>23552</v>
      </c>
      <c r="B23553" t="inlineStr">
        <is>
          <t>x̄x̄MMMDLII</t>
        </is>
      </c>
      <c r="C23553">
        <f>ROMAN(23552)</f>
        <v/>
      </c>
      <c r="D23553">
        <f>IF(B23553=C23553, "YES", "WRONG")</f>
        <v/>
      </c>
    </row>
    <row r="23554">
      <c r="A23554" t="n">
        <v>23553</v>
      </c>
      <c r="B23554" t="inlineStr">
        <is>
          <t>x̄x̄MMMDLIII</t>
        </is>
      </c>
      <c r="C23554">
        <f>ROMAN(23553)</f>
        <v/>
      </c>
      <c r="D23554">
        <f>IF(B23554=C23554, "YES", "WRONG")</f>
        <v/>
      </c>
    </row>
    <row r="23555">
      <c r="A23555" t="n">
        <v>23554</v>
      </c>
      <c r="B23555" t="inlineStr">
        <is>
          <t>x̄x̄MMMDLIV</t>
        </is>
      </c>
      <c r="C23555">
        <f>ROMAN(23554)</f>
        <v/>
      </c>
      <c r="D23555">
        <f>IF(B23555=C23555, "YES", "WRONG")</f>
        <v/>
      </c>
    </row>
    <row r="23556">
      <c r="A23556" t="n">
        <v>23555</v>
      </c>
      <c r="B23556" t="inlineStr">
        <is>
          <t>x̄x̄MMMDLV</t>
        </is>
      </c>
      <c r="C23556">
        <f>ROMAN(23555)</f>
        <v/>
      </c>
      <c r="D23556">
        <f>IF(B23556=C23556, "YES", "WRONG")</f>
        <v/>
      </c>
    </row>
    <row r="23557">
      <c r="A23557" t="n">
        <v>23556</v>
      </c>
      <c r="B23557" t="inlineStr">
        <is>
          <t>x̄x̄MMMDLVI</t>
        </is>
      </c>
      <c r="C23557">
        <f>ROMAN(23556)</f>
        <v/>
      </c>
      <c r="D23557">
        <f>IF(B23557=C23557, "YES", "WRONG")</f>
        <v/>
      </c>
    </row>
    <row r="23558">
      <c r="A23558" t="n">
        <v>23557</v>
      </c>
      <c r="B23558" t="inlineStr">
        <is>
          <t>x̄x̄MMMDLVII</t>
        </is>
      </c>
      <c r="C23558">
        <f>ROMAN(23557)</f>
        <v/>
      </c>
      <c r="D23558">
        <f>IF(B23558=C23558, "YES", "WRONG")</f>
        <v/>
      </c>
    </row>
    <row r="23559">
      <c r="A23559" t="n">
        <v>23558</v>
      </c>
      <c r="B23559" t="inlineStr">
        <is>
          <t>x̄x̄MMMDLVIII</t>
        </is>
      </c>
      <c r="C23559">
        <f>ROMAN(23558)</f>
        <v/>
      </c>
      <c r="D23559">
        <f>IF(B23559=C23559, "YES", "WRONG")</f>
        <v/>
      </c>
    </row>
    <row r="23560">
      <c r="A23560" t="n">
        <v>23559</v>
      </c>
      <c r="B23560" t="inlineStr">
        <is>
          <t>x̄x̄MMMDLIX</t>
        </is>
      </c>
      <c r="C23560">
        <f>ROMAN(23559)</f>
        <v/>
      </c>
      <c r="D23560">
        <f>IF(B23560=C23560, "YES", "WRONG")</f>
        <v/>
      </c>
    </row>
    <row r="23561">
      <c r="A23561" t="n">
        <v>23560</v>
      </c>
      <c r="B23561" t="inlineStr">
        <is>
          <t>x̄x̄MMMDLX</t>
        </is>
      </c>
      <c r="C23561">
        <f>ROMAN(23560)</f>
        <v/>
      </c>
      <c r="D23561">
        <f>IF(B23561=C23561, "YES", "WRONG")</f>
        <v/>
      </c>
    </row>
    <row r="23562">
      <c r="A23562" t="n">
        <v>23561</v>
      </c>
      <c r="B23562" t="inlineStr">
        <is>
          <t>x̄x̄MMMDLXI</t>
        </is>
      </c>
      <c r="C23562">
        <f>ROMAN(23561)</f>
        <v/>
      </c>
      <c r="D23562">
        <f>IF(B23562=C23562, "YES", "WRONG")</f>
        <v/>
      </c>
    </row>
    <row r="23563">
      <c r="A23563" t="n">
        <v>23562</v>
      </c>
      <c r="B23563" t="inlineStr">
        <is>
          <t>x̄x̄MMMDLXII</t>
        </is>
      </c>
      <c r="C23563">
        <f>ROMAN(23562)</f>
        <v/>
      </c>
      <c r="D23563">
        <f>IF(B23563=C23563, "YES", "WRONG")</f>
        <v/>
      </c>
    </row>
    <row r="23564">
      <c r="A23564" t="n">
        <v>23563</v>
      </c>
      <c r="B23564" t="inlineStr">
        <is>
          <t>x̄x̄MMMDLXIII</t>
        </is>
      </c>
      <c r="C23564">
        <f>ROMAN(23563)</f>
        <v/>
      </c>
      <c r="D23564">
        <f>IF(B23564=C23564, "YES", "WRONG")</f>
        <v/>
      </c>
    </row>
    <row r="23565">
      <c r="A23565" t="n">
        <v>23564</v>
      </c>
      <c r="B23565" t="inlineStr">
        <is>
          <t>x̄x̄MMMDLXIV</t>
        </is>
      </c>
      <c r="C23565">
        <f>ROMAN(23564)</f>
        <v/>
      </c>
      <c r="D23565">
        <f>IF(B23565=C23565, "YES", "WRONG")</f>
        <v/>
      </c>
    </row>
    <row r="23566">
      <c r="A23566" t="n">
        <v>23565</v>
      </c>
      <c r="B23566" t="inlineStr">
        <is>
          <t>x̄x̄MMMDLXV</t>
        </is>
      </c>
      <c r="C23566">
        <f>ROMAN(23565)</f>
        <v/>
      </c>
      <c r="D23566">
        <f>IF(B23566=C23566, "YES", "WRONG")</f>
        <v/>
      </c>
    </row>
    <row r="23567">
      <c r="A23567" t="n">
        <v>23566</v>
      </c>
      <c r="B23567" t="inlineStr">
        <is>
          <t>x̄x̄MMMDLXVI</t>
        </is>
      </c>
      <c r="C23567">
        <f>ROMAN(23566)</f>
        <v/>
      </c>
      <c r="D23567">
        <f>IF(B23567=C23567, "YES", "WRONG")</f>
        <v/>
      </c>
    </row>
    <row r="23568">
      <c r="A23568" t="n">
        <v>23567</v>
      </c>
      <c r="B23568" t="inlineStr">
        <is>
          <t>x̄x̄MMMDLXVII</t>
        </is>
      </c>
      <c r="C23568">
        <f>ROMAN(23567)</f>
        <v/>
      </c>
      <c r="D23568">
        <f>IF(B23568=C23568, "YES", "WRONG")</f>
        <v/>
      </c>
    </row>
    <row r="23569">
      <c r="A23569" t="n">
        <v>23568</v>
      </c>
      <c r="B23569" t="inlineStr">
        <is>
          <t>x̄x̄MMMDLXVIII</t>
        </is>
      </c>
      <c r="C23569">
        <f>ROMAN(23568)</f>
        <v/>
      </c>
      <c r="D23569">
        <f>IF(B23569=C23569, "YES", "WRONG")</f>
        <v/>
      </c>
    </row>
    <row r="23570">
      <c r="A23570" t="n">
        <v>23569</v>
      </c>
      <c r="B23570" t="inlineStr">
        <is>
          <t>x̄x̄MMMDLXIX</t>
        </is>
      </c>
      <c r="C23570">
        <f>ROMAN(23569)</f>
        <v/>
      </c>
      <c r="D23570">
        <f>IF(B23570=C23570, "YES", "WRONG")</f>
        <v/>
      </c>
    </row>
    <row r="23571">
      <c r="A23571" t="n">
        <v>23570</v>
      </c>
      <c r="B23571" t="inlineStr">
        <is>
          <t>x̄x̄MMMDLXX</t>
        </is>
      </c>
      <c r="C23571">
        <f>ROMAN(23570)</f>
        <v/>
      </c>
      <c r="D23571">
        <f>IF(B23571=C23571, "YES", "WRONG")</f>
        <v/>
      </c>
    </row>
    <row r="23572">
      <c r="A23572" t="n">
        <v>23571</v>
      </c>
      <c r="B23572" t="inlineStr">
        <is>
          <t>x̄x̄MMMDLXXI</t>
        </is>
      </c>
      <c r="C23572">
        <f>ROMAN(23571)</f>
        <v/>
      </c>
      <c r="D23572">
        <f>IF(B23572=C23572, "YES", "WRONG")</f>
        <v/>
      </c>
    </row>
    <row r="23573">
      <c r="A23573" t="n">
        <v>23572</v>
      </c>
      <c r="B23573" t="inlineStr">
        <is>
          <t>x̄x̄MMMDLXXII</t>
        </is>
      </c>
      <c r="C23573">
        <f>ROMAN(23572)</f>
        <v/>
      </c>
      <c r="D23573">
        <f>IF(B23573=C23573, "YES", "WRONG")</f>
        <v/>
      </c>
    </row>
    <row r="23574">
      <c r="A23574" t="n">
        <v>23573</v>
      </c>
      <c r="B23574" t="inlineStr">
        <is>
          <t>x̄x̄MMMDLXXIII</t>
        </is>
      </c>
      <c r="C23574">
        <f>ROMAN(23573)</f>
        <v/>
      </c>
      <c r="D23574">
        <f>IF(B23574=C23574, "YES", "WRONG")</f>
        <v/>
      </c>
    </row>
    <row r="23575">
      <c r="A23575" t="n">
        <v>23574</v>
      </c>
      <c r="B23575" t="inlineStr">
        <is>
          <t>x̄x̄MMMDLXXIV</t>
        </is>
      </c>
      <c r="C23575">
        <f>ROMAN(23574)</f>
        <v/>
      </c>
      <c r="D23575">
        <f>IF(B23575=C23575, "YES", "WRONG")</f>
        <v/>
      </c>
    </row>
    <row r="23576">
      <c r="A23576" t="n">
        <v>23575</v>
      </c>
      <c r="B23576" t="inlineStr">
        <is>
          <t>x̄x̄MMMDLXXV</t>
        </is>
      </c>
      <c r="C23576">
        <f>ROMAN(23575)</f>
        <v/>
      </c>
      <c r="D23576">
        <f>IF(B23576=C23576, "YES", "WRONG")</f>
        <v/>
      </c>
    </row>
    <row r="23577">
      <c r="A23577" t="n">
        <v>23576</v>
      </c>
      <c r="B23577" t="inlineStr">
        <is>
          <t>x̄x̄MMMDLXXVI</t>
        </is>
      </c>
      <c r="C23577">
        <f>ROMAN(23576)</f>
        <v/>
      </c>
      <c r="D23577">
        <f>IF(B23577=C23577, "YES", "WRONG")</f>
        <v/>
      </c>
    </row>
    <row r="23578">
      <c r="A23578" t="n">
        <v>23577</v>
      </c>
      <c r="B23578" t="inlineStr">
        <is>
          <t>x̄x̄MMMDLXXVII</t>
        </is>
      </c>
      <c r="C23578">
        <f>ROMAN(23577)</f>
        <v/>
      </c>
      <c r="D23578">
        <f>IF(B23578=C23578, "YES", "WRONG")</f>
        <v/>
      </c>
    </row>
    <row r="23579">
      <c r="A23579" t="n">
        <v>23578</v>
      </c>
      <c r="B23579" t="inlineStr">
        <is>
          <t>x̄x̄MMMDLXXVIII</t>
        </is>
      </c>
      <c r="C23579">
        <f>ROMAN(23578)</f>
        <v/>
      </c>
      <c r="D23579">
        <f>IF(B23579=C23579, "YES", "WRONG")</f>
        <v/>
      </c>
    </row>
    <row r="23580">
      <c r="A23580" t="n">
        <v>23579</v>
      </c>
      <c r="B23580" t="inlineStr">
        <is>
          <t>x̄x̄MMMDLXXIX</t>
        </is>
      </c>
      <c r="C23580">
        <f>ROMAN(23579)</f>
        <v/>
      </c>
      <c r="D23580">
        <f>IF(B23580=C23580, "YES", "WRONG")</f>
        <v/>
      </c>
    </row>
    <row r="23581">
      <c r="A23581" t="n">
        <v>23580</v>
      </c>
      <c r="B23581" t="inlineStr">
        <is>
          <t>x̄x̄MMMDLXXX</t>
        </is>
      </c>
      <c r="C23581">
        <f>ROMAN(23580)</f>
        <v/>
      </c>
      <c r="D23581">
        <f>IF(B23581=C23581, "YES", "WRONG")</f>
        <v/>
      </c>
    </row>
    <row r="23582">
      <c r="A23582" t="n">
        <v>23581</v>
      </c>
      <c r="B23582" t="inlineStr">
        <is>
          <t>x̄x̄MMMDLXXXI</t>
        </is>
      </c>
      <c r="C23582">
        <f>ROMAN(23581)</f>
        <v/>
      </c>
      <c r="D23582">
        <f>IF(B23582=C23582, "YES", "WRONG")</f>
        <v/>
      </c>
    </row>
    <row r="23583">
      <c r="A23583" t="n">
        <v>23582</v>
      </c>
      <c r="B23583" t="inlineStr">
        <is>
          <t>x̄x̄MMMDLXXXII</t>
        </is>
      </c>
      <c r="C23583">
        <f>ROMAN(23582)</f>
        <v/>
      </c>
      <c r="D23583">
        <f>IF(B23583=C23583, "YES", "WRONG")</f>
        <v/>
      </c>
    </row>
    <row r="23584">
      <c r="A23584" t="n">
        <v>23583</v>
      </c>
      <c r="B23584" t="inlineStr">
        <is>
          <t>x̄x̄MMMDLXXXIII</t>
        </is>
      </c>
      <c r="C23584">
        <f>ROMAN(23583)</f>
        <v/>
      </c>
      <c r="D23584">
        <f>IF(B23584=C23584, "YES", "WRONG")</f>
        <v/>
      </c>
    </row>
    <row r="23585">
      <c r="A23585" t="n">
        <v>23584</v>
      </c>
      <c r="B23585" t="inlineStr">
        <is>
          <t>x̄x̄MMMDLXXXIV</t>
        </is>
      </c>
      <c r="C23585">
        <f>ROMAN(23584)</f>
        <v/>
      </c>
      <c r="D23585">
        <f>IF(B23585=C23585, "YES", "WRONG")</f>
        <v/>
      </c>
    </row>
    <row r="23586">
      <c r="A23586" t="n">
        <v>23585</v>
      </c>
      <c r="B23586" t="inlineStr">
        <is>
          <t>x̄x̄MMMDLXXXV</t>
        </is>
      </c>
      <c r="C23586">
        <f>ROMAN(23585)</f>
        <v/>
      </c>
      <c r="D23586">
        <f>IF(B23586=C23586, "YES", "WRONG")</f>
        <v/>
      </c>
    </row>
    <row r="23587">
      <c r="A23587" t="n">
        <v>23586</v>
      </c>
      <c r="B23587" t="inlineStr">
        <is>
          <t>x̄x̄MMMDLXXXVI</t>
        </is>
      </c>
      <c r="C23587">
        <f>ROMAN(23586)</f>
        <v/>
      </c>
      <c r="D23587">
        <f>IF(B23587=C23587, "YES", "WRONG")</f>
        <v/>
      </c>
    </row>
    <row r="23588">
      <c r="A23588" t="n">
        <v>23587</v>
      </c>
      <c r="B23588" t="inlineStr">
        <is>
          <t>x̄x̄MMMDLXXXVII</t>
        </is>
      </c>
      <c r="C23588">
        <f>ROMAN(23587)</f>
        <v/>
      </c>
      <c r="D23588">
        <f>IF(B23588=C23588, "YES", "WRONG")</f>
        <v/>
      </c>
    </row>
    <row r="23589">
      <c r="A23589" t="n">
        <v>23588</v>
      </c>
      <c r="B23589" t="inlineStr">
        <is>
          <t>x̄x̄MMMDLXXXVIII</t>
        </is>
      </c>
      <c r="C23589">
        <f>ROMAN(23588)</f>
        <v/>
      </c>
      <c r="D23589">
        <f>IF(B23589=C23589, "YES", "WRONG")</f>
        <v/>
      </c>
    </row>
    <row r="23590">
      <c r="A23590" t="n">
        <v>23589</v>
      </c>
      <c r="B23590" t="inlineStr">
        <is>
          <t>x̄x̄MMMDLXXXIX</t>
        </is>
      </c>
      <c r="C23590">
        <f>ROMAN(23589)</f>
        <v/>
      </c>
      <c r="D23590">
        <f>IF(B23590=C23590, "YES", "WRONG")</f>
        <v/>
      </c>
    </row>
    <row r="23591">
      <c r="A23591" t="n">
        <v>23590</v>
      </c>
      <c r="B23591" t="inlineStr">
        <is>
          <t>x̄x̄MMMDXC</t>
        </is>
      </c>
      <c r="C23591">
        <f>ROMAN(23590)</f>
        <v/>
      </c>
      <c r="D23591">
        <f>IF(B23591=C23591, "YES", "WRONG")</f>
        <v/>
      </c>
    </row>
    <row r="23592">
      <c r="A23592" t="n">
        <v>23591</v>
      </c>
      <c r="B23592" t="inlineStr">
        <is>
          <t>x̄x̄MMMDXCI</t>
        </is>
      </c>
      <c r="C23592">
        <f>ROMAN(23591)</f>
        <v/>
      </c>
      <c r="D23592">
        <f>IF(B23592=C23592, "YES", "WRONG")</f>
        <v/>
      </c>
    </row>
    <row r="23593">
      <c r="A23593" t="n">
        <v>23592</v>
      </c>
      <c r="B23593" t="inlineStr">
        <is>
          <t>x̄x̄MMMDXCII</t>
        </is>
      </c>
      <c r="C23593">
        <f>ROMAN(23592)</f>
        <v/>
      </c>
      <c r="D23593">
        <f>IF(B23593=C23593, "YES", "WRONG")</f>
        <v/>
      </c>
    </row>
    <row r="23594">
      <c r="A23594" t="n">
        <v>23593</v>
      </c>
      <c r="B23594" t="inlineStr">
        <is>
          <t>x̄x̄MMMDXCIII</t>
        </is>
      </c>
      <c r="C23594">
        <f>ROMAN(23593)</f>
        <v/>
      </c>
      <c r="D23594">
        <f>IF(B23594=C23594, "YES", "WRONG")</f>
        <v/>
      </c>
    </row>
    <row r="23595">
      <c r="A23595" t="n">
        <v>23594</v>
      </c>
      <c r="B23595" t="inlineStr">
        <is>
          <t>x̄x̄MMMDXCIV</t>
        </is>
      </c>
      <c r="C23595">
        <f>ROMAN(23594)</f>
        <v/>
      </c>
      <c r="D23595">
        <f>IF(B23595=C23595, "YES", "WRONG")</f>
        <v/>
      </c>
    </row>
    <row r="23596">
      <c r="A23596" t="n">
        <v>23595</v>
      </c>
      <c r="B23596" t="inlineStr">
        <is>
          <t>x̄x̄MMMDXCV</t>
        </is>
      </c>
      <c r="C23596">
        <f>ROMAN(23595)</f>
        <v/>
      </c>
      <c r="D23596">
        <f>IF(B23596=C23596, "YES", "WRONG")</f>
        <v/>
      </c>
    </row>
    <row r="23597">
      <c r="A23597" t="n">
        <v>23596</v>
      </c>
      <c r="B23597" t="inlineStr">
        <is>
          <t>x̄x̄MMMDXCVI</t>
        </is>
      </c>
      <c r="C23597">
        <f>ROMAN(23596)</f>
        <v/>
      </c>
      <c r="D23597">
        <f>IF(B23597=C23597, "YES", "WRONG")</f>
        <v/>
      </c>
    </row>
    <row r="23598">
      <c r="A23598" t="n">
        <v>23597</v>
      </c>
      <c r="B23598" t="inlineStr">
        <is>
          <t>x̄x̄MMMDXCVII</t>
        </is>
      </c>
      <c r="C23598">
        <f>ROMAN(23597)</f>
        <v/>
      </c>
      <c r="D23598">
        <f>IF(B23598=C23598, "YES", "WRONG")</f>
        <v/>
      </c>
    </row>
    <row r="23599">
      <c r="A23599" t="n">
        <v>23598</v>
      </c>
      <c r="B23599" t="inlineStr">
        <is>
          <t>x̄x̄MMMDXCVIII</t>
        </is>
      </c>
      <c r="C23599">
        <f>ROMAN(23598)</f>
        <v/>
      </c>
      <c r="D23599">
        <f>IF(B23599=C23599, "YES", "WRONG")</f>
        <v/>
      </c>
    </row>
    <row r="23600">
      <c r="A23600" t="n">
        <v>23599</v>
      </c>
      <c r="B23600" t="inlineStr">
        <is>
          <t>x̄x̄MMMDXCIX</t>
        </is>
      </c>
      <c r="C23600">
        <f>ROMAN(23599)</f>
        <v/>
      </c>
      <c r="D23600">
        <f>IF(B23600=C23600, "YES", "WRONG")</f>
        <v/>
      </c>
    </row>
    <row r="23601">
      <c r="A23601" t="n">
        <v>23600</v>
      </c>
      <c r="B23601" t="inlineStr">
        <is>
          <t>x̄x̄MMMDC</t>
        </is>
      </c>
      <c r="C23601">
        <f>ROMAN(23600)</f>
        <v/>
      </c>
      <c r="D23601">
        <f>IF(B23601=C23601, "YES", "WRONG")</f>
        <v/>
      </c>
    </row>
    <row r="23602">
      <c r="A23602" t="n">
        <v>23601</v>
      </c>
      <c r="B23602" t="inlineStr">
        <is>
          <t>x̄x̄MMMDCI</t>
        </is>
      </c>
      <c r="C23602">
        <f>ROMAN(23601)</f>
        <v/>
      </c>
      <c r="D23602">
        <f>IF(B23602=C23602, "YES", "WRONG")</f>
        <v/>
      </c>
    </row>
    <row r="23603">
      <c r="A23603" t="n">
        <v>23602</v>
      </c>
      <c r="B23603" t="inlineStr">
        <is>
          <t>x̄x̄MMMDCII</t>
        </is>
      </c>
      <c r="C23603">
        <f>ROMAN(23602)</f>
        <v/>
      </c>
      <c r="D23603">
        <f>IF(B23603=C23603, "YES", "WRONG")</f>
        <v/>
      </c>
    </row>
    <row r="23604">
      <c r="A23604" t="n">
        <v>23603</v>
      </c>
      <c r="B23604" t="inlineStr">
        <is>
          <t>x̄x̄MMMDCIII</t>
        </is>
      </c>
      <c r="C23604">
        <f>ROMAN(23603)</f>
        <v/>
      </c>
      <c r="D23604">
        <f>IF(B23604=C23604, "YES", "WRONG")</f>
        <v/>
      </c>
    </row>
    <row r="23605">
      <c r="A23605" t="n">
        <v>23604</v>
      </c>
      <c r="B23605" t="inlineStr">
        <is>
          <t>x̄x̄MMMDCIV</t>
        </is>
      </c>
      <c r="C23605">
        <f>ROMAN(23604)</f>
        <v/>
      </c>
      <c r="D23605">
        <f>IF(B23605=C23605, "YES", "WRONG")</f>
        <v/>
      </c>
    </row>
    <row r="23606">
      <c r="A23606" t="n">
        <v>23605</v>
      </c>
      <c r="B23606" t="inlineStr">
        <is>
          <t>x̄x̄MMMDCV</t>
        </is>
      </c>
      <c r="C23606">
        <f>ROMAN(23605)</f>
        <v/>
      </c>
      <c r="D23606">
        <f>IF(B23606=C23606, "YES", "WRONG")</f>
        <v/>
      </c>
    </row>
    <row r="23607">
      <c r="A23607" t="n">
        <v>23606</v>
      </c>
      <c r="B23607" t="inlineStr">
        <is>
          <t>x̄x̄MMMDCVI</t>
        </is>
      </c>
      <c r="C23607">
        <f>ROMAN(23606)</f>
        <v/>
      </c>
      <c r="D23607">
        <f>IF(B23607=C23607, "YES", "WRONG")</f>
        <v/>
      </c>
    </row>
    <row r="23608">
      <c r="A23608" t="n">
        <v>23607</v>
      </c>
      <c r="B23608" t="inlineStr">
        <is>
          <t>x̄x̄MMMDCVII</t>
        </is>
      </c>
      <c r="C23608">
        <f>ROMAN(23607)</f>
        <v/>
      </c>
      <c r="D23608">
        <f>IF(B23608=C23608, "YES", "WRONG")</f>
        <v/>
      </c>
    </row>
    <row r="23609">
      <c r="A23609" t="n">
        <v>23608</v>
      </c>
      <c r="B23609" t="inlineStr">
        <is>
          <t>x̄x̄MMMDCVIII</t>
        </is>
      </c>
      <c r="C23609">
        <f>ROMAN(23608)</f>
        <v/>
      </c>
      <c r="D23609">
        <f>IF(B23609=C23609, "YES", "WRONG")</f>
        <v/>
      </c>
    </row>
    <row r="23610">
      <c r="A23610" t="n">
        <v>23609</v>
      </c>
      <c r="B23610" t="inlineStr">
        <is>
          <t>x̄x̄MMMDCIX</t>
        </is>
      </c>
      <c r="C23610">
        <f>ROMAN(23609)</f>
        <v/>
      </c>
      <c r="D23610">
        <f>IF(B23610=C23610, "YES", "WRONG")</f>
        <v/>
      </c>
    </row>
    <row r="23611">
      <c r="A23611" t="n">
        <v>23610</v>
      </c>
      <c r="B23611" t="inlineStr">
        <is>
          <t>x̄x̄MMMDCX</t>
        </is>
      </c>
      <c r="C23611">
        <f>ROMAN(23610)</f>
        <v/>
      </c>
      <c r="D23611">
        <f>IF(B23611=C23611, "YES", "WRONG")</f>
        <v/>
      </c>
    </row>
    <row r="23612">
      <c r="A23612" t="n">
        <v>23611</v>
      </c>
      <c r="B23612" t="inlineStr">
        <is>
          <t>x̄x̄MMMDCXI</t>
        </is>
      </c>
      <c r="C23612">
        <f>ROMAN(23611)</f>
        <v/>
      </c>
      <c r="D23612">
        <f>IF(B23612=C23612, "YES", "WRONG")</f>
        <v/>
      </c>
    </row>
    <row r="23613">
      <c r="A23613" t="n">
        <v>23612</v>
      </c>
      <c r="B23613" t="inlineStr">
        <is>
          <t>x̄x̄MMMDCXII</t>
        </is>
      </c>
      <c r="C23613">
        <f>ROMAN(23612)</f>
        <v/>
      </c>
      <c r="D23613">
        <f>IF(B23613=C23613, "YES", "WRONG")</f>
        <v/>
      </c>
    </row>
    <row r="23614">
      <c r="A23614" t="n">
        <v>23613</v>
      </c>
      <c r="B23614" t="inlineStr">
        <is>
          <t>x̄x̄MMMDCXIII</t>
        </is>
      </c>
      <c r="C23614">
        <f>ROMAN(23613)</f>
        <v/>
      </c>
      <c r="D23614">
        <f>IF(B23614=C23614, "YES", "WRONG")</f>
        <v/>
      </c>
    </row>
    <row r="23615">
      <c r="A23615" t="n">
        <v>23614</v>
      </c>
      <c r="B23615" t="inlineStr">
        <is>
          <t>x̄x̄MMMDCXIV</t>
        </is>
      </c>
      <c r="C23615">
        <f>ROMAN(23614)</f>
        <v/>
      </c>
      <c r="D23615">
        <f>IF(B23615=C23615, "YES", "WRONG")</f>
        <v/>
      </c>
    </row>
    <row r="23616">
      <c r="A23616" t="n">
        <v>23615</v>
      </c>
      <c r="B23616" t="inlineStr">
        <is>
          <t>x̄x̄MMMDCXV</t>
        </is>
      </c>
      <c r="C23616">
        <f>ROMAN(23615)</f>
        <v/>
      </c>
      <c r="D23616">
        <f>IF(B23616=C23616, "YES", "WRONG")</f>
        <v/>
      </c>
    </row>
    <row r="23617">
      <c r="A23617" t="n">
        <v>23616</v>
      </c>
      <c r="B23617" t="inlineStr">
        <is>
          <t>x̄x̄MMMDCXVI</t>
        </is>
      </c>
      <c r="C23617">
        <f>ROMAN(23616)</f>
        <v/>
      </c>
      <c r="D23617">
        <f>IF(B23617=C23617, "YES", "WRONG")</f>
        <v/>
      </c>
    </row>
    <row r="23618">
      <c r="A23618" t="n">
        <v>23617</v>
      </c>
      <c r="B23618" t="inlineStr">
        <is>
          <t>x̄x̄MMMDCXVII</t>
        </is>
      </c>
      <c r="C23618">
        <f>ROMAN(23617)</f>
        <v/>
      </c>
      <c r="D23618">
        <f>IF(B23618=C23618, "YES", "WRONG")</f>
        <v/>
      </c>
    </row>
    <row r="23619">
      <c r="A23619" t="n">
        <v>23618</v>
      </c>
      <c r="B23619" t="inlineStr">
        <is>
          <t>x̄x̄MMMDCXVIII</t>
        </is>
      </c>
      <c r="C23619">
        <f>ROMAN(23618)</f>
        <v/>
      </c>
      <c r="D23619">
        <f>IF(B23619=C23619, "YES", "WRONG")</f>
        <v/>
      </c>
    </row>
    <row r="23620">
      <c r="A23620" t="n">
        <v>23619</v>
      </c>
      <c r="B23620" t="inlineStr">
        <is>
          <t>x̄x̄MMMDCXIX</t>
        </is>
      </c>
      <c r="C23620">
        <f>ROMAN(23619)</f>
        <v/>
      </c>
      <c r="D23620">
        <f>IF(B23620=C23620, "YES", "WRONG")</f>
        <v/>
      </c>
    </row>
    <row r="23621">
      <c r="A23621" t="n">
        <v>23620</v>
      </c>
      <c r="B23621" t="inlineStr">
        <is>
          <t>x̄x̄MMMDCXX</t>
        </is>
      </c>
      <c r="C23621">
        <f>ROMAN(23620)</f>
        <v/>
      </c>
      <c r="D23621">
        <f>IF(B23621=C23621, "YES", "WRONG")</f>
        <v/>
      </c>
    </row>
    <row r="23622">
      <c r="A23622" t="n">
        <v>23621</v>
      </c>
      <c r="B23622" t="inlineStr">
        <is>
          <t>x̄x̄MMMDCXXI</t>
        </is>
      </c>
      <c r="C23622">
        <f>ROMAN(23621)</f>
        <v/>
      </c>
      <c r="D23622">
        <f>IF(B23622=C23622, "YES", "WRONG")</f>
        <v/>
      </c>
    </row>
    <row r="23623">
      <c r="A23623" t="n">
        <v>23622</v>
      </c>
      <c r="B23623" t="inlineStr">
        <is>
          <t>x̄x̄MMMDCXXII</t>
        </is>
      </c>
      <c r="C23623">
        <f>ROMAN(23622)</f>
        <v/>
      </c>
      <c r="D23623">
        <f>IF(B23623=C23623, "YES", "WRONG")</f>
        <v/>
      </c>
    </row>
    <row r="23624">
      <c r="A23624" t="n">
        <v>23623</v>
      </c>
      <c r="B23624" t="inlineStr">
        <is>
          <t>x̄x̄MMMDCXXIII</t>
        </is>
      </c>
      <c r="C23624">
        <f>ROMAN(23623)</f>
        <v/>
      </c>
      <c r="D23624">
        <f>IF(B23624=C23624, "YES", "WRONG")</f>
        <v/>
      </c>
    </row>
    <row r="23625">
      <c r="A23625" t="n">
        <v>23624</v>
      </c>
      <c r="B23625" t="inlineStr">
        <is>
          <t>x̄x̄MMMDCXXIV</t>
        </is>
      </c>
      <c r="C23625">
        <f>ROMAN(23624)</f>
        <v/>
      </c>
      <c r="D23625">
        <f>IF(B23625=C23625, "YES", "WRONG")</f>
        <v/>
      </c>
    </row>
    <row r="23626">
      <c r="A23626" t="n">
        <v>23625</v>
      </c>
      <c r="B23626" t="inlineStr">
        <is>
          <t>x̄x̄MMMDCXXV</t>
        </is>
      </c>
      <c r="C23626">
        <f>ROMAN(23625)</f>
        <v/>
      </c>
      <c r="D23626">
        <f>IF(B23626=C23626, "YES", "WRONG")</f>
        <v/>
      </c>
    </row>
    <row r="23627">
      <c r="A23627" t="n">
        <v>23626</v>
      </c>
      <c r="B23627" t="inlineStr">
        <is>
          <t>x̄x̄MMMDCXXVI</t>
        </is>
      </c>
      <c r="C23627">
        <f>ROMAN(23626)</f>
        <v/>
      </c>
      <c r="D23627">
        <f>IF(B23627=C23627, "YES", "WRONG")</f>
        <v/>
      </c>
    </row>
    <row r="23628">
      <c r="A23628" t="n">
        <v>23627</v>
      </c>
      <c r="B23628" t="inlineStr">
        <is>
          <t>x̄x̄MMMDCXXVII</t>
        </is>
      </c>
      <c r="C23628">
        <f>ROMAN(23627)</f>
        <v/>
      </c>
      <c r="D23628">
        <f>IF(B23628=C23628, "YES", "WRONG")</f>
        <v/>
      </c>
    </row>
    <row r="23629">
      <c r="A23629" t="n">
        <v>23628</v>
      </c>
      <c r="B23629" t="inlineStr">
        <is>
          <t>x̄x̄MMMDCXXVIII</t>
        </is>
      </c>
      <c r="C23629">
        <f>ROMAN(23628)</f>
        <v/>
      </c>
      <c r="D23629">
        <f>IF(B23629=C23629, "YES", "WRONG")</f>
        <v/>
      </c>
    </row>
    <row r="23630">
      <c r="A23630" t="n">
        <v>23629</v>
      </c>
      <c r="B23630" t="inlineStr">
        <is>
          <t>x̄x̄MMMDCXXIX</t>
        </is>
      </c>
      <c r="C23630">
        <f>ROMAN(23629)</f>
        <v/>
      </c>
      <c r="D23630">
        <f>IF(B23630=C23630, "YES", "WRONG")</f>
        <v/>
      </c>
    </row>
    <row r="23631">
      <c r="A23631" t="n">
        <v>23630</v>
      </c>
      <c r="B23631" t="inlineStr">
        <is>
          <t>x̄x̄MMMDCXXX</t>
        </is>
      </c>
      <c r="C23631">
        <f>ROMAN(23630)</f>
        <v/>
      </c>
      <c r="D23631">
        <f>IF(B23631=C23631, "YES", "WRONG")</f>
        <v/>
      </c>
    </row>
    <row r="23632">
      <c r="A23632" t="n">
        <v>23631</v>
      </c>
      <c r="B23632" t="inlineStr">
        <is>
          <t>x̄x̄MMMDCXXXI</t>
        </is>
      </c>
      <c r="C23632">
        <f>ROMAN(23631)</f>
        <v/>
      </c>
      <c r="D23632">
        <f>IF(B23632=C23632, "YES", "WRONG")</f>
        <v/>
      </c>
    </row>
    <row r="23633">
      <c r="A23633" t="n">
        <v>23632</v>
      </c>
      <c r="B23633" t="inlineStr">
        <is>
          <t>x̄x̄MMMDCXXXII</t>
        </is>
      </c>
      <c r="C23633">
        <f>ROMAN(23632)</f>
        <v/>
      </c>
      <c r="D23633">
        <f>IF(B23633=C23633, "YES", "WRONG")</f>
        <v/>
      </c>
    </row>
    <row r="23634">
      <c r="A23634" t="n">
        <v>23633</v>
      </c>
      <c r="B23634" t="inlineStr">
        <is>
          <t>x̄x̄MMMDCXXXIII</t>
        </is>
      </c>
      <c r="C23634">
        <f>ROMAN(23633)</f>
        <v/>
      </c>
      <c r="D23634">
        <f>IF(B23634=C23634, "YES", "WRONG")</f>
        <v/>
      </c>
    </row>
    <row r="23635">
      <c r="A23635" t="n">
        <v>23634</v>
      </c>
      <c r="B23635" t="inlineStr">
        <is>
          <t>x̄x̄MMMDCXXXIV</t>
        </is>
      </c>
      <c r="C23635">
        <f>ROMAN(23634)</f>
        <v/>
      </c>
      <c r="D23635">
        <f>IF(B23635=C23635, "YES", "WRONG")</f>
        <v/>
      </c>
    </row>
    <row r="23636">
      <c r="A23636" t="n">
        <v>23635</v>
      </c>
      <c r="B23636" t="inlineStr">
        <is>
          <t>x̄x̄MMMDCXXXV</t>
        </is>
      </c>
      <c r="C23636">
        <f>ROMAN(23635)</f>
        <v/>
      </c>
      <c r="D23636">
        <f>IF(B23636=C23636, "YES", "WRONG")</f>
        <v/>
      </c>
    </row>
    <row r="23637">
      <c r="A23637" t="n">
        <v>23636</v>
      </c>
      <c r="B23637" t="inlineStr">
        <is>
          <t>x̄x̄MMMDCXXXVI</t>
        </is>
      </c>
      <c r="C23637">
        <f>ROMAN(23636)</f>
        <v/>
      </c>
      <c r="D23637">
        <f>IF(B23637=C23637, "YES", "WRONG")</f>
        <v/>
      </c>
    </row>
    <row r="23638">
      <c r="A23638" t="n">
        <v>23637</v>
      </c>
      <c r="B23638" t="inlineStr">
        <is>
          <t>x̄x̄MMMDCXXXVII</t>
        </is>
      </c>
      <c r="C23638">
        <f>ROMAN(23637)</f>
        <v/>
      </c>
      <c r="D23638">
        <f>IF(B23638=C23638, "YES", "WRONG")</f>
        <v/>
      </c>
    </row>
    <row r="23639">
      <c r="A23639" t="n">
        <v>23638</v>
      </c>
      <c r="B23639" t="inlineStr">
        <is>
          <t>x̄x̄MMMDCXXXVIII</t>
        </is>
      </c>
      <c r="C23639">
        <f>ROMAN(23638)</f>
        <v/>
      </c>
      <c r="D23639">
        <f>IF(B23639=C23639, "YES", "WRONG")</f>
        <v/>
      </c>
    </row>
    <row r="23640">
      <c r="A23640" t="n">
        <v>23639</v>
      </c>
      <c r="B23640" t="inlineStr">
        <is>
          <t>x̄x̄MMMDCXXXIX</t>
        </is>
      </c>
      <c r="C23640">
        <f>ROMAN(23639)</f>
        <v/>
      </c>
      <c r="D23640">
        <f>IF(B23640=C23640, "YES", "WRONG")</f>
        <v/>
      </c>
    </row>
    <row r="23641">
      <c r="A23641" t="n">
        <v>23640</v>
      </c>
      <c r="B23641" t="inlineStr">
        <is>
          <t>x̄x̄MMMDCXL</t>
        </is>
      </c>
      <c r="C23641">
        <f>ROMAN(23640)</f>
        <v/>
      </c>
      <c r="D23641">
        <f>IF(B23641=C23641, "YES", "WRONG")</f>
        <v/>
      </c>
    </row>
    <row r="23642">
      <c r="A23642" t="n">
        <v>23641</v>
      </c>
      <c r="B23642" t="inlineStr">
        <is>
          <t>x̄x̄MMMDCXLI</t>
        </is>
      </c>
      <c r="C23642">
        <f>ROMAN(23641)</f>
        <v/>
      </c>
      <c r="D23642">
        <f>IF(B23642=C23642, "YES", "WRONG")</f>
        <v/>
      </c>
    </row>
    <row r="23643">
      <c r="A23643" t="n">
        <v>23642</v>
      </c>
      <c r="B23643" t="inlineStr">
        <is>
          <t>x̄x̄MMMDCXLII</t>
        </is>
      </c>
      <c r="C23643">
        <f>ROMAN(23642)</f>
        <v/>
      </c>
      <c r="D23643">
        <f>IF(B23643=C23643, "YES", "WRONG")</f>
        <v/>
      </c>
    </row>
    <row r="23644">
      <c r="A23644" t="n">
        <v>23643</v>
      </c>
      <c r="B23644" t="inlineStr">
        <is>
          <t>x̄x̄MMMDCXLIII</t>
        </is>
      </c>
      <c r="C23644">
        <f>ROMAN(23643)</f>
        <v/>
      </c>
      <c r="D23644">
        <f>IF(B23644=C23644, "YES", "WRONG")</f>
        <v/>
      </c>
    </row>
    <row r="23645">
      <c r="A23645" t="n">
        <v>23644</v>
      </c>
      <c r="B23645" t="inlineStr">
        <is>
          <t>x̄x̄MMMDCXLIV</t>
        </is>
      </c>
      <c r="C23645">
        <f>ROMAN(23644)</f>
        <v/>
      </c>
      <c r="D23645">
        <f>IF(B23645=C23645, "YES", "WRONG")</f>
        <v/>
      </c>
    </row>
    <row r="23646">
      <c r="A23646" t="n">
        <v>23645</v>
      </c>
      <c r="B23646" t="inlineStr">
        <is>
          <t>x̄x̄MMMDCXLV</t>
        </is>
      </c>
      <c r="C23646">
        <f>ROMAN(23645)</f>
        <v/>
      </c>
      <c r="D23646">
        <f>IF(B23646=C23646, "YES", "WRONG")</f>
        <v/>
      </c>
    </row>
    <row r="23647">
      <c r="A23647" t="n">
        <v>23646</v>
      </c>
      <c r="B23647" t="inlineStr">
        <is>
          <t>x̄x̄MMMDCXLVI</t>
        </is>
      </c>
      <c r="C23647">
        <f>ROMAN(23646)</f>
        <v/>
      </c>
      <c r="D23647">
        <f>IF(B23647=C23647, "YES", "WRONG")</f>
        <v/>
      </c>
    </row>
    <row r="23648">
      <c r="A23648" t="n">
        <v>23647</v>
      </c>
      <c r="B23648" t="inlineStr">
        <is>
          <t>x̄x̄MMMDCXLVII</t>
        </is>
      </c>
      <c r="C23648">
        <f>ROMAN(23647)</f>
        <v/>
      </c>
      <c r="D23648">
        <f>IF(B23648=C23648, "YES", "WRONG")</f>
        <v/>
      </c>
    </row>
    <row r="23649">
      <c r="A23649" t="n">
        <v>23648</v>
      </c>
      <c r="B23649" t="inlineStr">
        <is>
          <t>x̄x̄MMMDCXLVIII</t>
        </is>
      </c>
      <c r="C23649">
        <f>ROMAN(23648)</f>
        <v/>
      </c>
      <c r="D23649">
        <f>IF(B23649=C23649, "YES", "WRONG")</f>
        <v/>
      </c>
    </row>
    <row r="23650">
      <c r="A23650" t="n">
        <v>23649</v>
      </c>
      <c r="B23650" t="inlineStr">
        <is>
          <t>x̄x̄MMMDCXLIX</t>
        </is>
      </c>
      <c r="C23650">
        <f>ROMAN(23649)</f>
        <v/>
      </c>
      <c r="D23650">
        <f>IF(B23650=C23650, "YES", "WRONG")</f>
        <v/>
      </c>
    </row>
    <row r="23651">
      <c r="A23651" t="n">
        <v>23650</v>
      </c>
      <c r="B23651" t="inlineStr">
        <is>
          <t>x̄x̄MMMDCL</t>
        </is>
      </c>
      <c r="C23651">
        <f>ROMAN(23650)</f>
        <v/>
      </c>
      <c r="D23651">
        <f>IF(B23651=C23651, "YES", "WRONG")</f>
        <v/>
      </c>
    </row>
    <row r="23652">
      <c r="A23652" t="n">
        <v>23651</v>
      </c>
      <c r="B23652" t="inlineStr">
        <is>
          <t>x̄x̄MMMDCLI</t>
        </is>
      </c>
      <c r="C23652">
        <f>ROMAN(23651)</f>
        <v/>
      </c>
      <c r="D23652">
        <f>IF(B23652=C23652, "YES", "WRONG")</f>
        <v/>
      </c>
    </row>
    <row r="23653">
      <c r="A23653" t="n">
        <v>23652</v>
      </c>
      <c r="B23653" t="inlineStr">
        <is>
          <t>x̄x̄MMMDCLII</t>
        </is>
      </c>
      <c r="C23653">
        <f>ROMAN(23652)</f>
        <v/>
      </c>
      <c r="D23653">
        <f>IF(B23653=C23653, "YES", "WRONG")</f>
        <v/>
      </c>
    </row>
    <row r="23654">
      <c r="A23654" t="n">
        <v>23653</v>
      </c>
      <c r="B23654" t="inlineStr">
        <is>
          <t>x̄x̄MMMDCLIII</t>
        </is>
      </c>
      <c r="C23654">
        <f>ROMAN(23653)</f>
        <v/>
      </c>
      <c r="D23654">
        <f>IF(B23654=C23654, "YES", "WRONG")</f>
        <v/>
      </c>
    </row>
    <row r="23655">
      <c r="A23655" t="n">
        <v>23654</v>
      </c>
      <c r="B23655" t="inlineStr">
        <is>
          <t>x̄x̄MMMDCLIV</t>
        </is>
      </c>
      <c r="C23655">
        <f>ROMAN(23654)</f>
        <v/>
      </c>
      <c r="D23655">
        <f>IF(B23655=C23655, "YES", "WRONG")</f>
        <v/>
      </c>
    </row>
    <row r="23656">
      <c r="A23656" t="n">
        <v>23655</v>
      </c>
      <c r="B23656" t="inlineStr">
        <is>
          <t>x̄x̄MMMDCLV</t>
        </is>
      </c>
      <c r="C23656">
        <f>ROMAN(23655)</f>
        <v/>
      </c>
      <c r="D23656">
        <f>IF(B23656=C23656, "YES", "WRONG")</f>
        <v/>
      </c>
    </row>
    <row r="23657">
      <c r="A23657" t="n">
        <v>23656</v>
      </c>
      <c r="B23657" t="inlineStr">
        <is>
          <t>x̄x̄MMMDCLVI</t>
        </is>
      </c>
      <c r="C23657">
        <f>ROMAN(23656)</f>
        <v/>
      </c>
      <c r="D23657">
        <f>IF(B23657=C23657, "YES", "WRONG")</f>
        <v/>
      </c>
    </row>
    <row r="23658">
      <c r="A23658" t="n">
        <v>23657</v>
      </c>
      <c r="B23658" t="inlineStr">
        <is>
          <t>x̄x̄MMMDCLVII</t>
        </is>
      </c>
      <c r="C23658">
        <f>ROMAN(23657)</f>
        <v/>
      </c>
      <c r="D23658">
        <f>IF(B23658=C23658, "YES", "WRONG")</f>
        <v/>
      </c>
    </row>
    <row r="23659">
      <c r="A23659" t="n">
        <v>23658</v>
      </c>
      <c r="B23659" t="inlineStr">
        <is>
          <t>x̄x̄MMMDCLVIII</t>
        </is>
      </c>
      <c r="C23659">
        <f>ROMAN(23658)</f>
        <v/>
      </c>
      <c r="D23659">
        <f>IF(B23659=C23659, "YES", "WRONG")</f>
        <v/>
      </c>
    </row>
    <row r="23660">
      <c r="A23660" t="n">
        <v>23659</v>
      </c>
      <c r="B23660" t="inlineStr">
        <is>
          <t>x̄x̄MMMDCLIX</t>
        </is>
      </c>
      <c r="C23660">
        <f>ROMAN(23659)</f>
        <v/>
      </c>
      <c r="D23660">
        <f>IF(B23660=C23660, "YES", "WRONG")</f>
        <v/>
      </c>
    </row>
    <row r="23661">
      <c r="A23661" t="n">
        <v>23660</v>
      </c>
      <c r="B23661" t="inlineStr">
        <is>
          <t>x̄x̄MMMDCLX</t>
        </is>
      </c>
      <c r="C23661">
        <f>ROMAN(23660)</f>
        <v/>
      </c>
      <c r="D23661">
        <f>IF(B23661=C23661, "YES", "WRONG")</f>
        <v/>
      </c>
    </row>
    <row r="23662">
      <c r="A23662" t="n">
        <v>23661</v>
      </c>
      <c r="B23662" t="inlineStr">
        <is>
          <t>x̄x̄MMMDCLXI</t>
        </is>
      </c>
      <c r="C23662">
        <f>ROMAN(23661)</f>
        <v/>
      </c>
      <c r="D23662">
        <f>IF(B23662=C23662, "YES", "WRONG")</f>
        <v/>
      </c>
    </row>
    <row r="23663">
      <c r="A23663" t="n">
        <v>23662</v>
      </c>
      <c r="B23663" t="inlineStr">
        <is>
          <t>x̄x̄MMMDCLXII</t>
        </is>
      </c>
      <c r="C23663">
        <f>ROMAN(23662)</f>
        <v/>
      </c>
      <c r="D23663">
        <f>IF(B23663=C23663, "YES", "WRONG")</f>
        <v/>
      </c>
    </row>
    <row r="23664">
      <c r="A23664" t="n">
        <v>23663</v>
      </c>
      <c r="B23664" t="inlineStr">
        <is>
          <t>x̄x̄MMMDCLXIII</t>
        </is>
      </c>
      <c r="C23664">
        <f>ROMAN(23663)</f>
        <v/>
      </c>
      <c r="D23664">
        <f>IF(B23664=C23664, "YES", "WRONG")</f>
        <v/>
      </c>
    </row>
    <row r="23665">
      <c r="A23665" t="n">
        <v>23664</v>
      </c>
      <c r="B23665" t="inlineStr">
        <is>
          <t>x̄x̄MMMDCLXIV</t>
        </is>
      </c>
      <c r="C23665">
        <f>ROMAN(23664)</f>
        <v/>
      </c>
      <c r="D23665">
        <f>IF(B23665=C23665, "YES", "WRONG")</f>
        <v/>
      </c>
    </row>
    <row r="23666">
      <c r="A23666" t="n">
        <v>23665</v>
      </c>
      <c r="B23666" t="inlineStr">
        <is>
          <t>x̄x̄MMMDCLXV</t>
        </is>
      </c>
      <c r="C23666">
        <f>ROMAN(23665)</f>
        <v/>
      </c>
      <c r="D23666">
        <f>IF(B23666=C23666, "YES", "WRONG")</f>
        <v/>
      </c>
    </row>
    <row r="23667">
      <c r="A23667" t="n">
        <v>23666</v>
      </c>
      <c r="B23667" t="inlineStr">
        <is>
          <t>x̄x̄MMMDCLXVI</t>
        </is>
      </c>
      <c r="C23667">
        <f>ROMAN(23666)</f>
        <v/>
      </c>
      <c r="D23667">
        <f>IF(B23667=C23667, "YES", "WRONG")</f>
        <v/>
      </c>
    </row>
    <row r="23668">
      <c r="A23668" t="n">
        <v>23667</v>
      </c>
      <c r="B23668" t="inlineStr">
        <is>
          <t>x̄x̄MMMDCLXVII</t>
        </is>
      </c>
      <c r="C23668">
        <f>ROMAN(23667)</f>
        <v/>
      </c>
      <c r="D23668">
        <f>IF(B23668=C23668, "YES", "WRONG")</f>
        <v/>
      </c>
    </row>
    <row r="23669">
      <c r="A23669" t="n">
        <v>23668</v>
      </c>
      <c r="B23669" t="inlineStr">
        <is>
          <t>x̄x̄MMMDCLXVIII</t>
        </is>
      </c>
      <c r="C23669">
        <f>ROMAN(23668)</f>
        <v/>
      </c>
      <c r="D23669">
        <f>IF(B23669=C23669, "YES", "WRONG")</f>
        <v/>
      </c>
    </row>
    <row r="23670">
      <c r="A23670" t="n">
        <v>23669</v>
      </c>
      <c r="B23670" t="inlineStr">
        <is>
          <t>x̄x̄MMMDCLXIX</t>
        </is>
      </c>
      <c r="C23670">
        <f>ROMAN(23669)</f>
        <v/>
      </c>
      <c r="D23670">
        <f>IF(B23670=C23670, "YES", "WRONG")</f>
        <v/>
      </c>
    </row>
    <row r="23671">
      <c r="A23671" t="n">
        <v>23670</v>
      </c>
      <c r="B23671" t="inlineStr">
        <is>
          <t>x̄x̄MMMDCLXX</t>
        </is>
      </c>
      <c r="C23671">
        <f>ROMAN(23670)</f>
        <v/>
      </c>
      <c r="D23671">
        <f>IF(B23671=C23671, "YES", "WRONG")</f>
        <v/>
      </c>
    </row>
    <row r="23672">
      <c r="A23672" t="n">
        <v>23671</v>
      </c>
      <c r="B23672" t="inlineStr">
        <is>
          <t>x̄x̄MMMDCLXXI</t>
        </is>
      </c>
      <c r="C23672">
        <f>ROMAN(23671)</f>
        <v/>
      </c>
      <c r="D23672">
        <f>IF(B23672=C23672, "YES", "WRONG")</f>
        <v/>
      </c>
    </row>
    <row r="23673">
      <c r="A23673" t="n">
        <v>23672</v>
      </c>
      <c r="B23673" t="inlineStr">
        <is>
          <t>x̄x̄MMMDCLXXII</t>
        </is>
      </c>
      <c r="C23673">
        <f>ROMAN(23672)</f>
        <v/>
      </c>
      <c r="D23673">
        <f>IF(B23673=C23673, "YES", "WRONG")</f>
        <v/>
      </c>
    </row>
    <row r="23674">
      <c r="A23674" t="n">
        <v>23673</v>
      </c>
      <c r="B23674" t="inlineStr">
        <is>
          <t>x̄x̄MMMDCLXXIII</t>
        </is>
      </c>
      <c r="C23674">
        <f>ROMAN(23673)</f>
        <v/>
      </c>
      <c r="D23674">
        <f>IF(B23674=C23674, "YES", "WRONG")</f>
        <v/>
      </c>
    </row>
    <row r="23675">
      <c r="A23675" t="n">
        <v>23674</v>
      </c>
      <c r="B23675" t="inlineStr">
        <is>
          <t>x̄x̄MMMDCLXXIV</t>
        </is>
      </c>
      <c r="C23675">
        <f>ROMAN(23674)</f>
        <v/>
      </c>
      <c r="D23675">
        <f>IF(B23675=C23675, "YES", "WRONG")</f>
        <v/>
      </c>
    </row>
    <row r="23676">
      <c r="A23676" t="n">
        <v>23675</v>
      </c>
      <c r="B23676" t="inlineStr">
        <is>
          <t>x̄x̄MMMDCLXXV</t>
        </is>
      </c>
      <c r="C23676">
        <f>ROMAN(23675)</f>
        <v/>
      </c>
      <c r="D23676">
        <f>IF(B23676=C23676, "YES", "WRONG")</f>
        <v/>
      </c>
    </row>
    <row r="23677">
      <c r="A23677" t="n">
        <v>23676</v>
      </c>
      <c r="B23677" t="inlineStr">
        <is>
          <t>x̄x̄MMMDCLXXVI</t>
        </is>
      </c>
      <c r="C23677">
        <f>ROMAN(23676)</f>
        <v/>
      </c>
      <c r="D23677">
        <f>IF(B23677=C23677, "YES", "WRONG")</f>
        <v/>
      </c>
    </row>
    <row r="23678">
      <c r="A23678" t="n">
        <v>23677</v>
      </c>
      <c r="B23678" t="inlineStr">
        <is>
          <t>x̄x̄MMMDCLXXVII</t>
        </is>
      </c>
      <c r="C23678">
        <f>ROMAN(23677)</f>
        <v/>
      </c>
      <c r="D23678">
        <f>IF(B23678=C23678, "YES", "WRONG")</f>
        <v/>
      </c>
    </row>
    <row r="23679">
      <c r="A23679" t="n">
        <v>23678</v>
      </c>
      <c r="B23679" t="inlineStr">
        <is>
          <t>x̄x̄MMMDCLXXVIII</t>
        </is>
      </c>
      <c r="C23679">
        <f>ROMAN(23678)</f>
        <v/>
      </c>
      <c r="D23679">
        <f>IF(B23679=C23679, "YES", "WRONG")</f>
        <v/>
      </c>
    </row>
    <row r="23680">
      <c r="A23680" t="n">
        <v>23679</v>
      </c>
      <c r="B23680" t="inlineStr">
        <is>
          <t>x̄x̄MMMDCLXXIX</t>
        </is>
      </c>
      <c r="C23680">
        <f>ROMAN(23679)</f>
        <v/>
      </c>
      <c r="D23680">
        <f>IF(B23680=C23680, "YES", "WRONG")</f>
        <v/>
      </c>
    </row>
    <row r="23681">
      <c r="A23681" t="n">
        <v>23680</v>
      </c>
      <c r="B23681" t="inlineStr">
        <is>
          <t>x̄x̄MMMDCLXXX</t>
        </is>
      </c>
      <c r="C23681">
        <f>ROMAN(23680)</f>
        <v/>
      </c>
      <c r="D23681">
        <f>IF(B23681=C23681, "YES", "WRONG")</f>
        <v/>
      </c>
    </row>
    <row r="23682">
      <c r="A23682" t="n">
        <v>23681</v>
      </c>
      <c r="B23682" t="inlineStr">
        <is>
          <t>x̄x̄MMMDCLXXXI</t>
        </is>
      </c>
      <c r="C23682">
        <f>ROMAN(23681)</f>
        <v/>
      </c>
      <c r="D23682">
        <f>IF(B23682=C23682, "YES", "WRONG")</f>
        <v/>
      </c>
    </row>
    <row r="23683">
      <c r="A23683" t="n">
        <v>23682</v>
      </c>
      <c r="B23683" t="inlineStr">
        <is>
          <t>x̄x̄MMMDCLXXXII</t>
        </is>
      </c>
      <c r="C23683">
        <f>ROMAN(23682)</f>
        <v/>
      </c>
      <c r="D23683">
        <f>IF(B23683=C23683, "YES", "WRONG")</f>
        <v/>
      </c>
    </row>
    <row r="23684">
      <c r="A23684" t="n">
        <v>23683</v>
      </c>
      <c r="B23684" t="inlineStr">
        <is>
          <t>x̄x̄MMMDCLXXXIII</t>
        </is>
      </c>
      <c r="C23684">
        <f>ROMAN(23683)</f>
        <v/>
      </c>
      <c r="D23684">
        <f>IF(B23684=C23684, "YES", "WRONG")</f>
        <v/>
      </c>
    </row>
    <row r="23685">
      <c r="A23685" t="n">
        <v>23684</v>
      </c>
      <c r="B23685" t="inlineStr">
        <is>
          <t>x̄x̄MMMDCLXXXIV</t>
        </is>
      </c>
      <c r="C23685">
        <f>ROMAN(23684)</f>
        <v/>
      </c>
      <c r="D23685">
        <f>IF(B23685=C23685, "YES", "WRONG")</f>
        <v/>
      </c>
    </row>
    <row r="23686">
      <c r="A23686" t="n">
        <v>23685</v>
      </c>
      <c r="B23686" t="inlineStr">
        <is>
          <t>x̄x̄MMMDCLXXXV</t>
        </is>
      </c>
      <c r="C23686">
        <f>ROMAN(23685)</f>
        <v/>
      </c>
      <c r="D23686">
        <f>IF(B23686=C23686, "YES", "WRONG")</f>
        <v/>
      </c>
    </row>
    <row r="23687">
      <c r="A23687" t="n">
        <v>23686</v>
      </c>
      <c r="B23687" t="inlineStr">
        <is>
          <t>x̄x̄MMMDCLXXXVI</t>
        </is>
      </c>
      <c r="C23687">
        <f>ROMAN(23686)</f>
        <v/>
      </c>
      <c r="D23687">
        <f>IF(B23687=C23687, "YES", "WRONG")</f>
        <v/>
      </c>
    </row>
    <row r="23688">
      <c r="A23688" t="n">
        <v>23687</v>
      </c>
      <c r="B23688" t="inlineStr">
        <is>
          <t>x̄x̄MMMDCLXXXVII</t>
        </is>
      </c>
      <c r="C23688">
        <f>ROMAN(23687)</f>
        <v/>
      </c>
      <c r="D23688">
        <f>IF(B23688=C23688, "YES", "WRONG")</f>
        <v/>
      </c>
    </row>
    <row r="23689">
      <c r="A23689" t="n">
        <v>23688</v>
      </c>
      <c r="B23689" t="inlineStr">
        <is>
          <t>x̄x̄MMMDCLXXXVIII</t>
        </is>
      </c>
      <c r="C23689">
        <f>ROMAN(23688)</f>
        <v/>
      </c>
      <c r="D23689">
        <f>IF(B23689=C23689, "YES", "WRONG")</f>
        <v/>
      </c>
    </row>
    <row r="23690">
      <c r="A23690" t="n">
        <v>23689</v>
      </c>
      <c r="B23690" t="inlineStr">
        <is>
          <t>x̄x̄MMMDCLXXXIX</t>
        </is>
      </c>
      <c r="C23690">
        <f>ROMAN(23689)</f>
        <v/>
      </c>
      <c r="D23690">
        <f>IF(B23690=C23690, "YES", "WRONG")</f>
        <v/>
      </c>
    </row>
    <row r="23691">
      <c r="A23691" t="n">
        <v>23690</v>
      </c>
      <c r="B23691" t="inlineStr">
        <is>
          <t>x̄x̄MMMDCXC</t>
        </is>
      </c>
      <c r="C23691">
        <f>ROMAN(23690)</f>
        <v/>
      </c>
      <c r="D23691">
        <f>IF(B23691=C23691, "YES", "WRONG")</f>
        <v/>
      </c>
    </row>
    <row r="23692">
      <c r="A23692" t="n">
        <v>23691</v>
      </c>
      <c r="B23692" t="inlineStr">
        <is>
          <t>x̄x̄MMMDCXCI</t>
        </is>
      </c>
      <c r="C23692">
        <f>ROMAN(23691)</f>
        <v/>
      </c>
      <c r="D23692">
        <f>IF(B23692=C23692, "YES", "WRONG")</f>
        <v/>
      </c>
    </row>
    <row r="23693">
      <c r="A23693" t="n">
        <v>23692</v>
      </c>
      <c r="B23693" t="inlineStr">
        <is>
          <t>x̄x̄MMMDCXCII</t>
        </is>
      </c>
      <c r="C23693">
        <f>ROMAN(23692)</f>
        <v/>
      </c>
      <c r="D23693">
        <f>IF(B23693=C23693, "YES", "WRONG")</f>
        <v/>
      </c>
    </row>
    <row r="23694">
      <c r="A23694" t="n">
        <v>23693</v>
      </c>
      <c r="B23694" t="inlineStr">
        <is>
          <t>x̄x̄MMMDCXCIII</t>
        </is>
      </c>
      <c r="C23694">
        <f>ROMAN(23693)</f>
        <v/>
      </c>
      <c r="D23694">
        <f>IF(B23694=C23694, "YES", "WRONG")</f>
        <v/>
      </c>
    </row>
    <row r="23695">
      <c r="A23695" t="n">
        <v>23694</v>
      </c>
      <c r="B23695" t="inlineStr">
        <is>
          <t>x̄x̄MMMDCXCIV</t>
        </is>
      </c>
      <c r="C23695">
        <f>ROMAN(23694)</f>
        <v/>
      </c>
      <c r="D23695">
        <f>IF(B23695=C23695, "YES", "WRONG")</f>
        <v/>
      </c>
    </row>
    <row r="23696">
      <c r="A23696" t="n">
        <v>23695</v>
      </c>
      <c r="B23696" t="inlineStr">
        <is>
          <t>x̄x̄MMMDCXCV</t>
        </is>
      </c>
      <c r="C23696">
        <f>ROMAN(23695)</f>
        <v/>
      </c>
      <c r="D23696">
        <f>IF(B23696=C23696, "YES", "WRONG")</f>
        <v/>
      </c>
    </row>
    <row r="23697">
      <c r="A23697" t="n">
        <v>23696</v>
      </c>
      <c r="B23697" t="inlineStr">
        <is>
          <t>x̄x̄MMMDCXCVI</t>
        </is>
      </c>
      <c r="C23697">
        <f>ROMAN(23696)</f>
        <v/>
      </c>
      <c r="D23697">
        <f>IF(B23697=C23697, "YES", "WRONG")</f>
        <v/>
      </c>
    </row>
    <row r="23698">
      <c r="A23698" t="n">
        <v>23697</v>
      </c>
      <c r="B23698" t="inlineStr">
        <is>
          <t>x̄x̄MMMDCXCVII</t>
        </is>
      </c>
      <c r="C23698">
        <f>ROMAN(23697)</f>
        <v/>
      </c>
      <c r="D23698">
        <f>IF(B23698=C23698, "YES", "WRONG")</f>
        <v/>
      </c>
    </row>
    <row r="23699">
      <c r="A23699" t="n">
        <v>23698</v>
      </c>
      <c r="B23699" t="inlineStr">
        <is>
          <t>x̄x̄MMMDCXCVIII</t>
        </is>
      </c>
      <c r="C23699">
        <f>ROMAN(23698)</f>
        <v/>
      </c>
      <c r="D23699">
        <f>IF(B23699=C23699, "YES", "WRONG")</f>
        <v/>
      </c>
    </row>
    <row r="23700">
      <c r="A23700" t="n">
        <v>23699</v>
      </c>
      <c r="B23700" t="inlineStr">
        <is>
          <t>x̄x̄MMMDCXCIX</t>
        </is>
      </c>
      <c r="C23700">
        <f>ROMAN(23699)</f>
        <v/>
      </c>
      <c r="D23700">
        <f>IF(B23700=C23700, "YES", "WRONG")</f>
        <v/>
      </c>
    </row>
    <row r="23701">
      <c r="A23701" t="n">
        <v>23700</v>
      </c>
      <c r="B23701" t="inlineStr">
        <is>
          <t>x̄x̄MMMDCC</t>
        </is>
      </c>
      <c r="C23701">
        <f>ROMAN(23700)</f>
        <v/>
      </c>
      <c r="D23701">
        <f>IF(B23701=C23701, "YES", "WRONG")</f>
        <v/>
      </c>
    </row>
    <row r="23702">
      <c r="A23702" t="n">
        <v>23701</v>
      </c>
      <c r="B23702" t="inlineStr">
        <is>
          <t>x̄x̄MMMDCCI</t>
        </is>
      </c>
      <c r="C23702">
        <f>ROMAN(23701)</f>
        <v/>
      </c>
      <c r="D23702">
        <f>IF(B23702=C23702, "YES", "WRONG")</f>
        <v/>
      </c>
    </row>
    <row r="23703">
      <c r="A23703" t="n">
        <v>23702</v>
      </c>
      <c r="B23703" t="inlineStr">
        <is>
          <t>x̄x̄MMMDCCII</t>
        </is>
      </c>
      <c r="C23703">
        <f>ROMAN(23702)</f>
        <v/>
      </c>
      <c r="D23703">
        <f>IF(B23703=C23703, "YES", "WRONG")</f>
        <v/>
      </c>
    </row>
    <row r="23704">
      <c r="A23704" t="n">
        <v>23703</v>
      </c>
      <c r="B23704" t="inlineStr">
        <is>
          <t>x̄x̄MMMDCCIII</t>
        </is>
      </c>
      <c r="C23704">
        <f>ROMAN(23703)</f>
        <v/>
      </c>
      <c r="D23704">
        <f>IF(B23704=C23704, "YES", "WRONG")</f>
        <v/>
      </c>
    </row>
    <row r="23705">
      <c r="A23705" t="n">
        <v>23704</v>
      </c>
      <c r="B23705" t="inlineStr">
        <is>
          <t>x̄x̄MMMDCCIV</t>
        </is>
      </c>
      <c r="C23705">
        <f>ROMAN(23704)</f>
        <v/>
      </c>
      <c r="D23705">
        <f>IF(B23705=C23705, "YES", "WRONG")</f>
        <v/>
      </c>
    </row>
    <row r="23706">
      <c r="A23706" t="n">
        <v>23705</v>
      </c>
      <c r="B23706" t="inlineStr">
        <is>
          <t>x̄x̄MMMDCCV</t>
        </is>
      </c>
      <c r="C23706">
        <f>ROMAN(23705)</f>
        <v/>
      </c>
      <c r="D23706">
        <f>IF(B23706=C23706, "YES", "WRONG")</f>
        <v/>
      </c>
    </row>
    <row r="23707">
      <c r="A23707" t="n">
        <v>23706</v>
      </c>
      <c r="B23707" t="inlineStr">
        <is>
          <t>x̄x̄MMMDCCVI</t>
        </is>
      </c>
      <c r="C23707">
        <f>ROMAN(23706)</f>
        <v/>
      </c>
      <c r="D23707">
        <f>IF(B23707=C23707, "YES", "WRONG")</f>
        <v/>
      </c>
    </row>
    <row r="23708">
      <c r="A23708" t="n">
        <v>23707</v>
      </c>
      <c r="B23708" t="inlineStr">
        <is>
          <t>x̄x̄MMMDCCVII</t>
        </is>
      </c>
      <c r="C23708">
        <f>ROMAN(23707)</f>
        <v/>
      </c>
      <c r="D23708">
        <f>IF(B23708=C23708, "YES", "WRONG")</f>
        <v/>
      </c>
    </row>
    <row r="23709">
      <c r="A23709" t="n">
        <v>23708</v>
      </c>
      <c r="B23709" t="inlineStr">
        <is>
          <t>x̄x̄MMMDCCVIII</t>
        </is>
      </c>
      <c r="C23709">
        <f>ROMAN(23708)</f>
        <v/>
      </c>
      <c r="D23709">
        <f>IF(B23709=C23709, "YES", "WRONG")</f>
        <v/>
      </c>
    </row>
    <row r="23710">
      <c r="A23710" t="n">
        <v>23709</v>
      </c>
      <c r="B23710" t="inlineStr">
        <is>
          <t>x̄x̄MMMDCCIX</t>
        </is>
      </c>
      <c r="C23710">
        <f>ROMAN(23709)</f>
        <v/>
      </c>
      <c r="D23710">
        <f>IF(B23710=C23710, "YES", "WRONG")</f>
        <v/>
      </c>
    </row>
    <row r="23711">
      <c r="A23711" t="n">
        <v>23710</v>
      </c>
      <c r="B23711" t="inlineStr">
        <is>
          <t>x̄x̄MMMDCCX</t>
        </is>
      </c>
      <c r="C23711">
        <f>ROMAN(23710)</f>
        <v/>
      </c>
      <c r="D23711">
        <f>IF(B23711=C23711, "YES", "WRONG")</f>
        <v/>
      </c>
    </row>
    <row r="23712">
      <c r="A23712" t="n">
        <v>23711</v>
      </c>
      <c r="B23712" t="inlineStr">
        <is>
          <t>x̄x̄MMMDCCXI</t>
        </is>
      </c>
      <c r="C23712">
        <f>ROMAN(23711)</f>
        <v/>
      </c>
      <c r="D23712">
        <f>IF(B23712=C23712, "YES", "WRONG")</f>
        <v/>
      </c>
    </row>
    <row r="23713">
      <c r="A23713" t="n">
        <v>23712</v>
      </c>
      <c r="B23713" t="inlineStr">
        <is>
          <t>x̄x̄MMMDCCXII</t>
        </is>
      </c>
      <c r="C23713">
        <f>ROMAN(23712)</f>
        <v/>
      </c>
      <c r="D23713">
        <f>IF(B23713=C23713, "YES", "WRONG")</f>
        <v/>
      </c>
    </row>
    <row r="23714">
      <c r="A23714" t="n">
        <v>23713</v>
      </c>
      <c r="B23714" t="inlineStr">
        <is>
          <t>x̄x̄MMMDCCXIII</t>
        </is>
      </c>
      <c r="C23714">
        <f>ROMAN(23713)</f>
        <v/>
      </c>
      <c r="D23714">
        <f>IF(B23714=C23714, "YES", "WRONG")</f>
        <v/>
      </c>
    </row>
    <row r="23715">
      <c r="A23715" t="n">
        <v>23714</v>
      </c>
      <c r="B23715" t="inlineStr">
        <is>
          <t>x̄x̄MMMDCCXIV</t>
        </is>
      </c>
      <c r="C23715">
        <f>ROMAN(23714)</f>
        <v/>
      </c>
      <c r="D23715">
        <f>IF(B23715=C23715, "YES", "WRONG")</f>
        <v/>
      </c>
    </row>
    <row r="23716">
      <c r="A23716" t="n">
        <v>23715</v>
      </c>
      <c r="B23716" t="inlineStr">
        <is>
          <t>x̄x̄MMMDCCXV</t>
        </is>
      </c>
      <c r="C23716">
        <f>ROMAN(23715)</f>
        <v/>
      </c>
      <c r="D23716">
        <f>IF(B23716=C23716, "YES", "WRONG")</f>
        <v/>
      </c>
    </row>
    <row r="23717">
      <c r="A23717" t="n">
        <v>23716</v>
      </c>
      <c r="B23717" t="inlineStr">
        <is>
          <t>x̄x̄MMMDCCXVI</t>
        </is>
      </c>
      <c r="C23717">
        <f>ROMAN(23716)</f>
        <v/>
      </c>
      <c r="D23717">
        <f>IF(B23717=C23717, "YES", "WRONG")</f>
        <v/>
      </c>
    </row>
    <row r="23718">
      <c r="A23718" t="n">
        <v>23717</v>
      </c>
      <c r="B23718" t="inlineStr">
        <is>
          <t>x̄x̄MMMDCCXVII</t>
        </is>
      </c>
      <c r="C23718">
        <f>ROMAN(23717)</f>
        <v/>
      </c>
      <c r="D23718">
        <f>IF(B23718=C23718, "YES", "WRONG")</f>
        <v/>
      </c>
    </row>
    <row r="23719">
      <c r="A23719" t="n">
        <v>23718</v>
      </c>
      <c r="B23719" t="inlineStr">
        <is>
          <t>x̄x̄MMMDCCXVIII</t>
        </is>
      </c>
      <c r="C23719">
        <f>ROMAN(23718)</f>
        <v/>
      </c>
      <c r="D23719">
        <f>IF(B23719=C23719, "YES", "WRONG")</f>
        <v/>
      </c>
    </row>
    <row r="23720">
      <c r="A23720" t="n">
        <v>23719</v>
      </c>
      <c r="B23720" t="inlineStr">
        <is>
          <t>x̄x̄MMMDCCXIX</t>
        </is>
      </c>
      <c r="C23720">
        <f>ROMAN(23719)</f>
        <v/>
      </c>
      <c r="D23720">
        <f>IF(B23720=C23720, "YES", "WRONG")</f>
        <v/>
      </c>
    </row>
    <row r="23721">
      <c r="A23721" t="n">
        <v>23720</v>
      </c>
      <c r="B23721" t="inlineStr">
        <is>
          <t>x̄x̄MMMDCCXX</t>
        </is>
      </c>
      <c r="C23721">
        <f>ROMAN(23720)</f>
        <v/>
      </c>
      <c r="D23721">
        <f>IF(B23721=C23721, "YES", "WRONG")</f>
        <v/>
      </c>
    </row>
    <row r="23722">
      <c r="A23722" t="n">
        <v>23721</v>
      </c>
      <c r="B23722" t="inlineStr">
        <is>
          <t>x̄x̄MMMDCCXXI</t>
        </is>
      </c>
      <c r="C23722">
        <f>ROMAN(23721)</f>
        <v/>
      </c>
      <c r="D23722">
        <f>IF(B23722=C23722, "YES", "WRONG")</f>
        <v/>
      </c>
    </row>
    <row r="23723">
      <c r="A23723" t="n">
        <v>23722</v>
      </c>
      <c r="B23723" t="inlineStr">
        <is>
          <t>x̄x̄MMMDCCXXII</t>
        </is>
      </c>
      <c r="C23723">
        <f>ROMAN(23722)</f>
        <v/>
      </c>
      <c r="D23723">
        <f>IF(B23723=C23723, "YES", "WRONG")</f>
        <v/>
      </c>
    </row>
    <row r="23724">
      <c r="A23724" t="n">
        <v>23723</v>
      </c>
      <c r="B23724" t="inlineStr">
        <is>
          <t>x̄x̄MMMDCCXXIII</t>
        </is>
      </c>
      <c r="C23724">
        <f>ROMAN(23723)</f>
        <v/>
      </c>
      <c r="D23724">
        <f>IF(B23724=C23724, "YES", "WRONG")</f>
        <v/>
      </c>
    </row>
    <row r="23725">
      <c r="A23725" t="n">
        <v>23724</v>
      </c>
      <c r="B23725" t="inlineStr">
        <is>
          <t>x̄x̄MMMDCCXXIV</t>
        </is>
      </c>
      <c r="C23725">
        <f>ROMAN(23724)</f>
        <v/>
      </c>
      <c r="D23725">
        <f>IF(B23725=C23725, "YES", "WRONG")</f>
        <v/>
      </c>
    </row>
    <row r="23726">
      <c r="A23726" t="n">
        <v>23725</v>
      </c>
      <c r="B23726" t="inlineStr">
        <is>
          <t>x̄x̄MMMDCCXXV</t>
        </is>
      </c>
      <c r="C23726">
        <f>ROMAN(23725)</f>
        <v/>
      </c>
      <c r="D23726">
        <f>IF(B23726=C23726, "YES", "WRONG")</f>
        <v/>
      </c>
    </row>
    <row r="23727">
      <c r="A23727" t="n">
        <v>23726</v>
      </c>
      <c r="B23727" t="inlineStr">
        <is>
          <t>x̄x̄MMMDCCXXVI</t>
        </is>
      </c>
      <c r="C23727">
        <f>ROMAN(23726)</f>
        <v/>
      </c>
      <c r="D23727">
        <f>IF(B23727=C23727, "YES", "WRONG")</f>
        <v/>
      </c>
    </row>
    <row r="23728">
      <c r="A23728" t="n">
        <v>23727</v>
      </c>
      <c r="B23728" t="inlineStr">
        <is>
          <t>x̄x̄MMMDCCXXVII</t>
        </is>
      </c>
      <c r="C23728">
        <f>ROMAN(23727)</f>
        <v/>
      </c>
      <c r="D23728">
        <f>IF(B23728=C23728, "YES", "WRONG")</f>
        <v/>
      </c>
    </row>
    <row r="23729">
      <c r="A23729" t="n">
        <v>23728</v>
      </c>
      <c r="B23729" t="inlineStr">
        <is>
          <t>x̄x̄MMMDCCXXVIII</t>
        </is>
      </c>
      <c r="C23729">
        <f>ROMAN(23728)</f>
        <v/>
      </c>
      <c r="D23729">
        <f>IF(B23729=C23729, "YES", "WRONG")</f>
        <v/>
      </c>
    </row>
    <row r="23730">
      <c r="A23730" t="n">
        <v>23729</v>
      </c>
      <c r="B23730" t="inlineStr">
        <is>
          <t>x̄x̄MMMDCCXXIX</t>
        </is>
      </c>
      <c r="C23730">
        <f>ROMAN(23729)</f>
        <v/>
      </c>
      <c r="D23730">
        <f>IF(B23730=C23730, "YES", "WRONG")</f>
        <v/>
      </c>
    </row>
    <row r="23731">
      <c r="A23731" t="n">
        <v>23730</v>
      </c>
      <c r="B23731" t="inlineStr">
        <is>
          <t>x̄x̄MMMDCCXXX</t>
        </is>
      </c>
      <c r="C23731">
        <f>ROMAN(23730)</f>
        <v/>
      </c>
      <c r="D23731">
        <f>IF(B23731=C23731, "YES", "WRONG")</f>
        <v/>
      </c>
    </row>
    <row r="23732">
      <c r="A23732" t="n">
        <v>23731</v>
      </c>
      <c r="B23732" t="inlineStr">
        <is>
          <t>x̄x̄MMMDCCXXXI</t>
        </is>
      </c>
      <c r="C23732">
        <f>ROMAN(23731)</f>
        <v/>
      </c>
      <c r="D23732">
        <f>IF(B23732=C23732, "YES", "WRONG")</f>
        <v/>
      </c>
    </row>
    <row r="23733">
      <c r="A23733" t="n">
        <v>23732</v>
      </c>
      <c r="B23733" t="inlineStr">
        <is>
          <t>x̄x̄MMMDCCXXXII</t>
        </is>
      </c>
      <c r="C23733">
        <f>ROMAN(23732)</f>
        <v/>
      </c>
      <c r="D23733">
        <f>IF(B23733=C23733, "YES", "WRONG")</f>
        <v/>
      </c>
    </row>
    <row r="23734">
      <c r="A23734" t="n">
        <v>23733</v>
      </c>
      <c r="B23734" t="inlineStr">
        <is>
          <t>x̄x̄MMMDCCXXXIII</t>
        </is>
      </c>
      <c r="C23734">
        <f>ROMAN(23733)</f>
        <v/>
      </c>
      <c r="D23734">
        <f>IF(B23734=C23734, "YES", "WRONG")</f>
        <v/>
      </c>
    </row>
    <row r="23735">
      <c r="A23735" t="n">
        <v>23734</v>
      </c>
      <c r="B23735" t="inlineStr">
        <is>
          <t>x̄x̄MMMDCCXXXIV</t>
        </is>
      </c>
      <c r="C23735">
        <f>ROMAN(23734)</f>
        <v/>
      </c>
      <c r="D23735">
        <f>IF(B23735=C23735, "YES", "WRONG")</f>
        <v/>
      </c>
    </row>
    <row r="23736">
      <c r="A23736" t="n">
        <v>23735</v>
      </c>
      <c r="B23736" t="inlineStr">
        <is>
          <t>x̄x̄MMMDCCXXXV</t>
        </is>
      </c>
      <c r="C23736">
        <f>ROMAN(23735)</f>
        <v/>
      </c>
      <c r="D23736">
        <f>IF(B23736=C23736, "YES", "WRONG")</f>
        <v/>
      </c>
    </row>
    <row r="23737">
      <c r="A23737" t="n">
        <v>23736</v>
      </c>
      <c r="B23737" t="inlineStr">
        <is>
          <t>x̄x̄MMMDCCXXXVI</t>
        </is>
      </c>
      <c r="C23737">
        <f>ROMAN(23736)</f>
        <v/>
      </c>
      <c r="D23737">
        <f>IF(B23737=C23737, "YES", "WRONG")</f>
        <v/>
      </c>
    </row>
    <row r="23738">
      <c r="A23738" t="n">
        <v>23737</v>
      </c>
      <c r="B23738" t="inlineStr">
        <is>
          <t>x̄x̄MMMDCCXXXVII</t>
        </is>
      </c>
      <c r="C23738">
        <f>ROMAN(23737)</f>
        <v/>
      </c>
      <c r="D23738">
        <f>IF(B23738=C23738, "YES", "WRONG")</f>
        <v/>
      </c>
    </row>
    <row r="23739">
      <c r="A23739" t="n">
        <v>23738</v>
      </c>
      <c r="B23739" t="inlineStr">
        <is>
          <t>x̄x̄MMMDCCXXXVIII</t>
        </is>
      </c>
      <c r="C23739">
        <f>ROMAN(23738)</f>
        <v/>
      </c>
      <c r="D23739">
        <f>IF(B23739=C23739, "YES", "WRONG")</f>
        <v/>
      </c>
    </row>
    <row r="23740">
      <c r="A23740" t="n">
        <v>23739</v>
      </c>
      <c r="B23740" t="inlineStr">
        <is>
          <t>x̄x̄MMMDCCXXXIX</t>
        </is>
      </c>
      <c r="C23740">
        <f>ROMAN(23739)</f>
        <v/>
      </c>
      <c r="D23740">
        <f>IF(B23740=C23740, "YES", "WRONG")</f>
        <v/>
      </c>
    </row>
    <row r="23741">
      <c r="A23741" t="n">
        <v>23740</v>
      </c>
      <c r="B23741" t="inlineStr">
        <is>
          <t>x̄x̄MMMDCCXL</t>
        </is>
      </c>
      <c r="C23741">
        <f>ROMAN(23740)</f>
        <v/>
      </c>
      <c r="D23741">
        <f>IF(B23741=C23741, "YES", "WRONG")</f>
        <v/>
      </c>
    </row>
    <row r="23742">
      <c r="A23742" t="n">
        <v>23741</v>
      </c>
      <c r="B23742" t="inlineStr">
        <is>
          <t>x̄x̄MMMDCCXLI</t>
        </is>
      </c>
      <c r="C23742">
        <f>ROMAN(23741)</f>
        <v/>
      </c>
      <c r="D23742">
        <f>IF(B23742=C23742, "YES", "WRONG")</f>
        <v/>
      </c>
    </row>
    <row r="23743">
      <c r="A23743" t="n">
        <v>23742</v>
      </c>
      <c r="B23743" t="inlineStr">
        <is>
          <t>x̄x̄MMMDCCXLII</t>
        </is>
      </c>
      <c r="C23743">
        <f>ROMAN(23742)</f>
        <v/>
      </c>
      <c r="D23743">
        <f>IF(B23743=C23743, "YES", "WRONG")</f>
        <v/>
      </c>
    </row>
    <row r="23744">
      <c r="A23744" t="n">
        <v>23743</v>
      </c>
      <c r="B23744" t="inlineStr">
        <is>
          <t>x̄x̄MMMDCCXLIII</t>
        </is>
      </c>
      <c r="C23744">
        <f>ROMAN(23743)</f>
        <v/>
      </c>
      <c r="D23744">
        <f>IF(B23744=C23744, "YES", "WRONG")</f>
        <v/>
      </c>
    </row>
    <row r="23745">
      <c r="A23745" t="n">
        <v>23744</v>
      </c>
      <c r="B23745" t="inlineStr">
        <is>
          <t>x̄x̄MMMDCCXLIV</t>
        </is>
      </c>
      <c r="C23745">
        <f>ROMAN(23744)</f>
        <v/>
      </c>
      <c r="D23745">
        <f>IF(B23745=C23745, "YES", "WRONG")</f>
        <v/>
      </c>
    </row>
    <row r="23746">
      <c r="A23746" t="n">
        <v>23745</v>
      </c>
      <c r="B23746" t="inlineStr">
        <is>
          <t>x̄x̄MMMDCCXLV</t>
        </is>
      </c>
      <c r="C23746">
        <f>ROMAN(23745)</f>
        <v/>
      </c>
      <c r="D23746">
        <f>IF(B23746=C23746, "YES", "WRONG")</f>
        <v/>
      </c>
    </row>
    <row r="23747">
      <c r="A23747" t="n">
        <v>23746</v>
      </c>
      <c r="B23747" t="inlineStr">
        <is>
          <t>x̄x̄MMMDCCXLVI</t>
        </is>
      </c>
      <c r="C23747">
        <f>ROMAN(23746)</f>
        <v/>
      </c>
      <c r="D23747">
        <f>IF(B23747=C23747, "YES", "WRONG")</f>
        <v/>
      </c>
    </row>
    <row r="23748">
      <c r="A23748" t="n">
        <v>23747</v>
      </c>
      <c r="B23748" t="inlineStr">
        <is>
          <t>x̄x̄MMMDCCXLVII</t>
        </is>
      </c>
      <c r="C23748">
        <f>ROMAN(23747)</f>
        <v/>
      </c>
      <c r="D23748">
        <f>IF(B23748=C23748, "YES", "WRONG")</f>
        <v/>
      </c>
    </row>
    <row r="23749">
      <c r="A23749" t="n">
        <v>23748</v>
      </c>
      <c r="B23749" t="inlineStr">
        <is>
          <t>x̄x̄MMMDCCXLVIII</t>
        </is>
      </c>
      <c r="C23749">
        <f>ROMAN(23748)</f>
        <v/>
      </c>
      <c r="D23749">
        <f>IF(B23749=C23749, "YES", "WRONG")</f>
        <v/>
      </c>
    </row>
    <row r="23750">
      <c r="A23750" t="n">
        <v>23749</v>
      </c>
      <c r="B23750" t="inlineStr">
        <is>
          <t>x̄x̄MMMDCCXLIX</t>
        </is>
      </c>
      <c r="C23750">
        <f>ROMAN(23749)</f>
        <v/>
      </c>
      <c r="D23750">
        <f>IF(B23750=C23750, "YES", "WRONG")</f>
        <v/>
      </c>
    </row>
    <row r="23751">
      <c r="A23751" t="n">
        <v>23750</v>
      </c>
      <c r="B23751" t="inlineStr">
        <is>
          <t>x̄x̄MMMDCCL</t>
        </is>
      </c>
      <c r="C23751">
        <f>ROMAN(23750)</f>
        <v/>
      </c>
      <c r="D23751">
        <f>IF(B23751=C23751, "YES", "WRONG")</f>
        <v/>
      </c>
    </row>
    <row r="23752">
      <c r="A23752" t="n">
        <v>23751</v>
      </c>
      <c r="B23752" t="inlineStr">
        <is>
          <t>x̄x̄MMMDCCLI</t>
        </is>
      </c>
      <c r="C23752">
        <f>ROMAN(23751)</f>
        <v/>
      </c>
      <c r="D23752">
        <f>IF(B23752=C23752, "YES", "WRONG")</f>
        <v/>
      </c>
    </row>
    <row r="23753">
      <c r="A23753" t="n">
        <v>23752</v>
      </c>
      <c r="B23753" t="inlineStr">
        <is>
          <t>x̄x̄MMMDCCLII</t>
        </is>
      </c>
      <c r="C23753">
        <f>ROMAN(23752)</f>
        <v/>
      </c>
      <c r="D23753">
        <f>IF(B23753=C23753, "YES", "WRONG")</f>
        <v/>
      </c>
    </row>
    <row r="23754">
      <c r="A23754" t="n">
        <v>23753</v>
      </c>
      <c r="B23754" t="inlineStr">
        <is>
          <t>x̄x̄MMMDCCLIII</t>
        </is>
      </c>
      <c r="C23754">
        <f>ROMAN(23753)</f>
        <v/>
      </c>
      <c r="D23754">
        <f>IF(B23754=C23754, "YES", "WRONG")</f>
        <v/>
      </c>
    </row>
    <row r="23755">
      <c r="A23755" t="n">
        <v>23754</v>
      </c>
      <c r="B23755" t="inlineStr">
        <is>
          <t>x̄x̄MMMDCCLIV</t>
        </is>
      </c>
      <c r="C23755">
        <f>ROMAN(23754)</f>
        <v/>
      </c>
      <c r="D23755">
        <f>IF(B23755=C23755, "YES", "WRONG")</f>
        <v/>
      </c>
    </row>
    <row r="23756">
      <c r="A23756" t="n">
        <v>23755</v>
      </c>
      <c r="B23756" t="inlineStr">
        <is>
          <t>x̄x̄MMMDCCLV</t>
        </is>
      </c>
      <c r="C23756">
        <f>ROMAN(23755)</f>
        <v/>
      </c>
      <c r="D23756">
        <f>IF(B23756=C23756, "YES", "WRONG")</f>
        <v/>
      </c>
    </row>
    <row r="23757">
      <c r="A23757" t="n">
        <v>23756</v>
      </c>
      <c r="B23757" t="inlineStr">
        <is>
          <t>x̄x̄MMMDCCLVI</t>
        </is>
      </c>
      <c r="C23757">
        <f>ROMAN(23756)</f>
        <v/>
      </c>
      <c r="D23757">
        <f>IF(B23757=C23757, "YES", "WRONG")</f>
        <v/>
      </c>
    </row>
    <row r="23758">
      <c r="A23758" t="n">
        <v>23757</v>
      </c>
      <c r="B23758" t="inlineStr">
        <is>
          <t>x̄x̄MMMDCCLVII</t>
        </is>
      </c>
      <c r="C23758">
        <f>ROMAN(23757)</f>
        <v/>
      </c>
      <c r="D23758">
        <f>IF(B23758=C23758, "YES", "WRONG")</f>
        <v/>
      </c>
    </row>
    <row r="23759">
      <c r="A23759" t="n">
        <v>23758</v>
      </c>
      <c r="B23759" t="inlineStr">
        <is>
          <t>x̄x̄MMMDCCLVIII</t>
        </is>
      </c>
      <c r="C23759">
        <f>ROMAN(23758)</f>
        <v/>
      </c>
      <c r="D23759">
        <f>IF(B23759=C23759, "YES", "WRONG")</f>
        <v/>
      </c>
    </row>
    <row r="23760">
      <c r="A23760" t="n">
        <v>23759</v>
      </c>
      <c r="B23760" t="inlineStr">
        <is>
          <t>x̄x̄MMMDCCLIX</t>
        </is>
      </c>
      <c r="C23760">
        <f>ROMAN(23759)</f>
        <v/>
      </c>
      <c r="D23760">
        <f>IF(B23760=C23760, "YES", "WRONG")</f>
        <v/>
      </c>
    </row>
    <row r="23761">
      <c r="A23761" t="n">
        <v>23760</v>
      </c>
      <c r="B23761" t="inlineStr">
        <is>
          <t>x̄x̄MMMDCCLX</t>
        </is>
      </c>
      <c r="C23761">
        <f>ROMAN(23760)</f>
        <v/>
      </c>
      <c r="D23761">
        <f>IF(B23761=C23761, "YES", "WRONG")</f>
        <v/>
      </c>
    </row>
    <row r="23762">
      <c r="A23762" t="n">
        <v>23761</v>
      </c>
      <c r="B23762" t="inlineStr">
        <is>
          <t>x̄x̄MMMDCCLXI</t>
        </is>
      </c>
      <c r="C23762">
        <f>ROMAN(23761)</f>
        <v/>
      </c>
      <c r="D23762">
        <f>IF(B23762=C23762, "YES", "WRONG")</f>
        <v/>
      </c>
    </row>
    <row r="23763">
      <c r="A23763" t="n">
        <v>23762</v>
      </c>
      <c r="B23763" t="inlineStr">
        <is>
          <t>x̄x̄MMMDCCLXII</t>
        </is>
      </c>
      <c r="C23763">
        <f>ROMAN(23762)</f>
        <v/>
      </c>
      <c r="D23763">
        <f>IF(B23763=C23763, "YES", "WRONG")</f>
        <v/>
      </c>
    </row>
    <row r="23764">
      <c r="A23764" t="n">
        <v>23763</v>
      </c>
      <c r="B23764" t="inlineStr">
        <is>
          <t>x̄x̄MMMDCCLXIII</t>
        </is>
      </c>
      <c r="C23764">
        <f>ROMAN(23763)</f>
        <v/>
      </c>
      <c r="D23764">
        <f>IF(B23764=C23764, "YES", "WRONG")</f>
        <v/>
      </c>
    </row>
    <row r="23765">
      <c r="A23765" t="n">
        <v>23764</v>
      </c>
      <c r="B23765" t="inlineStr">
        <is>
          <t>x̄x̄MMMDCCLXIV</t>
        </is>
      </c>
      <c r="C23765">
        <f>ROMAN(23764)</f>
        <v/>
      </c>
      <c r="D23765">
        <f>IF(B23765=C23765, "YES", "WRONG")</f>
        <v/>
      </c>
    </row>
    <row r="23766">
      <c r="A23766" t="n">
        <v>23765</v>
      </c>
      <c r="B23766" t="inlineStr">
        <is>
          <t>x̄x̄MMMDCCLXV</t>
        </is>
      </c>
      <c r="C23766">
        <f>ROMAN(23765)</f>
        <v/>
      </c>
      <c r="D23766">
        <f>IF(B23766=C23766, "YES", "WRONG")</f>
        <v/>
      </c>
    </row>
    <row r="23767">
      <c r="A23767" t="n">
        <v>23766</v>
      </c>
      <c r="B23767" t="inlineStr">
        <is>
          <t>x̄x̄MMMDCCLXVI</t>
        </is>
      </c>
      <c r="C23767">
        <f>ROMAN(23766)</f>
        <v/>
      </c>
      <c r="D23767">
        <f>IF(B23767=C23767, "YES", "WRONG")</f>
        <v/>
      </c>
    </row>
    <row r="23768">
      <c r="A23768" t="n">
        <v>23767</v>
      </c>
      <c r="B23768" t="inlineStr">
        <is>
          <t>x̄x̄MMMDCCLXVII</t>
        </is>
      </c>
      <c r="C23768">
        <f>ROMAN(23767)</f>
        <v/>
      </c>
      <c r="D23768">
        <f>IF(B23768=C23768, "YES", "WRONG")</f>
        <v/>
      </c>
    </row>
    <row r="23769">
      <c r="A23769" t="n">
        <v>23768</v>
      </c>
      <c r="B23769" t="inlineStr">
        <is>
          <t>x̄x̄MMMDCCLXVIII</t>
        </is>
      </c>
      <c r="C23769">
        <f>ROMAN(23768)</f>
        <v/>
      </c>
      <c r="D23769">
        <f>IF(B23769=C23769, "YES", "WRONG")</f>
        <v/>
      </c>
    </row>
    <row r="23770">
      <c r="A23770" t="n">
        <v>23769</v>
      </c>
      <c r="B23770" t="inlineStr">
        <is>
          <t>x̄x̄MMMDCCLXIX</t>
        </is>
      </c>
      <c r="C23770">
        <f>ROMAN(23769)</f>
        <v/>
      </c>
      <c r="D23770">
        <f>IF(B23770=C23770, "YES", "WRONG")</f>
        <v/>
      </c>
    </row>
    <row r="23771">
      <c r="A23771" t="n">
        <v>23770</v>
      </c>
      <c r="B23771" t="inlineStr">
        <is>
          <t>x̄x̄MMMDCCLXX</t>
        </is>
      </c>
      <c r="C23771">
        <f>ROMAN(23770)</f>
        <v/>
      </c>
      <c r="D23771">
        <f>IF(B23771=C23771, "YES", "WRONG")</f>
        <v/>
      </c>
    </row>
    <row r="23772">
      <c r="A23772" t="n">
        <v>23771</v>
      </c>
      <c r="B23772" t="inlineStr">
        <is>
          <t>x̄x̄MMMDCCLXXI</t>
        </is>
      </c>
      <c r="C23772">
        <f>ROMAN(23771)</f>
        <v/>
      </c>
      <c r="D23772">
        <f>IF(B23772=C23772, "YES", "WRONG")</f>
        <v/>
      </c>
    </row>
    <row r="23773">
      <c r="A23773" t="n">
        <v>23772</v>
      </c>
      <c r="B23773" t="inlineStr">
        <is>
          <t>x̄x̄MMMDCCLXXII</t>
        </is>
      </c>
      <c r="C23773">
        <f>ROMAN(23772)</f>
        <v/>
      </c>
      <c r="D23773">
        <f>IF(B23773=C23773, "YES", "WRONG")</f>
        <v/>
      </c>
    </row>
    <row r="23774">
      <c r="A23774" t="n">
        <v>23773</v>
      </c>
      <c r="B23774" t="inlineStr">
        <is>
          <t>x̄x̄MMMDCCLXXIII</t>
        </is>
      </c>
      <c r="C23774">
        <f>ROMAN(23773)</f>
        <v/>
      </c>
      <c r="D23774">
        <f>IF(B23774=C23774, "YES", "WRONG")</f>
        <v/>
      </c>
    </row>
    <row r="23775">
      <c r="A23775" t="n">
        <v>23774</v>
      </c>
      <c r="B23775" t="inlineStr">
        <is>
          <t>x̄x̄MMMDCCLXXIV</t>
        </is>
      </c>
      <c r="C23775">
        <f>ROMAN(23774)</f>
        <v/>
      </c>
      <c r="D23775">
        <f>IF(B23775=C23775, "YES", "WRONG")</f>
        <v/>
      </c>
    </row>
    <row r="23776">
      <c r="A23776" t="n">
        <v>23775</v>
      </c>
      <c r="B23776" t="inlineStr">
        <is>
          <t>x̄x̄MMMDCCLXXV</t>
        </is>
      </c>
      <c r="C23776">
        <f>ROMAN(23775)</f>
        <v/>
      </c>
      <c r="D23776">
        <f>IF(B23776=C23776, "YES", "WRONG")</f>
        <v/>
      </c>
    </row>
    <row r="23777">
      <c r="A23777" t="n">
        <v>23776</v>
      </c>
      <c r="B23777" t="inlineStr">
        <is>
          <t>x̄x̄MMMDCCLXXVI</t>
        </is>
      </c>
      <c r="C23777">
        <f>ROMAN(23776)</f>
        <v/>
      </c>
      <c r="D23777">
        <f>IF(B23777=C23777, "YES", "WRONG")</f>
        <v/>
      </c>
    </row>
    <row r="23778">
      <c r="A23778" t="n">
        <v>23777</v>
      </c>
      <c r="B23778" t="inlineStr">
        <is>
          <t>x̄x̄MMMDCCLXXVII</t>
        </is>
      </c>
      <c r="C23778">
        <f>ROMAN(23777)</f>
        <v/>
      </c>
      <c r="D23778">
        <f>IF(B23778=C23778, "YES", "WRONG")</f>
        <v/>
      </c>
    </row>
    <row r="23779">
      <c r="A23779" t="n">
        <v>23778</v>
      </c>
      <c r="B23779" t="inlineStr">
        <is>
          <t>x̄x̄MMMDCCLXXVIII</t>
        </is>
      </c>
      <c r="C23779">
        <f>ROMAN(23778)</f>
        <v/>
      </c>
      <c r="D23779">
        <f>IF(B23779=C23779, "YES", "WRONG")</f>
        <v/>
      </c>
    </row>
    <row r="23780">
      <c r="A23780" t="n">
        <v>23779</v>
      </c>
      <c r="B23780" t="inlineStr">
        <is>
          <t>x̄x̄MMMDCCLXXIX</t>
        </is>
      </c>
      <c r="C23780">
        <f>ROMAN(23779)</f>
        <v/>
      </c>
      <c r="D23780">
        <f>IF(B23780=C23780, "YES", "WRONG")</f>
        <v/>
      </c>
    </row>
    <row r="23781">
      <c r="A23781" t="n">
        <v>23780</v>
      </c>
      <c r="B23781" t="inlineStr">
        <is>
          <t>x̄x̄MMMDCCLXXX</t>
        </is>
      </c>
      <c r="C23781">
        <f>ROMAN(23780)</f>
        <v/>
      </c>
      <c r="D23781">
        <f>IF(B23781=C23781, "YES", "WRONG")</f>
        <v/>
      </c>
    </row>
    <row r="23782">
      <c r="A23782" t="n">
        <v>23781</v>
      </c>
      <c r="B23782" t="inlineStr">
        <is>
          <t>x̄x̄MMMDCCLXXXI</t>
        </is>
      </c>
      <c r="C23782">
        <f>ROMAN(23781)</f>
        <v/>
      </c>
      <c r="D23782">
        <f>IF(B23782=C23782, "YES", "WRONG")</f>
        <v/>
      </c>
    </row>
    <row r="23783">
      <c r="A23783" t="n">
        <v>23782</v>
      </c>
      <c r="B23783" t="inlineStr">
        <is>
          <t>x̄x̄MMMDCCLXXXII</t>
        </is>
      </c>
      <c r="C23783">
        <f>ROMAN(23782)</f>
        <v/>
      </c>
      <c r="D23783">
        <f>IF(B23783=C23783, "YES", "WRONG")</f>
        <v/>
      </c>
    </row>
    <row r="23784">
      <c r="A23784" t="n">
        <v>23783</v>
      </c>
      <c r="B23784" t="inlineStr">
        <is>
          <t>x̄x̄MMMDCCLXXXIII</t>
        </is>
      </c>
      <c r="C23784">
        <f>ROMAN(23783)</f>
        <v/>
      </c>
      <c r="D23784">
        <f>IF(B23784=C23784, "YES", "WRONG")</f>
        <v/>
      </c>
    </row>
    <row r="23785">
      <c r="A23785" t="n">
        <v>23784</v>
      </c>
      <c r="B23785" t="inlineStr">
        <is>
          <t>x̄x̄MMMDCCLXXXIV</t>
        </is>
      </c>
      <c r="C23785">
        <f>ROMAN(23784)</f>
        <v/>
      </c>
      <c r="D23785">
        <f>IF(B23785=C23785, "YES", "WRONG")</f>
        <v/>
      </c>
    </row>
    <row r="23786">
      <c r="A23786" t="n">
        <v>23785</v>
      </c>
      <c r="B23786" t="inlineStr">
        <is>
          <t>x̄x̄MMMDCCLXXXV</t>
        </is>
      </c>
      <c r="C23786">
        <f>ROMAN(23785)</f>
        <v/>
      </c>
      <c r="D23786">
        <f>IF(B23786=C23786, "YES", "WRONG")</f>
        <v/>
      </c>
    </row>
    <row r="23787">
      <c r="A23787" t="n">
        <v>23786</v>
      </c>
      <c r="B23787" t="inlineStr">
        <is>
          <t>x̄x̄MMMDCCLXXXVI</t>
        </is>
      </c>
      <c r="C23787">
        <f>ROMAN(23786)</f>
        <v/>
      </c>
      <c r="D23787">
        <f>IF(B23787=C23787, "YES", "WRONG")</f>
        <v/>
      </c>
    </row>
    <row r="23788">
      <c r="A23788" t="n">
        <v>23787</v>
      </c>
      <c r="B23788" t="inlineStr">
        <is>
          <t>x̄x̄MMMDCCLXXXVII</t>
        </is>
      </c>
      <c r="C23788">
        <f>ROMAN(23787)</f>
        <v/>
      </c>
      <c r="D23788">
        <f>IF(B23788=C23788, "YES", "WRONG")</f>
        <v/>
      </c>
    </row>
    <row r="23789">
      <c r="A23789" t="n">
        <v>23788</v>
      </c>
      <c r="B23789" t="inlineStr">
        <is>
          <t>x̄x̄MMMDCCLXXXVIII</t>
        </is>
      </c>
      <c r="C23789">
        <f>ROMAN(23788)</f>
        <v/>
      </c>
      <c r="D23789">
        <f>IF(B23789=C23789, "YES", "WRONG")</f>
        <v/>
      </c>
    </row>
    <row r="23790">
      <c r="A23790" t="n">
        <v>23789</v>
      </c>
      <c r="B23790" t="inlineStr">
        <is>
          <t>x̄x̄MMMDCCLXXXIX</t>
        </is>
      </c>
      <c r="C23790">
        <f>ROMAN(23789)</f>
        <v/>
      </c>
      <c r="D23790">
        <f>IF(B23790=C23790, "YES", "WRONG")</f>
        <v/>
      </c>
    </row>
    <row r="23791">
      <c r="A23791" t="n">
        <v>23790</v>
      </c>
      <c r="B23791" t="inlineStr">
        <is>
          <t>x̄x̄MMMDCCXC</t>
        </is>
      </c>
      <c r="C23791">
        <f>ROMAN(23790)</f>
        <v/>
      </c>
      <c r="D23791">
        <f>IF(B23791=C23791, "YES", "WRONG")</f>
        <v/>
      </c>
    </row>
    <row r="23792">
      <c r="A23792" t="n">
        <v>23791</v>
      </c>
      <c r="B23792" t="inlineStr">
        <is>
          <t>x̄x̄MMMDCCXCI</t>
        </is>
      </c>
      <c r="C23792">
        <f>ROMAN(23791)</f>
        <v/>
      </c>
      <c r="D23792">
        <f>IF(B23792=C23792, "YES", "WRONG")</f>
        <v/>
      </c>
    </row>
    <row r="23793">
      <c r="A23793" t="n">
        <v>23792</v>
      </c>
      <c r="B23793" t="inlineStr">
        <is>
          <t>x̄x̄MMMDCCXCII</t>
        </is>
      </c>
      <c r="C23793">
        <f>ROMAN(23792)</f>
        <v/>
      </c>
      <c r="D23793">
        <f>IF(B23793=C23793, "YES", "WRONG")</f>
        <v/>
      </c>
    </row>
    <row r="23794">
      <c r="A23794" t="n">
        <v>23793</v>
      </c>
      <c r="B23794" t="inlineStr">
        <is>
          <t>x̄x̄MMMDCCXCIII</t>
        </is>
      </c>
      <c r="C23794">
        <f>ROMAN(23793)</f>
        <v/>
      </c>
      <c r="D23794">
        <f>IF(B23794=C23794, "YES", "WRONG")</f>
        <v/>
      </c>
    </row>
    <row r="23795">
      <c r="A23795" t="n">
        <v>23794</v>
      </c>
      <c r="B23795" t="inlineStr">
        <is>
          <t>x̄x̄MMMDCCXCIV</t>
        </is>
      </c>
      <c r="C23795">
        <f>ROMAN(23794)</f>
        <v/>
      </c>
      <c r="D23795">
        <f>IF(B23795=C23795, "YES", "WRONG")</f>
        <v/>
      </c>
    </row>
    <row r="23796">
      <c r="A23796" t="n">
        <v>23795</v>
      </c>
      <c r="B23796" t="inlineStr">
        <is>
          <t>x̄x̄MMMDCCXCV</t>
        </is>
      </c>
      <c r="C23796">
        <f>ROMAN(23795)</f>
        <v/>
      </c>
      <c r="D23796">
        <f>IF(B23796=C23796, "YES", "WRONG")</f>
        <v/>
      </c>
    </row>
    <row r="23797">
      <c r="A23797" t="n">
        <v>23796</v>
      </c>
      <c r="B23797" t="inlineStr">
        <is>
          <t>x̄x̄MMMDCCXCVI</t>
        </is>
      </c>
      <c r="C23797">
        <f>ROMAN(23796)</f>
        <v/>
      </c>
      <c r="D23797">
        <f>IF(B23797=C23797, "YES", "WRONG")</f>
        <v/>
      </c>
    </row>
    <row r="23798">
      <c r="A23798" t="n">
        <v>23797</v>
      </c>
      <c r="B23798" t="inlineStr">
        <is>
          <t>x̄x̄MMMDCCXCVII</t>
        </is>
      </c>
      <c r="C23798">
        <f>ROMAN(23797)</f>
        <v/>
      </c>
      <c r="D23798">
        <f>IF(B23798=C23798, "YES", "WRONG")</f>
        <v/>
      </c>
    </row>
    <row r="23799">
      <c r="A23799" t="n">
        <v>23798</v>
      </c>
      <c r="B23799" t="inlineStr">
        <is>
          <t>x̄x̄MMMDCCXCVIII</t>
        </is>
      </c>
      <c r="C23799">
        <f>ROMAN(23798)</f>
        <v/>
      </c>
      <c r="D23799">
        <f>IF(B23799=C23799, "YES", "WRONG")</f>
        <v/>
      </c>
    </row>
    <row r="23800">
      <c r="A23800" t="n">
        <v>23799</v>
      </c>
      <c r="B23800" t="inlineStr">
        <is>
          <t>x̄x̄MMMDCCXCIX</t>
        </is>
      </c>
      <c r="C23800">
        <f>ROMAN(23799)</f>
        <v/>
      </c>
      <c r="D23800">
        <f>IF(B23800=C23800, "YES", "WRONG")</f>
        <v/>
      </c>
    </row>
    <row r="23801">
      <c r="A23801" t="n">
        <v>23800</v>
      </c>
      <c r="B23801" t="inlineStr">
        <is>
          <t>x̄x̄MMMDCCC</t>
        </is>
      </c>
      <c r="C23801">
        <f>ROMAN(23800)</f>
        <v/>
      </c>
      <c r="D23801">
        <f>IF(B23801=C23801, "YES", "WRONG")</f>
        <v/>
      </c>
    </row>
    <row r="23802">
      <c r="A23802" t="n">
        <v>23801</v>
      </c>
      <c r="B23802" t="inlineStr">
        <is>
          <t>x̄x̄MMMDCCCI</t>
        </is>
      </c>
      <c r="C23802">
        <f>ROMAN(23801)</f>
        <v/>
      </c>
      <c r="D23802">
        <f>IF(B23802=C23802, "YES", "WRONG")</f>
        <v/>
      </c>
    </row>
    <row r="23803">
      <c r="A23803" t="n">
        <v>23802</v>
      </c>
      <c r="B23803" t="inlineStr">
        <is>
          <t>x̄x̄MMMDCCCII</t>
        </is>
      </c>
      <c r="C23803">
        <f>ROMAN(23802)</f>
        <v/>
      </c>
      <c r="D23803">
        <f>IF(B23803=C23803, "YES", "WRONG")</f>
        <v/>
      </c>
    </row>
    <row r="23804">
      <c r="A23804" t="n">
        <v>23803</v>
      </c>
      <c r="B23804" t="inlineStr">
        <is>
          <t>x̄x̄MMMDCCCIII</t>
        </is>
      </c>
      <c r="C23804">
        <f>ROMAN(23803)</f>
        <v/>
      </c>
      <c r="D23804">
        <f>IF(B23804=C23804, "YES", "WRONG")</f>
        <v/>
      </c>
    </row>
    <row r="23805">
      <c r="A23805" t="n">
        <v>23804</v>
      </c>
      <c r="B23805" t="inlineStr">
        <is>
          <t>x̄x̄MMMDCCCIV</t>
        </is>
      </c>
      <c r="C23805">
        <f>ROMAN(23804)</f>
        <v/>
      </c>
      <c r="D23805">
        <f>IF(B23805=C23805, "YES", "WRONG")</f>
        <v/>
      </c>
    </row>
    <row r="23806">
      <c r="A23806" t="n">
        <v>23805</v>
      </c>
      <c r="B23806" t="inlineStr">
        <is>
          <t>x̄x̄MMMDCCCV</t>
        </is>
      </c>
      <c r="C23806">
        <f>ROMAN(23805)</f>
        <v/>
      </c>
      <c r="D23806">
        <f>IF(B23806=C23806, "YES", "WRONG")</f>
        <v/>
      </c>
    </row>
    <row r="23807">
      <c r="A23807" t="n">
        <v>23806</v>
      </c>
      <c r="B23807" t="inlineStr">
        <is>
          <t>x̄x̄MMMDCCCVI</t>
        </is>
      </c>
      <c r="C23807">
        <f>ROMAN(23806)</f>
        <v/>
      </c>
      <c r="D23807">
        <f>IF(B23807=C23807, "YES", "WRONG")</f>
        <v/>
      </c>
    </row>
    <row r="23808">
      <c r="A23808" t="n">
        <v>23807</v>
      </c>
      <c r="B23808" t="inlineStr">
        <is>
          <t>x̄x̄MMMDCCCVII</t>
        </is>
      </c>
      <c r="C23808">
        <f>ROMAN(23807)</f>
        <v/>
      </c>
      <c r="D23808">
        <f>IF(B23808=C23808, "YES", "WRONG")</f>
        <v/>
      </c>
    </row>
    <row r="23809">
      <c r="A23809" t="n">
        <v>23808</v>
      </c>
      <c r="B23809" t="inlineStr">
        <is>
          <t>x̄x̄MMMDCCCVIII</t>
        </is>
      </c>
      <c r="C23809">
        <f>ROMAN(23808)</f>
        <v/>
      </c>
      <c r="D23809">
        <f>IF(B23809=C23809, "YES", "WRONG")</f>
        <v/>
      </c>
    </row>
    <row r="23810">
      <c r="A23810" t="n">
        <v>23809</v>
      </c>
      <c r="B23810" t="inlineStr">
        <is>
          <t>x̄x̄MMMDCCCIX</t>
        </is>
      </c>
      <c r="C23810">
        <f>ROMAN(23809)</f>
        <v/>
      </c>
      <c r="D23810">
        <f>IF(B23810=C23810, "YES", "WRONG")</f>
        <v/>
      </c>
    </row>
    <row r="23811">
      <c r="A23811" t="n">
        <v>23810</v>
      </c>
      <c r="B23811" t="inlineStr">
        <is>
          <t>x̄x̄MMMDCCCX</t>
        </is>
      </c>
      <c r="C23811">
        <f>ROMAN(23810)</f>
        <v/>
      </c>
      <c r="D23811">
        <f>IF(B23811=C23811, "YES", "WRONG")</f>
        <v/>
      </c>
    </row>
    <row r="23812">
      <c r="A23812" t="n">
        <v>23811</v>
      </c>
      <c r="B23812" t="inlineStr">
        <is>
          <t>x̄x̄MMMDCCCXI</t>
        </is>
      </c>
      <c r="C23812">
        <f>ROMAN(23811)</f>
        <v/>
      </c>
      <c r="D23812">
        <f>IF(B23812=C23812, "YES", "WRONG")</f>
        <v/>
      </c>
    </row>
    <row r="23813">
      <c r="A23813" t="n">
        <v>23812</v>
      </c>
      <c r="B23813" t="inlineStr">
        <is>
          <t>x̄x̄MMMDCCCXII</t>
        </is>
      </c>
      <c r="C23813">
        <f>ROMAN(23812)</f>
        <v/>
      </c>
      <c r="D23813">
        <f>IF(B23813=C23813, "YES", "WRONG")</f>
        <v/>
      </c>
    </row>
    <row r="23814">
      <c r="A23814" t="n">
        <v>23813</v>
      </c>
      <c r="B23814" t="inlineStr">
        <is>
          <t>x̄x̄MMMDCCCXIII</t>
        </is>
      </c>
      <c r="C23814">
        <f>ROMAN(23813)</f>
        <v/>
      </c>
      <c r="D23814">
        <f>IF(B23814=C23814, "YES", "WRONG")</f>
        <v/>
      </c>
    </row>
    <row r="23815">
      <c r="A23815" t="n">
        <v>23814</v>
      </c>
      <c r="B23815" t="inlineStr">
        <is>
          <t>x̄x̄MMMDCCCXIV</t>
        </is>
      </c>
      <c r="C23815">
        <f>ROMAN(23814)</f>
        <v/>
      </c>
      <c r="D23815">
        <f>IF(B23815=C23815, "YES", "WRONG")</f>
        <v/>
      </c>
    </row>
    <row r="23816">
      <c r="A23816" t="n">
        <v>23815</v>
      </c>
      <c r="B23816" t="inlineStr">
        <is>
          <t>x̄x̄MMMDCCCXV</t>
        </is>
      </c>
      <c r="C23816">
        <f>ROMAN(23815)</f>
        <v/>
      </c>
      <c r="D23816">
        <f>IF(B23816=C23816, "YES", "WRONG")</f>
        <v/>
      </c>
    </row>
    <row r="23817">
      <c r="A23817" t="n">
        <v>23816</v>
      </c>
      <c r="B23817" t="inlineStr">
        <is>
          <t>x̄x̄MMMDCCCXVI</t>
        </is>
      </c>
      <c r="C23817">
        <f>ROMAN(23816)</f>
        <v/>
      </c>
      <c r="D23817">
        <f>IF(B23817=C23817, "YES", "WRONG")</f>
        <v/>
      </c>
    </row>
    <row r="23818">
      <c r="A23818" t="n">
        <v>23817</v>
      </c>
      <c r="B23818" t="inlineStr">
        <is>
          <t>x̄x̄MMMDCCCXVII</t>
        </is>
      </c>
      <c r="C23818">
        <f>ROMAN(23817)</f>
        <v/>
      </c>
      <c r="D23818">
        <f>IF(B23818=C23818, "YES", "WRONG")</f>
        <v/>
      </c>
    </row>
    <row r="23819">
      <c r="A23819" t="n">
        <v>23818</v>
      </c>
      <c r="B23819" t="inlineStr">
        <is>
          <t>x̄x̄MMMDCCCXVIII</t>
        </is>
      </c>
      <c r="C23819">
        <f>ROMAN(23818)</f>
        <v/>
      </c>
      <c r="D23819">
        <f>IF(B23819=C23819, "YES", "WRONG")</f>
        <v/>
      </c>
    </row>
    <row r="23820">
      <c r="A23820" t="n">
        <v>23819</v>
      </c>
      <c r="B23820" t="inlineStr">
        <is>
          <t>x̄x̄MMMDCCCXIX</t>
        </is>
      </c>
      <c r="C23820">
        <f>ROMAN(23819)</f>
        <v/>
      </c>
      <c r="D23820">
        <f>IF(B23820=C23820, "YES", "WRONG")</f>
        <v/>
      </c>
    </row>
    <row r="23821">
      <c r="A23821" t="n">
        <v>23820</v>
      </c>
      <c r="B23821" t="inlineStr">
        <is>
          <t>x̄x̄MMMDCCCXX</t>
        </is>
      </c>
      <c r="C23821">
        <f>ROMAN(23820)</f>
        <v/>
      </c>
      <c r="D23821">
        <f>IF(B23821=C23821, "YES", "WRONG")</f>
        <v/>
      </c>
    </row>
    <row r="23822">
      <c r="A23822" t="n">
        <v>23821</v>
      </c>
      <c r="B23822" t="inlineStr">
        <is>
          <t>x̄x̄MMMDCCCXXI</t>
        </is>
      </c>
      <c r="C23822">
        <f>ROMAN(23821)</f>
        <v/>
      </c>
      <c r="D23822">
        <f>IF(B23822=C23822, "YES", "WRONG")</f>
        <v/>
      </c>
    </row>
    <row r="23823">
      <c r="A23823" t="n">
        <v>23822</v>
      </c>
      <c r="B23823" t="inlineStr">
        <is>
          <t>x̄x̄MMMDCCCXXII</t>
        </is>
      </c>
      <c r="C23823">
        <f>ROMAN(23822)</f>
        <v/>
      </c>
      <c r="D23823">
        <f>IF(B23823=C23823, "YES", "WRONG")</f>
        <v/>
      </c>
    </row>
    <row r="23824">
      <c r="A23824" t="n">
        <v>23823</v>
      </c>
      <c r="B23824" t="inlineStr">
        <is>
          <t>x̄x̄MMMDCCCXXIII</t>
        </is>
      </c>
      <c r="C23824">
        <f>ROMAN(23823)</f>
        <v/>
      </c>
      <c r="D23824">
        <f>IF(B23824=C23824, "YES", "WRONG")</f>
        <v/>
      </c>
    </row>
    <row r="23825">
      <c r="A23825" t="n">
        <v>23824</v>
      </c>
      <c r="B23825" t="inlineStr">
        <is>
          <t>x̄x̄MMMDCCCXXIV</t>
        </is>
      </c>
      <c r="C23825">
        <f>ROMAN(23824)</f>
        <v/>
      </c>
      <c r="D23825">
        <f>IF(B23825=C23825, "YES", "WRONG")</f>
        <v/>
      </c>
    </row>
    <row r="23826">
      <c r="A23826" t="n">
        <v>23825</v>
      </c>
      <c r="B23826" t="inlineStr">
        <is>
          <t>x̄x̄MMMDCCCXXV</t>
        </is>
      </c>
      <c r="C23826">
        <f>ROMAN(23825)</f>
        <v/>
      </c>
      <c r="D23826">
        <f>IF(B23826=C23826, "YES", "WRONG")</f>
        <v/>
      </c>
    </row>
    <row r="23827">
      <c r="A23827" t="n">
        <v>23826</v>
      </c>
      <c r="B23827" t="inlineStr">
        <is>
          <t>x̄x̄MMMDCCCXXVI</t>
        </is>
      </c>
      <c r="C23827">
        <f>ROMAN(23826)</f>
        <v/>
      </c>
      <c r="D23827">
        <f>IF(B23827=C23827, "YES", "WRONG")</f>
        <v/>
      </c>
    </row>
    <row r="23828">
      <c r="A23828" t="n">
        <v>23827</v>
      </c>
      <c r="B23828" t="inlineStr">
        <is>
          <t>x̄x̄MMMDCCCXXVII</t>
        </is>
      </c>
      <c r="C23828">
        <f>ROMAN(23827)</f>
        <v/>
      </c>
      <c r="D23828">
        <f>IF(B23828=C23828, "YES", "WRONG")</f>
        <v/>
      </c>
    </row>
    <row r="23829">
      <c r="A23829" t="n">
        <v>23828</v>
      </c>
      <c r="B23829" t="inlineStr">
        <is>
          <t>x̄x̄MMMDCCCXXVIII</t>
        </is>
      </c>
      <c r="C23829">
        <f>ROMAN(23828)</f>
        <v/>
      </c>
      <c r="D23829">
        <f>IF(B23829=C23829, "YES", "WRONG")</f>
        <v/>
      </c>
    </row>
    <row r="23830">
      <c r="A23830" t="n">
        <v>23829</v>
      </c>
      <c r="B23830" t="inlineStr">
        <is>
          <t>x̄x̄MMMDCCCXXIX</t>
        </is>
      </c>
      <c r="C23830">
        <f>ROMAN(23829)</f>
        <v/>
      </c>
      <c r="D23830">
        <f>IF(B23830=C23830, "YES", "WRONG")</f>
        <v/>
      </c>
    </row>
    <row r="23831">
      <c r="A23831" t="n">
        <v>23830</v>
      </c>
      <c r="B23831" t="inlineStr">
        <is>
          <t>x̄x̄MMMDCCCXXX</t>
        </is>
      </c>
      <c r="C23831">
        <f>ROMAN(23830)</f>
        <v/>
      </c>
      <c r="D23831">
        <f>IF(B23831=C23831, "YES", "WRONG")</f>
        <v/>
      </c>
    </row>
    <row r="23832">
      <c r="A23832" t="n">
        <v>23831</v>
      </c>
      <c r="B23832" t="inlineStr">
        <is>
          <t>x̄x̄MMMDCCCXXXI</t>
        </is>
      </c>
      <c r="C23832">
        <f>ROMAN(23831)</f>
        <v/>
      </c>
      <c r="D23832">
        <f>IF(B23832=C23832, "YES", "WRONG")</f>
        <v/>
      </c>
    </row>
    <row r="23833">
      <c r="A23833" t="n">
        <v>23832</v>
      </c>
      <c r="B23833" t="inlineStr">
        <is>
          <t>x̄x̄MMMDCCCXXXII</t>
        </is>
      </c>
      <c r="C23833">
        <f>ROMAN(23832)</f>
        <v/>
      </c>
      <c r="D23833">
        <f>IF(B23833=C23833, "YES", "WRONG")</f>
        <v/>
      </c>
    </row>
    <row r="23834">
      <c r="A23834" t="n">
        <v>23833</v>
      </c>
      <c r="B23834" t="inlineStr">
        <is>
          <t>x̄x̄MMMDCCCXXXIII</t>
        </is>
      </c>
      <c r="C23834">
        <f>ROMAN(23833)</f>
        <v/>
      </c>
      <c r="D23834">
        <f>IF(B23834=C23834, "YES", "WRONG")</f>
        <v/>
      </c>
    </row>
    <row r="23835">
      <c r="A23835" t="n">
        <v>23834</v>
      </c>
      <c r="B23835" t="inlineStr">
        <is>
          <t>x̄x̄MMMDCCCXXXIV</t>
        </is>
      </c>
      <c r="C23835">
        <f>ROMAN(23834)</f>
        <v/>
      </c>
      <c r="D23835">
        <f>IF(B23835=C23835, "YES", "WRONG")</f>
        <v/>
      </c>
    </row>
    <row r="23836">
      <c r="A23836" t="n">
        <v>23835</v>
      </c>
      <c r="B23836" t="inlineStr">
        <is>
          <t>x̄x̄MMMDCCCXXXV</t>
        </is>
      </c>
      <c r="C23836">
        <f>ROMAN(23835)</f>
        <v/>
      </c>
      <c r="D23836">
        <f>IF(B23836=C23836, "YES", "WRONG")</f>
        <v/>
      </c>
    </row>
    <row r="23837">
      <c r="A23837" t="n">
        <v>23836</v>
      </c>
      <c r="B23837" t="inlineStr">
        <is>
          <t>x̄x̄MMMDCCCXXXVI</t>
        </is>
      </c>
      <c r="C23837">
        <f>ROMAN(23836)</f>
        <v/>
      </c>
      <c r="D23837">
        <f>IF(B23837=C23837, "YES", "WRONG")</f>
        <v/>
      </c>
    </row>
    <row r="23838">
      <c r="A23838" t="n">
        <v>23837</v>
      </c>
      <c r="B23838" t="inlineStr">
        <is>
          <t>x̄x̄MMMDCCCXXXVII</t>
        </is>
      </c>
      <c r="C23838">
        <f>ROMAN(23837)</f>
        <v/>
      </c>
      <c r="D23838">
        <f>IF(B23838=C23838, "YES", "WRONG")</f>
        <v/>
      </c>
    </row>
    <row r="23839">
      <c r="A23839" t="n">
        <v>23838</v>
      </c>
      <c r="B23839" t="inlineStr">
        <is>
          <t>x̄x̄MMMDCCCXXXVIII</t>
        </is>
      </c>
      <c r="C23839">
        <f>ROMAN(23838)</f>
        <v/>
      </c>
      <c r="D23839">
        <f>IF(B23839=C23839, "YES", "WRONG")</f>
        <v/>
      </c>
    </row>
    <row r="23840">
      <c r="A23840" t="n">
        <v>23839</v>
      </c>
      <c r="B23840" t="inlineStr">
        <is>
          <t>x̄x̄MMMDCCCXXXIX</t>
        </is>
      </c>
      <c r="C23840">
        <f>ROMAN(23839)</f>
        <v/>
      </c>
      <c r="D23840">
        <f>IF(B23840=C23840, "YES", "WRONG")</f>
        <v/>
      </c>
    </row>
    <row r="23841">
      <c r="A23841" t="n">
        <v>23840</v>
      </c>
      <c r="B23841" t="inlineStr">
        <is>
          <t>x̄x̄MMMDCCCXL</t>
        </is>
      </c>
      <c r="C23841">
        <f>ROMAN(23840)</f>
        <v/>
      </c>
      <c r="D23841">
        <f>IF(B23841=C23841, "YES", "WRONG")</f>
        <v/>
      </c>
    </row>
    <row r="23842">
      <c r="A23842" t="n">
        <v>23841</v>
      </c>
      <c r="B23842" t="inlineStr">
        <is>
          <t>x̄x̄MMMDCCCXLI</t>
        </is>
      </c>
      <c r="C23842">
        <f>ROMAN(23841)</f>
        <v/>
      </c>
      <c r="D23842">
        <f>IF(B23842=C23842, "YES", "WRONG")</f>
        <v/>
      </c>
    </row>
    <row r="23843">
      <c r="A23843" t="n">
        <v>23842</v>
      </c>
      <c r="B23843" t="inlineStr">
        <is>
          <t>x̄x̄MMMDCCCXLII</t>
        </is>
      </c>
      <c r="C23843">
        <f>ROMAN(23842)</f>
        <v/>
      </c>
      <c r="D23843">
        <f>IF(B23843=C23843, "YES", "WRONG")</f>
        <v/>
      </c>
    </row>
    <row r="23844">
      <c r="A23844" t="n">
        <v>23843</v>
      </c>
      <c r="B23844" t="inlineStr">
        <is>
          <t>x̄x̄MMMDCCCXLIII</t>
        </is>
      </c>
      <c r="C23844">
        <f>ROMAN(23843)</f>
        <v/>
      </c>
      <c r="D23844">
        <f>IF(B23844=C23844, "YES", "WRONG")</f>
        <v/>
      </c>
    </row>
    <row r="23845">
      <c r="A23845" t="n">
        <v>23844</v>
      </c>
      <c r="B23845" t="inlineStr">
        <is>
          <t>x̄x̄MMMDCCCXLIV</t>
        </is>
      </c>
      <c r="C23845">
        <f>ROMAN(23844)</f>
        <v/>
      </c>
      <c r="D23845">
        <f>IF(B23845=C23845, "YES", "WRONG")</f>
        <v/>
      </c>
    </row>
    <row r="23846">
      <c r="A23846" t="n">
        <v>23845</v>
      </c>
      <c r="B23846" t="inlineStr">
        <is>
          <t>x̄x̄MMMDCCCXLV</t>
        </is>
      </c>
      <c r="C23846">
        <f>ROMAN(23845)</f>
        <v/>
      </c>
      <c r="D23846">
        <f>IF(B23846=C23846, "YES", "WRONG")</f>
        <v/>
      </c>
    </row>
    <row r="23847">
      <c r="A23847" t="n">
        <v>23846</v>
      </c>
      <c r="B23847" t="inlineStr">
        <is>
          <t>x̄x̄MMMDCCCXLVI</t>
        </is>
      </c>
      <c r="C23847">
        <f>ROMAN(23846)</f>
        <v/>
      </c>
      <c r="D23847">
        <f>IF(B23847=C23847, "YES", "WRONG")</f>
        <v/>
      </c>
    </row>
    <row r="23848">
      <c r="A23848" t="n">
        <v>23847</v>
      </c>
      <c r="B23848" t="inlineStr">
        <is>
          <t>x̄x̄MMMDCCCXLVII</t>
        </is>
      </c>
      <c r="C23848">
        <f>ROMAN(23847)</f>
        <v/>
      </c>
      <c r="D23848">
        <f>IF(B23848=C23848, "YES", "WRONG")</f>
        <v/>
      </c>
    </row>
    <row r="23849">
      <c r="A23849" t="n">
        <v>23848</v>
      </c>
      <c r="B23849" t="inlineStr">
        <is>
          <t>x̄x̄MMMDCCCXLVIII</t>
        </is>
      </c>
      <c r="C23849">
        <f>ROMAN(23848)</f>
        <v/>
      </c>
      <c r="D23849">
        <f>IF(B23849=C23849, "YES", "WRONG")</f>
        <v/>
      </c>
    </row>
    <row r="23850">
      <c r="A23850" t="n">
        <v>23849</v>
      </c>
      <c r="B23850" t="inlineStr">
        <is>
          <t>x̄x̄MMMDCCCXLIX</t>
        </is>
      </c>
      <c r="C23850">
        <f>ROMAN(23849)</f>
        <v/>
      </c>
      <c r="D23850">
        <f>IF(B23850=C23850, "YES", "WRONG")</f>
        <v/>
      </c>
    </row>
    <row r="23851">
      <c r="A23851" t="n">
        <v>23850</v>
      </c>
      <c r="B23851" t="inlineStr">
        <is>
          <t>x̄x̄MMMDCCCL</t>
        </is>
      </c>
      <c r="C23851">
        <f>ROMAN(23850)</f>
        <v/>
      </c>
      <c r="D23851">
        <f>IF(B23851=C23851, "YES", "WRONG")</f>
        <v/>
      </c>
    </row>
    <row r="23852">
      <c r="A23852" t="n">
        <v>23851</v>
      </c>
      <c r="B23852" t="inlineStr">
        <is>
          <t>x̄x̄MMMDCCCLI</t>
        </is>
      </c>
      <c r="C23852">
        <f>ROMAN(23851)</f>
        <v/>
      </c>
      <c r="D23852">
        <f>IF(B23852=C23852, "YES", "WRONG")</f>
        <v/>
      </c>
    </row>
    <row r="23853">
      <c r="A23853" t="n">
        <v>23852</v>
      </c>
      <c r="B23853" t="inlineStr">
        <is>
          <t>x̄x̄MMMDCCCLII</t>
        </is>
      </c>
      <c r="C23853">
        <f>ROMAN(23852)</f>
        <v/>
      </c>
      <c r="D23853">
        <f>IF(B23853=C23853, "YES", "WRONG")</f>
        <v/>
      </c>
    </row>
    <row r="23854">
      <c r="A23854" t="n">
        <v>23853</v>
      </c>
      <c r="B23854" t="inlineStr">
        <is>
          <t>x̄x̄MMMDCCCLIII</t>
        </is>
      </c>
      <c r="C23854">
        <f>ROMAN(23853)</f>
        <v/>
      </c>
      <c r="D23854">
        <f>IF(B23854=C23854, "YES", "WRONG")</f>
        <v/>
      </c>
    </row>
    <row r="23855">
      <c r="A23855" t="n">
        <v>23854</v>
      </c>
      <c r="B23855" t="inlineStr">
        <is>
          <t>x̄x̄MMMDCCCLIV</t>
        </is>
      </c>
      <c r="C23855">
        <f>ROMAN(23854)</f>
        <v/>
      </c>
      <c r="D23855">
        <f>IF(B23855=C23855, "YES", "WRONG")</f>
        <v/>
      </c>
    </row>
    <row r="23856">
      <c r="A23856" t="n">
        <v>23855</v>
      </c>
      <c r="B23856" t="inlineStr">
        <is>
          <t>x̄x̄MMMDCCCLV</t>
        </is>
      </c>
      <c r="C23856">
        <f>ROMAN(23855)</f>
        <v/>
      </c>
      <c r="D23856">
        <f>IF(B23856=C23856, "YES", "WRONG")</f>
        <v/>
      </c>
    </row>
    <row r="23857">
      <c r="A23857" t="n">
        <v>23856</v>
      </c>
      <c r="B23857" t="inlineStr">
        <is>
          <t>x̄x̄MMMDCCCLVI</t>
        </is>
      </c>
      <c r="C23857">
        <f>ROMAN(23856)</f>
        <v/>
      </c>
      <c r="D23857">
        <f>IF(B23857=C23857, "YES", "WRONG")</f>
        <v/>
      </c>
    </row>
    <row r="23858">
      <c r="A23858" t="n">
        <v>23857</v>
      </c>
      <c r="B23858" t="inlineStr">
        <is>
          <t>x̄x̄MMMDCCCLVII</t>
        </is>
      </c>
      <c r="C23858">
        <f>ROMAN(23857)</f>
        <v/>
      </c>
      <c r="D23858">
        <f>IF(B23858=C23858, "YES", "WRONG")</f>
        <v/>
      </c>
    </row>
    <row r="23859">
      <c r="A23859" t="n">
        <v>23858</v>
      </c>
      <c r="B23859" t="inlineStr">
        <is>
          <t>x̄x̄MMMDCCCLVIII</t>
        </is>
      </c>
      <c r="C23859">
        <f>ROMAN(23858)</f>
        <v/>
      </c>
      <c r="D23859">
        <f>IF(B23859=C23859, "YES", "WRONG")</f>
        <v/>
      </c>
    </row>
    <row r="23860">
      <c r="A23860" t="n">
        <v>23859</v>
      </c>
      <c r="B23860" t="inlineStr">
        <is>
          <t>x̄x̄MMMDCCCLIX</t>
        </is>
      </c>
      <c r="C23860">
        <f>ROMAN(23859)</f>
        <v/>
      </c>
      <c r="D23860">
        <f>IF(B23860=C23860, "YES", "WRONG")</f>
        <v/>
      </c>
    </row>
    <row r="23861">
      <c r="A23861" t="n">
        <v>23860</v>
      </c>
      <c r="B23861" t="inlineStr">
        <is>
          <t>x̄x̄MMMDCCCLX</t>
        </is>
      </c>
      <c r="C23861">
        <f>ROMAN(23860)</f>
        <v/>
      </c>
      <c r="D23861">
        <f>IF(B23861=C23861, "YES", "WRONG")</f>
        <v/>
      </c>
    </row>
    <row r="23862">
      <c r="A23862" t="n">
        <v>23861</v>
      </c>
      <c r="B23862" t="inlineStr">
        <is>
          <t>x̄x̄MMMDCCCLXI</t>
        </is>
      </c>
      <c r="C23862">
        <f>ROMAN(23861)</f>
        <v/>
      </c>
      <c r="D23862">
        <f>IF(B23862=C23862, "YES", "WRONG")</f>
        <v/>
      </c>
    </row>
    <row r="23863">
      <c r="A23863" t="n">
        <v>23862</v>
      </c>
      <c r="B23863" t="inlineStr">
        <is>
          <t>x̄x̄MMMDCCCLXII</t>
        </is>
      </c>
      <c r="C23863">
        <f>ROMAN(23862)</f>
        <v/>
      </c>
      <c r="D23863">
        <f>IF(B23863=C23863, "YES", "WRONG")</f>
        <v/>
      </c>
    </row>
    <row r="23864">
      <c r="A23864" t="n">
        <v>23863</v>
      </c>
      <c r="B23864" t="inlineStr">
        <is>
          <t>x̄x̄MMMDCCCLXIII</t>
        </is>
      </c>
      <c r="C23864">
        <f>ROMAN(23863)</f>
        <v/>
      </c>
      <c r="D23864">
        <f>IF(B23864=C23864, "YES", "WRONG")</f>
        <v/>
      </c>
    </row>
    <row r="23865">
      <c r="A23865" t="n">
        <v>23864</v>
      </c>
      <c r="B23865" t="inlineStr">
        <is>
          <t>x̄x̄MMMDCCCLXIV</t>
        </is>
      </c>
      <c r="C23865">
        <f>ROMAN(23864)</f>
        <v/>
      </c>
      <c r="D23865">
        <f>IF(B23865=C23865, "YES", "WRONG")</f>
        <v/>
      </c>
    </row>
    <row r="23866">
      <c r="A23866" t="n">
        <v>23865</v>
      </c>
      <c r="B23866" t="inlineStr">
        <is>
          <t>x̄x̄MMMDCCCLXV</t>
        </is>
      </c>
      <c r="C23866">
        <f>ROMAN(23865)</f>
        <v/>
      </c>
      <c r="D23866">
        <f>IF(B23866=C23866, "YES", "WRONG")</f>
        <v/>
      </c>
    </row>
    <row r="23867">
      <c r="A23867" t="n">
        <v>23866</v>
      </c>
      <c r="B23867" t="inlineStr">
        <is>
          <t>x̄x̄MMMDCCCLXVI</t>
        </is>
      </c>
      <c r="C23867">
        <f>ROMAN(23866)</f>
        <v/>
      </c>
      <c r="D23867">
        <f>IF(B23867=C23867, "YES", "WRONG")</f>
        <v/>
      </c>
    </row>
    <row r="23868">
      <c r="A23868" t="n">
        <v>23867</v>
      </c>
      <c r="B23868" t="inlineStr">
        <is>
          <t>x̄x̄MMMDCCCLXVII</t>
        </is>
      </c>
      <c r="C23868">
        <f>ROMAN(23867)</f>
        <v/>
      </c>
      <c r="D23868">
        <f>IF(B23868=C23868, "YES", "WRONG")</f>
        <v/>
      </c>
    </row>
    <row r="23869">
      <c r="A23869" t="n">
        <v>23868</v>
      </c>
      <c r="B23869" t="inlineStr">
        <is>
          <t>x̄x̄MMMDCCCLXVIII</t>
        </is>
      </c>
      <c r="C23869">
        <f>ROMAN(23868)</f>
        <v/>
      </c>
      <c r="D23869">
        <f>IF(B23869=C23869, "YES", "WRONG")</f>
        <v/>
      </c>
    </row>
    <row r="23870">
      <c r="A23870" t="n">
        <v>23869</v>
      </c>
      <c r="B23870" t="inlineStr">
        <is>
          <t>x̄x̄MMMDCCCLXIX</t>
        </is>
      </c>
      <c r="C23870">
        <f>ROMAN(23869)</f>
        <v/>
      </c>
      <c r="D23870">
        <f>IF(B23870=C23870, "YES", "WRONG")</f>
        <v/>
      </c>
    </row>
    <row r="23871">
      <c r="A23871" t="n">
        <v>23870</v>
      </c>
      <c r="B23871" t="inlineStr">
        <is>
          <t>x̄x̄MMMDCCCLXX</t>
        </is>
      </c>
      <c r="C23871">
        <f>ROMAN(23870)</f>
        <v/>
      </c>
      <c r="D23871">
        <f>IF(B23871=C23871, "YES", "WRONG")</f>
        <v/>
      </c>
    </row>
    <row r="23872">
      <c r="A23872" t="n">
        <v>23871</v>
      </c>
      <c r="B23872" t="inlineStr">
        <is>
          <t>x̄x̄MMMDCCCLXXI</t>
        </is>
      </c>
      <c r="C23872">
        <f>ROMAN(23871)</f>
        <v/>
      </c>
      <c r="D23872">
        <f>IF(B23872=C23872, "YES", "WRONG")</f>
        <v/>
      </c>
    </row>
    <row r="23873">
      <c r="A23873" t="n">
        <v>23872</v>
      </c>
      <c r="B23873" t="inlineStr">
        <is>
          <t>x̄x̄MMMDCCCLXXII</t>
        </is>
      </c>
      <c r="C23873">
        <f>ROMAN(23872)</f>
        <v/>
      </c>
      <c r="D23873">
        <f>IF(B23873=C23873, "YES", "WRONG")</f>
        <v/>
      </c>
    </row>
    <row r="23874">
      <c r="A23874" t="n">
        <v>23873</v>
      </c>
      <c r="B23874" t="inlineStr">
        <is>
          <t>x̄x̄MMMDCCCLXXIII</t>
        </is>
      </c>
      <c r="C23874">
        <f>ROMAN(23873)</f>
        <v/>
      </c>
      <c r="D23874">
        <f>IF(B23874=C23874, "YES", "WRONG")</f>
        <v/>
      </c>
    </row>
    <row r="23875">
      <c r="A23875" t="n">
        <v>23874</v>
      </c>
      <c r="B23875" t="inlineStr">
        <is>
          <t>x̄x̄MMMDCCCLXXIV</t>
        </is>
      </c>
      <c r="C23875">
        <f>ROMAN(23874)</f>
        <v/>
      </c>
      <c r="D23875">
        <f>IF(B23875=C23875, "YES", "WRONG")</f>
        <v/>
      </c>
    </row>
    <row r="23876">
      <c r="A23876" t="n">
        <v>23875</v>
      </c>
      <c r="B23876" t="inlineStr">
        <is>
          <t>x̄x̄MMMDCCCLXXV</t>
        </is>
      </c>
      <c r="C23876">
        <f>ROMAN(23875)</f>
        <v/>
      </c>
      <c r="D23876">
        <f>IF(B23876=C23876, "YES", "WRONG")</f>
        <v/>
      </c>
    </row>
    <row r="23877">
      <c r="A23877" t="n">
        <v>23876</v>
      </c>
      <c r="B23877" t="inlineStr">
        <is>
          <t>x̄x̄MMMDCCCLXXVI</t>
        </is>
      </c>
      <c r="C23877">
        <f>ROMAN(23876)</f>
        <v/>
      </c>
      <c r="D23877">
        <f>IF(B23877=C23877, "YES", "WRONG")</f>
        <v/>
      </c>
    </row>
    <row r="23878">
      <c r="A23878" t="n">
        <v>23877</v>
      </c>
      <c r="B23878" t="inlineStr">
        <is>
          <t>x̄x̄MMMDCCCLXXVII</t>
        </is>
      </c>
      <c r="C23878">
        <f>ROMAN(23877)</f>
        <v/>
      </c>
      <c r="D23878">
        <f>IF(B23878=C23878, "YES", "WRONG")</f>
        <v/>
      </c>
    </row>
    <row r="23879">
      <c r="A23879" t="n">
        <v>23878</v>
      </c>
      <c r="B23879" t="inlineStr">
        <is>
          <t>x̄x̄MMMDCCCLXXVIII</t>
        </is>
      </c>
      <c r="C23879">
        <f>ROMAN(23878)</f>
        <v/>
      </c>
      <c r="D23879">
        <f>IF(B23879=C23879, "YES", "WRONG")</f>
        <v/>
      </c>
    </row>
    <row r="23880">
      <c r="A23880" t="n">
        <v>23879</v>
      </c>
      <c r="B23880" t="inlineStr">
        <is>
          <t>x̄x̄MMMDCCCLXXIX</t>
        </is>
      </c>
      <c r="C23880">
        <f>ROMAN(23879)</f>
        <v/>
      </c>
      <c r="D23880">
        <f>IF(B23880=C23880, "YES", "WRONG")</f>
        <v/>
      </c>
    </row>
    <row r="23881">
      <c r="A23881" t="n">
        <v>23880</v>
      </c>
      <c r="B23881" t="inlineStr">
        <is>
          <t>x̄x̄MMMDCCCLXXX</t>
        </is>
      </c>
      <c r="C23881">
        <f>ROMAN(23880)</f>
        <v/>
      </c>
      <c r="D23881">
        <f>IF(B23881=C23881, "YES", "WRONG")</f>
        <v/>
      </c>
    </row>
    <row r="23882">
      <c r="A23882" t="n">
        <v>23881</v>
      </c>
      <c r="B23882" t="inlineStr">
        <is>
          <t>x̄x̄MMMDCCCLXXXI</t>
        </is>
      </c>
      <c r="C23882">
        <f>ROMAN(23881)</f>
        <v/>
      </c>
      <c r="D23882">
        <f>IF(B23882=C23882, "YES", "WRONG")</f>
        <v/>
      </c>
    </row>
    <row r="23883">
      <c r="A23883" t="n">
        <v>23882</v>
      </c>
      <c r="B23883" t="inlineStr">
        <is>
          <t>x̄x̄MMMDCCCLXXXII</t>
        </is>
      </c>
      <c r="C23883">
        <f>ROMAN(23882)</f>
        <v/>
      </c>
      <c r="D23883">
        <f>IF(B23883=C23883, "YES", "WRONG")</f>
        <v/>
      </c>
    </row>
    <row r="23884">
      <c r="A23884" t="n">
        <v>23883</v>
      </c>
      <c r="B23884" t="inlineStr">
        <is>
          <t>x̄x̄MMMDCCCLXXXIII</t>
        </is>
      </c>
      <c r="C23884">
        <f>ROMAN(23883)</f>
        <v/>
      </c>
      <c r="D23884">
        <f>IF(B23884=C23884, "YES", "WRONG")</f>
        <v/>
      </c>
    </row>
    <row r="23885">
      <c r="A23885" t="n">
        <v>23884</v>
      </c>
      <c r="B23885" t="inlineStr">
        <is>
          <t>x̄x̄MMMDCCCLXXXIV</t>
        </is>
      </c>
      <c r="C23885">
        <f>ROMAN(23884)</f>
        <v/>
      </c>
      <c r="D23885">
        <f>IF(B23885=C23885, "YES", "WRONG")</f>
        <v/>
      </c>
    </row>
    <row r="23886">
      <c r="A23886" t="n">
        <v>23885</v>
      </c>
      <c r="B23886" t="inlineStr">
        <is>
          <t>x̄x̄MMMDCCCLXXXV</t>
        </is>
      </c>
      <c r="C23886">
        <f>ROMAN(23885)</f>
        <v/>
      </c>
      <c r="D23886">
        <f>IF(B23886=C23886, "YES", "WRONG")</f>
        <v/>
      </c>
    </row>
    <row r="23887">
      <c r="A23887" t="n">
        <v>23886</v>
      </c>
      <c r="B23887" t="inlineStr">
        <is>
          <t>x̄x̄MMMDCCCLXXXVI</t>
        </is>
      </c>
      <c r="C23887">
        <f>ROMAN(23886)</f>
        <v/>
      </c>
      <c r="D23887">
        <f>IF(B23887=C23887, "YES", "WRONG")</f>
        <v/>
      </c>
    </row>
    <row r="23888">
      <c r="A23888" t="n">
        <v>23887</v>
      </c>
      <c r="B23888" t="inlineStr">
        <is>
          <t>x̄x̄MMMDCCCLXXXVII</t>
        </is>
      </c>
      <c r="C23888">
        <f>ROMAN(23887)</f>
        <v/>
      </c>
      <c r="D23888">
        <f>IF(B23888=C23888, "YES", "WRONG")</f>
        <v/>
      </c>
    </row>
    <row r="23889">
      <c r="A23889" t="n">
        <v>23888</v>
      </c>
      <c r="B23889" t="inlineStr">
        <is>
          <t>x̄x̄MMMDCCCLXXXVIII</t>
        </is>
      </c>
      <c r="C23889">
        <f>ROMAN(23888)</f>
        <v/>
      </c>
      <c r="D23889">
        <f>IF(B23889=C23889, "YES", "WRONG")</f>
        <v/>
      </c>
    </row>
    <row r="23890">
      <c r="A23890" t="n">
        <v>23889</v>
      </c>
      <c r="B23890" t="inlineStr">
        <is>
          <t>x̄x̄MMMDCCCLXXXIX</t>
        </is>
      </c>
      <c r="C23890">
        <f>ROMAN(23889)</f>
        <v/>
      </c>
      <c r="D23890">
        <f>IF(B23890=C23890, "YES", "WRONG")</f>
        <v/>
      </c>
    </row>
    <row r="23891">
      <c r="A23891" t="n">
        <v>23890</v>
      </c>
      <c r="B23891" t="inlineStr">
        <is>
          <t>x̄x̄MMMDCCCXC</t>
        </is>
      </c>
      <c r="C23891">
        <f>ROMAN(23890)</f>
        <v/>
      </c>
      <c r="D23891">
        <f>IF(B23891=C23891, "YES", "WRONG")</f>
        <v/>
      </c>
    </row>
    <row r="23892">
      <c r="A23892" t="n">
        <v>23891</v>
      </c>
      <c r="B23892" t="inlineStr">
        <is>
          <t>x̄x̄MMMDCCCXCI</t>
        </is>
      </c>
      <c r="C23892">
        <f>ROMAN(23891)</f>
        <v/>
      </c>
      <c r="D23892">
        <f>IF(B23892=C23892, "YES", "WRONG")</f>
        <v/>
      </c>
    </row>
    <row r="23893">
      <c r="A23893" t="n">
        <v>23892</v>
      </c>
      <c r="B23893" t="inlineStr">
        <is>
          <t>x̄x̄MMMDCCCXCII</t>
        </is>
      </c>
      <c r="C23893">
        <f>ROMAN(23892)</f>
        <v/>
      </c>
      <c r="D23893">
        <f>IF(B23893=C23893, "YES", "WRONG")</f>
        <v/>
      </c>
    </row>
    <row r="23894">
      <c r="A23894" t="n">
        <v>23893</v>
      </c>
      <c r="B23894" t="inlineStr">
        <is>
          <t>x̄x̄MMMDCCCXCIII</t>
        </is>
      </c>
      <c r="C23894">
        <f>ROMAN(23893)</f>
        <v/>
      </c>
      <c r="D23894">
        <f>IF(B23894=C23894, "YES", "WRONG")</f>
        <v/>
      </c>
    </row>
    <row r="23895">
      <c r="A23895" t="n">
        <v>23894</v>
      </c>
      <c r="B23895" t="inlineStr">
        <is>
          <t>x̄x̄MMMDCCCXCIV</t>
        </is>
      </c>
      <c r="C23895">
        <f>ROMAN(23894)</f>
        <v/>
      </c>
      <c r="D23895">
        <f>IF(B23895=C23895, "YES", "WRONG")</f>
        <v/>
      </c>
    </row>
    <row r="23896">
      <c r="A23896" t="n">
        <v>23895</v>
      </c>
      <c r="B23896" t="inlineStr">
        <is>
          <t>x̄x̄MMMDCCCXCV</t>
        </is>
      </c>
      <c r="C23896">
        <f>ROMAN(23895)</f>
        <v/>
      </c>
      <c r="D23896">
        <f>IF(B23896=C23896, "YES", "WRONG")</f>
        <v/>
      </c>
    </row>
    <row r="23897">
      <c r="A23897" t="n">
        <v>23896</v>
      </c>
      <c r="B23897" t="inlineStr">
        <is>
          <t>x̄x̄MMMDCCCXCVI</t>
        </is>
      </c>
      <c r="C23897">
        <f>ROMAN(23896)</f>
        <v/>
      </c>
      <c r="D23897">
        <f>IF(B23897=C23897, "YES", "WRONG")</f>
        <v/>
      </c>
    </row>
    <row r="23898">
      <c r="A23898" t="n">
        <v>23897</v>
      </c>
      <c r="B23898" t="inlineStr">
        <is>
          <t>x̄x̄MMMDCCCXCVII</t>
        </is>
      </c>
      <c r="C23898">
        <f>ROMAN(23897)</f>
        <v/>
      </c>
      <c r="D23898">
        <f>IF(B23898=C23898, "YES", "WRONG")</f>
        <v/>
      </c>
    </row>
    <row r="23899">
      <c r="A23899" t="n">
        <v>23898</v>
      </c>
      <c r="B23899" t="inlineStr">
        <is>
          <t>x̄x̄MMMDCCCXCVIII</t>
        </is>
      </c>
      <c r="C23899">
        <f>ROMAN(23898)</f>
        <v/>
      </c>
      <c r="D23899">
        <f>IF(B23899=C23899, "YES", "WRONG")</f>
        <v/>
      </c>
    </row>
    <row r="23900">
      <c r="A23900" t="n">
        <v>23899</v>
      </c>
      <c r="B23900" t="inlineStr">
        <is>
          <t>x̄x̄MMMDCCCXCIX</t>
        </is>
      </c>
      <c r="C23900">
        <f>ROMAN(23899)</f>
        <v/>
      </c>
      <c r="D23900">
        <f>IF(B23900=C23900, "YES", "WRONG")</f>
        <v/>
      </c>
    </row>
    <row r="23901">
      <c r="A23901" t="n">
        <v>23900</v>
      </c>
      <c r="B23901" t="inlineStr">
        <is>
          <t>x̄x̄MMMCM</t>
        </is>
      </c>
      <c r="C23901">
        <f>ROMAN(23900)</f>
        <v/>
      </c>
      <c r="D23901">
        <f>IF(B23901=C23901, "YES", "WRONG")</f>
        <v/>
      </c>
    </row>
    <row r="23902">
      <c r="A23902" t="n">
        <v>23901</v>
      </c>
      <c r="B23902" t="inlineStr">
        <is>
          <t>x̄x̄MMMCMI</t>
        </is>
      </c>
      <c r="C23902">
        <f>ROMAN(23901)</f>
        <v/>
      </c>
      <c r="D23902">
        <f>IF(B23902=C23902, "YES", "WRONG")</f>
        <v/>
      </c>
    </row>
    <row r="23903">
      <c r="A23903" t="n">
        <v>23902</v>
      </c>
      <c r="B23903" t="inlineStr">
        <is>
          <t>x̄x̄MMMCMII</t>
        </is>
      </c>
      <c r="C23903">
        <f>ROMAN(23902)</f>
        <v/>
      </c>
      <c r="D23903">
        <f>IF(B23903=C23903, "YES", "WRONG")</f>
        <v/>
      </c>
    </row>
    <row r="23904">
      <c r="A23904" t="n">
        <v>23903</v>
      </c>
      <c r="B23904" t="inlineStr">
        <is>
          <t>x̄x̄MMMCMIII</t>
        </is>
      </c>
      <c r="C23904">
        <f>ROMAN(23903)</f>
        <v/>
      </c>
      <c r="D23904">
        <f>IF(B23904=C23904, "YES", "WRONG")</f>
        <v/>
      </c>
    </row>
    <row r="23905">
      <c r="A23905" t="n">
        <v>23904</v>
      </c>
      <c r="B23905" t="inlineStr">
        <is>
          <t>x̄x̄MMMCMIV</t>
        </is>
      </c>
      <c r="C23905">
        <f>ROMAN(23904)</f>
        <v/>
      </c>
      <c r="D23905">
        <f>IF(B23905=C23905, "YES", "WRONG")</f>
        <v/>
      </c>
    </row>
    <row r="23906">
      <c r="A23906" t="n">
        <v>23905</v>
      </c>
      <c r="B23906" t="inlineStr">
        <is>
          <t>x̄x̄MMMCMV</t>
        </is>
      </c>
      <c r="C23906">
        <f>ROMAN(23905)</f>
        <v/>
      </c>
      <c r="D23906">
        <f>IF(B23906=C23906, "YES", "WRONG")</f>
        <v/>
      </c>
    </row>
    <row r="23907">
      <c r="A23907" t="n">
        <v>23906</v>
      </c>
      <c r="B23907" t="inlineStr">
        <is>
          <t>x̄x̄MMMCMVI</t>
        </is>
      </c>
      <c r="C23907">
        <f>ROMAN(23906)</f>
        <v/>
      </c>
      <c r="D23907">
        <f>IF(B23907=C23907, "YES", "WRONG")</f>
        <v/>
      </c>
    </row>
    <row r="23908">
      <c r="A23908" t="n">
        <v>23907</v>
      </c>
      <c r="B23908" t="inlineStr">
        <is>
          <t>x̄x̄MMMCMVII</t>
        </is>
      </c>
      <c r="C23908">
        <f>ROMAN(23907)</f>
        <v/>
      </c>
      <c r="D23908">
        <f>IF(B23908=C23908, "YES", "WRONG")</f>
        <v/>
      </c>
    </row>
    <row r="23909">
      <c r="A23909" t="n">
        <v>23908</v>
      </c>
      <c r="B23909" t="inlineStr">
        <is>
          <t>x̄x̄MMMCMVIII</t>
        </is>
      </c>
      <c r="C23909">
        <f>ROMAN(23908)</f>
        <v/>
      </c>
      <c r="D23909">
        <f>IF(B23909=C23909, "YES", "WRONG")</f>
        <v/>
      </c>
    </row>
    <row r="23910">
      <c r="A23910" t="n">
        <v>23909</v>
      </c>
      <c r="B23910" t="inlineStr">
        <is>
          <t>x̄x̄MMMCMIX</t>
        </is>
      </c>
      <c r="C23910">
        <f>ROMAN(23909)</f>
        <v/>
      </c>
      <c r="D23910">
        <f>IF(B23910=C23910, "YES", "WRONG")</f>
        <v/>
      </c>
    </row>
    <row r="23911">
      <c r="A23911" t="n">
        <v>23910</v>
      </c>
      <c r="B23911" t="inlineStr">
        <is>
          <t>x̄x̄MMMCMX</t>
        </is>
      </c>
      <c r="C23911">
        <f>ROMAN(23910)</f>
        <v/>
      </c>
      <c r="D23911">
        <f>IF(B23911=C23911, "YES", "WRONG")</f>
        <v/>
      </c>
    </row>
    <row r="23912">
      <c r="A23912" t="n">
        <v>23911</v>
      </c>
      <c r="B23912" t="inlineStr">
        <is>
          <t>x̄x̄MMMCMXI</t>
        </is>
      </c>
      <c r="C23912">
        <f>ROMAN(23911)</f>
        <v/>
      </c>
      <c r="D23912">
        <f>IF(B23912=C23912, "YES", "WRONG")</f>
        <v/>
      </c>
    </row>
    <row r="23913">
      <c r="A23913" t="n">
        <v>23912</v>
      </c>
      <c r="B23913" t="inlineStr">
        <is>
          <t>x̄x̄MMMCMXII</t>
        </is>
      </c>
      <c r="C23913">
        <f>ROMAN(23912)</f>
        <v/>
      </c>
      <c r="D23913">
        <f>IF(B23913=C23913, "YES", "WRONG")</f>
        <v/>
      </c>
    </row>
    <row r="23914">
      <c r="A23914" t="n">
        <v>23913</v>
      </c>
      <c r="B23914" t="inlineStr">
        <is>
          <t>x̄x̄MMMCMXIII</t>
        </is>
      </c>
      <c r="C23914">
        <f>ROMAN(23913)</f>
        <v/>
      </c>
      <c r="D23914">
        <f>IF(B23914=C23914, "YES", "WRONG")</f>
        <v/>
      </c>
    </row>
    <row r="23915">
      <c r="A23915" t="n">
        <v>23914</v>
      </c>
      <c r="B23915" t="inlineStr">
        <is>
          <t>x̄x̄MMMCMXIV</t>
        </is>
      </c>
      <c r="C23915">
        <f>ROMAN(23914)</f>
        <v/>
      </c>
      <c r="D23915">
        <f>IF(B23915=C23915, "YES", "WRONG")</f>
        <v/>
      </c>
    </row>
    <row r="23916">
      <c r="A23916" t="n">
        <v>23915</v>
      </c>
      <c r="B23916" t="inlineStr">
        <is>
          <t>x̄x̄MMMCMXV</t>
        </is>
      </c>
      <c r="C23916">
        <f>ROMAN(23915)</f>
        <v/>
      </c>
      <c r="D23916">
        <f>IF(B23916=C23916, "YES", "WRONG")</f>
        <v/>
      </c>
    </row>
    <row r="23917">
      <c r="A23917" t="n">
        <v>23916</v>
      </c>
      <c r="B23917" t="inlineStr">
        <is>
          <t>x̄x̄MMMCMXVI</t>
        </is>
      </c>
      <c r="C23917">
        <f>ROMAN(23916)</f>
        <v/>
      </c>
      <c r="D23917">
        <f>IF(B23917=C23917, "YES", "WRONG")</f>
        <v/>
      </c>
    </row>
    <row r="23918">
      <c r="A23918" t="n">
        <v>23917</v>
      </c>
      <c r="B23918" t="inlineStr">
        <is>
          <t>x̄x̄MMMCMXVII</t>
        </is>
      </c>
      <c r="C23918">
        <f>ROMAN(23917)</f>
        <v/>
      </c>
      <c r="D23918">
        <f>IF(B23918=C23918, "YES", "WRONG")</f>
        <v/>
      </c>
    </row>
    <row r="23919">
      <c r="A23919" t="n">
        <v>23918</v>
      </c>
      <c r="B23919" t="inlineStr">
        <is>
          <t>x̄x̄MMMCMXVIII</t>
        </is>
      </c>
      <c r="C23919">
        <f>ROMAN(23918)</f>
        <v/>
      </c>
      <c r="D23919">
        <f>IF(B23919=C23919, "YES", "WRONG")</f>
        <v/>
      </c>
    </row>
    <row r="23920">
      <c r="A23920" t="n">
        <v>23919</v>
      </c>
      <c r="B23920" t="inlineStr">
        <is>
          <t>x̄x̄MMMCMXIX</t>
        </is>
      </c>
      <c r="C23920">
        <f>ROMAN(23919)</f>
        <v/>
      </c>
      <c r="D23920">
        <f>IF(B23920=C23920, "YES", "WRONG")</f>
        <v/>
      </c>
    </row>
    <row r="23921">
      <c r="A23921" t="n">
        <v>23920</v>
      </c>
      <c r="B23921" t="inlineStr">
        <is>
          <t>x̄x̄MMMCMXX</t>
        </is>
      </c>
      <c r="C23921">
        <f>ROMAN(23920)</f>
        <v/>
      </c>
      <c r="D23921">
        <f>IF(B23921=C23921, "YES", "WRONG")</f>
        <v/>
      </c>
    </row>
    <row r="23922">
      <c r="A23922" t="n">
        <v>23921</v>
      </c>
      <c r="B23922" t="inlineStr">
        <is>
          <t>x̄x̄MMMCMXXI</t>
        </is>
      </c>
      <c r="C23922">
        <f>ROMAN(23921)</f>
        <v/>
      </c>
      <c r="D23922">
        <f>IF(B23922=C23922, "YES", "WRONG")</f>
        <v/>
      </c>
    </row>
    <row r="23923">
      <c r="A23923" t="n">
        <v>23922</v>
      </c>
      <c r="B23923" t="inlineStr">
        <is>
          <t>x̄x̄MMMCMXXII</t>
        </is>
      </c>
      <c r="C23923">
        <f>ROMAN(23922)</f>
        <v/>
      </c>
      <c r="D23923">
        <f>IF(B23923=C23923, "YES", "WRONG")</f>
        <v/>
      </c>
    </row>
    <row r="23924">
      <c r="A23924" t="n">
        <v>23923</v>
      </c>
      <c r="B23924" t="inlineStr">
        <is>
          <t>x̄x̄MMMCMXXIII</t>
        </is>
      </c>
      <c r="C23924">
        <f>ROMAN(23923)</f>
        <v/>
      </c>
      <c r="D23924">
        <f>IF(B23924=C23924, "YES", "WRONG")</f>
        <v/>
      </c>
    </row>
    <row r="23925">
      <c r="A23925" t="n">
        <v>23924</v>
      </c>
      <c r="B23925" t="inlineStr">
        <is>
          <t>x̄x̄MMMCMXXIV</t>
        </is>
      </c>
      <c r="C23925">
        <f>ROMAN(23924)</f>
        <v/>
      </c>
      <c r="D23925">
        <f>IF(B23925=C23925, "YES", "WRONG")</f>
        <v/>
      </c>
    </row>
    <row r="23926">
      <c r="A23926" t="n">
        <v>23925</v>
      </c>
      <c r="B23926" t="inlineStr">
        <is>
          <t>x̄x̄MMMCMXXV</t>
        </is>
      </c>
      <c r="C23926">
        <f>ROMAN(23925)</f>
        <v/>
      </c>
      <c r="D23926">
        <f>IF(B23926=C23926, "YES", "WRONG")</f>
        <v/>
      </c>
    </row>
    <row r="23927">
      <c r="A23927" t="n">
        <v>23926</v>
      </c>
      <c r="B23927" t="inlineStr">
        <is>
          <t>x̄x̄MMMCMXXVI</t>
        </is>
      </c>
      <c r="C23927">
        <f>ROMAN(23926)</f>
        <v/>
      </c>
      <c r="D23927">
        <f>IF(B23927=C23927, "YES", "WRONG")</f>
        <v/>
      </c>
    </row>
    <row r="23928">
      <c r="A23928" t="n">
        <v>23927</v>
      </c>
      <c r="B23928" t="inlineStr">
        <is>
          <t>x̄x̄MMMCMXXVII</t>
        </is>
      </c>
      <c r="C23928">
        <f>ROMAN(23927)</f>
        <v/>
      </c>
      <c r="D23928">
        <f>IF(B23928=C23928, "YES", "WRONG")</f>
        <v/>
      </c>
    </row>
    <row r="23929">
      <c r="A23929" t="n">
        <v>23928</v>
      </c>
      <c r="B23929" t="inlineStr">
        <is>
          <t>x̄x̄MMMCMXXVIII</t>
        </is>
      </c>
      <c r="C23929">
        <f>ROMAN(23928)</f>
        <v/>
      </c>
      <c r="D23929">
        <f>IF(B23929=C23929, "YES", "WRONG")</f>
        <v/>
      </c>
    </row>
    <row r="23930">
      <c r="A23930" t="n">
        <v>23929</v>
      </c>
      <c r="B23930" t="inlineStr">
        <is>
          <t>x̄x̄MMMCMXXIX</t>
        </is>
      </c>
      <c r="C23930">
        <f>ROMAN(23929)</f>
        <v/>
      </c>
      <c r="D23930">
        <f>IF(B23930=C23930, "YES", "WRONG")</f>
        <v/>
      </c>
    </row>
    <row r="23931">
      <c r="A23931" t="n">
        <v>23930</v>
      </c>
      <c r="B23931" t="inlineStr">
        <is>
          <t>x̄x̄MMMCMXXX</t>
        </is>
      </c>
      <c r="C23931">
        <f>ROMAN(23930)</f>
        <v/>
      </c>
      <c r="D23931">
        <f>IF(B23931=C23931, "YES", "WRONG")</f>
        <v/>
      </c>
    </row>
    <row r="23932">
      <c r="A23932" t="n">
        <v>23931</v>
      </c>
      <c r="B23932" t="inlineStr">
        <is>
          <t>x̄x̄MMMCMXXXI</t>
        </is>
      </c>
      <c r="C23932">
        <f>ROMAN(23931)</f>
        <v/>
      </c>
      <c r="D23932">
        <f>IF(B23932=C23932, "YES", "WRONG")</f>
        <v/>
      </c>
    </row>
    <row r="23933">
      <c r="A23933" t="n">
        <v>23932</v>
      </c>
      <c r="B23933" t="inlineStr">
        <is>
          <t>x̄x̄MMMCMXXXII</t>
        </is>
      </c>
      <c r="C23933">
        <f>ROMAN(23932)</f>
        <v/>
      </c>
      <c r="D23933">
        <f>IF(B23933=C23933, "YES", "WRONG")</f>
        <v/>
      </c>
    </row>
    <row r="23934">
      <c r="A23934" t="n">
        <v>23933</v>
      </c>
      <c r="B23934" t="inlineStr">
        <is>
          <t>x̄x̄MMMCMXXXIII</t>
        </is>
      </c>
      <c r="C23934">
        <f>ROMAN(23933)</f>
        <v/>
      </c>
      <c r="D23934">
        <f>IF(B23934=C23934, "YES", "WRONG")</f>
        <v/>
      </c>
    </row>
    <row r="23935">
      <c r="A23935" t="n">
        <v>23934</v>
      </c>
      <c r="B23935" t="inlineStr">
        <is>
          <t>x̄x̄MMMCMXXXIV</t>
        </is>
      </c>
      <c r="C23935">
        <f>ROMAN(23934)</f>
        <v/>
      </c>
      <c r="D23935">
        <f>IF(B23935=C23935, "YES", "WRONG")</f>
        <v/>
      </c>
    </row>
    <row r="23936">
      <c r="A23936" t="n">
        <v>23935</v>
      </c>
      <c r="B23936" t="inlineStr">
        <is>
          <t>x̄x̄MMMCMXXXV</t>
        </is>
      </c>
      <c r="C23936">
        <f>ROMAN(23935)</f>
        <v/>
      </c>
      <c r="D23936">
        <f>IF(B23936=C23936, "YES", "WRONG")</f>
        <v/>
      </c>
    </row>
    <row r="23937">
      <c r="A23937" t="n">
        <v>23936</v>
      </c>
      <c r="B23937" t="inlineStr">
        <is>
          <t>x̄x̄MMMCMXXXVI</t>
        </is>
      </c>
      <c r="C23937">
        <f>ROMAN(23936)</f>
        <v/>
      </c>
      <c r="D23937">
        <f>IF(B23937=C23937, "YES", "WRONG")</f>
        <v/>
      </c>
    </row>
    <row r="23938">
      <c r="A23938" t="n">
        <v>23937</v>
      </c>
      <c r="B23938" t="inlineStr">
        <is>
          <t>x̄x̄MMMCMXXXVII</t>
        </is>
      </c>
      <c r="C23938">
        <f>ROMAN(23937)</f>
        <v/>
      </c>
      <c r="D23938">
        <f>IF(B23938=C23938, "YES", "WRONG")</f>
        <v/>
      </c>
    </row>
    <row r="23939">
      <c r="A23939" t="n">
        <v>23938</v>
      </c>
      <c r="B23939" t="inlineStr">
        <is>
          <t>x̄x̄MMMCMXXXVIII</t>
        </is>
      </c>
      <c r="C23939">
        <f>ROMAN(23938)</f>
        <v/>
      </c>
      <c r="D23939">
        <f>IF(B23939=C23939, "YES", "WRONG")</f>
        <v/>
      </c>
    </row>
    <row r="23940">
      <c r="A23940" t="n">
        <v>23939</v>
      </c>
      <c r="B23940" t="inlineStr">
        <is>
          <t>x̄x̄MMMCMXXXIX</t>
        </is>
      </c>
      <c r="C23940">
        <f>ROMAN(23939)</f>
        <v/>
      </c>
      <c r="D23940">
        <f>IF(B23940=C23940, "YES", "WRONG")</f>
        <v/>
      </c>
    </row>
    <row r="23941">
      <c r="A23941" t="n">
        <v>23940</v>
      </c>
      <c r="B23941" t="inlineStr">
        <is>
          <t>x̄x̄MMMCMXL</t>
        </is>
      </c>
      <c r="C23941">
        <f>ROMAN(23940)</f>
        <v/>
      </c>
      <c r="D23941">
        <f>IF(B23941=C23941, "YES", "WRONG")</f>
        <v/>
      </c>
    </row>
    <row r="23942">
      <c r="A23942" t="n">
        <v>23941</v>
      </c>
      <c r="B23942" t="inlineStr">
        <is>
          <t>x̄x̄MMMCMXLI</t>
        </is>
      </c>
      <c r="C23942">
        <f>ROMAN(23941)</f>
        <v/>
      </c>
      <c r="D23942">
        <f>IF(B23942=C23942, "YES", "WRONG")</f>
        <v/>
      </c>
    </row>
    <row r="23943">
      <c r="A23943" t="n">
        <v>23942</v>
      </c>
      <c r="B23943" t="inlineStr">
        <is>
          <t>x̄x̄MMMCMXLII</t>
        </is>
      </c>
      <c r="C23943">
        <f>ROMAN(23942)</f>
        <v/>
      </c>
      <c r="D23943">
        <f>IF(B23943=C23943, "YES", "WRONG")</f>
        <v/>
      </c>
    </row>
    <row r="23944">
      <c r="A23944" t="n">
        <v>23943</v>
      </c>
      <c r="B23944" t="inlineStr">
        <is>
          <t>x̄x̄MMMCMXLIII</t>
        </is>
      </c>
      <c r="C23944">
        <f>ROMAN(23943)</f>
        <v/>
      </c>
      <c r="D23944">
        <f>IF(B23944=C23944, "YES", "WRONG")</f>
        <v/>
      </c>
    </row>
    <row r="23945">
      <c r="A23945" t="n">
        <v>23944</v>
      </c>
      <c r="B23945" t="inlineStr">
        <is>
          <t>x̄x̄MMMCMXLIV</t>
        </is>
      </c>
      <c r="C23945">
        <f>ROMAN(23944)</f>
        <v/>
      </c>
      <c r="D23945">
        <f>IF(B23945=C23945, "YES", "WRONG")</f>
        <v/>
      </c>
    </row>
    <row r="23946">
      <c r="A23946" t="n">
        <v>23945</v>
      </c>
      <c r="B23946" t="inlineStr">
        <is>
          <t>x̄x̄MMMCMXLV</t>
        </is>
      </c>
      <c r="C23946">
        <f>ROMAN(23945)</f>
        <v/>
      </c>
      <c r="D23946">
        <f>IF(B23946=C23946, "YES", "WRONG")</f>
        <v/>
      </c>
    </row>
    <row r="23947">
      <c r="A23947" t="n">
        <v>23946</v>
      </c>
      <c r="B23947" t="inlineStr">
        <is>
          <t>x̄x̄MMMCMXLVI</t>
        </is>
      </c>
      <c r="C23947">
        <f>ROMAN(23946)</f>
        <v/>
      </c>
      <c r="D23947">
        <f>IF(B23947=C23947, "YES", "WRONG")</f>
        <v/>
      </c>
    </row>
    <row r="23948">
      <c r="A23948" t="n">
        <v>23947</v>
      </c>
      <c r="B23948" t="inlineStr">
        <is>
          <t>x̄x̄MMMCMXLVII</t>
        </is>
      </c>
      <c r="C23948">
        <f>ROMAN(23947)</f>
        <v/>
      </c>
      <c r="D23948">
        <f>IF(B23948=C23948, "YES", "WRONG")</f>
        <v/>
      </c>
    </row>
    <row r="23949">
      <c r="A23949" t="n">
        <v>23948</v>
      </c>
      <c r="B23949" t="inlineStr">
        <is>
          <t>x̄x̄MMMCMXLVIII</t>
        </is>
      </c>
      <c r="C23949">
        <f>ROMAN(23948)</f>
        <v/>
      </c>
      <c r="D23949">
        <f>IF(B23949=C23949, "YES", "WRONG")</f>
        <v/>
      </c>
    </row>
    <row r="23950">
      <c r="A23950" t="n">
        <v>23949</v>
      </c>
      <c r="B23950" t="inlineStr">
        <is>
          <t>x̄x̄MMMCMXLIX</t>
        </is>
      </c>
      <c r="C23950">
        <f>ROMAN(23949)</f>
        <v/>
      </c>
      <c r="D23950">
        <f>IF(B23950=C23950, "YES", "WRONG")</f>
        <v/>
      </c>
    </row>
    <row r="23951">
      <c r="A23951" t="n">
        <v>23950</v>
      </c>
      <c r="B23951" t="inlineStr">
        <is>
          <t>x̄x̄MMMCML</t>
        </is>
      </c>
      <c r="C23951">
        <f>ROMAN(23950)</f>
        <v/>
      </c>
      <c r="D23951">
        <f>IF(B23951=C23951, "YES", "WRONG")</f>
        <v/>
      </c>
    </row>
    <row r="23952">
      <c r="A23952" t="n">
        <v>23951</v>
      </c>
      <c r="B23952" t="inlineStr">
        <is>
          <t>x̄x̄MMMCMLI</t>
        </is>
      </c>
      <c r="C23952">
        <f>ROMAN(23951)</f>
        <v/>
      </c>
      <c r="D23952">
        <f>IF(B23952=C23952, "YES", "WRONG")</f>
        <v/>
      </c>
    </row>
    <row r="23953">
      <c r="A23953" t="n">
        <v>23952</v>
      </c>
      <c r="B23953" t="inlineStr">
        <is>
          <t>x̄x̄MMMCMLII</t>
        </is>
      </c>
      <c r="C23953">
        <f>ROMAN(23952)</f>
        <v/>
      </c>
      <c r="D23953">
        <f>IF(B23953=C23953, "YES", "WRONG")</f>
        <v/>
      </c>
    </row>
    <row r="23954">
      <c r="A23954" t="n">
        <v>23953</v>
      </c>
      <c r="B23954" t="inlineStr">
        <is>
          <t>x̄x̄MMMCMLIII</t>
        </is>
      </c>
      <c r="C23954">
        <f>ROMAN(23953)</f>
        <v/>
      </c>
      <c r="D23954">
        <f>IF(B23954=C23954, "YES", "WRONG")</f>
        <v/>
      </c>
    </row>
    <row r="23955">
      <c r="A23955" t="n">
        <v>23954</v>
      </c>
      <c r="B23955" t="inlineStr">
        <is>
          <t>x̄x̄MMMCMLIV</t>
        </is>
      </c>
      <c r="C23955">
        <f>ROMAN(23954)</f>
        <v/>
      </c>
      <c r="D23955">
        <f>IF(B23955=C23955, "YES", "WRONG")</f>
        <v/>
      </c>
    </row>
    <row r="23956">
      <c r="A23956" t="n">
        <v>23955</v>
      </c>
      <c r="B23956" t="inlineStr">
        <is>
          <t>x̄x̄MMMCMLV</t>
        </is>
      </c>
      <c r="C23956">
        <f>ROMAN(23955)</f>
        <v/>
      </c>
      <c r="D23956">
        <f>IF(B23956=C23956, "YES", "WRONG")</f>
        <v/>
      </c>
    </row>
    <row r="23957">
      <c r="A23957" t="n">
        <v>23956</v>
      </c>
      <c r="B23957" t="inlineStr">
        <is>
          <t>x̄x̄MMMCMLVI</t>
        </is>
      </c>
      <c r="C23957">
        <f>ROMAN(23956)</f>
        <v/>
      </c>
      <c r="D23957">
        <f>IF(B23957=C23957, "YES", "WRONG")</f>
        <v/>
      </c>
    </row>
    <row r="23958">
      <c r="A23958" t="n">
        <v>23957</v>
      </c>
      <c r="B23958" t="inlineStr">
        <is>
          <t>x̄x̄MMMCMLVII</t>
        </is>
      </c>
      <c r="C23958">
        <f>ROMAN(23957)</f>
        <v/>
      </c>
      <c r="D23958">
        <f>IF(B23958=C23958, "YES", "WRONG")</f>
        <v/>
      </c>
    </row>
    <row r="23959">
      <c r="A23959" t="n">
        <v>23958</v>
      </c>
      <c r="B23959" t="inlineStr">
        <is>
          <t>x̄x̄MMMCMLVIII</t>
        </is>
      </c>
      <c r="C23959">
        <f>ROMAN(23958)</f>
        <v/>
      </c>
      <c r="D23959">
        <f>IF(B23959=C23959, "YES", "WRONG")</f>
        <v/>
      </c>
    </row>
    <row r="23960">
      <c r="A23960" t="n">
        <v>23959</v>
      </c>
      <c r="B23960" t="inlineStr">
        <is>
          <t>x̄x̄MMMCMLIX</t>
        </is>
      </c>
      <c r="C23960">
        <f>ROMAN(23959)</f>
        <v/>
      </c>
      <c r="D23960">
        <f>IF(B23960=C23960, "YES", "WRONG")</f>
        <v/>
      </c>
    </row>
    <row r="23961">
      <c r="A23961" t="n">
        <v>23960</v>
      </c>
      <c r="B23961" t="inlineStr">
        <is>
          <t>x̄x̄MMMCMLX</t>
        </is>
      </c>
      <c r="C23961">
        <f>ROMAN(23960)</f>
        <v/>
      </c>
      <c r="D23961">
        <f>IF(B23961=C23961, "YES", "WRONG")</f>
        <v/>
      </c>
    </row>
    <row r="23962">
      <c r="A23962" t="n">
        <v>23961</v>
      </c>
      <c r="B23962" t="inlineStr">
        <is>
          <t>x̄x̄MMMCMLXI</t>
        </is>
      </c>
      <c r="C23962">
        <f>ROMAN(23961)</f>
        <v/>
      </c>
      <c r="D23962">
        <f>IF(B23962=C23962, "YES", "WRONG")</f>
        <v/>
      </c>
    </row>
    <row r="23963">
      <c r="A23963" t="n">
        <v>23962</v>
      </c>
      <c r="B23963" t="inlineStr">
        <is>
          <t>x̄x̄MMMCMLXII</t>
        </is>
      </c>
      <c r="C23963">
        <f>ROMAN(23962)</f>
        <v/>
      </c>
      <c r="D23963">
        <f>IF(B23963=C23963, "YES", "WRONG")</f>
        <v/>
      </c>
    </row>
    <row r="23964">
      <c r="A23964" t="n">
        <v>23963</v>
      </c>
      <c r="B23964" t="inlineStr">
        <is>
          <t>x̄x̄MMMCMLXIII</t>
        </is>
      </c>
      <c r="C23964">
        <f>ROMAN(23963)</f>
        <v/>
      </c>
      <c r="D23964">
        <f>IF(B23964=C23964, "YES", "WRONG")</f>
        <v/>
      </c>
    </row>
    <row r="23965">
      <c r="A23965" t="n">
        <v>23964</v>
      </c>
      <c r="B23965" t="inlineStr">
        <is>
          <t>x̄x̄MMMCMLXIV</t>
        </is>
      </c>
      <c r="C23965">
        <f>ROMAN(23964)</f>
        <v/>
      </c>
      <c r="D23965">
        <f>IF(B23965=C23965, "YES", "WRONG")</f>
        <v/>
      </c>
    </row>
    <row r="23966">
      <c r="A23966" t="n">
        <v>23965</v>
      </c>
      <c r="B23966" t="inlineStr">
        <is>
          <t>x̄x̄MMMCMLXV</t>
        </is>
      </c>
      <c r="C23966">
        <f>ROMAN(23965)</f>
        <v/>
      </c>
      <c r="D23966">
        <f>IF(B23966=C23966, "YES", "WRONG")</f>
        <v/>
      </c>
    </row>
    <row r="23967">
      <c r="A23967" t="n">
        <v>23966</v>
      </c>
      <c r="B23967" t="inlineStr">
        <is>
          <t>x̄x̄MMMCMLXVI</t>
        </is>
      </c>
      <c r="C23967">
        <f>ROMAN(23966)</f>
        <v/>
      </c>
      <c r="D23967">
        <f>IF(B23967=C23967, "YES", "WRONG")</f>
        <v/>
      </c>
    </row>
    <row r="23968">
      <c r="A23968" t="n">
        <v>23967</v>
      </c>
      <c r="B23968" t="inlineStr">
        <is>
          <t>x̄x̄MMMCMLXVII</t>
        </is>
      </c>
      <c r="C23968">
        <f>ROMAN(23967)</f>
        <v/>
      </c>
      <c r="D23968">
        <f>IF(B23968=C23968, "YES", "WRONG")</f>
        <v/>
      </c>
    </row>
    <row r="23969">
      <c r="A23969" t="n">
        <v>23968</v>
      </c>
      <c r="B23969" t="inlineStr">
        <is>
          <t>x̄x̄MMMCMLXVIII</t>
        </is>
      </c>
      <c r="C23969">
        <f>ROMAN(23968)</f>
        <v/>
      </c>
      <c r="D23969">
        <f>IF(B23969=C23969, "YES", "WRONG")</f>
        <v/>
      </c>
    </row>
    <row r="23970">
      <c r="A23970" t="n">
        <v>23969</v>
      </c>
      <c r="B23970" t="inlineStr">
        <is>
          <t>x̄x̄MMMCMLXIX</t>
        </is>
      </c>
      <c r="C23970">
        <f>ROMAN(23969)</f>
        <v/>
      </c>
      <c r="D23970">
        <f>IF(B23970=C23970, "YES", "WRONG")</f>
        <v/>
      </c>
    </row>
    <row r="23971">
      <c r="A23971" t="n">
        <v>23970</v>
      </c>
      <c r="B23971" t="inlineStr">
        <is>
          <t>x̄x̄MMMCMLXX</t>
        </is>
      </c>
      <c r="C23971">
        <f>ROMAN(23970)</f>
        <v/>
      </c>
      <c r="D23971">
        <f>IF(B23971=C23971, "YES", "WRONG")</f>
        <v/>
      </c>
    </row>
    <row r="23972">
      <c r="A23972" t="n">
        <v>23971</v>
      </c>
      <c r="B23972" t="inlineStr">
        <is>
          <t>x̄x̄MMMCMLXXI</t>
        </is>
      </c>
      <c r="C23972">
        <f>ROMAN(23971)</f>
        <v/>
      </c>
      <c r="D23972">
        <f>IF(B23972=C23972, "YES", "WRONG")</f>
        <v/>
      </c>
    </row>
    <row r="23973">
      <c r="A23973" t="n">
        <v>23972</v>
      </c>
      <c r="B23973" t="inlineStr">
        <is>
          <t>x̄x̄MMMCMLXXII</t>
        </is>
      </c>
      <c r="C23973">
        <f>ROMAN(23972)</f>
        <v/>
      </c>
      <c r="D23973">
        <f>IF(B23973=C23973, "YES", "WRONG")</f>
        <v/>
      </c>
    </row>
    <row r="23974">
      <c r="A23974" t="n">
        <v>23973</v>
      </c>
      <c r="B23974" t="inlineStr">
        <is>
          <t>x̄x̄MMMCMLXXIII</t>
        </is>
      </c>
      <c r="C23974">
        <f>ROMAN(23973)</f>
        <v/>
      </c>
      <c r="D23974">
        <f>IF(B23974=C23974, "YES", "WRONG")</f>
        <v/>
      </c>
    </row>
    <row r="23975">
      <c r="A23975" t="n">
        <v>23974</v>
      </c>
      <c r="B23975" t="inlineStr">
        <is>
          <t>x̄x̄MMMCMLXXIV</t>
        </is>
      </c>
      <c r="C23975">
        <f>ROMAN(23974)</f>
        <v/>
      </c>
      <c r="D23975">
        <f>IF(B23975=C23975, "YES", "WRONG")</f>
        <v/>
      </c>
    </row>
    <row r="23976">
      <c r="A23976" t="n">
        <v>23975</v>
      </c>
      <c r="B23976" t="inlineStr">
        <is>
          <t>x̄x̄MMMCMLXXV</t>
        </is>
      </c>
      <c r="C23976">
        <f>ROMAN(23975)</f>
        <v/>
      </c>
      <c r="D23976">
        <f>IF(B23976=C23976, "YES", "WRONG")</f>
        <v/>
      </c>
    </row>
    <row r="23977">
      <c r="A23977" t="n">
        <v>23976</v>
      </c>
      <c r="B23977" t="inlineStr">
        <is>
          <t>x̄x̄MMMCMLXXVI</t>
        </is>
      </c>
      <c r="C23977">
        <f>ROMAN(23976)</f>
        <v/>
      </c>
      <c r="D23977">
        <f>IF(B23977=C23977, "YES", "WRONG")</f>
        <v/>
      </c>
    </row>
    <row r="23978">
      <c r="A23978" t="n">
        <v>23977</v>
      </c>
      <c r="B23978" t="inlineStr">
        <is>
          <t>x̄x̄MMMCMLXXVII</t>
        </is>
      </c>
      <c r="C23978">
        <f>ROMAN(23977)</f>
        <v/>
      </c>
      <c r="D23978">
        <f>IF(B23978=C23978, "YES", "WRONG")</f>
        <v/>
      </c>
    </row>
    <row r="23979">
      <c r="A23979" t="n">
        <v>23978</v>
      </c>
      <c r="B23979" t="inlineStr">
        <is>
          <t>x̄x̄MMMCMLXXVIII</t>
        </is>
      </c>
      <c r="C23979">
        <f>ROMAN(23978)</f>
        <v/>
      </c>
      <c r="D23979">
        <f>IF(B23979=C23979, "YES", "WRONG")</f>
        <v/>
      </c>
    </row>
    <row r="23980">
      <c r="A23980" t="n">
        <v>23979</v>
      </c>
      <c r="B23980" t="inlineStr">
        <is>
          <t>x̄x̄MMMCMLXXIX</t>
        </is>
      </c>
      <c r="C23980">
        <f>ROMAN(23979)</f>
        <v/>
      </c>
      <c r="D23980">
        <f>IF(B23980=C23980, "YES", "WRONG")</f>
        <v/>
      </c>
    </row>
    <row r="23981">
      <c r="A23981" t="n">
        <v>23980</v>
      </c>
      <c r="B23981" t="inlineStr">
        <is>
          <t>x̄x̄MMMCMLXXX</t>
        </is>
      </c>
      <c r="C23981">
        <f>ROMAN(23980)</f>
        <v/>
      </c>
      <c r="D23981">
        <f>IF(B23981=C23981, "YES", "WRONG")</f>
        <v/>
      </c>
    </row>
    <row r="23982">
      <c r="A23982" t="n">
        <v>23981</v>
      </c>
      <c r="B23982" t="inlineStr">
        <is>
          <t>x̄x̄MMMCMLXXXI</t>
        </is>
      </c>
      <c r="C23982">
        <f>ROMAN(23981)</f>
        <v/>
      </c>
      <c r="D23982">
        <f>IF(B23982=C23982, "YES", "WRONG")</f>
        <v/>
      </c>
    </row>
    <row r="23983">
      <c r="A23983" t="n">
        <v>23982</v>
      </c>
      <c r="B23983" t="inlineStr">
        <is>
          <t>x̄x̄MMMCMLXXXII</t>
        </is>
      </c>
      <c r="C23983">
        <f>ROMAN(23982)</f>
        <v/>
      </c>
      <c r="D23983">
        <f>IF(B23983=C23983, "YES", "WRONG")</f>
        <v/>
      </c>
    </row>
    <row r="23984">
      <c r="A23984" t="n">
        <v>23983</v>
      </c>
      <c r="B23984" t="inlineStr">
        <is>
          <t>x̄x̄MMMCMLXXXIII</t>
        </is>
      </c>
      <c r="C23984">
        <f>ROMAN(23983)</f>
        <v/>
      </c>
      <c r="D23984">
        <f>IF(B23984=C23984, "YES", "WRONG")</f>
        <v/>
      </c>
    </row>
    <row r="23985">
      <c r="A23985" t="n">
        <v>23984</v>
      </c>
      <c r="B23985" t="inlineStr">
        <is>
          <t>x̄x̄MMMCMLXXXIV</t>
        </is>
      </c>
      <c r="C23985">
        <f>ROMAN(23984)</f>
        <v/>
      </c>
      <c r="D23985">
        <f>IF(B23985=C23985, "YES", "WRONG")</f>
        <v/>
      </c>
    </row>
    <row r="23986">
      <c r="A23986" t="n">
        <v>23985</v>
      </c>
      <c r="B23986" t="inlineStr">
        <is>
          <t>x̄x̄MMMCMLXXXV</t>
        </is>
      </c>
      <c r="C23986">
        <f>ROMAN(23985)</f>
        <v/>
      </c>
      <c r="D23986">
        <f>IF(B23986=C23986, "YES", "WRONG")</f>
        <v/>
      </c>
    </row>
    <row r="23987">
      <c r="A23987" t="n">
        <v>23986</v>
      </c>
      <c r="B23987" t="inlineStr">
        <is>
          <t>x̄x̄MMMCMLXXXVI</t>
        </is>
      </c>
      <c r="C23987">
        <f>ROMAN(23986)</f>
        <v/>
      </c>
      <c r="D23987">
        <f>IF(B23987=C23987, "YES", "WRONG")</f>
        <v/>
      </c>
    </row>
    <row r="23988">
      <c r="A23988" t="n">
        <v>23987</v>
      </c>
      <c r="B23988" t="inlineStr">
        <is>
          <t>x̄x̄MMMCMLXXXVII</t>
        </is>
      </c>
      <c r="C23988">
        <f>ROMAN(23987)</f>
        <v/>
      </c>
      <c r="D23988">
        <f>IF(B23988=C23988, "YES", "WRONG")</f>
        <v/>
      </c>
    </row>
    <row r="23989">
      <c r="A23989" t="n">
        <v>23988</v>
      </c>
      <c r="B23989" t="inlineStr">
        <is>
          <t>x̄x̄MMMCMLXXXVIII</t>
        </is>
      </c>
      <c r="C23989">
        <f>ROMAN(23988)</f>
        <v/>
      </c>
      <c r="D23989">
        <f>IF(B23989=C23989, "YES", "WRONG")</f>
        <v/>
      </c>
    </row>
    <row r="23990">
      <c r="A23990" t="n">
        <v>23989</v>
      </c>
      <c r="B23990" t="inlineStr">
        <is>
          <t>x̄x̄MMMCMLXXXIX</t>
        </is>
      </c>
      <c r="C23990">
        <f>ROMAN(23989)</f>
        <v/>
      </c>
      <c r="D23990">
        <f>IF(B23990=C23990, "YES", "WRONG")</f>
        <v/>
      </c>
    </row>
    <row r="23991">
      <c r="A23991" t="n">
        <v>23990</v>
      </c>
      <c r="B23991" t="inlineStr">
        <is>
          <t>x̄x̄MMMCMXC</t>
        </is>
      </c>
      <c r="C23991">
        <f>ROMAN(23990)</f>
        <v/>
      </c>
      <c r="D23991">
        <f>IF(B23991=C23991, "YES", "WRONG")</f>
        <v/>
      </c>
    </row>
    <row r="23992">
      <c r="A23992" t="n">
        <v>23991</v>
      </c>
      <c r="B23992" t="inlineStr">
        <is>
          <t>x̄x̄MMMCMXCI</t>
        </is>
      </c>
      <c r="C23992">
        <f>ROMAN(23991)</f>
        <v/>
      </c>
      <c r="D23992">
        <f>IF(B23992=C23992, "YES", "WRONG")</f>
        <v/>
      </c>
    </row>
    <row r="23993">
      <c r="A23993" t="n">
        <v>23992</v>
      </c>
      <c r="B23993" t="inlineStr">
        <is>
          <t>x̄x̄MMMCMXCII</t>
        </is>
      </c>
      <c r="C23993">
        <f>ROMAN(23992)</f>
        <v/>
      </c>
      <c r="D23993">
        <f>IF(B23993=C23993, "YES", "WRONG")</f>
        <v/>
      </c>
    </row>
    <row r="23994">
      <c r="A23994" t="n">
        <v>23993</v>
      </c>
      <c r="B23994" t="inlineStr">
        <is>
          <t>x̄x̄MMMCMXCIII</t>
        </is>
      </c>
      <c r="C23994">
        <f>ROMAN(23993)</f>
        <v/>
      </c>
      <c r="D23994">
        <f>IF(B23994=C23994, "YES", "WRONG")</f>
        <v/>
      </c>
    </row>
    <row r="23995">
      <c r="A23995" t="n">
        <v>23994</v>
      </c>
      <c r="B23995" t="inlineStr">
        <is>
          <t>x̄x̄MMMCMXCIV</t>
        </is>
      </c>
      <c r="C23995">
        <f>ROMAN(23994)</f>
        <v/>
      </c>
      <c r="D23995">
        <f>IF(B23995=C23995, "YES", "WRONG")</f>
        <v/>
      </c>
    </row>
    <row r="23996">
      <c r="A23996" t="n">
        <v>23995</v>
      </c>
      <c r="B23996" t="inlineStr">
        <is>
          <t>x̄x̄MMMCMXCV</t>
        </is>
      </c>
      <c r="C23996">
        <f>ROMAN(23995)</f>
        <v/>
      </c>
      <c r="D23996">
        <f>IF(B23996=C23996, "YES", "WRONG")</f>
        <v/>
      </c>
    </row>
    <row r="23997">
      <c r="A23997" t="n">
        <v>23996</v>
      </c>
      <c r="B23997" t="inlineStr">
        <is>
          <t>x̄x̄MMMCMXCVI</t>
        </is>
      </c>
      <c r="C23997">
        <f>ROMAN(23996)</f>
        <v/>
      </c>
      <c r="D23997">
        <f>IF(B23997=C23997, "YES", "WRONG")</f>
        <v/>
      </c>
    </row>
    <row r="23998">
      <c r="A23998" t="n">
        <v>23997</v>
      </c>
      <c r="B23998" t="inlineStr">
        <is>
          <t>x̄x̄MMMCMXCVII</t>
        </is>
      </c>
      <c r="C23998">
        <f>ROMAN(23997)</f>
        <v/>
      </c>
      <c r="D23998">
        <f>IF(B23998=C23998, "YES", "WRONG")</f>
        <v/>
      </c>
    </row>
    <row r="23999">
      <c r="A23999" t="n">
        <v>23998</v>
      </c>
      <c r="B23999" t="inlineStr">
        <is>
          <t>x̄x̄MMMCMXCVIII</t>
        </is>
      </c>
      <c r="C23999">
        <f>ROMAN(23998)</f>
        <v/>
      </c>
      <c r="D23999">
        <f>IF(B23999=C23999, "YES", "WRONG")</f>
        <v/>
      </c>
    </row>
    <row r="24000">
      <c r="A24000" t="n">
        <v>23999</v>
      </c>
      <c r="B24000" t="inlineStr">
        <is>
          <t>x̄x̄MMMCMXCIX</t>
        </is>
      </c>
      <c r="C24000">
        <f>ROMAN(23999)</f>
        <v/>
      </c>
      <c r="D24000">
        <f>IF(B24000=C24000, "YES", "WRONG")</f>
        <v/>
      </c>
    </row>
    <row r="24001">
      <c r="A24001" t="n">
        <v>24000</v>
      </c>
      <c r="B24001" t="inlineStr">
        <is>
          <t>x̄x̄MV̅</t>
        </is>
      </c>
      <c r="C24001">
        <f>ROMAN(24000)</f>
        <v/>
      </c>
      <c r="D24001">
        <f>IF(B24001=C24001, "YES", "WRONG")</f>
        <v/>
      </c>
    </row>
    <row r="24002">
      <c r="A24002" t="n">
        <v>24001</v>
      </c>
      <c r="B24002" t="inlineStr">
        <is>
          <t>x̄x̄MV̅I</t>
        </is>
      </c>
      <c r="C24002">
        <f>ROMAN(24001)</f>
        <v/>
      </c>
      <c r="D24002">
        <f>IF(B24002=C24002, "YES", "WRONG")</f>
        <v/>
      </c>
    </row>
    <row r="24003">
      <c r="A24003" t="n">
        <v>24002</v>
      </c>
      <c r="B24003" t="inlineStr">
        <is>
          <t>x̄x̄MV̅II</t>
        </is>
      </c>
      <c r="C24003">
        <f>ROMAN(24002)</f>
        <v/>
      </c>
      <c r="D24003">
        <f>IF(B24003=C24003, "YES", "WRONG")</f>
        <v/>
      </c>
    </row>
    <row r="24004">
      <c r="A24004" t="n">
        <v>24003</v>
      </c>
      <c r="B24004" t="inlineStr">
        <is>
          <t>x̄x̄MV̅III</t>
        </is>
      </c>
      <c r="C24004">
        <f>ROMAN(24003)</f>
        <v/>
      </c>
      <c r="D24004">
        <f>IF(B24004=C24004, "YES", "WRONG")</f>
        <v/>
      </c>
    </row>
    <row r="24005">
      <c r="A24005" t="n">
        <v>24004</v>
      </c>
      <c r="B24005" t="inlineStr">
        <is>
          <t>x̄x̄MV̅IV</t>
        </is>
      </c>
      <c r="C24005">
        <f>ROMAN(24004)</f>
        <v/>
      </c>
      <c r="D24005">
        <f>IF(B24005=C24005, "YES", "WRONG")</f>
        <v/>
      </c>
    </row>
    <row r="24006">
      <c r="A24006" t="n">
        <v>24005</v>
      </c>
      <c r="B24006" t="inlineStr">
        <is>
          <t>x̄x̄MV̅V</t>
        </is>
      </c>
      <c r="C24006">
        <f>ROMAN(24005)</f>
        <v/>
      </c>
      <c r="D24006">
        <f>IF(B24006=C24006, "YES", "WRONG")</f>
        <v/>
      </c>
    </row>
    <row r="24007">
      <c r="A24007" t="n">
        <v>24006</v>
      </c>
      <c r="B24007" t="inlineStr">
        <is>
          <t>x̄x̄MV̅VI</t>
        </is>
      </c>
      <c r="C24007">
        <f>ROMAN(24006)</f>
        <v/>
      </c>
      <c r="D24007">
        <f>IF(B24007=C24007, "YES", "WRONG")</f>
        <v/>
      </c>
    </row>
    <row r="24008">
      <c r="A24008" t="n">
        <v>24007</v>
      </c>
      <c r="B24008" t="inlineStr">
        <is>
          <t>x̄x̄MV̅VII</t>
        </is>
      </c>
      <c r="C24008">
        <f>ROMAN(24007)</f>
        <v/>
      </c>
      <c r="D24008">
        <f>IF(B24008=C24008, "YES", "WRONG")</f>
        <v/>
      </c>
    </row>
    <row r="24009">
      <c r="A24009" t="n">
        <v>24008</v>
      </c>
      <c r="B24009" t="inlineStr">
        <is>
          <t>x̄x̄MV̅VIII</t>
        </is>
      </c>
      <c r="C24009">
        <f>ROMAN(24008)</f>
        <v/>
      </c>
      <c r="D24009">
        <f>IF(B24009=C24009, "YES", "WRONG")</f>
        <v/>
      </c>
    </row>
    <row r="24010">
      <c r="A24010" t="n">
        <v>24009</v>
      </c>
      <c r="B24010" t="inlineStr">
        <is>
          <t>x̄x̄MV̅IX</t>
        </is>
      </c>
      <c r="C24010">
        <f>ROMAN(24009)</f>
        <v/>
      </c>
      <c r="D24010">
        <f>IF(B24010=C24010, "YES", "WRONG")</f>
        <v/>
      </c>
    </row>
    <row r="24011">
      <c r="A24011" t="n">
        <v>24010</v>
      </c>
      <c r="B24011" t="inlineStr">
        <is>
          <t>x̄x̄MV̅X</t>
        </is>
      </c>
      <c r="C24011">
        <f>ROMAN(24010)</f>
        <v/>
      </c>
      <c r="D24011">
        <f>IF(B24011=C24011, "YES", "WRONG")</f>
        <v/>
      </c>
    </row>
    <row r="24012">
      <c r="A24012" t="n">
        <v>24011</v>
      </c>
      <c r="B24012" t="inlineStr">
        <is>
          <t>x̄x̄MV̅XI</t>
        </is>
      </c>
      <c r="C24012">
        <f>ROMAN(24011)</f>
        <v/>
      </c>
      <c r="D24012">
        <f>IF(B24012=C24012, "YES", "WRONG")</f>
        <v/>
      </c>
    </row>
    <row r="24013">
      <c r="A24013" t="n">
        <v>24012</v>
      </c>
      <c r="B24013" t="inlineStr">
        <is>
          <t>x̄x̄MV̅XII</t>
        </is>
      </c>
      <c r="C24013">
        <f>ROMAN(24012)</f>
        <v/>
      </c>
      <c r="D24013">
        <f>IF(B24013=C24013, "YES", "WRONG")</f>
        <v/>
      </c>
    </row>
    <row r="24014">
      <c r="A24014" t="n">
        <v>24013</v>
      </c>
      <c r="B24014" t="inlineStr">
        <is>
          <t>x̄x̄MV̅XIII</t>
        </is>
      </c>
      <c r="C24014">
        <f>ROMAN(24013)</f>
        <v/>
      </c>
      <c r="D24014">
        <f>IF(B24014=C24014, "YES", "WRONG")</f>
        <v/>
      </c>
    </row>
    <row r="24015">
      <c r="A24015" t="n">
        <v>24014</v>
      </c>
      <c r="B24015" t="inlineStr">
        <is>
          <t>x̄x̄MV̅XIV</t>
        </is>
      </c>
      <c r="C24015">
        <f>ROMAN(24014)</f>
        <v/>
      </c>
      <c r="D24015">
        <f>IF(B24015=C24015, "YES", "WRONG")</f>
        <v/>
      </c>
    </row>
    <row r="24016">
      <c r="A24016" t="n">
        <v>24015</v>
      </c>
      <c r="B24016" t="inlineStr">
        <is>
          <t>x̄x̄MV̅XV</t>
        </is>
      </c>
      <c r="C24016">
        <f>ROMAN(24015)</f>
        <v/>
      </c>
      <c r="D24016">
        <f>IF(B24016=C24016, "YES", "WRONG")</f>
        <v/>
      </c>
    </row>
    <row r="24017">
      <c r="A24017" t="n">
        <v>24016</v>
      </c>
      <c r="B24017" t="inlineStr">
        <is>
          <t>x̄x̄MV̅XVI</t>
        </is>
      </c>
      <c r="C24017">
        <f>ROMAN(24016)</f>
        <v/>
      </c>
      <c r="D24017">
        <f>IF(B24017=C24017, "YES", "WRONG")</f>
        <v/>
      </c>
    </row>
    <row r="24018">
      <c r="A24018" t="n">
        <v>24017</v>
      </c>
      <c r="B24018" t="inlineStr">
        <is>
          <t>x̄x̄MV̅XVII</t>
        </is>
      </c>
      <c r="C24018">
        <f>ROMAN(24017)</f>
        <v/>
      </c>
      <c r="D24018">
        <f>IF(B24018=C24018, "YES", "WRONG")</f>
        <v/>
      </c>
    </row>
    <row r="24019">
      <c r="A24019" t="n">
        <v>24018</v>
      </c>
      <c r="B24019" t="inlineStr">
        <is>
          <t>x̄x̄MV̅XVIII</t>
        </is>
      </c>
      <c r="C24019">
        <f>ROMAN(24018)</f>
        <v/>
      </c>
      <c r="D24019">
        <f>IF(B24019=C24019, "YES", "WRONG")</f>
        <v/>
      </c>
    </row>
    <row r="24020">
      <c r="A24020" t="n">
        <v>24019</v>
      </c>
      <c r="B24020" t="inlineStr">
        <is>
          <t>x̄x̄MV̅XIX</t>
        </is>
      </c>
      <c r="C24020">
        <f>ROMAN(24019)</f>
        <v/>
      </c>
      <c r="D24020">
        <f>IF(B24020=C24020, "YES", "WRONG")</f>
        <v/>
      </c>
    </row>
    <row r="24021">
      <c r="A24021" t="n">
        <v>24020</v>
      </c>
      <c r="B24021" t="inlineStr">
        <is>
          <t>x̄x̄MV̅XX</t>
        </is>
      </c>
      <c r="C24021">
        <f>ROMAN(24020)</f>
        <v/>
      </c>
      <c r="D24021">
        <f>IF(B24021=C24021, "YES", "WRONG")</f>
        <v/>
      </c>
    </row>
    <row r="24022">
      <c r="A24022" t="n">
        <v>24021</v>
      </c>
      <c r="B24022" t="inlineStr">
        <is>
          <t>x̄x̄MV̅XXI</t>
        </is>
      </c>
      <c r="C24022">
        <f>ROMAN(24021)</f>
        <v/>
      </c>
      <c r="D24022">
        <f>IF(B24022=C24022, "YES", "WRONG")</f>
        <v/>
      </c>
    </row>
    <row r="24023">
      <c r="A24023" t="n">
        <v>24022</v>
      </c>
      <c r="B24023" t="inlineStr">
        <is>
          <t>x̄x̄MV̅XXII</t>
        </is>
      </c>
      <c r="C24023">
        <f>ROMAN(24022)</f>
        <v/>
      </c>
      <c r="D24023">
        <f>IF(B24023=C24023, "YES", "WRONG")</f>
        <v/>
      </c>
    </row>
    <row r="24024">
      <c r="A24024" t="n">
        <v>24023</v>
      </c>
      <c r="B24024" t="inlineStr">
        <is>
          <t>x̄x̄MV̅XXIII</t>
        </is>
      </c>
      <c r="C24024">
        <f>ROMAN(24023)</f>
        <v/>
      </c>
      <c r="D24024">
        <f>IF(B24024=C24024, "YES", "WRONG")</f>
        <v/>
      </c>
    </row>
    <row r="24025">
      <c r="A24025" t="n">
        <v>24024</v>
      </c>
      <c r="B24025" t="inlineStr">
        <is>
          <t>x̄x̄MV̅XXIV</t>
        </is>
      </c>
      <c r="C24025">
        <f>ROMAN(24024)</f>
        <v/>
      </c>
      <c r="D24025">
        <f>IF(B24025=C24025, "YES", "WRONG")</f>
        <v/>
      </c>
    </row>
    <row r="24026">
      <c r="A24026" t="n">
        <v>24025</v>
      </c>
      <c r="B24026" t="inlineStr">
        <is>
          <t>x̄x̄MV̅XXV</t>
        </is>
      </c>
      <c r="C24026">
        <f>ROMAN(24025)</f>
        <v/>
      </c>
      <c r="D24026">
        <f>IF(B24026=C24026, "YES", "WRONG")</f>
        <v/>
      </c>
    </row>
    <row r="24027">
      <c r="A24027" t="n">
        <v>24026</v>
      </c>
      <c r="B24027" t="inlineStr">
        <is>
          <t>x̄x̄MV̅XXVI</t>
        </is>
      </c>
      <c r="C24027">
        <f>ROMAN(24026)</f>
        <v/>
      </c>
      <c r="D24027">
        <f>IF(B24027=C24027, "YES", "WRONG")</f>
        <v/>
      </c>
    </row>
    <row r="24028">
      <c r="A24028" t="n">
        <v>24027</v>
      </c>
      <c r="B24028" t="inlineStr">
        <is>
          <t>x̄x̄MV̅XXVII</t>
        </is>
      </c>
      <c r="C24028">
        <f>ROMAN(24027)</f>
        <v/>
      </c>
      <c r="D24028">
        <f>IF(B24028=C24028, "YES", "WRONG")</f>
        <v/>
      </c>
    </row>
    <row r="24029">
      <c r="A24029" t="n">
        <v>24028</v>
      </c>
      <c r="B24029" t="inlineStr">
        <is>
          <t>x̄x̄MV̅XXVIII</t>
        </is>
      </c>
      <c r="C24029">
        <f>ROMAN(24028)</f>
        <v/>
      </c>
      <c r="D24029">
        <f>IF(B24029=C24029, "YES", "WRONG")</f>
        <v/>
      </c>
    </row>
    <row r="24030">
      <c r="A24030" t="n">
        <v>24029</v>
      </c>
      <c r="B24030" t="inlineStr">
        <is>
          <t>x̄x̄MV̅XXIX</t>
        </is>
      </c>
      <c r="C24030">
        <f>ROMAN(24029)</f>
        <v/>
      </c>
      <c r="D24030">
        <f>IF(B24030=C24030, "YES", "WRONG")</f>
        <v/>
      </c>
    </row>
    <row r="24031">
      <c r="A24031" t="n">
        <v>24030</v>
      </c>
      <c r="B24031" t="inlineStr">
        <is>
          <t>x̄x̄MV̅XXX</t>
        </is>
      </c>
      <c r="C24031">
        <f>ROMAN(24030)</f>
        <v/>
      </c>
      <c r="D24031">
        <f>IF(B24031=C24031, "YES", "WRONG")</f>
        <v/>
      </c>
    </row>
    <row r="24032">
      <c r="A24032" t="n">
        <v>24031</v>
      </c>
      <c r="B24032" t="inlineStr">
        <is>
          <t>x̄x̄MV̅XXXI</t>
        </is>
      </c>
      <c r="C24032">
        <f>ROMAN(24031)</f>
        <v/>
      </c>
      <c r="D24032">
        <f>IF(B24032=C24032, "YES", "WRONG")</f>
        <v/>
      </c>
    </row>
    <row r="24033">
      <c r="A24033" t="n">
        <v>24032</v>
      </c>
      <c r="B24033" t="inlineStr">
        <is>
          <t>x̄x̄MV̅XXXII</t>
        </is>
      </c>
      <c r="C24033">
        <f>ROMAN(24032)</f>
        <v/>
      </c>
      <c r="D24033">
        <f>IF(B24033=C24033, "YES", "WRONG")</f>
        <v/>
      </c>
    </row>
    <row r="24034">
      <c r="A24034" t="n">
        <v>24033</v>
      </c>
      <c r="B24034" t="inlineStr">
        <is>
          <t>x̄x̄MV̅XXXIII</t>
        </is>
      </c>
      <c r="C24034">
        <f>ROMAN(24033)</f>
        <v/>
      </c>
      <c r="D24034">
        <f>IF(B24034=C24034, "YES", "WRONG")</f>
        <v/>
      </c>
    </row>
    <row r="24035">
      <c r="A24035" t="n">
        <v>24034</v>
      </c>
      <c r="B24035" t="inlineStr">
        <is>
          <t>x̄x̄MV̅XXXIV</t>
        </is>
      </c>
      <c r="C24035">
        <f>ROMAN(24034)</f>
        <v/>
      </c>
      <c r="D24035">
        <f>IF(B24035=C24035, "YES", "WRONG")</f>
        <v/>
      </c>
    </row>
    <row r="24036">
      <c r="A24036" t="n">
        <v>24035</v>
      </c>
      <c r="B24036" t="inlineStr">
        <is>
          <t>x̄x̄MV̅XXXV</t>
        </is>
      </c>
      <c r="C24036">
        <f>ROMAN(24035)</f>
        <v/>
      </c>
      <c r="D24036">
        <f>IF(B24036=C24036, "YES", "WRONG")</f>
        <v/>
      </c>
    </row>
    <row r="24037">
      <c r="A24037" t="n">
        <v>24036</v>
      </c>
      <c r="B24037" t="inlineStr">
        <is>
          <t>x̄x̄MV̅XXXVI</t>
        </is>
      </c>
      <c r="C24037">
        <f>ROMAN(24036)</f>
        <v/>
      </c>
      <c r="D24037">
        <f>IF(B24037=C24037, "YES", "WRONG")</f>
        <v/>
      </c>
    </row>
    <row r="24038">
      <c r="A24038" t="n">
        <v>24037</v>
      </c>
      <c r="B24038" t="inlineStr">
        <is>
          <t>x̄x̄MV̅XXXVII</t>
        </is>
      </c>
      <c r="C24038">
        <f>ROMAN(24037)</f>
        <v/>
      </c>
      <c r="D24038">
        <f>IF(B24038=C24038, "YES", "WRONG")</f>
        <v/>
      </c>
    </row>
    <row r="24039">
      <c r="A24039" t="n">
        <v>24038</v>
      </c>
      <c r="B24039" t="inlineStr">
        <is>
          <t>x̄x̄MV̅XXXVIII</t>
        </is>
      </c>
      <c r="C24039">
        <f>ROMAN(24038)</f>
        <v/>
      </c>
      <c r="D24039">
        <f>IF(B24039=C24039, "YES", "WRONG")</f>
        <v/>
      </c>
    </row>
    <row r="24040">
      <c r="A24040" t="n">
        <v>24039</v>
      </c>
      <c r="B24040" t="inlineStr">
        <is>
          <t>x̄x̄MV̅XXXIX</t>
        </is>
      </c>
      <c r="C24040">
        <f>ROMAN(24039)</f>
        <v/>
      </c>
      <c r="D24040">
        <f>IF(B24040=C24040, "YES", "WRONG")</f>
        <v/>
      </c>
    </row>
    <row r="24041">
      <c r="A24041" t="n">
        <v>24040</v>
      </c>
      <c r="B24041" t="inlineStr">
        <is>
          <t>x̄x̄MV̅XL</t>
        </is>
      </c>
      <c r="C24041">
        <f>ROMAN(24040)</f>
        <v/>
      </c>
      <c r="D24041">
        <f>IF(B24041=C24041, "YES", "WRONG")</f>
        <v/>
      </c>
    </row>
    <row r="24042">
      <c r="A24042" t="n">
        <v>24041</v>
      </c>
      <c r="B24042" t="inlineStr">
        <is>
          <t>x̄x̄MV̅XLI</t>
        </is>
      </c>
      <c r="C24042">
        <f>ROMAN(24041)</f>
        <v/>
      </c>
      <c r="D24042">
        <f>IF(B24042=C24042, "YES", "WRONG")</f>
        <v/>
      </c>
    </row>
    <row r="24043">
      <c r="A24043" t="n">
        <v>24042</v>
      </c>
      <c r="B24043" t="inlineStr">
        <is>
          <t>x̄x̄MV̅XLII</t>
        </is>
      </c>
      <c r="C24043">
        <f>ROMAN(24042)</f>
        <v/>
      </c>
      <c r="D24043">
        <f>IF(B24043=C24043, "YES", "WRONG")</f>
        <v/>
      </c>
    </row>
    <row r="24044">
      <c r="A24044" t="n">
        <v>24043</v>
      </c>
      <c r="B24044" t="inlineStr">
        <is>
          <t>x̄x̄MV̅XLIII</t>
        </is>
      </c>
      <c r="C24044">
        <f>ROMAN(24043)</f>
        <v/>
      </c>
      <c r="D24044">
        <f>IF(B24044=C24044, "YES", "WRONG")</f>
        <v/>
      </c>
    </row>
    <row r="24045">
      <c r="A24045" t="n">
        <v>24044</v>
      </c>
      <c r="B24045" t="inlineStr">
        <is>
          <t>x̄x̄MV̅XLIV</t>
        </is>
      </c>
      <c r="C24045">
        <f>ROMAN(24044)</f>
        <v/>
      </c>
      <c r="D24045">
        <f>IF(B24045=C24045, "YES", "WRONG")</f>
        <v/>
      </c>
    </row>
    <row r="24046">
      <c r="A24046" t="n">
        <v>24045</v>
      </c>
      <c r="B24046" t="inlineStr">
        <is>
          <t>x̄x̄MV̅XLV</t>
        </is>
      </c>
      <c r="C24046">
        <f>ROMAN(24045)</f>
        <v/>
      </c>
      <c r="D24046">
        <f>IF(B24046=C24046, "YES", "WRONG")</f>
        <v/>
      </c>
    </row>
    <row r="24047">
      <c r="A24047" t="n">
        <v>24046</v>
      </c>
      <c r="B24047" t="inlineStr">
        <is>
          <t>x̄x̄MV̅XLVI</t>
        </is>
      </c>
      <c r="C24047">
        <f>ROMAN(24046)</f>
        <v/>
      </c>
      <c r="D24047">
        <f>IF(B24047=C24047, "YES", "WRONG")</f>
        <v/>
      </c>
    </row>
    <row r="24048">
      <c r="A24048" t="n">
        <v>24047</v>
      </c>
      <c r="B24048" t="inlineStr">
        <is>
          <t>x̄x̄MV̅XLVII</t>
        </is>
      </c>
      <c r="C24048">
        <f>ROMAN(24047)</f>
        <v/>
      </c>
      <c r="D24048">
        <f>IF(B24048=C24048, "YES", "WRONG")</f>
        <v/>
      </c>
    </row>
    <row r="24049">
      <c r="A24049" t="n">
        <v>24048</v>
      </c>
      <c r="B24049" t="inlineStr">
        <is>
          <t>x̄x̄MV̅XLVIII</t>
        </is>
      </c>
      <c r="C24049">
        <f>ROMAN(24048)</f>
        <v/>
      </c>
      <c r="D24049">
        <f>IF(B24049=C24049, "YES", "WRONG")</f>
        <v/>
      </c>
    </row>
    <row r="24050">
      <c r="A24050" t="n">
        <v>24049</v>
      </c>
      <c r="B24050" t="inlineStr">
        <is>
          <t>x̄x̄MV̅XLIX</t>
        </is>
      </c>
      <c r="C24050">
        <f>ROMAN(24049)</f>
        <v/>
      </c>
      <c r="D24050">
        <f>IF(B24050=C24050, "YES", "WRONG")</f>
        <v/>
      </c>
    </row>
    <row r="24051">
      <c r="A24051" t="n">
        <v>24050</v>
      </c>
      <c r="B24051" t="inlineStr">
        <is>
          <t>x̄x̄MV̅L</t>
        </is>
      </c>
      <c r="C24051">
        <f>ROMAN(24050)</f>
        <v/>
      </c>
      <c r="D24051">
        <f>IF(B24051=C24051, "YES", "WRONG")</f>
        <v/>
      </c>
    </row>
    <row r="24052">
      <c r="A24052" t="n">
        <v>24051</v>
      </c>
      <c r="B24052" t="inlineStr">
        <is>
          <t>x̄x̄MV̅LI</t>
        </is>
      </c>
      <c r="C24052">
        <f>ROMAN(24051)</f>
        <v/>
      </c>
      <c r="D24052">
        <f>IF(B24052=C24052, "YES", "WRONG")</f>
        <v/>
      </c>
    </row>
    <row r="24053">
      <c r="A24053" t="n">
        <v>24052</v>
      </c>
      <c r="B24053" t="inlineStr">
        <is>
          <t>x̄x̄MV̅LII</t>
        </is>
      </c>
      <c r="C24053">
        <f>ROMAN(24052)</f>
        <v/>
      </c>
      <c r="D24053">
        <f>IF(B24053=C24053, "YES", "WRONG")</f>
        <v/>
      </c>
    </row>
    <row r="24054">
      <c r="A24054" t="n">
        <v>24053</v>
      </c>
      <c r="B24054" t="inlineStr">
        <is>
          <t>x̄x̄MV̅LIII</t>
        </is>
      </c>
      <c r="C24054">
        <f>ROMAN(24053)</f>
        <v/>
      </c>
      <c r="D24054">
        <f>IF(B24054=C24054, "YES", "WRONG")</f>
        <v/>
      </c>
    </row>
    <row r="24055">
      <c r="A24055" t="n">
        <v>24054</v>
      </c>
      <c r="B24055" t="inlineStr">
        <is>
          <t>x̄x̄MV̅LIV</t>
        </is>
      </c>
      <c r="C24055">
        <f>ROMAN(24054)</f>
        <v/>
      </c>
      <c r="D24055">
        <f>IF(B24055=C24055, "YES", "WRONG")</f>
        <v/>
      </c>
    </row>
    <row r="24056">
      <c r="A24056" t="n">
        <v>24055</v>
      </c>
      <c r="B24056" t="inlineStr">
        <is>
          <t>x̄x̄MV̅LV</t>
        </is>
      </c>
      <c r="C24056">
        <f>ROMAN(24055)</f>
        <v/>
      </c>
      <c r="D24056">
        <f>IF(B24056=C24056, "YES", "WRONG")</f>
        <v/>
      </c>
    </row>
    <row r="24057">
      <c r="A24057" t="n">
        <v>24056</v>
      </c>
      <c r="B24057" t="inlineStr">
        <is>
          <t>x̄x̄MV̅LVI</t>
        </is>
      </c>
      <c r="C24057">
        <f>ROMAN(24056)</f>
        <v/>
      </c>
      <c r="D24057">
        <f>IF(B24057=C24057, "YES", "WRONG")</f>
        <v/>
      </c>
    </row>
    <row r="24058">
      <c r="A24058" t="n">
        <v>24057</v>
      </c>
      <c r="B24058" t="inlineStr">
        <is>
          <t>x̄x̄MV̅LVII</t>
        </is>
      </c>
      <c r="C24058">
        <f>ROMAN(24057)</f>
        <v/>
      </c>
      <c r="D24058">
        <f>IF(B24058=C24058, "YES", "WRONG")</f>
        <v/>
      </c>
    </row>
    <row r="24059">
      <c r="A24059" t="n">
        <v>24058</v>
      </c>
      <c r="B24059" t="inlineStr">
        <is>
          <t>x̄x̄MV̅LVIII</t>
        </is>
      </c>
      <c r="C24059">
        <f>ROMAN(24058)</f>
        <v/>
      </c>
      <c r="D24059">
        <f>IF(B24059=C24059, "YES", "WRONG")</f>
        <v/>
      </c>
    </row>
    <row r="24060">
      <c r="A24060" t="n">
        <v>24059</v>
      </c>
      <c r="B24060" t="inlineStr">
        <is>
          <t>x̄x̄MV̅LIX</t>
        </is>
      </c>
      <c r="C24060">
        <f>ROMAN(24059)</f>
        <v/>
      </c>
      <c r="D24060">
        <f>IF(B24060=C24060, "YES", "WRONG")</f>
        <v/>
      </c>
    </row>
    <row r="24061">
      <c r="A24061" t="n">
        <v>24060</v>
      </c>
      <c r="B24061" t="inlineStr">
        <is>
          <t>x̄x̄MV̅LX</t>
        </is>
      </c>
      <c r="C24061">
        <f>ROMAN(24060)</f>
        <v/>
      </c>
      <c r="D24061">
        <f>IF(B24061=C24061, "YES", "WRONG")</f>
        <v/>
      </c>
    </row>
    <row r="24062">
      <c r="A24062" t="n">
        <v>24061</v>
      </c>
      <c r="B24062" t="inlineStr">
        <is>
          <t>x̄x̄MV̅LXI</t>
        </is>
      </c>
      <c r="C24062">
        <f>ROMAN(24061)</f>
        <v/>
      </c>
      <c r="D24062">
        <f>IF(B24062=C24062, "YES", "WRONG")</f>
        <v/>
      </c>
    </row>
    <row r="24063">
      <c r="A24063" t="n">
        <v>24062</v>
      </c>
      <c r="B24063" t="inlineStr">
        <is>
          <t>x̄x̄MV̅LXII</t>
        </is>
      </c>
      <c r="C24063">
        <f>ROMAN(24062)</f>
        <v/>
      </c>
      <c r="D24063">
        <f>IF(B24063=C24063, "YES", "WRONG")</f>
        <v/>
      </c>
    </row>
    <row r="24064">
      <c r="A24064" t="n">
        <v>24063</v>
      </c>
      <c r="B24064" t="inlineStr">
        <is>
          <t>x̄x̄MV̅LXIII</t>
        </is>
      </c>
      <c r="C24064">
        <f>ROMAN(24063)</f>
        <v/>
      </c>
      <c r="D24064">
        <f>IF(B24064=C24064, "YES", "WRONG")</f>
        <v/>
      </c>
    </row>
    <row r="24065">
      <c r="A24065" t="n">
        <v>24064</v>
      </c>
      <c r="B24065" t="inlineStr">
        <is>
          <t>x̄x̄MV̅LXIV</t>
        </is>
      </c>
      <c r="C24065">
        <f>ROMAN(24064)</f>
        <v/>
      </c>
      <c r="D24065">
        <f>IF(B24065=C24065, "YES", "WRONG")</f>
        <v/>
      </c>
    </row>
    <row r="24066">
      <c r="A24066" t="n">
        <v>24065</v>
      </c>
      <c r="B24066" t="inlineStr">
        <is>
          <t>x̄x̄MV̅LXV</t>
        </is>
      </c>
      <c r="C24066">
        <f>ROMAN(24065)</f>
        <v/>
      </c>
      <c r="D24066">
        <f>IF(B24066=C24066, "YES", "WRONG")</f>
        <v/>
      </c>
    </row>
    <row r="24067">
      <c r="A24067" t="n">
        <v>24066</v>
      </c>
      <c r="B24067" t="inlineStr">
        <is>
          <t>x̄x̄MV̅LXVI</t>
        </is>
      </c>
      <c r="C24067">
        <f>ROMAN(24066)</f>
        <v/>
      </c>
      <c r="D24067">
        <f>IF(B24067=C24067, "YES", "WRONG")</f>
        <v/>
      </c>
    </row>
    <row r="24068">
      <c r="A24068" t="n">
        <v>24067</v>
      </c>
      <c r="B24068" t="inlineStr">
        <is>
          <t>x̄x̄MV̅LXVII</t>
        </is>
      </c>
      <c r="C24068">
        <f>ROMAN(24067)</f>
        <v/>
      </c>
      <c r="D24068">
        <f>IF(B24068=C24068, "YES", "WRONG")</f>
        <v/>
      </c>
    </row>
    <row r="24069">
      <c r="A24069" t="n">
        <v>24068</v>
      </c>
      <c r="B24069" t="inlineStr">
        <is>
          <t>x̄x̄MV̅LXVIII</t>
        </is>
      </c>
      <c r="C24069">
        <f>ROMAN(24068)</f>
        <v/>
      </c>
      <c r="D24069">
        <f>IF(B24069=C24069, "YES", "WRONG")</f>
        <v/>
      </c>
    </row>
    <row r="24070">
      <c r="A24070" t="n">
        <v>24069</v>
      </c>
      <c r="B24070" t="inlineStr">
        <is>
          <t>x̄x̄MV̅LXIX</t>
        </is>
      </c>
      <c r="C24070">
        <f>ROMAN(24069)</f>
        <v/>
      </c>
      <c r="D24070">
        <f>IF(B24070=C24070, "YES", "WRONG")</f>
        <v/>
      </c>
    </row>
    <row r="24071">
      <c r="A24071" t="n">
        <v>24070</v>
      </c>
      <c r="B24071" t="inlineStr">
        <is>
          <t>x̄x̄MV̅LXX</t>
        </is>
      </c>
      <c r="C24071">
        <f>ROMAN(24070)</f>
        <v/>
      </c>
      <c r="D24071">
        <f>IF(B24071=C24071, "YES", "WRONG")</f>
        <v/>
      </c>
    </row>
    <row r="24072">
      <c r="A24072" t="n">
        <v>24071</v>
      </c>
      <c r="B24072" t="inlineStr">
        <is>
          <t>x̄x̄MV̅LXXI</t>
        </is>
      </c>
      <c r="C24072">
        <f>ROMAN(24071)</f>
        <v/>
      </c>
      <c r="D24072">
        <f>IF(B24072=C24072, "YES", "WRONG")</f>
        <v/>
      </c>
    </row>
    <row r="24073">
      <c r="A24073" t="n">
        <v>24072</v>
      </c>
      <c r="B24073" t="inlineStr">
        <is>
          <t>x̄x̄MV̅LXXII</t>
        </is>
      </c>
      <c r="C24073">
        <f>ROMAN(24072)</f>
        <v/>
      </c>
      <c r="D24073">
        <f>IF(B24073=C24073, "YES", "WRONG")</f>
        <v/>
      </c>
    </row>
    <row r="24074">
      <c r="A24074" t="n">
        <v>24073</v>
      </c>
      <c r="B24074" t="inlineStr">
        <is>
          <t>x̄x̄MV̅LXXIII</t>
        </is>
      </c>
      <c r="C24074">
        <f>ROMAN(24073)</f>
        <v/>
      </c>
      <c r="D24074">
        <f>IF(B24074=C24074, "YES", "WRONG")</f>
        <v/>
      </c>
    </row>
    <row r="24075">
      <c r="A24075" t="n">
        <v>24074</v>
      </c>
      <c r="B24075" t="inlineStr">
        <is>
          <t>x̄x̄MV̅LXXIV</t>
        </is>
      </c>
      <c r="C24075">
        <f>ROMAN(24074)</f>
        <v/>
      </c>
      <c r="D24075">
        <f>IF(B24075=C24075, "YES", "WRONG")</f>
        <v/>
      </c>
    </row>
    <row r="24076">
      <c r="A24076" t="n">
        <v>24075</v>
      </c>
      <c r="B24076" t="inlineStr">
        <is>
          <t>x̄x̄MV̅LXXV</t>
        </is>
      </c>
      <c r="C24076">
        <f>ROMAN(24075)</f>
        <v/>
      </c>
      <c r="D24076">
        <f>IF(B24076=C24076, "YES", "WRONG")</f>
        <v/>
      </c>
    </row>
    <row r="24077">
      <c r="A24077" t="n">
        <v>24076</v>
      </c>
      <c r="B24077" t="inlineStr">
        <is>
          <t>x̄x̄MV̅LXXVI</t>
        </is>
      </c>
      <c r="C24077">
        <f>ROMAN(24076)</f>
        <v/>
      </c>
      <c r="D24077">
        <f>IF(B24077=C24077, "YES", "WRONG")</f>
        <v/>
      </c>
    </row>
    <row r="24078">
      <c r="A24078" t="n">
        <v>24077</v>
      </c>
      <c r="B24078" t="inlineStr">
        <is>
          <t>x̄x̄MV̅LXXVII</t>
        </is>
      </c>
      <c r="C24078">
        <f>ROMAN(24077)</f>
        <v/>
      </c>
      <c r="D24078">
        <f>IF(B24078=C24078, "YES", "WRONG")</f>
        <v/>
      </c>
    </row>
    <row r="24079">
      <c r="A24079" t="n">
        <v>24078</v>
      </c>
      <c r="B24079" t="inlineStr">
        <is>
          <t>x̄x̄MV̅LXXVIII</t>
        </is>
      </c>
      <c r="C24079">
        <f>ROMAN(24078)</f>
        <v/>
      </c>
      <c r="D24079">
        <f>IF(B24079=C24079, "YES", "WRONG")</f>
        <v/>
      </c>
    </row>
    <row r="24080">
      <c r="A24080" t="n">
        <v>24079</v>
      </c>
      <c r="B24080" t="inlineStr">
        <is>
          <t>x̄x̄MV̅LXXIX</t>
        </is>
      </c>
      <c r="C24080">
        <f>ROMAN(24079)</f>
        <v/>
      </c>
      <c r="D24080">
        <f>IF(B24080=C24080, "YES", "WRONG")</f>
        <v/>
      </c>
    </row>
    <row r="24081">
      <c r="A24081" t="n">
        <v>24080</v>
      </c>
      <c r="B24081" t="inlineStr">
        <is>
          <t>x̄x̄MV̅LXXX</t>
        </is>
      </c>
      <c r="C24081">
        <f>ROMAN(24080)</f>
        <v/>
      </c>
      <c r="D24081">
        <f>IF(B24081=C24081, "YES", "WRONG")</f>
        <v/>
      </c>
    </row>
    <row r="24082">
      <c r="A24082" t="n">
        <v>24081</v>
      </c>
      <c r="B24082" t="inlineStr">
        <is>
          <t>x̄x̄MV̅LXXXI</t>
        </is>
      </c>
      <c r="C24082">
        <f>ROMAN(24081)</f>
        <v/>
      </c>
      <c r="D24082">
        <f>IF(B24082=C24082, "YES", "WRONG")</f>
        <v/>
      </c>
    </row>
    <row r="24083">
      <c r="A24083" t="n">
        <v>24082</v>
      </c>
      <c r="B24083" t="inlineStr">
        <is>
          <t>x̄x̄MV̅LXXXII</t>
        </is>
      </c>
      <c r="C24083">
        <f>ROMAN(24082)</f>
        <v/>
      </c>
      <c r="D24083">
        <f>IF(B24083=C24083, "YES", "WRONG")</f>
        <v/>
      </c>
    </row>
    <row r="24084">
      <c r="A24084" t="n">
        <v>24083</v>
      </c>
      <c r="B24084" t="inlineStr">
        <is>
          <t>x̄x̄MV̅LXXXIII</t>
        </is>
      </c>
      <c r="C24084">
        <f>ROMAN(24083)</f>
        <v/>
      </c>
      <c r="D24084">
        <f>IF(B24084=C24084, "YES", "WRONG")</f>
        <v/>
      </c>
    </row>
    <row r="24085">
      <c r="A24085" t="n">
        <v>24084</v>
      </c>
      <c r="B24085" t="inlineStr">
        <is>
          <t>x̄x̄MV̅LXXXIV</t>
        </is>
      </c>
      <c r="C24085">
        <f>ROMAN(24084)</f>
        <v/>
      </c>
      <c r="D24085">
        <f>IF(B24085=C24085, "YES", "WRONG")</f>
        <v/>
      </c>
    </row>
    <row r="24086">
      <c r="A24086" t="n">
        <v>24085</v>
      </c>
      <c r="B24086" t="inlineStr">
        <is>
          <t>x̄x̄MV̅LXXXV</t>
        </is>
      </c>
      <c r="C24086">
        <f>ROMAN(24085)</f>
        <v/>
      </c>
      <c r="D24086">
        <f>IF(B24086=C24086, "YES", "WRONG")</f>
        <v/>
      </c>
    </row>
    <row r="24087">
      <c r="A24087" t="n">
        <v>24086</v>
      </c>
      <c r="B24087" t="inlineStr">
        <is>
          <t>x̄x̄MV̅LXXXVI</t>
        </is>
      </c>
      <c r="C24087">
        <f>ROMAN(24086)</f>
        <v/>
      </c>
      <c r="D24087">
        <f>IF(B24087=C24087, "YES", "WRONG")</f>
        <v/>
      </c>
    </row>
    <row r="24088">
      <c r="A24088" t="n">
        <v>24087</v>
      </c>
      <c r="B24088" t="inlineStr">
        <is>
          <t>x̄x̄MV̅LXXXVII</t>
        </is>
      </c>
      <c r="C24088">
        <f>ROMAN(24087)</f>
        <v/>
      </c>
      <c r="D24088">
        <f>IF(B24088=C24088, "YES", "WRONG")</f>
        <v/>
      </c>
    </row>
    <row r="24089">
      <c r="A24089" t="n">
        <v>24088</v>
      </c>
      <c r="B24089" t="inlineStr">
        <is>
          <t>x̄x̄MV̅LXXXVIII</t>
        </is>
      </c>
      <c r="C24089">
        <f>ROMAN(24088)</f>
        <v/>
      </c>
      <c r="D24089">
        <f>IF(B24089=C24089, "YES", "WRONG")</f>
        <v/>
      </c>
    </row>
    <row r="24090">
      <c r="A24090" t="n">
        <v>24089</v>
      </c>
      <c r="B24090" t="inlineStr">
        <is>
          <t>x̄x̄MV̅LXXXIX</t>
        </is>
      </c>
      <c r="C24090">
        <f>ROMAN(24089)</f>
        <v/>
      </c>
      <c r="D24090">
        <f>IF(B24090=C24090, "YES", "WRONG")</f>
        <v/>
      </c>
    </row>
    <row r="24091">
      <c r="A24091" t="n">
        <v>24090</v>
      </c>
      <c r="B24091" t="inlineStr">
        <is>
          <t>x̄x̄MV̅XC</t>
        </is>
      </c>
      <c r="C24091">
        <f>ROMAN(24090)</f>
        <v/>
      </c>
      <c r="D24091">
        <f>IF(B24091=C24091, "YES", "WRONG")</f>
        <v/>
      </c>
    </row>
    <row r="24092">
      <c r="A24092" t="n">
        <v>24091</v>
      </c>
      <c r="B24092" t="inlineStr">
        <is>
          <t>x̄x̄MV̅XCI</t>
        </is>
      </c>
      <c r="C24092">
        <f>ROMAN(24091)</f>
        <v/>
      </c>
      <c r="D24092">
        <f>IF(B24092=C24092, "YES", "WRONG")</f>
        <v/>
      </c>
    </row>
    <row r="24093">
      <c r="A24093" t="n">
        <v>24092</v>
      </c>
      <c r="B24093" t="inlineStr">
        <is>
          <t>x̄x̄MV̅XCII</t>
        </is>
      </c>
      <c r="C24093">
        <f>ROMAN(24092)</f>
        <v/>
      </c>
      <c r="D24093">
        <f>IF(B24093=C24093, "YES", "WRONG")</f>
        <v/>
      </c>
    </row>
    <row r="24094">
      <c r="A24094" t="n">
        <v>24093</v>
      </c>
      <c r="B24094" t="inlineStr">
        <is>
          <t>x̄x̄MV̅XCIII</t>
        </is>
      </c>
      <c r="C24094">
        <f>ROMAN(24093)</f>
        <v/>
      </c>
      <c r="D24094">
        <f>IF(B24094=C24094, "YES", "WRONG")</f>
        <v/>
      </c>
    </row>
    <row r="24095">
      <c r="A24095" t="n">
        <v>24094</v>
      </c>
      <c r="B24095" t="inlineStr">
        <is>
          <t>x̄x̄MV̅XCIV</t>
        </is>
      </c>
      <c r="C24095">
        <f>ROMAN(24094)</f>
        <v/>
      </c>
      <c r="D24095">
        <f>IF(B24095=C24095, "YES", "WRONG")</f>
        <v/>
      </c>
    </row>
    <row r="24096">
      <c r="A24096" t="n">
        <v>24095</v>
      </c>
      <c r="B24096" t="inlineStr">
        <is>
          <t>x̄x̄MV̅XCV</t>
        </is>
      </c>
      <c r="C24096">
        <f>ROMAN(24095)</f>
        <v/>
      </c>
      <c r="D24096">
        <f>IF(B24096=C24096, "YES", "WRONG")</f>
        <v/>
      </c>
    </row>
    <row r="24097">
      <c r="A24097" t="n">
        <v>24096</v>
      </c>
      <c r="B24097" t="inlineStr">
        <is>
          <t>x̄x̄MV̅XCVI</t>
        </is>
      </c>
      <c r="C24097">
        <f>ROMAN(24096)</f>
        <v/>
      </c>
      <c r="D24097">
        <f>IF(B24097=C24097, "YES", "WRONG")</f>
        <v/>
      </c>
    </row>
    <row r="24098">
      <c r="A24098" t="n">
        <v>24097</v>
      </c>
      <c r="B24098" t="inlineStr">
        <is>
          <t>x̄x̄MV̅XCVII</t>
        </is>
      </c>
      <c r="C24098">
        <f>ROMAN(24097)</f>
        <v/>
      </c>
      <c r="D24098">
        <f>IF(B24098=C24098, "YES", "WRONG")</f>
        <v/>
      </c>
    </row>
    <row r="24099">
      <c r="A24099" t="n">
        <v>24098</v>
      </c>
      <c r="B24099" t="inlineStr">
        <is>
          <t>x̄x̄MV̅XCVIII</t>
        </is>
      </c>
      <c r="C24099">
        <f>ROMAN(24098)</f>
        <v/>
      </c>
      <c r="D24099">
        <f>IF(B24099=C24099, "YES", "WRONG")</f>
        <v/>
      </c>
    </row>
    <row r="24100">
      <c r="A24100" t="n">
        <v>24099</v>
      </c>
      <c r="B24100" t="inlineStr">
        <is>
          <t>x̄x̄MV̅XCIX</t>
        </is>
      </c>
      <c r="C24100">
        <f>ROMAN(24099)</f>
        <v/>
      </c>
      <c r="D24100">
        <f>IF(B24100=C24100, "YES", "WRONG")</f>
        <v/>
      </c>
    </row>
    <row r="24101">
      <c r="A24101" t="n">
        <v>24100</v>
      </c>
      <c r="B24101" t="inlineStr">
        <is>
          <t>x̄x̄MV̅C</t>
        </is>
      </c>
      <c r="C24101">
        <f>ROMAN(24100)</f>
        <v/>
      </c>
      <c r="D24101">
        <f>IF(B24101=C24101, "YES", "WRONG")</f>
        <v/>
      </c>
    </row>
    <row r="24102">
      <c r="A24102" t="n">
        <v>24101</v>
      </c>
      <c r="B24102" t="inlineStr">
        <is>
          <t>x̄x̄MV̅CI</t>
        </is>
      </c>
      <c r="C24102">
        <f>ROMAN(24101)</f>
        <v/>
      </c>
      <c r="D24102">
        <f>IF(B24102=C24102, "YES", "WRONG")</f>
        <v/>
      </c>
    </row>
    <row r="24103">
      <c r="A24103" t="n">
        <v>24102</v>
      </c>
      <c r="B24103" t="inlineStr">
        <is>
          <t>x̄x̄MV̅CII</t>
        </is>
      </c>
      <c r="C24103">
        <f>ROMAN(24102)</f>
        <v/>
      </c>
      <c r="D24103">
        <f>IF(B24103=C24103, "YES", "WRONG")</f>
        <v/>
      </c>
    </row>
    <row r="24104">
      <c r="A24104" t="n">
        <v>24103</v>
      </c>
      <c r="B24104" t="inlineStr">
        <is>
          <t>x̄x̄MV̅CIII</t>
        </is>
      </c>
      <c r="C24104">
        <f>ROMAN(24103)</f>
        <v/>
      </c>
      <c r="D24104">
        <f>IF(B24104=C24104, "YES", "WRONG")</f>
        <v/>
      </c>
    </row>
    <row r="24105">
      <c r="A24105" t="n">
        <v>24104</v>
      </c>
      <c r="B24105" t="inlineStr">
        <is>
          <t>x̄x̄MV̅CIV</t>
        </is>
      </c>
      <c r="C24105">
        <f>ROMAN(24104)</f>
        <v/>
      </c>
      <c r="D24105">
        <f>IF(B24105=C24105, "YES", "WRONG")</f>
        <v/>
      </c>
    </row>
    <row r="24106">
      <c r="A24106" t="n">
        <v>24105</v>
      </c>
      <c r="B24106" t="inlineStr">
        <is>
          <t>x̄x̄MV̅CV</t>
        </is>
      </c>
      <c r="C24106">
        <f>ROMAN(24105)</f>
        <v/>
      </c>
      <c r="D24106">
        <f>IF(B24106=C24106, "YES", "WRONG")</f>
        <v/>
      </c>
    </row>
    <row r="24107">
      <c r="A24107" t="n">
        <v>24106</v>
      </c>
      <c r="B24107" t="inlineStr">
        <is>
          <t>x̄x̄MV̅CVI</t>
        </is>
      </c>
      <c r="C24107">
        <f>ROMAN(24106)</f>
        <v/>
      </c>
      <c r="D24107">
        <f>IF(B24107=C24107, "YES", "WRONG")</f>
        <v/>
      </c>
    </row>
    <row r="24108">
      <c r="A24108" t="n">
        <v>24107</v>
      </c>
      <c r="B24108" t="inlineStr">
        <is>
          <t>x̄x̄MV̅CVII</t>
        </is>
      </c>
      <c r="C24108">
        <f>ROMAN(24107)</f>
        <v/>
      </c>
      <c r="D24108">
        <f>IF(B24108=C24108, "YES", "WRONG")</f>
        <v/>
      </c>
    </row>
    <row r="24109">
      <c r="A24109" t="n">
        <v>24108</v>
      </c>
      <c r="B24109" t="inlineStr">
        <is>
          <t>x̄x̄MV̅CVIII</t>
        </is>
      </c>
      <c r="C24109">
        <f>ROMAN(24108)</f>
        <v/>
      </c>
      <c r="D24109">
        <f>IF(B24109=C24109, "YES", "WRONG")</f>
        <v/>
      </c>
    </row>
    <row r="24110">
      <c r="A24110" t="n">
        <v>24109</v>
      </c>
      <c r="B24110" t="inlineStr">
        <is>
          <t>x̄x̄MV̅CIX</t>
        </is>
      </c>
      <c r="C24110">
        <f>ROMAN(24109)</f>
        <v/>
      </c>
      <c r="D24110">
        <f>IF(B24110=C24110, "YES", "WRONG")</f>
        <v/>
      </c>
    </row>
    <row r="24111">
      <c r="A24111" t="n">
        <v>24110</v>
      </c>
      <c r="B24111" t="inlineStr">
        <is>
          <t>x̄x̄MV̅CX</t>
        </is>
      </c>
      <c r="C24111">
        <f>ROMAN(24110)</f>
        <v/>
      </c>
      <c r="D24111">
        <f>IF(B24111=C24111, "YES", "WRONG")</f>
        <v/>
      </c>
    </row>
    <row r="24112">
      <c r="A24112" t="n">
        <v>24111</v>
      </c>
      <c r="B24112" t="inlineStr">
        <is>
          <t>x̄x̄MV̅CXI</t>
        </is>
      </c>
      <c r="C24112">
        <f>ROMAN(24111)</f>
        <v/>
      </c>
      <c r="D24112">
        <f>IF(B24112=C24112, "YES", "WRONG")</f>
        <v/>
      </c>
    </row>
    <row r="24113">
      <c r="A24113" t="n">
        <v>24112</v>
      </c>
      <c r="B24113" t="inlineStr">
        <is>
          <t>x̄x̄MV̅CXII</t>
        </is>
      </c>
      <c r="C24113">
        <f>ROMAN(24112)</f>
        <v/>
      </c>
      <c r="D24113">
        <f>IF(B24113=C24113, "YES", "WRONG")</f>
        <v/>
      </c>
    </row>
    <row r="24114">
      <c r="A24114" t="n">
        <v>24113</v>
      </c>
      <c r="B24114" t="inlineStr">
        <is>
          <t>x̄x̄MV̅CXIII</t>
        </is>
      </c>
      <c r="C24114">
        <f>ROMAN(24113)</f>
        <v/>
      </c>
      <c r="D24114">
        <f>IF(B24114=C24114, "YES", "WRONG")</f>
        <v/>
      </c>
    </row>
    <row r="24115">
      <c r="A24115" t="n">
        <v>24114</v>
      </c>
      <c r="B24115" t="inlineStr">
        <is>
          <t>x̄x̄MV̅CXIV</t>
        </is>
      </c>
      <c r="C24115">
        <f>ROMAN(24114)</f>
        <v/>
      </c>
      <c r="D24115">
        <f>IF(B24115=C24115, "YES", "WRONG")</f>
        <v/>
      </c>
    </row>
    <row r="24116">
      <c r="A24116" t="n">
        <v>24115</v>
      </c>
      <c r="B24116" t="inlineStr">
        <is>
          <t>x̄x̄MV̅CXV</t>
        </is>
      </c>
      <c r="C24116">
        <f>ROMAN(24115)</f>
        <v/>
      </c>
      <c r="D24116">
        <f>IF(B24116=C24116, "YES", "WRONG")</f>
        <v/>
      </c>
    </row>
    <row r="24117">
      <c r="A24117" t="n">
        <v>24116</v>
      </c>
      <c r="B24117" t="inlineStr">
        <is>
          <t>x̄x̄MV̅CXVI</t>
        </is>
      </c>
      <c r="C24117">
        <f>ROMAN(24116)</f>
        <v/>
      </c>
      <c r="D24117">
        <f>IF(B24117=C24117, "YES", "WRONG")</f>
        <v/>
      </c>
    </row>
    <row r="24118">
      <c r="A24118" t="n">
        <v>24117</v>
      </c>
      <c r="B24118" t="inlineStr">
        <is>
          <t>x̄x̄MV̅CXVII</t>
        </is>
      </c>
      <c r="C24118">
        <f>ROMAN(24117)</f>
        <v/>
      </c>
      <c r="D24118">
        <f>IF(B24118=C24118, "YES", "WRONG")</f>
        <v/>
      </c>
    </row>
    <row r="24119">
      <c r="A24119" t="n">
        <v>24118</v>
      </c>
      <c r="B24119" t="inlineStr">
        <is>
          <t>x̄x̄MV̅CXVIII</t>
        </is>
      </c>
      <c r="C24119">
        <f>ROMAN(24118)</f>
        <v/>
      </c>
      <c r="D24119">
        <f>IF(B24119=C24119, "YES", "WRONG")</f>
        <v/>
      </c>
    </row>
    <row r="24120">
      <c r="A24120" t="n">
        <v>24119</v>
      </c>
      <c r="B24120" t="inlineStr">
        <is>
          <t>x̄x̄MV̅CXIX</t>
        </is>
      </c>
      <c r="C24120">
        <f>ROMAN(24119)</f>
        <v/>
      </c>
      <c r="D24120">
        <f>IF(B24120=C24120, "YES", "WRONG")</f>
        <v/>
      </c>
    </row>
    <row r="24121">
      <c r="A24121" t="n">
        <v>24120</v>
      </c>
      <c r="B24121" t="inlineStr">
        <is>
          <t>x̄x̄MV̅CXX</t>
        </is>
      </c>
      <c r="C24121">
        <f>ROMAN(24120)</f>
        <v/>
      </c>
      <c r="D24121">
        <f>IF(B24121=C24121, "YES", "WRONG")</f>
        <v/>
      </c>
    </row>
    <row r="24122">
      <c r="A24122" t="n">
        <v>24121</v>
      </c>
      <c r="B24122" t="inlineStr">
        <is>
          <t>x̄x̄MV̅CXXI</t>
        </is>
      </c>
      <c r="C24122">
        <f>ROMAN(24121)</f>
        <v/>
      </c>
      <c r="D24122">
        <f>IF(B24122=C24122, "YES", "WRONG")</f>
        <v/>
      </c>
    </row>
    <row r="24123">
      <c r="A24123" t="n">
        <v>24122</v>
      </c>
      <c r="B24123" t="inlineStr">
        <is>
          <t>x̄x̄MV̅CXXII</t>
        </is>
      </c>
      <c r="C24123">
        <f>ROMAN(24122)</f>
        <v/>
      </c>
      <c r="D24123">
        <f>IF(B24123=C24123, "YES", "WRONG")</f>
        <v/>
      </c>
    </row>
    <row r="24124">
      <c r="A24124" t="n">
        <v>24123</v>
      </c>
      <c r="B24124" t="inlineStr">
        <is>
          <t>x̄x̄MV̅CXXIII</t>
        </is>
      </c>
      <c r="C24124">
        <f>ROMAN(24123)</f>
        <v/>
      </c>
      <c r="D24124">
        <f>IF(B24124=C24124, "YES", "WRONG")</f>
        <v/>
      </c>
    </row>
    <row r="24125">
      <c r="A24125" t="n">
        <v>24124</v>
      </c>
      <c r="B24125" t="inlineStr">
        <is>
          <t>x̄x̄MV̅CXXIV</t>
        </is>
      </c>
      <c r="C24125">
        <f>ROMAN(24124)</f>
        <v/>
      </c>
      <c r="D24125">
        <f>IF(B24125=C24125, "YES", "WRONG")</f>
        <v/>
      </c>
    </row>
    <row r="24126">
      <c r="A24126" t="n">
        <v>24125</v>
      </c>
      <c r="B24126" t="inlineStr">
        <is>
          <t>x̄x̄MV̅CXXV</t>
        </is>
      </c>
      <c r="C24126">
        <f>ROMAN(24125)</f>
        <v/>
      </c>
      <c r="D24126">
        <f>IF(B24126=C24126, "YES", "WRONG")</f>
        <v/>
      </c>
    </row>
    <row r="24127">
      <c r="A24127" t="n">
        <v>24126</v>
      </c>
      <c r="B24127" t="inlineStr">
        <is>
          <t>x̄x̄MV̅CXXVI</t>
        </is>
      </c>
      <c r="C24127">
        <f>ROMAN(24126)</f>
        <v/>
      </c>
      <c r="D24127">
        <f>IF(B24127=C24127, "YES", "WRONG")</f>
        <v/>
      </c>
    </row>
    <row r="24128">
      <c r="A24128" t="n">
        <v>24127</v>
      </c>
      <c r="B24128" t="inlineStr">
        <is>
          <t>x̄x̄MV̅CXXVII</t>
        </is>
      </c>
      <c r="C24128">
        <f>ROMAN(24127)</f>
        <v/>
      </c>
      <c r="D24128">
        <f>IF(B24128=C24128, "YES", "WRONG")</f>
        <v/>
      </c>
    </row>
    <row r="24129">
      <c r="A24129" t="n">
        <v>24128</v>
      </c>
      <c r="B24129" t="inlineStr">
        <is>
          <t>x̄x̄MV̅CXXVIII</t>
        </is>
      </c>
      <c r="C24129">
        <f>ROMAN(24128)</f>
        <v/>
      </c>
      <c r="D24129">
        <f>IF(B24129=C24129, "YES", "WRONG")</f>
        <v/>
      </c>
    </row>
    <row r="24130">
      <c r="A24130" t="n">
        <v>24129</v>
      </c>
      <c r="B24130" t="inlineStr">
        <is>
          <t>x̄x̄MV̅CXXIX</t>
        </is>
      </c>
      <c r="C24130">
        <f>ROMAN(24129)</f>
        <v/>
      </c>
      <c r="D24130">
        <f>IF(B24130=C24130, "YES", "WRONG")</f>
        <v/>
      </c>
    </row>
    <row r="24131">
      <c r="A24131" t="n">
        <v>24130</v>
      </c>
      <c r="B24131" t="inlineStr">
        <is>
          <t>x̄x̄MV̅CXXX</t>
        </is>
      </c>
      <c r="C24131">
        <f>ROMAN(24130)</f>
        <v/>
      </c>
      <c r="D24131">
        <f>IF(B24131=C24131, "YES", "WRONG")</f>
        <v/>
      </c>
    </row>
    <row r="24132">
      <c r="A24132" t="n">
        <v>24131</v>
      </c>
      <c r="B24132" t="inlineStr">
        <is>
          <t>x̄x̄MV̅CXXXI</t>
        </is>
      </c>
      <c r="C24132">
        <f>ROMAN(24131)</f>
        <v/>
      </c>
      <c r="D24132">
        <f>IF(B24132=C24132, "YES", "WRONG")</f>
        <v/>
      </c>
    </row>
    <row r="24133">
      <c r="A24133" t="n">
        <v>24132</v>
      </c>
      <c r="B24133" t="inlineStr">
        <is>
          <t>x̄x̄MV̅CXXXII</t>
        </is>
      </c>
      <c r="C24133">
        <f>ROMAN(24132)</f>
        <v/>
      </c>
      <c r="D24133">
        <f>IF(B24133=C24133, "YES", "WRONG")</f>
        <v/>
      </c>
    </row>
    <row r="24134">
      <c r="A24134" t="n">
        <v>24133</v>
      </c>
      <c r="B24134" t="inlineStr">
        <is>
          <t>x̄x̄MV̅CXXXIII</t>
        </is>
      </c>
      <c r="C24134">
        <f>ROMAN(24133)</f>
        <v/>
      </c>
      <c r="D24134">
        <f>IF(B24134=C24134, "YES", "WRONG")</f>
        <v/>
      </c>
    </row>
    <row r="24135">
      <c r="A24135" t="n">
        <v>24134</v>
      </c>
      <c r="B24135" t="inlineStr">
        <is>
          <t>x̄x̄MV̅CXXXIV</t>
        </is>
      </c>
      <c r="C24135">
        <f>ROMAN(24134)</f>
        <v/>
      </c>
      <c r="D24135">
        <f>IF(B24135=C24135, "YES", "WRONG")</f>
        <v/>
      </c>
    </row>
    <row r="24136">
      <c r="A24136" t="n">
        <v>24135</v>
      </c>
      <c r="B24136" t="inlineStr">
        <is>
          <t>x̄x̄MV̅CXXXV</t>
        </is>
      </c>
      <c r="C24136">
        <f>ROMAN(24135)</f>
        <v/>
      </c>
      <c r="D24136">
        <f>IF(B24136=C24136, "YES", "WRONG")</f>
        <v/>
      </c>
    </row>
    <row r="24137">
      <c r="A24137" t="n">
        <v>24136</v>
      </c>
      <c r="B24137" t="inlineStr">
        <is>
          <t>x̄x̄MV̅CXXXVI</t>
        </is>
      </c>
      <c r="C24137">
        <f>ROMAN(24136)</f>
        <v/>
      </c>
      <c r="D24137">
        <f>IF(B24137=C24137, "YES", "WRONG")</f>
        <v/>
      </c>
    </row>
    <row r="24138">
      <c r="A24138" t="n">
        <v>24137</v>
      </c>
      <c r="B24138" t="inlineStr">
        <is>
          <t>x̄x̄MV̅CXXXVII</t>
        </is>
      </c>
      <c r="C24138">
        <f>ROMAN(24137)</f>
        <v/>
      </c>
      <c r="D24138">
        <f>IF(B24138=C24138, "YES", "WRONG")</f>
        <v/>
      </c>
    </row>
    <row r="24139">
      <c r="A24139" t="n">
        <v>24138</v>
      </c>
      <c r="B24139" t="inlineStr">
        <is>
          <t>x̄x̄MV̅CXXXVIII</t>
        </is>
      </c>
      <c r="C24139">
        <f>ROMAN(24138)</f>
        <v/>
      </c>
      <c r="D24139">
        <f>IF(B24139=C24139, "YES", "WRONG")</f>
        <v/>
      </c>
    </row>
    <row r="24140">
      <c r="A24140" t="n">
        <v>24139</v>
      </c>
      <c r="B24140" t="inlineStr">
        <is>
          <t>x̄x̄MV̅CXXXIX</t>
        </is>
      </c>
      <c r="C24140">
        <f>ROMAN(24139)</f>
        <v/>
      </c>
      <c r="D24140">
        <f>IF(B24140=C24140, "YES", "WRONG")</f>
        <v/>
      </c>
    </row>
    <row r="24141">
      <c r="A24141" t="n">
        <v>24140</v>
      </c>
      <c r="B24141" t="inlineStr">
        <is>
          <t>x̄x̄MV̅CXL</t>
        </is>
      </c>
      <c r="C24141">
        <f>ROMAN(24140)</f>
        <v/>
      </c>
      <c r="D24141">
        <f>IF(B24141=C24141, "YES", "WRONG")</f>
        <v/>
      </c>
    </row>
    <row r="24142">
      <c r="A24142" t="n">
        <v>24141</v>
      </c>
      <c r="B24142" t="inlineStr">
        <is>
          <t>x̄x̄MV̅CXLI</t>
        </is>
      </c>
      <c r="C24142">
        <f>ROMAN(24141)</f>
        <v/>
      </c>
      <c r="D24142">
        <f>IF(B24142=C24142, "YES", "WRONG")</f>
        <v/>
      </c>
    </row>
    <row r="24143">
      <c r="A24143" t="n">
        <v>24142</v>
      </c>
      <c r="B24143" t="inlineStr">
        <is>
          <t>x̄x̄MV̅CXLII</t>
        </is>
      </c>
      <c r="C24143">
        <f>ROMAN(24142)</f>
        <v/>
      </c>
      <c r="D24143">
        <f>IF(B24143=C24143, "YES", "WRONG")</f>
        <v/>
      </c>
    </row>
    <row r="24144">
      <c r="A24144" t="n">
        <v>24143</v>
      </c>
      <c r="B24144" t="inlineStr">
        <is>
          <t>x̄x̄MV̅CXLIII</t>
        </is>
      </c>
      <c r="C24144">
        <f>ROMAN(24143)</f>
        <v/>
      </c>
      <c r="D24144">
        <f>IF(B24144=C24144, "YES", "WRONG")</f>
        <v/>
      </c>
    </row>
    <row r="24145">
      <c r="A24145" t="n">
        <v>24144</v>
      </c>
      <c r="B24145" t="inlineStr">
        <is>
          <t>x̄x̄MV̅CXLIV</t>
        </is>
      </c>
      <c r="C24145">
        <f>ROMAN(24144)</f>
        <v/>
      </c>
      <c r="D24145">
        <f>IF(B24145=C24145, "YES", "WRONG")</f>
        <v/>
      </c>
    </row>
    <row r="24146">
      <c r="A24146" t="n">
        <v>24145</v>
      </c>
      <c r="B24146" t="inlineStr">
        <is>
          <t>x̄x̄MV̅CXLV</t>
        </is>
      </c>
      <c r="C24146">
        <f>ROMAN(24145)</f>
        <v/>
      </c>
      <c r="D24146">
        <f>IF(B24146=C24146, "YES", "WRONG")</f>
        <v/>
      </c>
    </row>
    <row r="24147">
      <c r="A24147" t="n">
        <v>24146</v>
      </c>
      <c r="B24147" t="inlineStr">
        <is>
          <t>x̄x̄MV̅CXLVI</t>
        </is>
      </c>
      <c r="C24147">
        <f>ROMAN(24146)</f>
        <v/>
      </c>
      <c r="D24147">
        <f>IF(B24147=C24147, "YES", "WRONG")</f>
        <v/>
      </c>
    </row>
    <row r="24148">
      <c r="A24148" t="n">
        <v>24147</v>
      </c>
      <c r="B24148" t="inlineStr">
        <is>
          <t>x̄x̄MV̅CXLVII</t>
        </is>
      </c>
      <c r="C24148">
        <f>ROMAN(24147)</f>
        <v/>
      </c>
      <c r="D24148">
        <f>IF(B24148=C24148, "YES", "WRONG")</f>
        <v/>
      </c>
    </row>
    <row r="24149">
      <c r="A24149" t="n">
        <v>24148</v>
      </c>
      <c r="B24149" t="inlineStr">
        <is>
          <t>x̄x̄MV̅CXLVIII</t>
        </is>
      </c>
      <c r="C24149">
        <f>ROMAN(24148)</f>
        <v/>
      </c>
      <c r="D24149">
        <f>IF(B24149=C24149, "YES", "WRONG")</f>
        <v/>
      </c>
    </row>
    <row r="24150">
      <c r="A24150" t="n">
        <v>24149</v>
      </c>
      <c r="B24150" t="inlineStr">
        <is>
          <t>x̄x̄MV̅CXLIX</t>
        </is>
      </c>
      <c r="C24150">
        <f>ROMAN(24149)</f>
        <v/>
      </c>
      <c r="D24150">
        <f>IF(B24150=C24150, "YES", "WRONG")</f>
        <v/>
      </c>
    </row>
    <row r="24151">
      <c r="A24151" t="n">
        <v>24150</v>
      </c>
      <c r="B24151" t="inlineStr">
        <is>
          <t>x̄x̄MV̅CL</t>
        </is>
      </c>
      <c r="C24151">
        <f>ROMAN(24150)</f>
        <v/>
      </c>
      <c r="D24151">
        <f>IF(B24151=C24151, "YES", "WRONG")</f>
        <v/>
      </c>
    </row>
    <row r="24152">
      <c r="A24152" t="n">
        <v>24151</v>
      </c>
      <c r="B24152" t="inlineStr">
        <is>
          <t>x̄x̄MV̅CLI</t>
        </is>
      </c>
      <c r="C24152">
        <f>ROMAN(24151)</f>
        <v/>
      </c>
      <c r="D24152">
        <f>IF(B24152=C24152, "YES", "WRONG")</f>
        <v/>
      </c>
    </row>
    <row r="24153">
      <c r="A24153" t="n">
        <v>24152</v>
      </c>
      <c r="B24153" t="inlineStr">
        <is>
          <t>x̄x̄MV̅CLII</t>
        </is>
      </c>
      <c r="C24153">
        <f>ROMAN(24152)</f>
        <v/>
      </c>
      <c r="D24153">
        <f>IF(B24153=C24153, "YES", "WRONG")</f>
        <v/>
      </c>
    </row>
    <row r="24154">
      <c r="A24154" t="n">
        <v>24153</v>
      </c>
      <c r="B24154" t="inlineStr">
        <is>
          <t>x̄x̄MV̅CLIII</t>
        </is>
      </c>
      <c r="C24154">
        <f>ROMAN(24153)</f>
        <v/>
      </c>
      <c r="D24154">
        <f>IF(B24154=C24154, "YES", "WRONG")</f>
        <v/>
      </c>
    </row>
    <row r="24155">
      <c r="A24155" t="n">
        <v>24154</v>
      </c>
      <c r="B24155" t="inlineStr">
        <is>
          <t>x̄x̄MV̅CLIV</t>
        </is>
      </c>
      <c r="C24155">
        <f>ROMAN(24154)</f>
        <v/>
      </c>
      <c r="D24155">
        <f>IF(B24155=C24155, "YES", "WRONG")</f>
        <v/>
      </c>
    </row>
    <row r="24156">
      <c r="A24156" t="n">
        <v>24155</v>
      </c>
      <c r="B24156" t="inlineStr">
        <is>
          <t>x̄x̄MV̅CLV</t>
        </is>
      </c>
      <c r="C24156">
        <f>ROMAN(24155)</f>
        <v/>
      </c>
      <c r="D24156">
        <f>IF(B24156=C24156, "YES", "WRONG")</f>
        <v/>
      </c>
    </row>
    <row r="24157">
      <c r="A24157" t="n">
        <v>24156</v>
      </c>
      <c r="B24157" t="inlineStr">
        <is>
          <t>x̄x̄MV̅CLVI</t>
        </is>
      </c>
      <c r="C24157">
        <f>ROMAN(24156)</f>
        <v/>
      </c>
      <c r="D24157">
        <f>IF(B24157=C24157, "YES", "WRONG")</f>
        <v/>
      </c>
    </row>
    <row r="24158">
      <c r="A24158" t="n">
        <v>24157</v>
      </c>
      <c r="B24158" t="inlineStr">
        <is>
          <t>x̄x̄MV̅CLVII</t>
        </is>
      </c>
      <c r="C24158">
        <f>ROMAN(24157)</f>
        <v/>
      </c>
      <c r="D24158">
        <f>IF(B24158=C24158, "YES", "WRONG")</f>
        <v/>
      </c>
    </row>
    <row r="24159">
      <c r="A24159" t="n">
        <v>24158</v>
      </c>
      <c r="B24159" t="inlineStr">
        <is>
          <t>x̄x̄MV̅CLVIII</t>
        </is>
      </c>
      <c r="C24159">
        <f>ROMAN(24158)</f>
        <v/>
      </c>
      <c r="D24159">
        <f>IF(B24159=C24159, "YES", "WRONG")</f>
        <v/>
      </c>
    </row>
    <row r="24160">
      <c r="A24160" t="n">
        <v>24159</v>
      </c>
      <c r="B24160" t="inlineStr">
        <is>
          <t>x̄x̄MV̅CLIX</t>
        </is>
      </c>
      <c r="C24160">
        <f>ROMAN(24159)</f>
        <v/>
      </c>
      <c r="D24160">
        <f>IF(B24160=C24160, "YES", "WRONG")</f>
        <v/>
      </c>
    </row>
    <row r="24161">
      <c r="A24161" t="n">
        <v>24160</v>
      </c>
      <c r="B24161" t="inlineStr">
        <is>
          <t>x̄x̄MV̅CLX</t>
        </is>
      </c>
      <c r="C24161">
        <f>ROMAN(24160)</f>
        <v/>
      </c>
      <c r="D24161">
        <f>IF(B24161=C24161, "YES", "WRONG")</f>
        <v/>
      </c>
    </row>
    <row r="24162">
      <c r="A24162" t="n">
        <v>24161</v>
      </c>
      <c r="B24162" t="inlineStr">
        <is>
          <t>x̄x̄MV̅CLXI</t>
        </is>
      </c>
      <c r="C24162">
        <f>ROMAN(24161)</f>
        <v/>
      </c>
      <c r="D24162">
        <f>IF(B24162=C24162, "YES", "WRONG")</f>
        <v/>
      </c>
    </row>
    <row r="24163">
      <c r="A24163" t="n">
        <v>24162</v>
      </c>
      <c r="B24163" t="inlineStr">
        <is>
          <t>x̄x̄MV̅CLXII</t>
        </is>
      </c>
      <c r="C24163">
        <f>ROMAN(24162)</f>
        <v/>
      </c>
      <c r="D24163">
        <f>IF(B24163=C24163, "YES", "WRONG")</f>
        <v/>
      </c>
    </row>
    <row r="24164">
      <c r="A24164" t="n">
        <v>24163</v>
      </c>
      <c r="B24164" t="inlineStr">
        <is>
          <t>x̄x̄MV̅CLXIII</t>
        </is>
      </c>
      <c r="C24164">
        <f>ROMAN(24163)</f>
        <v/>
      </c>
      <c r="D24164">
        <f>IF(B24164=C24164, "YES", "WRONG")</f>
        <v/>
      </c>
    </row>
    <row r="24165">
      <c r="A24165" t="n">
        <v>24164</v>
      </c>
      <c r="B24165" t="inlineStr">
        <is>
          <t>x̄x̄MV̅CLXIV</t>
        </is>
      </c>
      <c r="C24165">
        <f>ROMAN(24164)</f>
        <v/>
      </c>
      <c r="D24165">
        <f>IF(B24165=C24165, "YES", "WRONG")</f>
        <v/>
      </c>
    </row>
    <row r="24166">
      <c r="A24166" t="n">
        <v>24165</v>
      </c>
      <c r="B24166" t="inlineStr">
        <is>
          <t>x̄x̄MV̅CLXV</t>
        </is>
      </c>
      <c r="C24166">
        <f>ROMAN(24165)</f>
        <v/>
      </c>
      <c r="D24166">
        <f>IF(B24166=C24166, "YES", "WRONG")</f>
        <v/>
      </c>
    </row>
    <row r="24167">
      <c r="A24167" t="n">
        <v>24166</v>
      </c>
      <c r="B24167" t="inlineStr">
        <is>
          <t>x̄x̄MV̅CLXVI</t>
        </is>
      </c>
      <c r="C24167">
        <f>ROMAN(24166)</f>
        <v/>
      </c>
      <c r="D24167">
        <f>IF(B24167=C24167, "YES", "WRONG")</f>
        <v/>
      </c>
    </row>
    <row r="24168">
      <c r="A24168" t="n">
        <v>24167</v>
      </c>
      <c r="B24168" t="inlineStr">
        <is>
          <t>x̄x̄MV̅CLXVII</t>
        </is>
      </c>
      <c r="C24168">
        <f>ROMAN(24167)</f>
        <v/>
      </c>
      <c r="D24168">
        <f>IF(B24168=C24168, "YES", "WRONG")</f>
        <v/>
      </c>
    </row>
    <row r="24169">
      <c r="A24169" t="n">
        <v>24168</v>
      </c>
      <c r="B24169" t="inlineStr">
        <is>
          <t>x̄x̄MV̅CLXVIII</t>
        </is>
      </c>
      <c r="C24169">
        <f>ROMAN(24168)</f>
        <v/>
      </c>
      <c r="D24169">
        <f>IF(B24169=C24169, "YES", "WRONG")</f>
        <v/>
      </c>
    </row>
    <row r="24170">
      <c r="A24170" t="n">
        <v>24169</v>
      </c>
      <c r="B24170" t="inlineStr">
        <is>
          <t>x̄x̄MV̅CLXIX</t>
        </is>
      </c>
      <c r="C24170">
        <f>ROMAN(24169)</f>
        <v/>
      </c>
      <c r="D24170">
        <f>IF(B24170=C24170, "YES", "WRONG")</f>
        <v/>
      </c>
    </row>
    <row r="24171">
      <c r="A24171" t="n">
        <v>24170</v>
      </c>
      <c r="B24171" t="inlineStr">
        <is>
          <t>x̄x̄MV̅CLXX</t>
        </is>
      </c>
      <c r="C24171">
        <f>ROMAN(24170)</f>
        <v/>
      </c>
      <c r="D24171">
        <f>IF(B24171=C24171, "YES", "WRONG")</f>
        <v/>
      </c>
    </row>
    <row r="24172">
      <c r="A24172" t="n">
        <v>24171</v>
      </c>
      <c r="B24172" t="inlineStr">
        <is>
          <t>x̄x̄MV̅CLXXI</t>
        </is>
      </c>
      <c r="C24172">
        <f>ROMAN(24171)</f>
        <v/>
      </c>
      <c r="D24172">
        <f>IF(B24172=C24172, "YES", "WRONG")</f>
        <v/>
      </c>
    </row>
    <row r="24173">
      <c r="A24173" t="n">
        <v>24172</v>
      </c>
      <c r="B24173" t="inlineStr">
        <is>
          <t>x̄x̄MV̅CLXXII</t>
        </is>
      </c>
      <c r="C24173">
        <f>ROMAN(24172)</f>
        <v/>
      </c>
      <c r="D24173">
        <f>IF(B24173=C24173, "YES", "WRONG")</f>
        <v/>
      </c>
    </row>
    <row r="24174">
      <c r="A24174" t="n">
        <v>24173</v>
      </c>
      <c r="B24174" t="inlineStr">
        <is>
          <t>x̄x̄MV̅CLXXIII</t>
        </is>
      </c>
      <c r="C24174">
        <f>ROMAN(24173)</f>
        <v/>
      </c>
      <c r="D24174">
        <f>IF(B24174=C24174, "YES", "WRONG")</f>
        <v/>
      </c>
    </row>
    <row r="24175">
      <c r="A24175" t="n">
        <v>24174</v>
      </c>
      <c r="B24175" t="inlineStr">
        <is>
          <t>x̄x̄MV̅CLXXIV</t>
        </is>
      </c>
      <c r="C24175">
        <f>ROMAN(24174)</f>
        <v/>
      </c>
      <c r="D24175">
        <f>IF(B24175=C24175, "YES", "WRONG")</f>
        <v/>
      </c>
    </row>
    <row r="24176">
      <c r="A24176" t="n">
        <v>24175</v>
      </c>
      <c r="B24176" t="inlineStr">
        <is>
          <t>x̄x̄MV̅CLXXV</t>
        </is>
      </c>
      <c r="C24176">
        <f>ROMAN(24175)</f>
        <v/>
      </c>
      <c r="D24176">
        <f>IF(B24176=C24176, "YES", "WRONG")</f>
        <v/>
      </c>
    </row>
    <row r="24177">
      <c r="A24177" t="n">
        <v>24176</v>
      </c>
      <c r="B24177" t="inlineStr">
        <is>
          <t>x̄x̄MV̅CLXXVI</t>
        </is>
      </c>
      <c r="C24177">
        <f>ROMAN(24176)</f>
        <v/>
      </c>
      <c r="D24177">
        <f>IF(B24177=C24177, "YES", "WRONG")</f>
        <v/>
      </c>
    </row>
    <row r="24178">
      <c r="A24178" t="n">
        <v>24177</v>
      </c>
      <c r="B24178" t="inlineStr">
        <is>
          <t>x̄x̄MV̅CLXXVII</t>
        </is>
      </c>
      <c r="C24178">
        <f>ROMAN(24177)</f>
        <v/>
      </c>
      <c r="D24178">
        <f>IF(B24178=C24178, "YES", "WRONG")</f>
        <v/>
      </c>
    </row>
    <row r="24179">
      <c r="A24179" t="n">
        <v>24178</v>
      </c>
      <c r="B24179" t="inlineStr">
        <is>
          <t>x̄x̄MV̅CLXXVIII</t>
        </is>
      </c>
      <c r="C24179">
        <f>ROMAN(24178)</f>
        <v/>
      </c>
      <c r="D24179">
        <f>IF(B24179=C24179, "YES", "WRONG")</f>
        <v/>
      </c>
    </row>
    <row r="24180">
      <c r="A24180" t="n">
        <v>24179</v>
      </c>
      <c r="B24180" t="inlineStr">
        <is>
          <t>x̄x̄MV̅CLXXIX</t>
        </is>
      </c>
      <c r="C24180">
        <f>ROMAN(24179)</f>
        <v/>
      </c>
      <c r="D24180">
        <f>IF(B24180=C24180, "YES", "WRONG")</f>
        <v/>
      </c>
    </row>
    <row r="24181">
      <c r="A24181" t="n">
        <v>24180</v>
      </c>
      <c r="B24181" t="inlineStr">
        <is>
          <t>x̄x̄MV̅CLXXX</t>
        </is>
      </c>
      <c r="C24181">
        <f>ROMAN(24180)</f>
        <v/>
      </c>
      <c r="D24181">
        <f>IF(B24181=C24181, "YES", "WRONG")</f>
        <v/>
      </c>
    </row>
    <row r="24182">
      <c r="A24182" t="n">
        <v>24181</v>
      </c>
      <c r="B24182" t="inlineStr">
        <is>
          <t>x̄x̄MV̅CLXXXI</t>
        </is>
      </c>
      <c r="C24182">
        <f>ROMAN(24181)</f>
        <v/>
      </c>
      <c r="D24182">
        <f>IF(B24182=C24182, "YES", "WRONG")</f>
        <v/>
      </c>
    </row>
    <row r="24183">
      <c r="A24183" t="n">
        <v>24182</v>
      </c>
      <c r="B24183" t="inlineStr">
        <is>
          <t>x̄x̄MV̅CLXXXII</t>
        </is>
      </c>
      <c r="C24183">
        <f>ROMAN(24182)</f>
        <v/>
      </c>
      <c r="D24183">
        <f>IF(B24183=C24183, "YES", "WRONG")</f>
        <v/>
      </c>
    </row>
    <row r="24184">
      <c r="A24184" t="n">
        <v>24183</v>
      </c>
      <c r="B24184" t="inlineStr">
        <is>
          <t>x̄x̄MV̅CLXXXIII</t>
        </is>
      </c>
      <c r="C24184">
        <f>ROMAN(24183)</f>
        <v/>
      </c>
      <c r="D24184">
        <f>IF(B24184=C24184, "YES", "WRONG")</f>
        <v/>
      </c>
    </row>
    <row r="24185">
      <c r="A24185" t="n">
        <v>24184</v>
      </c>
      <c r="B24185" t="inlineStr">
        <is>
          <t>x̄x̄MV̅CLXXXIV</t>
        </is>
      </c>
      <c r="C24185">
        <f>ROMAN(24184)</f>
        <v/>
      </c>
      <c r="D24185">
        <f>IF(B24185=C24185, "YES", "WRONG")</f>
        <v/>
      </c>
    </row>
    <row r="24186">
      <c r="A24186" t="n">
        <v>24185</v>
      </c>
      <c r="B24186" t="inlineStr">
        <is>
          <t>x̄x̄MV̅CLXXXV</t>
        </is>
      </c>
      <c r="C24186">
        <f>ROMAN(24185)</f>
        <v/>
      </c>
      <c r="D24186">
        <f>IF(B24186=C24186, "YES", "WRONG")</f>
        <v/>
      </c>
    </row>
    <row r="24187">
      <c r="A24187" t="n">
        <v>24186</v>
      </c>
      <c r="B24187" t="inlineStr">
        <is>
          <t>x̄x̄MV̅CLXXXVI</t>
        </is>
      </c>
      <c r="C24187">
        <f>ROMAN(24186)</f>
        <v/>
      </c>
      <c r="D24187">
        <f>IF(B24187=C24187, "YES", "WRONG")</f>
        <v/>
      </c>
    </row>
    <row r="24188">
      <c r="A24188" t="n">
        <v>24187</v>
      </c>
      <c r="B24188" t="inlineStr">
        <is>
          <t>x̄x̄MV̅CLXXXVII</t>
        </is>
      </c>
      <c r="C24188">
        <f>ROMAN(24187)</f>
        <v/>
      </c>
      <c r="D24188">
        <f>IF(B24188=C24188, "YES", "WRONG")</f>
        <v/>
      </c>
    </row>
    <row r="24189">
      <c r="A24189" t="n">
        <v>24188</v>
      </c>
      <c r="B24189" t="inlineStr">
        <is>
          <t>x̄x̄MV̅CLXXXVIII</t>
        </is>
      </c>
      <c r="C24189">
        <f>ROMAN(24188)</f>
        <v/>
      </c>
      <c r="D24189">
        <f>IF(B24189=C24189, "YES", "WRONG")</f>
        <v/>
      </c>
    </row>
    <row r="24190">
      <c r="A24190" t="n">
        <v>24189</v>
      </c>
      <c r="B24190" t="inlineStr">
        <is>
          <t>x̄x̄MV̅CLXXXIX</t>
        </is>
      </c>
      <c r="C24190">
        <f>ROMAN(24189)</f>
        <v/>
      </c>
      <c r="D24190">
        <f>IF(B24190=C24190, "YES", "WRONG")</f>
        <v/>
      </c>
    </row>
    <row r="24191">
      <c r="A24191" t="n">
        <v>24190</v>
      </c>
      <c r="B24191" t="inlineStr">
        <is>
          <t>x̄x̄MV̅CXC</t>
        </is>
      </c>
      <c r="C24191">
        <f>ROMAN(24190)</f>
        <v/>
      </c>
      <c r="D24191">
        <f>IF(B24191=C24191, "YES", "WRONG")</f>
        <v/>
      </c>
    </row>
    <row r="24192">
      <c r="A24192" t="n">
        <v>24191</v>
      </c>
      <c r="B24192" t="inlineStr">
        <is>
          <t>x̄x̄MV̅CXCI</t>
        </is>
      </c>
      <c r="C24192">
        <f>ROMAN(24191)</f>
        <v/>
      </c>
      <c r="D24192">
        <f>IF(B24192=C24192, "YES", "WRONG")</f>
        <v/>
      </c>
    </row>
    <row r="24193">
      <c r="A24193" t="n">
        <v>24192</v>
      </c>
      <c r="B24193" t="inlineStr">
        <is>
          <t>x̄x̄MV̅CXCII</t>
        </is>
      </c>
      <c r="C24193">
        <f>ROMAN(24192)</f>
        <v/>
      </c>
      <c r="D24193">
        <f>IF(B24193=C24193, "YES", "WRONG")</f>
        <v/>
      </c>
    </row>
    <row r="24194">
      <c r="A24194" t="n">
        <v>24193</v>
      </c>
      <c r="B24194" t="inlineStr">
        <is>
          <t>x̄x̄MV̅CXCIII</t>
        </is>
      </c>
      <c r="C24194">
        <f>ROMAN(24193)</f>
        <v/>
      </c>
      <c r="D24194">
        <f>IF(B24194=C24194, "YES", "WRONG")</f>
        <v/>
      </c>
    </row>
    <row r="24195">
      <c r="A24195" t="n">
        <v>24194</v>
      </c>
      <c r="B24195" t="inlineStr">
        <is>
          <t>x̄x̄MV̅CXCIV</t>
        </is>
      </c>
      <c r="C24195">
        <f>ROMAN(24194)</f>
        <v/>
      </c>
      <c r="D24195">
        <f>IF(B24195=C24195, "YES", "WRONG")</f>
        <v/>
      </c>
    </row>
    <row r="24196">
      <c r="A24196" t="n">
        <v>24195</v>
      </c>
      <c r="B24196" t="inlineStr">
        <is>
          <t>x̄x̄MV̅CXCV</t>
        </is>
      </c>
      <c r="C24196">
        <f>ROMAN(24195)</f>
        <v/>
      </c>
      <c r="D24196">
        <f>IF(B24196=C24196, "YES", "WRONG")</f>
        <v/>
      </c>
    </row>
    <row r="24197">
      <c r="A24197" t="n">
        <v>24196</v>
      </c>
      <c r="B24197" t="inlineStr">
        <is>
          <t>x̄x̄MV̅CXCVI</t>
        </is>
      </c>
      <c r="C24197">
        <f>ROMAN(24196)</f>
        <v/>
      </c>
      <c r="D24197">
        <f>IF(B24197=C24197, "YES", "WRONG")</f>
        <v/>
      </c>
    </row>
    <row r="24198">
      <c r="A24198" t="n">
        <v>24197</v>
      </c>
      <c r="B24198" t="inlineStr">
        <is>
          <t>x̄x̄MV̅CXCVII</t>
        </is>
      </c>
      <c r="C24198">
        <f>ROMAN(24197)</f>
        <v/>
      </c>
      <c r="D24198">
        <f>IF(B24198=C24198, "YES", "WRONG")</f>
        <v/>
      </c>
    </row>
    <row r="24199">
      <c r="A24199" t="n">
        <v>24198</v>
      </c>
      <c r="B24199" t="inlineStr">
        <is>
          <t>x̄x̄MV̅CXCVIII</t>
        </is>
      </c>
      <c r="C24199">
        <f>ROMAN(24198)</f>
        <v/>
      </c>
      <c r="D24199">
        <f>IF(B24199=C24199, "YES", "WRONG")</f>
        <v/>
      </c>
    </row>
    <row r="24200">
      <c r="A24200" t="n">
        <v>24199</v>
      </c>
      <c r="B24200" t="inlineStr">
        <is>
          <t>x̄x̄MV̅CXCIX</t>
        </is>
      </c>
      <c r="C24200">
        <f>ROMAN(24199)</f>
        <v/>
      </c>
      <c r="D24200">
        <f>IF(B24200=C24200, "YES", "WRONG")</f>
        <v/>
      </c>
    </row>
    <row r="24201">
      <c r="A24201" t="n">
        <v>24200</v>
      </c>
      <c r="B24201" t="inlineStr">
        <is>
          <t>x̄x̄MV̅CC</t>
        </is>
      </c>
      <c r="C24201">
        <f>ROMAN(24200)</f>
        <v/>
      </c>
      <c r="D24201">
        <f>IF(B24201=C24201, "YES", "WRONG")</f>
        <v/>
      </c>
    </row>
    <row r="24202">
      <c r="A24202" t="n">
        <v>24201</v>
      </c>
      <c r="B24202" t="inlineStr">
        <is>
          <t>x̄x̄MV̅CCI</t>
        </is>
      </c>
      <c r="C24202">
        <f>ROMAN(24201)</f>
        <v/>
      </c>
      <c r="D24202">
        <f>IF(B24202=C24202, "YES", "WRONG")</f>
        <v/>
      </c>
    </row>
    <row r="24203">
      <c r="A24203" t="n">
        <v>24202</v>
      </c>
      <c r="B24203" t="inlineStr">
        <is>
          <t>x̄x̄MV̅CCII</t>
        </is>
      </c>
      <c r="C24203">
        <f>ROMAN(24202)</f>
        <v/>
      </c>
      <c r="D24203">
        <f>IF(B24203=C24203, "YES", "WRONG")</f>
        <v/>
      </c>
    </row>
    <row r="24204">
      <c r="A24204" t="n">
        <v>24203</v>
      </c>
      <c r="B24204" t="inlineStr">
        <is>
          <t>x̄x̄MV̅CCIII</t>
        </is>
      </c>
      <c r="C24204">
        <f>ROMAN(24203)</f>
        <v/>
      </c>
      <c r="D24204">
        <f>IF(B24204=C24204, "YES", "WRONG")</f>
        <v/>
      </c>
    </row>
    <row r="24205">
      <c r="A24205" t="n">
        <v>24204</v>
      </c>
      <c r="B24205" t="inlineStr">
        <is>
          <t>x̄x̄MV̅CCIV</t>
        </is>
      </c>
      <c r="C24205">
        <f>ROMAN(24204)</f>
        <v/>
      </c>
      <c r="D24205">
        <f>IF(B24205=C24205, "YES", "WRONG")</f>
        <v/>
      </c>
    </row>
    <row r="24206">
      <c r="A24206" t="n">
        <v>24205</v>
      </c>
      <c r="B24206" t="inlineStr">
        <is>
          <t>x̄x̄MV̅CCV</t>
        </is>
      </c>
      <c r="C24206">
        <f>ROMAN(24205)</f>
        <v/>
      </c>
      <c r="D24206">
        <f>IF(B24206=C24206, "YES", "WRONG")</f>
        <v/>
      </c>
    </row>
    <row r="24207">
      <c r="A24207" t="n">
        <v>24206</v>
      </c>
      <c r="B24207" t="inlineStr">
        <is>
          <t>x̄x̄MV̅CCVI</t>
        </is>
      </c>
      <c r="C24207">
        <f>ROMAN(24206)</f>
        <v/>
      </c>
      <c r="D24207">
        <f>IF(B24207=C24207, "YES", "WRONG")</f>
        <v/>
      </c>
    </row>
    <row r="24208">
      <c r="A24208" t="n">
        <v>24207</v>
      </c>
      <c r="B24208" t="inlineStr">
        <is>
          <t>x̄x̄MV̅CCVII</t>
        </is>
      </c>
      <c r="C24208">
        <f>ROMAN(24207)</f>
        <v/>
      </c>
      <c r="D24208">
        <f>IF(B24208=C24208, "YES", "WRONG")</f>
        <v/>
      </c>
    </row>
    <row r="24209">
      <c r="A24209" t="n">
        <v>24208</v>
      </c>
      <c r="B24209" t="inlineStr">
        <is>
          <t>x̄x̄MV̅CCVIII</t>
        </is>
      </c>
      <c r="C24209">
        <f>ROMAN(24208)</f>
        <v/>
      </c>
      <c r="D24209">
        <f>IF(B24209=C24209, "YES", "WRONG")</f>
        <v/>
      </c>
    </row>
    <row r="24210">
      <c r="A24210" t="n">
        <v>24209</v>
      </c>
      <c r="B24210" t="inlineStr">
        <is>
          <t>x̄x̄MV̅CCIX</t>
        </is>
      </c>
      <c r="C24210">
        <f>ROMAN(24209)</f>
        <v/>
      </c>
      <c r="D24210">
        <f>IF(B24210=C24210, "YES", "WRONG")</f>
        <v/>
      </c>
    </row>
    <row r="24211">
      <c r="A24211" t="n">
        <v>24210</v>
      </c>
      <c r="B24211" t="inlineStr">
        <is>
          <t>x̄x̄MV̅CCX</t>
        </is>
      </c>
      <c r="C24211">
        <f>ROMAN(24210)</f>
        <v/>
      </c>
      <c r="D24211">
        <f>IF(B24211=C24211, "YES", "WRONG")</f>
        <v/>
      </c>
    </row>
    <row r="24212">
      <c r="A24212" t="n">
        <v>24211</v>
      </c>
      <c r="B24212" t="inlineStr">
        <is>
          <t>x̄x̄MV̅CCXI</t>
        </is>
      </c>
      <c r="C24212">
        <f>ROMAN(24211)</f>
        <v/>
      </c>
      <c r="D24212">
        <f>IF(B24212=C24212, "YES", "WRONG")</f>
        <v/>
      </c>
    </row>
    <row r="24213">
      <c r="A24213" t="n">
        <v>24212</v>
      </c>
      <c r="B24213" t="inlineStr">
        <is>
          <t>x̄x̄MV̅CCXII</t>
        </is>
      </c>
      <c r="C24213">
        <f>ROMAN(24212)</f>
        <v/>
      </c>
      <c r="D24213">
        <f>IF(B24213=C24213, "YES", "WRONG")</f>
        <v/>
      </c>
    </row>
    <row r="24214">
      <c r="A24214" t="n">
        <v>24213</v>
      </c>
      <c r="B24214" t="inlineStr">
        <is>
          <t>x̄x̄MV̅CCXIII</t>
        </is>
      </c>
      <c r="C24214">
        <f>ROMAN(24213)</f>
        <v/>
      </c>
      <c r="D24214">
        <f>IF(B24214=C24214, "YES", "WRONG")</f>
        <v/>
      </c>
    </row>
    <row r="24215">
      <c r="A24215" t="n">
        <v>24214</v>
      </c>
      <c r="B24215" t="inlineStr">
        <is>
          <t>x̄x̄MV̅CCXIV</t>
        </is>
      </c>
      <c r="C24215">
        <f>ROMAN(24214)</f>
        <v/>
      </c>
      <c r="D24215">
        <f>IF(B24215=C24215, "YES", "WRONG")</f>
        <v/>
      </c>
    </row>
    <row r="24216">
      <c r="A24216" t="n">
        <v>24215</v>
      </c>
      <c r="B24216" t="inlineStr">
        <is>
          <t>x̄x̄MV̅CCXV</t>
        </is>
      </c>
      <c r="C24216">
        <f>ROMAN(24215)</f>
        <v/>
      </c>
      <c r="D24216">
        <f>IF(B24216=C24216, "YES", "WRONG")</f>
        <v/>
      </c>
    </row>
    <row r="24217">
      <c r="A24217" t="n">
        <v>24216</v>
      </c>
      <c r="B24217" t="inlineStr">
        <is>
          <t>x̄x̄MV̅CCXVI</t>
        </is>
      </c>
      <c r="C24217">
        <f>ROMAN(24216)</f>
        <v/>
      </c>
      <c r="D24217">
        <f>IF(B24217=C24217, "YES", "WRONG")</f>
        <v/>
      </c>
    </row>
    <row r="24218">
      <c r="A24218" t="n">
        <v>24217</v>
      </c>
      <c r="B24218" t="inlineStr">
        <is>
          <t>x̄x̄MV̅CCXVII</t>
        </is>
      </c>
      <c r="C24218">
        <f>ROMAN(24217)</f>
        <v/>
      </c>
      <c r="D24218">
        <f>IF(B24218=C24218, "YES", "WRONG")</f>
        <v/>
      </c>
    </row>
    <row r="24219">
      <c r="A24219" t="n">
        <v>24218</v>
      </c>
      <c r="B24219" t="inlineStr">
        <is>
          <t>x̄x̄MV̅CCXVIII</t>
        </is>
      </c>
      <c r="C24219">
        <f>ROMAN(24218)</f>
        <v/>
      </c>
      <c r="D24219">
        <f>IF(B24219=C24219, "YES", "WRONG")</f>
        <v/>
      </c>
    </row>
    <row r="24220">
      <c r="A24220" t="n">
        <v>24219</v>
      </c>
      <c r="B24220" t="inlineStr">
        <is>
          <t>x̄x̄MV̅CCXIX</t>
        </is>
      </c>
      <c r="C24220">
        <f>ROMAN(24219)</f>
        <v/>
      </c>
      <c r="D24220">
        <f>IF(B24220=C24220, "YES", "WRONG")</f>
        <v/>
      </c>
    </row>
    <row r="24221">
      <c r="A24221" t="n">
        <v>24220</v>
      </c>
      <c r="B24221" t="inlineStr">
        <is>
          <t>x̄x̄MV̅CCXX</t>
        </is>
      </c>
      <c r="C24221">
        <f>ROMAN(24220)</f>
        <v/>
      </c>
      <c r="D24221">
        <f>IF(B24221=C24221, "YES", "WRONG")</f>
        <v/>
      </c>
    </row>
    <row r="24222">
      <c r="A24222" t="n">
        <v>24221</v>
      </c>
      <c r="B24222" t="inlineStr">
        <is>
          <t>x̄x̄MV̅CCXXI</t>
        </is>
      </c>
      <c r="C24222">
        <f>ROMAN(24221)</f>
        <v/>
      </c>
      <c r="D24222">
        <f>IF(B24222=C24222, "YES", "WRONG")</f>
        <v/>
      </c>
    </row>
    <row r="24223">
      <c r="A24223" t="n">
        <v>24222</v>
      </c>
      <c r="B24223" t="inlineStr">
        <is>
          <t>x̄x̄MV̅CCXXII</t>
        </is>
      </c>
      <c r="C24223">
        <f>ROMAN(24222)</f>
        <v/>
      </c>
      <c r="D24223">
        <f>IF(B24223=C24223, "YES", "WRONG")</f>
        <v/>
      </c>
    </row>
    <row r="24224">
      <c r="A24224" t="n">
        <v>24223</v>
      </c>
      <c r="B24224" t="inlineStr">
        <is>
          <t>x̄x̄MV̅CCXXIII</t>
        </is>
      </c>
      <c r="C24224">
        <f>ROMAN(24223)</f>
        <v/>
      </c>
      <c r="D24224">
        <f>IF(B24224=C24224, "YES", "WRONG")</f>
        <v/>
      </c>
    </row>
    <row r="24225">
      <c r="A24225" t="n">
        <v>24224</v>
      </c>
      <c r="B24225" t="inlineStr">
        <is>
          <t>x̄x̄MV̅CCXXIV</t>
        </is>
      </c>
      <c r="C24225">
        <f>ROMAN(24224)</f>
        <v/>
      </c>
      <c r="D24225">
        <f>IF(B24225=C24225, "YES", "WRONG")</f>
        <v/>
      </c>
    </row>
    <row r="24226">
      <c r="A24226" t="n">
        <v>24225</v>
      </c>
      <c r="B24226" t="inlineStr">
        <is>
          <t>x̄x̄MV̅CCXXV</t>
        </is>
      </c>
      <c r="C24226">
        <f>ROMAN(24225)</f>
        <v/>
      </c>
      <c r="D24226">
        <f>IF(B24226=C24226, "YES", "WRONG")</f>
        <v/>
      </c>
    </row>
    <row r="24227">
      <c r="A24227" t="n">
        <v>24226</v>
      </c>
      <c r="B24227" t="inlineStr">
        <is>
          <t>x̄x̄MV̅CCXXVI</t>
        </is>
      </c>
      <c r="C24227">
        <f>ROMAN(24226)</f>
        <v/>
      </c>
      <c r="D24227">
        <f>IF(B24227=C24227, "YES", "WRONG")</f>
        <v/>
      </c>
    </row>
    <row r="24228">
      <c r="A24228" t="n">
        <v>24227</v>
      </c>
      <c r="B24228" t="inlineStr">
        <is>
          <t>x̄x̄MV̅CCXXVII</t>
        </is>
      </c>
      <c r="C24228">
        <f>ROMAN(24227)</f>
        <v/>
      </c>
      <c r="D24228">
        <f>IF(B24228=C24228, "YES", "WRONG")</f>
        <v/>
      </c>
    </row>
    <row r="24229">
      <c r="A24229" t="n">
        <v>24228</v>
      </c>
      <c r="B24229" t="inlineStr">
        <is>
          <t>x̄x̄MV̅CCXXVIII</t>
        </is>
      </c>
      <c r="C24229">
        <f>ROMAN(24228)</f>
        <v/>
      </c>
      <c r="D24229">
        <f>IF(B24229=C24229, "YES", "WRONG")</f>
        <v/>
      </c>
    </row>
    <row r="24230">
      <c r="A24230" t="n">
        <v>24229</v>
      </c>
      <c r="B24230" t="inlineStr">
        <is>
          <t>x̄x̄MV̅CCXXIX</t>
        </is>
      </c>
      <c r="C24230">
        <f>ROMAN(24229)</f>
        <v/>
      </c>
      <c r="D24230">
        <f>IF(B24230=C24230, "YES", "WRONG")</f>
        <v/>
      </c>
    </row>
    <row r="24231">
      <c r="A24231" t="n">
        <v>24230</v>
      </c>
      <c r="B24231" t="inlineStr">
        <is>
          <t>x̄x̄MV̅CCXXX</t>
        </is>
      </c>
      <c r="C24231">
        <f>ROMAN(24230)</f>
        <v/>
      </c>
      <c r="D24231">
        <f>IF(B24231=C24231, "YES", "WRONG")</f>
        <v/>
      </c>
    </row>
    <row r="24232">
      <c r="A24232" t="n">
        <v>24231</v>
      </c>
      <c r="B24232" t="inlineStr">
        <is>
          <t>x̄x̄MV̅CCXXXI</t>
        </is>
      </c>
      <c r="C24232">
        <f>ROMAN(24231)</f>
        <v/>
      </c>
      <c r="D24232">
        <f>IF(B24232=C24232, "YES", "WRONG")</f>
        <v/>
      </c>
    </row>
    <row r="24233">
      <c r="A24233" t="n">
        <v>24232</v>
      </c>
      <c r="B24233" t="inlineStr">
        <is>
          <t>x̄x̄MV̅CCXXXII</t>
        </is>
      </c>
      <c r="C24233">
        <f>ROMAN(24232)</f>
        <v/>
      </c>
      <c r="D24233">
        <f>IF(B24233=C24233, "YES", "WRONG")</f>
        <v/>
      </c>
    </row>
    <row r="24234">
      <c r="A24234" t="n">
        <v>24233</v>
      </c>
      <c r="B24234" t="inlineStr">
        <is>
          <t>x̄x̄MV̅CCXXXIII</t>
        </is>
      </c>
      <c r="C24234">
        <f>ROMAN(24233)</f>
        <v/>
      </c>
      <c r="D24234">
        <f>IF(B24234=C24234, "YES", "WRONG")</f>
        <v/>
      </c>
    </row>
    <row r="24235">
      <c r="A24235" t="n">
        <v>24234</v>
      </c>
      <c r="B24235" t="inlineStr">
        <is>
          <t>x̄x̄MV̅CCXXXIV</t>
        </is>
      </c>
      <c r="C24235">
        <f>ROMAN(24234)</f>
        <v/>
      </c>
      <c r="D24235">
        <f>IF(B24235=C24235, "YES", "WRONG")</f>
        <v/>
      </c>
    </row>
    <row r="24236">
      <c r="A24236" t="n">
        <v>24235</v>
      </c>
      <c r="B24236" t="inlineStr">
        <is>
          <t>x̄x̄MV̅CCXXXV</t>
        </is>
      </c>
      <c r="C24236">
        <f>ROMAN(24235)</f>
        <v/>
      </c>
      <c r="D24236">
        <f>IF(B24236=C24236, "YES", "WRONG")</f>
        <v/>
      </c>
    </row>
    <row r="24237">
      <c r="A24237" t="n">
        <v>24236</v>
      </c>
      <c r="B24237" t="inlineStr">
        <is>
          <t>x̄x̄MV̅CCXXXVI</t>
        </is>
      </c>
      <c r="C24237">
        <f>ROMAN(24236)</f>
        <v/>
      </c>
      <c r="D24237">
        <f>IF(B24237=C24237, "YES", "WRONG")</f>
        <v/>
      </c>
    </row>
    <row r="24238">
      <c r="A24238" t="n">
        <v>24237</v>
      </c>
      <c r="B24238" t="inlineStr">
        <is>
          <t>x̄x̄MV̅CCXXXVII</t>
        </is>
      </c>
      <c r="C24238">
        <f>ROMAN(24237)</f>
        <v/>
      </c>
      <c r="D24238">
        <f>IF(B24238=C24238, "YES", "WRONG")</f>
        <v/>
      </c>
    </row>
    <row r="24239">
      <c r="A24239" t="n">
        <v>24238</v>
      </c>
      <c r="B24239" t="inlineStr">
        <is>
          <t>x̄x̄MV̅CCXXXVIII</t>
        </is>
      </c>
      <c r="C24239">
        <f>ROMAN(24238)</f>
        <v/>
      </c>
      <c r="D24239">
        <f>IF(B24239=C24239, "YES", "WRONG")</f>
        <v/>
      </c>
    </row>
    <row r="24240">
      <c r="A24240" t="n">
        <v>24239</v>
      </c>
      <c r="B24240" t="inlineStr">
        <is>
          <t>x̄x̄MV̅CCXXXIX</t>
        </is>
      </c>
      <c r="C24240">
        <f>ROMAN(24239)</f>
        <v/>
      </c>
      <c r="D24240">
        <f>IF(B24240=C24240, "YES", "WRONG")</f>
        <v/>
      </c>
    </row>
    <row r="24241">
      <c r="A24241" t="n">
        <v>24240</v>
      </c>
      <c r="B24241" t="inlineStr">
        <is>
          <t>x̄x̄MV̅CCXL</t>
        </is>
      </c>
      <c r="C24241">
        <f>ROMAN(24240)</f>
        <v/>
      </c>
      <c r="D24241">
        <f>IF(B24241=C24241, "YES", "WRONG")</f>
        <v/>
      </c>
    </row>
    <row r="24242">
      <c r="A24242" t="n">
        <v>24241</v>
      </c>
      <c r="B24242" t="inlineStr">
        <is>
          <t>x̄x̄MV̅CCXLI</t>
        </is>
      </c>
      <c r="C24242">
        <f>ROMAN(24241)</f>
        <v/>
      </c>
      <c r="D24242">
        <f>IF(B24242=C24242, "YES", "WRONG")</f>
        <v/>
      </c>
    </row>
    <row r="24243">
      <c r="A24243" t="n">
        <v>24242</v>
      </c>
      <c r="B24243" t="inlineStr">
        <is>
          <t>x̄x̄MV̅CCXLII</t>
        </is>
      </c>
      <c r="C24243">
        <f>ROMAN(24242)</f>
        <v/>
      </c>
      <c r="D24243">
        <f>IF(B24243=C24243, "YES", "WRONG")</f>
        <v/>
      </c>
    </row>
    <row r="24244">
      <c r="A24244" t="n">
        <v>24243</v>
      </c>
      <c r="B24244" t="inlineStr">
        <is>
          <t>x̄x̄MV̅CCXLIII</t>
        </is>
      </c>
      <c r="C24244">
        <f>ROMAN(24243)</f>
        <v/>
      </c>
      <c r="D24244">
        <f>IF(B24244=C24244, "YES", "WRONG")</f>
        <v/>
      </c>
    </row>
    <row r="24245">
      <c r="A24245" t="n">
        <v>24244</v>
      </c>
      <c r="B24245" t="inlineStr">
        <is>
          <t>x̄x̄MV̅CCXLIV</t>
        </is>
      </c>
      <c r="C24245">
        <f>ROMAN(24244)</f>
        <v/>
      </c>
      <c r="D24245">
        <f>IF(B24245=C24245, "YES", "WRONG")</f>
        <v/>
      </c>
    </row>
    <row r="24246">
      <c r="A24246" t="n">
        <v>24245</v>
      </c>
      <c r="B24246" t="inlineStr">
        <is>
          <t>x̄x̄MV̅CCXLV</t>
        </is>
      </c>
      <c r="C24246">
        <f>ROMAN(24245)</f>
        <v/>
      </c>
      <c r="D24246">
        <f>IF(B24246=C24246, "YES", "WRONG")</f>
        <v/>
      </c>
    </row>
    <row r="24247">
      <c r="A24247" t="n">
        <v>24246</v>
      </c>
      <c r="B24247" t="inlineStr">
        <is>
          <t>x̄x̄MV̅CCXLVI</t>
        </is>
      </c>
      <c r="C24247">
        <f>ROMAN(24246)</f>
        <v/>
      </c>
      <c r="D24247">
        <f>IF(B24247=C24247, "YES", "WRONG")</f>
        <v/>
      </c>
    </row>
    <row r="24248">
      <c r="A24248" t="n">
        <v>24247</v>
      </c>
      <c r="B24248" t="inlineStr">
        <is>
          <t>x̄x̄MV̅CCXLVII</t>
        </is>
      </c>
      <c r="C24248">
        <f>ROMAN(24247)</f>
        <v/>
      </c>
      <c r="D24248">
        <f>IF(B24248=C24248, "YES", "WRONG")</f>
        <v/>
      </c>
    </row>
    <row r="24249">
      <c r="A24249" t="n">
        <v>24248</v>
      </c>
      <c r="B24249" t="inlineStr">
        <is>
          <t>x̄x̄MV̅CCXLVIII</t>
        </is>
      </c>
      <c r="C24249">
        <f>ROMAN(24248)</f>
        <v/>
      </c>
      <c r="D24249">
        <f>IF(B24249=C24249, "YES", "WRONG")</f>
        <v/>
      </c>
    </row>
    <row r="24250">
      <c r="A24250" t="n">
        <v>24249</v>
      </c>
      <c r="B24250" t="inlineStr">
        <is>
          <t>x̄x̄MV̅CCXLIX</t>
        </is>
      </c>
      <c r="C24250">
        <f>ROMAN(24249)</f>
        <v/>
      </c>
      <c r="D24250">
        <f>IF(B24250=C24250, "YES", "WRONG")</f>
        <v/>
      </c>
    </row>
    <row r="24251">
      <c r="A24251" t="n">
        <v>24250</v>
      </c>
      <c r="B24251" t="inlineStr">
        <is>
          <t>x̄x̄MV̅CCL</t>
        </is>
      </c>
      <c r="C24251">
        <f>ROMAN(24250)</f>
        <v/>
      </c>
      <c r="D24251">
        <f>IF(B24251=C24251, "YES", "WRONG")</f>
        <v/>
      </c>
    </row>
    <row r="24252">
      <c r="A24252" t="n">
        <v>24251</v>
      </c>
      <c r="B24252" t="inlineStr">
        <is>
          <t>x̄x̄MV̅CCLI</t>
        </is>
      </c>
      <c r="C24252">
        <f>ROMAN(24251)</f>
        <v/>
      </c>
      <c r="D24252">
        <f>IF(B24252=C24252, "YES", "WRONG")</f>
        <v/>
      </c>
    </row>
    <row r="24253">
      <c r="A24253" t="n">
        <v>24252</v>
      </c>
      <c r="B24253" t="inlineStr">
        <is>
          <t>x̄x̄MV̅CCLII</t>
        </is>
      </c>
      <c r="C24253">
        <f>ROMAN(24252)</f>
        <v/>
      </c>
      <c r="D24253">
        <f>IF(B24253=C24253, "YES", "WRONG")</f>
        <v/>
      </c>
    </row>
    <row r="24254">
      <c r="A24254" t="n">
        <v>24253</v>
      </c>
      <c r="B24254" t="inlineStr">
        <is>
          <t>x̄x̄MV̅CCLIII</t>
        </is>
      </c>
      <c r="C24254">
        <f>ROMAN(24253)</f>
        <v/>
      </c>
      <c r="D24254">
        <f>IF(B24254=C24254, "YES", "WRONG")</f>
        <v/>
      </c>
    </row>
    <row r="24255">
      <c r="A24255" t="n">
        <v>24254</v>
      </c>
      <c r="B24255" t="inlineStr">
        <is>
          <t>x̄x̄MV̅CCLIV</t>
        </is>
      </c>
      <c r="C24255">
        <f>ROMAN(24254)</f>
        <v/>
      </c>
      <c r="D24255">
        <f>IF(B24255=C24255, "YES", "WRONG")</f>
        <v/>
      </c>
    </row>
    <row r="24256">
      <c r="A24256" t="n">
        <v>24255</v>
      </c>
      <c r="B24256" t="inlineStr">
        <is>
          <t>x̄x̄MV̅CCLV</t>
        </is>
      </c>
      <c r="C24256">
        <f>ROMAN(24255)</f>
        <v/>
      </c>
      <c r="D24256">
        <f>IF(B24256=C24256, "YES", "WRONG")</f>
        <v/>
      </c>
    </row>
    <row r="24257">
      <c r="A24257" t="n">
        <v>24256</v>
      </c>
      <c r="B24257" t="inlineStr">
        <is>
          <t>x̄x̄MV̅CCLVI</t>
        </is>
      </c>
      <c r="C24257">
        <f>ROMAN(24256)</f>
        <v/>
      </c>
      <c r="D24257">
        <f>IF(B24257=C24257, "YES", "WRONG")</f>
        <v/>
      </c>
    </row>
    <row r="24258">
      <c r="A24258" t="n">
        <v>24257</v>
      </c>
      <c r="B24258" t="inlineStr">
        <is>
          <t>x̄x̄MV̅CCLVII</t>
        </is>
      </c>
      <c r="C24258">
        <f>ROMAN(24257)</f>
        <v/>
      </c>
      <c r="D24258">
        <f>IF(B24258=C24258, "YES", "WRONG")</f>
        <v/>
      </c>
    </row>
    <row r="24259">
      <c r="A24259" t="n">
        <v>24258</v>
      </c>
      <c r="B24259" t="inlineStr">
        <is>
          <t>x̄x̄MV̅CCLVIII</t>
        </is>
      </c>
      <c r="C24259">
        <f>ROMAN(24258)</f>
        <v/>
      </c>
      <c r="D24259">
        <f>IF(B24259=C24259, "YES", "WRONG")</f>
        <v/>
      </c>
    </row>
    <row r="24260">
      <c r="A24260" t="n">
        <v>24259</v>
      </c>
      <c r="B24260" t="inlineStr">
        <is>
          <t>x̄x̄MV̅CCLIX</t>
        </is>
      </c>
      <c r="C24260">
        <f>ROMAN(24259)</f>
        <v/>
      </c>
      <c r="D24260">
        <f>IF(B24260=C24260, "YES", "WRONG")</f>
        <v/>
      </c>
    </row>
    <row r="24261">
      <c r="A24261" t="n">
        <v>24260</v>
      </c>
      <c r="B24261" t="inlineStr">
        <is>
          <t>x̄x̄MV̅CCLX</t>
        </is>
      </c>
      <c r="C24261">
        <f>ROMAN(24260)</f>
        <v/>
      </c>
      <c r="D24261">
        <f>IF(B24261=C24261, "YES", "WRONG")</f>
        <v/>
      </c>
    </row>
    <row r="24262">
      <c r="A24262" t="n">
        <v>24261</v>
      </c>
      <c r="B24262" t="inlineStr">
        <is>
          <t>x̄x̄MV̅CCLXI</t>
        </is>
      </c>
      <c r="C24262">
        <f>ROMAN(24261)</f>
        <v/>
      </c>
      <c r="D24262">
        <f>IF(B24262=C24262, "YES", "WRONG")</f>
        <v/>
      </c>
    </row>
    <row r="24263">
      <c r="A24263" t="n">
        <v>24262</v>
      </c>
      <c r="B24263" t="inlineStr">
        <is>
          <t>x̄x̄MV̅CCLXII</t>
        </is>
      </c>
      <c r="C24263">
        <f>ROMAN(24262)</f>
        <v/>
      </c>
      <c r="D24263">
        <f>IF(B24263=C24263, "YES", "WRONG")</f>
        <v/>
      </c>
    </row>
    <row r="24264">
      <c r="A24264" t="n">
        <v>24263</v>
      </c>
      <c r="B24264" t="inlineStr">
        <is>
          <t>x̄x̄MV̅CCLXIII</t>
        </is>
      </c>
      <c r="C24264">
        <f>ROMAN(24263)</f>
        <v/>
      </c>
      <c r="D24264">
        <f>IF(B24264=C24264, "YES", "WRONG")</f>
        <v/>
      </c>
    </row>
    <row r="24265">
      <c r="A24265" t="n">
        <v>24264</v>
      </c>
      <c r="B24265" t="inlineStr">
        <is>
          <t>x̄x̄MV̅CCLXIV</t>
        </is>
      </c>
      <c r="C24265">
        <f>ROMAN(24264)</f>
        <v/>
      </c>
      <c r="D24265">
        <f>IF(B24265=C24265, "YES", "WRONG")</f>
        <v/>
      </c>
    </row>
    <row r="24266">
      <c r="A24266" t="n">
        <v>24265</v>
      </c>
      <c r="B24266" t="inlineStr">
        <is>
          <t>x̄x̄MV̅CCLXV</t>
        </is>
      </c>
      <c r="C24266">
        <f>ROMAN(24265)</f>
        <v/>
      </c>
      <c r="D24266">
        <f>IF(B24266=C24266, "YES", "WRONG")</f>
        <v/>
      </c>
    </row>
    <row r="24267">
      <c r="A24267" t="n">
        <v>24266</v>
      </c>
      <c r="B24267" t="inlineStr">
        <is>
          <t>x̄x̄MV̅CCLXVI</t>
        </is>
      </c>
      <c r="C24267">
        <f>ROMAN(24266)</f>
        <v/>
      </c>
      <c r="D24267">
        <f>IF(B24267=C24267, "YES", "WRONG")</f>
        <v/>
      </c>
    </row>
    <row r="24268">
      <c r="A24268" t="n">
        <v>24267</v>
      </c>
      <c r="B24268" t="inlineStr">
        <is>
          <t>x̄x̄MV̅CCLXVII</t>
        </is>
      </c>
      <c r="C24268">
        <f>ROMAN(24267)</f>
        <v/>
      </c>
      <c r="D24268">
        <f>IF(B24268=C24268, "YES", "WRONG")</f>
        <v/>
      </c>
    </row>
    <row r="24269">
      <c r="A24269" t="n">
        <v>24268</v>
      </c>
      <c r="B24269" t="inlineStr">
        <is>
          <t>x̄x̄MV̅CCLXVIII</t>
        </is>
      </c>
      <c r="C24269">
        <f>ROMAN(24268)</f>
        <v/>
      </c>
      <c r="D24269">
        <f>IF(B24269=C24269, "YES", "WRONG")</f>
        <v/>
      </c>
    </row>
    <row r="24270">
      <c r="A24270" t="n">
        <v>24269</v>
      </c>
      <c r="B24270" t="inlineStr">
        <is>
          <t>x̄x̄MV̅CCLXIX</t>
        </is>
      </c>
      <c r="C24270">
        <f>ROMAN(24269)</f>
        <v/>
      </c>
      <c r="D24270">
        <f>IF(B24270=C24270, "YES", "WRONG")</f>
        <v/>
      </c>
    </row>
    <row r="24271">
      <c r="A24271" t="n">
        <v>24270</v>
      </c>
      <c r="B24271" t="inlineStr">
        <is>
          <t>x̄x̄MV̅CCLXX</t>
        </is>
      </c>
      <c r="C24271">
        <f>ROMAN(24270)</f>
        <v/>
      </c>
      <c r="D24271">
        <f>IF(B24271=C24271, "YES", "WRONG")</f>
        <v/>
      </c>
    </row>
    <row r="24272">
      <c r="A24272" t="n">
        <v>24271</v>
      </c>
      <c r="B24272" t="inlineStr">
        <is>
          <t>x̄x̄MV̅CCLXXI</t>
        </is>
      </c>
      <c r="C24272">
        <f>ROMAN(24271)</f>
        <v/>
      </c>
      <c r="D24272">
        <f>IF(B24272=C24272, "YES", "WRONG")</f>
        <v/>
      </c>
    </row>
    <row r="24273">
      <c r="A24273" t="n">
        <v>24272</v>
      </c>
      <c r="B24273" t="inlineStr">
        <is>
          <t>x̄x̄MV̅CCLXXII</t>
        </is>
      </c>
      <c r="C24273">
        <f>ROMAN(24272)</f>
        <v/>
      </c>
      <c r="D24273">
        <f>IF(B24273=C24273, "YES", "WRONG")</f>
        <v/>
      </c>
    </row>
    <row r="24274">
      <c r="A24274" t="n">
        <v>24273</v>
      </c>
      <c r="B24274" t="inlineStr">
        <is>
          <t>x̄x̄MV̅CCLXXIII</t>
        </is>
      </c>
      <c r="C24274">
        <f>ROMAN(24273)</f>
        <v/>
      </c>
      <c r="D24274">
        <f>IF(B24274=C24274, "YES", "WRONG")</f>
        <v/>
      </c>
    </row>
    <row r="24275">
      <c r="A24275" t="n">
        <v>24274</v>
      </c>
      <c r="B24275" t="inlineStr">
        <is>
          <t>x̄x̄MV̅CCLXXIV</t>
        </is>
      </c>
      <c r="C24275">
        <f>ROMAN(24274)</f>
        <v/>
      </c>
      <c r="D24275">
        <f>IF(B24275=C24275, "YES", "WRONG")</f>
        <v/>
      </c>
    </row>
    <row r="24276">
      <c r="A24276" t="n">
        <v>24275</v>
      </c>
      <c r="B24276" t="inlineStr">
        <is>
          <t>x̄x̄MV̅CCLXXV</t>
        </is>
      </c>
      <c r="C24276">
        <f>ROMAN(24275)</f>
        <v/>
      </c>
      <c r="D24276">
        <f>IF(B24276=C24276, "YES", "WRONG")</f>
        <v/>
      </c>
    </row>
    <row r="24277">
      <c r="A24277" t="n">
        <v>24276</v>
      </c>
      <c r="B24277" t="inlineStr">
        <is>
          <t>x̄x̄MV̅CCLXXVI</t>
        </is>
      </c>
      <c r="C24277">
        <f>ROMAN(24276)</f>
        <v/>
      </c>
      <c r="D24277">
        <f>IF(B24277=C24277, "YES", "WRONG")</f>
        <v/>
      </c>
    </row>
    <row r="24278">
      <c r="A24278" t="n">
        <v>24277</v>
      </c>
      <c r="B24278" t="inlineStr">
        <is>
          <t>x̄x̄MV̅CCLXXVII</t>
        </is>
      </c>
      <c r="C24278">
        <f>ROMAN(24277)</f>
        <v/>
      </c>
      <c r="D24278">
        <f>IF(B24278=C24278, "YES", "WRONG")</f>
        <v/>
      </c>
    </row>
    <row r="24279">
      <c r="A24279" t="n">
        <v>24278</v>
      </c>
      <c r="B24279" t="inlineStr">
        <is>
          <t>x̄x̄MV̅CCLXXVIII</t>
        </is>
      </c>
      <c r="C24279">
        <f>ROMAN(24278)</f>
        <v/>
      </c>
      <c r="D24279">
        <f>IF(B24279=C24279, "YES", "WRONG")</f>
        <v/>
      </c>
    </row>
    <row r="24280">
      <c r="A24280" t="n">
        <v>24279</v>
      </c>
      <c r="B24280" t="inlineStr">
        <is>
          <t>x̄x̄MV̅CCLXXIX</t>
        </is>
      </c>
      <c r="C24280">
        <f>ROMAN(24279)</f>
        <v/>
      </c>
      <c r="D24280">
        <f>IF(B24280=C24280, "YES", "WRONG")</f>
        <v/>
      </c>
    </row>
    <row r="24281">
      <c r="A24281" t="n">
        <v>24280</v>
      </c>
      <c r="B24281" t="inlineStr">
        <is>
          <t>x̄x̄MV̅CCLXXX</t>
        </is>
      </c>
      <c r="C24281">
        <f>ROMAN(24280)</f>
        <v/>
      </c>
      <c r="D24281">
        <f>IF(B24281=C24281, "YES", "WRONG")</f>
        <v/>
      </c>
    </row>
    <row r="24282">
      <c r="A24282" t="n">
        <v>24281</v>
      </c>
      <c r="B24282" t="inlineStr">
        <is>
          <t>x̄x̄MV̅CCLXXXI</t>
        </is>
      </c>
      <c r="C24282">
        <f>ROMAN(24281)</f>
        <v/>
      </c>
      <c r="D24282">
        <f>IF(B24282=C24282, "YES", "WRONG")</f>
        <v/>
      </c>
    </row>
    <row r="24283">
      <c r="A24283" t="n">
        <v>24282</v>
      </c>
      <c r="B24283" t="inlineStr">
        <is>
          <t>x̄x̄MV̅CCLXXXII</t>
        </is>
      </c>
      <c r="C24283">
        <f>ROMAN(24282)</f>
        <v/>
      </c>
      <c r="D24283">
        <f>IF(B24283=C24283, "YES", "WRONG")</f>
        <v/>
      </c>
    </row>
    <row r="24284">
      <c r="A24284" t="n">
        <v>24283</v>
      </c>
      <c r="B24284" t="inlineStr">
        <is>
          <t>x̄x̄MV̅CCLXXXIII</t>
        </is>
      </c>
      <c r="C24284">
        <f>ROMAN(24283)</f>
        <v/>
      </c>
      <c r="D24284">
        <f>IF(B24284=C24284, "YES", "WRONG")</f>
        <v/>
      </c>
    </row>
    <row r="24285">
      <c r="A24285" t="n">
        <v>24284</v>
      </c>
      <c r="B24285" t="inlineStr">
        <is>
          <t>x̄x̄MV̅CCLXXXIV</t>
        </is>
      </c>
      <c r="C24285">
        <f>ROMAN(24284)</f>
        <v/>
      </c>
      <c r="D24285">
        <f>IF(B24285=C24285, "YES", "WRONG")</f>
        <v/>
      </c>
    </row>
    <row r="24286">
      <c r="A24286" t="n">
        <v>24285</v>
      </c>
      <c r="B24286" t="inlineStr">
        <is>
          <t>x̄x̄MV̅CCLXXXV</t>
        </is>
      </c>
      <c r="C24286">
        <f>ROMAN(24285)</f>
        <v/>
      </c>
      <c r="D24286">
        <f>IF(B24286=C24286, "YES", "WRONG")</f>
        <v/>
      </c>
    </row>
    <row r="24287">
      <c r="A24287" t="n">
        <v>24286</v>
      </c>
      <c r="B24287" t="inlineStr">
        <is>
          <t>x̄x̄MV̅CCLXXXVI</t>
        </is>
      </c>
      <c r="C24287">
        <f>ROMAN(24286)</f>
        <v/>
      </c>
      <c r="D24287">
        <f>IF(B24287=C24287, "YES", "WRONG")</f>
        <v/>
      </c>
    </row>
    <row r="24288">
      <c r="A24288" t="n">
        <v>24287</v>
      </c>
      <c r="B24288" t="inlineStr">
        <is>
          <t>x̄x̄MV̅CCLXXXVII</t>
        </is>
      </c>
      <c r="C24288">
        <f>ROMAN(24287)</f>
        <v/>
      </c>
      <c r="D24288">
        <f>IF(B24288=C24288, "YES", "WRONG")</f>
        <v/>
      </c>
    </row>
    <row r="24289">
      <c r="A24289" t="n">
        <v>24288</v>
      </c>
      <c r="B24289" t="inlineStr">
        <is>
          <t>x̄x̄MV̅CCLXXXVIII</t>
        </is>
      </c>
      <c r="C24289">
        <f>ROMAN(24288)</f>
        <v/>
      </c>
      <c r="D24289">
        <f>IF(B24289=C24289, "YES", "WRONG")</f>
        <v/>
      </c>
    </row>
    <row r="24290">
      <c r="A24290" t="n">
        <v>24289</v>
      </c>
      <c r="B24290" t="inlineStr">
        <is>
          <t>x̄x̄MV̅CCLXXXIX</t>
        </is>
      </c>
      <c r="C24290">
        <f>ROMAN(24289)</f>
        <v/>
      </c>
      <c r="D24290">
        <f>IF(B24290=C24290, "YES", "WRONG")</f>
        <v/>
      </c>
    </row>
    <row r="24291">
      <c r="A24291" t="n">
        <v>24290</v>
      </c>
      <c r="B24291" t="inlineStr">
        <is>
          <t>x̄x̄MV̅CCXC</t>
        </is>
      </c>
      <c r="C24291">
        <f>ROMAN(24290)</f>
        <v/>
      </c>
      <c r="D24291">
        <f>IF(B24291=C24291, "YES", "WRONG")</f>
        <v/>
      </c>
    </row>
    <row r="24292">
      <c r="A24292" t="n">
        <v>24291</v>
      </c>
      <c r="B24292" t="inlineStr">
        <is>
          <t>x̄x̄MV̅CCXCI</t>
        </is>
      </c>
      <c r="C24292">
        <f>ROMAN(24291)</f>
        <v/>
      </c>
      <c r="D24292">
        <f>IF(B24292=C24292, "YES", "WRONG")</f>
        <v/>
      </c>
    </row>
    <row r="24293">
      <c r="A24293" t="n">
        <v>24292</v>
      </c>
      <c r="B24293" t="inlineStr">
        <is>
          <t>x̄x̄MV̅CCXCII</t>
        </is>
      </c>
      <c r="C24293">
        <f>ROMAN(24292)</f>
        <v/>
      </c>
      <c r="D24293">
        <f>IF(B24293=C24293, "YES", "WRONG")</f>
        <v/>
      </c>
    </row>
    <row r="24294">
      <c r="A24294" t="n">
        <v>24293</v>
      </c>
      <c r="B24294" t="inlineStr">
        <is>
          <t>x̄x̄MV̅CCXCIII</t>
        </is>
      </c>
      <c r="C24294">
        <f>ROMAN(24293)</f>
        <v/>
      </c>
      <c r="D24294">
        <f>IF(B24294=C24294, "YES", "WRONG")</f>
        <v/>
      </c>
    </row>
    <row r="24295">
      <c r="A24295" t="n">
        <v>24294</v>
      </c>
      <c r="B24295" t="inlineStr">
        <is>
          <t>x̄x̄MV̅CCXCIV</t>
        </is>
      </c>
      <c r="C24295">
        <f>ROMAN(24294)</f>
        <v/>
      </c>
      <c r="D24295">
        <f>IF(B24295=C24295, "YES", "WRONG")</f>
        <v/>
      </c>
    </row>
    <row r="24296">
      <c r="A24296" t="n">
        <v>24295</v>
      </c>
      <c r="B24296" t="inlineStr">
        <is>
          <t>x̄x̄MV̅CCXCV</t>
        </is>
      </c>
      <c r="C24296">
        <f>ROMAN(24295)</f>
        <v/>
      </c>
      <c r="D24296">
        <f>IF(B24296=C24296, "YES", "WRONG")</f>
        <v/>
      </c>
    </row>
    <row r="24297">
      <c r="A24297" t="n">
        <v>24296</v>
      </c>
      <c r="B24297" t="inlineStr">
        <is>
          <t>x̄x̄MV̅CCXCVI</t>
        </is>
      </c>
      <c r="C24297">
        <f>ROMAN(24296)</f>
        <v/>
      </c>
      <c r="D24297">
        <f>IF(B24297=C24297, "YES", "WRONG")</f>
        <v/>
      </c>
    </row>
    <row r="24298">
      <c r="A24298" t="n">
        <v>24297</v>
      </c>
      <c r="B24298" t="inlineStr">
        <is>
          <t>x̄x̄MV̅CCXCVII</t>
        </is>
      </c>
      <c r="C24298">
        <f>ROMAN(24297)</f>
        <v/>
      </c>
      <c r="D24298">
        <f>IF(B24298=C24298, "YES", "WRONG")</f>
        <v/>
      </c>
    </row>
    <row r="24299">
      <c r="A24299" t="n">
        <v>24298</v>
      </c>
      <c r="B24299" t="inlineStr">
        <is>
          <t>x̄x̄MV̅CCXCVIII</t>
        </is>
      </c>
      <c r="C24299">
        <f>ROMAN(24298)</f>
        <v/>
      </c>
      <c r="D24299">
        <f>IF(B24299=C24299, "YES", "WRONG")</f>
        <v/>
      </c>
    </row>
    <row r="24300">
      <c r="A24300" t="n">
        <v>24299</v>
      </c>
      <c r="B24300" t="inlineStr">
        <is>
          <t>x̄x̄MV̅CCXCIX</t>
        </is>
      </c>
      <c r="C24300">
        <f>ROMAN(24299)</f>
        <v/>
      </c>
      <c r="D24300">
        <f>IF(B24300=C24300, "YES", "WRONG")</f>
        <v/>
      </c>
    </row>
    <row r="24301">
      <c r="A24301" t="n">
        <v>24300</v>
      </c>
      <c r="B24301" t="inlineStr">
        <is>
          <t>x̄x̄MV̅CCC</t>
        </is>
      </c>
      <c r="C24301">
        <f>ROMAN(24300)</f>
        <v/>
      </c>
      <c r="D24301">
        <f>IF(B24301=C24301, "YES", "WRONG")</f>
        <v/>
      </c>
    </row>
    <row r="24302">
      <c r="A24302" t="n">
        <v>24301</v>
      </c>
      <c r="B24302" t="inlineStr">
        <is>
          <t>x̄x̄MV̅CCCI</t>
        </is>
      </c>
      <c r="C24302">
        <f>ROMAN(24301)</f>
        <v/>
      </c>
      <c r="D24302">
        <f>IF(B24302=C24302, "YES", "WRONG")</f>
        <v/>
      </c>
    </row>
    <row r="24303">
      <c r="A24303" t="n">
        <v>24302</v>
      </c>
      <c r="B24303" t="inlineStr">
        <is>
          <t>x̄x̄MV̅CCCII</t>
        </is>
      </c>
      <c r="C24303">
        <f>ROMAN(24302)</f>
        <v/>
      </c>
      <c r="D24303">
        <f>IF(B24303=C24303, "YES", "WRONG")</f>
        <v/>
      </c>
    </row>
    <row r="24304">
      <c r="A24304" t="n">
        <v>24303</v>
      </c>
      <c r="B24304" t="inlineStr">
        <is>
          <t>x̄x̄MV̅CCCIII</t>
        </is>
      </c>
      <c r="C24304">
        <f>ROMAN(24303)</f>
        <v/>
      </c>
      <c r="D24304">
        <f>IF(B24304=C24304, "YES", "WRONG")</f>
        <v/>
      </c>
    </row>
    <row r="24305">
      <c r="A24305" t="n">
        <v>24304</v>
      </c>
      <c r="B24305" t="inlineStr">
        <is>
          <t>x̄x̄MV̅CCCIV</t>
        </is>
      </c>
      <c r="C24305">
        <f>ROMAN(24304)</f>
        <v/>
      </c>
      <c r="D24305">
        <f>IF(B24305=C24305, "YES", "WRONG")</f>
        <v/>
      </c>
    </row>
    <row r="24306">
      <c r="A24306" t="n">
        <v>24305</v>
      </c>
      <c r="B24306" t="inlineStr">
        <is>
          <t>x̄x̄MV̅CCCV</t>
        </is>
      </c>
      <c r="C24306">
        <f>ROMAN(24305)</f>
        <v/>
      </c>
      <c r="D24306">
        <f>IF(B24306=C24306, "YES", "WRONG")</f>
        <v/>
      </c>
    </row>
    <row r="24307">
      <c r="A24307" t="n">
        <v>24306</v>
      </c>
      <c r="B24307" t="inlineStr">
        <is>
          <t>x̄x̄MV̅CCCVI</t>
        </is>
      </c>
      <c r="C24307">
        <f>ROMAN(24306)</f>
        <v/>
      </c>
      <c r="D24307">
        <f>IF(B24307=C24307, "YES", "WRONG")</f>
        <v/>
      </c>
    </row>
    <row r="24308">
      <c r="A24308" t="n">
        <v>24307</v>
      </c>
      <c r="B24308" t="inlineStr">
        <is>
          <t>x̄x̄MV̅CCCVII</t>
        </is>
      </c>
      <c r="C24308">
        <f>ROMAN(24307)</f>
        <v/>
      </c>
      <c r="D24308">
        <f>IF(B24308=C24308, "YES", "WRONG")</f>
        <v/>
      </c>
    </row>
    <row r="24309">
      <c r="A24309" t="n">
        <v>24308</v>
      </c>
      <c r="B24309" t="inlineStr">
        <is>
          <t>x̄x̄MV̅CCCVIII</t>
        </is>
      </c>
      <c r="C24309">
        <f>ROMAN(24308)</f>
        <v/>
      </c>
      <c r="D24309">
        <f>IF(B24309=C24309, "YES", "WRONG")</f>
        <v/>
      </c>
    </row>
    <row r="24310">
      <c r="A24310" t="n">
        <v>24309</v>
      </c>
      <c r="B24310" t="inlineStr">
        <is>
          <t>x̄x̄MV̅CCCIX</t>
        </is>
      </c>
      <c r="C24310">
        <f>ROMAN(24309)</f>
        <v/>
      </c>
      <c r="D24310">
        <f>IF(B24310=C24310, "YES", "WRONG")</f>
        <v/>
      </c>
    </row>
    <row r="24311">
      <c r="A24311" t="n">
        <v>24310</v>
      </c>
      <c r="B24311" t="inlineStr">
        <is>
          <t>x̄x̄MV̅CCCX</t>
        </is>
      </c>
      <c r="C24311">
        <f>ROMAN(24310)</f>
        <v/>
      </c>
      <c r="D24311">
        <f>IF(B24311=C24311, "YES", "WRONG")</f>
        <v/>
      </c>
    </row>
    <row r="24312">
      <c r="A24312" t="n">
        <v>24311</v>
      </c>
      <c r="B24312" t="inlineStr">
        <is>
          <t>x̄x̄MV̅CCCXI</t>
        </is>
      </c>
      <c r="C24312">
        <f>ROMAN(24311)</f>
        <v/>
      </c>
      <c r="D24312">
        <f>IF(B24312=C24312, "YES", "WRONG")</f>
        <v/>
      </c>
    </row>
    <row r="24313">
      <c r="A24313" t="n">
        <v>24312</v>
      </c>
      <c r="B24313" t="inlineStr">
        <is>
          <t>x̄x̄MV̅CCCXII</t>
        </is>
      </c>
      <c r="C24313">
        <f>ROMAN(24312)</f>
        <v/>
      </c>
      <c r="D24313">
        <f>IF(B24313=C24313, "YES", "WRONG")</f>
        <v/>
      </c>
    </row>
    <row r="24314">
      <c r="A24314" t="n">
        <v>24313</v>
      </c>
      <c r="B24314" t="inlineStr">
        <is>
          <t>x̄x̄MV̅CCCXIII</t>
        </is>
      </c>
      <c r="C24314">
        <f>ROMAN(24313)</f>
        <v/>
      </c>
      <c r="D24314">
        <f>IF(B24314=C24314, "YES", "WRONG")</f>
        <v/>
      </c>
    </row>
    <row r="24315">
      <c r="A24315" t="n">
        <v>24314</v>
      </c>
      <c r="B24315" t="inlineStr">
        <is>
          <t>x̄x̄MV̅CCCXIV</t>
        </is>
      </c>
      <c r="C24315">
        <f>ROMAN(24314)</f>
        <v/>
      </c>
      <c r="D24315">
        <f>IF(B24315=C24315, "YES", "WRONG")</f>
        <v/>
      </c>
    </row>
    <row r="24316">
      <c r="A24316" t="n">
        <v>24315</v>
      </c>
      <c r="B24316" t="inlineStr">
        <is>
          <t>x̄x̄MV̅CCCXV</t>
        </is>
      </c>
      <c r="C24316">
        <f>ROMAN(24315)</f>
        <v/>
      </c>
      <c r="D24316">
        <f>IF(B24316=C24316, "YES", "WRONG")</f>
        <v/>
      </c>
    </row>
    <row r="24317">
      <c r="A24317" t="n">
        <v>24316</v>
      </c>
      <c r="B24317" t="inlineStr">
        <is>
          <t>x̄x̄MV̅CCCXVI</t>
        </is>
      </c>
      <c r="C24317">
        <f>ROMAN(24316)</f>
        <v/>
      </c>
      <c r="D24317">
        <f>IF(B24317=C24317, "YES", "WRONG")</f>
        <v/>
      </c>
    </row>
    <row r="24318">
      <c r="A24318" t="n">
        <v>24317</v>
      </c>
      <c r="B24318" t="inlineStr">
        <is>
          <t>x̄x̄MV̅CCCXVII</t>
        </is>
      </c>
      <c r="C24318">
        <f>ROMAN(24317)</f>
        <v/>
      </c>
      <c r="D24318">
        <f>IF(B24318=C24318, "YES", "WRONG")</f>
        <v/>
      </c>
    </row>
    <row r="24319">
      <c r="A24319" t="n">
        <v>24318</v>
      </c>
      <c r="B24319" t="inlineStr">
        <is>
          <t>x̄x̄MV̅CCCXVIII</t>
        </is>
      </c>
      <c r="C24319">
        <f>ROMAN(24318)</f>
        <v/>
      </c>
      <c r="D24319">
        <f>IF(B24319=C24319, "YES", "WRONG")</f>
        <v/>
      </c>
    </row>
    <row r="24320">
      <c r="A24320" t="n">
        <v>24319</v>
      </c>
      <c r="B24320" t="inlineStr">
        <is>
          <t>x̄x̄MV̅CCCXIX</t>
        </is>
      </c>
      <c r="C24320">
        <f>ROMAN(24319)</f>
        <v/>
      </c>
      <c r="D24320">
        <f>IF(B24320=C24320, "YES", "WRONG")</f>
        <v/>
      </c>
    </row>
    <row r="24321">
      <c r="A24321" t="n">
        <v>24320</v>
      </c>
      <c r="B24321" t="inlineStr">
        <is>
          <t>x̄x̄MV̅CCCXX</t>
        </is>
      </c>
      <c r="C24321">
        <f>ROMAN(24320)</f>
        <v/>
      </c>
      <c r="D24321">
        <f>IF(B24321=C24321, "YES", "WRONG")</f>
        <v/>
      </c>
    </row>
    <row r="24322">
      <c r="A24322" t="n">
        <v>24321</v>
      </c>
      <c r="B24322" t="inlineStr">
        <is>
          <t>x̄x̄MV̅CCCXXI</t>
        </is>
      </c>
      <c r="C24322">
        <f>ROMAN(24321)</f>
        <v/>
      </c>
      <c r="D24322">
        <f>IF(B24322=C24322, "YES", "WRONG")</f>
        <v/>
      </c>
    </row>
    <row r="24323">
      <c r="A24323" t="n">
        <v>24322</v>
      </c>
      <c r="B24323" t="inlineStr">
        <is>
          <t>x̄x̄MV̅CCCXXII</t>
        </is>
      </c>
      <c r="C24323">
        <f>ROMAN(24322)</f>
        <v/>
      </c>
      <c r="D24323">
        <f>IF(B24323=C24323, "YES", "WRONG")</f>
        <v/>
      </c>
    </row>
    <row r="24324">
      <c r="A24324" t="n">
        <v>24323</v>
      </c>
      <c r="B24324" t="inlineStr">
        <is>
          <t>x̄x̄MV̅CCCXXIII</t>
        </is>
      </c>
      <c r="C24324">
        <f>ROMAN(24323)</f>
        <v/>
      </c>
      <c r="D24324">
        <f>IF(B24324=C24324, "YES", "WRONG")</f>
        <v/>
      </c>
    </row>
    <row r="24325">
      <c r="A24325" t="n">
        <v>24324</v>
      </c>
      <c r="B24325" t="inlineStr">
        <is>
          <t>x̄x̄MV̅CCCXXIV</t>
        </is>
      </c>
      <c r="C24325">
        <f>ROMAN(24324)</f>
        <v/>
      </c>
      <c r="D24325">
        <f>IF(B24325=C24325, "YES", "WRONG")</f>
        <v/>
      </c>
    </row>
    <row r="24326">
      <c r="A24326" t="n">
        <v>24325</v>
      </c>
      <c r="B24326" t="inlineStr">
        <is>
          <t>x̄x̄MV̅CCCXXV</t>
        </is>
      </c>
      <c r="C24326">
        <f>ROMAN(24325)</f>
        <v/>
      </c>
      <c r="D24326">
        <f>IF(B24326=C24326, "YES", "WRONG")</f>
        <v/>
      </c>
    </row>
    <row r="24327">
      <c r="A24327" t="n">
        <v>24326</v>
      </c>
      <c r="B24327" t="inlineStr">
        <is>
          <t>x̄x̄MV̅CCCXXVI</t>
        </is>
      </c>
      <c r="C24327">
        <f>ROMAN(24326)</f>
        <v/>
      </c>
      <c r="D24327">
        <f>IF(B24327=C24327, "YES", "WRONG")</f>
        <v/>
      </c>
    </row>
    <row r="24328">
      <c r="A24328" t="n">
        <v>24327</v>
      </c>
      <c r="B24328" t="inlineStr">
        <is>
          <t>x̄x̄MV̅CCCXXVII</t>
        </is>
      </c>
      <c r="C24328">
        <f>ROMAN(24327)</f>
        <v/>
      </c>
      <c r="D24328">
        <f>IF(B24328=C24328, "YES", "WRONG")</f>
        <v/>
      </c>
    </row>
    <row r="24329">
      <c r="A24329" t="n">
        <v>24328</v>
      </c>
      <c r="B24329" t="inlineStr">
        <is>
          <t>x̄x̄MV̅CCCXXVIII</t>
        </is>
      </c>
      <c r="C24329">
        <f>ROMAN(24328)</f>
        <v/>
      </c>
      <c r="D24329">
        <f>IF(B24329=C24329, "YES", "WRONG")</f>
        <v/>
      </c>
    </row>
    <row r="24330">
      <c r="A24330" t="n">
        <v>24329</v>
      </c>
      <c r="B24330" t="inlineStr">
        <is>
          <t>x̄x̄MV̅CCCXXIX</t>
        </is>
      </c>
      <c r="C24330">
        <f>ROMAN(24329)</f>
        <v/>
      </c>
      <c r="D24330">
        <f>IF(B24330=C24330, "YES", "WRONG")</f>
        <v/>
      </c>
    </row>
    <row r="24331">
      <c r="A24331" t="n">
        <v>24330</v>
      </c>
      <c r="B24331" t="inlineStr">
        <is>
          <t>x̄x̄MV̅CCCXXX</t>
        </is>
      </c>
      <c r="C24331">
        <f>ROMAN(24330)</f>
        <v/>
      </c>
      <c r="D24331">
        <f>IF(B24331=C24331, "YES", "WRONG")</f>
        <v/>
      </c>
    </row>
    <row r="24332">
      <c r="A24332" t="n">
        <v>24331</v>
      </c>
      <c r="B24332" t="inlineStr">
        <is>
          <t>x̄x̄MV̅CCCXXXI</t>
        </is>
      </c>
      <c r="C24332">
        <f>ROMAN(24331)</f>
        <v/>
      </c>
      <c r="D24332">
        <f>IF(B24332=C24332, "YES", "WRONG")</f>
        <v/>
      </c>
    </row>
    <row r="24333">
      <c r="A24333" t="n">
        <v>24332</v>
      </c>
      <c r="B24333" t="inlineStr">
        <is>
          <t>x̄x̄MV̅CCCXXXII</t>
        </is>
      </c>
      <c r="C24333">
        <f>ROMAN(24332)</f>
        <v/>
      </c>
      <c r="D24333">
        <f>IF(B24333=C24333, "YES", "WRONG")</f>
        <v/>
      </c>
    </row>
    <row r="24334">
      <c r="A24334" t="n">
        <v>24333</v>
      </c>
      <c r="B24334" t="inlineStr">
        <is>
          <t>x̄x̄MV̅CCCXXXIII</t>
        </is>
      </c>
      <c r="C24334">
        <f>ROMAN(24333)</f>
        <v/>
      </c>
      <c r="D24334">
        <f>IF(B24334=C24334, "YES", "WRONG")</f>
        <v/>
      </c>
    </row>
    <row r="24335">
      <c r="A24335" t="n">
        <v>24334</v>
      </c>
      <c r="B24335" t="inlineStr">
        <is>
          <t>x̄x̄MV̅CCCXXXIV</t>
        </is>
      </c>
      <c r="C24335">
        <f>ROMAN(24334)</f>
        <v/>
      </c>
      <c r="D24335">
        <f>IF(B24335=C24335, "YES", "WRONG")</f>
        <v/>
      </c>
    </row>
    <row r="24336">
      <c r="A24336" t="n">
        <v>24335</v>
      </c>
      <c r="B24336" t="inlineStr">
        <is>
          <t>x̄x̄MV̅CCCXXXV</t>
        </is>
      </c>
      <c r="C24336">
        <f>ROMAN(24335)</f>
        <v/>
      </c>
      <c r="D24336">
        <f>IF(B24336=C24336, "YES", "WRONG")</f>
        <v/>
      </c>
    </row>
    <row r="24337">
      <c r="A24337" t="n">
        <v>24336</v>
      </c>
      <c r="B24337" t="inlineStr">
        <is>
          <t>x̄x̄MV̅CCCXXXVI</t>
        </is>
      </c>
      <c r="C24337">
        <f>ROMAN(24336)</f>
        <v/>
      </c>
      <c r="D24337">
        <f>IF(B24337=C24337, "YES", "WRONG")</f>
        <v/>
      </c>
    </row>
    <row r="24338">
      <c r="A24338" t="n">
        <v>24337</v>
      </c>
      <c r="B24338" t="inlineStr">
        <is>
          <t>x̄x̄MV̅CCCXXXVII</t>
        </is>
      </c>
      <c r="C24338">
        <f>ROMAN(24337)</f>
        <v/>
      </c>
      <c r="D24338">
        <f>IF(B24338=C24338, "YES", "WRONG")</f>
        <v/>
      </c>
    </row>
    <row r="24339">
      <c r="A24339" t="n">
        <v>24338</v>
      </c>
      <c r="B24339" t="inlineStr">
        <is>
          <t>x̄x̄MV̅CCCXXXVIII</t>
        </is>
      </c>
      <c r="C24339">
        <f>ROMAN(24338)</f>
        <v/>
      </c>
      <c r="D24339">
        <f>IF(B24339=C24339, "YES", "WRONG")</f>
        <v/>
      </c>
    </row>
    <row r="24340">
      <c r="A24340" t="n">
        <v>24339</v>
      </c>
      <c r="B24340" t="inlineStr">
        <is>
          <t>x̄x̄MV̅CCCXXXIX</t>
        </is>
      </c>
      <c r="C24340">
        <f>ROMAN(24339)</f>
        <v/>
      </c>
      <c r="D24340">
        <f>IF(B24340=C24340, "YES", "WRONG")</f>
        <v/>
      </c>
    </row>
    <row r="24341">
      <c r="A24341" t="n">
        <v>24340</v>
      </c>
      <c r="B24341" t="inlineStr">
        <is>
          <t>x̄x̄MV̅CCCXL</t>
        </is>
      </c>
      <c r="C24341">
        <f>ROMAN(24340)</f>
        <v/>
      </c>
      <c r="D24341">
        <f>IF(B24341=C24341, "YES", "WRONG")</f>
        <v/>
      </c>
    </row>
    <row r="24342">
      <c r="A24342" t="n">
        <v>24341</v>
      </c>
      <c r="B24342" t="inlineStr">
        <is>
          <t>x̄x̄MV̅CCCXLI</t>
        </is>
      </c>
      <c r="C24342">
        <f>ROMAN(24341)</f>
        <v/>
      </c>
      <c r="D24342">
        <f>IF(B24342=C24342, "YES", "WRONG")</f>
        <v/>
      </c>
    </row>
    <row r="24343">
      <c r="A24343" t="n">
        <v>24342</v>
      </c>
      <c r="B24343" t="inlineStr">
        <is>
          <t>x̄x̄MV̅CCCXLII</t>
        </is>
      </c>
      <c r="C24343">
        <f>ROMAN(24342)</f>
        <v/>
      </c>
      <c r="D24343">
        <f>IF(B24343=C24343, "YES", "WRONG")</f>
        <v/>
      </c>
    </row>
    <row r="24344">
      <c r="A24344" t="n">
        <v>24343</v>
      </c>
      <c r="B24344" t="inlineStr">
        <is>
          <t>x̄x̄MV̅CCCXLIII</t>
        </is>
      </c>
      <c r="C24344">
        <f>ROMAN(24343)</f>
        <v/>
      </c>
      <c r="D24344">
        <f>IF(B24344=C24344, "YES", "WRONG")</f>
        <v/>
      </c>
    </row>
    <row r="24345">
      <c r="A24345" t="n">
        <v>24344</v>
      </c>
      <c r="B24345" t="inlineStr">
        <is>
          <t>x̄x̄MV̅CCCXLIV</t>
        </is>
      </c>
      <c r="C24345">
        <f>ROMAN(24344)</f>
        <v/>
      </c>
      <c r="D24345">
        <f>IF(B24345=C24345, "YES", "WRONG")</f>
        <v/>
      </c>
    </row>
    <row r="24346">
      <c r="A24346" t="n">
        <v>24345</v>
      </c>
      <c r="B24346" t="inlineStr">
        <is>
          <t>x̄x̄MV̅CCCXLV</t>
        </is>
      </c>
      <c r="C24346">
        <f>ROMAN(24345)</f>
        <v/>
      </c>
      <c r="D24346">
        <f>IF(B24346=C24346, "YES", "WRONG")</f>
        <v/>
      </c>
    </row>
    <row r="24347">
      <c r="A24347" t="n">
        <v>24346</v>
      </c>
      <c r="B24347" t="inlineStr">
        <is>
          <t>x̄x̄MV̅CCCXLVI</t>
        </is>
      </c>
      <c r="C24347">
        <f>ROMAN(24346)</f>
        <v/>
      </c>
      <c r="D24347">
        <f>IF(B24347=C24347, "YES", "WRONG")</f>
        <v/>
      </c>
    </row>
    <row r="24348">
      <c r="A24348" t="n">
        <v>24347</v>
      </c>
      <c r="B24348" t="inlineStr">
        <is>
          <t>x̄x̄MV̅CCCXLVII</t>
        </is>
      </c>
      <c r="C24348">
        <f>ROMAN(24347)</f>
        <v/>
      </c>
      <c r="D24348">
        <f>IF(B24348=C24348, "YES", "WRONG")</f>
        <v/>
      </c>
    </row>
    <row r="24349">
      <c r="A24349" t="n">
        <v>24348</v>
      </c>
      <c r="B24349" t="inlineStr">
        <is>
          <t>x̄x̄MV̅CCCXLVIII</t>
        </is>
      </c>
      <c r="C24349">
        <f>ROMAN(24348)</f>
        <v/>
      </c>
      <c r="D24349">
        <f>IF(B24349=C24349, "YES", "WRONG")</f>
        <v/>
      </c>
    </row>
    <row r="24350">
      <c r="A24350" t="n">
        <v>24349</v>
      </c>
      <c r="B24350" t="inlineStr">
        <is>
          <t>x̄x̄MV̅CCCXLIX</t>
        </is>
      </c>
      <c r="C24350">
        <f>ROMAN(24349)</f>
        <v/>
      </c>
      <c r="D24350">
        <f>IF(B24350=C24350, "YES", "WRONG")</f>
        <v/>
      </c>
    </row>
    <row r="24351">
      <c r="A24351" t="n">
        <v>24350</v>
      </c>
      <c r="B24351" t="inlineStr">
        <is>
          <t>x̄x̄MV̅CCCL</t>
        </is>
      </c>
      <c r="C24351">
        <f>ROMAN(24350)</f>
        <v/>
      </c>
      <c r="D24351">
        <f>IF(B24351=C24351, "YES", "WRONG")</f>
        <v/>
      </c>
    </row>
    <row r="24352">
      <c r="A24352" t="n">
        <v>24351</v>
      </c>
      <c r="B24352" t="inlineStr">
        <is>
          <t>x̄x̄MV̅CCCLI</t>
        </is>
      </c>
      <c r="C24352">
        <f>ROMAN(24351)</f>
        <v/>
      </c>
      <c r="D24352">
        <f>IF(B24352=C24352, "YES", "WRONG")</f>
        <v/>
      </c>
    </row>
    <row r="24353">
      <c r="A24353" t="n">
        <v>24352</v>
      </c>
      <c r="B24353" t="inlineStr">
        <is>
          <t>x̄x̄MV̅CCCLII</t>
        </is>
      </c>
      <c r="C24353">
        <f>ROMAN(24352)</f>
        <v/>
      </c>
      <c r="D24353">
        <f>IF(B24353=C24353, "YES", "WRONG")</f>
        <v/>
      </c>
    </row>
    <row r="24354">
      <c r="A24354" t="n">
        <v>24353</v>
      </c>
      <c r="B24354" t="inlineStr">
        <is>
          <t>x̄x̄MV̅CCCLIII</t>
        </is>
      </c>
      <c r="C24354">
        <f>ROMAN(24353)</f>
        <v/>
      </c>
      <c r="D24354">
        <f>IF(B24354=C24354, "YES", "WRONG")</f>
        <v/>
      </c>
    </row>
    <row r="24355">
      <c r="A24355" t="n">
        <v>24354</v>
      </c>
      <c r="B24355" t="inlineStr">
        <is>
          <t>x̄x̄MV̅CCCLIV</t>
        </is>
      </c>
      <c r="C24355">
        <f>ROMAN(24354)</f>
        <v/>
      </c>
      <c r="D24355">
        <f>IF(B24355=C24355, "YES", "WRONG")</f>
        <v/>
      </c>
    </row>
    <row r="24356">
      <c r="A24356" t="n">
        <v>24355</v>
      </c>
      <c r="B24356" t="inlineStr">
        <is>
          <t>x̄x̄MV̅CCCLV</t>
        </is>
      </c>
      <c r="C24356">
        <f>ROMAN(24355)</f>
        <v/>
      </c>
      <c r="D24356">
        <f>IF(B24356=C24356, "YES", "WRONG")</f>
        <v/>
      </c>
    </row>
    <row r="24357">
      <c r="A24357" t="n">
        <v>24356</v>
      </c>
      <c r="B24357" t="inlineStr">
        <is>
          <t>x̄x̄MV̅CCCLVI</t>
        </is>
      </c>
      <c r="C24357">
        <f>ROMAN(24356)</f>
        <v/>
      </c>
      <c r="D24357">
        <f>IF(B24357=C24357, "YES", "WRONG")</f>
        <v/>
      </c>
    </row>
    <row r="24358">
      <c r="A24358" t="n">
        <v>24357</v>
      </c>
      <c r="B24358" t="inlineStr">
        <is>
          <t>x̄x̄MV̅CCCLVII</t>
        </is>
      </c>
      <c r="C24358">
        <f>ROMAN(24357)</f>
        <v/>
      </c>
      <c r="D24358">
        <f>IF(B24358=C24358, "YES", "WRONG")</f>
        <v/>
      </c>
    </row>
    <row r="24359">
      <c r="A24359" t="n">
        <v>24358</v>
      </c>
      <c r="B24359" t="inlineStr">
        <is>
          <t>x̄x̄MV̅CCCLVIII</t>
        </is>
      </c>
      <c r="C24359">
        <f>ROMAN(24358)</f>
        <v/>
      </c>
      <c r="D24359">
        <f>IF(B24359=C24359, "YES", "WRONG")</f>
        <v/>
      </c>
    </row>
    <row r="24360">
      <c r="A24360" t="n">
        <v>24359</v>
      </c>
      <c r="B24360" t="inlineStr">
        <is>
          <t>x̄x̄MV̅CCCLIX</t>
        </is>
      </c>
      <c r="C24360">
        <f>ROMAN(24359)</f>
        <v/>
      </c>
      <c r="D24360">
        <f>IF(B24360=C24360, "YES", "WRONG")</f>
        <v/>
      </c>
    </row>
    <row r="24361">
      <c r="A24361" t="n">
        <v>24360</v>
      </c>
      <c r="B24361" t="inlineStr">
        <is>
          <t>x̄x̄MV̅CCCLX</t>
        </is>
      </c>
      <c r="C24361">
        <f>ROMAN(24360)</f>
        <v/>
      </c>
      <c r="D24361">
        <f>IF(B24361=C24361, "YES", "WRONG")</f>
        <v/>
      </c>
    </row>
    <row r="24362">
      <c r="A24362" t="n">
        <v>24361</v>
      </c>
      <c r="B24362" t="inlineStr">
        <is>
          <t>x̄x̄MV̅CCCLXI</t>
        </is>
      </c>
      <c r="C24362">
        <f>ROMAN(24361)</f>
        <v/>
      </c>
      <c r="D24362">
        <f>IF(B24362=C24362, "YES", "WRONG")</f>
        <v/>
      </c>
    </row>
    <row r="24363">
      <c r="A24363" t="n">
        <v>24362</v>
      </c>
      <c r="B24363" t="inlineStr">
        <is>
          <t>x̄x̄MV̅CCCLXII</t>
        </is>
      </c>
      <c r="C24363">
        <f>ROMAN(24362)</f>
        <v/>
      </c>
      <c r="D24363">
        <f>IF(B24363=C24363, "YES", "WRONG")</f>
        <v/>
      </c>
    </row>
    <row r="24364">
      <c r="A24364" t="n">
        <v>24363</v>
      </c>
      <c r="B24364" t="inlineStr">
        <is>
          <t>x̄x̄MV̅CCCLXIII</t>
        </is>
      </c>
      <c r="C24364">
        <f>ROMAN(24363)</f>
        <v/>
      </c>
      <c r="D24364">
        <f>IF(B24364=C24364, "YES", "WRONG")</f>
        <v/>
      </c>
    </row>
    <row r="24365">
      <c r="A24365" t="n">
        <v>24364</v>
      </c>
      <c r="B24365" t="inlineStr">
        <is>
          <t>x̄x̄MV̅CCCLXIV</t>
        </is>
      </c>
      <c r="C24365">
        <f>ROMAN(24364)</f>
        <v/>
      </c>
      <c r="D24365">
        <f>IF(B24365=C24365, "YES", "WRONG")</f>
        <v/>
      </c>
    </row>
    <row r="24366">
      <c r="A24366" t="n">
        <v>24365</v>
      </c>
      <c r="B24366" t="inlineStr">
        <is>
          <t>x̄x̄MV̅CCCLXV</t>
        </is>
      </c>
      <c r="C24366">
        <f>ROMAN(24365)</f>
        <v/>
      </c>
      <c r="D24366">
        <f>IF(B24366=C24366, "YES", "WRONG")</f>
        <v/>
      </c>
    </row>
    <row r="24367">
      <c r="A24367" t="n">
        <v>24366</v>
      </c>
      <c r="B24367" t="inlineStr">
        <is>
          <t>x̄x̄MV̅CCCLXVI</t>
        </is>
      </c>
      <c r="C24367">
        <f>ROMAN(24366)</f>
        <v/>
      </c>
      <c r="D24367">
        <f>IF(B24367=C24367, "YES", "WRONG")</f>
        <v/>
      </c>
    </row>
    <row r="24368">
      <c r="A24368" t="n">
        <v>24367</v>
      </c>
      <c r="B24368" t="inlineStr">
        <is>
          <t>x̄x̄MV̅CCCLXVII</t>
        </is>
      </c>
      <c r="C24368">
        <f>ROMAN(24367)</f>
        <v/>
      </c>
      <c r="D24368">
        <f>IF(B24368=C24368, "YES", "WRONG")</f>
        <v/>
      </c>
    </row>
    <row r="24369">
      <c r="A24369" t="n">
        <v>24368</v>
      </c>
      <c r="B24369" t="inlineStr">
        <is>
          <t>x̄x̄MV̅CCCLXVIII</t>
        </is>
      </c>
      <c r="C24369">
        <f>ROMAN(24368)</f>
        <v/>
      </c>
      <c r="D24369">
        <f>IF(B24369=C24369, "YES", "WRONG")</f>
        <v/>
      </c>
    </row>
    <row r="24370">
      <c r="A24370" t="n">
        <v>24369</v>
      </c>
      <c r="B24370" t="inlineStr">
        <is>
          <t>x̄x̄MV̅CCCLXIX</t>
        </is>
      </c>
      <c r="C24370">
        <f>ROMAN(24369)</f>
        <v/>
      </c>
      <c r="D24370">
        <f>IF(B24370=C24370, "YES", "WRONG")</f>
        <v/>
      </c>
    </row>
    <row r="24371">
      <c r="A24371" t="n">
        <v>24370</v>
      </c>
      <c r="B24371" t="inlineStr">
        <is>
          <t>x̄x̄MV̅CCCLXX</t>
        </is>
      </c>
      <c r="C24371">
        <f>ROMAN(24370)</f>
        <v/>
      </c>
      <c r="D24371">
        <f>IF(B24371=C24371, "YES", "WRONG")</f>
        <v/>
      </c>
    </row>
    <row r="24372">
      <c r="A24372" t="n">
        <v>24371</v>
      </c>
      <c r="B24372" t="inlineStr">
        <is>
          <t>x̄x̄MV̅CCCLXXI</t>
        </is>
      </c>
      <c r="C24372">
        <f>ROMAN(24371)</f>
        <v/>
      </c>
      <c r="D24372">
        <f>IF(B24372=C24372, "YES", "WRONG")</f>
        <v/>
      </c>
    </row>
    <row r="24373">
      <c r="A24373" t="n">
        <v>24372</v>
      </c>
      <c r="B24373" t="inlineStr">
        <is>
          <t>x̄x̄MV̅CCCLXXII</t>
        </is>
      </c>
      <c r="C24373">
        <f>ROMAN(24372)</f>
        <v/>
      </c>
      <c r="D24373">
        <f>IF(B24373=C24373, "YES", "WRONG")</f>
        <v/>
      </c>
    </row>
    <row r="24374">
      <c r="A24374" t="n">
        <v>24373</v>
      </c>
      <c r="B24374" t="inlineStr">
        <is>
          <t>x̄x̄MV̅CCCLXXIII</t>
        </is>
      </c>
      <c r="C24374">
        <f>ROMAN(24373)</f>
        <v/>
      </c>
      <c r="D24374">
        <f>IF(B24374=C24374, "YES", "WRONG")</f>
        <v/>
      </c>
    </row>
    <row r="24375">
      <c r="A24375" t="n">
        <v>24374</v>
      </c>
      <c r="B24375" t="inlineStr">
        <is>
          <t>x̄x̄MV̅CCCLXXIV</t>
        </is>
      </c>
      <c r="C24375">
        <f>ROMAN(24374)</f>
        <v/>
      </c>
      <c r="D24375">
        <f>IF(B24375=C24375, "YES", "WRONG")</f>
        <v/>
      </c>
    </row>
    <row r="24376">
      <c r="A24376" t="n">
        <v>24375</v>
      </c>
      <c r="B24376" t="inlineStr">
        <is>
          <t>x̄x̄MV̅CCCLXXV</t>
        </is>
      </c>
      <c r="C24376">
        <f>ROMAN(24375)</f>
        <v/>
      </c>
      <c r="D24376">
        <f>IF(B24376=C24376, "YES", "WRONG")</f>
        <v/>
      </c>
    </row>
    <row r="24377">
      <c r="A24377" t="n">
        <v>24376</v>
      </c>
      <c r="B24377" t="inlineStr">
        <is>
          <t>x̄x̄MV̅CCCLXXVI</t>
        </is>
      </c>
      <c r="C24377">
        <f>ROMAN(24376)</f>
        <v/>
      </c>
      <c r="D24377">
        <f>IF(B24377=C24377, "YES", "WRONG")</f>
        <v/>
      </c>
    </row>
    <row r="24378">
      <c r="A24378" t="n">
        <v>24377</v>
      </c>
      <c r="B24378" t="inlineStr">
        <is>
          <t>x̄x̄MV̅CCCLXXVII</t>
        </is>
      </c>
      <c r="C24378">
        <f>ROMAN(24377)</f>
        <v/>
      </c>
      <c r="D24378">
        <f>IF(B24378=C24378, "YES", "WRONG")</f>
        <v/>
      </c>
    </row>
    <row r="24379">
      <c r="A24379" t="n">
        <v>24378</v>
      </c>
      <c r="B24379" t="inlineStr">
        <is>
          <t>x̄x̄MV̅CCCLXXVIII</t>
        </is>
      </c>
      <c r="C24379">
        <f>ROMAN(24378)</f>
        <v/>
      </c>
      <c r="D24379">
        <f>IF(B24379=C24379, "YES", "WRONG")</f>
        <v/>
      </c>
    </row>
    <row r="24380">
      <c r="A24380" t="n">
        <v>24379</v>
      </c>
      <c r="B24380" t="inlineStr">
        <is>
          <t>x̄x̄MV̅CCCLXXIX</t>
        </is>
      </c>
      <c r="C24380">
        <f>ROMAN(24379)</f>
        <v/>
      </c>
      <c r="D24380">
        <f>IF(B24380=C24380, "YES", "WRONG")</f>
        <v/>
      </c>
    </row>
    <row r="24381">
      <c r="A24381" t="n">
        <v>24380</v>
      </c>
      <c r="B24381" t="inlineStr">
        <is>
          <t>x̄x̄MV̅CCCLXXX</t>
        </is>
      </c>
      <c r="C24381">
        <f>ROMAN(24380)</f>
        <v/>
      </c>
      <c r="D24381">
        <f>IF(B24381=C24381, "YES", "WRONG")</f>
        <v/>
      </c>
    </row>
    <row r="24382">
      <c r="A24382" t="n">
        <v>24381</v>
      </c>
      <c r="B24382" t="inlineStr">
        <is>
          <t>x̄x̄MV̅CCCLXXXI</t>
        </is>
      </c>
      <c r="C24382">
        <f>ROMAN(24381)</f>
        <v/>
      </c>
      <c r="D24382">
        <f>IF(B24382=C24382, "YES", "WRONG")</f>
        <v/>
      </c>
    </row>
    <row r="24383">
      <c r="A24383" t="n">
        <v>24382</v>
      </c>
      <c r="B24383" t="inlineStr">
        <is>
          <t>x̄x̄MV̅CCCLXXXII</t>
        </is>
      </c>
      <c r="C24383">
        <f>ROMAN(24382)</f>
        <v/>
      </c>
      <c r="D24383">
        <f>IF(B24383=C24383, "YES", "WRONG")</f>
        <v/>
      </c>
    </row>
    <row r="24384">
      <c r="A24384" t="n">
        <v>24383</v>
      </c>
      <c r="B24384" t="inlineStr">
        <is>
          <t>x̄x̄MV̅CCCLXXXIII</t>
        </is>
      </c>
      <c r="C24384">
        <f>ROMAN(24383)</f>
        <v/>
      </c>
      <c r="D24384">
        <f>IF(B24384=C24384, "YES", "WRONG")</f>
        <v/>
      </c>
    </row>
    <row r="24385">
      <c r="A24385" t="n">
        <v>24384</v>
      </c>
      <c r="B24385" t="inlineStr">
        <is>
          <t>x̄x̄MV̅CCCLXXXIV</t>
        </is>
      </c>
      <c r="C24385">
        <f>ROMAN(24384)</f>
        <v/>
      </c>
      <c r="D24385">
        <f>IF(B24385=C24385, "YES", "WRONG")</f>
        <v/>
      </c>
    </row>
    <row r="24386">
      <c r="A24386" t="n">
        <v>24385</v>
      </c>
      <c r="B24386" t="inlineStr">
        <is>
          <t>x̄x̄MV̅CCCLXXXV</t>
        </is>
      </c>
      <c r="C24386">
        <f>ROMAN(24385)</f>
        <v/>
      </c>
      <c r="D24386">
        <f>IF(B24386=C24386, "YES", "WRONG")</f>
        <v/>
      </c>
    </row>
    <row r="24387">
      <c r="A24387" t="n">
        <v>24386</v>
      </c>
      <c r="B24387" t="inlineStr">
        <is>
          <t>x̄x̄MV̅CCCLXXXVI</t>
        </is>
      </c>
      <c r="C24387">
        <f>ROMAN(24386)</f>
        <v/>
      </c>
      <c r="D24387">
        <f>IF(B24387=C24387, "YES", "WRONG")</f>
        <v/>
      </c>
    </row>
    <row r="24388">
      <c r="A24388" t="n">
        <v>24387</v>
      </c>
      <c r="B24388" t="inlineStr">
        <is>
          <t>x̄x̄MV̅CCCLXXXVII</t>
        </is>
      </c>
      <c r="C24388">
        <f>ROMAN(24387)</f>
        <v/>
      </c>
      <c r="D24388">
        <f>IF(B24388=C24388, "YES", "WRONG")</f>
        <v/>
      </c>
    </row>
    <row r="24389">
      <c r="A24389" t="n">
        <v>24388</v>
      </c>
      <c r="B24389" t="inlineStr">
        <is>
          <t>x̄x̄MV̅CCCLXXXVIII</t>
        </is>
      </c>
      <c r="C24389">
        <f>ROMAN(24388)</f>
        <v/>
      </c>
      <c r="D24389">
        <f>IF(B24389=C24389, "YES", "WRONG")</f>
        <v/>
      </c>
    </row>
    <row r="24390">
      <c r="A24390" t="n">
        <v>24389</v>
      </c>
      <c r="B24390" t="inlineStr">
        <is>
          <t>x̄x̄MV̅CCCLXXXIX</t>
        </is>
      </c>
      <c r="C24390">
        <f>ROMAN(24389)</f>
        <v/>
      </c>
      <c r="D24390">
        <f>IF(B24390=C24390, "YES", "WRONG")</f>
        <v/>
      </c>
    </row>
    <row r="24391">
      <c r="A24391" t="n">
        <v>24390</v>
      </c>
      <c r="B24391" t="inlineStr">
        <is>
          <t>x̄x̄MV̅CCCXC</t>
        </is>
      </c>
      <c r="C24391">
        <f>ROMAN(24390)</f>
        <v/>
      </c>
      <c r="D24391">
        <f>IF(B24391=C24391, "YES", "WRONG")</f>
        <v/>
      </c>
    </row>
    <row r="24392">
      <c r="A24392" t="n">
        <v>24391</v>
      </c>
      <c r="B24392" t="inlineStr">
        <is>
          <t>x̄x̄MV̅CCCXCI</t>
        </is>
      </c>
      <c r="C24392">
        <f>ROMAN(24391)</f>
        <v/>
      </c>
      <c r="D24392">
        <f>IF(B24392=C24392, "YES", "WRONG")</f>
        <v/>
      </c>
    </row>
    <row r="24393">
      <c r="A24393" t="n">
        <v>24392</v>
      </c>
      <c r="B24393" t="inlineStr">
        <is>
          <t>x̄x̄MV̅CCCXCII</t>
        </is>
      </c>
      <c r="C24393">
        <f>ROMAN(24392)</f>
        <v/>
      </c>
      <c r="D24393">
        <f>IF(B24393=C24393, "YES", "WRONG")</f>
        <v/>
      </c>
    </row>
    <row r="24394">
      <c r="A24394" t="n">
        <v>24393</v>
      </c>
      <c r="B24394" t="inlineStr">
        <is>
          <t>x̄x̄MV̅CCCXCIII</t>
        </is>
      </c>
      <c r="C24394">
        <f>ROMAN(24393)</f>
        <v/>
      </c>
      <c r="D24394">
        <f>IF(B24394=C24394, "YES", "WRONG")</f>
        <v/>
      </c>
    </row>
    <row r="24395">
      <c r="A24395" t="n">
        <v>24394</v>
      </c>
      <c r="B24395" t="inlineStr">
        <is>
          <t>x̄x̄MV̅CCCXCIV</t>
        </is>
      </c>
      <c r="C24395">
        <f>ROMAN(24394)</f>
        <v/>
      </c>
      <c r="D24395">
        <f>IF(B24395=C24395, "YES", "WRONG")</f>
        <v/>
      </c>
    </row>
    <row r="24396">
      <c r="A24396" t="n">
        <v>24395</v>
      </c>
      <c r="B24396" t="inlineStr">
        <is>
          <t>x̄x̄MV̅CCCXCV</t>
        </is>
      </c>
      <c r="C24396">
        <f>ROMAN(24395)</f>
        <v/>
      </c>
      <c r="D24396">
        <f>IF(B24396=C24396, "YES", "WRONG")</f>
        <v/>
      </c>
    </row>
    <row r="24397">
      <c r="A24397" t="n">
        <v>24396</v>
      </c>
      <c r="B24397" t="inlineStr">
        <is>
          <t>x̄x̄MV̅CCCXCVI</t>
        </is>
      </c>
      <c r="C24397">
        <f>ROMAN(24396)</f>
        <v/>
      </c>
      <c r="D24397">
        <f>IF(B24397=C24397, "YES", "WRONG")</f>
        <v/>
      </c>
    </row>
    <row r="24398">
      <c r="A24398" t="n">
        <v>24397</v>
      </c>
      <c r="B24398" t="inlineStr">
        <is>
          <t>x̄x̄MV̅CCCXCVII</t>
        </is>
      </c>
      <c r="C24398">
        <f>ROMAN(24397)</f>
        <v/>
      </c>
      <c r="D24398">
        <f>IF(B24398=C24398, "YES", "WRONG")</f>
        <v/>
      </c>
    </row>
    <row r="24399">
      <c r="A24399" t="n">
        <v>24398</v>
      </c>
      <c r="B24399" t="inlineStr">
        <is>
          <t>x̄x̄MV̅CCCXCVIII</t>
        </is>
      </c>
      <c r="C24399">
        <f>ROMAN(24398)</f>
        <v/>
      </c>
      <c r="D24399">
        <f>IF(B24399=C24399, "YES", "WRONG")</f>
        <v/>
      </c>
    </row>
    <row r="24400">
      <c r="A24400" t="n">
        <v>24399</v>
      </c>
      <c r="B24400" t="inlineStr">
        <is>
          <t>x̄x̄MV̅CCCXCIX</t>
        </is>
      </c>
      <c r="C24400">
        <f>ROMAN(24399)</f>
        <v/>
      </c>
      <c r="D24400">
        <f>IF(B24400=C24400, "YES", "WRONG")</f>
        <v/>
      </c>
    </row>
    <row r="24401">
      <c r="A24401" t="n">
        <v>24400</v>
      </c>
      <c r="B24401" t="inlineStr">
        <is>
          <t>x̄x̄MV̅CD</t>
        </is>
      </c>
      <c r="C24401">
        <f>ROMAN(24400)</f>
        <v/>
      </c>
      <c r="D24401">
        <f>IF(B24401=C24401, "YES", "WRONG")</f>
        <v/>
      </c>
    </row>
    <row r="24402">
      <c r="A24402" t="n">
        <v>24401</v>
      </c>
      <c r="B24402" t="inlineStr">
        <is>
          <t>x̄x̄MV̅CDI</t>
        </is>
      </c>
      <c r="C24402">
        <f>ROMAN(24401)</f>
        <v/>
      </c>
      <c r="D24402">
        <f>IF(B24402=C24402, "YES", "WRONG")</f>
        <v/>
      </c>
    </row>
    <row r="24403">
      <c r="A24403" t="n">
        <v>24402</v>
      </c>
      <c r="B24403" t="inlineStr">
        <is>
          <t>x̄x̄MV̅CDII</t>
        </is>
      </c>
      <c r="C24403">
        <f>ROMAN(24402)</f>
        <v/>
      </c>
      <c r="D24403">
        <f>IF(B24403=C24403, "YES", "WRONG")</f>
        <v/>
      </c>
    </row>
    <row r="24404">
      <c r="A24404" t="n">
        <v>24403</v>
      </c>
      <c r="B24404" t="inlineStr">
        <is>
          <t>x̄x̄MV̅CDIII</t>
        </is>
      </c>
      <c r="C24404">
        <f>ROMAN(24403)</f>
        <v/>
      </c>
      <c r="D24404">
        <f>IF(B24404=C24404, "YES", "WRONG")</f>
        <v/>
      </c>
    </row>
    <row r="24405">
      <c r="A24405" t="n">
        <v>24404</v>
      </c>
      <c r="B24405" t="inlineStr">
        <is>
          <t>x̄x̄MV̅CDIV</t>
        </is>
      </c>
      <c r="C24405">
        <f>ROMAN(24404)</f>
        <v/>
      </c>
      <c r="D24405">
        <f>IF(B24405=C24405, "YES", "WRONG")</f>
        <v/>
      </c>
    </row>
    <row r="24406">
      <c r="A24406" t="n">
        <v>24405</v>
      </c>
      <c r="B24406" t="inlineStr">
        <is>
          <t>x̄x̄MV̅CDV</t>
        </is>
      </c>
      <c r="C24406">
        <f>ROMAN(24405)</f>
        <v/>
      </c>
      <c r="D24406">
        <f>IF(B24406=C24406, "YES", "WRONG")</f>
        <v/>
      </c>
    </row>
    <row r="24407">
      <c r="A24407" t="n">
        <v>24406</v>
      </c>
      <c r="B24407" t="inlineStr">
        <is>
          <t>x̄x̄MV̅CDVI</t>
        </is>
      </c>
      <c r="C24407">
        <f>ROMAN(24406)</f>
        <v/>
      </c>
      <c r="D24407">
        <f>IF(B24407=C24407, "YES", "WRONG")</f>
        <v/>
      </c>
    </row>
    <row r="24408">
      <c r="A24408" t="n">
        <v>24407</v>
      </c>
      <c r="B24408" t="inlineStr">
        <is>
          <t>x̄x̄MV̅CDVII</t>
        </is>
      </c>
      <c r="C24408">
        <f>ROMAN(24407)</f>
        <v/>
      </c>
      <c r="D24408">
        <f>IF(B24408=C24408, "YES", "WRONG")</f>
        <v/>
      </c>
    </row>
    <row r="24409">
      <c r="A24409" t="n">
        <v>24408</v>
      </c>
      <c r="B24409" t="inlineStr">
        <is>
          <t>x̄x̄MV̅CDVIII</t>
        </is>
      </c>
      <c r="C24409">
        <f>ROMAN(24408)</f>
        <v/>
      </c>
      <c r="D24409">
        <f>IF(B24409=C24409, "YES", "WRONG")</f>
        <v/>
      </c>
    </row>
    <row r="24410">
      <c r="A24410" t="n">
        <v>24409</v>
      </c>
      <c r="B24410" t="inlineStr">
        <is>
          <t>x̄x̄MV̅CDIX</t>
        </is>
      </c>
      <c r="C24410">
        <f>ROMAN(24409)</f>
        <v/>
      </c>
      <c r="D24410">
        <f>IF(B24410=C24410, "YES", "WRONG")</f>
        <v/>
      </c>
    </row>
    <row r="24411">
      <c r="A24411" t="n">
        <v>24410</v>
      </c>
      <c r="B24411" t="inlineStr">
        <is>
          <t>x̄x̄MV̅CDX</t>
        </is>
      </c>
      <c r="C24411">
        <f>ROMAN(24410)</f>
        <v/>
      </c>
      <c r="D24411">
        <f>IF(B24411=C24411, "YES", "WRONG")</f>
        <v/>
      </c>
    </row>
    <row r="24412">
      <c r="A24412" t="n">
        <v>24411</v>
      </c>
      <c r="B24412" t="inlineStr">
        <is>
          <t>x̄x̄MV̅CDXI</t>
        </is>
      </c>
      <c r="C24412">
        <f>ROMAN(24411)</f>
        <v/>
      </c>
      <c r="D24412">
        <f>IF(B24412=C24412, "YES", "WRONG")</f>
        <v/>
      </c>
    </row>
    <row r="24413">
      <c r="A24413" t="n">
        <v>24412</v>
      </c>
      <c r="B24413" t="inlineStr">
        <is>
          <t>x̄x̄MV̅CDXII</t>
        </is>
      </c>
      <c r="C24413">
        <f>ROMAN(24412)</f>
        <v/>
      </c>
      <c r="D24413">
        <f>IF(B24413=C24413, "YES", "WRONG")</f>
        <v/>
      </c>
    </row>
    <row r="24414">
      <c r="A24414" t="n">
        <v>24413</v>
      </c>
      <c r="B24414" t="inlineStr">
        <is>
          <t>x̄x̄MV̅CDXIII</t>
        </is>
      </c>
      <c r="C24414">
        <f>ROMAN(24413)</f>
        <v/>
      </c>
      <c r="D24414">
        <f>IF(B24414=C24414, "YES", "WRONG")</f>
        <v/>
      </c>
    </row>
    <row r="24415">
      <c r="A24415" t="n">
        <v>24414</v>
      </c>
      <c r="B24415" t="inlineStr">
        <is>
          <t>x̄x̄MV̅CDXIV</t>
        </is>
      </c>
      <c r="C24415">
        <f>ROMAN(24414)</f>
        <v/>
      </c>
      <c r="D24415">
        <f>IF(B24415=C24415, "YES", "WRONG")</f>
        <v/>
      </c>
    </row>
    <row r="24416">
      <c r="A24416" t="n">
        <v>24415</v>
      </c>
      <c r="B24416" t="inlineStr">
        <is>
          <t>x̄x̄MV̅CDXV</t>
        </is>
      </c>
      <c r="C24416">
        <f>ROMAN(24415)</f>
        <v/>
      </c>
      <c r="D24416">
        <f>IF(B24416=C24416, "YES", "WRONG")</f>
        <v/>
      </c>
    </row>
    <row r="24417">
      <c r="A24417" t="n">
        <v>24416</v>
      </c>
      <c r="B24417" t="inlineStr">
        <is>
          <t>x̄x̄MV̅CDXVI</t>
        </is>
      </c>
      <c r="C24417">
        <f>ROMAN(24416)</f>
        <v/>
      </c>
      <c r="D24417">
        <f>IF(B24417=C24417, "YES", "WRONG")</f>
        <v/>
      </c>
    </row>
    <row r="24418">
      <c r="A24418" t="n">
        <v>24417</v>
      </c>
      <c r="B24418" t="inlineStr">
        <is>
          <t>x̄x̄MV̅CDXVII</t>
        </is>
      </c>
      <c r="C24418">
        <f>ROMAN(24417)</f>
        <v/>
      </c>
      <c r="D24418">
        <f>IF(B24418=C24418, "YES", "WRONG")</f>
        <v/>
      </c>
    </row>
    <row r="24419">
      <c r="A24419" t="n">
        <v>24418</v>
      </c>
      <c r="B24419" t="inlineStr">
        <is>
          <t>x̄x̄MV̅CDXVIII</t>
        </is>
      </c>
      <c r="C24419">
        <f>ROMAN(24418)</f>
        <v/>
      </c>
      <c r="D24419">
        <f>IF(B24419=C24419, "YES", "WRONG")</f>
        <v/>
      </c>
    </row>
    <row r="24420">
      <c r="A24420" t="n">
        <v>24419</v>
      </c>
      <c r="B24420" t="inlineStr">
        <is>
          <t>x̄x̄MV̅CDXIX</t>
        </is>
      </c>
      <c r="C24420">
        <f>ROMAN(24419)</f>
        <v/>
      </c>
      <c r="D24420">
        <f>IF(B24420=C24420, "YES", "WRONG")</f>
        <v/>
      </c>
    </row>
    <row r="24421">
      <c r="A24421" t="n">
        <v>24420</v>
      </c>
      <c r="B24421" t="inlineStr">
        <is>
          <t>x̄x̄MV̅CDXX</t>
        </is>
      </c>
      <c r="C24421">
        <f>ROMAN(24420)</f>
        <v/>
      </c>
      <c r="D24421">
        <f>IF(B24421=C24421, "YES", "WRONG")</f>
        <v/>
      </c>
    </row>
    <row r="24422">
      <c r="A24422" t="n">
        <v>24421</v>
      </c>
      <c r="B24422" t="inlineStr">
        <is>
          <t>x̄x̄MV̅CDXXI</t>
        </is>
      </c>
      <c r="C24422">
        <f>ROMAN(24421)</f>
        <v/>
      </c>
      <c r="D24422">
        <f>IF(B24422=C24422, "YES", "WRONG")</f>
        <v/>
      </c>
    </row>
    <row r="24423">
      <c r="A24423" t="n">
        <v>24422</v>
      </c>
      <c r="B24423" t="inlineStr">
        <is>
          <t>x̄x̄MV̅CDXXII</t>
        </is>
      </c>
      <c r="C24423">
        <f>ROMAN(24422)</f>
        <v/>
      </c>
      <c r="D24423">
        <f>IF(B24423=C24423, "YES", "WRONG")</f>
        <v/>
      </c>
    </row>
    <row r="24424">
      <c r="A24424" t="n">
        <v>24423</v>
      </c>
      <c r="B24424" t="inlineStr">
        <is>
          <t>x̄x̄MV̅CDXXIII</t>
        </is>
      </c>
      <c r="C24424">
        <f>ROMAN(24423)</f>
        <v/>
      </c>
      <c r="D24424">
        <f>IF(B24424=C24424, "YES", "WRONG")</f>
        <v/>
      </c>
    </row>
    <row r="24425">
      <c r="A24425" t="n">
        <v>24424</v>
      </c>
      <c r="B24425" t="inlineStr">
        <is>
          <t>x̄x̄MV̅CDXXIV</t>
        </is>
      </c>
      <c r="C24425">
        <f>ROMAN(24424)</f>
        <v/>
      </c>
      <c r="D24425">
        <f>IF(B24425=C24425, "YES", "WRONG")</f>
        <v/>
      </c>
    </row>
    <row r="24426">
      <c r="A24426" t="n">
        <v>24425</v>
      </c>
      <c r="B24426" t="inlineStr">
        <is>
          <t>x̄x̄MV̅CDXXV</t>
        </is>
      </c>
      <c r="C24426">
        <f>ROMAN(24425)</f>
        <v/>
      </c>
      <c r="D24426">
        <f>IF(B24426=C24426, "YES", "WRONG")</f>
        <v/>
      </c>
    </row>
    <row r="24427">
      <c r="A24427" t="n">
        <v>24426</v>
      </c>
      <c r="B24427" t="inlineStr">
        <is>
          <t>x̄x̄MV̅CDXXVI</t>
        </is>
      </c>
      <c r="C24427">
        <f>ROMAN(24426)</f>
        <v/>
      </c>
      <c r="D24427">
        <f>IF(B24427=C24427, "YES", "WRONG")</f>
        <v/>
      </c>
    </row>
    <row r="24428">
      <c r="A24428" t="n">
        <v>24427</v>
      </c>
      <c r="B24428" t="inlineStr">
        <is>
          <t>x̄x̄MV̅CDXXVII</t>
        </is>
      </c>
      <c r="C24428">
        <f>ROMAN(24427)</f>
        <v/>
      </c>
      <c r="D24428">
        <f>IF(B24428=C24428, "YES", "WRONG")</f>
        <v/>
      </c>
    </row>
    <row r="24429">
      <c r="A24429" t="n">
        <v>24428</v>
      </c>
      <c r="B24429" t="inlineStr">
        <is>
          <t>x̄x̄MV̅CDXXVIII</t>
        </is>
      </c>
      <c r="C24429">
        <f>ROMAN(24428)</f>
        <v/>
      </c>
      <c r="D24429">
        <f>IF(B24429=C24429, "YES", "WRONG")</f>
        <v/>
      </c>
    </row>
    <row r="24430">
      <c r="A24430" t="n">
        <v>24429</v>
      </c>
      <c r="B24430" t="inlineStr">
        <is>
          <t>x̄x̄MV̅CDXXIX</t>
        </is>
      </c>
      <c r="C24430">
        <f>ROMAN(24429)</f>
        <v/>
      </c>
      <c r="D24430">
        <f>IF(B24430=C24430, "YES", "WRONG")</f>
        <v/>
      </c>
    </row>
    <row r="24431">
      <c r="A24431" t="n">
        <v>24430</v>
      </c>
      <c r="B24431" t="inlineStr">
        <is>
          <t>x̄x̄MV̅CDXXX</t>
        </is>
      </c>
      <c r="C24431">
        <f>ROMAN(24430)</f>
        <v/>
      </c>
      <c r="D24431">
        <f>IF(B24431=C24431, "YES", "WRONG")</f>
        <v/>
      </c>
    </row>
    <row r="24432">
      <c r="A24432" t="n">
        <v>24431</v>
      </c>
      <c r="B24432" t="inlineStr">
        <is>
          <t>x̄x̄MV̅CDXXXI</t>
        </is>
      </c>
      <c r="C24432">
        <f>ROMAN(24431)</f>
        <v/>
      </c>
      <c r="D24432">
        <f>IF(B24432=C24432, "YES", "WRONG")</f>
        <v/>
      </c>
    </row>
    <row r="24433">
      <c r="A24433" t="n">
        <v>24432</v>
      </c>
      <c r="B24433" t="inlineStr">
        <is>
          <t>x̄x̄MV̅CDXXXII</t>
        </is>
      </c>
      <c r="C24433">
        <f>ROMAN(24432)</f>
        <v/>
      </c>
      <c r="D24433">
        <f>IF(B24433=C24433, "YES", "WRONG")</f>
        <v/>
      </c>
    </row>
    <row r="24434">
      <c r="A24434" t="n">
        <v>24433</v>
      </c>
      <c r="B24434" t="inlineStr">
        <is>
          <t>x̄x̄MV̅CDXXXIII</t>
        </is>
      </c>
      <c r="C24434">
        <f>ROMAN(24433)</f>
        <v/>
      </c>
      <c r="D24434">
        <f>IF(B24434=C24434, "YES", "WRONG")</f>
        <v/>
      </c>
    </row>
    <row r="24435">
      <c r="A24435" t="n">
        <v>24434</v>
      </c>
      <c r="B24435" t="inlineStr">
        <is>
          <t>x̄x̄MV̅CDXXXIV</t>
        </is>
      </c>
      <c r="C24435">
        <f>ROMAN(24434)</f>
        <v/>
      </c>
      <c r="D24435">
        <f>IF(B24435=C24435, "YES", "WRONG")</f>
        <v/>
      </c>
    </row>
    <row r="24436">
      <c r="A24436" t="n">
        <v>24435</v>
      </c>
      <c r="B24436" t="inlineStr">
        <is>
          <t>x̄x̄MV̅CDXXXV</t>
        </is>
      </c>
      <c r="C24436">
        <f>ROMAN(24435)</f>
        <v/>
      </c>
      <c r="D24436">
        <f>IF(B24436=C24436, "YES", "WRONG")</f>
        <v/>
      </c>
    </row>
    <row r="24437">
      <c r="A24437" t="n">
        <v>24436</v>
      </c>
      <c r="B24437" t="inlineStr">
        <is>
          <t>x̄x̄MV̅CDXXXVI</t>
        </is>
      </c>
      <c r="C24437">
        <f>ROMAN(24436)</f>
        <v/>
      </c>
      <c r="D24437">
        <f>IF(B24437=C24437, "YES", "WRONG")</f>
        <v/>
      </c>
    </row>
    <row r="24438">
      <c r="A24438" t="n">
        <v>24437</v>
      </c>
      <c r="B24438" t="inlineStr">
        <is>
          <t>x̄x̄MV̅CDXXXVII</t>
        </is>
      </c>
      <c r="C24438">
        <f>ROMAN(24437)</f>
        <v/>
      </c>
      <c r="D24438">
        <f>IF(B24438=C24438, "YES", "WRONG")</f>
        <v/>
      </c>
    </row>
    <row r="24439">
      <c r="A24439" t="n">
        <v>24438</v>
      </c>
      <c r="B24439" t="inlineStr">
        <is>
          <t>x̄x̄MV̅CDXXXVIII</t>
        </is>
      </c>
      <c r="C24439">
        <f>ROMAN(24438)</f>
        <v/>
      </c>
      <c r="D24439">
        <f>IF(B24439=C24439, "YES", "WRONG")</f>
        <v/>
      </c>
    </row>
    <row r="24440">
      <c r="A24440" t="n">
        <v>24439</v>
      </c>
      <c r="B24440" t="inlineStr">
        <is>
          <t>x̄x̄MV̅CDXXXIX</t>
        </is>
      </c>
      <c r="C24440">
        <f>ROMAN(24439)</f>
        <v/>
      </c>
      <c r="D24440">
        <f>IF(B24440=C24440, "YES", "WRONG")</f>
        <v/>
      </c>
    </row>
    <row r="24441">
      <c r="A24441" t="n">
        <v>24440</v>
      </c>
      <c r="B24441" t="inlineStr">
        <is>
          <t>x̄x̄MV̅CDXL</t>
        </is>
      </c>
      <c r="C24441">
        <f>ROMAN(24440)</f>
        <v/>
      </c>
      <c r="D24441">
        <f>IF(B24441=C24441, "YES", "WRONG")</f>
        <v/>
      </c>
    </row>
    <row r="24442">
      <c r="A24442" t="n">
        <v>24441</v>
      </c>
      <c r="B24442" t="inlineStr">
        <is>
          <t>x̄x̄MV̅CDXLI</t>
        </is>
      </c>
      <c r="C24442">
        <f>ROMAN(24441)</f>
        <v/>
      </c>
      <c r="D24442">
        <f>IF(B24442=C24442, "YES", "WRONG")</f>
        <v/>
      </c>
    </row>
    <row r="24443">
      <c r="A24443" t="n">
        <v>24442</v>
      </c>
      <c r="B24443" t="inlineStr">
        <is>
          <t>x̄x̄MV̅CDXLII</t>
        </is>
      </c>
      <c r="C24443">
        <f>ROMAN(24442)</f>
        <v/>
      </c>
      <c r="D24443">
        <f>IF(B24443=C24443, "YES", "WRONG")</f>
        <v/>
      </c>
    </row>
    <row r="24444">
      <c r="A24444" t="n">
        <v>24443</v>
      </c>
      <c r="B24444" t="inlineStr">
        <is>
          <t>x̄x̄MV̅CDXLIII</t>
        </is>
      </c>
      <c r="C24444">
        <f>ROMAN(24443)</f>
        <v/>
      </c>
      <c r="D24444">
        <f>IF(B24444=C24444, "YES", "WRONG")</f>
        <v/>
      </c>
    </row>
    <row r="24445">
      <c r="A24445" t="n">
        <v>24444</v>
      </c>
      <c r="B24445" t="inlineStr">
        <is>
          <t>x̄x̄MV̅CDXLIV</t>
        </is>
      </c>
      <c r="C24445">
        <f>ROMAN(24444)</f>
        <v/>
      </c>
      <c r="D24445">
        <f>IF(B24445=C24445, "YES", "WRONG")</f>
        <v/>
      </c>
    </row>
    <row r="24446">
      <c r="A24446" t="n">
        <v>24445</v>
      </c>
      <c r="B24446" t="inlineStr">
        <is>
          <t>x̄x̄MV̅CDXLV</t>
        </is>
      </c>
      <c r="C24446">
        <f>ROMAN(24445)</f>
        <v/>
      </c>
      <c r="D24446">
        <f>IF(B24446=C24446, "YES", "WRONG")</f>
        <v/>
      </c>
    </row>
    <row r="24447">
      <c r="A24447" t="n">
        <v>24446</v>
      </c>
      <c r="B24447" t="inlineStr">
        <is>
          <t>x̄x̄MV̅CDXLVI</t>
        </is>
      </c>
      <c r="C24447">
        <f>ROMAN(24446)</f>
        <v/>
      </c>
      <c r="D24447">
        <f>IF(B24447=C24447, "YES", "WRONG")</f>
        <v/>
      </c>
    </row>
    <row r="24448">
      <c r="A24448" t="n">
        <v>24447</v>
      </c>
      <c r="B24448" t="inlineStr">
        <is>
          <t>x̄x̄MV̅CDXLVII</t>
        </is>
      </c>
      <c r="C24448">
        <f>ROMAN(24447)</f>
        <v/>
      </c>
      <c r="D24448">
        <f>IF(B24448=C24448, "YES", "WRONG")</f>
        <v/>
      </c>
    </row>
    <row r="24449">
      <c r="A24449" t="n">
        <v>24448</v>
      </c>
      <c r="B24449" t="inlineStr">
        <is>
          <t>x̄x̄MV̅CDXLVIII</t>
        </is>
      </c>
      <c r="C24449">
        <f>ROMAN(24448)</f>
        <v/>
      </c>
      <c r="D24449">
        <f>IF(B24449=C24449, "YES", "WRONG")</f>
        <v/>
      </c>
    </row>
    <row r="24450">
      <c r="A24450" t="n">
        <v>24449</v>
      </c>
      <c r="B24450" t="inlineStr">
        <is>
          <t>x̄x̄MV̅CDXLIX</t>
        </is>
      </c>
      <c r="C24450">
        <f>ROMAN(24449)</f>
        <v/>
      </c>
      <c r="D24450">
        <f>IF(B24450=C24450, "YES", "WRONG")</f>
        <v/>
      </c>
    </row>
    <row r="24451">
      <c r="A24451" t="n">
        <v>24450</v>
      </c>
      <c r="B24451" t="inlineStr">
        <is>
          <t>x̄x̄MV̅CDL</t>
        </is>
      </c>
      <c r="C24451">
        <f>ROMAN(24450)</f>
        <v/>
      </c>
      <c r="D24451">
        <f>IF(B24451=C24451, "YES", "WRONG")</f>
        <v/>
      </c>
    </row>
    <row r="24452">
      <c r="A24452" t="n">
        <v>24451</v>
      </c>
      <c r="B24452" t="inlineStr">
        <is>
          <t>x̄x̄MV̅CDLI</t>
        </is>
      </c>
      <c r="C24452">
        <f>ROMAN(24451)</f>
        <v/>
      </c>
      <c r="D24452">
        <f>IF(B24452=C24452, "YES", "WRONG")</f>
        <v/>
      </c>
    </row>
    <row r="24453">
      <c r="A24453" t="n">
        <v>24452</v>
      </c>
      <c r="B24453" t="inlineStr">
        <is>
          <t>x̄x̄MV̅CDLII</t>
        </is>
      </c>
      <c r="C24453">
        <f>ROMAN(24452)</f>
        <v/>
      </c>
      <c r="D24453">
        <f>IF(B24453=C24453, "YES", "WRONG")</f>
        <v/>
      </c>
    </row>
    <row r="24454">
      <c r="A24454" t="n">
        <v>24453</v>
      </c>
      <c r="B24454" t="inlineStr">
        <is>
          <t>x̄x̄MV̅CDLIII</t>
        </is>
      </c>
      <c r="C24454">
        <f>ROMAN(24453)</f>
        <v/>
      </c>
      <c r="D24454">
        <f>IF(B24454=C24454, "YES", "WRONG")</f>
        <v/>
      </c>
    </row>
    <row r="24455">
      <c r="A24455" t="n">
        <v>24454</v>
      </c>
      <c r="B24455" t="inlineStr">
        <is>
          <t>x̄x̄MV̅CDLIV</t>
        </is>
      </c>
      <c r="C24455">
        <f>ROMAN(24454)</f>
        <v/>
      </c>
      <c r="D24455">
        <f>IF(B24455=C24455, "YES", "WRONG")</f>
        <v/>
      </c>
    </row>
    <row r="24456">
      <c r="A24456" t="n">
        <v>24455</v>
      </c>
      <c r="B24456" t="inlineStr">
        <is>
          <t>x̄x̄MV̅CDLV</t>
        </is>
      </c>
      <c r="C24456">
        <f>ROMAN(24455)</f>
        <v/>
      </c>
      <c r="D24456">
        <f>IF(B24456=C24456, "YES", "WRONG")</f>
        <v/>
      </c>
    </row>
    <row r="24457">
      <c r="A24457" t="n">
        <v>24456</v>
      </c>
      <c r="B24457" t="inlineStr">
        <is>
          <t>x̄x̄MV̅CDLVI</t>
        </is>
      </c>
      <c r="C24457">
        <f>ROMAN(24456)</f>
        <v/>
      </c>
      <c r="D24457">
        <f>IF(B24457=C24457, "YES", "WRONG")</f>
        <v/>
      </c>
    </row>
    <row r="24458">
      <c r="A24458" t="n">
        <v>24457</v>
      </c>
      <c r="B24458" t="inlineStr">
        <is>
          <t>x̄x̄MV̅CDLVII</t>
        </is>
      </c>
      <c r="C24458">
        <f>ROMAN(24457)</f>
        <v/>
      </c>
      <c r="D24458">
        <f>IF(B24458=C24458, "YES", "WRONG")</f>
        <v/>
      </c>
    </row>
    <row r="24459">
      <c r="A24459" t="n">
        <v>24458</v>
      </c>
      <c r="B24459" t="inlineStr">
        <is>
          <t>x̄x̄MV̅CDLVIII</t>
        </is>
      </c>
      <c r="C24459">
        <f>ROMAN(24458)</f>
        <v/>
      </c>
      <c r="D24459">
        <f>IF(B24459=C24459, "YES", "WRONG")</f>
        <v/>
      </c>
    </row>
    <row r="24460">
      <c r="A24460" t="n">
        <v>24459</v>
      </c>
      <c r="B24460" t="inlineStr">
        <is>
          <t>x̄x̄MV̅CDLIX</t>
        </is>
      </c>
      <c r="C24460">
        <f>ROMAN(24459)</f>
        <v/>
      </c>
      <c r="D24460">
        <f>IF(B24460=C24460, "YES", "WRONG")</f>
        <v/>
      </c>
    </row>
    <row r="24461">
      <c r="A24461" t="n">
        <v>24460</v>
      </c>
      <c r="B24461" t="inlineStr">
        <is>
          <t>x̄x̄MV̅CDLX</t>
        </is>
      </c>
      <c r="C24461">
        <f>ROMAN(24460)</f>
        <v/>
      </c>
      <c r="D24461">
        <f>IF(B24461=C24461, "YES", "WRONG")</f>
        <v/>
      </c>
    </row>
    <row r="24462">
      <c r="A24462" t="n">
        <v>24461</v>
      </c>
      <c r="B24462" t="inlineStr">
        <is>
          <t>x̄x̄MV̅CDLXI</t>
        </is>
      </c>
      <c r="C24462">
        <f>ROMAN(24461)</f>
        <v/>
      </c>
      <c r="D24462">
        <f>IF(B24462=C24462, "YES", "WRONG")</f>
        <v/>
      </c>
    </row>
    <row r="24463">
      <c r="A24463" t="n">
        <v>24462</v>
      </c>
      <c r="B24463" t="inlineStr">
        <is>
          <t>x̄x̄MV̅CDLXII</t>
        </is>
      </c>
      <c r="C24463">
        <f>ROMAN(24462)</f>
        <v/>
      </c>
      <c r="D24463">
        <f>IF(B24463=C24463, "YES", "WRONG")</f>
        <v/>
      </c>
    </row>
    <row r="24464">
      <c r="A24464" t="n">
        <v>24463</v>
      </c>
      <c r="B24464" t="inlineStr">
        <is>
          <t>x̄x̄MV̅CDLXIII</t>
        </is>
      </c>
      <c r="C24464">
        <f>ROMAN(24463)</f>
        <v/>
      </c>
      <c r="D24464">
        <f>IF(B24464=C24464, "YES", "WRONG")</f>
        <v/>
      </c>
    </row>
    <row r="24465">
      <c r="A24465" t="n">
        <v>24464</v>
      </c>
      <c r="B24465" t="inlineStr">
        <is>
          <t>x̄x̄MV̅CDLXIV</t>
        </is>
      </c>
      <c r="C24465">
        <f>ROMAN(24464)</f>
        <v/>
      </c>
      <c r="D24465">
        <f>IF(B24465=C24465, "YES", "WRONG")</f>
        <v/>
      </c>
    </row>
    <row r="24466">
      <c r="A24466" t="n">
        <v>24465</v>
      </c>
      <c r="B24466" t="inlineStr">
        <is>
          <t>x̄x̄MV̅CDLXV</t>
        </is>
      </c>
      <c r="C24466">
        <f>ROMAN(24465)</f>
        <v/>
      </c>
      <c r="D24466">
        <f>IF(B24466=C24466, "YES", "WRONG")</f>
        <v/>
      </c>
    </row>
    <row r="24467">
      <c r="A24467" t="n">
        <v>24466</v>
      </c>
      <c r="B24467" t="inlineStr">
        <is>
          <t>x̄x̄MV̅CDLXVI</t>
        </is>
      </c>
      <c r="C24467">
        <f>ROMAN(24466)</f>
        <v/>
      </c>
      <c r="D24467">
        <f>IF(B24467=C24467, "YES", "WRONG")</f>
        <v/>
      </c>
    </row>
    <row r="24468">
      <c r="A24468" t="n">
        <v>24467</v>
      </c>
      <c r="B24468" t="inlineStr">
        <is>
          <t>x̄x̄MV̅CDLXVII</t>
        </is>
      </c>
      <c r="C24468">
        <f>ROMAN(24467)</f>
        <v/>
      </c>
      <c r="D24468">
        <f>IF(B24468=C24468, "YES", "WRONG")</f>
        <v/>
      </c>
    </row>
    <row r="24469">
      <c r="A24469" t="n">
        <v>24468</v>
      </c>
      <c r="B24469" t="inlineStr">
        <is>
          <t>x̄x̄MV̅CDLXVIII</t>
        </is>
      </c>
      <c r="C24469">
        <f>ROMAN(24468)</f>
        <v/>
      </c>
      <c r="D24469">
        <f>IF(B24469=C24469, "YES", "WRONG")</f>
        <v/>
      </c>
    </row>
    <row r="24470">
      <c r="A24470" t="n">
        <v>24469</v>
      </c>
      <c r="B24470" t="inlineStr">
        <is>
          <t>x̄x̄MV̅CDLXIX</t>
        </is>
      </c>
      <c r="C24470">
        <f>ROMAN(24469)</f>
        <v/>
      </c>
      <c r="D24470">
        <f>IF(B24470=C24470, "YES", "WRONG")</f>
        <v/>
      </c>
    </row>
    <row r="24471">
      <c r="A24471" t="n">
        <v>24470</v>
      </c>
      <c r="B24471" t="inlineStr">
        <is>
          <t>x̄x̄MV̅CDLXX</t>
        </is>
      </c>
      <c r="C24471">
        <f>ROMAN(24470)</f>
        <v/>
      </c>
      <c r="D24471">
        <f>IF(B24471=C24471, "YES", "WRONG")</f>
        <v/>
      </c>
    </row>
    <row r="24472">
      <c r="A24472" t="n">
        <v>24471</v>
      </c>
      <c r="B24472" t="inlineStr">
        <is>
          <t>x̄x̄MV̅CDLXXI</t>
        </is>
      </c>
      <c r="C24472">
        <f>ROMAN(24471)</f>
        <v/>
      </c>
      <c r="D24472">
        <f>IF(B24472=C24472, "YES", "WRONG")</f>
        <v/>
      </c>
    </row>
    <row r="24473">
      <c r="A24473" t="n">
        <v>24472</v>
      </c>
      <c r="B24473" t="inlineStr">
        <is>
          <t>x̄x̄MV̅CDLXXII</t>
        </is>
      </c>
      <c r="C24473">
        <f>ROMAN(24472)</f>
        <v/>
      </c>
      <c r="D24473">
        <f>IF(B24473=C24473, "YES", "WRONG")</f>
        <v/>
      </c>
    </row>
    <row r="24474">
      <c r="A24474" t="n">
        <v>24473</v>
      </c>
      <c r="B24474" t="inlineStr">
        <is>
          <t>x̄x̄MV̅CDLXXIII</t>
        </is>
      </c>
      <c r="C24474">
        <f>ROMAN(24473)</f>
        <v/>
      </c>
      <c r="D24474">
        <f>IF(B24474=C24474, "YES", "WRONG")</f>
        <v/>
      </c>
    </row>
    <row r="24475">
      <c r="A24475" t="n">
        <v>24474</v>
      </c>
      <c r="B24475" t="inlineStr">
        <is>
          <t>x̄x̄MV̅CDLXXIV</t>
        </is>
      </c>
      <c r="C24475">
        <f>ROMAN(24474)</f>
        <v/>
      </c>
      <c r="D24475">
        <f>IF(B24475=C24475, "YES", "WRONG")</f>
        <v/>
      </c>
    </row>
    <row r="24476">
      <c r="A24476" t="n">
        <v>24475</v>
      </c>
      <c r="B24476" t="inlineStr">
        <is>
          <t>x̄x̄MV̅CDLXXV</t>
        </is>
      </c>
      <c r="C24476">
        <f>ROMAN(24475)</f>
        <v/>
      </c>
      <c r="D24476">
        <f>IF(B24476=C24476, "YES", "WRONG")</f>
        <v/>
      </c>
    </row>
    <row r="24477">
      <c r="A24477" t="n">
        <v>24476</v>
      </c>
      <c r="B24477" t="inlineStr">
        <is>
          <t>x̄x̄MV̅CDLXXVI</t>
        </is>
      </c>
      <c r="C24477">
        <f>ROMAN(24476)</f>
        <v/>
      </c>
      <c r="D24477">
        <f>IF(B24477=C24477, "YES", "WRONG")</f>
        <v/>
      </c>
    </row>
    <row r="24478">
      <c r="A24478" t="n">
        <v>24477</v>
      </c>
      <c r="B24478" t="inlineStr">
        <is>
          <t>x̄x̄MV̅CDLXXVII</t>
        </is>
      </c>
      <c r="C24478">
        <f>ROMAN(24477)</f>
        <v/>
      </c>
      <c r="D24478">
        <f>IF(B24478=C24478, "YES", "WRONG")</f>
        <v/>
      </c>
    </row>
    <row r="24479">
      <c r="A24479" t="n">
        <v>24478</v>
      </c>
      <c r="B24479" t="inlineStr">
        <is>
          <t>x̄x̄MV̅CDLXXVIII</t>
        </is>
      </c>
      <c r="C24479">
        <f>ROMAN(24478)</f>
        <v/>
      </c>
      <c r="D24479">
        <f>IF(B24479=C24479, "YES", "WRONG")</f>
        <v/>
      </c>
    </row>
    <row r="24480">
      <c r="A24480" t="n">
        <v>24479</v>
      </c>
      <c r="B24480" t="inlineStr">
        <is>
          <t>x̄x̄MV̅CDLXXIX</t>
        </is>
      </c>
      <c r="C24480">
        <f>ROMAN(24479)</f>
        <v/>
      </c>
      <c r="D24480">
        <f>IF(B24480=C24480, "YES", "WRONG")</f>
        <v/>
      </c>
    </row>
    <row r="24481">
      <c r="A24481" t="n">
        <v>24480</v>
      </c>
      <c r="B24481" t="inlineStr">
        <is>
          <t>x̄x̄MV̅CDLXXX</t>
        </is>
      </c>
      <c r="C24481">
        <f>ROMAN(24480)</f>
        <v/>
      </c>
      <c r="D24481">
        <f>IF(B24481=C24481, "YES", "WRONG")</f>
        <v/>
      </c>
    </row>
    <row r="24482">
      <c r="A24482" t="n">
        <v>24481</v>
      </c>
      <c r="B24482" t="inlineStr">
        <is>
          <t>x̄x̄MV̅CDLXXXI</t>
        </is>
      </c>
      <c r="C24482">
        <f>ROMAN(24481)</f>
        <v/>
      </c>
      <c r="D24482">
        <f>IF(B24482=C24482, "YES", "WRONG")</f>
        <v/>
      </c>
    </row>
    <row r="24483">
      <c r="A24483" t="n">
        <v>24482</v>
      </c>
      <c r="B24483" t="inlineStr">
        <is>
          <t>x̄x̄MV̅CDLXXXII</t>
        </is>
      </c>
      <c r="C24483">
        <f>ROMAN(24482)</f>
        <v/>
      </c>
      <c r="D24483">
        <f>IF(B24483=C24483, "YES", "WRONG")</f>
        <v/>
      </c>
    </row>
    <row r="24484">
      <c r="A24484" t="n">
        <v>24483</v>
      </c>
      <c r="B24484" t="inlineStr">
        <is>
          <t>x̄x̄MV̅CDLXXXIII</t>
        </is>
      </c>
      <c r="C24484">
        <f>ROMAN(24483)</f>
        <v/>
      </c>
      <c r="D24484">
        <f>IF(B24484=C24484, "YES", "WRONG")</f>
        <v/>
      </c>
    </row>
    <row r="24485">
      <c r="A24485" t="n">
        <v>24484</v>
      </c>
      <c r="B24485" t="inlineStr">
        <is>
          <t>x̄x̄MV̅CDLXXXIV</t>
        </is>
      </c>
      <c r="C24485">
        <f>ROMAN(24484)</f>
        <v/>
      </c>
      <c r="D24485">
        <f>IF(B24485=C24485, "YES", "WRONG")</f>
        <v/>
      </c>
    </row>
    <row r="24486">
      <c r="A24486" t="n">
        <v>24485</v>
      </c>
      <c r="B24486" t="inlineStr">
        <is>
          <t>x̄x̄MV̅CDLXXXV</t>
        </is>
      </c>
      <c r="C24486">
        <f>ROMAN(24485)</f>
        <v/>
      </c>
      <c r="D24486">
        <f>IF(B24486=C24486, "YES", "WRONG")</f>
        <v/>
      </c>
    </row>
    <row r="24487">
      <c r="A24487" t="n">
        <v>24486</v>
      </c>
      <c r="B24487" t="inlineStr">
        <is>
          <t>x̄x̄MV̅CDLXXXVI</t>
        </is>
      </c>
      <c r="C24487">
        <f>ROMAN(24486)</f>
        <v/>
      </c>
      <c r="D24487">
        <f>IF(B24487=C24487, "YES", "WRONG")</f>
        <v/>
      </c>
    </row>
    <row r="24488">
      <c r="A24488" t="n">
        <v>24487</v>
      </c>
      <c r="B24488" t="inlineStr">
        <is>
          <t>x̄x̄MV̅CDLXXXVII</t>
        </is>
      </c>
      <c r="C24488">
        <f>ROMAN(24487)</f>
        <v/>
      </c>
      <c r="D24488">
        <f>IF(B24488=C24488, "YES", "WRONG")</f>
        <v/>
      </c>
    </row>
    <row r="24489">
      <c r="A24489" t="n">
        <v>24488</v>
      </c>
      <c r="B24489" t="inlineStr">
        <is>
          <t>x̄x̄MV̅CDLXXXVIII</t>
        </is>
      </c>
      <c r="C24489">
        <f>ROMAN(24488)</f>
        <v/>
      </c>
      <c r="D24489">
        <f>IF(B24489=C24489, "YES", "WRONG")</f>
        <v/>
      </c>
    </row>
    <row r="24490">
      <c r="A24490" t="n">
        <v>24489</v>
      </c>
      <c r="B24490" t="inlineStr">
        <is>
          <t>x̄x̄MV̅CDLXXXIX</t>
        </is>
      </c>
      <c r="C24490">
        <f>ROMAN(24489)</f>
        <v/>
      </c>
      <c r="D24490">
        <f>IF(B24490=C24490, "YES", "WRONG")</f>
        <v/>
      </c>
    </row>
    <row r="24491">
      <c r="A24491" t="n">
        <v>24490</v>
      </c>
      <c r="B24491" t="inlineStr">
        <is>
          <t>x̄x̄MV̅CDXC</t>
        </is>
      </c>
      <c r="C24491">
        <f>ROMAN(24490)</f>
        <v/>
      </c>
      <c r="D24491">
        <f>IF(B24491=C24491, "YES", "WRONG")</f>
        <v/>
      </c>
    </row>
    <row r="24492">
      <c r="A24492" t="n">
        <v>24491</v>
      </c>
      <c r="B24492" t="inlineStr">
        <is>
          <t>x̄x̄MV̅CDXCI</t>
        </is>
      </c>
      <c r="C24492">
        <f>ROMAN(24491)</f>
        <v/>
      </c>
      <c r="D24492">
        <f>IF(B24492=C24492, "YES", "WRONG")</f>
        <v/>
      </c>
    </row>
    <row r="24493">
      <c r="A24493" t="n">
        <v>24492</v>
      </c>
      <c r="B24493" t="inlineStr">
        <is>
          <t>x̄x̄MV̅CDXCII</t>
        </is>
      </c>
      <c r="C24493">
        <f>ROMAN(24492)</f>
        <v/>
      </c>
      <c r="D24493">
        <f>IF(B24493=C24493, "YES", "WRONG")</f>
        <v/>
      </c>
    </row>
    <row r="24494">
      <c r="A24494" t="n">
        <v>24493</v>
      </c>
      <c r="B24494" t="inlineStr">
        <is>
          <t>x̄x̄MV̅CDXCIII</t>
        </is>
      </c>
      <c r="C24494">
        <f>ROMAN(24493)</f>
        <v/>
      </c>
      <c r="D24494">
        <f>IF(B24494=C24494, "YES", "WRONG")</f>
        <v/>
      </c>
    </row>
    <row r="24495">
      <c r="A24495" t="n">
        <v>24494</v>
      </c>
      <c r="B24495" t="inlineStr">
        <is>
          <t>x̄x̄MV̅CDXCIV</t>
        </is>
      </c>
      <c r="C24495">
        <f>ROMAN(24494)</f>
        <v/>
      </c>
      <c r="D24495">
        <f>IF(B24495=C24495, "YES", "WRONG")</f>
        <v/>
      </c>
    </row>
    <row r="24496">
      <c r="A24496" t="n">
        <v>24495</v>
      </c>
      <c r="B24496" t="inlineStr">
        <is>
          <t>x̄x̄MV̅CDXCV</t>
        </is>
      </c>
      <c r="C24496">
        <f>ROMAN(24495)</f>
        <v/>
      </c>
      <c r="D24496">
        <f>IF(B24496=C24496, "YES", "WRONG")</f>
        <v/>
      </c>
    </row>
    <row r="24497">
      <c r="A24497" t="n">
        <v>24496</v>
      </c>
      <c r="B24497" t="inlineStr">
        <is>
          <t>x̄x̄MV̅CDXCVI</t>
        </is>
      </c>
      <c r="C24497">
        <f>ROMAN(24496)</f>
        <v/>
      </c>
      <c r="D24497">
        <f>IF(B24497=C24497, "YES", "WRONG")</f>
        <v/>
      </c>
    </row>
    <row r="24498">
      <c r="A24498" t="n">
        <v>24497</v>
      </c>
      <c r="B24498" t="inlineStr">
        <is>
          <t>x̄x̄MV̅CDXCVII</t>
        </is>
      </c>
      <c r="C24498">
        <f>ROMAN(24497)</f>
        <v/>
      </c>
      <c r="D24498">
        <f>IF(B24498=C24498, "YES", "WRONG")</f>
        <v/>
      </c>
    </row>
    <row r="24499">
      <c r="A24499" t="n">
        <v>24498</v>
      </c>
      <c r="B24499" t="inlineStr">
        <is>
          <t>x̄x̄MV̅CDXCVIII</t>
        </is>
      </c>
      <c r="C24499">
        <f>ROMAN(24498)</f>
        <v/>
      </c>
      <c r="D24499">
        <f>IF(B24499=C24499, "YES", "WRONG")</f>
        <v/>
      </c>
    </row>
    <row r="24500">
      <c r="A24500" t="n">
        <v>24499</v>
      </c>
      <c r="B24500" t="inlineStr">
        <is>
          <t>x̄x̄MV̅CDXCIX</t>
        </is>
      </c>
      <c r="C24500">
        <f>ROMAN(24499)</f>
        <v/>
      </c>
      <c r="D24500">
        <f>IF(B24500=C24500, "YES", "WRONG")</f>
        <v/>
      </c>
    </row>
    <row r="24501">
      <c r="A24501" t="n">
        <v>24500</v>
      </c>
      <c r="B24501" t="inlineStr">
        <is>
          <t>x̄x̄MV̅D</t>
        </is>
      </c>
      <c r="C24501">
        <f>ROMAN(24500)</f>
        <v/>
      </c>
      <c r="D24501">
        <f>IF(B24501=C24501, "YES", "WRONG")</f>
        <v/>
      </c>
    </row>
    <row r="24502">
      <c r="A24502" t="n">
        <v>24501</v>
      </c>
      <c r="B24502" t="inlineStr">
        <is>
          <t>x̄x̄MV̅DI</t>
        </is>
      </c>
      <c r="C24502">
        <f>ROMAN(24501)</f>
        <v/>
      </c>
      <c r="D24502">
        <f>IF(B24502=C24502, "YES", "WRONG")</f>
        <v/>
      </c>
    </row>
    <row r="24503">
      <c r="A24503" t="n">
        <v>24502</v>
      </c>
      <c r="B24503" t="inlineStr">
        <is>
          <t>x̄x̄MV̅DII</t>
        </is>
      </c>
      <c r="C24503">
        <f>ROMAN(24502)</f>
        <v/>
      </c>
      <c r="D24503">
        <f>IF(B24503=C24503, "YES", "WRONG")</f>
        <v/>
      </c>
    </row>
    <row r="24504">
      <c r="A24504" t="n">
        <v>24503</v>
      </c>
      <c r="B24504" t="inlineStr">
        <is>
          <t>x̄x̄MV̅DIII</t>
        </is>
      </c>
      <c r="C24504">
        <f>ROMAN(24503)</f>
        <v/>
      </c>
      <c r="D24504">
        <f>IF(B24504=C24504, "YES", "WRONG")</f>
        <v/>
      </c>
    </row>
    <row r="24505">
      <c r="A24505" t="n">
        <v>24504</v>
      </c>
      <c r="B24505" t="inlineStr">
        <is>
          <t>x̄x̄MV̅DIV</t>
        </is>
      </c>
      <c r="C24505">
        <f>ROMAN(24504)</f>
        <v/>
      </c>
      <c r="D24505">
        <f>IF(B24505=C24505, "YES", "WRONG")</f>
        <v/>
      </c>
    </row>
    <row r="24506">
      <c r="A24506" t="n">
        <v>24505</v>
      </c>
      <c r="B24506" t="inlineStr">
        <is>
          <t>x̄x̄MV̅DV</t>
        </is>
      </c>
      <c r="C24506">
        <f>ROMAN(24505)</f>
        <v/>
      </c>
      <c r="D24506">
        <f>IF(B24506=C24506, "YES", "WRONG")</f>
        <v/>
      </c>
    </row>
    <row r="24507">
      <c r="A24507" t="n">
        <v>24506</v>
      </c>
      <c r="B24507" t="inlineStr">
        <is>
          <t>x̄x̄MV̅DVI</t>
        </is>
      </c>
      <c r="C24507">
        <f>ROMAN(24506)</f>
        <v/>
      </c>
      <c r="D24507">
        <f>IF(B24507=C24507, "YES", "WRONG")</f>
        <v/>
      </c>
    </row>
    <row r="24508">
      <c r="A24508" t="n">
        <v>24507</v>
      </c>
      <c r="B24508" t="inlineStr">
        <is>
          <t>x̄x̄MV̅DVII</t>
        </is>
      </c>
      <c r="C24508">
        <f>ROMAN(24507)</f>
        <v/>
      </c>
      <c r="D24508">
        <f>IF(B24508=C24508, "YES", "WRONG")</f>
        <v/>
      </c>
    </row>
    <row r="24509">
      <c r="A24509" t="n">
        <v>24508</v>
      </c>
      <c r="B24509" t="inlineStr">
        <is>
          <t>x̄x̄MV̅DVIII</t>
        </is>
      </c>
      <c r="C24509">
        <f>ROMAN(24508)</f>
        <v/>
      </c>
      <c r="D24509">
        <f>IF(B24509=C24509, "YES", "WRONG")</f>
        <v/>
      </c>
    </row>
    <row r="24510">
      <c r="A24510" t="n">
        <v>24509</v>
      </c>
      <c r="B24510" t="inlineStr">
        <is>
          <t>x̄x̄MV̅DIX</t>
        </is>
      </c>
      <c r="C24510">
        <f>ROMAN(24509)</f>
        <v/>
      </c>
      <c r="D24510">
        <f>IF(B24510=C24510, "YES", "WRONG")</f>
        <v/>
      </c>
    </row>
    <row r="24511">
      <c r="A24511" t="n">
        <v>24510</v>
      </c>
      <c r="B24511" t="inlineStr">
        <is>
          <t>x̄x̄MV̅DX</t>
        </is>
      </c>
      <c r="C24511">
        <f>ROMAN(24510)</f>
        <v/>
      </c>
      <c r="D24511">
        <f>IF(B24511=C24511, "YES", "WRONG")</f>
        <v/>
      </c>
    </row>
    <row r="24512">
      <c r="A24512" t="n">
        <v>24511</v>
      </c>
      <c r="B24512" t="inlineStr">
        <is>
          <t>x̄x̄MV̅DXI</t>
        </is>
      </c>
      <c r="C24512">
        <f>ROMAN(24511)</f>
        <v/>
      </c>
      <c r="D24512">
        <f>IF(B24512=C24512, "YES", "WRONG")</f>
        <v/>
      </c>
    </row>
    <row r="24513">
      <c r="A24513" t="n">
        <v>24512</v>
      </c>
      <c r="B24513" t="inlineStr">
        <is>
          <t>x̄x̄MV̅DXII</t>
        </is>
      </c>
      <c r="C24513">
        <f>ROMAN(24512)</f>
        <v/>
      </c>
      <c r="D24513">
        <f>IF(B24513=C24513, "YES", "WRONG")</f>
        <v/>
      </c>
    </row>
    <row r="24514">
      <c r="A24514" t="n">
        <v>24513</v>
      </c>
      <c r="B24514" t="inlineStr">
        <is>
          <t>x̄x̄MV̅DXIII</t>
        </is>
      </c>
      <c r="C24514">
        <f>ROMAN(24513)</f>
        <v/>
      </c>
      <c r="D24514">
        <f>IF(B24514=C24514, "YES", "WRONG")</f>
        <v/>
      </c>
    </row>
    <row r="24515">
      <c r="A24515" t="n">
        <v>24514</v>
      </c>
      <c r="B24515" t="inlineStr">
        <is>
          <t>x̄x̄MV̅DXIV</t>
        </is>
      </c>
      <c r="C24515">
        <f>ROMAN(24514)</f>
        <v/>
      </c>
      <c r="D24515">
        <f>IF(B24515=C24515, "YES", "WRONG")</f>
        <v/>
      </c>
    </row>
    <row r="24516">
      <c r="A24516" t="n">
        <v>24515</v>
      </c>
      <c r="B24516" t="inlineStr">
        <is>
          <t>x̄x̄MV̅DXV</t>
        </is>
      </c>
      <c r="C24516">
        <f>ROMAN(24515)</f>
        <v/>
      </c>
      <c r="D24516">
        <f>IF(B24516=C24516, "YES", "WRONG")</f>
        <v/>
      </c>
    </row>
    <row r="24517">
      <c r="A24517" t="n">
        <v>24516</v>
      </c>
      <c r="B24517" t="inlineStr">
        <is>
          <t>x̄x̄MV̅DXVI</t>
        </is>
      </c>
      <c r="C24517">
        <f>ROMAN(24516)</f>
        <v/>
      </c>
      <c r="D24517">
        <f>IF(B24517=C24517, "YES", "WRONG")</f>
        <v/>
      </c>
    </row>
    <row r="24518">
      <c r="A24518" t="n">
        <v>24517</v>
      </c>
      <c r="B24518" t="inlineStr">
        <is>
          <t>x̄x̄MV̅DXVII</t>
        </is>
      </c>
      <c r="C24518">
        <f>ROMAN(24517)</f>
        <v/>
      </c>
      <c r="D24518">
        <f>IF(B24518=C24518, "YES", "WRONG")</f>
        <v/>
      </c>
    </row>
    <row r="24519">
      <c r="A24519" t="n">
        <v>24518</v>
      </c>
      <c r="B24519" t="inlineStr">
        <is>
          <t>x̄x̄MV̅DXVIII</t>
        </is>
      </c>
      <c r="C24519">
        <f>ROMAN(24518)</f>
        <v/>
      </c>
      <c r="D24519">
        <f>IF(B24519=C24519, "YES", "WRONG")</f>
        <v/>
      </c>
    </row>
    <row r="24520">
      <c r="A24520" t="n">
        <v>24519</v>
      </c>
      <c r="B24520" t="inlineStr">
        <is>
          <t>x̄x̄MV̅DXIX</t>
        </is>
      </c>
      <c r="C24520">
        <f>ROMAN(24519)</f>
        <v/>
      </c>
      <c r="D24520">
        <f>IF(B24520=C24520, "YES", "WRONG")</f>
        <v/>
      </c>
    </row>
    <row r="24521">
      <c r="A24521" t="n">
        <v>24520</v>
      </c>
      <c r="B24521" t="inlineStr">
        <is>
          <t>x̄x̄MV̅DXX</t>
        </is>
      </c>
      <c r="C24521">
        <f>ROMAN(24520)</f>
        <v/>
      </c>
      <c r="D24521">
        <f>IF(B24521=C24521, "YES", "WRONG")</f>
        <v/>
      </c>
    </row>
    <row r="24522">
      <c r="A24522" t="n">
        <v>24521</v>
      </c>
      <c r="B24522" t="inlineStr">
        <is>
          <t>x̄x̄MV̅DXXI</t>
        </is>
      </c>
      <c r="C24522">
        <f>ROMAN(24521)</f>
        <v/>
      </c>
      <c r="D24522">
        <f>IF(B24522=C24522, "YES", "WRONG")</f>
        <v/>
      </c>
    </row>
    <row r="24523">
      <c r="A24523" t="n">
        <v>24522</v>
      </c>
      <c r="B24523" t="inlineStr">
        <is>
          <t>x̄x̄MV̅DXXII</t>
        </is>
      </c>
      <c r="C24523">
        <f>ROMAN(24522)</f>
        <v/>
      </c>
      <c r="D24523">
        <f>IF(B24523=C24523, "YES", "WRONG")</f>
        <v/>
      </c>
    </row>
    <row r="24524">
      <c r="A24524" t="n">
        <v>24523</v>
      </c>
      <c r="B24524" t="inlineStr">
        <is>
          <t>x̄x̄MV̅DXXIII</t>
        </is>
      </c>
      <c r="C24524">
        <f>ROMAN(24523)</f>
        <v/>
      </c>
      <c r="D24524">
        <f>IF(B24524=C24524, "YES", "WRONG")</f>
        <v/>
      </c>
    </row>
    <row r="24525">
      <c r="A24525" t="n">
        <v>24524</v>
      </c>
      <c r="B24525" t="inlineStr">
        <is>
          <t>x̄x̄MV̅DXXIV</t>
        </is>
      </c>
      <c r="C24525">
        <f>ROMAN(24524)</f>
        <v/>
      </c>
      <c r="D24525">
        <f>IF(B24525=C24525, "YES", "WRONG")</f>
        <v/>
      </c>
    </row>
    <row r="24526">
      <c r="A24526" t="n">
        <v>24525</v>
      </c>
      <c r="B24526" t="inlineStr">
        <is>
          <t>x̄x̄MV̅DXXV</t>
        </is>
      </c>
      <c r="C24526">
        <f>ROMAN(24525)</f>
        <v/>
      </c>
      <c r="D24526">
        <f>IF(B24526=C24526, "YES", "WRONG")</f>
        <v/>
      </c>
    </row>
    <row r="24527">
      <c r="A24527" t="n">
        <v>24526</v>
      </c>
      <c r="B24527" t="inlineStr">
        <is>
          <t>x̄x̄MV̅DXXVI</t>
        </is>
      </c>
      <c r="C24527">
        <f>ROMAN(24526)</f>
        <v/>
      </c>
      <c r="D24527">
        <f>IF(B24527=C24527, "YES", "WRONG")</f>
        <v/>
      </c>
    </row>
    <row r="24528">
      <c r="A24528" t="n">
        <v>24527</v>
      </c>
      <c r="B24528" t="inlineStr">
        <is>
          <t>x̄x̄MV̅DXXVII</t>
        </is>
      </c>
      <c r="C24528">
        <f>ROMAN(24527)</f>
        <v/>
      </c>
      <c r="D24528">
        <f>IF(B24528=C24528, "YES", "WRONG")</f>
        <v/>
      </c>
    </row>
    <row r="24529">
      <c r="A24529" t="n">
        <v>24528</v>
      </c>
      <c r="B24529" t="inlineStr">
        <is>
          <t>x̄x̄MV̅DXXVIII</t>
        </is>
      </c>
      <c r="C24529">
        <f>ROMAN(24528)</f>
        <v/>
      </c>
      <c r="D24529">
        <f>IF(B24529=C24529, "YES", "WRONG")</f>
        <v/>
      </c>
    </row>
    <row r="24530">
      <c r="A24530" t="n">
        <v>24529</v>
      </c>
      <c r="B24530" t="inlineStr">
        <is>
          <t>x̄x̄MV̅DXXIX</t>
        </is>
      </c>
      <c r="C24530">
        <f>ROMAN(24529)</f>
        <v/>
      </c>
      <c r="D24530">
        <f>IF(B24530=C24530, "YES", "WRONG")</f>
        <v/>
      </c>
    </row>
    <row r="24531">
      <c r="A24531" t="n">
        <v>24530</v>
      </c>
      <c r="B24531" t="inlineStr">
        <is>
          <t>x̄x̄MV̅DXXX</t>
        </is>
      </c>
      <c r="C24531">
        <f>ROMAN(24530)</f>
        <v/>
      </c>
      <c r="D24531">
        <f>IF(B24531=C24531, "YES", "WRONG")</f>
        <v/>
      </c>
    </row>
    <row r="24532">
      <c r="A24532" t="n">
        <v>24531</v>
      </c>
      <c r="B24532" t="inlineStr">
        <is>
          <t>x̄x̄MV̅DXXXI</t>
        </is>
      </c>
      <c r="C24532">
        <f>ROMAN(24531)</f>
        <v/>
      </c>
      <c r="D24532">
        <f>IF(B24532=C24532, "YES", "WRONG")</f>
        <v/>
      </c>
    </row>
    <row r="24533">
      <c r="A24533" t="n">
        <v>24532</v>
      </c>
      <c r="B24533" t="inlineStr">
        <is>
          <t>x̄x̄MV̅DXXXII</t>
        </is>
      </c>
      <c r="C24533">
        <f>ROMAN(24532)</f>
        <v/>
      </c>
      <c r="D24533">
        <f>IF(B24533=C24533, "YES", "WRONG")</f>
        <v/>
      </c>
    </row>
    <row r="24534">
      <c r="A24534" t="n">
        <v>24533</v>
      </c>
      <c r="B24534" t="inlineStr">
        <is>
          <t>x̄x̄MV̅DXXXIII</t>
        </is>
      </c>
      <c r="C24534">
        <f>ROMAN(24533)</f>
        <v/>
      </c>
      <c r="D24534">
        <f>IF(B24534=C24534, "YES", "WRONG")</f>
        <v/>
      </c>
    </row>
    <row r="24535">
      <c r="A24535" t="n">
        <v>24534</v>
      </c>
      <c r="B24535" t="inlineStr">
        <is>
          <t>x̄x̄MV̅DXXXIV</t>
        </is>
      </c>
      <c r="C24535">
        <f>ROMAN(24534)</f>
        <v/>
      </c>
      <c r="D24535">
        <f>IF(B24535=C24535, "YES", "WRONG")</f>
        <v/>
      </c>
    </row>
    <row r="24536">
      <c r="A24536" t="n">
        <v>24535</v>
      </c>
      <c r="B24536" t="inlineStr">
        <is>
          <t>x̄x̄MV̅DXXXV</t>
        </is>
      </c>
      <c r="C24536">
        <f>ROMAN(24535)</f>
        <v/>
      </c>
      <c r="D24536">
        <f>IF(B24536=C24536, "YES", "WRONG")</f>
        <v/>
      </c>
    </row>
    <row r="24537">
      <c r="A24537" t="n">
        <v>24536</v>
      </c>
      <c r="B24537" t="inlineStr">
        <is>
          <t>x̄x̄MV̅DXXXVI</t>
        </is>
      </c>
      <c r="C24537">
        <f>ROMAN(24536)</f>
        <v/>
      </c>
      <c r="D24537">
        <f>IF(B24537=C24537, "YES", "WRONG")</f>
        <v/>
      </c>
    </row>
    <row r="24538">
      <c r="A24538" t="n">
        <v>24537</v>
      </c>
      <c r="B24538" t="inlineStr">
        <is>
          <t>x̄x̄MV̅DXXXVII</t>
        </is>
      </c>
      <c r="C24538">
        <f>ROMAN(24537)</f>
        <v/>
      </c>
      <c r="D24538">
        <f>IF(B24538=C24538, "YES", "WRONG")</f>
        <v/>
      </c>
    </row>
    <row r="24539">
      <c r="A24539" t="n">
        <v>24538</v>
      </c>
      <c r="B24539" t="inlineStr">
        <is>
          <t>x̄x̄MV̅DXXXVIII</t>
        </is>
      </c>
      <c r="C24539">
        <f>ROMAN(24538)</f>
        <v/>
      </c>
      <c r="D24539">
        <f>IF(B24539=C24539, "YES", "WRONG")</f>
        <v/>
      </c>
    </row>
    <row r="24540">
      <c r="A24540" t="n">
        <v>24539</v>
      </c>
      <c r="B24540" t="inlineStr">
        <is>
          <t>x̄x̄MV̅DXXXIX</t>
        </is>
      </c>
      <c r="C24540">
        <f>ROMAN(24539)</f>
        <v/>
      </c>
      <c r="D24540">
        <f>IF(B24540=C24540, "YES", "WRONG")</f>
        <v/>
      </c>
    </row>
    <row r="24541">
      <c r="A24541" t="n">
        <v>24540</v>
      </c>
      <c r="B24541" t="inlineStr">
        <is>
          <t>x̄x̄MV̅DXL</t>
        </is>
      </c>
      <c r="C24541">
        <f>ROMAN(24540)</f>
        <v/>
      </c>
      <c r="D24541">
        <f>IF(B24541=C24541, "YES", "WRONG")</f>
        <v/>
      </c>
    </row>
    <row r="24542">
      <c r="A24542" t="n">
        <v>24541</v>
      </c>
      <c r="B24542" t="inlineStr">
        <is>
          <t>x̄x̄MV̅DXLI</t>
        </is>
      </c>
      <c r="C24542">
        <f>ROMAN(24541)</f>
        <v/>
      </c>
      <c r="D24542">
        <f>IF(B24542=C24542, "YES", "WRONG")</f>
        <v/>
      </c>
    </row>
    <row r="24543">
      <c r="A24543" t="n">
        <v>24542</v>
      </c>
      <c r="B24543" t="inlineStr">
        <is>
          <t>x̄x̄MV̅DXLII</t>
        </is>
      </c>
      <c r="C24543">
        <f>ROMAN(24542)</f>
        <v/>
      </c>
      <c r="D24543">
        <f>IF(B24543=C24543, "YES", "WRONG")</f>
        <v/>
      </c>
    </row>
    <row r="24544">
      <c r="A24544" t="n">
        <v>24543</v>
      </c>
      <c r="B24544" t="inlineStr">
        <is>
          <t>x̄x̄MV̅DXLIII</t>
        </is>
      </c>
      <c r="C24544">
        <f>ROMAN(24543)</f>
        <v/>
      </c>
      <c r="D24544">
        <f>IF(B24544=C24544, "YES", "WRONG")</f>
        <v/>
      </c>
    </row>
    <row r="24545">
      <c r="A24545" t="n">
        <v>24544</v>
      </c>
      <c r="B24545" t="inlineStr">
        <is>
          <t>x̄x̄MV̅DXLIV</t>
        </is>
      </c>
      <c r="C24545">
        <f>ROMAN(24544)</f>
        <v/>
      </c>
      <c r="D24545">
        <f>IF(B24545=C24545, "YES", "WRONG")</f>
        <v/>
      </c>
    </row>
    <row r="24546">
      <c r="A24546" t="n">
        <v>24545</v>
      </c>
      <c r="B24546" t="inlineStr">
        <is>
          <t>x̄x̄MV̅DXLV</t>
        </is>
      </c>
      <c r="C24546">
        <f>ROMAN(24545)</f>
        <v/>
      </c>
      <c r="D24546">
        <f>IF(B24546=C24546, "YES", "WRONG")</f>
        <v/>
      </c>
    </row>
    <row r="24547">
      <c r="A24547" t="n">
        <v>24546</v>
      </c>
      <c r="B24547" t="inlineStr">
        <is>
          <t>x̄x̄MV̅DXLVI</t>
        </is>
      </c>
      <c r="C24547">
        <f>ROMAN(24546)</f>
        <v/>
      </c>
      <c r="D24547">
        <f>IF(B24547=C24547, "YES", "WRONG")</f>
        <v/>
      </c>
    </row>
    <row r="24548">
      <c r="A24548" t="n">
        <v>24547</v>
      </c>
      <c r="B24548" t="inlineStr">
        <is>
          <t>x̄x̄MV̅DXLVII</t>
        </is>
      </c>
      <c r="C24548">
        <f>ROMAN(24547)</f>
        <v/>
      </c>
      <c r="D24548">
        <f>IF(B24548=C24548, "YES", "WRONG")</f>
        <v/>
      </c>
    </row>
    <row r="24549">
      <c r="A24549" t="n">
        <v>24548</v>
      </c>
      <c r="B24549" t="inlineStr">
        <is>
          <t>x̄x̄MV̅DXLVIII</t>
        </is>
      </c>
      <c r="C24549">
        <f>ROMAN(24548)</f>
        <v/>
      </c>
      <c r="D24549">
        <f>IF(B24549=C24549, "YES", "WRONG")</f>
        <v/>
      </c>
    </row>
    <row r="24550">
      <c r="A24550" t="n">
        <v>24549</v>
      </c>
      <c r="B24550" t="inlineStr">
        <is>
          <t>x̄x̄MV̅DXLIX</t>
        </is>
      </c>
      <c r="C24550">
        <f>ROMAN(24549)</f>
        <v/>
      </c>
      <c r="D24550">
        <f>IF(B24550=C24550, "YES", "WRONG")</f>
        <v/>
      </c>
    </row>
    <row r="24551">
      <c r="A24551" t="n">
        <v>24550</v>
      </c>
      <c r="B24551" t="inlineStr">
        <is>
          <t>x̄x̄MV̅DL</t>
        </is>
      </c>
      <c r="C24551">
        <f>ROMAN(24550)</f>
        <v/>
      </c>
      <c r="D24551">
        <f>IF(B24551=C24551, "YES", "WRONG")</f>
        <v/>
      </c>
    </row>
    <row r="24552">
      <c r="A24552" t="n">
        <v>24551</v>
      </c>
      <c r="B24552" t="inlineStr">
        <is>
          <t>x̄x̄MV̅DLI</t>
        </is>
      </c>
      <c r="C24552">
        <f>ROMAN(24551)</f>
        <v/>
      </c>
      <c r="D24552">
        <f>IF(B24552=C24552, "YES", "WRONG")</f>
        <v/>
      </c>
    </row>
    <row r="24553">
      <c r="A24553" t="n">
        <v>24552</v>
      </c>
      <c r="B24553" t="inlineStr">
        <is>
          <t>x̄x̄MV̅DLII</t>
        </is>
      </c>
      <c r="C24553">
        <f>ROMAN(24552)</f>
        <v/>
      </c>
      <c r="D24553">
        <f>IF(B24553=C24553, "YES", "WRONG")</f>
        <v/>
      </c>
    </row>
    <row r="24554">
      <c r="A24554" t="n">
        <v>24553</v>
      </c>
      <c r="B24554" t="inlineStr">
        <is>
          <t>x̄x̄MV̅DLIII</t>
        </is>
      </c>
      <c r="C24554">
        <f>ROMAN(24553)</f>
        <v/>
      </c>
      <c r="D24554">
        <f>IF(B24554=C24554, "YES", "WRONG")</f>
        <v/>
      </c>
    </row>
    <row r="24555">
      <c r="A24555" t="n">
        <v>24554</v>
      </c>
      <c r="B24555" t="inlineStr">
        <is>
          <t>x̄x̄MV̅DLIV</t>
        </is>
      </c>
      <c r="C24555">
        <f>ROMAN(24554)</f>
        <v/>
      </c>
      <c r="D24555">
        <f>IF(B24555=C24555, "YES", "WRONG")</f>
        <v/>
      </c>
    </row>
    <row r="24556">
      <c r="A24556" t="n">
        <v>24555</v>
      </c>
      <c r="B24556" t="inlineStr">
        <is>
          <t>x̄x̄MV̅DLV</t>
        </is>
      </c>
      <c r="C24556">
        <f>ROMAN(24555)</f>
        <v/>
      </c>
      <c r="D24556">
        <f>IF(B24556=C24556, "YES", "WRONG")</f>
        <v/>
      </c>
    </row>
    <row r="24557">
      <c r="A24557" t="n">
        <v>24556</v>
      </c>
      <c r="B24557" t="inlineStr">
        <is>
          <t>x̄x̄MV̅DLVI</t>
        </is>
      </c>
      <c r="C24557">
        <f>ROMAN(24556)</f>
        <v/>
      </c>
      <c r="D24557">
        <f>IF(B24557=C24557, "YES", "WRONG")</f>
        <v/>
      </c>
    </row>
    <row r="24558">
      <c r="A24558" t="n">
        <v>24557</v>
      </c>
      <c r="B24558" t="inlineStr">
        <is>
          <t>x̄x̄MV̅DLVII</t>
        </is>
      </c>
      <c r="C24558">
        <f>ROMAN(24557)</f>
        <v/>
      </c>
      <c r="D24558">
        <f>IF(B24558=C24558, "YES", "WRONG")</f>
        <v/>
      </c>
    </row>
    <row r="24559">
      <c r="A24559" t="n">
        <v>24558</v>
      </c>
      <c r="B24559" t="inlineStr">
        <is>
          <t>x̄x̄MV̅DLVIII</t>
        </is>
      </c>
      <c r="C24559">
        <f>ROMAN(24558)</f>
        <v/>
      </c>
      <c r="D24559">
        <f>IF(B24559=C24559, "YES", "WRONG")</f>
        <v/>
      </c>
    </row>
    <row r="24560">
      <c r="A24560" t="n">
        <v>24559</v>
      </c>
      <c r="B24560" t="inlineStr">
        <is>
          <t>x̄x̄MV̅DLIX</t>
        </is>
      </c>
      <c r="C24560">
        <f>ROMAN(24559)</f>
        <v/>
      </c>
      <c r="D24560">
        <f>IF(B24560=C24560, "YES", "WRONG")</f>
        <v/>
      </c>
    </row>
    <row r="24561">
      <c r="A24561" t="n">
        <v>24560</v>
      </c>
      <c r="B24561" t="inlineStr">
        <is>
          <t>x̄x̄MV̅DLX</t>
        </is>
      </c>
      <c r="C24561">
        <f>ROMAN(24560)</f>
        <v/>
      </c>
      <c r="D24561">
        <f>IF(B24561=C24561, "YES", "WRONG")</f>
        <v/>
      </c>
    </row>
    <row r="24562">
      <c r="A24562" t="n">
        <v>24561</v>
      </c>
      <c r="B24562" t="inlineStr">
        <is>
          <t>x̄x̄MV̅DLXI</t>
        </is>
      </c>
      <c r="C24562">
        <f>ROMAN(24561)</f>
        <v/>
      </c>
      <c r="D24562">
        <f>IF(B24562=C24562, "YES", "WRONG")</f>
        <v/>
      </c>
    </row>
    <row r="24563">
      <c r="A24563" t="n">
        <v>24562</v>
      </c>
      <c r="B24563" t="inlineStr">
        <is>
          <t>x̄x̄MV̅DLXII</t>
        </is>
      </c>
      <c r="C24563">
        <f>ROMAN(24562)</f>
        <v/>
      </c>
      <c r="D24563">
        <f>IF(B24563=C24563, "YES", "WRONG")</f>
        <v/>
      </c>
    </row>
    <row r="24564">
      <c r="A24564" t="n">
        <v>24563</v>
      </c>
      <c r="B24564" t="inlineStr">
        <is>
          <t>x̄x̄MV̅DLXIII</t>
        </is>
      </c>
      <c r="C24564">
        <f>ROMAN(24563)</f>
        <v/>
      </c>
      <c r="D24564">
        <f>IF(B24564=C24564, "YES", "WRONG")</f>
        <v/>
      </c>
    </row>
    <row r="24565">
      <c r="A24565" t="n">
        <v>24564</v>
      </c>
      <c r="B24565" t="inlineStr">
        <is>
          <t>x̄x̄MV̅DLXIV</t>
        </is>
      </c>
      <c r="C24565">
        <f>ROMAN(24564)</f>
        <v/>
      </c>
      <c r="D24565">
        <f>IF(B24565=C24565, "YES", "WRONG")</f>
        <v/>
      </c>
    </row>
    <row r="24566">
      <c r="A24566" t="n">
        <v>24565</v>
      </c>
      <c r="B24566" t="inlineStr">
        <is>
          <t>x̄x̄MV̅DLXV</t>
        </is>
      </c>
      <c r="C24566">
        <f>ROMAN(24565)</f>
        <v/>
      </c>
      <c r="D24566">
        <f>IF(B24566=C24566, "YES", "WRONG")</f>
        <v/>
      </c>
    </row>
    <row r="24567">
      <c r="A24567" t="n">
        <v>24566</v>
      </c>
      <c r="B24567" t="inlineStr">
        <is>
          <t>x̄x̄MV̅DLXVI</t>
        </is>
      </c>
      <c r="C24567">
        <f>ROMAN(24566)</f>
        <v/>
      </c>
      <c r="D24567">
        <f>IF(B24567=C24567, "YES", "WRONG")</f>
        <v/>
      </c>
    </row>
    <row r="24568">
      <c r="A24568" t="n">
        <v>24567</v>
      </c>
      <c r="B24568" t="inlineStr">
        <is>
          <t>x̄x̄MV̅DLXVII</t>
        </is>
      </c>
      <c r="C24568">
        <f>ROMAN(24567)</f>
        <v/>
      </c>
      <c r="D24568">
        <f>IF(B24568=C24568, "YES", "WRONG")</f>
        <v/>
      </c>
    </row>
    <row r="24569">
      <c r="A24569" t="n">
        <v>24568</v>
      </c>
      <c r="B24569" t="inlineStr">
        <is>
          <t>x̄x̄MV̅DLXVIII</t>
        </is>
      </c>
      <c r="C24569">
        <f>ROMAN(24568)</f>
        <v/>
      </c>
      <c r="D24569">
        <f>IF(B24569=C24569, "YES", "WRONG")</f>
        <v/>
      </c>
    </row>
    <row r="24570">
      <c r="A24570" t="n">
        <v>24569</v>
      </c>
      <c r="B24570" t="inlineStr">
        <is>
          <t>x̄x̄MV̅DLXIX</t>
        </is>
      </c>
      <c r="C24570">
        <f>ROMAN(24569)</f>
        <v/>
      </c>
      <c r="D24570">
        <f>IF(B24570=C24570, "YES", "WRONG")</f>
        <v/>
      </c>
    </row>
    <row r="24571">
      <c r="A24571" t="n">
        <v>24570</v>
      </c>
      <c r="B24571" t="inlineStr">
        <is>
          <t>x̄x̄MV̅DLXX</t>
        </is>
      </c>
      <c r="C24571">
        <f>ROMAN(24570)</f>
        <v/>
      </c>
      <c r="D24571">
        <f>IF(B24571=C24571, "YES", "WRONG")</f>
        <v/>
      </c>
    </row>
    <row r="24572">
      <c r="A24572" t="n">
        <v>24571</v>
      </c>
      <c r="B24572" t="inlineStr">
        <is>
          <t>x̄x̄MV̅DLXXI</t>
        </is>
      </c>
      <c r="C24572">
        <f>ROMAN(24571)</f>
        <v/>
      </c>
      <c r="D24572">
        <f>IF(B24572=C24572, "YES", "WRONG")</f>
        <v/>
      </c>
    </row>
    <row r="24573">
      <c r="A24573" t="n">
        <v>24572</v>
      </c>
      <c r="B24573" t="inlineStr">
        <is>
          <t>x̄x̄MV̅DLXXII</t>
        </is>
      </c>
      <c r="C24573">
        <f>ROMAN(24572)</f>
        <v/>
      </c>
      <c r="D24573">
        <f>IF(B24573=C24573, "YES", "WRONG")</f>
        <v/>
      </c>
    </row>
    <row r="24574">
      <c r="A24574" t="n">
        <v>24573</v>
      </c>
      <c r="B24574" t="inlineStr">
        <is>
          <t>x̄x̄MV̅DLXXIII</t>
        </is>
      </c>
      <c r="C24574">
        <f>ROMAN(24573)</f>
        <v/>
      </c>
      <c r="D24574">
        <f>IF(B24574=C24574, "YES", "WRONG")</f>
        <v/>
      </c>
    </row>
    <row r="24575">
      <c r="A24575" t="n">
        <v>24574</v>
      </c>
      <c r="B24575" t="inlineStr">
        <is>
          <t>x̄x̄MV̅DLXXIV</t>
        </is>
      </c>
      <c r="C24575">
        <f>ROMAN(24574)</f>
        <v/>
      </c>
      <c r="D24575">
        <f>IF(B24575=C24575, "YES", "WRONG")</f>
        <v/>
      </c>
    </row>
    <row r="24576">
      <c r="A24576" t="n">
        <v>24575</v>
      </c>
      <c r="B24576" t="inlineStr">
        <is>
          <t>x̄x̄MV̅DLXXV</t>
        </is>
      </c>
      <c r="C24576">
        <f>ROMAN(24575)</f>
        <v/>
      </c>
      <c r="D24576">
        <f>IF(B24576=C24576, "YES", "WRONG")</f>
        <v/>
      </c>
    </row>
    <row r="24577">
      <c r="A24577" t="n">
        <v>24576</v>
      </c>
      <c r="B24577" t="inlineStr">
        <is>
          <t>x̄x̄MV̅DLXXVI</t>
        </is>
      </c>
      <c r="C24577">
        <f>ROMAN(24576)</f>
        <v/>
      </c>
      <c r="D24577">
        <f>IF(B24577=C24577, "YES", "WRONG")</f>
        <v/>
      </c>
    </row>
    <row r="24578">
      <c r="A24578" t="n">
        <v>24577</v>
      </c>
      <c r="B24578" t="inlineStr">
        <is>
          <t>x̄x̄MV̅DLXXVII</t>
        </is>
      </c>
      <c r="C24578">
        <f>ROMAN(24577)</f>
        <v/>
      </c>
      <c r="D24578">
        <f>IF(B24578=C24578, "YES", "WRONG")</f>
        <v/>
      </c>
    </row>
    <row r="24579">
      <c r="A24579" t="n">
        <v>24578</v>
      </c>
      <c r="B24579" t="inlineStr">
        <is>
          <t>x̄x̄MV̅DLXXVIII</t>
        </is>
      </c>
      <c r="C24579">
        <f>ROMAN(24578)</f>
        <v/>
      </c>
      <c r="D24579">
        <f>IF(B24579=C24579, "YES", "WRONG")</f>
        <v/>
      </c>
    </row>
    <row r="24580">
      <c r="A24580" t="n">
        <v>24579</v>
      </c>
      <c r="B24580" t="inlineStr">
        <is>
          <t>x̄x̄MV̅DLXXIX</t>
        </is>
      </c>
      <c r="C24580">
        <f>ROMAN(24579)</f>
        <v/>
      </c>
      <c r="D24580">
        <f>IF(B24580=C24580, "YES", "WRONG")</f>
        <v/>
      </c>
    </row>
    <row r="24581">
      <c r="A24581" t="n">
        <v>24580</v>
      </c>
      <c r="B24581" t="inlineStr">
        <is>
          <t>x̄x̄MV̅DLXXX</t>
        </is>
      </c>
      <c r="C24581">
        <f>ROMAN(24580)</f>
        <v/>
      </c>
      <c r="D24581">
        <f>IF(B24581=C24581, "YES", "WRONG")</f>
        <v/>
      </c>
    </row>
    <row r="24582">
      <c r="A24582" t="n">
        <v>24581</v>
      </c>
      <c r="B24582" t="inlineStr">
        <is>
          <t>x̄x̄MV̅DLXXXI</t>
        </is>
      </c>
      <c r="C24582">
        <f>ROMAN(24581)</f>
        <v/>
      </c>
      <c r="D24582">
        <f>IF(B24582=C24582, "YES", "WRONG")</f>
        <v/>
      </c>
    </row>
    <row r="24583">
      <c r="A24583" t="n">
        <v>24582</v>
      </c>
      <c r="B24583" t="inlineStr">
        <is>
          <t>x̄x̄MV̅DLXXXII</t>
        </is>
      </c>
      <c r="C24583">
        <f>ROMAN(24582)</f>
        <v/>
      </c>
      <c r="D24583">
        <f>IF(B24583=C24583, "YES", "WRONG")</f>
        <v/>
      </c>
    </row>
    <row r="24584">
      <c r="A24584" t="n">
        <v>24583</v>
      </c>
      <c r="B24584" t="inlineStr">
        <is>
          <t>x̄x̄MV̅DLXXXIII</t>
        </is>
      </c>
      <c r="C24584">
        <f>ROMAN(24583)</f>
        <v/>
      </c>
      <c r="D24584">
        <f>IF(B24584=C24584, "YES", "WRONG")</f>
        <v/>
      </c>
    </row>
    <row r="24585">
      <c r="A24585" t="n">
        <v>24584</v>
      </c>
      <c r="B24585" t="inlineStr">
        <is>
          <t>x̄x̄MV̅DLXXXIV</t>
        </is>
      </c>
      <c r="C24585">
        <f>ROMAN(24584)</f>
        <v/>
      </c>
      <c r="D24585">
        <f>IF(B24585=C24585, "YES", "WRONG")</f>
        <v/>
      </c>
    </row>
    <row r="24586">
      <c r="A24586" t="n">
        <v>24585</v>
      </c>
      <c r="B24586" t="inlineStr">
        <is>
          <t>x̄x̄MV̅DLXXXV</t>
        </is>
      </c>
      <c r="C24586">
        <f>ROMAN(24585)</f>
        <v/>
      </c>
      <c r="D24586">
        <f>IF(B24586=C24586, "YES", "WRONG")</f>
        <v/>
      </c>
    </row>
    <row r="24587">
      <c r="A24587" t="n">
        <v>24586</v>
      </c>
      <c r="B24587" t="inlineStr">
        <is>
          <t>x̄x̄MV̅DLXXXVI</t>
        </is>
      </c>
      <c r="C24587">
        <f>ROMAN(24586)</f>
        <v/>
      </c>
      <c r="D24587">
        <f>IF(B24587=C24587, "YES", "WRONG")</f>
        <v/>
      </c>
    </row>
    <row r="24588">
      <c r="A24588" t="n">
        <v>24587</v>
      </c>
      <c r="B24588" t="inlineStr">
        <is>
          <t>x̄x̄MV̅DLXXXVII</t>
        </is>
      </c>
      <c r="C24588">
        <f>ROMAN(24587)</f>
        <v/>
      </c>
      <c r="D24588">
        <f>IF(B24588=C24588, "YES", "WRONG")</f>
        <v/>
      </c>
    </row>
    <row r="24589">
      <c r="A24589" t="n">
        <v>24588</v>
      </c>
      <c r="B24589" t="inlineStr">
        <is>
          <t>x̄x̄MV̅DLXXXVIII</t>
        </is>
      </c>
      <c r="C24589">
        <f>ROMAN(24588)</f>
        <v/>
      </c>
      <c r="D24589">
        <f>IF(B24589=C24589, "YES", "WRONG")</f>
        <v/>
      </c>
    </row>
    <row r="24590">
      <c r="A24590" t="n">
        <v>24589</v>
      </c>
      <c r="B24590" t="inlineStr">
        <is>
          <t>x̄x̄MV̅DLXXXIX</t>
        </is>
      </c>
      <c r="C24590">
        <f>ROMAN(24589)</f>
        <v/>
      </c>
      <c r="D24590">
        <f>IF(B24590=C24590, "YES", "WRONG")</f>
        <v/>
      </c>
    </row>
    <row r="24591">
      <c r="A24591" t="n">
        <v>24590</v>
      </c>
      <c r="B24591" t="inlineStr">
        <is>
          <t>x̄x̄MV̅DXC</t>
        </is>
      </c>
      <c r="C24591">
        <f>ROMAN(24590)</f>
        <v/>
      </c>
      <c r="D24591">
        <f>IF(B24591=C24591, "YES", "WRONG")</f>
        <v/>
      </c>
    </row>
    <row r="24592">
      <c r="A24592" t="n">
        <v>24591</v>
      </c>
      <c r="B24592" t="inlineStr">
        <is>
          <t>x̄x̄MV̅DXCI</t>
        </is>
      </c>
      <c r="C24592">
        <f>ROMAN(24591)</f>
        <v/>
      </c>
      <c r="D24592">
        <f>IF(B24592=C24592, "YES", "WRONG")</f>
        <v/>
      </c>
    </row>
    <row r="24593">
      <c r="A24593" t="n">
        <v>24592</v>
      </c>
      <c r="B24593" t="inlineStr">
        <is>
          <t>x̄x̄MV̅DXCII</t>
        </is>
      </c>
      <c r="C24593">
        <f>ROMAN(24592)</f>
        <v/>
      </c>
      <c r="D24593">
        <f>IF(B24593=C24593, "YES", "WRONG")</f>
        <v/>
      </c>
    </row>
    <row r="24594">
      <c r="A24594" t="n">
        <v>24593</v>
      </c>
      <c r="B24594" t="inlineStr">
        <is>
          <t>x̄x̄MV̅DXCIII</t>
        </is>
      </c>
      <c r="C24594">
        <f>ROMAN(24593)</f>
        <v/>
      </c>
      <c r="D24594">
        <f>IF(B24594=C24594, "YES", "WRONG")</f>
        <v/>
      </c>
    </row>
    <row r="24595">
      <c r="A24595" t="n">
        <v>24594</v>
      </c>
      <c r="B24595" t="inlineStr">
        <is>
          <t>x̄x̄MV̅DXCIV</t>
        </is>
      </c>
      <c r="C24595">
        <f>ROMAN(24594)</f>
        <v/>
      </c>
      <c r="D24595">
        <f>IF(B24595=C24595, "YES", "WRONG")</f>
        <v/>
      </c>
    </row>
    <row r="24596">
      <c r="A24596" t="n">
        <v>24595</v>
      </c>
      <c r="B24596" t="inlineStr">
        <is>
          <t>x̄x̄MV̅DXCV</t>
        </is>
      </c>
      <c r="C24596">
        <f>ROMAN(24595)</f>
        <v/>
      </c>
      <c r="D24596">
        <f>IF(B24596=C24596, "YES", "WRONG")</f>
        <v/>
      </c>
    </row>
    <row r="24597">
      <c r="A24597" t="n">
        <v>24596</v>
      </c>
      <c r="B24597" t="inlineStr">
        <is>
          <t>x̄x̄MV̅DXCVI</t>
        </is>
      </c>
      <c r="C24597">
        <f>ROMAN(24596)</f>
        <v/>
      </c>
      <c r="D24597">
        <f>IF(B24597=C24597, "YES", "WRONG")</f>
        <v/>
      </c>
    </row>
    <row r="24598">
      <c r="A24598" t="n">
        <v>24597</v>
      </c>
      <c r="B24598" t="inlineStr">
        <is>
          <t>x̄x̄MV̅DXCVII</t>
        </is>
      </c>
      <c r="C24598">
        <f>ROMAN(24597)</f>
        <v/>
      </c>
      <c r="D24598">
        <f>IF(B24598=C24598, "YES", "WRONG")</f>
        <v/>
      </c>
    </row>
    <row r="24599">
      <c r="A24599" t="n">
        <v>24598</v>
      </c>
      <c r="B24599" t="inlineStr">
        <is>
          <t>x̄x̄MV̅DXCVIII</t>
        </is>
      </c>
      <c r="C24599">
        <f>ROMAN(24598)</f>
        <v/>
      </c>
      <c r="D24599">
        <f>IF(B24599=C24599, "YES", "WRONG")</f>
        <v/>
      </c>
    </row>
    <row r="24600">
      <c r="A24600" t="n">
        <v>24599</v>
      </c>
      <c r="B24600" t="inlineStr">
        <is>
          <t>x̄x̄MV̅DXCIX</t>
        </is>
      </c>
      <c r="C24600">
        <f>ROMAN(24599)</f>
        <v/>
      </c>
      <c r="D24600">
        <f>IF(B24600=C24600, "YES", "WRONG")</f>
        <v/>
      </c>
    </row>
    <row r="24601">
      <c r="A24601" t="n">
        <v>24600</v>
      </c>
      <c r="B24601" t="inlineStr">
        <is>
          <t>x̄x̄MV̅DC</t>
        </is>
      </c>
      <c r="C24601">
        <f>ROMAN(24600)</f>
        <v/>
      </c>
      <c r="D24601">
        <f>IF(B24601=C24601, "YES", "WRONG")</f>
        <v/>
      </c>
    </row>
    <row r="24602">
      <c r="A24602" t="n">
        <v>24601</v>
      </c>
      <c r="B24602" t="inlineStr">
        <is>
          <t>x̄x̄MV̅DCI</t>
        </is>
      </c>
      <c r="C24602">
        <f>ROMAN(24601)</f>
        <v/>
      </c>
      <c r="D24602">
        <f>IF(B24602=C24602, "YES", "WRONG")</f>
        <v/>
      </c>
    </row>
    <row r="24603">
      <c r="A24603" t="n">
        <v>24602</v>
      </c>
      <c r="B24603" t="inlineStr">
        <is>
          <t>x̄x̄MV̅DCII</t>
        </is>
      </c>
      <c r="C24603">
        <f>ROMAN(24602)</f>
        <v/>
      </c>
      <c r="D24603">
        <f>IF(B24603=C24603, "YES", "WRONG")</f>
        <v/>
      </c>
    </row>
    <row r="24604">
      <c r="A24604" t="n">
        <v>24603</v>
      </c>
      <c r="B24604" t="inlineStr">
        <is>
          <t>x̄x̄MV̅DCIII</t>
        </is>
      </c>
      <c r="C24604">
        <f>ROMAN(24603)</f>
        <v/>
      </c>
      <c r="D24604">
        <f>IF(B24604=C24604, "YES", "WRONG")</f>
        <v/>
      </c>
    </row>
    <row r="24605">
      <c r="A24605" t="n">
        <v>24604</v>
      </c>
      <c r="B24605" t="inlineStr">
        <is>
          <t>x̄x̄MV̅DCIV</t>
        </is>
      </c>
      <c r="C24605">
        <f>ROMAN(24604)</f>
        <v/>
      </c>
      <c r="D24605">
        <f>IF(B24605=C24605, "YES", "WRONG")</f>
        <v/>
      </c>
    </row>
    <row r="24606">
      <c r="A24606" t="n">
        <v>24605</v>
      </c>
      <c r="B24606" t="inlineStr">
        <is>
          <t>x̄x̄MV̅DCV</t>
        </is>
      </c>
      <c r="C24606">
        <f>ROMAN(24605)</f>
        <v/>
      </c>
      <c r="D24606">
        <f>IF(B24606=C24606, "YES", "WRONG")</f>
        <v/>
      </c>
    </row>
    <row r="24607">
      <c r="A24607" t="n">
        <v>24606</v>
      </c>
      <c r="B24607" t="inlineStr">
        <is>
          <t>x̄x̄MV̅DCVI</t>
        </is>
      </c>
      <c r="C24607">
        <f>ROMAN(24606)</f>
        <v/>
      </c>
      <c r="D24607">
        <f>IF(B24607=C24607, "YES", "WRONG")</f>
        <v/>
      </c>
    </row>
    <row r="24608">
      <c r="A24608" t="n">
        <v>24607</v>
      </c>
      <c r="B24608" t="inlineStr">
        <is>
          <t>x̄x̄MV̅DCVII</t>
        </is>
      </c>
      <c r="C24608">
        <f>ROMAN(24607)</f>
        <v/>
      </c>
      <c r="D24608">
        <f>IF(B24608=C24608, "YES", "WRONG")</f>
        <v/>
      </c>
    </row>
    <row r="24609">
      <c r="A24609" t="n">
        <v>24608</v>
      </c>
      <c r="B24609" t="inlineStr">
        <is>
          <t>x̄x̄MV̅DCVIII</t>
        </is>
      </c>
      <c r="C24609">
        <f>ROMAN(24608)</f>
        <v/>
      </c>
      <c r="D24609">
        <f>IF(B24609=C24609, "YES", "WRONG")</f>
        <v/>
      </c>
    </row>
    <row r="24610">
      <c r="A24610" t="n">
        <v>24609</v>
      </c>
      <c r="B24610" t="inlineStr">
        <is>
          <t>x̄x̄MV̅DCIX</t>
        </is>
      </c>
      <c r="C24610">
        <f>ROMAN(24609)</f>
        <v/>
      </c>
      <c r="D24610">
        <f>IF(B24610=C24610, "YES", "WRONG")</f>
        <v/>
      </c>
    </row>
    <row r="24611">
      <c r="A24611" t="n">
        <v>24610</v>
      </c>
      <c r="B24611" t="inlineStr">
        <is>
          <t>x̄x̄MV̅DCX</t>
        </is>
      </c>
      <c r="C24611">
        <f>ROMAN(24610)</f>
        <v/>
      </c>
      <c r="D24611">
        <f>IF(B24611=C24611, "YES", "WRONG")</f>
        <v/>
      </c>
    </row>
    <row r="24612">
      <c r="A24612" t="n">
        <v>24611</v>
      </c>
      <c r="B24612" t="inlineStr">
        <is>
          <t>x̄x̄MV̅DCXI</t>
        </is>
      </c>
      <c r="C24612">
        <f>ROMAN(24611)</f>
        <v/>
      </c>
      <c r="D24612">
        <f>IF(B24612=C24612, "YES", "WRONG")</f>
        <v/>
      </c>
    </row>
    <row r="24613">
      <c r="A24613" t="n">
        <v>24612</v>
      </c>
      <c r="B24613" t="inlineStr">
        <is>
          <t>x̄x̄MV̅DCXII</t>
        </is>
      </c>
      <c r="C24613">
        <f>ROMAN(24612)</f>
        <v/>
      </c>
      <c r="D24613">
        <f>IF(B24613=C24613, "YES", "WRONG")</f>
        <v/>
      </c>
    </row>
    <row r="24614">
      <c r="A24614" t="n">
        <v>24613</v>
      </c>
      <c r="B24614" t="inlineStr">
        <is>
          <t>x̄x̄MV̅DCXIII</t>
        </is>
      </c>
      <c r="C24614">
        <f>ROMAN(24613)</f>
        <v/>
      </c>
      <c r="D24614">
        <f>IF(B24614=C24614, "YES", "WRONG")</f>
        <v/>
      </c>
    </row>
    <row r="24615">
      <c r="A24615" t="n">
        <v>24614</v>
      </c>
      <c r="B24615" t="inlineStr">
        <is>
          <t>x̄x̄MV̅DCXIV</t>
        </is>
      </c>
      <c r="C24615">
        <f>ROMAN(24614)</f>
        <v/>
      </c>
      <c r="D24615">
        <f>IF(B24615=C24615, "YES", "WRONG")</f>
        <v/>
      </c>
    </row>
    <row r="24616">
      <c r="A24616" t="n">
        <v>24615</v>
      </c>
      <c r="B24616" t="inlineStr">
        <is>
          <t>x̄x̄MV̅DCXV</t>
        </is>
      </c>
      <c r="C24616">
        <f>ROMAN(24615)</f>
        <v/>
      </c>
      <c r="D24616">
        <f>IF(B24616=C24616, "YES", "WRONG")</f>
        <v/>
      </c>
    </row>
    <row r="24617">
      <c r="A24617" t="n">
        <v>24616</v>
      </c>
      <c r="B24617" t="inlineStr">
        <is>
          <t>x̄x̄MV̅DCXVI</t>
        </is>
      </c>
      <c r="C24617">
        <f>ROMAN(24616)</f>
        <v/>
      </c>
      <c r="D24617">
        <f>IF(B24617=C24617, "YES", "WRONG")</f>
        <v/>
      </c>
    </row>
    <row r="24618">
      <c r="A24618" t="n">
        <v>24617</v>
      </c>
      <c r="B24618" t="inlineStr">
        <is>
          <t>x̄x̄MV̅DCXVII</t>
        </is>
      </c>
      <c r="C24618">
        <f>ROMAN(24617)</f>
        <v/>
      </c>
      <c r="D24618">
        <f>IF(B24618=C24618, "YES", "WRONG")</f>
        <v/>
      </c>
    </row>
    <row r="24619">
      <c r="A24619" t="n">
        <v>24618</v>
      </c>
      <c r="B24619" t="inlineStr">
        <is>
          <t>x̄x̄MV̅DCXVIII</t>
        </is>
      </c>
      <c r="C24619">
        <f>ROMAN(24618)</f>
        <v/>
      </c>
      <c r="D24619">
        <f>IF(B24619=C24619, "YES", "WRONG")</f>
        <v/>
      </c>
    </row>
    <row r="24620">
      <c r="A24620" t="n">
        <v>24619</v>
      </c>
      <c r="B24620" t="inlineStr">
        <is>
          <t>x̄x̄MV̅DCXIX</t>
        </is>
      </c>
      <c r="C24620">
        <f>ROMAN(24619)</f>
        <v/>
      </c>
      <c r="D24620">
        <f>IF(B24620=C24620, "YES", "WRONG")</f>
        <v/>
      </c>
    </row>
    <row r="24621">
      <c r="A24621" t="n">
        <v>24620</v>
      </c>
      <c r="B24621" t="inlineStr">
        <is>
          <t>x̄x̄MV̅DCXX</t>
        </is>
      </c>
      <c r="C24621">
        <f>ROMAN(24620)</f>
        <v/>
      </c>
      <c r="D24621">
        <f>IF(B24621=C24621, "YES", "WRONG")</f>
        <v/>
      </c>
    </row>
    <row r="24622">
      <c r="A24622" t="n">
        <v>24621</v>
      </c>
      <c r="B24622" t="inlineStr">
        <is>
          <t>x̄x̄MV̅DCXXI</t>
        </is>
      </c>
      <c r="C24622">
        <f>ROMAN(24621)</f>
        <v/>
      </c>
      <c r="D24622">
        <f>IF(B24622=C24622, "YES", "WRONG")</f>
        <v/>
      </c>
    </row>
    <row r="24623">
      <c r="A24623" t="n">
        <v>24622</v>
      </c>
      <c r="B24623" t="inlineStr">
        <is>
          <t>x̄x̄MV̅DCXXII</t>
        </is>
      </c>
      <c r="C24623">
        <f>ROMAN(24622)</f>
        <v/>
      </c>
      <c r="D24623">
        <f>IF(B24623=C24623, "YES", "WRONG")</f>
        <v/>
      </c>
    </row>
    <row r="24624">
      <c r="A24624" t="n">
        <v>24623</v>
      </c>
      <c r="B24624" t="inlineStr">
        <is>
          <t>x̄x̄MV̅DCXXIII</t>
        </is>
      </c>
      <c r="C24624">
        <f>ROMAN(24623)</f>
        <v/>
      </c>
      <c r="D24624">
        <f>IF(B24624=C24624, "YES", "WRONG")</f>
        <v/>
      </c>
    </row>
    <row r="24625">
      <c r="A24625" t="n">
        <v>24624</v>
      </c>
      <c r="B24625" t="inlineStr">
        <is>
          <t>x̄x̄MV̅DCXXIV</t>
        </is>
      </c>
      <c r="C24625">
        <f>ROMAN(24624)</f>
        <v/>
      </c>
      <c r="D24625">
        <f>IF(B24625=C24625, "YES", "WRONG")</f>
        <v/>
      </c>
    </row>
    <row r="24626">
      <c r="A24626" t="n">
        <v>24625</v>
      </c>
      <c r="B24626" t="inlineStr">
        <is>
          <t>x̄x̄MV̅DCXXV</t>
        </is>
      </c>
      <c r="C24626">
        <f>ROMAN(24625)</f>
        <v/>
      </c>
      <c r="D24626">
        <f>IF(B24626=C24626, "YES", "WRONG")</f>
        <v/>
      </c>
    </row>
    <row r="24627">
      <c r="A24627" t="n">
        <v>24626</v>
      </c>
      <c r="B24627" t="inlineStr">
        <is>
          <t>x̄x̄MV̅DCXXVI</t>
        </is>
      </c>
      <c r="C24627">
        <f>ROMAN(24626)</f>
        <v/>
      </c>
      <c r="D24627">
        <f>IF(B24627=C24627, "YES", "WRONG")</f>
        <v/>
      </c>
    </row>
    <row r="24628">
      <c r="A24628" t="n">
        <v>24627</v>
      </c>
      <c r="B24628" t="inlineStr">
        <is>
          <t>x̄x̄MV̅DCXXVII</t>
        </is>
      </c>
      <c r="C24628">
        <f>ROMAN(24627)</f>
        <v/>
      </c>
      <c r="D24628">
        <f>IF(B24628=C24628, "YES", "WRONG")</f>
        <v/>
      </c>
    </row>
    <row r="24629">
      <c r="A24629" t="n">
        <v>24628</v>
      </c>
      <c r="B24629" t="inlineStr">
        <is>
          <t>x̄x̄MV̅DCXXVIII</t>
        </is>
      </c>
      <c r="C24629">
        <f>ROMAN(24628)</f>
        <v/>
      </c>
      <c r="D24629">
        <f>IF(B24629=C24629, "YES", "WRONG")</f>
        <v/>
      </c>
    </row>
    <row r="24630">
      <c r="A24630" t="n">
        <v>24629</v>
      </c>
      <c r="B24630" t="inlineStr">
        <is>
          <t>x̄x̄MV̅DCXXIX</t>
        </is>
      </c>
      <c r="C24630">
        <f>ROMAN(24629)</f>
        <v/>
      </c>
      <c r="D24630">
        <f>IF(B24630=C24630, "YES", "WRONG")</f>
        <v/>
      </c>
    </row>
    <row r="24631">
      <c r="A24631" t="n">
        <v>24630</v>
      </c>
      <c r="B24631" t="inlineStr">
        <is>
          <t>x̄x̄MV̅DCXXX</t>
        </is>
      </c>
      <c r="C24631">
        <f>ROMAN(24630)</f>
        <v/>
      </c>
      <c r="D24631">
        <f>IF(B24631=C24631, "YES", "WRONG")</f>
        <v/>
      </c>
    </row>
    <row r="24632">
      <c r="A24632" t="n">
        <v>24631</v>
      </c>
      <c r="B24632" t="inlineStr">
        <is>
          <t>x̄x̄MV̅DCXXXI</t>
        </is>
      </c>
      <c r="C24632">
        <f>ROMAN(24631)</f>
        <v/>
      </c>
      <c r="D24632">
        <f>IF(B24632=C24632, "YES", "WRONG")</f>
        <v/>
      </c>
    </row>
    <row r="24633">
      <c r="A24633" t="n">
        <v>24632</v>
      </c>
      <c r="B24633" t="inlineStr">
        <is>
          <t>x̄x̄MV̅DCXXXII</t>
        </is>
      </c>
      <c r="C24633">
        <f>ROMAN(24632)</f>
        <v/>
      </c>
      <c r="D24633">
        <f>IF(B24633=C24633, "YES", "WRONG")</f>
        <v/>
      </c>
    </row>
    <row r="24634">
      <c r="A24634" t="n">
        <v>24633</v>
      </c>
      <c r="B24634" t="inlineStr">
        <is>
          <t>x̄x̄MV̅DCXXXIII</t>
        </is>
      </c>
      <c r="C24634">
        <f>ROMAN(24633)</f>
        <v/>
      </c>
      <c r="D24634">
        <f>IF(B24634=C24634, "YES", "WRONG")</f>
        <v/>
      </c>
    </row>
    <row r="24635">
      <c r="A24635" t="n">
        <v>24634</v>
      </c>
      <c r="B24635" t="inlineStr">
        <is>
          <t>x̄x̄MV̅DCXXXIV</t>
        </is>
      </c>
      <c r="C24635">
        <f>ROMAN(24634)</f>
        <v/>
      </c>
      <c r="D24635">
        <f>IF(B24635=C24635, "YES", "WRONG")</f>
        <v/>
      </c>
    </row>
    <row r="24636">
      <c r="A24636" t="n">
        <v>24635</v>
      </c>
      <c r="B24636" t="inlineStr">
        <is>
          <t>x̄x̄MV̅DCXXXV</t>
        </is>
      </c>
      <c r="C24636">
        <f>ROMAN(24635)</f>
        <v/>
      </c>
      <c r="D24636">
        <f>IF(B24636=C24636, "YES", "WRONG")</f>
        <v/>
      </c>
    </row>
    <row r="24637">
      <c r="A24637" t="n">
        <v>24636</v>
      </c>
      <c r="B24637" t="inlineStr">
        <is>
          <t>x̄x̄MV̅DCXXXVI</t>
        </is>
      </c>
      <c r="C24637">
        <f>ROMAN(24636)</f>
        <v/>
      </c>
      <c r="D24637">
        <f>IF(B24637=C24637, "YES", "WRONG")</f>
        <v/>
      </c>
    </row>
    <row r="24638">
      <c r="A24638" t="n">
        <v>24637</v>
      </c>
      <c r="B24638" t="inlineStr">
        <is>
          <t>x̄x̄MV̅DCXXXVII</t>
        </is>
      </c>
      <c r="C24638">
        <f>ROMAN(24637)</f>
        <v/>
      </c>
      <c r="D24638">
        <f>IF(B24638=C24638, "YES", "WRONG")</f>
        <v/>
      </c>
    </row>
    <row r="24639">
      <c r="A24639" t="n">
        <v>24638</v>
      </c>
      <c r="B24639" t="inlineStr">
        <is>
          <t>x̄x̄MV̅DCXXXVIII</t>
        </is>
      </c>
      <c r="C24639">
        <f>ROMAN(24638)</f>
        <v/>
      </c>
      <c r="D24639">
        <f>IF(B24639=C24639, "YES", "WRONG")</f>
        <v/>
      </c>
    </row>
    <row r="24640">
      <c r="A24640" t="n">
        <v>24639</v>
      </c>
      <c r="B24640" t="inlineStr">
        <is>
          <t>x̄x̄MV̅DCXXXIX</t>
        </is>
      </c>
      <c r="C24640">
        <f>ROMAN(24639)</f>
        <v/>
      </c>
      <c r="D24640">
        <f>IF(B24640=C24640, "YES", "WRONG")</f>
        <v/>
      </c>
    </row>
    <row r="24641">
      <c r="A24641" t="n">
        <v>24640</v>
      </c>
      <c r="B24641" t="inlineStr">
        <is>
          <t>x̄x̄MV̅DCXL</t>
        </is>
      </c>
      <c r="C24641">
        <f>ROMAN(24640)</f>
        <v/>
      </c>
      <c r="D24641">
        <f>IF(B24641=C24641, "YES", "WRONG")</f>
        <v/>
      </c>
    </row>
    <row r="24642">
      <c r="A24642" t="n">
        <v>24641</v>
      </c>
      <c r="B24642" t="inlineStr">
        <is>
          <t>x̄x̄MV̅DCXLI</t>
        </is>
      </c>
      <c r="C24642">
        <f>ROMAN(24641)</f>
        <v/>
      </c>
      <c r="D24642">
        <f>IF(B24642=C24642, "YES", "WRONG")</f>
        <v/>
      </c>
    </row>
    <row r="24643">
      <c r="A24643" t="n">
        <v>24642</v>
      </c>
      <c r="B24643" t="inlineStr">
        <is>
          <t>x̄x̄MV̅DCXLII</t>
        </is>
      </c>
      <c r="C24643">
        <f>ROMAN(24642)</f>
        <v/>
      </c>
      <c r="D24643">
        <f>IF(B24643=C24643, "YES", "WRONG")</f>
        <v/>
      </c>
    </row>
    <row r="24644">
      <c r="A24644" t="n">
        <v>24643</v>
      </c>
      <c r="B24644" t="inlineStr">
        <is>
          <t>x̄x̄MV̅DCXLIII</t>
        </is>
      </c>
      <c r="C24644">
        <f>ROMAN(24643)</f>
        <v/>
      </c>
      <c r="D24644">
        <f>IF(B24644=C24644, "YES", "WRONG")</f>
        <v/>
      </c>
    </row>
    <row r="24645">
      <c r="A24645" t="n">
        <v>24644</v>
      </c>
      <c r="B24645" t="inlineStr">
        <is>
          <t>x̄x̄MV̅DCXLIV</t>
        </is>
      </c>
      <c r="C24645">
        <f>ROMAN(24644)</f>
        <v/>
      </c>
      <c r="D24645">
        <f>IF(B24645=C24645, "YES", "WRONG")</f>
        <v/>
      </c>
    </row>
    <row r="24646">
      <c r="A24646" t="n">
        <v>24645</v>
      </c>
      <c r="B24646" t="inlineStr">
        <is>
          <t>x̄x̄MV̅DCXLV</t>
        </is>
      </c>
      <c r="C24646">
        <f>ROMAN(24645)</f>
        <v/>
      </c>
      <c r="D24646">
        <f>IF(B24646=C24646, "YES", "WRONG")</f>
        <v/>
      </c>
    </row>
    <row r="24647">
      <c r="A24647" t="n">
        <v>24646</v>
      </c>
      <c r="B24647" t="inlineStr">
        <is>
          <t>x̄x̄MV̅DCXLVI</t>
        </is>
      </c>
      <c r="C24647">
        <f>ROMAN(24646)</f>
        <v/>
      </c>
      <c r="D24647">
        <f>IF(B24647=C24647, "YES", "WRONG")</f>
        <v/>
      </c>
    </row>
    <row r="24648">
      <c r="A24648" t="n">
        <v>24647</v>
      </c>
      <c r="B24648" t="inlineStr">
        <is>
          <t>x̄x̄MV̅DCXLVII</t>
        </is>
      </c>
      <c r="C24648">
        <f>ROMAN(24647)</f>
        <v/>
      </c>
      <c r="D24648">
        <f>IF(B24648=C24648, "YES", "WRONG")</f>
        <v/>
      </c>
    </row>
    <row r="24649">
      <c r="A24649" t="n">
        <v>24648</v>
      </c>
      <c r="B24649" t="inlineStr">
        <is>
          <t>x̄x̄MV̅DCXLVIII</t>
        </is>
      </c>
      <c r="C24649">
        <f>ROMAN(24648)</f>
        <v/>
      </c>
      <c r="D24649">
        <f>IF(B24649=C24649, "YES", "WRONG")</f>
        <v/>
      </c>
    </row>
    <row r="24650">
      <c r="A24650" t="n">
        <v>24649</v>
      </c>
      <c r="B24650" t="inlineStr">
        <is>
          <t>x̄x̄MV̅DCXLIX</t>
        </is>
      </c>
      <c r="C24650">
        <f>ROMAN(24649)</f>
        <v/>
      </c>
      <c r="D24650">
        <f>IF(B24650=C24650, "YES", "WRONG")</f>
        <v/>
      </c>
    </row>
    <row r="24651">
      <c r="A24651" t="n">
        <v>24650</v>
      </c>
      <c r="B24651" t="inlineStr">
        <is>
          <t>x̄x̄MV̅DCL</t>
        </is>
      </c>
      <c r="C24651">
        <f>ROMAN(24650)</f>
        <v/>
      </c>
      <c r="D24651">
        <f>IF(B24651=C24651, "YES", "WRONG")</f>
        <v/>
      </c>
    </row>
    <row r="24652">
      <c r="A24652" t="n">
        <v>24651</v>
      </c>
      <c r="B24652" t="inlineStr">
        <is>
          <t>x̄x̄MV̅DCLI</t>
        </is>
      </c>
      <c r="C24652">
        <f>ROMAN(24651)</f>
        <v/>
      </c>
      <c r="D24652">
        <f>IF(B24652=C24652, "YES", "WRONG")</f>
        <v/>
      </c>
    </row>
    <row r="24653">
      <c r="A24653" t="n">
        <v>24652</v>
      </c>
      <c r="B24653" t="inlineStr">
        <is>
          <t>x̄x̄MV̅DCLII</t>
        </is>
      </c>
      <c r="C24653">
        <f>ROMAN(24652)</f>
        <v/>
      </c>
      <c r="D24653">
        <f>IF(B24653=C24653, "YES", "WRONG")</f>
        <v/>
      </c>
    </row>
    <row r="24654">
      <c r="A24654" t="n">
        <v>24653</v>
      </c>
      <c r="B24654" t="inlineStr">
        <is>
          <t>x̄x̄MV̅DCLIII</t>
        </is>
      </c>
      <c r="C24654">
        <f>ROMAN(24653)</f>
        <v/>
      </c>
      <c r="D24654">
        <f>IF(B24654=C24654, "YES", "WRONG")</f>
        <v/>
      </c>
    </row>
    <row r="24655">
      <c r="A24655" t="n">
        <v>24654</v>
      </c>
      <c r="B24655" t="inlineStr">
        <is>
          <t>x̄x̄MV̅DCLIV</t>
        </is>
      </c>
      <c r="C24655">
        <f>ROMAN(24654)</f>
        <v/>
      </c>
      <c r="D24655">
        <f>IF(B24655=C24655, "YES", "WRONG")</f>
        <v/>
      </c>
    </row>
    <row r="24656">
      <c r="A24656" t="n">
        <v>24655</v>
      </c>
      <c r="B24656" t="inlineStr">
        <is>
          <t>x̄x̄MV̅DCLV</t>
        </is>
      </c>
      <c r="C24656">
        <f>ROMAN(24655)</f>
        <v/>
      </c>
      <c r="D24656">
        <f>IF(B24656=C24656, "YES", "WRONG")</f>
        <v/>
      </c>
    </row>
    <row r="24657">
      <c r="A24657" t="n">
        <v>24656</v>
      </c>
      <c r="B24657" t="inlineStr">
        <is>
          <t>x̄x̄MV̅DCLVI</t>
        </is>
      </c>
      <c r="C24657">
        <f>ROMAN(24656)</f>
        <v/>
      </c>
      <c r="D24657">
        <f>IF(B24657=C24657, "YES", "WRONG")</f>
        <v/>
      </c>
    </row>
    <row r="24658">
      <c r="A24658" t="n">
        <v>24657</v>
      </c>
      <c r="B24658" t="inlineStr">
        <is>
          <t>x̄x̄MV̅DCLVII</t>
        </is>
      </c>
      <c r="C24658">
        <f>ROMAN(24657)</f>
        <v/>
      </c>
      <c r="D24658">
        <f>IF(B24658=C24658, "YES", "WRONG")</f>
        <v/>
      </c>
    </row>
    <row r="24659">
      <c r="A24659" t="n">
        <v>24658</v>
      </c>
      <c r="B24659" t="inlineStr">
        <is>
          <t>x̄x̄MV̅DCLVIII</t>
        </is>
      </c>
      <c r="C24659">
        <f>ROMAN(24658)</f>
        <v/>
      </c>
      <c r="D24659">
        <f>IF(B24659=C24659, "YES", "WRONG")</f>
        <v/>
      </c>
    </row>
    <row r="24660">
      <c r="A24660" t="n">
        <v>24659</v>
      </c>
      <c r="B24660" t="inlineStr">
        <is>
          <t>x̄x̄MV̅DCLIX</t>
        </is>
      </c>
      <c r="C24660">
        <f>ROMAN(24659)</f>
        <v/>
      </c>
      <c r="D24660">
        <f>IF(B24660=C24660, "YES", "WRONG")</f>
        <v/>
      </c>
    </row>
    <row r="24661">
      <c r="A24661" t="n">
        <v>24660</v>
      </c>
      <c r="B24661" t="inlineStr">
        <is>
          <t>x̄x̄MV̅DCLX</t>
        </is>
      </c>
      <c r="C24661">
        <f>ROMAN(24660)</f>
        <v/>
      </c>
      <c r="D24661">
        <f>IF(B24661=C24661, "YES", "WRONG")</f>
        <v/>
      </c>
    </row>
    <row r="24662">
      <c r="A24662" t="n">
        <v>24661</v>
      </c>
      <c r="B24662" t="inlineStr">
        <is>
          <t>x̄x̄MV̅DCLXI</t>
        </is>
      </c>
      <c r="C24662">
        <f>ROMAN(24661)</f>
        <v/>
      </c>
      <c r="D24662">
        <f>IF(B24662=C24662, "YES", "WRONG")</f>
        <v/>
      </c>
    </row>
    <row r="24663">
      <c r="A24663" t="n">
        <v>24662</v>
      </c>
      <c r="B24663" t="inlineStr">
        <is>
          <t>x̄x̄MV̅DCLXII</t>
        </is>
      </c>
      <c r="C24663">
        <f>ROMAN(24662)</f>
        <v/>
      </c>
      <c r="D24663">
        <f>IF(B24663=C24663, "YES", "WRONG")</f>
        <v/>
      </c>
    </row>
    <row r="24664">
      <c r="A24664" t="n">
        <v>24663</v>
      </c>
      <c r="B24664" t="inlineStr">
        <is>
          <t>x̄x̄MV̅DCLXIII</t>
        </is>
      </c>
      <c r="C24664">
        <f>ROMAN(24663)</f>
        <v/>
      </c>
      <c r="D24664">
        <f>IF(B24664=C24664, "YES", "WRONG")</f>
        <v/>
      </c>
    </row>
    <row r="24665">
      <c r="A24665" t="n">
        <v>24664</v>
      </c>
      <c r="B24665" t="inlineStr">
        <is>
          <t>x̄x̄MV̅DCLXIV</t>
        </is>
      </c>
      <c r="C24665">
        <f>ROMAN(24664)</f>
        <v/>
      </c>
      <c r="D24665">
        <f>IF(B24665=C24665, "YES", "WRONG")</f>
        <v/>
      </c>
    </row>
    <row r="24666">
      <c r="A24666" t="n">
        <v>24665</v>
      </c>
      <c r="B24666" t="inlineStr">
        <is>
          <t>x̄x̄MV̅DCLXV</t>
        </is>
      </c>
      <c r="C24666">
        <f>ROMAN(24665)</f>
        <v/>
      </c>
      <c r="D24666">
        <f>IF(B24666=C24666, "YES", "WRONG")</f>
        <v/>
      </c>
    </row>
    <row r="24667">
      <c r="A24667" t="n">
        <v>24666</v>
      </c>
      <c r="B24667" t="inlineStr">
        <is>
          <t>x̄x̄MV̅DCLXVI</t>
        </is>
      </c>
      <c r="C24667">
        <f>ROMAN(24666)</f>
        <v/>
      </c>
      <c r="D24667">
        <f>IF(B24667=C24667, "YES", "WRONG")</f>
        <v/>
      </c>
    </row>
    <row r="24668">
      <c r="A24668" t="n">
        <v>24667</v>
      </c>
      <c r="B24668" t="inlineStr">
        <is>
          <t>x̄x̄MV̅DCLXVII</t>
        </is>
      </c>
      <c r="C24668">
        <f>ROMAN(24667)</f>
        <v/>
      </c>
      <c r="D24668">
        <f>IF(B24668=C24668, "YES", "WRONG")</f>
        <v/>
      </c>
    </row>
    <row r="24669">
      <c r="A24669" t="n">
        <v>24668</v>
      </c>
      <c r="B24669" t="inlineStr">
        <is>
          <t>x̄x̄MV̅DCLXVIII</t>
        </is>
      </c>
      <c r="C24669">
        <f>ROMAN(24668)</f>
        <v/>
      </c>
      <c r="D24669">
        <f>IF(B24669=C24669, "YES", "WRONG")</f>
        <v/>
      </c>
    </row>
    <row r="24670">
      <c r="A24670" t="n">
        <v>24669</v>
      </c>
      <c r="B24670" t="inlineStr">
        <is>
          <t>x̄x̄MV̅DCLXIX</t>
        </is>
      </c>
      <c r="C24670">
        <f>ROMAN(24669)</f>
        <v/>
      </c>
      <c r="D24670">
        <f>IF(B24670=C24670, "YES", "WRONG")</f>
        <v/>
      </c>
    </row>
    <row r="24671">
      <c r="A24671" t="n">
        <v>24670</v>
      </c>
      <c r="B24671" t="inlineStr">
        <is>
          <t>x̄x̄MV̅DCLXX</t>
        </is>
      </c>
      <c r="C24671">
        <f>ROMAN(24670)</f>
        <v/>
      </c>
      <c r="D24671">
        <f>IF(B24671=C24671, "YES", "WRONG")</f>
        <v/>
      </c>
    </row>
    <row r="24672">
      <c r="A24672" t="n">
        <v>24671</v>
      </c>
      <c r="B24672" t="inlineStr">
        <is>
          <t>x̄x̄MV̅DCLXXI</t>
        </is>
      </c>
      <c r="C24672">
        <f>ROMAN(24671)</f>
        <v/>
      </c>
      <c r="D24672">
        <f>IF(B24672=C24672, "YES", "WRONG")</f>
        <v/>
      </c>
    </row>
    <row r="24673">
      <c r="A24673" t="n">
        <v>24672</v>
      </c>
      <c r="B24673" t="inlineStr">
        <is>
          <t>x̄x̄MV̅DCLXXII</t>
        </is>
      </c>
      <c r="C24673">
        <f>ROMAN(24672)</f>
        <v/>
      </c>
      <c r="D24673">
        <f>IF(B24673=C24673, "YES", "WRONG")</f>
        <v/>
      </c>
    </row>
    <row r="24674">
      <c r="A24674" t="n">
        <v>24673</v>
      </c>
      <c r="B24674" t="inlineStr">
        <is>
          <t>x̄x̄MV̅DCLXXIII</t>
        </is>
      </c>
      <c r="C24674">
        <f>ROMAN(24673)</f>
        <v/>
      </c>
      <c r="D24674">
        <f>IF(B24674=C24674, "YES", "WRONG")</f>
        <v/>
      </c>
    </row>
    <row r="24675">
      <c r="A24675" t="n">
        <v>24674</v>
      </c>
      <c r="B24675" t="inlineStr">
        <is>
          <t>x̄x̄MV̅DCLXXIV</t>
        </is>
      </c>
      <c r="C24675">
        <f>ROMAN(24674)</f>
        <v/>
      </c>
      <c r="D24675">
        <f>IF(B24675=C24675, "YES", "WRONG")</f>
        <v/>
      </c>
    </row>
    <row r="24676">
      <c r="A24676" t="n">
        <v>24675</v>
      </c>
      <c r="B24676" t="inlineStr">
        <is>
          <t>x̄x̄MV̅DCLXXV</t>
        </is>
      </c>
      <c r="C24676">
        <f>ROMAN(24675)</f>
        <v/>
      </c>
      <c r="D24676">
        <f>IF(B24676=C24676, "YES", "WRONG")</f>
        <v/>
      </c>
    </row>
    <row r="24677">
      <c r="A24677" t="n">
        <v>24676</v>
      </c>
      <c r="B24677" t="inlineStr">
        <is>
          <t>x̄x̄MV̅DCLXXVI</t>
        </is>
      </c>
      <c r="C24677">
        <f>ROMAN(24676)</f>
        <v/>
      </c>
      <c r="D24677">
        <f>IF(B24677=C24677, "YES", "WRONG")</f>
        <v/>
      </c>
    </row>
    <row r="24678">
      <c r="A24678" t="n">
        <v>24677</v>
      </c>
      <c r="B24678" t="inlineStr">
        <is>
          <t>x̄x̄MV̅DCLXXVII</t>
        </is>
      </c>
      <c r="C24678">
        <f>ROMAN(24677)</f>
        <v/>
      </c>
      <c r="D24678">
        <f>IF(B24678=C24678, "YES", "WRONG")</f>
        <v/>
      </c>
    </row>
    <row r="24679">
      <c r="A24679" t="n">
        <v>24678</v>
      </c>
      <c r="B24679" t="inlineStr">
        <is>
          <t>x̄x̄MV̅DCLXXVIII</t>
        </is>
      </c>
      <c r="C24679">
        <f>ROMAN(24678)</f>
        <v/>
      </c>
      <c r="D24679">
        <f>IF(B24679=C24679, "YES", "WRONG")</f>
        <v/>
      </c>
    </row>
    <row r="24680">
      <c r="A24680" t="n">
        <v>24679</v>
      </c>
      <c r="B24680" t="inlineStr">
        <is>
          <t>x̄x̄MV̅DCLXXIX</t>
        </is>
      </c>
      <c r="C24680">
        <f>ROMAN(24679)</f>
        <v/>
      </c>
      <c r="D24680">
        <f>IF(B24680=C24680, "YES", "WRONG")</f>
        <v/>
      </c>
    </row>
    <row r="24681">
      <c r="A24681" t="n">
        <v>24680</v>
      </c>
      <c r="B24681" t="inlineStr">
        <is>
          <t>x̄x̄MV̅DCLXXX</t>
        </is>
      </c>
      <c r="C24681">
        <f>ROMAN(24680)</f>
        <v/>
      </c>
      <c r="D24681">
        <f>IF(B24681=C24681, "YES", "WRONG")</f>
        <v/>
      </c>
    </row>
    <row r="24682">
      <c r="A24682" t="n">
        <v>24681</v>
      </c>
      <c r="B24682" t="inlineStr">
        <is>
          <t>x̄x̄MV̅DCLXXXI</t>
        </is>
      </c>
      <c r="C24682">
        <f>ROMAN(24681)</f>
        <v/>
      </c>
      <c r="D24682">
        <f>IF(B24682=C24682, "YES", "WRONG")</f>
        <v/>
      </c>
    </row>
    <row r="24683">
      <c r="A24683" t="n">
        <v>24682</v>
      </c>
      <c r="B24683" t="inlineStr">
        <is>
          <t>x̄x̄MV̅DCLXXXII</t>
        </is>
      </c>
      <c r="C24683">
        <f>ROMAN(24682)</f>
        <v/>
      </c>
      <c r="D24683">
        <f>IF(B24683=C24683, "YES", "WRONG")</f>
        <v/>
      </c>
    </row>
    <row r="24684">
      <c r="A24684" t="n">
        <v>24683</v>
      </c>
      <c r="B24684" t="inlineStr">
        <is>
          <t>x̄x̄MV̅DCLXXXIII</t>
        </is>
      </c>
      <c r="C24684">
        <f>ROMAN(24683)</f>
        <v/>
      </c>
      <c r="D24684">
        <f>IF(B24684=C24684, "YES", "WRONG")</f>
        <v/>
      </c>
    </row>
    <row r="24685">
      <c r="A24685" t="n">
        <v>24684</v>
      </c>
      <c r="B24685" t="inlineStr">
        <is>
          <t>x̄x̄MV̅DCLXXXIV</t>
        </is>
      </c>
      <c r="C24685">
        <f>ROMAN(24684)</f>
        <v/>
      </c>
      <c r="D24685">
        <f>IF(B24685=C24685, "YES", "WRONG")</f>
        <v/>
      </c>
    </row>
    <row r="24686">
      <c r="A24686" t="n">
        <v>24685</v>
      </c>
      <c r="B24686" t="inlineStr">
        <is>
          <t>x̄x̄MV̅DCLXXXV</t>
        </is>
      </c>
      <c r="C24686">
        <f>ROMAN(24685)</f>
        <v/>
      </c>
      <c r="D24686">
        <f>IF(B24686=C24686, "YES", "WRONG")</f>
        <v/>
      </c>
    </row>
    <row r="24687">
      <c r="A24687" t="n">
        <v>24686</v>
      </c>
      <c r="B24687" t="inlineStr">
        <is>
          <t>x̄x̄MV̅DCLXXXVI</t>
        </is>
      </c>
      <c r="C24687">
        <f>ROMAN(24686)</f>
        <v/>
      </c>
      <c r="D24687">
        <f>IF(B24687=C24687, "YES", "WRONG")</f>
        <v/>
      </c>
    </row>
    <row r="24688">
      <c r="A24688" t="n">
        <v>24687</v>
      </c>
      <c r="B24688" t="inlineStr">
        <is>
          <t>x̄x̄MV̅DCLXXXVII</t>
        </is>
      </c>
      <c r="C24688">
        <f>ROMAN(24687)</f>
        <v/>
      </c>
      <c r="D24688">
        <f>IF(B24688=C24688, "YES", "WRONG")</f>
        <v/>
      </c>
    </row>
    <row r="24689">
      <c r="A24689" t="n">
        <v>24688</v>
      </c>
      <c r="B24689" t="inlineStr">
        <is>
          <t>x̄x̄MV̅DCLXXXVIII</t>
        </is>
      </c>
      <c r="C24689">
        <f>ROMAN(24688)</f>
        <v/>
      </c>
      <c r="D24689">
        <f>IF(B24689=C24689, "YES", "WRONG")</f>
        <v/>
      </c>
    </row>
    <row r="24690">
      <c r="A24690" t="n">
        <v>24689</v>
      </c>
      <c r="B24690" t="inlineStr">
        <is>
          <t>x̄x̄MV̅DCLXXXIX</t>
        </is>
      </c>
      <c r="C24690">
        <f>ROMAN(24689)</f>
        <v/>
      </c>
      <c r="D24690">
        <f>IF(B24690=C24690, "YES", "WRONG")</f>
        <v/>
      </c>
    </row>
    <row r="24691">
      <c r="A24691" t="n">
        <v>24690</v>
      </c>
      <c r="B24691" t="inlineStr">
        <is>
          <t>x̄x̄MV̅DCXC</t>
        </is>
      </c>
      <c r="C24691">
        <f>ROMAN(24690)</f>
        <v/>
      </c>
      <c r="D24691">
        <f>IF(B24691=C24691, "YES", "WRONG")</f>
        <v/>
      </c>
    </row>
    <row r="24692">
      <c r="A24692" t="n">
        <v>24691</v>
      </c>
      <c r="B24692" t="inlineStr">
        <is>
          <t>x̄x̄MV̅DCXCI</t>
        </is>
      </c>
      <c r="C24692">
        <f>ROMAN(24691)</f>
        <v/>
      </c>
      <c r="D24692">
        <f>IF(B24692=C24692, "YES", "WRONG")</f>
        <v/>
      </c>
    </row>
    <row r="24693">
      <c r="A24693" t="n">
        <v>24692</v>
      </c>
      <c r="B24693" t="inlineStr">
        <is>
          <t>x̄x̄MV̅DCXCII</t>
        </is>
      </c>
      <c r="C24693">
        <f>ROMAN(24692)</f>
        <v/>
      </c>
      <c r="D24693">
        <f>IF(B24693=C24693, "YES", "WRONG")</f>
        <v/>
      </c>
    </row>
    <row r="24694">
      <c r="A24694" t="n">
        <v>24693</v>
      </c>
      <c r="B24694" t="inlineStr">
        <is>
          <t>x̄x̄MV̅DCXCIII</t>
        </is>
      </c>
      <c r="C24694">
        <f>ROMAN(24693)</f>
        <v/>
      </c>
      <c r="D24694">
        <f>IF(B24694=C24694, "YES", "WRONG")</f>
        <v/>
      </c>
    </row>
    <row r="24695">
      <c r="A24695" t="n">
        <v>24694</v>
      </c>
      <c r="B24695" t="inlineStr">
        <is>
          <t>x̄x̄MV̅DCXCIV</t>
        </is>
      </c>
      <c r="C24695">
        <f>ROMAN(24694)</f>
        <v/>
      </c>
      <c r="D24695">
        <f>IF(B24695=C24695, "YES", "WRONG")</f>
        <v/>
      </c>
    </row>
    <row r="24696">
      <c r="A24696" t="n">
        <v>24695</v>
      </c>
      <c r="B24696" t="inlineStr">
        <is>
          <t>x̄x̄MV̅DCXCV</t>
        </is>
      </c>
      <c r="C24696">
        <f>ROMAN(24695)</f>
        <v/>
      </c>
      <c r="D24696">
        <f>IF(B24696=C24696, "YES", "WRONG")</f>
        <v/>
      </c>
    </row>
    <row r="24697">
      <c r="A24697" t="n">
        <v>24696</v>
      </c>
      <c r="B24697" t="inlineStr">
        <is>
          <t>x̄x̄MV̅DCXCVI</t>
        </is>
      </c>
      <c r="C24697">
        <f>ROMAN(24696)</f>
        <v/>
      </c>
      <c r="D24697">
        <f>IF(B24697=C24697, "YES", "WRONG")</f>
        <v/>
      </c>
    </row>
    <row r="24698">
      <c r="A24698" t="n">
        <v>24697</v>
      </c>
      <c r="B24698" t="inlineStr">
        <is>
          <t>x̄x̄MV̅DCXCVII</t>
        </is>
      </c>
      <c r="C24698">
        <f>ROMAN(24697)</f>
        <v/>
      </c>
      <c r="D24698">
        <f>IF(B24698=C24698, "YES", "WRONG")</f>
        <v/>
      </c>
    </row>
    <row r="24699">
      <c r="A24699" t="n">
        <v>24698</v>
      </c>
      <c r="B24699" t="inlineStr">
        <is>
          <t>x̄x̄MV̅DCXCVIII</t>
        </is>
      </c>
      <c r="C24699">
        <f>ROMAN(24698)</f>
        <v/>
      </c>
      <c r="D24699">
        <f>IF(B24699=C24699, "YES", "WRONG")</f>
        <v/>
      </c>
    </row>
    <row r="24700">
      <c r="A24700" t="n">
        <v>24699</v>
      </c>
      <c r="B24700" t="inlineStr">
        <is>
          <t>x̄x̄MV̅DCXCIX</t>
        </is>
      </c>
      <c r="C24700">
        <f>ROMAN(24699)</f>
        <v/>
      </c>
      <c r="D24700">
        <f>IF(B24700=C24700, "YES", "WRONG")</f>
        <v/>
      </c>
    </row>
    <row r="24701">
      <c r="A24701" t="n">
        <v>24700</v>
      </c>
      <c r="B24701" t="inlineStr">
        <is>
          <t>x̄x̄MV̅DCC</t>
        </is>
      </c>
      <c r="C24701">
        <f>ROMAN(24700)</f>
        <v/>
      </c>
      <c r="D24701">
        <f>IF(B24701=C24701, "YES", "WRONG")</f>
        <v/>
      </c>
    </row>
    <row r="24702">
      <c r="A24702" t="n">
        <v>24701</v>
      </c>
      <c r="B24702" t="inlineStr">
        <is>
          <t>x̄x̄MV̅DCCI</t>
        </is>
      </c>
      <c r="C24702">
        <f>ROMAN(24701)</f>
        <v/>
      </c>
      <c r="D24702">
        <f>IF(B24702=C24702, "YES", "WRONG")</f>
        <v/>
      </c>
    </row>
    <row r="24703">
      <c r="A24703" t="n">
        <v>24702</v>
      </c>
      <c r="B24703" t="inlineStr">
        <is>
          <t>x̄x̄MV̅DCCII</t>
        </is>
      </c>
      <c r="C24703">
        <f>ROMAN(24702)</f>
        <v/>
      </c>
      <c r="D24703">
        <f>IF(B24703=C24703, "YES", "WRONG")</f>
        <v/>
      </c>
    </row>
    <row r="24704">
      <c r="A24704" t="n">
        <v>24703</v>
      </c>
      <c r="B24704" t="inlineStr">
        <is>
          <t>x̄x̄MV̅DCCIII</t>
        </is>
      </c>
      <c r="C24704">
        <f>ROMAN(24703)</f>
        <v/>
      </c>
      <c r="D24704">
        <f>IF(B24704=C24704, "YES", "WRONG")</f>
        <v/>
      </c>
    </row>
    <row r="24705">
      <c r="A24705" t="n">
        <v>24704</v>
      </c>
      <c r="B24705" t="inlineStr">
        <is>
          <t>x̄x̄MV̅DCCIV</t>
        </is>
      </c>
      <c r="C24705">
        <f>ROMAN(24704)</f>
        <v/>
      </c>
      <c r="D24705">
        <f>IF(B24705=C24705, "YES", "WRONG")</f>
        <v/>
      </c>
    </row>
    <row r="24706">
      <c r="A24706" t="n">
        <v>24705</v>
      </c>
      <c r="B24706" t="inlineStr">
        <is>
          <t>x̄x̄MV̅DCCV</t>
        </is>
      </c>
      <c r="C24706">
        <f>ROMAN(24705)</f>
        <v/>
      </c>
      <c r="D24706">
        <f>IF(B24706=C24706, "YES", "WRONG")</f>
        <v/>
      </c>
    </row>
    <row r="24707">
      <c r="A24707" t="n">
        <v>24706</v>
      </c>
      <c r="B24707" t="inlineStr">
        <is>
          <t>x̄x̄MV̅DCCVI</t>
        </is>
      </c>
      <c r="C24707">
        <f>ROMAN(24706)</f>
        <v/>
      </c>
      <c r="D24707">
        <f>IF(B24707=C24707, "YES", "WRONG")</f>
        <v/>
      </c>
    </row>
    <row r="24708">
      <c r="A24708" t="n">
        <v>24707</v>
      </c>
      <c r="B24708" t="inlineStr">
        <is>
          <t>x̄x̄MV̅DCCVII</t>
        </is>
      </c>
      <c r="C24708">
        <f>ROMAN(24707)</f>
        <v/>
      </c>
      <c r="D24708">
        <f>IF(B24708=C24708, "YES", "WRONG")</f>
        <v/>
      </c>
    </row>
    <row r="24709">
      <c r="A24709" t="n">
        <v>24708</v>
      </c>
      <c r="B24709" t="inlineStr">
        <is>
          <t>x̄x̄MV̅DCCVIII</t>
        </is>
      </c>
      <c r="C24709">
        <f>ROMAN(24708)</f>
        <v/>
      </c>
      <c r="D24709">
        <f>IF(B24709=C24709, "YES", "WRONG")</f>
        <v/>
      </c>
    </row>
    <row r="24710">
      <c r="A24710" t="n">
        <v>24709</v>
      </c>
      <c r="B24710" t="inlineStr">
        <is>
          <t>x̄x̄MV̅DCCIX</t>
        </is>
      </c>
      <c r="C24710">
        <f>ROMAN(24709)</f>
        <v/>
      </c>
      <c r="D24710">
        <f>IF(B24710=C24710, "YES", "WRONG")</f>
        <v/>
      </c>
    </row>
    <row r="24711">
      <c r="A24711" t="n">
        <v>24710</v>
      </c>
      <c r="B24711" t="inlineStr">
        <is>
          <t>x̄x̄MV̅DCCX</t>
        </is>
      </c>
      <c r="C24711">
        <f>ROMAN(24710)</f>
        <v/>
      </c>
      <c r="D24711">
        <f>IF(B24711=C24711, "YES", "WRONG")</f>
        <v/>
      </c>
    </row>
    <row r="24712">
      <c r="A24712" t="n">
        <v>24711</v>
      </c>
      <c r="B24712" t="inlineStr">
        <is>
          <t>x̄x̄MV̅DCCXI</t>
        </is>
      </c>
      <c r="C24712">
        <f>ROMAN(24711)</f>
        <v/>
      </c>
      <c r="D24712">
        <f>IF(B24712=C24712, "YES", "WRONG")</f>
        <v/>
      </c>
    </row>
    <row r="24713">
      <c r="A24713" t="n">
        <v>24712</v>
      </c>
      <c r="B24713" t="inlineStr">
        <is>
          <t>x̄x̄MV̅DCCXII</t>
        </is>
      </c>
      <c r="C24713">
        <f>ROMAN(24712)</f>
        <v/>
      </c>
      <c r="D24713">
        <f>IF(B24713=C24713, "YES", "WRONG")</f>
        <v/>
      </c>
    </row>
    <row r="24714">
      <c r="A24714" t="n">
        <v>24713</v>
      </c>
      <c r="B24714" t="inlineStr">
        <is>
          <t>x̄x̄MV̅DCCXIII</t>
        </is>
      </c>
      <c r="C24714">
        <f>ROMAN(24713)</f>
        <v/>
      </c>
      <c r="D24714">
        <f>IF(B24714=C24714, "YES", "WRONG")</f>
        <v/>
      </c>
    </row>
    <row r="24715">
      <c r="A24715" t="n">
        <v>24714</v>
      </c>
      <c r="B24715" t="inlineStr">
        <is>
          <t>x̄x̄MV̅DCCXIV</t>
        </is>
      </c>
      <c r="C24715">
        <f>ROMAN(24714)</f>
        <v/>
      </c>
      <c r="D24715">
        <f>IF(B24715=C24715, "YES", "WRONG")</f>
        <v/>
      </c>
    </row>
    <row r="24716">
      <c r="A24716" t="n">
        <v>24715</v>
      </c>
      <c r="B24716" t="inlineStr">
        <is>
          <t>x̄x̄MV̅DCCXV</t>
        </is>
      </c>
      <c r="C24716">
        <f>ROMAN(24715)</f>
        <v/>
      </c>
      <c r="D24716">
        <f>IF(B24716=C24716, "YES", "WRONG")</f>
        <v/>
      </c>
    </row>
    <row r="24717">
      <c r="A24717" t="n">
        <v>24716</v>
      </c>
      <c r="B24717" t="inlineStr">
        <is>
          <t>x̄x̄MV̅DCCXVI</t>
        </is>
      </c>
      <c r="C24717">
        <f>ROMAN(24716)</f>
        <v/>
      </c>
      <c r="D24717">
        <f>IF(B24717=C24717, "YES", "WRONG")</f>
        <v/>
      </c>
    </row>
    <row r="24718">
      <c r="A24718" t="n">
        <v>24717</v>
      </c>
      <c r="B24718" t="inlineStr">
        <is>
          <t>x̄x̄MV̅DCCXVII</t>
        </is>
      </c>
      <c r="C24718">
        <f>ROMAN(24717)</f>
        <v/>
      </c>
      <c r="D24718">
        <f>IF(B24718=C24718, "YES", "WRONG")</f>
        <v/>
      </c>
    </row>
    <row r="24719">
      <c r="A24719" t="n">
        <v>24718</v>
      </c>
      <c r="B24719" t="inlineStr">
        <is>
          <t>x̄x̄MV̅DCCXVIII</t>
        </is>
      </c>
      <c r="C24719">
        <f>ROMAN(24718)</f>
        <v/>
      </c>
      <c r="D24719">
        <f>IF(B24719=C24719, "YES", "WRONG")</f>
        <v/>
      </c>
    </row>
    <row r="24720">
      <c r="A24720" t="n">
        <v>24719</v>
      </c>
      <c r="B24720" t="inlineStr">
        <is>
          <t>x̄x̄MV̅DCCXIX</t>
        </is>
      </c>
      <c r="C24720">
        <f>ROMAN(24719)</f>
        <v/>
      </c>
      <c r="D24720">
        <f>IF(B24720=C24720, "YES", "WRONG")</f>
        <v/>
      </c>
    </row>
    <row r="24721">
      <c r="A24721" t="n">
        <v>24720</v>
      </c>
      <c r="B24721" t="inlineStr">
        <is>
          <t>x̄x̄MV̅DCCXX</t>
        </is>
      </c>
      <c r="C24721">
        <f>ROMAN(24720)</f>
        <v/>
      </c>
      <c r="D24721">
        <f>IF(B24721=C24721, "YES", "WRONG")</f>
        <v/>
      </c>
    </row>
    <row r="24722">
      <c r="A24722" t="n">
        <v>24721</v>
      </c>
      <c r="B24722" t="inlineStr">
        <is>
          <t>x̄x̄MV̅DCCXXI</t>
        </is>
      </c>
      <c r="C24722">
        <f>ROMAN(24721)</f>
        <v/>
      </c>
      <c r="D24722">
        <f>IF(B24722=C24722, "YES", "WRONG")</f>
        <v/>
      </c>
    </row>
    <row r="24723">
      <c r="A24723" t="n">
        <v>24722</v>
      </c>
      <c r="B24723" t="inlineStr">
        <is>
          <t>x̄x̄MV̅DCCXXII</t>
        </is>
      </c>
      <c r="C24723">
        <f>ROMAN(24722)</f>
        <v/>
      </c>
      <c r="D24723">
        <f>IF(B24723=C24723, "YES", "WRONG")</f>
        <v/>
      </c>
    </row>
    <row r="24724">
      <c r="A24724" t="n">
        <v>24723</v>
      </c>
      <c r="B24724" t="inlineStr">
        <is>
          <t>x̄x̄MV̅DCCXXIII</t>
        </is>
      </c>
      <c r="C24724">
        <f>ROMAN(24723)</f>
        <v/>
      </c>
      <c r="D24724">
        <f>IF(B24724=C24724, "YES", "WRONG")</f>
        <v/>
      </c>
    </row>
    <row r="24725">
      <c r="A24725" t="n">
        <v>24724</v>
      </c>
      <c r="B24725" t="inlineStr">
        <is>
          <t>x̄x̄MV̅DCCXXIV</t>
        </is>
      </c>
      <c r="C24725">
        <f>ROMAN(24724)</f>
        <v/>
      </c>
      <c r="D24725">
        <f>IF(B24725=C24725, "YES", "WRONG")</f>
        <v/>
      </c>
    </row>
    <row r="24726">
      <c r="A24726" t="n">
        <v>24725</v>
      </c>
      <c r="B24726" t="inlineStr">
        <is>
          <t>x̄x̄MV̅DCCXXV</t>
        </is>
      </c>
      <c r="C24726">
        <f>ROMAN(24725)</f>
        <v/>
      </c>
      <c r="D24726">
        <f>IF(B24726=C24726, "YES", "WRONG")</f>
        <v/>
      </c>
    </row>
    <row r="24727">
      <c r="A24727" t="n">
        <v>24726</v>
      </c>
      <c r="B24727" t="inlineStr">
        <is>
          <t>x̄x̄MV̅DCCXXVI</t>
        </is>
      </c>
      <c r="C24727">
        <f>ROMAN(24726)</f>
        <v/>
      </c>
      <c r="D24727">
        <f>IF(B24727=C24727, "YES", "WRONG")</f>
        <v/>
      </c>
    </row>
    <row r="24728">
      <c r="A24728" t="n">
        <v>24727</v>
      </c>
      <c r="B24728" t="inlineStr">
        <is>
          <t>x̄x̄MV̅DCCXXVII</t>
        </is>
      </c>
      <c r="C24728">
        <f>ROMAN(24727)</f>
        <v/>
      </c>
      <c r="D24728">
        <f>IF(B24728=C24728, "YES", "WRONG")</f>
        <v/>
      </c>
    </row>
    <row r="24729">
      <c r="A24729" t="n">
        <v>24728</v>
      </c>
      <c r="B24729" t="inlineStr">
        <is>
          <t>x̄x̄MV̅DCCXXVIII</t>
        </is>
      </c>
      <c r="C24729">
        <f>ROMAN(24728)</f>
        <v/>
      </c>
      <c r="D24729">
        <f>IF(B24729=C24729, "YES", "WRONG")</f>
        <v/>
      </c>
    </row>
    <row r="24730">
      <c r="A24730" t="n">
        <v>24729</v>
      </c>
      <c r="B24730" t="inlineStr">
        <is>
          <t>x̄x̄MV̅DCCXXIX</t>
        </is>
      </c>
      <c r="C24730">
        <f>ROMAN(24729)</f>
        <v/>
      </c>
      <c r="D24730">
        <f>IF(B24730=C24730, "YES", "WRONG")</f>
        <v/>
      </c>
    </row>
    <row r="24731">
      <c r="A24731" t="n">
        <v>24730</v>
      </c>
      <c r="B24731" t="inlineStr">
        <is>
          <t>x̄x̄MV̅DCCXXX</t>
        </is>
      </c>
      <c r="C24731">
        <f>ROMAN(24730)</f>
        <v/>
      </c>
      <c r="D24731">
        <f>IF(B24731=C24731, "YES", "WRONG")</f>
        <v/>
      </c>
    </row>
    <row r="24732">
      <c r="A24732" t="n">
        <v>24731</v>
      </c>
      <c r="B24732" t="inlineStr">
        <is>
          <t>x̄x̄MV̅DCCXXXI</t>
        </is>
      </c>
      <c r="C24732">
        <f>ROMAN(24731)</f>
        <v/>
      </c>
      <c r="D24732">
        <f>IF(B24732=C24732, "YES", "WRONG")</f>
        <v/>
      </c>
    </row>
    <row r="24733">
      <c r="A24733" t="n">
        <v>24732</v>
      </c>
      <c r="B24733" t="inlineStr">
        <is>
          <t>x̄x̄MV̅DCCXXXII</t>
        </is>
      </c>
      <c r="C24733">
        <f>ROMAN(24732)</f>
        <v/>
      </c>
      <c r="D24733">
        <f>IF(B24733=C24733, "YES", "WRONG")</f>
        <v/>
      </c>
    </row>
    <row r="24734">
      <c r="A24734" t="n">
        <v>24733</v>
      </c>
      <c r="B24734" t="inlineStr">
        <is>
          <t>x̄x̄MV̅DCCXXXIII</t>
        </is>
      </c>
      <c r="C24734">
        <f>ROMAN(24733)</f>
        <v/>
      </c>
      <c r="D24734">
        <f>IF(B24734=C24734, "YES", "WRONG")</f>
        <v/>
      </c>
    </row>
    <row r="24735">
      <c r="A24735" t="n">
        <v>24734</v>
      </c>
      <c r="B24735" t="inlineStr">
        <is>
          <t>x̄x̄MV̅DCCXXXIV</t>
        </is>
      </c>
      <c r="C24735">
        <f>ROMAN(24734)</f>
        <v/>
      </c>
      <c r="D24735">
        <f>IF(B24735=C24735, "YES", "WRONG")</f>
        <v/>
      </c>
    </row>
    <row r="24736">
      <c r="A24736" t="n">
        <v>24735</v>
      </c>
      <c r="B24736" t="inlineStr">
        <is>
          <t>x̄x̄MV̅DCCXXXV</t>
        </is>
      </c>
      <c r="C24736">
        <f>ROMAN(24735)</f>
        <v/>
      </c>
      <c r="D24736">
        <f>IF(B24736=C24736, "YES", "WRONG")</f>
        <v/>
      </c>
    </row>
    <row r="24737">
      <c r="A24737" t="n">
        <v>24736</v>
      </c>
      <c r="B24737" t="inlineStr">
        <is>
          <t>x̄x̄MV̅DCCXXXVI</t>
        </is>
      </c>
      <c r="C24737">
        <f>ROMAN(24736)</f>
        <v/>
      </c>
      <c r="D24737">
        <f>IF(B24737=C24737, "YES", "WRONG")</f>
        <v/>
      </c>
    </row>
    <row r="24738">
      <c r="A24738" t="n">
        <v>24737</v>
      </c>
      <c r="B24738" t="inlineStr">
        <is>
          <t>x̄x̄MV̅DCCXXXVII</t>
        </is>
      </c>
      <c r="C24738">
        <f>ROMAN(24737)</f>
        <v/>
      </c>
      <c r="D24738">
        <f>IF(B24738=C24738, "YES", "WRONG")</f>
        <v/>
      </c>
    </row>
    <row r="24739">
      <c r="A24739" t="n">
        <v>24738</v>
      </c>
      <c r="B24739" t="inlineStr">
        <is>
          <t>x̄x̄MV̅DCCXXXVIII</t>
        </is>
      </c>
      <c r="C24739">
        <f>ROMAN(24738)</f>
        <v/>
      </c>
      <c r="D24739">
        <f>IF(B24739=C24739, "YES", "WRONG")</f>
        <v/>
      </c>
    </row>
    <row r="24740">
      <c r="A24740" t="n">
        <v>24739</v>
      </c>
      <c r="B24740" t="inlineStr">
        <is>
          <t>x̄x̄MV̅DCCXXXIX</t>
        </is>
      </c>
      <c r="C24740">
        <f>ROMAN(24739)</f>
        <v/>
      </c>
      <c r="D24740">
        <f>IF(B24740=C24740, "YES", "WRONG")</f>
        <v/>
      </c>
    </row>
    <row r="24741">
      <c r="A24741" t="n">
        <v>24740</v>
      </c>
      <c r="B24741" t="inlineStr">
        <is>
          <t>x̄x̄MV̅DCCXL</t>
        </is>
      </c>
      <c r="C24741">
        <f>ROMAN(24740)</f>
        <v/>
      </c>
      <c r="D24741">
        <f>IF(B24741=C24741, "YES", "WRONG")</f>
        <v/>
      </c>
    </row>
    <row r="24742">
      <c r="A24742" t="n">
        <v>24741</v>
      </c>
      <c r="B24742" t="inlineStr">
        <is>
          <t>x̄x̄MV̅DCCXLI</t>
        </is>
      </c>
      <c r="C24742">
        <f>ROMAN(24741)</f>
        <v/>
      </c>
      <c r="D24742">
        <f>IF(B24742=C24742, "YES", "WRONG")</f>
        <v/>
      </c>
    </row>
    <row r="24743">
      <c r="A24743" t="n">
        <v>24742</v>
      </c>
      <c r="B24743" t="inlineStr">
        <is>
          <t>x̄x̄MV̅DCCXLII</t>
        </is>
      </c>
      <c r="C24743">
        <f>ROMAN(24742)</f>
        <v/>
      </c>
      <c r="D24743">
        <f>IF(B24743=C24743, "YES", "WRONG")</f>
        <v/>
      </c>
    </row>
    <row r="24744">
      <c r="A24744" t="n">
        <v>24743</v>
      </c>
      <c r="B24744" t="inlineStr">
        <is>
          <t>x̄x̄MV̅DCCXLIII</t>
        </is>
      </c>
      <c r="C24744">
        <f>ROMAN(24743)</f>
        <v/>
      </c>
      <c r="D24744">
        <f>IF(B24744=C24744, "YES", "WRONG")</f>
        <v/>
      </c>
    </row>
    <row r="24745">
      <c r="A24745" t="n">
        <v>24744</v>
      </c>
      <c r="B24745" t="inlineStr">
        <is>
          <t>x̄x̄MV̅DCCXLIV</t>
        </is>
      </c>
      <c r="C24745">
        <f>ROMAN(24744)</f>
        <v/>
      </c>
      <c r="D24745">
        <f>IF(B24745=C24745, "YES", "WRONG")</f>
        <v/>
      </c>
    </row>
    <row r="24746">
      <c r="A24746" t="n">
        <v>24745</v>
      </c>
      <c r="B24746" t="inlineStr">
        <is>
          <t>x̄x̄MV̅DCCXLV</t>
        </is>
      </c>
      <c r="C24746">
        <f>ROMAN(24745)</f>
        <v/>
      </c>
      <c r="D24746">
        <f>IF(B24746=C24746, "YES", "WRONG")</f>
        <v/>
      </c>
    </row>
    <row r="24747">
      <c r="A24747" t="n">
        <v>24746</v>
      </c>
      <c r="B24747" t="inlineStr">
        <is>
          <t>x̄x̄MV̅DCCXLVI</t>
        </is>
      </c>
      <c r="C24747">
        <f>ROMAN(24746)</f>
        <v/>
      </c>
      <c r="D24747">
        <f>IF(B24747=C24747, "YES", "WRONG")</f>
        <v/>
      </c>
    </row>
    <row r="24748">
      <c r="A24748" t="n">
        <v>24747</v>
      </c>
      <c r="B24748" t="inlineStr">
        <is>
          <t>x̄x̄MV̅DCCXLVII</t>
        </is>
      </c>
      <c r="C24748">
        <f>ROMAN(24747)</f>
        <v/>
      </c>
      <c r="D24748">
        <f>IF(B24748=C24748, "YES", "WRONG")</f>
        <v/>
      </c>
    </row>
    <row r="24749">
      <c r="A24749" t="n">
        <v>24748</v>
      </c>
      <c r="B24749" t="inlineStr">
        <is>
          <t>x̄x̄MV̅DCCXLVIII</t>
        </is>
      </c>
      <c r="C24749">
        <f>ROMAN(24748)</f>
        <v/>
      </c>
      <c r="D24749">
        <f>IF(B24749=C24749, "YES", "WRONG")</f>
        <v/>
      </c>
    </row>
    <row r="24750">
      <c r="A24750" t="n">
        <v>24749</v>
      </c>
      <c r="B24750" t="inlineStr">
        <is>
          <t>x̄x̄MV̅DCCXLIX</t>
        </is>
      </c>
      <c r="C24750">
        <f>ROMAN(24749)</f>
        <v/>
      </c>
      <c r="D24750">
        <f>IF(B24750=C24750, "YES", "WRONG")</f>
        <v/>
      </c>
    </row>
    <row r="24751">
      <c r="A24751" t="n">
        <v>24750</v>
      </c>
      <c r="B24751" t="inlineStr">
        <is>
          <t>x̄x̄MV̅DCCL</t>
        </is>
      </c>
      <c r="C24751">
        <f>ROMAN(24750)</f>
        <v/>
      </c>
      <c r="D24751">
        <f>IF(B24751=C24751, "YES", "WRONG")</f>
        <v/>
      </c>
    </row>
    <row r="24752">
      <c r="A24752" t="n">
        <v>24751</v>
      </c>
      <c r="B24752" t="inlineStr">
        <is>
          <t>x̄x̄MV̅DCCLI</t>
        </is>
      </c>
      <c r="C24752">
        <f>ROMAN(24751)</f>
        <v/>
      </c>
      <c r="D24752">
        <f>IF(B24752=C24752, "YES", "WRONG")</f>
        <v/>
      </c>
    </row>
    <row r="24753">
      <c r="A24753" t="n">
        <v>24752</v>
      </c>
      <c r="B24753" t="inlineStr">
        <is>
          <t>x̄x̄MV̅DCCLII</t>
        </is>
      </c>
      <c r="C24753">
        <f>ROMAN(24752)</f>
        <v/>
      </c>
      <c r="D24753">
        <f>IF(B24753=C24753, "YES", "WRONG")</f>
        <v/>
      </c>
    </row>
    <row r="24754">
      <c r="A24754" t="n">
        <v>24753</v>
      </c>
      <c r="B24754" t="inlineStr">
        <is>
          <t>x̄x̄MV̅DCCLIII</t>
        </is>
      </c>
      <c r="C24754">
        <f>ROMAN(24753)</f>
        <v/>
      </c>
      <c r="D24754">
        <f>IF(B24754=C24754, "YES", "WRONG")</f>
        <v/>
      </c>
    </row>
    <row r="24755">
      <c r="A24755" t="n">
        <v>24754</v>
      </c>
      <c r="B24755" t="inlineStr">
        <is>
          <t>x̄x̄MV̅DCCLIV</t>
        </is>
      </c>
      <c r="C24755">
        <f>ROMAN(24754)</f>
        <v/>
      </c>
      <c r="D24755">
        <f>IF(B24755=C24755, "YES", "WRONG")</f>
        <v/>
      </c>
    </row>
    <row r="24756">
      <c r="A24756" t="n">
        <v>24755</v>
      </c>
      <c r="B24756" t="inlineStr">
        <is>
          <t>x̄x̄MV̅DCCLV</t>
        </is>
      </c>
      <c r="C24756">
        <f>ROMAN(24755)</f>
        <v/>
      </c>
      <c r="D24756">
        <f>IF(B24756=C24756, "YES", "WRONG")</f>
        <v/>
      </c>
    </row>
    <row r="24757">
      <c r="A24757" t="n">
        <v>24756</v>
      </c>
      <c r="B24757" t="inlineStr">
        <is>
          <t>x̄x̄MV̅DCCLVI</t>
        </is>
      </c>
      <c r="C24757">
        <f>ROMAN(24756)</f>
        <v/>
      </c>
      <c r="D24757">
        <f>IF(B24757=C24757, "YES", "WRONG")</f>
        <v/>
      </c>
    </row>
    <row r="24758">
      <c r="A24758" t="n">
        <v>24757</v>
      </c>
      <c r="B24758" t="inlineStr">
        <is>
          <t>x̄x̄MV̅DCCLVII</t>
        </is>
      </c>
      <c r="C24758">
        <f>ROMAN(24757)</f>
        <v/>
      </c>
      <c r="D24758">
        <f>IF(B24758=C24758, "YES", "WRONG")</f>
        <v/>
      </c>
    </row>
    <row r="24759">
      <c r="A24759" t="n">
        <v>24758</v>
      </c>
      <c r="B24759" t="inlineStr">
        <is>
          <t>x̄x̄MV̅DCCLVIII</t>
        </is>
      </c>
      <c r="C24759">
        <f>ROMAN(24758)</f>
        <v/>
      </c>
      <c r="D24759">
        <f>IF(B24759=C24759, "YES", "WRONG")</f>
        <v/>
      </c>
    </row>
    <row r="24760">
      <c r="A24760" t="n">
        <v>24759</v>
      </c>
      <c r="B24760" t="inlineStr">
        <is>
          <t>x̄x̄MV̅DCCLIX</t>
        </is>
      </c>
      <c r="C24760">
        <f>ROMAN(24759)</f>
        <v/>
      </c>
      <c r="D24760">
        <f>IF(B24760=C24760, "YES", "WRONG")</f>
        <v/>
      </c>
    </row>
    <row r="24761">
      <c r="A24761" t="n">
        <v>24760</v>
      </c>
      <c r="B24761" t="inlineStr">
        <is>
          <t>x̄x̄MV̅DCCLX</t>
        </is>
      </c>
      <c r="C24761">
        <f>ROMAN(24760)</f>
        <v/>
      </c>
      <c r="D24761">
        <f>IF(B24761=C24761, "YES", "WRONG")</f>
        <v/>
      </c>
    </row>
    <row r="24762">
      <c r="A24762" t="n">
        <v>24761</v>
      </c>
      <c r="B24762" t="inlineStr">
        <is>
          <t>x̄x̄MV̅DCCLXI</t>
        </is>
      </c>
      <c r="C24762">
        <f>ROMAN(24761)</f>
        <v/>
      </c>
      <c r="D24762">
        <f>IF(B24762=C24762, "YES", "WRONG")</f>
        <v/>
      </c>
    </row>
    <row r="24763">
      <c r="A24763" t="n">
        <v>24762</v>
      </c>
      <c r="B24763" t="inlineStr">
        <is>
          <t>x̄x̄MV̅DCCLXII</t>
        </is>
      </c>
      <c r="C24763">
        <f>ROMAN(24762)</f>
        <v/>
      </c>
      <c r="D24763">
        <f>IF(B24763=C24763, "YES", "WRONG")</f>
        <v/>
      </c>
    </row>
    <row r="24764">
      <c r="A24764" t="n">
        <v>24763</v>
      </c>
      <c r="B24764" t="inlineStr">
        <is>
          <t>x̄x̄MV̅DCCLXIII</t>
        </is>
      </c>
      <c r="C24764">
        <f>ROMAN(24763)</f>
        <v/>
      </c>
      <c r="D24764">
        <f>IF(B24764=C24764, "YES", "WRONG")</f>
        <v/>
      </c>
    </row>
    <row r="24765">
      <c r="A24765" t="n">
        <v>24764</v>
      </c>
      <c r="B24765" t="inlineStr">
        <is>
          <t>x̄x̄MV̅DCCLXIV</t>
        </is>
      </c>
      <c r="C24765">
        <f>ROMAN(24764)</f>
        <v/>
      </c>
      <c r="D24765">
        <f>IF(B24765=C24765, "YES", "WRONG")</f>
        <v/>
      </c>
    </row>
    <row r="24766">
      <c r="A24766" t="n">
        <v>24765</v>
      </c>
      <c r="B24766" t="inlineStr">
        <is>
          <t>x̄x̄MV̅DCCLXV</t>
        </is>
      </c>
      <c r="C24766">
        <f>ROMAN(24765)</f>
        <v/>
      </c>
      <c r="D24766">
        <f>IF(B24766=C24766, "YES", "WRONG")</f>
        <v/>
      </c>
    </row>
    <row r="24767">
      <c r="A24767" t="n">
        <v>24766</v>
      </c>
      <c r="B24767" t="inlineStr">
        <is>
          <t>x̄x̄MV̅DCCLXVI</t>
        </is>
      </c>
      <c r="C24767">
        <f>ROMAN(24766)</f>
        <v/>
      </c>
      <c r="D24767">
        <f>IF(B24767=C24767, "YES", "WRONG")</f>
        <v/>
      </c>
    </row>
    <row r="24768">
      <c r="A24768" t="n">
        <v>24767</v>
      </c>
      <c r="B24768" t="inlineStr">
        <is>
          <t>x̄x̄MV̅DCCLXVII</t>
        </is>
      </c>
      <c r="C24768">
        <f>ROMAN(24767)</f>
        <v/>
      </c>
      <c r="D24768">
        <f>IF(B24768=C24768, "YES", "WRONG")</f>
        <v/>
      </c>
    </row>
    <row r="24769">
      <c r="A24769" t="n">
        <v>24768</v>
      </c>
      <c r="B24769" t="inlineStr">
        <is>
          <t>x̄x̄MV̅DCCLXVIII</t>
        </is>
      </c>
      <c r="C24769">
        <f>ROMAN(24768)</f>
        <v/>
      </c>
      <c r="D24769">
        <f>IF(B24769=C24769, "YES", "WRONG")</f>
        <v/>
      </c>
    </row>
    <row r="24770">
      <c r="A24770" t="n">
        <v>24769</v>
      </c>
      <c r="B24770" t="inlineStr">
        <is>
          <t>x̄x̄MV̅DCCLXIX</t>
        </is>
      </c>
      <c r="C24770">
        <f>ROMAN(24769)</f>
        <v/>
      </c>
      <c r="D24770">
        <f>IF(B24770=C24770, "YES", "WRONG")</f>
        <v/>
      </c>
    </row>
    <row r="24771">
      <c r="A24771" t="n">
        <v>24770</v>
      </c>
      <c r="B24771" t="inlineStr">
        <is>
          <t>x̄x̄MV̅DCCLXX</t>
        </is>
      </c>
      <c r="C24771">
        <f>ROMAN(24770)</f>
        <v/>
      </c>
      <c r="D24771">
        <f>IF(B24771=C24771, "YES", "WRONG")</f>
        <v/>
      </c>
    </row>
    <row r="24772">
      <c r="A24772" t="n">
        <v>24771</v>
      </c>
      <c r="B24772" t="inlineStr">
        <is>
          <t>x̄x̄MV̅DCCLXXI</t>
        </is>
      </c>
      <c r="C24772">
        <f>ROMAN(24771)</f>
        <v/>
      </c>
      <c r="D24772">
        <f>IF(B24772=C24772, "YES", "WRONG")</f>
        <v/>
      </c>
    </row>
    <row r="24773">
      <c r="A24773" t="n">
        <v>24772</v>
      </c>
      <c r="B24773" t="inlineStr">
        <is>
          <t>x̄x̄MV̅DCCLXXII</t>
        </is>
      </c>
      <c r="C24773">
        <f>ROMAN(24772)</f>
        <v/>
      </c>
      <c r="D24773">
        <f>IF(B24773=C24773, "YES", "WRONG")</f>
        <v/>
      </c>
    </row>
    <row r="24774">
      <c r="A24774" t="n">
        <v>24773</v>
      </c>
      <c r="B24774" t="inlineStr">
        <is>
          <t>x̄x̄MV̅DCCLXXIII</t>
        </is>
      </c>
      <c r="C24774">
        <f>ROMAN(24773)</f>
        <v/>
      </c>
      <c r="D24774">
        <f>IF(B24774=C24774, "YES", "WRONG")</f>
        <v/>
      </c>
    </row>
    <row r="24775">
      <c r="A24775" t="n">
        <v>24774</v>
      </c>
      <c r="B24775" t="inlineStr">
        <is>
          <t>x̄x̄MV̅DCCLXXIV</t>
        </is>
      </c>
      <c r="C24775">
        <f>ROMAN(24774)</f>
        <v/>
      </c>
      <c r="D24775">
        <f>IF(B24775=C24775, "YES", "WRONG")</f>
        <v/>
      </c>
    </row>
    <row r="24776">
      <c r="A24776" t="n">
        <v>24775</v>
      </c>
      <c r="B24776" t="inlineStr">
        <is>
          <t>x̄x̄MV̅DCCLXXV</t>
        </is>
      </c>
      <c r="C24776">
        <f>ROMAN(24775)</f>
        <v/>
      </c>
      <c r="D24776">
        <f>IF(B24776=C24776, "YES", "WRONG")</f>
        <v/>
      </c>
    </row>
    <row r="24777">
      <c r="A24777" t="n">
        <v>24776</v>
      </c>
      <c r="B24777" t="inlineStr">
        <is>
          <t>x̄x̄MV̅DCCLXXVI</t>
        </is>
      </c>
      <c r="C24777">
        <f>ROMAN(24776)</f>
        <v/>
      </c>
      <c r="D24777">
        <f>IF(B24777=C24777, "YES", "WRONG")</f>
        <v/>
      </c>
    </row>
    <row r="24778">
      <c r="A24778" t="n">
        <v>24777</v>
      </c>
      <c r="B24778" t="inlineStr">
        <is>
          <t>x̄x̄MV̅DCCLXXVII</t>
        </is>
      </c>
      <c r="C24778">
        <f>ROMAN(24777)</f>
        <v/>
      </c>
      <c r="D24778">
        <f>IF(B24778=C24778, "YES", "WRONG")</f>
        <v/>
      </c>
    </row>
    <row r="24779">
      <c r="A24779" t="n">
        <v>24778</v>
      </c>
      <c r="B24779" t="inlineStr">
        <is>
          <t>x̄x̄MV̅DCCLXXVIII</t>
        </is>
      </c>
      <c r="C24779">
        <f>ROMAN(24778)</f>
        <v/>
      </c>
      <c r="D24779">
        <f>IF(B24779=C24779, "YES", "WRONG")</f>
        <v/>
      </c>
    </row>
    <row r="24780">
      <c r="A24780" t="n">
        <v>24779</v>
      </c>
      <c r="B24780" t="inlineStr">
        <is>
          <t>x̄x̄MV̅DCCLXXIX</t>
        </is>
      </c>
      <c r="C24780">
        <f>ROMAN(24779)</f>
        <v/>
      </c>
      <c r="D24780">
        <f>IF(B24780=C24780, "YES", "WRONG")</f>
        <v/>
      </c>
    </row>
    <row r="24781">
      <c r="A24781" t="n">
        <v>24780</v>
      </c>
      <c r="B24781" t="inlineStr">
        <is>
          <t>x̄x̄MV̅DCCLXXX</t>
        </is>
      </c>
      <c r="C24781">
        <f>ROMAN(24780)</f>
        <v/>
      </c>
      <c r="D24781">
        <f>IF(B24781=C24781, "YES", "WRONG")</f>
        <v/>
      </c>
    </row>
    <row r="24782">
      <c r="A24782" t="n">
        <v>24781</v>
      </c>
      <c r="B24782" t="inlineStr">
        <is>
          <t>x̄x̄MV̅DCCLXXXI</t>
        </is>
      </c>
      <c r="C24782">
        <f>ROMAN(24781)</f>
        <v/>
      </c>
      <c r="D24782">
        <f>IF(B24782=C24782, "YES", "WRONG")</f>
        <v/>
      </c>
    </row>
    <row r="24783">
      <c r="A24783" t="n">
        <v>24782</v>
      </c>
      <c r="B24783" t="inlineStr">
        <is>
          <t>x̄x̄MV̅DCCLXXXII</t>
        </is>
      </c>
      <c r="C24783">
        <f>ROMAN(24782)</f>
        <v/>
      </c>
      <c r="D24783">
        <f>IF(B24783=C24783, "YES", "WRONG")</f>
        <v/>
      </c>
    </row>
    <row r="24784">
      <c r="A24784" t="n">
        <v>24783</v>
      </c>
      <c r="B24784" t="inlineStr">
        <is>
          <t>x̄x̄MV̅DCCLXXXIII</t>
        </is>
      </c>
      <c r="C24784">
        <f>ROMAN(24783)</f>
        <v/>
      </c>
      <c r="D24784">
        <f>IF(B24784=C24784, "YES", "WRONG")</f>
        <v/>
      </c>
    </row>
    <row r="24785">
      <c r="A24785" t="n">
        <v>24784</v>
      </c>
      <c r="B24785" t="inlineStr">
        <is>
          <t>x̄x̄MV̅DCCLXXXIV</t>
        </is>
      </c>
      <c r="C24785">
        <f>ROMAN(24784)</f>
        <v/>
      </c>
      <c r="D24785">
        <f>IF(B24785=C24785, "YES", "WRONG")</f>
        <v/>
      </c>
    </row>
    <row r="24786">
      <c r="A24786" t="n">
        <v>24785</v>
      </c>
      <c r="B24786" t="inlineStr">
        <is>
          <t>x̄x̄MV̅DCCLXXXV</t>
        </is>
      </c>
      <c r="C24786">
        <f>ROMAN(24785)</f>
        <v/>
      </c>
      <c r="D24786">
        <f>IF(B24786=C24786, "YES", "WRONG")</f>
        <v/>
      </c>
    </row>
    <row r="24787">
      <c r="A24787" t="n">
        <v>24786</v>
      </c>
      <c r="B24787" t="inlineStr">
        <is>
          <t>x̄x̄MV̅DCCLXXXVI</t>
        </is>
      </c>
      <c r="C24787">
        <f>ROMAN(24786)</f>
        <v/>
      </c>
      <c r="D24787">
        <f>IF(B24787=C24787, "YES", "WRONG")</f>
        <v/>
      </c>
    </row>
    <row r="24788">
      <c r="A24788" t="n">
        <v>24787</v>
      </c>
      <c r="B24788" t="inlineStr">
        <is>
          <t>x̄x̄MV̅DCCLXXXVII</t>
        </is>
      </c>
      <c r="C24788">
        <f>ROMAN(24787)</f>
        <v/>
      </c>
      <c r="D24788">
        <f>IF(B24788=C24788, "YES", "WRONG")</f>
        <v/>
      </c>
    </row>
    <row r="24789">
      <c r="A24789" t="n">
        <v>24788</v>
      </c>
      <c r="B24789" t="inlineStr">
        <is>
          <t>x̄x̄MV̅DCCLXXXVIII</t>
        </is>
      </c>
      <c r="C24789">
        <f>ROMAN(24788)</f>
        <v/>
      </c>
      <c r="D24789">
        <f>IF(B24789=C24789, "YES", "WRONG")</f>
        <v/>
      </c>
    </row>
    <row r="24790">
      <c r="A24790" t="n">
        <v>24789</v>
      </c>
      <c r="B24790" t="inlineStr">
        <is>
          <t>x̄x̄MV̅DCCLXXXIX</t>
        </is>
      </c>
      <c r="C24790">
        <f>ROMAN(24789)</f>
        <v/>
      </c>
      <c r="D24790">
        <f>IF(B24790=C24790, "YES", "WRONG")</f>
        <v/>
      </c>
    </row>
    <row r="24791">
      <c r="A24791" t="n">
        <v>24790</v>
      </c>
      <c r="B24791" t="inlineStr">
        <is>
          <t>x̄x̄MV̅DCCXC</t>
        </is>
      </c>
      <c r="C24791">
        <f>ROMAN(24790)</f>
        <v/>
      </c>
      <c r="D24791">
        <f>IF(B24791=C24791, "YES", "WRONG")</f>
        <v/>
      </c>
    </row>
    <row r="24792">
      <c r="A24792" t="n">
        <v>24791</v>
      </c>
      <c r="B24792" t="inlineStr">
        <is>
          <t>x̄x̄MV̅DCCXCI</t>
        </is>
      </c>
      <c r="C24792">
        <f>ROMAN(24791)</f>
        <v/>
      </c>
      <c r="D24792">
        <f>IF(B24792=C24792, "YES", "WRONG")</f>
        <v/>
      </c>
    </row>
    <row r="24793">
      <c r="A24793" t="n">
        <v>24792</v>
      </c>
      <c r="B24793" t="inlineStr">
        <is>
          <t>x̄x̄MV̅DCCXCII</t>
        </is>
      </c>
      <c r="C24793">
        <f>ROMAN(24792)</f>
        <v/>
      </c>
      <c r="D24793">
        <f>IF(B24793=C24793, "YES", "WRONG")</f>
        <v/>
      </c>
    </row>
    <row r="24794">
      <c r="A24794" t="n">
        <v>24793</v>
      </c>
      <c r="B24794" t="inlineStr">
        <is>
          <t>x̄x̄MV̅DCCXCIII</t>
        </is>
      </c>
      <c r="C24794">
        <f>ROMAN(24793)</f>
        <v/>
      </c>
      <c r="D24794">
        <f>IF(B24794=C24794, "YES", "WRONG")</f>
        <v/>
      </c>
    </row>
    <row r="24795">
      <c r="A24795" t="n">
        <v>24794</v>
      </c>
      <c r="B24795" t="inlineStr">
        <is>
          <t>x̄x̄MV̅DCCXCIV</t>
        </is>
      </c>
      <c r="C24795">
        <f>ROMAN(24794)</f>
        <v/>
      </c>
      <c r="D24795">
        <f>IF(B24795=C24795, "YES", "WRONG")</f>
        <v/>
      </c>
    </row>
    <row r="24796">
      <c r="A24796" t="n">
        <v>24795</v>
      </c>
      <c r="B24796" t="inlineStr">
        <is>
          <t>x̄x̄MV̅DCCXCV</t>
        </is>
      </c>
      <c r="C24796">
        <f>ROMAN(24795)</f>
        <v/>
      </c>
      <c r="D24796">
        <f>IF(B24796=C24796, "YES", "WRONG")</f>
        <v/>
      </c>
    </row>
    <row r="24797">
      <c r="A24797" t="n">
        <v>24796</v>
      </c>
      <c r="B24797" t="inlineStr">
        <is>
          <t>x̄x̄MV̅DCCXCVI</t>
        </is>
      </c>
      <c r="C24797">
        <f>ROMAN(24796)</f>
        <v/>
      </c>
      <c r="D24797">
        <f>IF(B24797=C24797, "YES", "WRONG")</f>
        <v/>
      </c>
    </row>
    <row r="24798">
      <c r="A24798" t="n">
        <v>24797</v>
      </c>
      <c r="B24798" t="inlineStr">
        <is>
          <t>x̄x̄MV̅DCCXCVII</t>
        </is>
      </c>
      <c r="C24798">
        <f>ROMAN(24797)</f>
        <v/>
      </c>
      <c r="D24798">
        <f>IF(B24798=C24798, "YES", "WRONG")</f>
        <v/>
      </c>
    </row>
    <row r="24799">
      <c r="A24799" t="n">
        <v>24798</v>
      </c>
      <c r="B24799" t="inlineStr">
        <is>
          <t>x̄x̄MV̅DCCXCVIII</t>
        </is>
      </c>
      <c r="C24799">
        <f>ROMAN(24798)</f>
        <v/>
      </c>
      <c r="D24799">
        <f>IF(B24799=C24799, "YES", "WRONG")</f>
        <v/>
      </c>
    </row>
    <row r="24800">
      <c r="A24800" t="n">
        <v>24799</v>
      </c>
      <c r="B24800" t="inlineStr">
        <is>
          <t>x̄x̄MV̅DCCXCIX</t>
        </is>
      </c>
      <c r="C24800">
        <f>ROMAN(24799)</f>
        <v/>
      </c>
      <c r="D24800">
        <f>IF(B24800=C24800, "YES", "WRONG")</f>
        <v/>
      </c>
    </row>
    <row r="24801">
      <c r="A24801" t="n">
        <v>24800</v>
      </c>
      <c r="B24801" t="inlineStr">
        <is>
          <t>x̄x̄MV̅DCCC</t>
        </is>
      </c>
      <c r="C24801">
        <f>ROMAN(24800)</f>
        <v/>
      </c>
      <c r="D24801">
        <f>IF(B24801=C24801, "YES", "WRONG")</f>
        <v/>
      </c>
    </row>
    <row r="24802">
      <c r="A24802" t="n">
        <v>24801</v>
      </c>
      <c r="B24802" t="inlineStr">
        <is>
          <t>x̄x̄MV̅DCCCI</t>
        </is>
      </c>
      <c r="C24802">
        <f>ROMAN(24801)</f>
        <v/>
      </c>
      <c r="D24802">
        <f>IF(B24802=C24802, "YES", "WRONG")</f>
        <v/>
      </c>
    </row>
    <row r="24803">
      <c r="A24803" t="n">
        <v>24802</v>
      </c>
      <c r="B24803" t="inlineStr">
        <is>
          <t>x̄x̄MV̅DCCCII</t>
        </is>
      </c>
      <c r="C24803">
        <f>ROMAN(24802)</f>
        <v/>
      </c>
      <c r="D24803">
        <f>IF(B24803=C24803, "YES", "WRONG")</f>
        <v/>
      </c>
    </row>
    <row r="24804">
      <c r="A24804" t="n">
        <v>24803</v>
      </c>
      <c r="B24804" t="inlineStr">
        <is>
          <t>x̄x̄MV̅DCCCIII</t>
        </is>
      </c>
      <c r="C24804">
        <f>ROMAN(24803)</f>
        <v/>
      </c>
      <c r="D24804">
        <f>IF(B24804=C24804, "YES", "WRONG")</f>
        <v/>
      </c>
    </row>
    <row r="24805">
      <c r="A24805" t="n">
        <v>24804</v>
      </c>
      <c r="B24805" t="inlineStr">
        <is>
          <t>x̄x̄MV̅DCCCIV</t>
        </is>
      </c>
      <c r="C24805">
        <f>ROMAN(24804)</f>
        <v/>
      </c>
      <c r="D24805">
        <f>IF(B24805=C24805, "YES", "WRONG")</f>
        <v/>
      </c>
    </row>
    <row r="24806">
      <c r="A24806" t="n">
        <v>24805</v>
      </c>
      <c r="B24806" t="inlineStr">
        <is>
          <t>x̄x̄MV̅DCCCV</t>
        </is>
      </c>
      <c r="C24806">
        <f>ROMAN(24805)</f>
        <v/>
      </c>
      <c r="D24806">
        <f>IF(B24806=C24806, "YES", "WRONG")</f>
        <v/>
      </c>
    </row>
    <row r="24807">
      <c r="A24807" t="n">
        <v>24806</v>
      </c>
      <c r="B24807" t="inlineStr">
        <is>
          <t>x̄x̄MV̅DCCCVI</t>
        </is>
      </c>
      <c r="C24807">
        <f>ROMAN(24806)</f>
        <v/>
      </c>
      <c r="D24807">
        <f>IF(B24807=C24807, "YES", "WRONG")</f>
        <v/>
      </c>
    </row>
    <row r="24808">
      <c r="A24808" t="n">
        <v>24807</v>
      </c>
      <c r="B24808" t="inlineStr">
        <is>
          <t>x̄x̄MV̅DCCCVII</t>
        </is>
      </c>
      <c r="C24808">
        <f>ROMAN(24807)</f>
        <v/>
      </c>
      <c r="D24808">
        <f>IF(B24808=C24808, "YES", "WRONG")</f>
        <v/>
      </c>
    </row>
    <row r="24809">
      <c r="A24809" t="n">
        <v>24808</v>
      </c>
      <c r="B24809" t="inlineStr">
        <is>
          <t>x̄x̄MV̅DCCCVIII</t>
        </is>
      </c>
      <c r="C24809">
        <f>ROMAN(24808)</f>
        <v/>
      </c>
      <c r="D24809">
        <f>IF(B24809=C24809, "YES", "WRONG")</f>
        <v/>
      </c>
    </row>
    <row r="24810">
      <c r="A24810" t="n">
        <v>24809</v>
      </c>
      <c r="B24810" t="inlineStr">
        <is>
          <t>x̄x̄MV̅DCCCIX</t>
        </is>
      </c>
      <c r="C24810">
        <f>ROMAN(24809)</f>
        <v/>
      </c>
      <c r="D24810">
        <f>IF(B24810=C24810, "YES", "WRONG")</f>
        <v/>
      </c>
    </row>
    <row r="24811">
      <c r="A24811" t="n">
        <v>24810</v>
      </c>
      <c r="B24811" t="inlineStr">
        <is>
          <t>x̄x̄MV̅DCCCX</t>
        </is>
      </c>
      <c r="C24811">
        <f>ROMAN(24810)</f>
        <v/>
      </c>
      <c r="D24811">
        <f>IF(B24811=C24811, "YES", "WRONG")</f>
        <v/>
      </c>
    </row>
    <row r="24812">
      <c r="A24812" t="n">
        <v>24811</v>
      </c>
      <c r="B24812" t="inlineStr">
        <is>
          <t>x̄x̄MV̅DCCCXI</t>
        </is>
      </c>
      <c r="C24812">
        <f>ROMAN(24811)</f>
        <v/>
      </c>
      <c r="D24812">
        <f>IF(B24812=C24812, "YES", "WRONG")</f>
        <v/>
      </c>
    </row>
    <row r="24813">
      <c r="A24813" t="n">
        <v>24812</v>
      </c>
      <c r="B24813" t="inlineStr">
        <is>
          <t>x̄x̄MV̅DCCCXII</t>
        </is>
      </c>
      <c r="C24813">
        <f>ROMAN(24812)</f>
        <v/>
      </c>
      <c r="D24813">
        <f>IF(B24813=C24813, "YES", "WRONG")</f>
        <v/>
      </c>
    </row>
    <row r="24814">
      <c r="A24814" t="n">
        <v>24813</v>
      </c>
      <c r="B24814" t="inlineStr">
        <is>
          <t>x̄x̄MV̅DCCCXIII</t>
        </is>
      </c>
      <c r="C24814">
        <f>ROMAN(24813)</f>
        <v/>
      </c>
      <c r="D24814">
        <f>IF(B24814=C24814, "YES", "WRONG")</f>
        <v/>
      </c>
    </row>
    <row r="24815">
      <c r="A24815" t="n">
        <v>24814</v>
      </c>
      <c r="B24815" t="inlineStr">
        <is>
          <t>x̄x̄MV̅DCCCXIV</t>
        </is>
      </c>
      <c r="C24815">
        <f>ROMAN(24814)</f>
        <v/>
      </c>
      <c r="D24815">
        <f>IF(B24815=C24815, "YES", "WRONG")</f>
        <v/>
      </c>
    </row>
    <row r="24816">
      <c r="A24816" t="n">
        <v>24815</v>
      </c>
      <c r="B24816" t="inlineStr">
        <is>
          <t>x̄x̄MV̅DCCCXV</t>
        </is>
      </c>
      <c r="C24816">
        <f>ROMAN(24815)</f>
        <v/>
      </c>
      <c r="D24816">
        <f>IF(B24816=C24816, "YES", "WRONG")</f>
        <v/>
      </c>
    </row>
    <row r="24817">
      <c r="A24817" t="n">
        <v>24816</v>
      </c>
      <c r="B24817" t="inlineStr">
        <is>
          <t>x̄x̄MV̅DCCCXVI</t>
        </is>
      </c>
      <c r="C24817">
        <f>ROMAN(24816)</f>
        <v/>
      </c>
      <c r="D24817">
        <f>IF(B24817=C24817, "YES", "WRONG")</f>
        <v/>
      </c>
    </row>
    <row r="24818">
      <c r="A24818" t="n">
        <v>24817</v>
      </c>
      <c r="B24818" t="inlineStr">
        <is>
          <t>x̄x̄MV̅DCCCXVII</t>
        </is>
      </c>
      <c r="C24818">
        <f>ROMAN(24817)</f>
        <v/>
      </c>
      <c r="D24818">
        <f>IF(B24818=C24818, "YES", "WRONG")</f>
        <v/>
      </c>
    </row>
    <row r="24819">
      <c r="A24819" t="n">
        <v>24818</v>
      </c>
      <c r="B24819" t="inlineStr">
        <is>
          <t>x̄x̄MV̅DCCCXVIII</t>
        </is>
      </c>
      <c r="C24819">
        <f>ROMAN(24818)</f>
        <v/>
      </c>
      <c r="D24819">
        <f>IF(B24819=C24819, "YES", "WRONG")</f>
        <v/>
      </c>
    </row>
    <row r="24820">
      <c r="A24820" t="n">
        <v>24819</v>
      </c>
      <c r="B24820" t="inlineStr">
        <is>
          <t>x̄x̄MV̅DCCCXIX</t>
        </is>
      </c>
      <c r="C24820">
        <f>ROMAN(24819)</f>
        <v/>
      </c>
      <c r="D24820">
        <f>IF(B24820=C24820, "YES", "WRONG")</f>
        <v/>
      </c>
    </row>
    <row r="24821">
      <c r="A24821" t="n">
        <v>24820</v>
      </c>
      <c r="B24821" t="inlineStr">
        <is>
          <t>x̄x̄MV̅DCCCXX</t>
        </is>
      </c>
      <c r="C24821">
        <f>ROMAN(24820)</f>
        <v/>
      </c>
      <c r="D24821">
        <f>IF(B24821=C24821, "YES", "WRONG")</f>
        <v/>
      </c>
    </row>
    <row r="24822">
      <c r="A24822" t="n">
        <v>24821</v>
      </c>
      <c r="B24822" t="inlineStr">
        <is>
          <t>x̄x̄MV̅DCCCXXI</t>
        </is>
      </c>
      <c r="C24822">
        <f>ROMAN(24821)</f>
        <v/>
      </c>
      <c r="D24822">
        <f>IF(B24822=C24822, "YES", "WRONG")</f>
        <v/>
      </c>
    </row>
    <row r="24823">
      <c r="A24823" t="n">
        <v>24822</v>
      </c>
      <c r="B24823" t="inlineStr">
        <is>
          <t>x̄x̄MV̅DCCCXXII</t>
        </is>
      </c>
      <c r="C24823">
        <f>ROMAN(24822)</f>
        <v/>
      </c>
      <c r="D24823">
        <f>IF(B24823=C24823, "YES", "WRONG")</f>
        <v/>
      </c>
    </row>
    <row r="24824">
      <c r="A24824" t="n">
        <v>24823</v>
      </c>
      <c r="B24824" t="inlineStr">
        <is>
          <t>x̄x̄MV̅DCCCXXIII</t>
        </is>
      </c>
      <c r="C24824">
        <f>ROMAN(24823)</f>
        <v/>
      </c>
      <c r="D24824">
        <f>IF(B24824=C24824, "YES", "WRONG")</f>
        <v/>
      </c>
    </row>
    <row r="24825">
      <c r="A24825" t="n">
        <v>24824</v>
      </c>
      <c r="B24825" t="inlineStr">
        <is>
          <t>x̄x̄MV̅DCCCXXIV</t>
        </is>
      </c>
      <c r="C24825">
        <f>ROMAN(24824)</f>
        <v/>
      </c>
      <c r="D24825">
        <f>IF(B24825=C24825, "YES", "WRONG")</f>
        <v/>
      </c>
    </row>
    <row r="24826">
      <c r="A24826" t="n">
        <v>24825</v>
      </c>
      <c r="B24826" t="inlineStr">
        <is>
          <t>x̄x̄MV̅DCCCXXV</t>
        </is>
      </c>
      <c r="C24826">
        <f>ROMAN(24825)</f>
        <v/>
      </c>
      <c r="D24826">
        <f>IF(B24826=C24826, "YES", "WRONG")</f>
        <v/>
      </c>
    </row>
    <row r="24827">
      <c r="A24827" t="n">
        <v>24826</v>
      </c>
      <c r="B24827" t="inlineStr">
        <is>
          <t>x̄x̄MV̅DCCCXXVI</t>
        </is>
      </c>
      <c r="C24827">
        <f>ROMAN(24826)</f>
        <v/>
      </c>
      <c r="D24827">
        <f>IF(B24827=C24827, "YES", "WRONG")</f>
        <v/>
      </c>
    </row>
    <row r="24828">
      <c r="A24828" t="n">
        <v>24827</v>
      </c>
      <c r="B24828" t="inlineStr">
        <is>
          <t>x̄x̄MV̅DCCCXXVII</t>
        </is>
      </c>
      <c r="C24828">
        <f>ROMAN(24827)</f>
        <v/>
      </c>
      <c r="D24828">
        <f>IF(B24828=C24828, "YES", "WRONG")</f>
        <v/>
      </c>
    </row>
    <row r="24829">
      <c r="A24829" t="n">
        <v>24828</v>
      </c>
      <c r="B24829" t="inlineStr">
        <is>
          <t>x̄x̄MV̅DCCCXXVIII</t>
        </is>
      </c>
      <c r="C24829">
        <f>ROMAN(24828)</f>
        <v/>
      </c>
      <c r="D24829">
        <f>IF(B24829=C24829, "YES", "WRONG")</f>
        <v/>
      </c>
    </row>
    <row r="24830">
      <c r="A24830" t="n">
        <v>24829</v>
      </c>
      <c r="B24830" t="inlineStr">
        <is>
          <t>x̄x̄MV̅DCCCXXIX</t>
        </is>
      </c>
      <c r="C24830">
        <f>ROMAN(24829)</f>
        <v/>
      </c>
      <c r="D24830">
        <f>IF(B24830=C24830, "YES", "WRONG")</f>
        <v/>
      </c>
    </row>
    <row r="24831">
      <c r="A24831" t="n">
        <v>24830</v>
      </c>
      <c r="B24831" t="inlineStr">
        <is>
          <t>x̄x̄MV̅DCCCXXX</t>
        </is>
      </c>
      <c r="C24831">
        <f>ROMAN(24830)</f>
        <v/>
      </c>
      <c r="D24831">
        <f>IF(B24831=C24831, "YES", "WRONG")</f>
        <v/>
      </c>
    </row>
    <row r="24832">
      <c r="A24832" t="n">
        <v>24831</v>
      </c>
      <c r="B24832" t="inlineStr">
        <is>
          <t>x̄x̄MV̅DCCCXXXI</t>
        </is>
      </c>
      <c r="C24832">
        <f>ROMAN(24831)</f>
        <v/>
      </c>
      <c r="D24832">
        <f>IF(B24832=C24832, "YES", "WRONG")</f>
        <v/>
      </c>
    </row>
    <row r="24833">
      <c r="A24833" t="n">
        <v>24832</v>
      </c>
      <c r="B24833" t="inlineStr">
        <is>
          <t>x̄x̄MV̅DCCCXXXII</t>
        </is>
      </c>
      <c r="C24833">
        <f>ROMAN(24832)</f>
        <v/>
      </c>
      <c r="D24833">
        <f>IF(B24833=C24833, "YES", "WRONG")</f>
        <v/>
      </c>
    </row>
    <row r="24834">
      <c r="A24834" t="n">
        <v>24833</v>
      </c>
      <c r="B24834" t="inlineStr">
        <is>
          <t>x̄x̄MV̅DCCCXXXIII</t>
        </is>
      </c>
      <c r="C24834">
        <f>ROMAN(24833)</f>
        <v/>
      </c>
      <c r="D24834">
        <f>IF(B24834=C24834, "YES", "WRONG")</f>
        <v/>
      </c>
    </row>
    <row r="24835">
      <c r="A24835" t="n">
        <v>24834</v>
      </c>
      <c r="B24835" t="inlineStr">
        <is>
          <t>x̄x̄MV̅DCCCXXXIV</t>
        </is>
      </c>
      <c r="C24835">
        <f>ROMAN(24834)</f>
        <v/>
      </c>
      <c r="D24835">
        <f>IF(B24835=C24835, "YES", "WRONG")</f>
        <v/>
      </c>
    </row>
    <row r="24836">
      <c r="A24836" t="n">
        <v>24835</v>
      </c>
      <c r="B24836" t="inlineStr">
        <is>
          <t>x̄x̄MV̅DCCCXXXV</t>
        </is>
      </c>
      <c r="C24836">
        <f>ROMAN(24835)</f>
        <v/>
      </c>
      <c r="D24836">
        <f>IF(B24836=C24836, "YES", "WRONG")</f>
        <v/>
      </c>
    </row>
    <row r="24837">
      <c r="A24837" t="n">
        <v>24836</v>
      </c>
      <c r="B24837" t="inlineStr">
        <is>
          <t>x̄x̄MV̅DCCCXXXVI</t>
        </is>
      </c>
      <c r="C24837">
        <f>ROMAN(24836)</f>
        <v/>
      </c>
      <c r="D24837">
        <f>IF(B24837=C24837, "YES", "WRONG")</f>
        <v/>
      </c>
    </row>
    <row r="24838">
      <c r="A24838" t="n">
        <v>24837</v>
      </c>
      <c r="B24838" t="inlineStr">
        <is>
          <t>x̄x̄MV̅DCCCXXXVII</t>
        </is>
      </c>
      <c r="C24838">
        <f>ROMAN(24837)</f>
        <v/>
      </c>
      <c r="D24838">
        <f>IF(B24838=C24838, "YES", "WRONG")</f>
        <v/>
      </c>
    </row>
    <row r="24839">
      <c r="A24839" t="n">
        <v>24838</v>
      </c>
      <c r="B24839" t="inlineStr">
        <is>
          <t>x̄x̄MV̅DCCCXXXVIII</t>
        </is>
      </c>
      <c r="C24839">
        <f>ROMAN(24838)</f>
        <v/>
      </c>
      <c r="D24839">
        <f>IF(B24839=C24839, "YES", "WRONG")</f>
        <v/>
      </c>
    </row>
    <row r="24840">
      <c r="A24840" t="n">
        <v>24839</v>
      </c>
      <c r="B24840" t="inlineStr">
        <is>
          <t>x̄x̄MV̅DCCCXXXIX</t>
        </is>
      </c>
      <c r="C24840">
        <f>ROMAN(24839)</f>
        <v/>
      </c>
      <c r="D24840">
        <f>IF(B24840=C24840, "YES", "WRONG")</f>
        <v/>
      </c>
    </row>
    <row r="24841">
      <c r="A24841" t="n">
        <v>24840</v>
      </c>
      <c r="B24841" t="inlineStr">
        <is>
          <t>x̄x̄MV̅DCCCXL</t>
        </is>
      </c>
      <c r="C24841">
        <f>ROMAN(24840)</f>
        <v/>
      </c>
      <c r="D24841">
        <f>IF(B24841=C24841, "YES", "WRONG")</f>
        <v/>
      </c>
    </row>
    <row r="24842">
      <c r="A24842" t="n">
        <v>24841</v>
      </c>
      <c r="B24842" t="inlineStr">
        <is>
          <t>x̄x̄MV̅DCCCXLI</t>
        </is>
      </c>
      <c r="C24842">
        <f>ROMAN(24841)</f>
        <v/>
      </c>
      <c r="D24842">
        <f>IF(B24842=C24842, "YES", "WRONG")</f>
        <v/>
      </c>
    </row>
    <row r="24843">
      <c r="A24843" t="n">
        <v>24842</v>
      </c>
      <c r="B24843" t="inlineStr">
        <is>
          <t>x̄x̄MV̅DCCCXLII</t>
        </is>
      </c>
      <c r="C24843">
        <f>ROMAN(24842)</f>
        <v/>
      </c>
      <c r="D24843">
        <f>IF(B24843=C24843, "YES", "WRONG")</f>
        <v/>
      </c>
    </row>
    <row r="24844">
      <c r="A24844" t="n">
        <v>24843</v>
      </c>
      <c r="B24844" t="inlineStr">
        <is>
          <t>x̄x̄MV̅DCCCXLIII</t>
        </is>
      </c>
      <c r="C24844">
        <f>ROMAN(24843)</f>
        <v/>
      </c>
      <c r="D24844">
        <f>IF(B24844=C24844, "YES", "WRONG")</f>
        <v/>
      </c>
    </row>
    <row r="24845">
      <c r="A24845" t="n">
        <v>24844</v>
      </c>
      <c r="B24845" t="inlineStr">
        <is>
          <t>x̄x̄MV̅DCCCXLIV</t>
        </is>
      </c>
      <c r="C24845">
        <f>ROMAN(24844)</f>
        <v/>
      </c>
      <c r="D24845">
        <f>IF(B24845=C24845, "YES", "WRONG")</f>
        <v/>
      </c>
    </row>
    <row r="24846">
      <c r="A24846" t="n">
        <v>24845</v>
      </c>
      <c r="B24846" t="inlineStr">
        <is>
          <t>x̄x̄MV̅DCCCXLV</t>
        </is>
      </c>
      <c r="C24846">
        <f>ROMAN(24845)</f>
        <v/>
      </c>
      <c r="D24846">
        <f>IF(B24846=C24846, "YES", "WRONG")</f>
        <v/>
      </c>
    </row>
    <row r="24847">
      <c r="A24847" t="n">
        <v>24846</v>
      </c>
      <c r="B24847" t="inlineStr">
        <is>
          <t>x̄x̄MV̅DCCCXLVI</t>
        </is>
      </c>
      <c r="C24847">
        <f>ROMAN(24846)</f>
        <v/>
      </c>
      <c r="D24847">
        <f>IF(B24847=C24847, "YES", "WRONG")</f>
        <v/>
      </c>
    </row>
    <row r="24848">
      <c r="A24848" t="n">
        <v>24847</v>
      </c>
      <c r="B24848" t="inlineStr">
        <is>
          <t>x̄x̄MV̅DCCCXLVII</t>
        </is>
      </c>
      <c r="C24848">
        <f>ROMAN(24847)</f>
        <v/>
      </c>
      <c r="D24848">
        <f>IF(B24848=C24848, "YES", "WRONG")</f>
        <v/>
      </c>
    </row>
    <row r="24849">
      <c r="A24849" t="n">
        <v>24848</v>
      </c>
      <c r="B24849" t="inlineStr">
        <is>
          <t>x̄x̄MV̅DCCCXLVIII</t>
        </is>
      </c>
      <c r="C24849">
        <f>ROMAN(24848)</f>
        <v/>
      </c>
      <c r="D24849">
        <f>IF(B24849=C24849, "YES", "WRONG")</f>
        <v/>
      </c>
    </row>
    <row r="24850">
      <c r="A24850" t="n">
        <v>24849</v>
      </c>
      <c r="B24850" t="inlineStr">
        <is>
          <t>x̄x̄MV̅DCCCXLIX</t>
        </is>
      </c>
      <c r="C24850">
        <f>ROMAN(24849)</f>
        <v/>
      </c>
      <c r="D24850">
        <f>IF(B24850=C24850, "YES", "WRONG")</f>
        <v/>
      </c>
    </row>
    <row r="24851">
      <c r="A24851" t="n">
        <v>24850</v>
      </c>
      <c r="B24851" t="inlineStr">
        <is>
          <t>x̄x̄MV̅DCCCL</t>
        </is>
      </c>
      <c r="C24851">
        <f>ROMAN(24850)</f>
        <v/>
      </c>
      <c r="D24851">
        <f>IF(B24851=C24851, "YES", "WRONG")</f>
        <v/>
      </c>
    </row>
    <row r="24852">
      <c r="A24852" t="n">
        <v>24851</v>
      </c>
      <c r="B24852" t="inlineStr">
        <is>
          <t>x̄x̄MV̅DCCCLI</t>
        </is>
      </c>
      <c r="C24852">
        <f>ROMAN(24851)</f>
        <v/>
      </c>
      <c r="D24852">
        <f>IF(B24852=C24852, "YES", "WRONG")</f>
        <v/>
      </c>
    </row>
    <row r="24853">
      <c r="A24853" t="n">
        <v>24852</v>
      </c>
      <c r="B24853" t="inlineStr">
        <is>
          <t>x̄x̄MV̅DCCCLII</t>
        </is>
      </c>
      <c r="C24853">
        <f>ROMAN(24852)</f>
        <v/>
      </c>
      <c r="D24853">
        <f>IF(B24853=C24853, "YES", "WRONG")</f>
        <v/>
      </c>
    </row>
    <row r="24854">
      <c r="A24854" t="n">
        <v>24853</v>
      </c>
      <c r="B24854" t="inlineStr">
        <is>
          <t>x̄x̄MV̅DCCCLIII</t>
        </is>
      </c>
      <c r="C24854">
        <f>ROMAN(24853)</f>
        <v/>
      </c>
      <c r="D24854">
        <f>IF(B24854=C24854, "YES", "WRONG")</f>
        <v/>
      </c>
    </row>
    <row r="24855">
      <c r="A24855" t="n">
        <v>24854</v>
      </c>
      <c r="B24855" t="inlineStr">
        <is>
          <t>x̄x̄MV̅DCCCLIV</t>
        </is>
      </c>
      <c r="C24855">
        <f>ROMAN(24854)</f>
        <v/>
      </c>
      <c r="D24855">
        <f>IF(B24855=C24855, "YES", "WRONG")</f>
        <v/>
      </c>
    </row>
    <row r="24856">
      <c r="A24856" t="n">
        <v>24855</v>
      </c>
      <c r="B24856" t="inlineStr">
        <is>
          <t>x̄x̄MV̅DCCCLV</t>
        </is>
      </c>
      <c r="C24856">
        <f>ROMAN(24855)</f>
        <v/>
      </c>
      <c r="D24856">
        <f>IF(B24856=C24856, "YES", "WRONG")</f>
        <v/>
      </c>
    </row>
    <row r="24857">
      <c r="A24857" t="n">
        <v>24856</v>
      </c>
      <c r="B24857" t="inlineStr">
        <is>
          <t>x̄x̄MV̅DCCCLVI</t>
        </is>
      </c>
      <c r="C24857">
        <f>ROMAN(24856)</f>
        <v/>
      </c>
      <c r="D24857">
        <f>IF(B24857=C24857, "YES", "WRONG")</f>
        <v/>
      </c>
    </row>
    <row r="24858">
      <c r="A24858" t="n">
        <v>24857</v>
      </c>
      <c r="B24858" t="inlineStr">
        <is>
          <t>x̄x̄MV̅DCCCLVII</t>
        </is>
      </c>
      <c r="C24858">
        <f>ROMAN(24857)</f>
        <v/>
      </c>
      <c r="D24858">
        <f>IF(B24858=C24858, "YES", "WRONG")</f>
        <v/>
      </c>
    </row>
    <row r="24859">
      <c r="A24859" t="n">
        <v>24858</v>
      </c>
      <c r="B24859" t="inlineStr">
        <is>
          <t>x̄x̄MV̅DCCCLVIII</t>
        </is>
      </c>
      <c r="C24859">
        <f>ROMAN(24858)</f>
        <v/>
      </c>
      <c r="D24859">
        <f>IF(B24859=C24859, "YES", "WRONG")</f>
        <v/>
      </c>
    </row>
    <row r="24860">
      <c r="A24860" t="n">
        <v>24859</v>
      </c>
      <c r="B24860" t="inlineStr">
        <is>
          <t>x̄x̄MV̅DCCCLIX</t>
        </is>
      </c>
      <c r="C24860">
        <f>ROMAN(24859)</f>
        <v/>
      </c>
      <c r="D24860">
        <f>IF(B24860=C24860, "YES", "WRONG")</f>
        <v/>
      </c>
    </row>
    <row r="24861">
      <c r="A24861" t="n">
        <v>24860</v>
      </c>
      <c r="B24861" t="inlineStr">
        <is>
          <t>x̄x̄MV̅DCCCLX</t>
        </is>
      </c>
      <c r="C24861">
        <f>ROMAN(24860)</f>
        <v/>
      </c>
      <c r="D24861">
        <f>IF(B24861=C24861, "YES", "WRONG")</f>
        <v/>
      </c>
    </row>
    <row r="24862">
      <c r="A24862" t="n">
        <v>24861</v>
      </c>
      <c r="B24862" t="inlineStr">
        <is>
          <t>x̄x̄MV̅DCCCLXI</t>
        </is>
      </c>
      <c r="C24862">
        <f>ROMAN(24861)</f>
        <v/>
      </c>
      <c r="D24862">
        <f>IF(B24862=C24862, "YES", "WRONG")</f>
        <v/>
      </c>
    </row>
    <row r="24863">
      <c r="A24863" t="n">
        <v>24862</v>
      </c>
      <c r="B24863" t="inlineStr">
        <is>
          <t>x̄x̄MV̅DCCCLXII</t>
        </is>
      </c>
      <c r="C24863">
        <f>ROMAN(24862)</f>
        <v/>
      </c>
      <c r="D24863">
        <f>IF(B24863=C24863, "YES", "WRONG")</f>
        <v/>
      </c>
    </row>
    <row r="24864">
      <c r="A24864" t="n">
        <v>24863</v>
      </c>
      <c r="B24864" t="inlineStr">
        <is>
          <t>x̄x̄MV̅DCCCLXIII</t>
        </is>
      </c>
      <c r="C24864">
        <f>ROMAN(24863)</f>
        <v/>
      </c>
      <c r="D24864">
        <f>IF(B24864=C24864, "YES", "WRONG")</f>
        <v/>
      </c>
    </row>
    <row r="24865">
      <c r="A24865" t="n">
        <v>24864</v>
      </c>
      <c r="B24865" t="inlineStr">
        <is>
          <t>x̄x̄MV̅DCCCLXIV</t>
        </is>
      </c>
      <c r="C24865">
        <f>ROMAN(24864)</f>
        <v/>
      </c>
      <c r="D24865">
        <f>IF(B24865=C24865, "YES", "WRONG")</f>
        <v/>
      </c>
    </row>
    <row r="24866">
      <c r="A24866" t="n">
        <v>24865</v>
      </c>
      <c r="B24866" t="inlineStr">
        <is>
          <t>x̄x̄MV̅DCCCLXV</t>
        </is>
      </c>
      <c r="C24866">
        <f>ROMAN(24865)</f>
        <v/>
      </c>
      <c r="D24866">
        <f>IF(B24866=C24866, "YES", "WRONG")</f>
        <v/>
      </c>
    </row>
    <row r="24867">
      <c r="A24867" t="n">
        <v>24866</v>
      </c>
      <c r="B24867" t="inlineStr">
        <is>
          <t>x̄x̄MV̅DCCCLXVI</t>
        </is>
      </c>
      <c r="C24867">
        <f>ROMAN(24866)</f>
        <v/>
      </c>
      <c r="D24867">
        <f>IF(B24867=C24867, "YES", "WRONG")</f>
        <v/>
      </c>
    </row>
    <row r="24868">
      <c r="A24868" t="n">
        <v>24867</v>
      </c>
      <c r="B24868" t="inlineStr">
        <is>
          <t>x̄x̄MV̅DCCCLXVII</t>
        </is>
      </c>
      <c r="C24868">
        <f>ROMAN(24867)</f>
        <v/>
      </c>
      <c r="D24868">
        <f>IF(B24868=C24868, "YES", "WRONG")</f>
        <v/>
      </c>
    </row>
    <row r="24869">
      <c r="A24869" t="n">
        <v>24868</v>
      </c>
      <c r="B24869" t="inlineStr">
        <is>
          <t>x̄x̄MV̅DCCCLXVIII</t>
        </is>
      </c>
      <c r="C24869">
        <f>ROMAN(24868)</f>
        <v/>
      </c>
      <c r="D24869">
        <f>IF(B24869=C24869, "YES", "WRONG")</f>
        <v/>
      </c>
    </row>
    <row r="24870">
      <c r="A24870" t="n">
        <v>24869</v>
      </c>
      <c r="B24870" t="inlineStr">
        <is>
          <t>x̄x̄MV̅DCCCLXIX</t>
        </is>
      </c>
      <c r="C24870">
        <f>ROMAN(24869)</f>
        <v/>
      </c>
      <c r="D24870">
        <f>IF(B24870=C24870, "YES", "WRONG")</f>
        <v/>
      </c>
    </row>
    <row r="24871">
      <c r="A24871" t="n">
        <v>24870</v>
      </c>
      <c r="B24871" t="inlineStr">
        <is>
          <t>x̄x̄MV̅DCCCLXX</t>
        </is>
      </c>
      <c r="C24871">
        <f>ROMAN(24870)</f>
        <v/>
      </c>
      <c r="D24871">
        <f>IF(B24871=C24871, "YES", "WRONG")</f>
        <v/>
      </c>
    </row>
    <row r="24872">
      <c r="A24872" t="n">
        <v>24871</v>
      </c>
      <c r="B24872" t="inlineStr">
        <is>
          <t>x̄x̄MV̅DCCCLXXI</t>
        </is>
      </c>
      <c r="C24872">
        <f>ROMAN(24871)</f>
        <v/>
      </c>
      <c r="D24872">
        <f>IF(B24872=C24872, "YES", "WRONG")</f>
        <v/>
      </c>
    </row>
    <row r="24873">
      <c r="A24873" t="n">
        <v>24872</v>
      </c>
      <c r="B24873" t="inlineStr">
        <is>
          <t>x̄x̄MV̅DCCCLXXII</t>
        </is>
      </c>
      <c r="C24873">
        <f>ROMAN(24872)</f>
        <v/>
      </c>
      <c r="D24873">
        <f>IF(B24873=C24873, "YES", "WRONG")</f>
        <v/>
      </c>
    </row>
    <row r="24874">
      <c r="A24874" t="n">
        <v>24873</v>
      </c>
      <c r="B24874" t="inlineStr">
        <is>
          <t>x̄x̄MV̅DCCCLXXIII</t>
        </is>
      </c>
      <c r="C24874">
        <f>ROMAN(24873)</f>
        <v/>
      </c>
      <c r="D24874">
        <f>IF(B24874=C24874, "YES", "WRONG")</f>
        <v/>
      </c>
    </row>
    <row r="24875">
      <c r="A24875" t="n">
        <v>24874</v>
      </c>
      <c r="B24875" t="inlineStr">
        <is>
          <t>x̄x̄MV̅DCCCLXXIV</t>
        </is>
      </c>
      <c r="C24875">
        <f>ROMAN(24874)</f>
        <v/>
      </c>
      <c r="D24875">
        <f>IF(B24875=C24875, "YES", "WRONG")</f>
        <v/>
      </c>
    </row>
    <row r="24876">
      <c r="A24876" t="n">
        <v>24875</v>
      </c>
      <c r="B24876" t="inlineStr">
        <is>
          <t>x̄x̄MV̅DCCCLXXV</t>
        </is>
      </c>
      <c r="C24876">
        <f>ROMAN(24875)</f>
        <v/>
      </c>
      <c r="D24876">
        <f>IF(B24876=C24876, "YES", "WRONG")</f>
        <v/>
      </c>
    </row>
    <row r="24877">
      <c r="A24877" t="n">
        <v>24876</v>
      </c>
      <c r="B24877" t="inlineStr">
        <is>
          <t>x̄x̄MV̅DCCCLXXVI</t>
        </is>
      </c>
      <c r="C24877">
        <f>ROMAN(24876)</f>
        <v/>
      </c>
      <c r="D24877">
        <f>IF(B24877=C24877, "YES", "WRONG")</f>
        <v/>
      </c>
    </row>
    <row r="24878">
      <c r="A24878" t="n">
        <v>24877</v>
      </c>
      <c r="B24878" t="inlineStr">
        <is>
          <t>x̄x̄MV̅DCCCLXXVII</t>
        </is>
      </c>
      <c r="C24878">
        <f>ROMAN(24877)</f>
        <v/>
      </c>
      <c r="D24878">
        <f>IF(B24878=C24878, "YES", "WRONG")</f>
        <v/>
      </c>
    </row>
    <row r="24879">
      <c r="A24879" t="n">
        <v>24878</v>
      </c>
      <c r="B24879" t="inlineStr">
        <is>
          <t>x̄x̄MV̅DCCCLXXVIII</t>
        </is>
      </c>
      <c r="C24879">
        <f>ROMAN(24878)</f>
        <v/>
      </c>
      <c r="D24879">
        <f>IF(B24879=C24879, "YES", "WRONG")</f>
        <v/>
      </c>
    </row>
    <row r="24880">
      <c r="A24880" t="n">
        <v>24879</v>
      </c>
      <c r="B24880" t="inlineStr">
        <is>
          <t>x̄x̄MV̅DCCCLXXIX</t>
        </is>
      </c>
      <c r="C24880">
        <f>ROMAN(24879)</f>
        <v/>
      </c>
      <c r="D24880">
        <f>IF(B24880=C24880, "YES", "WRONG")</f>
        <v/>
      </c>
    </row>
    <row r="24881">
      <c r="A24881" t="n">
        <v>24880</v>
      </c>
      <c r="B24881" t="inlineStr">
        <is>
          <t>x̄x̄MV̅DCCCLXXX</t>
        </is>
      </c>
      <c r="C24881">
        <f>ROMAN(24880)</f>
        <v/>
      </c>
      <c r="D24881">
        <f>IF(B24881=C24881, "YES", "WRONG")</f>
        <v/>
      </c>
    </row>
    <row r="24882">
      <c r="A24882" t="n">
        <v>24881</v>
      </c>
      <c r="B24882" t="inlineStr">
        <is>
          <t>x̄x̄MV̅DCCCLXXXI</t>
        </is>
      </c>
      <c r="C24882">
        <f>ROMAN(24881)</f>
        <v/>
      </c>
      <c r="D24882">
        <f>IF(B24882=C24882, "YES", "WRONG")</f>
        <v/>
      </c>
    </row>
    <row r="24883">
      <c r="A24883" t="n">
        <v>24882</v>
      </c>
      <c r="B24883" t="inlineStr">
        <is>
          <t>x̄x̄MV̅DCCCLXXXII</t>
        </is>
      </c>
      <c r="C24883">
        <f>ROMAN(24882)</f>
        <v/>
      </c>
      <c r="D24883">
        <f>IF(B24883=C24883, "YES", "WRONG")</f>
        <v/>
      </c>
    </row>
    <row r="24884">
      <c r="A24884" t="n">
        <v>24883</v>
      </c>
      <c r="B24884" t="inlineStr">
        <is>
          <t>x̄x̄MV̅DCCCLXXXIII</t>
        </is>
      </c>
      <c r="C24884">
        <f>ROMAN(24883)</f>
        <v/>
      </c>
      <c r="D24884">
        <f>IF(B24884=C24884, "YES", "WRONG")</f>
        <v/>
      </c>
    </row>
    <row r="24885">
      <c r="A24885" t="n">
        <v>24884</v>
      </c>
      <c r="B24885" t="inlineStr">
        <is>
          <t>x̄x̄MV̅DCCCLXXXIV</t>
        </is>
      </c>
      <c r="C24885">
        <f>ROMAN(24884)</f>
        <v/>
      </c>
      <c r="D24885">
        <f>IF(B24885=C24885, "YES", "WRONG")</f>
        <v/>
      </c>
    </row>
    <row r="24886">
      <c r="A24886" t="n">
        <v>24885</v>
      </c>
      <c r="B24886" t="inlineStr">
        <is>
          <t>x̄x̄MV̅DCCCLXXXV</t>
        </is>
      </c>
      <c r="C24886">
        <f>ROMAN(24885)</f>
        <v/>
      </c>
      <c r="D24886">
        <f>IF(B24886=C24886, "YES", "WRONG")</f>
        <v/>
      </c>
    </row>
    <row r="24887">
      <c r="A24887" t="n">
        <v>24886</v>
      </c>
      <c r="B24887" t="inlineStr">
        <is>
          <t>x̄x̄MV̅DCCCLXXXVI</t>
        </is>
      </c>
      <c r="C24887">
        <f>ROMAN(24886)</f>
        <v/>
      </c>
      <c r="D24887">
        <f>IF(B24887=C24887, "YES", "WRONG")</f>
        <v/>
      </c>
    </row>
    <row r="24888">
      <c r="A24888" t="n">
        <v>24887</v>
      </c>
      <c r="B24888" t="inlineStr">
        <is>
          <t>x̄x̄MV̅DCCCLXXXVII</t>
        </is>
      </c>
      <c r="C24888">
        <f>ROMAN(24887)</f>
        <v/>
      </c>
      <c r="D24888">
        <f>IF(B24888=C24888, "YES", "WRONG")</f>
        <v/>
      </c>
    </row>
    <row r="24889">
      <c r="A24889" t="n">
        <v>24888</v>
      </c>
      <c r="B24889" t="inlineStr">
        <is>
          <t>x̄x̄MV̅DCCCLXXXVIII</t>
        </is>
      </c>
      <c r="C24889">
        <f>ROMAN(24888)</f>
        <v/>
      </c>
      <c r="D24889">
        <f>IF(B24889=C24889, "YES", "WRONG")</f>
        <v/>
      </c>
    </row>
    <row r="24890">
      <c r="A24890" t="n">
        <v>24889</v>
      </c>
      <c r="B24890" t="inlineStr">
        <is>
          <t>x̄x̄MV̅DCCCLXXXIX</t>
        </is>
      </c>
      <c r="C24890">
        <f>ROMAN(24889)</f>
        <v/>
      </c>
      <c r="D24890">
        <f>IF(B24890=C24890, "YES", "WRONG")</f>
        <v/>
      </c>
    </row>
    <row r="24891">
      <c r="A24891" t="n">
        <v>24890</v>
      </c>
      <c r="B24891" t="inlineStr">
        <is>
          <t>x̄x̄MV̅DCCCXC</t>
        </is>
      </c>
      <c r="C24891">
        <f>ROMAN(24890)</f>
        <v/>
      </c>
      <c r="D24891">
        <f>IF(B24891=C24891, "YES", "WRONG")</f>
        <v/>
      </c>
    </row>
    <row r="24892">
      <c r="A24892" t="n">
        <v>24891</v>
      </c>
      <c r="B24892" t="inlineStr">
        <is>
          <t>x̄x̄MV̅DCCCXCI</t>
        </is>
      </c>
      <c r="C24892">
        <f>ROMAN(24891)</f>
        <v/>
      </c>
      <c r="D24892">
        <f>IF(B24892=C24892, "YES", "WRONG")</f>
        <v/>
      </c>
    </row>
    <row r="24893">
      <c r="A24893" t="n">
        <v>24892</v>
      </c>
      <c r="B24893" t="inlineStr">
        <is>
          <t>x̄x̄MV̅DCCCXCII</t>
        </is>
      </c>
      <c r="C24893">
        <f>ROMAN(24892)</f>
        <v/>
      </c>
      <c r="D24893">
        <f>IF(B24893=C24893, "YES", "WRONG")</f>
        <v/>
      </c>
    </row>
    <row r="24894">
      <c r="A24894" t="n">
        <v>24893</v>
      </c>
      <c r="B24894" t="inlineStr">
        <is>
          <t>x̄x̄MV̅DCCCXCIII</t>
        </is>
      </c>
      <c r="C24894">
        <f>ROMAN(24893)</f>
        <v/>
      </c>
      <c r="D24894">
        <f>IF(B24894=C24894, "YES", "WRONG")</f>
        <v/>
      </c>
    </row>
    <row r="24895">
      <c r="A24895" t="n">
        <v>24894</v>
      </c>
      <c r="B24895" t="inlineStr">
        <is>
          <t>x̄x̄MV̅DCCCXCIV</t>
        </is>
      </c>
      <c r="C24895">
        <f>ROMAN(24894)</f>
        <v/>
      </c>
      <c r="D24895">
        <f>IF(B24895=C24895, "YES", "WRONG")</f>
        <v/>
      </c>
    </row>
    <row r="24896">
      <c r="A24896" t="n">
        <v>24895</v>
      </c>
      <c r="B24896" t="inlineStr">
        <is>
          <t>x̄x̄MV̅DCCCXCV</t>
        </is>
      </c>
      <c r="C24896">
        <f>ROMAN(24895)</f>
        <v/>
      </c>
      <c r="D24896">
        <f>IF(B24896=C24896, "YES", "WRONG")</f>
        <v/>
      </c>
    </row>
    <row r="24897">
      <c r="A24897" t="n">
        <v>24896</v>
      </c>
      <c r="B24897" t="inlineStr">
        <is>
          <t>x̄x̄MV̅DCCCXCVI</t>
        </is>
      </c>
      <c r="C24897">
        <f>ROMAN(24896)</f>
        <v/>
      </c>
      <c r="D24897">
        <f>IF(B24897=C24897, "YES", "WRONG")</f>
        <v/>
      </c>
    </row>
    <row r="24898">
      <c r="A24898" t="n">
        <v>24897</v>
      </c>
      <c r="B24898" t="inlineStr">
        <is>
          <t>x̄x̄MV̅DCCCXCVII</t>
        </is>
      </c>
      <c r="C24898">
        <f>ROMAN(24897)</f>
        <v/>
      </c>
      <c r="D24898">
        <f>IF(B24898=C24898, "YES", "WRONG")</f>
        <v/>
      </c>
    </row>
    <row r="24899">
      <c r="A24899" t="n">
        <v>24898</v>
      </c>
      <c r="B24899" t="inlineStr">
        <is>
          <t>x̄x̄MV̅DCCCXCVIII</t>
        </is>
      </c>
      <c r="C24899">
        <f>ROMAN(24898)</f>
        <v/>
      </c>
      <c r="D24899">
        <f>IF(B24899=C24899, "YES", "WRONG")</f>
        <v/>
      </c>
    </row>
    <row r="24900">
      <c r="A24900" t="n">
        <v>24899</v>
      </c>
      <c r="B24900" t="inlineStr">
        <is>
          <t>x̄x̄MV̅DCCCXCIX</t>
        </is>
      </c>
      <c r="C24900">
        <f>ROMAN(24899)</f>
        <v/>
      </c>
      <c r="D24900">
        <f>IF(B24900=C24900, "YES", "WRONG")</f>
        <v/>
      </c>
    </row>
    <row r="24901">
      <c r="A24901" t="n">
        <v>24900</v>
      </c>
      <c r="B24901" t="inlineStr">
        <is>
          <t>x̄x̄MV̅CM</t>
        </is>
      </c>
      <c r="C24901">
        <f>ROMAN(24900)</f>
        <v/>
      </c>
      <c r="D24901">
        <f>IF(B24901=C24901, "YES", "WRONG")</f>
        <v/>
      </c>
    </row>
    <row r="24902">
      <c r="A24902" t="n">
        <v>24901</v>
      </c>
      <c r="B24902" t="inlineStr">
        <is>
          <t>x̄x̄MV̅CMI</t>
        </is>
      </c>
      <c r="C24902">
        <f>ROMAN(24901)</f>
        <v/>
      </c>
      <c r="D24902">
        <f>IF(B24902=C24902, "YES", "WRONG")</f>
        <v/>
      </c>
    </row>
    <row r="24903">
      <c r="A24903" t="n">
        <v>24902</v>
      </c>
      <c r="B24903" t="inlineStr">
        <is>
          <t>x̄x̄MV̅CMII</t>
        </is>
      </c>
      <c r="C24903">
        <f>ROMAN(24902)</f>
        <v/>
      </c>
      <c r="D24903">
        <f>IF(B24903=C24903, "YES", "WRONG")</f>
        <v/>
      </c>
    </row>
    <row r="24904">
      <c r="A24904" t="n">
        <v>24903</v>
      </c>
      <c r="B24904" t="inlineStr">
        <is>
          <t>x̄x̄MV̅CMIII</t>
        </is>
      </c>
      <c r="C24904">
        <f>ROMAN(24903)</f>
        <v/>
      </c>
      <c r="D24904">
        <f>IF(B24904=C24904, "YES", "WRONG")</f>
        <v/>
      </c>
    </row>
    <row r="24905">
      <c r="A24905" t="n">
        <v>24904</v>
      </c>
      <c r="B24905" t="inlineStr">
        <is>
          <t>x̄x̄MV̅CMIV</t>
        </is>
      </c>
      <c r="C24905">
        <f>ROMAN(24904)</f>
        <v/>
      </c>
      <c r="D24905">
        <f>IF(B24905=C24905, "YES", "WRONG")</f>
        <v/>
      </c>
    </row>
    <row r="24906">
      <c r="A24906" t="n">
        <v>24905</v>
      </c>
      <c r="B24906" t="inlineStr">
        <is>
          <t>x̄x̄MV̅CMV</t>
        </is>
      </c>
      <c r="C24906">
        <f>ROMAN(24905)</f>
        <v/>
      </c>
      <c r="D24906">
        <f>IF(B24906=C24906, "YES", "WRONG")</f>
        <v/>
      </c>
    </row>
    <row r="24907">
      <c r="A24907" t="n">
        <v>24906</v>
      </c>
      <c r="B24907" t="inlineStr">
        <is>
          <t>x̄x̄MV̅CMVI</t>
        </is>
      </c>
      <c r="C24907">
        <f>ROMAN(24906)</f>
        <v/>
      </c>
      <c r="D24907">
        <f>IF(B24907=C24907, "YES", "WRONG")</f>
        <v/>
      </c>
    </row>
    <row r="24908">
      <c r="A24908" t="n">
        <v>24907</v>
      </c>
      <c r="B24908" t="inlineStr">
        <is>
          <t>x̄x̄MV̅CMVII</t>
        </is>
      </c>
      <c r="C24908">
        <f>ROMAN(24907)</f>
        <v/>
      </c>
      <c r="D24908">
        <f>IF(B24908=C24908, "YES", "WRONG")</f>
        <v/>
      </c>
    </row>
    <row r="24909">
      <c r="A24909" t="n">
        <v>24908</v>
      </c>
      <c r="B24909" t="inlineStr">
        <is>
          <t>x̄x̄MV̅CMVIII</t>
        </is>
      </c>
      <c r="C24909">
        <f>ROMAN(24908)</f>
        <v/>
      </c>
      <c r="D24909">
        <f>IF(B24909=C24909, "YES", "WRONG")</f>
        <v/>
      </c>
    </row>
    <row r="24910">
      <c r="A24910" t="n">
        <v>24909</v>
      </c>
      <c r="B24910" t="inlineStr">
        <is>
          <t>x̄x̄MV̅CMIX</t>
        </is>
      </c>
      <c r="C24910">
        <f>ROMAN(24909)</f>
        <v/>
      </c>
      <c r="D24910">
        <f>IF(B24910=C24910, "YES", "WRONG")</f>
        <v/>
      </c>
    </row>
    <row r="24911">
      <c r="A24911" t="n">
        <v>24910</v>
      </c>
      <c r="B24911" t="inlineStr">
        <is>
          <t>x̄x̄MV̅CMX</t>
        </is>
      </c>
      <c r="C24911">
        <f>ROMAN(24910)</f>
        <v/>
      </c>
      <c r="D24911">
        <f>IF(B24911=C24911, "YES", "WRONG")</f>
        <v/>
      </c>
    </row>
    <row r="24912">
      <c r="A24912" t="n">
        <v>24911</v>
      </c>
      <c r="B24912" t="inlineStr">
        <is>
          <t>x̄x̄MV̅CMXI</t>
        </is>
      </c>
      <c r="C24912">
        <f>ROMAN(24911)</f>
        <v/>
      </c>
      <c r="D24912">
        <f>IF(B24912=C24912, "YES", "WRONG")</f>
        <v/>
      </c>
    </row>
    <row r="24913">
      <c r="A24913" t="n">
        <v>24912</v>
      </c>
      <c r="B24913" t="inlineStr">
        <is>
          <t>x̄x̄MV̅CMXII</t>
        </is>
      </c>
      <c r="C24913">
        <f>ROMAN(24912)</f>
        <v/>
      </c>
      <c r="D24913">
        <f>IF(B24913=C24913, "YES", "WRONG")</f>
        <v/>
      </c>
    </row>
    <row r="24914">
      <c r="A24914" t="n">
        <v>24913</v>
      </c>
      <c r="B24914" t="inlineStr">
        <is>
          <t>x̄x̄MV̅CMXIII</t>
        </is>
      </c>
      <c r="C24914">
        <f>ROMAN(24913)</f>
        <v/>
      </c>
      <c r="D24914">
        <f>IF(B24914=C24914, "YES", "WRONG")</f>
        <v/>
      </c>
    </row>
    <row r="24915">
      <c r="A24915" t="n">
        <v>24914</v>
      </c>
      <c r="B24915" t="inlineStr">
        <is>
          <t>x̄x̄MV̅CMXIV</t>
        </is>
      </c>
      <c r="C24915">
        <f>ROMAN(24914)</f>
        <v/>
      </c>
      <c r="D24915">
        <f>IF(B24915=C24915, "YES", "WRONG")</f>
        <v/>
      </c>
    </row>
    <row r="24916">
      <c r="A24916" t="n">
        <v>24915</v>
      </c>
      <c r="B24916" t="inlineStr">
        <is>
          <t>x̄x̄MV̅CMXV</t>
        </is>
      </c>
      <c r="C24916">
        <f>ROMAN(24915)</f>
        <v/>
      </c>
      <c r="D24916">
        <f>IF(B24916=C24916, "YES", "WRONG")</f>
        <v/>
      </c>
    </row>
    <row r="24917">
      <c r="A24917" t="n">
        <v>24916</v>
      </c>
      <c r="B24917" t="inlineStr">
        <is>
          <t>x̄x̄MV̅CMXVI</t>
        </is>
      </c>
      <c r="C24917">
        <f>ROMAN(24916)</f>
        <v/>
      </c>
      <c r="D24917">
        <f>IF(B24917=C24917, "YES", "WRONG")</f>
        <v/>
      </c>
    </row>
    <row r="24918">
      <c r="A24918" t="n">
        <v>24917</v>
      </c>
      <c r="B24918" t="inlineStr">
        <is>
          <t>x̄x̄MV̅CMXVII</t>
        </is>
      </c>
      <c r="C24918">
        <f>ROMAN(24917)</f>
        <v/>
      </c>
      <c r="D24918">
        <f>IF(B24918=C24918, "YES", "WRONG")</f>
        <v/>
      </c>
    </row>
    <row r="24919">
      <c r="A24919" t="n">
        <v>24918</v>
      </c>
      <c r="B24919" t="inlineStr">
        <is>
          <t>x̄x̄MV̅CMXVIII</t>
        </is>
      </c>
      <c r="C24919">
        <f>ROMAN(24918)</f>
        <v/>
      </c>
      <c r="D24919">
        <f>IF(B24919=C24919, "YES", "WRONG")</f>
        <v/>
      </c>
    </row>
    <row r="24920">
      <c r="A24920" t="n">
        <v>24919</v>
      </c>
      <c r="B24920" t="inlineStr">
        <is>
          <t>x̄x̄MV̅CMXIX</t>
        </is>
      </c>
      <c r="C24920">
        <f>ROMAN(24919)</f>
        <v/>
      </c>
      <c r="D24920">
        <f>IF(B24920=C24920, "YES", "WRONG")</f>
        <v/>
      </c>
    </row>
    <row r="24921">
      <c r="A24921" t="n">
        <v>24920</v>
      </c>
      <c r="B24921" t="inlineStr">
        <is>
          <t>x̄x̄MV̅CMXX</t>
        </is>
      </c>
      <c r="C24921">
        <f>ROMAN(24920)</f>
        <v/>
      </c>
      <c r="D24921">
        <f>IF(B24921=C24921, "YES", "WRONG")</f>
        <v/>
      </c>
    </row>
    <row r="24922">
      <c r="A24922" t="n">
        <v>24921</v>
      </c>
      <c r="B24922" t="inlineStr">
        <is>
          <t>x̄x̄MV̅CMXXI</t>
        </is>
      </c>
      <c r="C24922">
        <f>ROMAN(24921)</f>
        <v/>
      </c>
      <c r="D24922">
        <f>IF(B24922=C24922, "YES", "WRONG")</f>
        <v/>
      </c>
    </row>
    <row r="24923">
      <c r="A24923" t="n">
        <v>24922</v>
      </c>
      <c r="B24923" t="inlineStr">
        <is>
          <t>x̄x̄MV̅CMXXII</t>
        </is>
      </c>
      <c r="C24923">
        <f>ROMAN(24922)</f>
        <v/>
      </c>
      <c r="D24923">
        <f>IF(B24923=C24923, "YES", "WRONG")</f>
        <v/>
      </c>
    </row>
    <row r="24924">
      <c r="A24924" t="n">
        <v>24923</v>
      </c>
      <c r="B24924" t="inlineStr">
        <is>
          <t>x̄x̄MV̅CMXXIII</t>
        </is>
      </c>
      <c r="C24924">
        <f>ROMAN(24923)</f>
        <v/>
      </c>
      <c r="D24924">
        <f>IF(B24924=C24924, "YES", "WRONG")</f>
        <v/>
      </c>
    </row>
    <row r="24925">
      <c r="A24925" t="n">
        <v>24924</v>
      </c>
      <c r="B24925" t="inlineStr">
        <is>
          <t>x̄x̄MV̅CMXXIV</t>
        </is>
      </c>
      <c r="C24925">
        <f>ROMAN(24924)</f>
        <v/>
      </c>
      <c r="D24925">
        <f>IF(B24925=C24925, "YES", "WRONG")</f>
        <v/>
      </c>
    </row>
    <row r="24926">
      <c r="A24926" t="n">
        <v>24925</v>
      </c>
      <c r="B24926" t="inlineStr">
        <is>
          <t>x̄x̄MV̅CMXXV</t>
        </is>
      </c>
      <c r="C24926">
        <f>ROMAN(24925)</f>
        <v/>
      </c>
      <c r="D24926">
        <f>IF(B24926=C24926, "YES", "WRONG")</f>
        <v/>
      </c>
    </row>
    <row r="24927">
      <c r="A24927" t="n">
        <v>24926</v>
      </c>
      <c r="B24927" t="inlineStr">
        <is>
          <t>x̄x̄MV̅CMXXVI</t>
        </is>
      </c>
      <c r="C24927">
        <f>ROMAN(24926)</f>
        <v/>
      </c>
      <c r="D24927">
        <f>IF(B24927=C24927, "YES", "WRONG")</f>
        <v/>
      </c>
    </row>
    <row r="24928">
      <c r="A24928" t="n">
        <v>24927</v>
      </c>
      <c r="B24928" t="inlineStr">
        <is>
          <t>x̄x̄MV̅CMXXVII</t>
        </is>
      </c>
      <c r="C24928">
        <f>ROMAN(24927)</f>
        <v/>
      </c>
      <c r="D24928">
        <f>IF(B24928=C24928, "YES", "WRONG")</f>
        <v/>
      </c>
    </row>
    <row r="24929">
      <c r="A24929" t="n">
        <v>24928</v>
      </c>
      <c r="B24929" t="inlineStr">
        <is>
          <t>x̄x̄MV̅CMXXVIII</t>
        </is>
      </c>
      <c r="C24929">
        <f>ROMAN(24928)</f>
        <v/>
      </c>
      <c r="D24929">
        <f>IF(B24929=C24929, "YES", "WRONG")</f>
        <v/>
      </c>
    </row>
    <row r="24930">
      <c r="A24930" t="n">
        <v>24929</v>
      </c>
      <c r="B24930" t="inlineStr">
        <is>
          <t>x̄x̄MV̅CMXXIX</t>
        </is>
      </c>
      <c r="C24930">
        <f>ROMAN(24929)</f>
        <v/>
      </c>
      <c r="D24930">
        <f>IF(B24930=C24930, "YES", "WRONG")</f>
        <v/>
      </c>
    </row>
    <row r="24931">
      <c r="A24931" t="n">
        <v>24930</v>
      </c>
      <c r="B24931" t="inlineStr">
        <is>
          <t>x̄x̄MV̅CMXXX</t>
        </is>
      </c>
      <c r="C24931">
        <f>ROMAN(24930)</f>
        <v/>
      </c>
      <c r="D24931">
        <f>IF(B24931=C24931, "YES", "WRONG")</f>
        <v/>
      </c>
    </row>
    <row r="24932">
      <c r="A24932" t="n">
        <v>24931</v>
      </c>
      <c r="B24932" t="inlineStr">
        <is>
          <t>x̄x̄MV̅CMXXXI</t>
        </is>
      </c>
      <c r="C24932">
        <f>ROMAN(24931)</f>
        <v/>
      </c>
      <c r="D24932">
        <f>IF(B24932=C24932, "YES", "WRONG")</f>
        <v/>
      </c>
    </row>
    <row r="24933">
      <c r="A24933" t="n">
        <v>24932</v>
      </c>
      <c r="B24933" t="inlineStr">
        <is>
          <t>x̄x̄MV̅CMXXXII</t>
        </is>
      </c>
      <c r="C24933">
        <f>ROMAN(24932)</f>
        <v/>
      </c>
      <c r="D24933">
        <f>IF(B24933=C24933, "YES", "WRONG")</f>
        <v/>
      </c>
    </row>
    <row r="24934">
      <c r="A24934" t="n">
        <v>24933</v>
      </c>
      <c r="B24934" t="inlineStr">
        <is>
          <t>x̄x̄MV̅CMXXXIII</t>
        </is>
      </c>
      <c r="C24934">
        <f>ROMAN(24933)</f>
        <v/>
      </c>
      <c r="D24934">
        <f>IF(B24934=C24934, "YES", "WRONG")</f>
        <v/>
      </c>
    </row>
    <row r="24935">
      <c r="A24935" t="n">
        <v>24934</v>
      </c>
      <c r="B24935" t="inlineStr">
        <is>
          <t>x̄x̄MV̅CMXXXIV</t>
        </is>
      </c>
      <c r="C24935">
        <f>ROMAN(24934)</f>
        <v/>
      </c>
      <c r="D24935">
        <f>IF(B24935=C24935, "YES", "WRONG")</f>
        <v/>
      </c>
    </row>
    <row r="24936">
      <c r="A24936" t="n">
        <v>24935</v>
      </c>
      <c r="B24936" t="inlineStr">
        <is>
          <t>x̄x̄MV̅CMXXXV</t>
        </is>
      </c>
      <c r="C24936">
        <f>ROMAN(24935)</f>
        <v/>
      </c>
      <c r="D24936">
        <f>IF(B24936=C24936, "YES", "WRONG")</f>
        <v/>
      </c>
    </row>
    <row r="24937">
      <c r="A24937" t="n">
        <v>24936</v>
      </c>
      <c r="B24937" t="inlineStr">
        <is>
          <t>x̄x̄MV̅CMXXXVI</t>
        </is>
      </c>
      <c r="C24937">
        <f>ROMAN(24936)</f>
        <v/>
      </c>
      <c r="D24937">
        <f>IF(B24937=C24937, "YES", "WRONG")</f>
        <v/>
      </c>
    </row>
    <row r="24938">
      <c r="A24938" t="n">
        <v>24937</v>
      </c>
      <c r="B24938" t="inlineStr">
        <is>
          <t>x̄x̄MV̅CMXXXVII</t>
        </is>
      </c>
      <c r="C24938">
        <f>ROMAN(24937)</f>
        <v/>
      </c>
      <c r="D24938">
        <f>IF(B24938=C24938, "YES", "WRONG")</f>
        <v/>
      </c>
    </row>
    <row r="24939">
      <c r="A24939" t="n">
        <v>24938</v>
      </c>
      <c r="B24939" t="inlineStr">
        <is>
          <t>x̄x̄MV̅CMXXXVIII</t>
        </is>
      </c>
      <c r="C24939">
        <f>ROMAN(24938)</f>
        <v/>
      </c>
      <c r="D24939">
        <f>IF(B24939=C24939, "YES", "WRONG")</f>
        <v/>
      </c>
    </row>
    <row r="24940">
      <c r="A24940" t="n">
        <v>24939</v>
      </c>
      <c r="B24940" t="inlineStr">
        <is>
          <t>x̄x̄MV̅CMXXXIX</t>
        </is>
      </c>
      <c r="C24940">
        <f>ROMAN(24939)</f>
        <v/>
      </c>
      <c r="D24940">
        <f>IF(B24940=C24940, "YES", "WRONG")</f>
        <v/>
      </c>
    </row>
    <row r="24941">
      <c r="A24941" t="n">
        <v>24940</v>
      </c>
      <c r="B24941" t="inlineStr">
        <is>
          <t>x̄x̄MV̅CMXL</t>
        </is>
      </c>
      <c r="C24941">
        <f>ROMAN(24940)</f>
        <v/>
      </c>
      <c r="D24941">
        <f>IF(B24941=C24941, "YES", "WRONG")</f>
        <v/>
      </c>
    </row>
    <row r="24942">
      <c r="A24942" t="n">
        <v>24941</v>
      </c>
      <c r="B24942" t="inlineStr">
        <is>
          <t>x̄x̄MV̅CMXLI</t>
        </is>
      </c>
      <c r="C24942">
        <f>ROMAN(24941)</f>
        <v/>
      </c>
      <c r="D24942">
        <f>IF(B24942=C24942, "YES", "WRONG")</f>
        <v/>
      </c>
    </row>
    <row r="24943">
      <c r="A24943" t="n">
        <v>24942</v>
      </c>
      <c r="B24943" t="inlineStr">
        <is>
          <t>x̄x̄MV̅CMXLII</t>
        </is>
      </c>
      <c r="C24943">
        <f>ROMAN(24942)</f>
        <v/>
      </c>
      <c r="D24943">
        <f>IF(B24943=C24943, "YES", "WRONG")</f>
        <v/>
      </c>
    </row>
    <row r="24944">
      <c r="A24944" t="n">
        <v>24943</v>
      </c>
      <c r="B24944" t="inlineStr">
        <is>
          <t>x̄x̄MV̅CMXLIII</t>
        </is>
      </c>
      <c r="C24944">
        <f>ROMAN(24943)</f>
        <v/>
      </c>
      <c r="D24944">
        <f>IF(B24944=C24944, "YES", "WRONG")</f>
        <v/>
      </c>
    </row>
    <row r="24945">
      <c r="A24945" t="n">
        <v>24944</v>
      </c>
      <c r="B24945" t="inlineStr">
        <is>
          <t>x̄x̄MV̅CMXLIV</t>
        </is>
      </c>
      <c r="C24945">
        <f>ROMAN(24944)</f>
        <v/>
      </c>
      <c r="D24945">
        <f>IF(B24945=C24945, "YES", "WRONG")</f>
        <v/>
      </c>
    </row>
    <row r="24946">
      <c r="A24946" t="n">
        <v>24945</v>
      </c>
      <c r="B24946" t="inlineStr">
        <is>
          <t>x̄x̄MV̅CMXLV</t>
        </is>
      </c>
      <c r="C24946">
        <f>ROMAN(24945)</f>
        <v/>
      </c>
      <c r="D24946">
        <f>IF(B24946=C24946, "YES", "WRONG")</f>
        <v/>
      </c>
    </row>
    <row r="24947">
      <c r="A24947" t="n">
        <v>24946</v>
      </c>
      <c r="B24947" t="inlineStr">
        <is>
          <t>x̄x̄MV̅CMXLVI</t>
        </is>
      </c>
      <c r="C24947">
        <f>ROMAN(24946)</f>
        <v/>
      </c>
      <c r="D24947">
        <f>IF(B24947=C24947, "YES", "WRONG")</f>
        <v/>
      </c>
    </row>
    <row r="24948">
      <c r="A24948" t="n">
        <v>24947</v>
      </c>
      <c r="B24948" t="inlineStr">
        <is>
          <t>x̄x̄MV̅CMXLVII</t>
        </is>
      </c>
      <c r="C24948">
        <f>ROMAN(24947)</f>
        <v/>
      </c>
      <c r="D24948">
        <f>IF(B24948=C24948, "YES", "WRONG")</f>
        <v/>
      </c>
    </row>
    <row r="24949">
      <c r="A24949" t="n">
        <v>24948</v>
      </c>
      <c r="B24949" t="inlineStr">
        <is>
          <t>x̄x̄MV̅CMXLVIII</t>
        </is>
      </c>
      <c r="C24949">
        <f>ROMAN(24948)</f>
        <v/>
      </c>
      <c r="D24949">
        <f>IF(B24949=C24949, "YES", "WRONG")</f>
        <v/>
      </c>
    </row>
    <row r="24950">
      <c r="A24950" t="n">
        <v>24949</v>
      </c>
      <c r="B24950" t="inlineStr">
        <is>
          <t>x̄x̄MV̅CMXLIX</t>
        </is>
      </c>
      <c r="C24950">
        <f>ROMAN(24949)</f>
        <v/>
      </c>
      <c r="D24950">
        <f>IF(B24950=C24950, "YES", "WRONG")</f>
        <v/>
      </c>
    </row>
    <row r="24951">
      <c r="A24951" t="n">
        <v>24950</v>
      </c>
      <c r="B24951" t="inlineStr">
        <is>
          <t>x̄x̄MV̅CML</t>
        </is>
      </c>
      <c r="C24951">
        <f>ROMAN(24950)</f>
        <v/>
      </c>
      <c r="D24951">
        <f>IF(B24951=C24951, "YES", "WRONG")</f>
        <v/>
      </c>
    </row>
    <row r="24952">
      <c r="A24952" t="n">
        <v>24951</v>
      </c>
      <c r="B24952" t="inlineStr">
        <is>
          <t>x̄x̄MV̅CMLI</t>
        </is>
      </c>
      <c r="C24952">
        <f>ROMAN(24951)</f>
        <v/>
      </c>
      <c r="D24952">
        <f>IF(B24952=C24952, "YES", "WRONG")</f>
        <v/>
      </c>
    </row>
    <row r="24953">
      <c r="A24953" t="n">
        <v>24952</v>
      </c>
      <c r="B24953" t="inlineStr">
        <is>
          <t>x̄x̄MV̅CMLII</t>
        </is>
      </c>
      <c r="C24953">
        <f>ROMAN(24952)</f>
        <v/>
      </c>
      <c r="D24953">
        <f>IF(B24953=C24953, "YES", "WRONG")</f>
        <v/>
      </c>
    </row>
    <row r="24954">
      <c r="A24954" t="n">
        <v>24953</v>
      </c>
      <c r="B24954" t="inlineStr">
        <is>
          <t>x̄x̄MV̅CMLIII</t>
        </is>
      </c>
      <c r="C24954">
        <f>ROMAN(24953)</f>
        <v/>
      </c>
      <c r="D24954">
        <f>IF(B24954=C24954, "YES", "WRONG")</f>
        <v/>
      </c>
    </row>
    <row r="24955">
      <c r="A24955" t="n">
        <v>24954</v>
      </c>
      <c r="B24955" t="inlineStr">
        <is>
          <t>x̄x̄MV̅CMLIV</t>
        </is>
      </c>
      <c r="C24955">
        <f>ROMAN(24954)</f>
        <v/>
      </c>
      <c r="D24955">
        <f>IF(B24955=C24955, "YES", "WRONG")</f>
        <v/>
      </c>
    </row>
    <row r="24956">
      <c r="A24956" t="n">
        <v>24955</v>
      </c>
      <c r="B24956" t="inlineStr">
        <is>
          <t>x̄x̄MV̅CMLV</t>
        </is>
      </c>
      <c r="C24956">
        <f>ROMAN(24955)</f>
        <v/>
      </c>
      <c r="D24956">
        <f>IF(B24956=C24956, "YES", "WRONG")</f>
        <v/>
      </c>
    </row>
    <row r="24957">
      <c r="A24957" t="n">
        <v>24956</v>
      </c>
      <c r="B24957" t="inlineStr">
        <is>
          <t>x̄x̄MV̅CMLVI</t>
        </is>
      </c>
      <c r="C24957">
        <f>ROMAN(24956)</f>
        <v/>
      </c>
      <c r="D24957">
        <f>IF(B24957=C24957, "YES", "WRONG")</f>
        <v/>
      </c>
    </row>
    <row r="24958">
      <c r="A24958" t="n">
        <v>24957</v>
      </c>
      <c r="B24958" t="inlineStr">
        <is>
          <t>x̄x̄MV̅CMLVII</t>
        </is>
      </c>
      <c r="C24958">
        <f>ROMAN(24957)</f>
        <v/>
      </c>
      <c r="D24958">
        <f>IF(B24958=C24958, "YES", "WRONG")</f>
        <v/>
      </c>
    </row>
    <row r="24959">
      <c r="A24959" t="n">
        <v>24958</v>
      </c>
      <c r="B24959" t="inlineStr">
        <is>
          <t>x̄x̄MV̅CMLVIII</t>
        </is>
      </c>
      <c r="C24959">
        <f>ROMAN(24958)</f>
        <v/>
      </c>
      <c r="D24959">
        <f>IF(B24959=C24959, "YES", "WRONG")</f>
        <v/>
      </c>
    </row>
    <row r="24960">
      <c r="A24960" t="n">
        <v>24959</v>
      </c>
      <c r="B24960" t="inlineStr">
        <is>
          <t>x̄x̄MV̅CMLIX</t>
        </is>
      </c>
      <c r="C24960">
        <f>ROMAN(24959)</f>
        <v/>
      </c>
      <c r="D24960">
        <f>IF(B24960=C24960, "YES", "WRONG")</f>
        <v/>
      </c>
    </row>
    <row r="24961">
      <c r="A24961" t="n">
        <v>24960</v>
      </c>
      <c r="B24961" t="inlineStr">
        <is>
          <t>x̄x̄MV̅CMLX</t>
        </is>
      </c>
      <c r="C24961">
        <f>ROMAN(24960)</f>
        <v/>
      </c>
      <c r="D24961">
        <f>IF(B24961=C24961, "YES", "WRONG")</f>
        <v/>
      </c>
    </row>
    <row r="24962">
      <c r="A24962" t="n">
        <v>24961</v>
      </c>
      <c r="B24962" t="inlineStr">
        <is>
          <t>x̄x̄MV̅CMLXI</t>
        </is>
      </c>
      <c r="C24962">
        <f>ROMAN(24961)</f>
        <v/>
      </c>
      <c r="D24962">
        <f>IF(B24962=C24962, "YES", "WRONG")</f>
        <v/>
      </c>
    </row>
    <row r="24963">
      <c r="A24963" t="n">
        <v>24962</v>
      </c>
      <c r="B24963" t="inlineStr">
        <is>
          <t>x̄x̄MV̅CMLXII</t>
        </is>
      </c>
      <c r="C24963">
        <f>ROMAN(24962)</f>
        <v/>
      </c>
      <c r="D24963">
        <f>IF(B24963=C24963, "YES", "WRONG")</f>
        <v/>
      </c>
    </row>
    <row r="24964">
      <c r="A24964" t="n">
        <v>24963</v>
      </c>
      <c r="B24964" t="inlineStr">
        <is>
          <t>x̄x̄MV̅CMLXIII</t>
        </is>
      </c>
      <c r="C24964">
        <f>ROMAN(24963)</f>
        <v/>
      </c>
      <c r="D24964">
        <f>IF(B24964=C24964, "YES", "WRONG")</f>
        <v/>
      </c>
    </row>
    <row r="24965">
      <c r="A24965" t="n">
        <v>24964</v>
      </c>
      <c r="B24965" t="inlineStr">
        <is>
          <t>x̄x̄MV̅CMLXIV</t>
        </is>
      </c>
      <c r="C24965">
        <f>ROMAN(24964)</f>
        <v/>
      </c>
      <c r="D24965">
        <f>IF(B24965=C24965, "YES", "WRONG")</f>
        <v/>
      </c>
    </row>
    <row r="24966">
      <c r="A24966" t="n">
        <v>24965</v>
      </c>
      <c r="B24966" t="inlineStr">
        <is>
          <t>x̄x̄MV̅CMLXV</t>
        </is>
      </c>
      <c r="C24966">
        <f>ROMAN(24965)</f>
        <v/>
      </c>
      <c r="D24966">
        <f>IF(B24966=C24966, "YES", "WRONG")</f>
        <v/>
      </c>
    </row>
    <row r="24967">
      <c r="A24967" t="n">
        <v>24966</v>
      </c>
      <c r="B24967" t="inlineStr">
        <is>
          <t>x̄x̄MV̅CMLXVI</t>
        </is>
      </c>
      <c r="C24967">
        <f>ROMAN(24966)</f>
        <v/>
      </c>
      <c r="D24967">
        <f>IF(B24967=C24967, "YES", "WRONG")</f>
        <v/>
      </c>
    </row>
    <row r="24968">
      <c r="A24968" t="n">
        <v>24967</v>
      </c>
      <c r="B24968" t="inlineStr">
        <is>
          <t>x̄x̄MV̅CMLXVII</t>
        </is>
      </c>
      <c r="C24968">
        <f>ROMAN(24967)</f>
        <v/>
      </c>
      <c r="D24968">
        <f>IF(B24968=C24968, "YES", "WRONG")</f>
        <v/>
      </c>
    </row>
    <row r="24969">
      <c r="A24969" t="n">
        <v>24968</v>
      </c>
      <c r="B24969" t="inlineStr">
        <is>
          <t>x̄x̄MV̅CMLXVIII</t>
        </is>
      </c>
      <c r="C24969">
        <f>ROMAN(24968)</f>
        <v/>
      </c>
      <c r="D24969">
        <f>IF(B24969=C24969, "YES", "WRONG")</f>
        <v/>
      </c>
    </row>
    <row r="24970">
      <c r="A24970" t="n">
        <v>24969</v>
      </c>
      <c r="B24970" t="inlineStr">
        <is>
          <t>x̄x̄MV̅CMLXIX</t>
        </is>
      </c>
      <c r="C24970">
        <f>ROMAN(24969)</f>
        <v/>
      </c>
      <c r="D24970">
        <f>IF(B24970=C24970, "YES", "WRONG")</f>
        <v/>
      </c>
    </row>
    <row r="24971">
      <c r="A24971" t="n">
        <v>24970</v>
      </c>
      <c r="B24971" t="inlineStr">
        <is>
          <t>x̄x̄MV̅CMLXX</t>
        </is>
      </c>
      <c r="C24971">
        <f>ROMAN(24970)</f>
        <v/>
      </c>
      <c r="D24971">
        <f>IF(B24971=C24971, "YES", "WRONG")</f>
        <v/>
      </c>
    </row>
    <row r="24972">
      <c r="A24972" t="n">
        <v>24971</v>
      </c>
      <c r="B24972" t="inlineStr">
        <is>
          <t>x̄x̄MV̅CMLXXI</t>
        </is>
      </c>
      <c r="C24972">
        <f>ROMAN(24971)</f>
        <v/>
      </c>
      <c r="D24972">
        <f>IF(B24972=C24972, "YES", "WRONG")</f>
        <v/>
      </c>
    </row>
    <row r="24973">
      <c r="A24973" t="n">
        <v>24972</v>
      </c>
      <c r="B24973" t="inlineStr">
        <is>
          <t>x̄x̄MV̅CMLXXII</t>
        </is>
      </c>
      <c r="C24973">
        <f>ROMAN(24972)</f>
        <v/>
      </c>
      <c r="D24973">
        <f>IF(B24973=C24973, "YES", "WRONG")</f>
        <v/>
      </c>
    </row>
    <row r="24974">
      <c r="A24974" t="n">
        <v>24973</v>
      </c>
      <c r="B24974" t="inlineStr">
        <is>
          <t>x̄x̄MV̅CMLXXIII</t>
        </is>
      </c>
      <c r="C24974">
        <f>ROMAN(24973)</f>
        <v/>
      </c>
      <c r="D24974">
        <f>IF(B24974=C24974, "YES", "WRONG")</f>
        <v/>
      </c>
    </row>
    <row r="24975">
      <c r="A24975" t="n">
        <v>24974</v>
      </c>
      <c r="B24975" t="inlineStr">
        <is>
          <t>x̄x̄MV̅CMLXXIV</t>
        </is>
      </c>
      <c r="C24975">
        <f>ROMAN(24974)</f>
        <v/>
      </c>
      <c r="D24975">
        <f>IF(B24975=C24975, "YES", "WRONG")</f>
        <v/>
      </c>
    </row>
    <row r="24976">
      <c r="A24976" t="n">
        <v>24975</v>
      </c>
      <c r="B24976" t="inlineStr">
        <is>
          <t>x̄x̄MV̅CMLXXV</t>
        </is>
      </c>
      <c r="C24976">
        <f>ROMAN(24975)</f>
        <v/>
      </c>
      <c r="D24976">
        <f>IF(B24976=C24976, "YES", "WRONG")</f>
        <v/>
      </c>
    </row>
    <row r="24977">
      <c r="A24977" t="n">
        <v>24976</v>
      </c>
      <c r="B24977" t="inlineStr">
        <is>
          <t>x̄x̄MV̅CMLXXVI</t>
        </is>
      </c>
      <c r="C24977">
        <f>ROMAN(24976)</f>
        <v/>
      </c>
      <c r="D24977">
        <f>IF(B24977=C24977, "YES", "WRONG")</f>
        <v/>
      </c>
    </row>
    <row r="24978">
      <c r="A24978" t="n">
        <v>24977</v>
      </c>
      <c r="B24978" t="inlineStr">
        <is>
          <t>x̄x̄MV̅CMLXXVII</t>
        </is>
      </c>
      <c r="C24978">
        <f>ROMAN(24977)</f>
        <v/>
      </c>
      <c r="D24978">
        <f>IF(B24978=C24978, "YES", "WRONG")</f>
        <v/>
      </c>
    </row>
    <row r="24979">
      <c r="A24979" t="n">
        <v>24978</v>
      </c>
      <c r="B24979" t="inlineStr">
        <is>
          <t>x̄x̄MV̅CMLXXVIII</t>
        </is>
      </c>
      <c r="C24979">
        <f>ROMAN(24978)</f>
        <v/>
      </c>
      <c r="D24979">
        <f>IF(B24979=C24979, "YES", "WRONG")</f>
        <v/>
      </c>
    </row>
    <row r="24980">
      <c r="A24980" t="n">
        <v>24979</v>
      </c>
      <c r="B24980" t="inlineStr">
        <is>
          <t>x̄x̄MV̅CMLXXIX</t>
        </is>
      </c>
      <c r="C24980">
        <f>ROMAN(24979)</f>
        <v/>
      </c>
      <c r="D24980">
        <f>IF(B24980=C24980, "YES", "WRONG")</f>
        <v/>
      </c>
    </row>
    <row r="24981">
      <c r="A24981" t="n">
        <v>24980</v>
      </c>
      <c r="B24981" t="inlineStr">
        <is>
          <t>x̄x̄MV̅CMLXXX</t>
        </is>
      </c>
      <c r="C24981">
        <f>ROMAN(24980)</f>
        <v/>
      </c>
      <c r="D24981">
        <f>IF(B24981=C24981, "YES", "WRONG")</f>
        <v/>
      </c>
    </row>
    <row r="24982">
      <c r="A24982" t="n">
        <v>24981</v>
      </c>
      <c r="B24982" t="inlineStr">
        <is>
          <t>x̄x̄MV̅CMLXXXI</t>
        </is>
      </c>
      <c r="C24982">
        <f>ROMAN(24981)</f>
        <v/>
      </c>
      <c r="D24982">
        <f>IF(B24982=C24982, "YES", "WRONG")</f>
        <v/>
      </c>
    </row>
    <row r="24983">
      <c r="A24983" t="n">
        <v>24982</v>
      </c>
      <c r="B24983" t="inlineStr">
        <is>
          <t>x̄x̄MV̅CMLXXXII</t>
        </is>
      </c>
      <c r="C24983">
        <f>ROMAN(24982)</f>
        <v/>
      </c>
      <c r="D24983">
        <f>IF(B24983=C24983, "YES", "WRONG")</f>
        <v/>
      </c>
    </row>
    <row r="24984">
      <c r="A24984" t="n">
        <v>24983</v>
      </c>
      <c r="B24984" t="inlineStr">
        <is>
          <t>x̄x̄MV̅CMLXXXIII</t>
        </is>
      </c>
      <c r="C24984">
        <f>ROMAN(24983)</f>
        <v/>
      </c>
      <c r="D24984">
        <f>IF(B24984=C24984, "YES", "WRONG")</f>
        <v/>
      </c>
    </row>
    <row r="24985">
      <c r="A24985" t="n">
        <v>24984</v>
      </c>
      <c r="B24985" t="inlineStr">
        <is>
          <t>x̄x̄MV̅CMLXXXIV</t>
        </is>
      </c>
      <c r="C24985">
        <f>ROMAN(24984)</f>
        <v/>
      </c>
      <c r="D24985">
        <f>IF(B24985=C24985, "YES", "WRONG")</f>
        <v/>
      </c>
    </row>
    <row r="24986">
      <c r="A24986" t="n">
        <v>24985</v>
      </c>
      <c r="B24986" t="inlineStr">
        <is>
          <t>x̄x̄MV̅CMLXXXV</t>
        </is>
      </c>
      <c r="C24986">
        <f>ROMAN(24985)</f>
        <v/>
      </c>
      <c r="D24986">
        <f>IF(B24986=C24986, "YES", "WRONG")</f>
        <v/>
      </c>
    </row>
    <row r="24987">
      <c r="A24987" t="n">
        <v>24986</v>
      </c>
      <c r="B24987" t="inlineStr">
        <is>
          <t>x̄x̄MV̅CMLXXXVI</t>
        </is>
      </c>
      <c r="C24987">
        <f>ROMAN(24986)</f>
        <v/>
      </c>
      <c r="D24987">
        <f>IF(B24987=C24987, "YES", "WRONG")</f>
        <v/>
      </c>
    </row>
    <row r="24988">
      <c r="A24988" t="n">
        <v>24987</v>
      </c>
      <c r="B24988" t="inlineStr">
        <is>
          <t>x̄x̄MV̅CMLXXXVII</t>
        </is>
      </c>
      <c r="C24988">
        <f>ROMAN(24987)</f>
        <v/>
      </c>
      <c r="D24988">
        <f>IF(B24988=C24988, "YES", "WRONG")</f>
        <v/>
      </c>
    </row>
    <row r="24989">
      <c r="A24989" t="n">
        <v>24988</v>
      </c>
      <c r="B24989" t="inlineStr">
        <is>
          <t>x̄x̄MV̅CMLXXXVIII</t>
        </is>
      </c>
      <c r="C24989">
        <f>ROMAN(24988)</f>
        <v/>
      </c>
      <c r="D24989">
        <f>IF(B24989=C24989, "YES", "WRONG")</f>
        <v/>
      </c>
    </row>
    <row r="24990">
      <c r="A24990" t="n">
        <v>24989</v>
      </c>
      <c r="B24990" t="inlineStr">
        <is>
          <t>x̄x̄MV̅CMLXXXIX</t>
        </is>
      </c>
      <c r="C24990">
        <f>ROMAN(24989)</f>
        <v/>
      </c>
      <c r="D24990">
        <f>IF(B24990=C24990, "YES", "WRONG")</f>
        <v/>
      </c>
    </row>
    <row r="24991">
      <c r="A24991" t="n">
        <v>24990</v>
      </c>
      <c r="B24991" t="inlineStr">
        <is>
          <t>x̄x̄MV̅CMXC</t>
        </is>
      </c>
      <c r="C24991">
        <f>ROMAN(24990)</f>
        <v/>
      </c>
      <c r="D24991">
        <f>IF(B24991=C24991, "YES", "WRONG")</f>
        <v/>
      </c>
    </row>
    <row r="24992">
      <c r="A24992" t="n">
        <v>24991</v>
      </c>
      <c r="B24992" t="inlineStr">
        <is>
          <t>x̄x̄MV̅CMXCI</t>
        </is>
      </c>
      <c r="C24992">
        <f>ROMAN(24991)</f>
        <v/>
      </c>
      <c r="D24992">
        <f>IF(B24992=C24992, "YES", "WRONG")</f>
        <v/>
      </c>
    </row>
    <row r="24993">
      <c r="A24993" t="n">
        <v>24992</v>
      </c>
      <c r="B24993" t="inlineStr">
        <is>
          <t>x̄x̄MV̅CMXCII</t>
        </is>
      </c>
      <c r="C24993">
        <f>ROMAN(24992)</f>
        <v/>
      </c>
      <c r="D24993">
        <f>IF(B24993=C24993, "YES", "WRONG")</f>
        <v/>
      </c>
    </row>
    <row r="24994">
      <c r="A24994" t="n">
        <v>24993</v>
      </c>
      <c r="B24994" t="inlineStr">
        <is>
          <t>x̄x̄MV̅CMXCIII</t>
        </is>
      </c>
      <c r="C24994">
        <f>ROMAN(24993)</f>
        <v/>
      </c>
      <c r="D24994">
        <f>IF(B24994=C24994, "YES", "WRONG")</f>
        <v/>
      </c>
    </row>
    <row r="24995">
      <c r="A24995" t="n">
        <v>24994</v>
      </c>
      <c r="B24995" t="inlineStr">
        <is>
          <t>x̄x̄MV̅CMXCIV</t>
        </is>
      </c>
      <c r="C24995">
        <f>ROMAN(24994)</f>
        <v/>
      </c>
      <c r="D24995">
        <f>IF(B24995=C24995, "YES", "WRONG")</f>
        <v/>
      </c>
    </row>
    <row r="24996">
      <c r="A24996" t="n">
        <v>24995</v>
      </c>
      <c r="B24996" t="inlineStr">
        <is>
          <t>x̄x̄MV̅CMXCV</t>
        </is>
      </c>
      <c r="C24996">
        <f>ROMAN(24995)</f>
        <v/>
      </c>
      <c r="D24996">
        <f>IF(B24996=C24996, "YES", "WRONG")</f>
        <v/>
      </c>
    </row>
    <row r="24997">
      <c r="A24997" t="n">
        <v>24996</v>
      </c>
      <c r="B24997" t="inlineStr">
        <is>
          <t>x̄x̄MV̅CMXCVI</t>
        </is>
      </c>
      <c r="C24997">
        <f>ROMAN(24996)</f>
        <v/>
      </c>
      <c r="D24997">
        <f>IF(B24997=C24997, "YES", "WRONG")</f>
        <v/>
      </c>
    </row>
    <row r="24998">
      <c r="A24998" t="n">
        <v>24997</v>
      </c>
      <c r="B24998" t="inlineStr">
        <is>
          <t>x̄x̄MV̅CMXCVII</t>
        </is>
      </c>
      <c r="C24998">
        <f>ROMAN(24997)</f>
        <v/>
      </c>
      <c r="D24998">
        <f>IF(B24998=C24998, "YES", "WRONG")</f>
        <v/>
      </c>
    </row>
    <row r="24999">
      <c r="A24999" t="n">
        <v>24998</v>
      </c>
      <c r="B24999" t="inlineStr">
        <is>
          <t>x̄x̄MV̅CMXCVIII</t>
        </is>
      </c>
      <c r="C24999">
        <f>ROMAN(24998)</f>
        <v/>
      </c>
      <c r="D24999">
        <f>IF(B24999=C24999, "YES", "WRONG")</f>
        <v/>
      </c>
    </row>
    <row r="25000">
      <c r="A25000" t="n">
        <v>24999</v>
      </c>
      <c r="B25000" t="inlineStr">
        <is>
          <t>x̄x̄MV̅CMXCIX</t>
        </is>
      </c>
      <c r="C25000">
        <f>ROMAN(24999)</f>
        <v/>
      </c>
      <c r="D25000">
        <f>IF(B25000=C25000, "YES", "WRONG")</f>
        <v/>
      </c>
    </row>
    <row r="25001">
      <c r="A25001" t="n">
        <v>25000</v>
      </c>
      <c r="B25001" t="inlineStr">
        <is>
          <t>x̄x̄V̅</t>
        </is>
      </c>
      <c r="C25001">
        <f>ROMAN(25000)</f>
        <v/>
      </c>
      <c r="D25001">
        <f>IF(B25001=C25001, "YES", "WRONG")</f>
        <v/>
      </c>
    </row>
    <row r="25002">
      <c r="A25002" t="n">
        <v>25001</v>
      </c>
      <c r="B25002" t="inlineStr">
        <is>
          <t>x̄x̄V̅I</t>
        </is>
      </c>
      <c r="C25002">
        <f>ROMAN(25001)</f>
        <v/>
      </c>
      <c r="D25002">
        <f>IF(B25002=C25002, "YES", "WRONG")</f>
        <v/>
      </c>
    </row>
    <row r="25003">
      <c r="A25003" t="n">
        <v>25002</v>
      </c>
      <c r="B25003" t="inlineStr">
        <is>
          <t>x̄x̄V̅II</t>
        </is>
      </c>
      <c r="C25003">
        <f>ROMAN(25002)</f>
        <v/>
      </c>
      <c r="D25003">
        <f>IF(B25003=C25003, "YES", "WRONG")</f>
        <v/>
      </c>
    </row>
    <row r="25004">
      <c r="A25004" t="n">
        <v>25003</v>
      </c>
      <c r="B25004" t="inlineStr">
        <is>
          <t>x̄x̄V̅III</t>
        </is>
      </c>
      <c r="C25004">
        <f>ROMAN(25003)</f>
        <v/>
      </c>
      <c r="D25004">
        <f>IF(B25004=C25004, "YES", "WRONG")</f>
        <v/>
      </c>
    </row>
    <row r="25005">
      <c r="A25005" t="n">
        <v>25004</v>
      </c>
      <c r="B25005" t="inlineStr">
        <is>
          <t>x̄x̄V̅IV</t>
        </is>
      </c>
      <c r="C25005">
        <f>ROMAN(25004)</f>
        <v/>
      </c>
      <c r="D25005">
        <f>IF(B25005=C25005, "YES", "WRONG")</f>
        <v/>
      </c>
    </row>
    <row r="25006">
      <c r="A25006" t="n">
        <v>25005</v>
      </c>
      <c r="B25006" t="inlineStr">
        <is>
          <t>x̄x̄V̅V</t>
        </is>
      </c>
      <c r="C25006">
        <f>ROMAN(25005)</f>
        <v/>
      </c>
      <c r="D25006">
        <f>IF(B25006=C25006, "YES", "WRONG")</f>
        <v/>
      </c>
    </row>
    <row r="25007">
      <c r="A25007" t="n">
        <v>25006</v>
      </c>
      <c r="B25007" t="inlineStr">
        <is>
          <t>x̄x̄V̅VI</t>
        </is>
      </c>
      <c r="C25007">
        <f>ROMAN(25006)</f>
        <v/>
      </c>
      <c r="D25007">
        <f>IF(B25007=C25007, "YES", "WRONG")</f>
        <v/>
      </c>
    </row>
    <row r="25008">
      <c r="A25008" t="n">
        <v>25007</v>
      </c>
      <c r="B25008" t="inlineStr">
        <is>
          <t>x̄x̄V̅VII</t>
        </is>
      </c>
      <c r="C25008">
        <f>ROMAN(25007)</f>
        <v/>
      </c>
      <c r="D25008">
        <f>IF(B25008=C25008, "YES", "WRONG")</f>
        <v/>
      </c>
    </row>
    <row r="25009">
      <c r="A25009" t="n">
        <v>25008</v>
      </c>
      <c r="B25009" t="inlineStr">
        <is>
          <t>x̄x̄V̅VIII</t>
        </is>
      </c>
      <c r="C25009">
        <f>ROMAN(25008)</f>
        <v/>
      </c>
      <c r="D25009">
        <f>IF(B25009=C25009, "YES", "WRONG")</f>
        <v/>
      </c>
    </row>
    <row r="25010">
      <c r="A25010" t="n">
        <v>25009</v>
      </c>
      <c r="B25010" t="inlineStr">
        <is>
          <t>x̄x̄V̅IX</t>
        </is>
      </c>
      <c r="C25010">
        <f>ROMAN(25009)</f>
        <v/>
      </c>
      <c r="D25010">
        <f>IF(B25010=C25010, "YES", "WRONG")</f>
        <v/>
      </c>
    </row>
    <row r="25011">
      <c r="A25011" t="n">
        <v>25010</v>
      </c>
      <c r="B25011" t="inlineStr">
        <is>
          <t>x̄x̄V̅X</t>
        </is>
      </c>
      <c r="C25011">
        <f>ROMAN(25010)</f>
        <v/>
      </c>
      <c r="D25011">
        <f>IF(B25011=C25011, "YES", "WRONG")</f>
        <v/>
      </c>
    </row>
    <row r="25012">
      <c r="A25012" t="n">
        <v>25011</v>
      </c>
      <c r="B25012" t="inlineStr">
        <is>
          <t>x̄x̄V̅XI</t>
        </is>
      </c>
      <c r="C25012">
        <f>ROMAN(25011)</f>
        <v/>
      </c>
      <c r="D25012">
        <f>IF(B25012=C25012, "YES", "WRONG")</f>
        <v/>
      </c>
    </row>
    <row r="25013">
      <c r="A25013" t="n">
        <v>25012</v>
      </c>
      <c r="B25013" t="inlineStr">
        <is>
          <t>x̄x̄V̅XII</t>
        </is>
      </c>
      <c r="C25013">
        <f>ROMAN(25012)</f>
        <v/>
      </c>
      <c r="D25013">
        <f>IF(B25013=C25013, "YES", "WRONG")</f>
        <v/>
      </c>
    </row>
    <row r="25014">
      <c r="A25014" t="n">
        <v>25013</v>
      </c>
      <c r="B25014" t="inlineStr">
        <is>
          <t>x̄x̄V̅XIII</t>
        </is>
      </c>
      <c r="C25014">
        <f>ROMAN(25013)</f>
        <v/>
      </c>
      <c r="D25014">
        <f>IF(B25014=C25014, "YES", "WRONG")</f>
        <v/>
      </c>
    </row>
    <row r="25015">
      <c r="A25015" t="n">
        <v>25014</v>
      </c>
      <c r="B25015" t="inlineStr">
        <is>
          <t>x̄x̄V̅XIV</t>
        </is>
      </c>
      <c r="C25015">
        <f>ROMAN(25014)</f>
        <v/>
      </c>
      <c r="D25015">
        <f>IF(B25015=C25015, "YES", "WRONG")</f>
        <v/>
      </c>
    </row>
    <row r="25016">
      <c r="A25016" t="n">
        <v>25015</v>
      </c>
      <c r="B25016" t="inlineStr">
        <is>
          <t>x̄x̄V̅XV</t>
        </is>
      </c>
      <c r="C25016">
        <f>ROMAN(25015)</f>
        <v/>
      </c>
      <c r="D25016">
        <f>IF(B25016=C25016, "YES", "WRONG")</f>
        <v/>
      </c>
    </row>
    <row r="25017">
      <c r="A25017" t="n">
        <v>25016</v>
      </c>
      <c r="B25017" t="inlineStr">
        <is>
          <t>x̄x̄V̅XVI</t>
        </is>
      </c>
      <c r="C25017">
        <f>ROMAN(25016)</f>
        <v/>
      </c>
      <c r="D25017">
        <f>IF(B25017=C25017, "YES", "WRONG")</f>
        <v/>
      </c>
    </row>
    <row r="25018">
      <c r="A25018" t="n">
        <v>25017</v>
      </c>
      <c r="B25018" t="inlineStr">
        <is>
          <t>x̄x̄V̅XVII</t>
        </is>
      </c>
      <c r="C25018">
        <f>ROMAN(25017)</f>
        <v/>
      </c>
      <c r="D25018">
        <f>IF(B25018=C25018, "YES", "WRONG")</f>
        <v/>
      </c>
    </row>
    <row r="25019">
      <c r="A25019" t="n">
        <v>25018</v>
      </c>
      <c r="B25019" t="inlineStr">
        <is>
          <t>x̄x̄V̅XVIII</t>
        </is>
      </c>
      <c r="C25019">
        <f>ROMAN(25018)</f>
        <v/>
      </c>
      <c r="D25019">
        <f>IF(B25019=C25019, "YES", "WRONG")</f>
        <v/>
      </c>
    </row>
    <row r="25020">
      <c r="A25020" t="n">
        <v>25019</v>
      </c>
      <c r="B25020" t="inlineStr">
        <is>
          <t>x̄x̄V̅XIX</t>
        </is>
      </c>
      <c r="C25020">
        <f>ROMAN(25019)</f>
        <v/>
      </c>
      <c r="D25020">
        <f>IF(B25020=C25020, "YES", "WRONG")</f>
        <v/>
      </c>
    </row>
    <row r="25021">
      <c r="A25021" t="n">
        <v>25020</v>
      </c>
      <c r="B25021" t="inlineStr">
        <is>
          <t>x̄x̄V̅XX</t>
        </is>
      </c>
      <c r="C25021">
        <f>ROMAN(25020)</f>
        <v/>
      </c>
      <c r="D25021">
        <f>IF(B25021=C25021, "YES", "WRONG")</f>
        <v/>
      </c>
    </row>
    <row r="25022">
      <c r="A25022" t="n">
        <v>25021</v>
      </c>
      <c r="B25022" t="inlineStr">
        <is>
          <t>x̄x̄V̅XXI</t>
        </is>
      </c>
      <c r="C25022">
        <f>ROMAN(25021)</f>
        <v/>
      </c>
      <c r="D25022">
        <f>IF(B25022=C25022, "YES", "WRONG")</f>
        <v/>
      </c>
    </row>
    <row r="25023">
      <c r="A25023" t="n">
        <v>25022</v>
      </c>
      <c r="B25023" t="inlineStr">
        <is>
          <t>x̄x̄V̅XXII</t>
        </is>
      </c>
      <c r="C25023">
        <f>ROMAN(25022)</f>
        <v/>
      </c>
      <c r="D25023">
        <f>IF(B25023=C25023, "YES", "WRONG")</f>
        <v/>
      </c>
    </row>
    <row r="25024">
      <c r="A25024" t="n">
        <v>25023</v>
      </c>
      <c r="B25024" t="inlineStr">
        <is>
          <t>x̄x̄V̅XXIII</t>
        </is>
      </c>
      <c r="C25024">
        <f>ROMAN(25023)</f>
        <v/>
      </c>
      <c r="D25024">
        <f>IF(B25024=C25024, "YES", "WRONG")</f>
        <v/>
      </c>
    </row>
    <row r="25025">
      <c r="A25025" t="n">
        <v>25024</v>
      </c>
      <c r="B25025" t="inlineStr">
        <is>
          <t>x̄x̄V̅XXIV</t>
        </is>
      </c>
      <c r="C25025">
        <f>ROMAN(25024)</f>
        <v/>
      </c>
      <c r="D25025">
        <f>IF(B25025=C25025, "YES", "WRONG")</f>
        <v/>
      </c>
    </row>
    <row r="25026">
      <c r="A25026" t="n">
        <v>25025</v>
      </c>
      <c r="B25026" t="inlineStr">
        <is>
          <t>x̄x̄V̅XXV</t>
        </is>
      </c>
      <c r="C25026">
        <f>ROMAN(25025)</f>
        <v/>
      </c>
      <c r="D25026">
        <f>IF(B25026=C25026, "YES", "WRONG")</f>
        <v/>
      </c>
    </row>
    <row r="25027">
      <c r="A25027" t="n">
        <v>25026</v>
      </c>
      <c r="B25027" t="inlineStr">
        <is>
          <t>x̄x̄V̅XXVI</t>
        </is>
      </c>
      <c r="C25027">
        <f>ROMAN(25026)</f>
        <v/>
      </c>
      <c r="D25027">
        <f>IF(B25027=C25027, "YES", "WRONG")</f>
        <v/>
      </c>
    </row>
    <row r="25028">
      <c r="A25028" t="n">
        <v>25027</v>
      </c>
      <c r="B25028" t="inlineStr">
        <is>
          <t>x̄x̄V̅XXVII</t>
        </is>
      </c>
      <c r="C25028">
        <f>ROMAN(25027)</f>
        <v/>
      </c>
      <c r="D25028">
        <f>IF(B25028=C25028, "YES", "WRONG")</f>
        <v/>
      </c>
    </row>
    <row r="25029">
      <c r="A25029" t="n">
        <v>25028</v>
      </c>
      <c r="B25029" t="inlineStr">
        <is>
          <t>x̄x̄V̅XXVIII</t>
        </is>
      </c>
      <c r="C25029">
        <f>ROMAN(25028)</f>
        <v/>
      </c>
      <c r="D25029">
        <f>IF(B25029=C25029, "YES", "WRONG")</f>
        <v/>
      </c>
    </row>
    <row r="25030">
      <c r="A25030" t="n">
        <v>25029</v>
      </c>
      <c r="B25030" t="inlineStr">
        <is>
          <t>x̄x̄V̅XXIX</t>
        </is>
      </c>
      <c r="C25030">
        <f>ROMAN(25029)</f>
        <v/>
      </c>
      <c r="D25030">
        <f>IF(B25030=C25030, "YES", "WRONG")</f>
        <v/>
      </c>
    </row>
    <row r="25031">
      <c r="A25031" t="n">
        <v>25030</v>
      </c>
      <c r="B25031" t="inlineStr">
        <is>
          <t>x̄x̄V̅XXX</t>
        </is>
      </c>
      <c r="C25031">
        <f>ROMAN(25030)</f>
        <v/>
      </c>
      <c r="D25031">
        <f>IF(B25031=C25031, "YES", "WRONG")</f>
        <v/>
      </c>
    </row>
    <row r="25032">
      <c r="A25032" t="n">
        <v>25031</v>
      </c>
      <c r="B25032" t="inlineStr">
        <is>
          <t>x̄x̄V̅XXXI</t>
        </is>
      </c>
      <c r="C25032">
        <f>ROMAN(25031)</f>
        <v/>
      </c>
      <c r="D25032">
        <f>IF(B25032=C25032, "YES", "WRONG")</f>
        <v/>
      </c>
    </row>
    <row r="25033">
      <c r="A25033" t="n">
        <v>25032</v>
      </c>
      <c r="B25033" t="inlineStr">
        <is>
          <t>x̄x̄V̅XXXII</t>
        </is>
      </c>
      <c r="C25033">
        <f>ROMAN(25032)</f>
        <v/>
      </c>
      <c r="D25033">
        <f>IF(B25033=C25033, "YES", "WRONG")</f>
        <v/>
      </c>
    </row>
    <row r="25034">
      <c r="A25034" t="n">
        <v>25033</v>
      </c>
      <c r="B25034" t="inlineStr">
        <is>
          <t>x̄x̄V̅XXXIII</t>
        </is>
      </c>
      <c r="C25034">
        <f>ROMAN(25033)</f>
        <v/>
      </c>
      <c r="D25034">
        <f>IF(B25034=C25034, "YES", "WRONG")</f>
        <v/>
      </c>
    </row>
    <row r="25035">
      <c r="A25035" t="n">
        <v>25034</v>
      </c>
      <c r="B25035" t="inlineStr">
        <is>
          <t>x̄x̄V̅XXXIV</t>
        </is>
      </c>
      <c r="C25035">
        <f>ROMAN(25034)</f>
        <v/>
      </c>
      <c r="D25035">
        <f>IF(B25035=C25035, "YES", "WRONG")</f>
        <v/>
      </c>
    </row>
    <row r="25036">
      <c r="A25036" t="n">
        <v>25035</v>
      </c>
      <c r="B25036" t="inlineStr">
        <is>
          <t>x̄x̄V̅XXXV</t>
        </is>
      </c>
      <c r="C25036">
        <f>ROMAN(25035)</f>
        <v/>
      </c>
      <c r="D25036">
        <f>IF(B25036=C25036, "YES", "WRONG")</f>
        <v/>
      </c>
    </row>
    <row r="25037">
      <c r="A25037" t="n">
        <v>25036</v>
      </c>
      <c r="B25037" t="inlineStr">
        <is>
          <t>x̄x̄V̅XXXVI</t>
        </is>
      </c>
      <c r="C25037">
        <f>ROMAN(25036)</f>
        <v/>
      </c>
      <c r="D25037">
        <f>IF(B25037=C25037, "YES", "WRONG")</f>
        <v/>
      </c>
    </row>
    <row r="25038">
      <c r="A25038" t="n">
        <v>25037</v>
      </c>
      <c r="B25038" t="inlineStr">
        <is>
          <t>x̄x̄V̅XXXVII</t>
        </is>
      </c>
      <c r="C25038">
        <f>ROMAN(25037)</f>
        <v/>
      </c>
      <c r="D25038">
        <f>IF(B25038=C25038, "YES", "WRONG")</f>
        <v/>
      </c>
    </row>
    <row r="25039">
      <c r="A25039" t="n">
        <v>25038</v>
      </c>
      <c r="B25039" t="inlineStr">
        <is>
          <t>x̄x̄V̅XXXVIII</t>
        </is>
      </c>
      <c r="C25039">
        <f>ROMAN(25038)</f>
        <v/>
      </c>
      <c r="D25039">
        <f>IF(B25039=C25039, "YES", "WRONG")</f>
        <v/>
      </c>
    </row>
    <row r="25040">
      <c r="A25040" t="n">
        <v>25039</v>
      </c>
      <c r="B25040" t="inlineStr">
        <is>
          <t>x̄x̄V̅XXXIX</t>
        </is>
      </c>
      <c r="C25040">
        <f>ROMAN(25039)</f>
        <v/>
      </c>
      <c r="D25040">
        <f>IF(B25040=C25040, "YES", "WRONG")</f>
        <v/>
      </c>
    </row>
    <row r="25041">
      <c r="A25041" t="n">
        <v>25040</v>
      </c>
      <c r="B25041" t="inlineStr">
        <is>
          <t>x̄x̄V̅XL</t>
        </is>
      </c>
      <c r="C25041">
        <f>ROMAN(25040)</f>
        <v/>
      </c>
      <c r="D25041">
        <f>IF(B25041=C25041, "YES", "WRONG")</f>
        <v/>
      </c>
    </row>
    <row r="25042">
      <c r="A25042" t="n">
        <v>25041</v>
      </c>
      <c r="B25042" t="inlineStr">
        <is>
          <t>x̄x̄V̅XLI</t>
        </is>
      </c>
      <c r="C25042">
        <f>ROMAN(25041)</f>
        <v/>
      </c>
      <c r="D25042">
        <f>IF(B25042=C25042, "YES", "WRONG")</f>
        <v/>
      </c>
    </row>
    <row r="25043">
      <c r="A25043" t="n">
        <v>25042</v>
      </c>
      <c r="B25043" t="inlineStr">
        <is>
          <t>x̄x̄V̅XLII</t>
        </is>
      </c>
      <c r="C25043">
        <f>ROMAN(25042)</f>
        <v/>
      </c>
      <c r="D25043">
        <f>IF(B25043=C25043, "YES", "WRONG")</f>
        <v/>
      </c>
    </row>
    <row r="25044">
      <c r="A25044" t="n">
        <v>25043</v>
      </c>
      <c r="B25044" t="inlineStr">
        <is>
          <t>x̄x̄V̅XLIII</t>
        </is>
      </c>
      <c r="C25044">
        <f>ROMAN(25043)</f>
        <v/>
      </c>
      <c r="D25044">
        <f>IF(B25044=C25044, "YES", "WRONG")</f>
        <v/>
      </c>
    </row>
    <row r="25045">
      <c r="A25045" t="n">
        <v>25044</v>
      </c>
      <c r="B25045" t="inlineStr">
        <is>
          <t>x̄x̄V̅XLIV</t>
        </is>
      </c>
      <c r="C25045">
        <f>ROMAN(25044)</f>
        <v/>
      </c>
      <c r="D25045">
        <f>IF(B25045=C25045, "YES", "WRONG")</f>
        <v/>
      </c>
    </row>
    <row r="25046">
      <c r="A25046" t="n">
        <v>25045</v>
      </c>
      <c r="B25046" t="inlineStr">
        <is>
          <t>x̄x̄V̅XLV</t>
        </is>
      </c>
      <c r="C25046">
        <f>ROMAN(25045)</f>
        <v/>
      </c>
      <c r="D25046">
        <f>IF(B25046=C25046, "YES", "WRONG")</f>
        <v/>
      </c>
    </row>
    <row r="25047">
      <c r="A25047" t="n">
        <v>25046</v>
      </c>
      <c r="B25047" t="inlineStr">
        <is>
          <t>x̄x̄V̅XLVI</t>
        </is>
      </c>
      <c r="C25047">
        <f>ROMAN(25046)</f>
        <v/>
      </c>
      <c r="D25047">
        <f>IF(B25047=C25047, "YES", "WRONG")</f>
        <v/>
      </c>
    </row>
    <row r="25048">
      <c r="A25048" t="n">
        <v>25047</v>
      </c>
      <c r="B25048" t="inlineStr">
        <is>
          <t>x̄x̄V̅XLVII</t>
        </is>
      </c>
      <c r="C25048">
        <f>ROMAN(25047)</f>
        <v/>
      </c>
      <c r="D25048">
        <f>IF(B25048=C25048, "YES", "WRONG")</f>
        <v/>
      </c>
    </row>
    <row r="25049">
      <c r="A25049" t="n">
        <v>25048</v>
      </c>
      <c r="B25049" t="inlineStr">
        <is>
          <t>x̄x̄V̅XLVIII</t>
        </is>
      </c>
      <c r="C25049">
        <f>ROMAN(25048)</f>
        <v/>
      </c>
      <c r="D25049">
        <f>IF(B25049=C25049, "YES", "WRONG")</f>
        <v/>
      </c>
    </row>
    <row r="25050">
      <c r="A25050" t="n">
        <v>25049</v>
      </c>
      <c r="B25050" t="inlineStr">
        <is>
          <t>x̄x̄V̅XLIX</t>
        </is>
      </c>
      <c r="C25050">
        <f>ROMAN(25049)</f>
        <v/>
      </c>
      <c r="D25050">
        <f>IF(B25050=C25050, "YES", "WRONG")</f>
        <v/>
      </c>
    </row>
    <row r="25051">
      <c r="A25051" t="n">
        <v>25050</v>
      </c>
      <c r="B25051" t="inlineStr">
        <is>
          <t>x̄x̄V̅L</t>
        </is>
      </c>
      <c r="C25051">
        <f>ROMAN(25050)</f>
        <v/>
      </c>
      <c r="D25051">
        <f>IF(B25051=C25051, "YES", "WRONG")</f>
        <v/>
      </c>
    </row>
    <row r="25052">
      <c r="A25052" t="n">
        <v>25051</v>
      </c>
      <c r="B25052" t="inlineStr">
        <is>
          <t>x̄x̄V̅LI</t>
        </is>
      </c>
      <c r="C25052">
        <f>ROMAN(25051)</f>
        <v/>
      </c>
      <c r="D25052">
        <f>IF(B25052=C25052, "YES", "WRONG")</f>
        <v/>
      </c>
    </row>
    <row r="25053">
      <c r="A25053" t="n">
        <v>25052</v>
      </c>
      <c r="B25053" t="inlineStr">
        <is>
          <t>x̄x̄V̅LII</t>
        </is>
      </c>
      <c r="C25053">
        <f>ROMAN(25052)</f>
        <v/>
      </c>
      <c r="D25053">
        <f>IF(B25053=C25053, "YES", "WRONG")</f>
        <v/>
      </c>
    </row>
    <row r="25054">
      <c r="A25054" t="n">
        <v>25053</v>
      </c>
      <c r="B25054" t="inlineStr">
        <is>
          <t>x̄x̄V̅LIII</t>
        </is>
      </c>
      <c r="C25054">
        <f>ROMAN(25053)</f>
        <v/>
      </c>
      <c r="D25054">
        <f>IF(B25054=C25054, "YES", "WRONG")</f>
        <v/>
      </c>
    </row>
    <row r="25055">
      <c r="A25055" t="n">
        <v>25054</v>
      </c>
      <c r="B25055" t="inlineStr">
        <is>
          <t>x̄x̄V̅LIV</t>
        </is>
      </c>
      <c r="C25055">
        <f>ROMAN(25054)</f>
        <v/>
      </c>
      <c r="D25055">
        <f>IF(B25055=C25055, "YES", "WRONG")</f>
        <v/>
      </c>
    </row>
    <row r="25056">
      <c r="A25056" t="n">
        <v>25055</v>
      </c>
      <c r="B25056" t="inlineStr">
        <is>
          <t>x̄x̄V̅LV</t>
        </is>
      </c>
      <c r="C25056">
        <f>ROMAN(25055)</f>
        <v/>
      </c>
      <c r="D25056">
        <f>IF(B25056=C25056, "YES", "WRONG")</f>
        <v/>
      </c>
    </row>
    <row r="25057">
      <c r="A25057" t="n">
        <v>25056</v>
      </c>
      <c r="B25057" t="inlineStr">
        <is>
          <t>x̄x̄V̅LVI</t>
        </is>
      </c>
      <c r="C25057">
        <f>ROMAN(25056)</f>
        <v/>
      </c>
      <c r="D25057">
        <f>IF(B25057=C25057, "YES", "WRONG")</f>
        <v/>
      </c>
    </row>
    <row r="25058">
      <c r="A25058" t="n">
        <v>25057</v>
      </c>
      <c r="B25058" t="inlineStr">
        <is>
          <t>x̄x̄V̅LVII</t>
        </is>
      </c>
      <c r="C25058">
        <f>ROMAN(25057)</f>
        <v/>
      </c>
      <c r="D25058">
        <f>IF(B25058=C25058, "YES", "WRONG")</f>
        <v/>
      </c>
    </row>
    <row r="25059">
      <c r="A25059" t="n">
        <v>25058</v>
      </c>
      <c r="B25059" t="inlineStr">
        <is>
          <t>x̄x̄V̅LVIII</t>
        </is>
      </c>
      <c r="C25059">
        <f>ROMAN(25058)</f>
        <v/>
      </c>
      <c r="D25059">
        <f>IF(B25059=C25059, "YES", "WRONG")</f>
        <v/>
      </c>
    </row>
    <row r="25060">
      <c r="A25060" t="n">
        <v>25059</v>
      </c>
      <c r="B25060" t="inlineStr">
        <is>
          <t>x̄x̄V̅LIX</t>
        </is>
      </c>
      <c r="C25060">
        <f>ROMAN(25059)</f>
        <v/>
      </c>
      <c r="D25060">
        <f>IF(B25060=C25060, "YES", "WRONG")</f>
        <v/>
      </c>
    </row>
    <row r="25061">
      <c r="A25061" t="n">
        <v>25060</v>
      </c>
      <c r="B25061" t="inlineStr">
        <is>
          <t>x̄x̄V̅LX</t>
        </is>
      </c>
      <c r="C25061">
        <f>ROMAN(25060)</f>
        <v/>
      </c>
      <c r="D25061">
        <f>IF(B25061=C25061, "YES", "WRONG")</f>
        <v/>
      </c>
    </row>
    <row r="25062">
      <c r="A25062" t="n">
        <v>25061</v>
      </c>
      <c r="B25062" t="inlineStr">
        <is>
          <t>x̄x̄V̅LXI</t>
        </is>
      </c>
      <c r="C25062">
        <f>ROMAN(25061)</f>
        <v/>
      </c>
      <c r="D25062">
        <f>IF(B25062=C25062, "YES", "WRONG")</f>
        <v/>
      </c>
    </row>
    <row r="25063">
      <c r="A25063" t="n">
        <v>25062</v>
      </c>
      <c r="B25063" t="inlineStr">
        <is>
          <t>x̄x̄V̅LXII</t>
        </is>
      </c>
      <c r="C25063">
        <f>ROMAN(25062)</f>
        <v/>
      </c>
      <c r="D25063">
        <f>IF(B25063=C25063, "YES", "WRONG")</f>
        <v/>
      </c>
    </row>
    <row r="25064">
      <c r="A25064" t="n">
        <v>25063</v>
      </c>
      <c r="B25064" t="inlineStr">
        <is>
          <t>x̄x̄V̅LXIII</t>
        </is>
      </c>
      <c r="C25064">
        <f>ROMAN(25063)</f>
        <v/>
      </c>
      <c r="D25064">
        <f>IF(B25064=C25064, "YES", "WRONG")</f>
        <v/>
      </c>
    </row>
    <row r="25065">
      <c r="A25065" t="n">
        <v>25064</v>
      </c>
      <c r="B25065" t="inlineStr">
        <is>
          <t>x̄x̄V̅LXIV</t>
        </is>
      </c>
      <c r="C25065">
        <f>ROMAN(25064)</f>
        <v/>
      </c>
      <c r="D25065">
        <f>IF(B25065=C25065, "YES", "WRONG")</f>
        <v/>
      </c>
    </row>
    <row r="25066">
      <c r="A25066" t="n">
        <v>25065</v>
      </c>
      <c r="B25066" t="inlineStr">
        <is>
          <t>x̄x̄V̅LXV</t>
        </is>
      </c>
      <c r="C25066">
        <f>ROMAN(25065)</f>
        <v/>
      </c>
      <c r="D25066">
        <f>IF(B25066=C25066, "YES", "WRONG")</f>
        <v/>
      </c>
    </row>
    <row r="25067">
      <c r="A25067" t="n">
        <v>25066</v>
      </c>
      <c r="B25067" t="inlineStr">
        <is>
          <t>x̄x̄V̅LXVI</t>
        </is>
      </c>
      <c r="C25067">
        <f>ROMAN(25066)</f>
        <v/>
      </c>
      <c r="D25067">
        <f>IF(B25067=C25067, "YES", "WRONG")</f>
        <v/>
      </c>
    </row>
    <row r="25068">
      <c r="A25068" t="n">
        <v>25067</v>
      </c>
      <c r="B25068" t="inlineStr">
        <is>
          <t>x̄x̄V̅LXVII</t>
        </is>
      </c>
      <c r="C25068">
        <f>ROMAN(25067)</f>
        <v/>
      </c>
      <c r="D25068">
        <f>IF(B25068=C25068, "YES", "WRONG")</f>
        <v/>
      </c>
    </row>
    <row r="25069">
      <c r="A25069" t="n">
        <v>25068</v>
      </c>
      <c r="B25069" t="inlineStr">
        <is>
          <t>x̄x̄V̅LXVIII</t>
        </is>
      </c>
      <c r="C25069">
        <f>ROMAN(25068)</f>
        <v/>
      </c>
      <c r="D25069">
        <f>IF(B25069=C25069, "YES", "WRONG")</f>
        <v/>
      </c>
    </row>
    <row r="25070">
      <c r="A25070" t="n">
        <v>25069</v>
      </c>
      <c r="B25070" t="inlineStr">
        <is>
          <t>x̄x̄V̅LXIX</t>
        </is>
      </c>
      <c r="C25070">
        <f>ROMAN(25069)</f>
        <v/>
      </c>
      <c r="D25070">
        <f>IF(B25070=C25070, "YES", "WRONG")</f>
        <v/>
      </c>
    </row>
    <row r="25071">
      <c r="A25071" t="n">
        <v>25070</v>
      </c>
      <c r="B25071" t="inlineStr">
        <is>
          <t>x̄x̄V̅LXX</t>
        </is>
      </c>
      <c r="C25071">
        <f>ROMAN(25070)</f>
        <v/>
      </c>
      <c r="D25071">
        <f>IF(B25071=C25071, "YES", "WRONG")</f>
        <v/>
      </c>
    </row>
    <row r="25072">
      <c r="A25072" t="n">
        <v>25071</v>
      </c>
      <c r="B25072" t="inlineStr">
        <is>
          <t>x̄x̄V̅LXXI</t>
        </is>
      </c>
      <c r="C25072">
        <f>ROMAN(25071)</f>
        <v/>
      </c>
      <c r="D25072">
        <f>IF(B25072=C25072, "YES", "WRONG")</f>
        <v/>
      </c>
    </row>
    <row r="25073">
      <c r="A25073" t="n">
        <v>25072</v>
      </c>
      <c r="B25073" t="inlineStr">
        <is>
          <t>x̄x̄V̅LXXII</t>
        </is>
      </c>
      <c r="C25073">
        <f>ROMAN(25072)</f>
        <v/>
      </c>
      <c r="D25073">
        <f>IF(B25073=C25073, "YES", "WRONG")</f>
        <v/>
      </c>
    </row>
    <row r="25074">
      <c r="A25074" t="n">
        <v>25073</v>
      </c>
      <c r="B25074" t="inlineStr">
        <is>
          <t>x̄x̄V̅LXXIII</t>
        </is>
      </c>
      <c r="C25074">
        <f>ROMAN(25073)</f>
        <v/>
      </c>
      <c r="D25074">
        <f>IF(B25074=C25074, "YES", "WRONG")</f>
        <v/>
      </c>
    </row>
    <row r="25075">
      <c r="A25075" t="n">
        <v>25074</v>
      </c>
      <c r="B25075" t="inlineStr">
        <is>
          <t>x̄x̄V̅LXXIV</t>
        </is>
      </c>
      <c r="C25075">
        <f>ROMAN(25074)</f>
        <v/>
      </c>
      <c r="D25075">
        <f>IF(B25075=C25075, "YES", "WRONG")</f>
        <v/>
      </c>
    </row>
    <row r="25076">
      <c r="A25076" t="n">
        <v>25075</v>
      </c>
      <c r="B25076" t="inlineStr">
        <is>
          <t>x̄x̄V̅LXXV</t>
        </is>
      </c>
      <c r="C25076">
        <f>ROMAN(25075)</f>
        <v/>
      </c>
      <c r="D25076">
        <f>IF(B25076=C25076, "YES", "WRONG")</f>
        <v/>
      </c>
    </row>
    <row r="25077">
      <c r="A25077" t="n">
        <v>25076</v>
      </c>
      <c r="B25077" t="inlineStr">
        <is>
          <t>x̄x̄V̅LXXVI</t>
        </is>
      </c>
      <c r="C25077">
        <f>ROMAN(25076)</f>
        <v/>
      </c>
      <c r="D25077">
        <f>IF(B25077=C25077, "YES", "WRONG")</f>
        <v/>
      </c>
    </row>
    <row r="25078">
      <c r="A25078" t="n">
        <v>25077</v>
      </c>
      <c r="B25078" t="inlineStr">
        <is>
          <t>x̄x̄V̅LXXVII</t>
        </is>
      </c>
      <c r="C25078">
        <f>ROMAN(25077)</f>
        <v/>
      </c>
      <c r="D25078">
        <f>IF(B25078=C25078, "YES", "WRONG")</f>
        <v/>
      </c>
    </row>
    <row r="25079">
      <c r="A25079" t="n">
        <v>25078</v>
      </c>
      <c r="B25079" t="inlineStr">
        <is>
          <t>x̄x̄V̅LXXVIII</t>
        </is>
      </c>
      <c r="C25079">
        <f>ROMAN(25078)</f>
        <v/>
      </c>
      <c r="D25079">
        <f>IF(B25079=C25079, "YES", "WRONG")</f>
        <v/>
      </c>
    </row>
    <row r="25080">
      <c r="A25080" t="n">
        <v>25079</v>
      </c>
      <c r="B25080" t="inlineStr">
        <is>
          <t>x̄x̄V̅LXXIX</t>
        </is>
      </c>
      <c r="C25080">
        <f>ROMAN(25079)</f>
        <v/>
      </c>
      <c r="D25080">
        <f>IF(B25080=C25080, "YES", "WRONG")</f>
        <v/>
      </c>
    </row>
    <row r="25081">
      <c r="A25081" t="n">
        <v>25080</v>
      </c>
      <c r="B25081" t="inlineStr">
        <is>
          <t>x̄x̄V̅LXXX</t>
        </is>
      </c>
      <c r="C25081">
        <f>ROMAN(25080)</f>
        <v/>
      </c>
      <c r="D25081">
        <f>IF(B25081=C25081, "YES", "WRONG")</f>
        <v/>
      </c>
    </row>
    <row r="25082">
      <c r="A25082" t="n">
        <v>25081</v>
      </c>
      <c r="B25082" t="inlineStr">
        <is>
          <t>x̄x̄V̅LXXXI</t>
        </is>
      </c>
      <c r="C25082">
        <f>ROMAN(25081)</f>
        <v/>
      </c>
      <c r="D25082">
        <f>IF(B25082=C25082, "YES", "WRONG")</f>
        <v/>
      </c>
    </row>
    <row r="25083">
      <c r="A25083" t="n">
        <v>25082</v>
      </c>
      <c r="B25083" t="inlineStr">
        <is>
          <t>x̄x̄V̅LXXXII</t>
        </is>
      </c>
      <c r="C25083">
        <f>ROMAN(25082)</f>
        <v/>
      </c>
      <c r="D25083">
        <f>IF(B25083=C25083, "YES", "WRONG")</f>
        <v/>
      </c>
    </row>
    <row r="25084">
      <c r="A25084" t="n">
        <v>25083</v>
      </c>
      <c r="B25084" t="inlineStr">
        <is>
          <t>x̄x̄V̅LXXXIII</t>
        </is>
      </c>
      <c r="C25084">
        <f>ROMAN(25083)</f>
        <v/>
      </c>
      <c r="D25084">
        <f>IF(B25084=C25084, "YES", "WRONG")</f>
        <v/>
      </c>
    </row>
    <row r="25085">
      <c r="A25085" t="n">
        <v>25084</v>
      </c>
      <c r="B25085" t="inlineStr">
        <is>
          <t>x̄x̄V̅LXXXIV</t>
        </is>
      </c>
      <c r="C25085">
        <f>ROMAN(25084)</f>
        <v/>
      </c>
      <c r="D25085">
        <f>IF(B25085=C25085, "YES", "WRONG")</f>
        <v/>
      </c>
    </row>
    <row r="25086">
      <c r="A25086" t="n">
        <v>25085</v>
      </c>
      <c r="B25086" t="inlineStr">
        <is>
          <t>x̄x̄V̅LXXXV</t>
        </is>
      </c>
      <c r="C25086">
        <f>ROMAN(25085)</f>
        <v/>
      </c>
      <c r="D25086">
        <f>IF(B25086=C25086, "YES", "WRONG")</f>
        <v/>
      </c>
    </row>
    <row r="25087">
      <c r="A25087" t="n">
        <v>25086</v>
      </c>
      <c r="B25087" t="inlineStr">
        <is>
          <t>x̄x̄V̅LXXXVI</t>
        </is>
      </c>
      <c r="C25087">
        <f>ROMAN(25086)</f>
        <v/>
      </c>
      <c r="D25087">
        <f>IF(B25087=C25087, "YES", "WRONG")</f>
        <v/>
      </c>
    </row>
    <row r="25088">
      <c r="A25088" t="n">
        <v>25087</v>
      </c>
      <c r="B25088" t="inlineStr">
        <is>
          <t>x̄x̄V̅LXXXVII</t>
        </is>
      </c>
      <c r="C25088">
        <f>ROMAN(25087)</f>
        <v/>
      </c>
      <c r="D25088">
        <f>IF(B25088=C25088, "YES", "WRONG")</f>
        <v/>
      </c>
    </row>
    <row r="25089">
      <c r="A25089" t="n">
        <v>25088</v>
      </c>
      <c r="B25089" t="inlineStr">
        <is>
          <t>x̄x̄V̅LXXXVIII</t>
        </is>
      </c>
      <c r="C25089">
        <f>ROMAN(25088)</f>
        <v/>
      </c>
      <c r="D25089">
        <f>IF(B25089=C25089, "YES", "WRONG")</f>
        <v/>
      </c>
    </row>
    <row r="25090">
      <c r="A25090" t="n">
        <v>25089</v>
      </c>
      <c r="B25090" t="inlineStr">
        <is>
          <t>x̄x̄V̅LXXXIX</t>
        </is>
      </c>
      <c r="C25090">
        <f>ROMAN(25089)</f>
        <v/>
      </c>
      <c r="D25090">
        <f>IF(B25090=C25090, "YES", "WRONG")</f>
        <v/>
      </c>
    </row>
    <row r="25091">
      <c r="A25091" t="n">
        <v>25090</v>
      </c>
      <c r="B25091" t="inlineStr">
        <is>
          <t>x̄x̄V̅XC</t>
        </is>
      </c>
      <c r="C25091">
        <f>ROMAN(25090)</f>
        <v/>
      </c>
      <c r="D25091">
        <f>IF(B25091=C25091, "YES", "WRONG")</f>
        <v/>
      </c>
    </row>
    <row r="25092">
      <c r="A25092" t="n">
        <v>25091</v>
      </c>
      <c r="B25092" t="inlineStr">
        <is>
          <t>x̄x̄V̅XCI</t>
        </is>
      </c>
      <c r="C25092">
        <f>ROMAN(25091)</f>
        <v/>
      </c>
      <c r="D25092">
        <f>IF(B25092=C25092, "YES", "WRONG")</f>
        <v/>
      </c>
    </row>
    <row r="25093">
      <c r="A25093" t="n">
        <v>25092</v>
      </c>
      <c r="B25093" t="inlineStr">
        <is>
          <t>x̄x̄V̅XCII</t>
        </is>
      </c>
      <c r="C25093">
        <f>ROMAN(25092)</f>
        <v/>
      </c>
      <c r="D25093">
        <f>IF(B25093=C25093, "YES", "WRONG")</f>
        <v/>
      </c>
    </row>
    <row r="25094">
      <c r="A25094" t="n">
        <v>25093</v>
      </c>
      <c r="B25094" t="inlineStr">
        <is>
          <t>x̄x̄V̅XCIII</t>
        </is>
      </c>
      <c r="C25094">
        <f>ROMAN(25093)</f>
        <v/>
      </c>
      <c r="D25094">
        <f>IF(B25094=C25094, "YES", "WRONG")</f>
        <v/>
      </c>
    </row>
    <row r="25095">
      <c r="A25095" t="n">
        <v>25094</v>
      </c>
      <c r="B25095" t="inlineStr">
        <is>
          <t>x̄x̄V̅XCIV</t>
        </is>
      </c>
      <c r="C25095">
        <f>ROMAN(25094)</f>
        <v/>
      </c>
      <c r="D25095">
        <f>IF(B25095=C25095, "YES", "WRONG")</f>
        <v/>
      </c>
    </row>
    <row r="25096">
      <c r="A25096" t="n">
        <v>25095</v>
      </c>
      <c r="B25096" t="inlineStr">
        <is>
          <t>x̄x̄V̅XCV</t>
        </is>
      </c>
      <c r="C25096">
        <f>ROMAN(25095)</f>
        <v/>
      </c>
      <c r="D25096">
        <f>IF(B25096=C25096, "YES", "WRONG")</f>
        <v/>
      </c>
    </row>
    <row r="25097">
      <c r="A25097" t="n">
        <v>25096</v>
      </c>
      <c r="B25097" t="inlineStr">
        <is>
          <t>x̄x̄V̅XCVI</t>
        </is>
      </c>
      <c r="C25097">
        <f>ROMAN(25096)</f>
        <v/>
      </c>
      <c r="D25097">
        <f>IF(B25097=C25097, "YES", "WRONG")</f>
        <v/>
      </c>
    </row>
    <row r="25098">
      <c r="A25098" t="n">
        <v>25097</v>
      </c>
      <c r="B25098" t="inlineStr">
        <is>
          <t>x̄x̄V̅XCVII</t>
        </is>
      </c>
      <c r="C25098">
        <f>ROMAN(25097)</f>
        <v/>
      </c>
      <c r="D25098">
        <f>IF(B25098=C25098, "YES", "WRONG")</f>
        <v/>
      </c>
    </row>
    <row r="25099">
      <c r="A25099" t="n">
        <v>25098</v>
      </c>
      <c r="B25099" t="inlineStr">
        <is>
          <t>x̄x̄V̅XCVIII</t>
        </is>
      </c>
      <c r="C25099">
        <f>ROMAN(25098)</f>
        <v/>
      </c>
      <c r="D25099">
        <f>IF(B25099=C25099, "YES", "WRONG")</f>
        <v/>
      </c>
    </row>
    <row r="25100">
      <c r="A25100" t="n">
        <v>25099</v>
      </c>
      <c r="B25100" t="inlineStr">
        <is>
          <t>x̄x̄V̅XCIX</t>
        </is>
      </c>
      <c r="C25100">
        <f>ROMAN(25099)</f>
        <v/>
      </c>
      <c r="D25100">
        <f>IF(B25100=C25100, "YES", "WRONG")</f>
        <v/>
      </c>
    </row>
    <row r="25101">
      <c r="A25101" t="n">
        <v>25100</v>
      </c>
      <c r="B25101" t="inlineStr">
        <is>
          <t>x̄x̄V̅C</t>
        </is>
      </c>
      <c r="C25101">
        <f>ROMAN(25100)</f>
        <v/>
      </c>
      <c r="D25101">
        <f>IF(B25101=C25101, "YES", "WRONG")</f>
        <v/>
      </c>
    </row>
    <row r="25102">
      <c r="A25102" t="n">
        <v>25101</v>
      </c>
      <c r="B25102" t="inlineStr">
        <is>
          <t>x̄x̄V̅CI</t>
        </is>
      </c>
      <c r="C25102">
        <f>ROMAN(25101)</f>
        <v/>
      </c>
      <c r="D25102">
        <f>IF(B25102=C25102, "YES", "WRONG")</f>
        <v/>
      </c>
    </row>
    <row r="25103">
      <c r="A25103" t="n">
        <v>25102</v>
      </c>
      <c r="B25103" t="inlineStr">
        <is>
          <t>x̄x̄V̅CII</t>
        </is>
      </c>
      <c r="C25103">
        <f>ROMAN(25102)</f>
        <v/>
      </c>
      <c r="D25103">
        <f>IF(B25103=C25103, "YES", "WRONG")</f>
        <v/>
      </c>
    </row>
    <row r="25104">
      <c r="A25104" t="n">
        <v>25103</v>
      </c>
      <c r="B25104" t="inlineStr">
        <is>
          <t>x̄x̄V̅CIII</t>
        </is>
      </c>
      <c r="C25104">
        <f>ROMAN(25103)</f>
        <v/>
      </c>
      <c r="D25104">
        <f>IF(B25104=C25104, "YES", "WRONG")</f>
        <v/>
      </c>
    </row>
    <row r="25105">
      <c r="A25105" t="n">
        <v>25104</v>
      </c>
      <c r="B25105" t="inlineStr">
        <is>
          <t>x̄x̄V̅CIV</t>
        </is>
      </c>
      <c r="C25105">
        <f>ROMAN(25104)</f>
        <v/>
      </c>
      <c r="D25105">
        <f>IF(B25105=C25105, "YES", "WRONG")</f>
        <v/>
      </c>
    </row>
    <row r="25106">
      <c r="A25106" t="n">
        <v>25105</v>
      </c>
      <c r="B25106" t="inlineStr">
        <is>
          <t>x̄x̄V̅CV</t>
        </is>
      </c>
      <c r="C25106">
        <f>ROMAN(25105)</f>
        <v/>
      </c>
      <c r="D25106">
        <f>IF(B25106=C25106, "YES", "WRONG")</f>
        <v/>
      </c>
    </row>
    <row r="25107">
      <c r="A25107" t="n">
        <v>25106</v>
      </c>
      <c r="B25107" t="inlineStr">
        <is>
          <t>x̄x̄V̅CVI</t>
        </is>
      </c>
      <c r="C25107">
        <f>ROMAN(25106)</f>
        <v/>
      </c>
      <c r="D25107">
        <f>IF(B25107=C25107, "YES", "WRONG")</f>
        <v/>
      </c>
    </row>
    <row r="25108">
      <c r="A25108" t="n">
        <v>25107</v>
      </c>
      <c r="B25108" t="inlineStr">
        <is>
          <t>x̄x̄V̅CVII</t>
        </is>
      </c>
      <c r="C25108">
        <f>ROMAN(25107)</f>
        <v/>
      </c>
      <c r="D25108">
        <f>IF(B25108=C25108, "YES", "WRONG")</f>
        <v/>
      </c>
    </row>
    <row r="25109">
      <c r="A25109" t="n">
        <v>25108</v>
      </c>
      <c r="B25109" t="inlineStr">
        <is>
          <t>x̄x̄V̅CVIII</t>
        </is>
      </c>
      <c r="C25109">
        <f>ROMAN(25108)</f>
        <v/>
      </c>
      <c r="D25109">
        <f>IF(B25109=C25109, "YES", "WRONG")</f>
        <v/>
      </c>
    </row>
    <row r="25110">
      <c r="A25110" t="n">
        <v>25109</v>
      </c>
      <c r="B25110" t="inlineStr">
        <is>
          <t>x̄x̄V̅CIX</t>
        </is>
      </c>
      <c r="C25110">
        <f>ROMAN(25109)</f>
        <v/>
      </c>
      <c r="D25110">
        <f>IF(B25110=C25110, "YES", "WRONG")</f>
        <v/>
      </c>
    </row>
    <row r="25111">
      <c r="A25111" t="n">
        <v>25110</v>
      </c>
      <c r="B25111" t="inlineStr">
        <is>
          <t>x̄x̄V̅CX</t>
        </is>
      </c>
      <c r="C25111">
        <f>ROMAN(25110)</f>
        <v/>
      </c>
      <c r="D25111">
        <f>IF(B25111=C25111, "YES", "WRONG")</f>
        <v/>
      </c>
    </row>
    <row r="25112">
      <c r="A25112" t="n">
        <v>25111</v>
      </c>
      <c r="B25112" t="inlineStr">
        <is>
          <t>x̄x̄V̅CXI</t>
        </is>
      </c>
      <c r="C25112">
        <f>ROMAN(25111)</f>
        <v/>
      </c>
      <c r="D25112">
        <f>IF(B25112=C25112, "YES", "WRONG")</f>
        <v/>
      </c>
    </row>
    <row r="25113">
      <c r="A25113" t="n">
        <v>25112</v>
      </c>
      <c r="B25113" t="inlineStr">
        <is>
          <t>x̄x̄V̅CXII</t>
        </is>
      </c>
      <c r="C25113">
        <f>ROMAN(25112)</f>
        <v/>
      </c>
      <c r="D25113">
        <f>IF(B25113=C25113, "YES", "WRONG")</f>
        <v/>
      </c>
    </row>
    <row r="25114">
      <c r="A25114" t="n">
        <v>25113</v>
      </c>
      <c r="B25114" t="inlineStr">
        <is>
          <t>x̄x̄V̅CXIII</t>
        </is>
      </c>
      <c r="C25114">
        <f>ROMAN(25113)</f>
        <v/>
      </c>
      <c r="D25114">
        <f>IF(B25114=C25114, "YES", "WRONG")</f>
        <v/>
      </c>
    </row>
    <row r="25115">
      <c r="A25115" t="n">
        <v>25114</v>
      </c>
      <c r="B25115" t="inlineStr">
        <is>
          <t>x̄x̄V̅CXIV</t>
        </is>
      </c>
      <c r="C25115">
        <f>ROMAN(25114)</f>
        <v/>
      </c>
      <c r="D25115">
        <f>IF(B25115=C25115, "YES", "WRONG")</f>
        <v/>
      </c>
    </row>
    <row r="25116">
      <c r="A25116" t="n">
        <v>25115</v>
      </c>
      <c r="B25116" t="inlineStr">
        <is>
          <t>x̄x̄V̅CXV</t>
        </is>
      </c>
      <c r="C25116">
        <f>ROMAN(25115)</f>
        <v/>
      </c>
      <c r="D25116">
        <f>IF(B25116=C25116, "YES", "WRONG")</f>
        <v/>
      </c>
    </row>
    <row r="25117">
      <c r="A25117" t="n">
        <v>25116</v>
      </c>
      <c r="B25117" t="inlineStr">
        <is>
          <t>x̄x̄V̅CXVI</t>
        </is>
      </c>
      <c r="C25117">
        <f>ROMAN(25116)</f>
        <v/>
      </c>
      <c r="D25117">
        <f>IF(B25117=C25117, "YES", "WRONG")</f>
        <v/>
      </c>
    </row>
    <row r="25118">
      <c r="A25118" t="n">
        <v>25117</v>
      </c>
      <c r="B25118" t="inlineStr">
        <is>
          <t>x̄x̄V̅CXVII</t>
        </is>
      </c>
      <c r="C25118">
        <f>ROMAN(25117)</f>
        <v/>
      </c>
      <c r="D25118">
        <f>IF(B25118=C25118, "YES", "WRONG")</f>
        <v/>
      </c>
    </row>
    <row r="25119">
      <c r="A25119" t="n">
        <v>25118</v>
      </c>
      <c r="B25119" t="inlineStr">
        <is>
          <t>x̄x̄V̅CXVIII</t>
        </is>
      </c>
      <c r="C25119">
        <f>ROMAN(25118)</f>
        <v/>
      </c>
      <c r="D25119">
        <f>IF(B25119=C25119, "YES", "WRONG")</f>
        <v/>
      </c>
    </row>
    <row r="25120">
      <c r="A25120" t="n">
        <v>25119</v>
      </c>
      <c r="B25120" t="inlineStr">
        <is>
          <t>x̄x̄V̅CXIX</t>
        </is>
      </c>
      <c r="C25120">
        <f>ROMAN(25119)</f>
        <v/>
      </c>
      <c r="D25120">
        <f>IF(B25120=C25120, "YES", "WRONG")</f>
        <v/>
      </c>
    </row>
    <row r="25121">
      <c r="A25121" t="n">
        <v>25120</v>
      </c>
      <c r="B25121" t="inlineStr">
        <is>
          <t>x̄x̄V̅CXX</t>
        </is>
      </c>
      <c r="C25121">
        <f>ROMAN(25120)</f>
        <v/>
      </c>
      <c r="D25121">
        <f>IF(B25121=C25121, "YES", "WRONG")</f>
        <v/>
      </c>
    </row>
    <row r="25122">
      <c r="A25122" t="n">
        <v>25121</v>
      </c>
      <c r="B25122" t="inlineStr">
        <is>
          <t>x̄x̄V̅CXXI</t>
        </is>
      </c>
      <c r="C25122">
        <f>ROMAN(25121)</f>
        <v/>
      </c>
      <c r="D25122">
        <f>IF(B25122=C25122, "YES", "WRONG")</f>
        <v/>
      </c>
    </row>
    <row r="25123">
      <c r="A25123" t="n">
        <v>25122</v>
      </c>
      <c r="B25123" t="inlineStr">
        <is>
          <t>x̄x̄V̅CXXII</t>
        </is>
      </c>
      <c r="C25123">
        <f>ROMAN(25122)</f>
        <v/>
      </c>
      <c r="D25123">
        <f>IF(B25123=C25123, "YES", "WRONG")</f>
        <v/>
      </c>
    </row>
    <row r="25124">
      <c r="A25124" t="n">
        <v>25123</v>
      </c>
      <c r="B25124" t="inlineStr">
        <is>
          <t>x̄x̄V̅CXXIII</t>
        </is>
      </c>
      <c r="C25124">
        <f>ROMAN(25123)</f>
        <v/>
      </c>
      <c r="D25124">
        <f>IF(B25124=C25124, "YES", "WRONG")</f>
        <v/>
      </c>
    </row>
    <row r="25125">
      <c r="A25125" t="n">
        <v>25124</v>
      </c>
      <c r="B25125" t="inlineStr">
        <is>
          <t>x̄x̄V̅CXXIV</t>
        </is>
      </c>
      <c r="C25125">
        <f>ROMAN(25124)</f>
        <v/>
      </c>
      <c r="D25125">
        <f>IF(B25125=C25125, "YES", "WRONG")</f>
        <v/>
      </c>
    </row>
    <row r="25126">
      <c r="A25126" t="n">
        <v>25125</v>
      </c>
      <c r="B25126" t="inlineStr">
        <is>
          <t>x̄x̄V̅CXXV</t>
        </is>
      </c>
      <c r="C25126">
        <f>ROMAN(25125)</f>
        <v/>
      </c>
      <c r="D25126">
        <f>IF(B25126=C25126, "YES", "WRONG")</f>
        <v/>
      </c>
    </row>
    <row r="25127">
      <c r="A25127" t="n">
        <v>25126</v>
      </c>
      <c r="B25127" t="inlineStr">
        <is>
          <t>x̄x̄V̅CXXVI</t>
        </is>
      </c>
      <c r="C25127">
        <f>ROMAN(25126)</f>
        <v/>
      </c>
      <c r="D25127">
        <f>IF(B25127=C25127, "YES", "WRONG")</f>
        <v/>
      </c>
    </row>
    <row r="25128">
      <c r="A25128" t="n">
        <v>25127</v>
      </c>
      <c r="B25128" t="inlineStr">
        <is>
          <t>x̄x̄V̅CXXVII</t>
        </is>
      </c>
      <c r="C25128">
        <f>ROMAN(25127)</f>
        <v/>
      </c>
      <c r="D25128">
        <f>IF(B25128=C25128, "YES", "WRONG")</f>
        <v/>
      </c>
    </row>
    <row r="25129">
      <c r="A25129" t="n">
        <v>25128</v>
      </c>
      <c r="B25129" t="inlineStr">
        <is>
          <t>x̄x̄V̅CXXVIII</t>
        </is>
      </c>
      <c r="C25129">
        <f>ROMAN(25128)</f>
        <v/>
      </c>
      <c r="D25129">
        <f>IF(B25129=C25129, "YES", "WRONG")</f>
        <v/>
      </c>
    </row>
    <row r="25130">
      <c r="A25130" t="n">
        <v>25129</v>
      </c>
      <c r="B25130" t="inlineStr">
        <is>
          <t>x̄x̄V̅CXXIX</t>
        </is>
      </c>
      <c r="C25130">
        <f>ROMAN(25129)</f>
        <v/>
      </c>
      <c r="D25130">
        <f>IF(B25130=C25130, "YES", "WRONG")</f>
        <v/>
      </c>
    </row>
    <row r="25131">
      <c r="A25131" t="n">
        <v>25130</v>
      </c>
      <c r="B25131" t="inlineStr">
        <is>
          <t>x̄x̄V̅CXXX</t>
        </is>
      </c>
      <c r="C25131">
        <f>ROMAN(25130)</f>
        <v/>
      </c>
      <c r="D25131">
        <f>IF(B25131=C25131, "YES", "WRONG")</f>
        <v/>
      </c>
    </row>
    <row r="25132">
      <c r="A25132" t="n">
        <v>25131</v>
      </c>
      <c r="B25132" t="inlineStr">
        <is>
          <t>x̄x̄V̅CXXXI</t>
        </is>
      </c>
      <c r="C25132">
        <f>ROMAN(25131)</f>
        <v/>
      </c>
      <c r="D25132">
        <f>IF(B25132=C25132, "YES", "WRONG")</f>
        <v/>
      </c>
    </row>
    <row r="25133">
      <c r="A25133" t="n">
        <v>25132</v>
      </c>
      <c r="B25133" t="inlineStr">
        <is>
          <t>x̄x̄V̅CXXXII</t>
        </is>
      </c>
      <c r="C25133">
        <f>ROMAN(25132)</f>
        <v/>
      </c>
      <c r="D25133">
        <f>IF(B25133=C25133, "YES", "WRONG")</f>
        <v/>
      </c>
    </row>
    <row r="25134">
      <c r="A25134" t="n">
        <v>25133</v>
      </c>
      <c r="B25134" t="inlineStr">
        <is>
          <t>x̄x̄V̅CXXXIII</t>
        </is>
      </c>
      <c r="C25134">
        <f>ROMAN(25133)</f>
        <v/>
      </c>
      <c r="D25134">
        <f>IF(B25134=C25134, "YES", "WRONG")</f>
        <v/>
      </c>
    </row>
    <row r="25135">
      <c r="A25135" t="n">
        <v>25134</v>
      </c>
      <c r="B25135" t="inlineStr">
        <is>
          <t>x̄x̄V̅CXXXIV</t>
        </is>
      </c>
      <c r="C25135">
        <f>ROMAN(25134)</f>
        <v/>
      </c>
      <c r="D25135">
        <f>IF(B25135=C25135, "YES", "WRONG")</f>
        <v/>
      </c>
    </row>
    <row r="25136">
      <c r="A25136" t="n">
        <v>25135</v>
      </c>
      <c r="B25136" t="inlineStr">
        <is>
          <t>x̄x̄V̅CXXXV</t>
        </is>
      </c>
      <c r="C25136">
        <f>ROMAN(25135)</f>
        <v/>
      </c>
      <c r="D25136">
        <f>IF(B25136=C25136, "YES", "WRONG")</f>
        <v/>
      </c>
    </row>
    <row r="25137">
      <c r="A25137" t="n">
        <v>25136</v>
      </c>
      <c r="B25137" t="inlineStr">
        <is>
          <t>x̄x̄V̅CXXXVI</t>
        </is>
      </c>
      <c r="C25137">
        <f>ROMAN(25136)</f>
        <v/>
      </c>
      <c r="D25137">
        <f>IF(B25137=C25137, "YES", "WRONG")</f>
        <v/>
      </c>
    </row>
    <row r="25138">
      <c r="A25138" t="n">
        <v>25137</v>
      </c>
      <c r="B25138" t="inlineStr">
        <is>
          <t>x̄x̄V̅CXXXVII</t>
        </is>
      </c>
      <c r="C25138">
        <f>ROMAN(25137)</f>
        <v/>
      </c>
      <c r="D25138">
        <f>IF(B25138=C25138, "YES", "WRONG")</f>
        <v/>
      </c>
    </row>
    <row r="25139">
      <c r="A25139" t="n">
        <v>25138</v>
      </c>
      <c r="B25139" t="inlineStr">
        <is>
          <t>x̄x̄V̅CXXXVIII</t>
        </is>
      </c>
      <c r="C25139">
        <f>ROMAN(25138)</f>
        <v/>
      </c>
      <c r="D25139">
        <f>IF(B25139=C25139, "YES", "WRONG")</f>
        <v/>
      </c>
    </row>
    <row r="25140">
      <c r="A25140" t="n">
        <v>25139</v>
      </c>
      <c r="B25140" t="inlineStr">
        <is>
          <t>x̄x̄V̅CXXXIX</t>
        </is>
      </c>
      <c r="C25140">
        <f>ROMAN(25139)</f>
        <v/>
      </c>
      <c r="D25140">
        <f>IF(B25140=C25140, "YES", "WRONG")</f>
        <v/>
      </c>
    </row>
    <row r="25141">
      <c r="A25141" t="n">
        <v>25140</v>
      </c>
      <c r="B25141" t="inlineStr">
        <is>
          <t>x̄x̄V̅CXL</t>
        </is>
      </c>
      <c r="C25141">
        <f>ROMAN(25140)</f>
        <v/>
      </c>
      <c r="D25141">
        <f>IF(B25141=C25141, "YES", "WRONG")</f>
        <v/>
      </c>
    </row>
    <row r="25142">
      <c r="A25142" t="n">
        <v>25141</v>
      </c>
      <c r="B25142" t="inlineStr">
        <is>
          <t>x̄x̄V̅CXLI</t>
        </is>
      </c>
      <c r="C25142">
        <f>ROMAN(25141)</f>
        <v/>
      </c>
      <c r="D25142">
        <f>IF(B25142=C25142, "YES", "WRONG")</f>
        <v/>
      </c>
    </row>
    <row r="25143">
      <c r="A25143" t="n">
        <v>25142</v>
      </c>
      <c r="B25143" t="inlineStr">
        <is>
          <t>x̄x̄V̅CXLII</t>
        </is>
      </c>
      <c r="C25143">
        <f>ROMAN(25142)</f>
        <v/>
      </c>
      <c r="D25143">
        <f>IF(B25143=C25143, "YES", "WRONG")</f>
        <v/>
      </c>
    </row>
    <row r="25144">
      <c r="A25144" t="n">
        <v>25143</v>
      </c>
      <c r="B25144" t="inlineStr">
        <is>
          <t>x̄x̄V̅CXLIII</t>
        </is>
      </c>
      <c r="C25144">
        <f>ROMAN(25143)</f>
        <v/>
      </c>
      <c r="D25144">
        <f>IF(B25144=C25144, "YES", "WRONG")</f>
        <v/>
      </c>
    </row>
    <row r="25145">
      <c r="A25145" t="n">
        <v>25144</v>
      </c>
      <c r="B25145" t="inlineStr">
        <is>
          <t>x̄x̄V̅CXLIV</t>
        </is>
      </c>
      <c r="C25145">
        <f>ROMAN(25144)</f>
        <v/>
      </c>
      <c r="D25145">
        <f>IF(B25145=C25145, "YES", "WRONG")</f>
        <v/>
      </c>
    </row>
    <row r="25146">
      <c r="A25146" t="n">
        <v>25145</v>
      </c>
      <c r="B25146" t="inlineStr">
        <is>
          <t>x̄x̄V̅CXLV</t>
        </is>
      </c>
      <c r="C25146">
        <f>ROMAN(25145)</f>
        <v/>
      </c>
      <c r="D25146">
        <f>IF(B25146=C25146, "YES", "WRONG")</f>
        <v/>
      </c>
    </row>
    <row r="25147">
      <c r="A25147" t="n">
        <v>25146</v>
      </c>
      <c r="B25147" t="inlineStr">
        <is>
          <t>x̄x̄V̅CXLVI</t>
        </is>
      </c>
      <c r="C25147">
        <f>ROMAN(25146)</f>
        <v/>
      </c>
      <c r="D25147">
        <f>IF(B25147=C25147, "YES", "WRONG")</f>
        <v/>
      </c>
    </row>
    <row r="25148">
      <c r="A25148" t="n">
        <v>25147</v>
      </c>
      <c r="B25148" t="inlineStr">
        <is>
          <t>x̄x̄V̅CXLVII</t>
        </is>
      </c>
      <c r="C25148">
        <f>ROMAN(25147)</f>
        <v/>
      </c>
      <c r="D25148">
        <f>IF(B25148=C25148, "YES", "WRONG")</f>
        <v/>
      </c>
    </row>
    <row r="25149">
      <c r="A25149" t="n">
        <v>25148</v>
      </c>
      <c r="B25149" t="inlineStr">
        <is>
          <t>x̄x̄V̅CXLVIII</t>
        </is>
      </c>
      <c r="C25149">
        <f>ROMAN(25148)</f>
        <v/>
      </c>
      <c r="D25149">
        <f>IF(B25149=C25149, "YES", "WRONG")</f>
        <v/>
      </c>
    </row>
    <row r="25150">
      <c r="A25150" t="n">
        <v>25149</v>
      </c>
      <c r="B25150" t="inlineStr">
        <is>
          <t>x̄x̄V̅CXLIX</t>
        </is>
      </c>
      <c r="C25150">
        <f>ROMAN(25149)</f>
        <v/>
      </c>
      <c r="D25150">
        <f>IF(B25150=C25150, "YES", "WRONG")</f>
        <v/>
      </c>
    </row>
    <row r="25151">
      <c r="A25151" t="n">
        <v>25150</v>
      </c>
      <c r="B25151" t="inlineStr">
        <is>
          <t>x̄x̄V̅CL</t>
        </is>
      </c>
      <c r="C25151">
        <f>ROMAN(25150)</f>
        <v/>
      </c>
      <c r="D25151">
        <f>IF(B25151=C25151, "YES", "WRONG")</f>
        <v/>
      </c>
    </row>
    <row r="25152">
      <c r="A25152" t="n">
        <v>25151</v>
      </c>
      <c r="B25152" t="inlineStr">
        <is>
          <t>x̄x̄V̅CLI</t>
        </is>
      </c>
      <c r="C25152">
        <f>ROMAN(25151)</f>
        <v/>
      </c>
      <c r="D25152">
        <f>IF(B25152=C25152, "YES", "WRONG")</f>
        <v/>
      </c>
    </row>
    <row r="25153">
      <c r="A25153" t="n">
        <v>25152</v>
      </c>
      <c r="B25153" t="inlineStr">
        <is>
          <t>x̄x̄V̅CLII</t>
        </is>
      </c>
      <c r="C25153">
        <f>ROMAN(25152)</f>
        <v/>
      </c>
      <c r="D25153">
        <f>IF(B25153=C25153, "YES", "WRONG")</f>
        <v/>
      </c>
    </row>
    <row r="25154">
      <c r="A25154" t="n">
        <v>25153</v>
      </c>
      <c r="B25154" t="inlineStr">
        <is>
          <t>x̄x̄V̅CLIII</t>
        </is>
      </c>
      <c r="C25154">
        <f>ROMAN(25153)</f>
        <v/>
      </c>
      <c r="D25154">
        <f>IF(B25154=C25154, "YES", "WRONG")</f>
        <v/>
      </c>
    </row>
    <row r="25155">
      <c r="A25155" t="n">
        <v>25154</v>
      </c>
      <c r="B25155" t="inlineStr">
        <is>
          <t>x̄x̄V̅CLIV</t>
        </is>
      </c>
      <c r="C25155">
        <f>ROMAN(25154)</f>
        <v/>
      </c>
      <c r="D25155">
        <f>IF(B25155=C25155, "YES", "WRONG")</f>
        <v/>
      </c>
    </row>
    <row r="25156">
      <c r="A25156" t="n">
        <v>25155</v>
      </c>
      <c r="B25156" t="inlineStr">
        <is>
          <t>x̄x̄V̅CLV</t>
        </is>
      </c>
      <c r="C25156">
        <f>ROMAN(25155)</f>
        <v/>
      </c>
      <c r="D25156">
        <f>IF(B25156=C25156, "YES", "WRONG")</f>
        <v/>
      </c>
    </row>
    <row r="25157">
      <c r="A25157" t="n">
        <v>25156</v>
      </c>
      <c r="B25157" t="inlineStr">
        <is>
          <t>x̄x̄V̅CLVI</t>
        </is>
      </c>
      <c r="C25157">
        <f>ROMAN(25156)</f>
        <v/>
      </c>
      <c r="D25157">
        <f>IF(B25157=C25157, "YES", "WRONG")</f>
        <v/>
      </c>
    </row>
    <row r="25158">
      <c r="A25158" t="n">
        <v>25157</v>
      </c>
      <c r="B25158" t="inlineStr">
        <is>
          <t>x̄x̄V̅CLVII</t>
        </is>
      </c>
      <c r="C25158">
        <f>ROMAN(25157)</f>
        <v/>
      </c>
      <c r="D25158">
        <f>IF(B25158=C25158, "YES", "WRONG")</f>
        <v/>
      </c>
    </row>
    <row r="25159">
      <c r="A25159" t="n">
        <v>25158</v>
      </c>
      <c r="B25159" t="inlineStr">
        <is>
          <t>x̄x̄V̅CLVIII</t>
        </is>
      </c>
      <c r="C25159">
        <f>ROMAN(25158)</f>
        <v/>
      </c>
      <c r="D25159">
        <f>IF(B25159=C25159, "YES", "WRONG")</f>
        <v/>
      </c>
    </row>
    <row r="25160">
      <c r="A25160" t="n">
        <v>25159</v>
      </c>
      <c r="B25160" t="inlineStr">
        <is>
          <t>x̄x̄V̅CLIX</t>
        </is>
      </c>
      <c r="C25160">
        <f>ROMAN(25159)</f>
        <v/>
      </c>
      <c r="D25160">
        <f>IF(B25160=C25160, "YES", "WRONG")</f>
        <v/>
      </c>
    </row>
    <row r="25161">
      <c r="A25161" t="n">
        <v>25160</v>
      </c>
      <c r="B25161" t="inlineStr">
        <is>
          <t>x̄x̄V̅CLX</t>
        </is>
      </c>
      <c r="C25161">
        <f>ROMAN(25160)</f>
        <v/>
      </c>
      <c r="D25161">
        <f>IF(B25161=C25161, "YES", "WRONG")</f>
        <v/>
      </c>
    </row>
    <row r="25162">
      <c r="A25162" t="n">
        <v>25161</v>
      </c>
      <c r="B25162" t="inlineStr">
        <is>
          <t>x̄x̄V̅CLXI</t>
        </is>
      </c>
      <c r="C25162">
        <f>ROMAN(25161)</f>
        <v/>
      </c>
      <c r="D25162">
        <f>IF(B25162=C25162, "YES", "WRONG")</f>
        <v/>
      </c>
    </row>
    <row r="25163">
      <c r="A25163" t="n">
        <v>25162</v>
      </c>
      <c r="B25163" t="inlineStr">
        <is>
          <t>x̄x̄V̅CLXII</t>
        </is>
      </c>
      <c r="C25163">
        <f>ROMAN(25162)</f>
        <v/>
      </c>
      <c r="D25163">
        <f>IF(B25163=C25163, "YES", "WRONG")</f>
        <v/>
      </c>
    </row>
    <row r="25164">
      <c r="A25164" t="n">
        <v>25163</v>
      </c>
      <c r="B25164" t="inlineStr">
        <is>
          <t>x̄x̄V̅CLXIII</t>
        </is>
      </c>
      <c r="C25164">
        <f>ROMAN(25163)</f>
        <v/>
      </c>
      <c r="D25164">
        <f>IF(B25164=C25164, "YES", "WRONG")</f>
        <v/>
      </c>
    </row>
    <row r="25165">
      <c r="A25165" t="n">
        <v>25164</v>
      </c>
      <c r="B25165" t="inlineStr">
        <is>
          <t>x̄x̄V̅CLXIV</t>
        </is>
      </c>
      <c r="C25165">
        <f>ROMAN(25164)</f>
        <v/>
      </c>
      <c r="D25165">
        <f>IF(B25165=C25165, "YES", "WRONG")</f>
        <v/>
      </c>
    </row>
    <row r="25166">
      <c r="A25166" t="n">
        <v>25165</v>
      </c>
      <c r="B25166" t="inlineStr">
        <is>
          <t>x̄x̄V̅CLXV</t>
        </is>
      </c>
      <c r="C25166">
        <f>ROMAN(25165)</f>
        <v/>
      </c>
      <c r="D25166">
        <f>IF(B25166=C25166, "YES", "WRONG")</f>
        <v/>
      </c>
    </row>
    <row r="25167">
      <c r="A25167" t="n">
        <v>25166</v>
      </c>
      <c r="B25167" t="inlineStr">
        <is>
          <t>x̄x̄V̅CLXVI</t>
        </is>
      </c>
      <c r="C25167">
        <f>ROMAN(25166)</f>
        <v/>
      </c>
      <c r="D25167">
        <f>IF(B25167=C25167, "YES", "WRONG")</f>
        <v/>
      </c>
    </row>
    <row r="25168">
      <c r="A25168" t="n">
        <v>25167</v>
      </c>
      <c r="B25168" t="inlineStr">
        <is>
          <t>x̄x̄V̅CLXVII</t>
        </is>
      </c>
      <c r="C25168">
        <f>ROMAN(25167)</f>
        <v/>
      </c>
      <c r="D25168">
        <f>IF(B25168=C25168, "YES", "WRONG")</f>
        <v/>
      </c>
    </row>
    <row r="25169">
      <c r="A25169" t="n">
        <v>25168</v>
      </c>
      <c r="B25169" t="inlineStr">
        <is>
          <t>x̄x̄V̅CLXVIII</t>
        </is>
      </c>
      <c r="C25169">
        <f>ROMAN(25168)</f>
        <v/>
      </c>
      <c r="D25169">
        <f>IF(B25169=C25169, "YES", "WRONG")</f>
        <v/>
      </c>
    </row>
    <row r="25170">
      <c r="A25170" t="n">
        <v>25169</v>
      </c>
      <c r="B25170" t="inlineStr">
        <is>
          <t>x̄x̄V̅CLXIX</t>
        </is>
      </c>
      <c r="C25170">
        <f>ROMAN(25169)</f>
        <v/>
      </c>
      <c r="D25170">
        <f>IF(B25170=C25170, "YES", "WRONG")</f>
        <v/>
      </c>
    </row>
    <row r="25171">
      <c r="A25171" t="n">
        <v>25170</v>
      </c>
      <c r="B25171" t="inlineStr">
        <is>
          <t>x̄x̄V̅CLXX</t>
        </is>
      </c>
      <c r="C25171">
        <f>ROMAN(25170)</f>
        <v/>
      </c>
      <c r="D25171">
        <f>IF(B25171=C25171, "YES", "WRONG")</f>
        <v/>
      </c>
    </row>
    <row r="25172">
      <c r="A25172" t="n">
        <v>25171</v>
      </c>
      <c r="B25172" t="inlineStr">
        <is>
          <t>x̄x̄V̅CLXXI</t>
        </is>
      </c>
      <c r="C25172">
        <f>ROMAN(25171)</f>
        <v/>
      </c>
      <c r="D25172">
        <f>IF(B25172=C25172, "YES", "WRONG")</f>
        <v/>
      </c>
    </row>
    <row r="25173">
      <c r="A25173" t="n">
        <v>25172</v>
      </c>
      <c r="B25173" t="inlineStr">
        <is>
          <t>x̄x̄V̅CLXXII</t>
        </is>
      </c>
      <c r="C25173">
        <f>ROMAN(25172)</f>
        <v/>
      </c>
      <c r="D25173">
        <f>IF(B25173=C25173, "YES", "WRONG")</f>
        <v/>
      </c>
    </row>
    <row r="25174">
      <c r="A25174" t="n">
        <v>25173</v>
      </c>
      <c r="B25174" t="inlineStr">
        <is>
          <t>x̄x̄V̅CLXXIII</t>
        </is>
      </c>
      <c r="C25174">
        <f>ROMAN(25173)</f>
        <v/>
      </c>
      <c r="D25174">
        <f>IF(B25174=C25174, "YES", "WRONG")</f>
        <v/>
      </c>
    </row>
    <row r="25175">
      <c r="A25175" t="n">
        <v>25174</v>
      </c>
      <c r="B25175" t="inlineStr">
        <is>
          <t>x̄x̄V̅CLXXIV</t>
        </is>
      </c>
      <c r="C25175">
        <f>ROMAN(25174)</f>
        <v/>
      </c>
      <c r="D25175">
        <f>IF(B25175=C25175, "YES", "WRONG")</f>
        <v/>
      </c>
    </row>
    <row r="25176">
      <c r="A25176" t="n">
        <v>25175</v>
      </c>
      <c r="B25176" t="inlineStr">
        <is>
          <t>x̄x̄V̅CLXXV</t>
        </is>
      </c>
      <c r="C25176">
        <f>ROMAN(25175)</f>
        <v/>
      </c>
      <c r="D25176">
        <f>IF(B25176=C25176, "YES", "WRONG")</f>
        <v/>
      </c>
    </row>
    <row r="25177">
      <c r="A25177" t="n">
        <v>25176</v>
      </c>
      <c r="B25177" t="inlineStr">
        <is>
          <t>x̄x̄V̅CLXXVI</t>
        </is>
      </c>
      <c r="C25177">
        <f>ROMAN(25176)</f>
        <v/>
      </c>
      <c r="D25177">
        <f>IF(B25177=C25177, "YES", "WRONG")</f>
        <v/>
      </c>
    </row>
    <row r="25178">
      <c r="A25178" t="n">
        <v>25177</v>
      </c>
      <c r="B25178" t="inlineStr">
        <is>
          <t>x̄x̄V̅CLXXVII</t>
        </is>
      </c>
      <c r="C25178">
        <f>ROMAN(25177)</f>
        <v/>
      </c>
      <c r="D25178">
        <f>IF(B25178=C25178, "YES", "WRONG")</f>
        <v/>
      </c>
    </row>
    <row r="25179">
      <c r="A25179" t="n">
        <v>25178</v>
      </c>
      <c r="B25179" t="inlineStr">
        <is>
          <t>x̄x̄V̅CLXXVIII</t>
        </is>
      </c>
      <c r="C25179">
        <f>ROMAN(25178)</f>
        <v/>
      </c>
      <c r="D25179">
        <f>IF(B25179=C25179, "YES", "WRONG")</f>
        <v/>
      </c>
    </row>
    <row r="25180">
      <c r="A25180" t="n">
        <v>25179</v>
      </c>
      <c r="B25180" t="inlineStr">
        <is>
          <t>x̄x̄V̅CLXXIX</t>
        </is>
      </c>
      <c r="C25180">
        <f>ROMAN(25179)</f>
        <v/>
      </c>
      <c r="D25180">
        <f>IF(B25180=C25180, "YES", "WRONG")</f>
        <v/>
      </c>
    </row>
    <row r="25181">
      <c r="A25181" t="n">
        <v>25180</v>
      </c>
      <c r="B25181" t="inlineStr">
        <is>
          <t>x̄x̄V̅CLXXX</t>
        </is>
      </c>
      <c r="C25181">
        <f>ROMAN(25180)</f>
        <v/>
      </c>
      <c r="D25181">
        <f>IF(B25181=C25181, "YES", "WRONG")</f>
        <v/>
      </c>
    </row>
    <row r="25182">
      <c r="A25182" t="n">
        <v>25181</v>
      </c>
      <c r="B25182" t="inlineStr">
        <is>
          <t>x̄x̄V̅CLXXXI</t>
        </is>
      </c>
      <c r="C25182">
        <f>ROMAN(25181)</f>
        <v/>
      </c>
      <c r="D25182">
        <f>IF(B25182=C25182, "YES", "WRONG")</f>
        <v/>
      </c>
    </row>
    <row r="25183">
      <c r="A25183" t="n">
        <v>25182</v>
      </c>
      <c r="B25183" t="inlineStr">
        <is>
          <t>x̄x̄V̅CLXXXII</t>
        </is>
      </c>
      <c r="C25183">
        <f>ROMAN(25182)</f>
        <v/>
      </c>
      <c r="D25183">
        <f>IF(B25183=C25183, "YES", "WRONG")</f>
        <v/>
      </c>
    </row>
    <row r="25184">
      <c r="A25184" t="n">
        <v>25183</v>
      </c>
      <c r="B25184" t="inlineStr">
        <is>
          <t>x̄x̄V̅CLXXXIII</t>
        </is>
      </c>
      <c r="C25184">
        <f>ROMAN(25183)</f>
        <v/>
      </c>
      <c r="D25184">
        <f>IF(B25184=C25184, "YES", "WRONG")</f>
        <v/>
      </c>
    </row>
    <row r="25185">
      <c r="A25185" t="n">
        <v>25184</v>
      </c>
      <c r="B25185" t="inlineStr">
        <is>
          <t>x̄x̄V̅CLXXXIV</t>
        </is>
      </c>
      <c r="C25185">
        <f>ROMAN(25184)</f>
        <v/>
      </c>
      <c r="D25185">
        <f>IF(B25185=C25185, "YES", "WRONG")</f>
        <v/>
      </c>
    </row>
    <row r="25186">
      <c r="A25186" t="n">
        <v>25185</v>
      </c>
      <c r="B25186" t="inlineStr">
        <is>
          <t>x̄x̄V̅CLXXXV</t>
        </is>
      </c>
      <c r="C25186">
        <f>ROMAN(25185)</f>
        <v/>
      </c>
      <c r="D25186">
        <f>IF(B25186=C25186, "YES", "WRONG")</f>
        <v/>
      </c>
    </row>
    <row r="25187">
      <c r="A25187" t="n">
        <v>25186</v>
      </c>
      <c r="B25187" t="inlineStr">
        <is>
          <t>x̄x̄V̅CLXXXVI</t>
        </is>
      </c>
      <c r="C25187">
        <f>ROMAN(25186)</f>
        <v/>
      </c>
      <c r="D25187">
        <f>IF(B25187=C25187, "YES", "WRONG")</f>
        <v/>
      </c>
    </row>
    <row r="25188">
      <c r="A25188" t="n">
        <v>25187</v>
      </c>
      <c r="B25188" t="inlineStr">
        <is>
          <t>x̄x̄V̅CLXXXVII</t>
        </is>
      </c>
      <c r="C25188">
        <f>ROMAN(25187)</f>
        <v/>
      </c>
      <c r="D25188">
        <f>IF(B25188=C25188, "YES", "WRONG")</f>
        <v/>
      </c>
    </row>
    <row r="25189">
      <c r="A25189" t="n">
        <v>25188</v>
      </c>
      <c r="B25189" t="inlineStr">
        <is>
          <t>x̄x̄V̅CLXXXVIII</t>
        </is>
      </c>
      <c r="C25189">
        <f>ROMAN(25188)</f>
        <v/>
      </c>
      <c r="D25189">
        <f>IF(B25189=C25189, "YES", "WRONG")</f>
        <v/>
      </c>
    </row>
    <row r="25190">
      <c r="A25190" t="n">
        <v>25189</v>
      </c>
      <c r="B25190" t="inlineStr">
        <is>
          <t>x̄x̄V̅CLXXXIX</t>
        </is>
      </c>
      <c r="C25190">
        <f>ROMAN(25189)</f>
        <v/>
      </c>
      <c r="D25190">
        <f>IF(B25190=C25190, "YES", "WRONG")</f>
        <v/>
      </c>
    </row>
    <row r="25191">
      <c r="A25191" t="n">
        <v>25190</v>
      </c>
      <c r="B25191" t="inlineStr">
        <is>
          <t>x̄x̄V̅CXC</t>
        </is>
      </c>
      <c r="C25191">
        <f>ROMAN(25190)</f>
        <v/>
      </c>
      <c r="D25191">
        <f>IF(B25191=C25191, "YES", "WRONG")</f>
        <v/>
      </c>
    </row>
    <row r="25192">
      <c r="A25192" t="n">
        <v>25191</v>
      </c>
      <c r="B25192" t="inlineStr">
        <is>
          <t>x̄x̄V̅CXCI</t>
        </is>
      </c>
      <c r="C25192">
        <f>ROMAN(25191)</f>
        <v/>
      </c>
      <c r="D25192">
        <f>IF(B25192=C25192, "YES", "WRONG")</f>
        <v/>
      </c>
    </row>
    <row r="25193">
      <c r="A25193" t="n">
        <v>25192</v>
      </c>
      <c r="B25193" t="inlineStr">
        <is>
          <t>x̄x̄V̅CXCII</t>
        </is>
      </c>
      <c r="C25193">
        <f>ROMAN(25192)</f>
        <v/>
      </c>
      <c r="D25193">
        <f>IF(B25193=C25193, "YES", "WRONG")</f>
        <v/>
      </c>
    </row>
    <row r="25194">
      <c r="A25194" t="n">
        <v>25193</v>
      </c>
      <c r="B25194" t="inlineStr">
        <is>
          <t>x̄x̄V̅CXCIII</t>
        </is>
      </c>
      <c r="C25194">
        <f>ROMAN(25193)</f>
        <v/>
      </c>
      <c r="D25194">
        <f>IF(B25194=C25194, "YES", "WRONG")</f>
        <v/>
      </c>
    </row>
    <row r="25195">
      <c r="A25195" t="n">
        <v>25194</v>
      </c>
      <c r="B25195" t="inlineStr">
        <is>
          <t>x̄x̄V̅CXCIV</t>
        </is>
      </c>
      <c r="C25195">
        <f>ROMAN(25194)</f>
        <v/>
      </c>
      <c r="D25195">
        <f>IF(B25195=C25195, "YES", "WRONG")</f>
        <v/>
      </c>
    </row>
    <row r="25196">
      <c r="A25196" t="n">
        <v>25195</v>
      </c>
      <c r="B25196" t="inlineStr">
        <is>
          <t>x̄x̄V̅CXCV</t>
        </is>
      </c>
      <c r="C25196">
        <f>ROMAN(25195)</f>
        <v/>
      </c>
      <c r="D25196">
        <f>IF(B25196=C25196, "YES", "WRONG")</f>
        <v/>
      </c>
    </row>
    <row r="25197">
      <c r="A25197" t="n">
        <v>25196</v>
      </c>
      <c r="B25197" t="inlineStr">
        <is>
          <t>x̄x̄V̅CXCVI</t>
        </is>
      </c>
      <c r="C25197">
        <f>ROMAN(25196)</f>
        <v/>
      </c>
      <c r="D25197">
        <f>IF(B25197=C25197, "YES", "WRONG")</f>
        <v/>
      </c>
    </row>
    <row r="25198">
      <c r="A25198" t="n">
        <v>25197</v>
      </c>
      <c r="B25198" t="inlineStr">
        <is>
          <t>x̄x̄V̅CXCVII</t>
        </is>
      </c>
      <c r="C25198">
        <f>ROMAN(25197)</f>
        <v/>
      </c>
      <c r="D25198">
        <f>IF(B25198=C25198, "YES", "WRONG")</f>
        <v/>
      </c>
    </row>
    <row r="25199">
      <c r="A25199" t="n">
        <v>25198</v>
      </c>
      <c r="B25199" t="inlineStr">
        <is>
          <t>x̄x̄V̅CXCVIII</t>
        </is>
      </c>
      <c r="C25199">
        <f>ROMAN(25198)</f>
        <v/>
      </c>
      <c r="D25199">
        <f>IF(B25199=C25199, "YES", "WRONG")</f>
        <v/>
      </c>
    </row>
    <row r="25200">
      <c r="A25200" t="n">
        <v>25199</v>
      </c>
      <c r="B25200" t="inlineStr">
        <is>
          <t>x̄x̄V̅CXCIX</t>
        </is>
      </c>
      <c r="C25200">
        <f>ROMAN(25199)</f>
        <v/>
      </c>
      <c r="D25200">
        <f>IF(B25200=C25200, "YES", "WRONG")</f>
        <v/>
      </c>
    </row>
    <row r="25201">
      <c r="A25201" t="n">
        <v>25200</v>
      </c>
      <c r="B25201" t="inlineStr">
        <is>
          <t>x̄x̄V̅CC</t>
        </is>
      </c>
      <c r="C25201">
        <f>ROMAN(25200)</f>
        <v/>
      </c>
      <c r="D25201">
        <f>IF(B25201=C25201, "YES", "WRONG")</f>
        <v/>
      </c>
    </row>
    <row r="25202">
      <c r="A25202" t="n">
        <v>25201</v>
      </c>
      <c r="B25202" t="inlineStr">
        <is>
          <t>x̄x̄V̅CCI</t>
        </is>
      </c>
      <c r="C25202">
        <f>ROMAN(25201)</f>
        <v/>
      </c>
      <c r="D25202">
        <f>IF(B25202=C25202, "YES", "WRONG")</f>
        <v/>
      </c>
    </row>
    <row r="25203">
      <c r="A25203" t="n">
        <v>25202</v>
      </c>
      <c r="B25203" t="inlineStr">
        <is>
          <t>x̄x̄V̅CCII</t>
        </is>
      </c>
      <c r="C25203">
        <f>ROMAN(25202)</f>
        <v/>
      </c>
      <c r="D25203">
        <f>IF(B25203=C25203, "YES", "WRONG")</f>
        <v/>
      </c>
    </row>
    <row r="25204">
      <c r="A25204" t="n">
        <v>25203</v>
      </c>
      <c r="B25204" t="inlineStr">
        <is>
          <t>x̄x̄V̅CCIII</t>
        </is>
      </c>
      <c r="C25204">
        <f>ROMAN(25203)</f>
        <v/>
      </c>
      <c r="D25204">
        <f>IF(B25204=C25204, "YES", "WRONG")</f>
        <v/>
      </c>
    </row>
    <row r="25205">
      <c r="A25205" t="n">
        <v>25204</v>
      </c>
      <c r="B25205" t="inlineStr">
        <is>
          <t>x̄x̄V̅CCIV</t>
        </is>
      </c>
      <c r="C25205">
        <f>ROMAN(25204)</f>
        <v/>
      </c>
      <c r="D25205">
        <f>IF(B25205=C25205, "YES", "WRONG")</f>
        <v/>
      </c>
    </row>
    <row r="25206">
      <c r="A25206" t="n">
        <v>25205</v>
      </c>
      <c r="B25206" t="inlineStr">
        <is>
          <t>x̄x̄V̅CCV</t>
        </is>
      </c>
      <c r="C25206">
        <f>ROMAN(25205)</f>
        <v/>
      </c>
      <c r="D25206">
        <f>IF(B25206=C25206, "YES", "WRONG")</f>
        <v/>
      </c>
    </row>
    <row r="25207">
      <c r="A25207" t="n">
        <v>25206</v>
      </c>
      <c r="B25207" t="inlineStr">
        <is>
          <t>x̄x̄V̅CCVI</t>
        </is>
      </c>
      <c r="C25207">
        <f>ROMAN(25206)</f>
        <v/>
      </c>
      <c r="D25207">
        <f>IF(B25207=C25207, "YES", "WRONG")</f>
        <v/>
      </c>
    </row>
    <row r="25208">
      <c r="A25208" t="n">
        <v>25207</v>
      </c>
      <c r="B25208" t="inlineStr">
        <is>
          <t>x̄x̄V̅CCVII</t>
        </is>
      </c>
      <c r="C25208">
        <f>ROMAN(25207)</f>
        <v/>
      </c>
      <c r="D25208">
        <f>IF(B25208=C25208, "YES", "WRONG")</f>
        <v/>
      </c>
    </row>
    <row r="25209">
      <c r="A25209" t="n">
        <v>25208</v>
      </c>
      <c r="B25209" t="inlineStr">
        <is>
          <t>x̄x̄V̅CCVIII</t>
        </is>
      </c>
      <c r="C25209">
        <f>ROMAN(25208)</f>
        <v/>
      </c>
      <c r="D25209">
        <f>IF(B25209=C25209, "YES", "WRONG")</f>
        <v/>
      </c>
    </row>
    <row r="25210">
      <c r="A25210" t="n">
        <v>25209</v>
      </c>
      <c r="B25210" t="inlineStr">
        <is>
          <t>x̄x̄V̅CCIX</t>
        </is>
      </c>
      <c r="C25210">
        <f>ROMAN(25209)</f>
        <v/>
      </c>
      <c r="D25210">
        <f>IF(B25210=C25210, "YES", "WRONG")</f>
        <v/>
      </c>
    </row>
    <row r="25211">
      <c r="A25211" t="n">
        <v>25210</v>
      </c>
      <c r="B25211" t="inlineStr">
        <is>
          <t>x̄x̄V̅CCX</t>
        </is>
      </c>
      <c r="C25211">
        <f>ROMAN(25210)</f>
        <v/>
      </c>
      <c r="D25211">
        <f>IF(B25211=C25211, "YES", "WRONG")</f>
        <v/>
      </c>
    </row>
    <row r="25212">
      <c r="A25212" t="n">
        <v>25211</v>
      </c>
      <c r="B25212" t="inlineStr">
        <is>
          <t>x̄x̄V̅CCXI</t>
        </is>
      </c>
      <c r="C25212">
        <f>ROMAN(25211)</f>
        <v/>
      </c>
      <c r="D25212">
        <f>IF(B25212=C25212, "YES", "WRONG")</f>
        <v/>
      </c>
    </row>
    <row r="25213">
      <c r="A25213" t="n">
        <v>25212</v>
      </c>
      <c r="B25213" t="inlineStr">
        <is>
          <t>x̄x̄V̅CCXII</t>
        </is>
      </c>
      <c r="C25213">
        <f>ROMAN(25212)</f>
        <v/>
      </c>
      <c r="D25213">
        <f>IF(B25213=C25213, "YES", "WRONG")</f>
        <v/>
      </c>
    </row>
    <row r="25214">
      <c r="A25214" t="n">
        <v>25213</v>
      </c>
      <c r="B25214" t="inlineStr">
        <is>
          <t>x̄x̄V̅CCXIII</t>
        </is>
      </c>
      <c r="C25214">
        <f>ROMAN(25213)</f>
        <v/>
      </c>
      <c r="D25214">
        <f>IF(B25214=C25214, "YES", "WRONG")</f>
        <v/>
      </c>
    </row>
    <row r="25215">
      <c r="A25215" t="n">
        <v>25214</v>
      </c>
      <c r="B25215" t="inlineStr">
        <is>
          <t>x̄x̄V̅CCXIV</t>
        </is>
      </c>
      <c r="C25215">
        <f>ROMAN(25214)</f>
        <v/>
      </c>
      <c r="D25215">
        <f>IF(B25215=C25215, "YES", "WRONG")</f>
        <v/>
      </c>
    </row>
    <row r="25216">
      <c r="A25216" t="n">
        <v>25215</v>
      </c>
      <c r="B25216" t="inlineStr">
        <is>
          <t>x̄x̄V̅CCXV</t>
        </is>
      </c>
      <c r="C25216">
        <f>ROMAN(25215)</f>
        <v/>
      </c>
      <c r="D25216">
        <f>IF(B25216=C25216, "YES", "WRONG")</f>
        <v/>
      </c>
    </row>
    <row r="25217">
      <c r="A25217" t="n">
        <v>25216</v>
      </c>
      <c r="B25217" t="inlineStr">
        <is>
          <t>x̄x̄V̅CCXVI</t>
        </is>
      </c>
      <c r="C25217">
        <f>ROMAN(25216)</f>
        <v/>
      </c>
      <c r="D25217">
        <f>IF(B25217=C25217, "YES", "WRONG")</f>
        <v/>
      </c>
    </row>
    <row r="25218">
      <c r="A25218" t="n">
        <v>25217</v>
      </c>
      <c r="B25218" t="inlineStr">
        <is>
          <t>x̄x̄V̅CCXVII</t>
        </is>
      </c>
      <c r="C25218">
        <f>ROMAN(25217)</f>
        <v/>
      </c>
      <c r="D25218">
        <f>IF(B25218=C25218, "YES", "WRONG")</f>
        <v/>
      </c>
    </row>
    <row r="25219">
      <c r="A25219" t="n">
        <v>25218</v>
      </c>
      <c r="B25219" t="inlineStr">
        <is>
          <t>x̄x̄V̅CCXVIII</t>
        </is>
      </c>
      <c r="C25219">
        <f>ROMAN(25218)</f>
        <v/>
      </c>
      <c r="D25219">
        <f>IF(B25219=C25219, "YES", "WRONG")</f>
        <v/>
      </c>
    </row>
    <row r="25220">
      <c r="A25220" t="n">
        <v>25219</v>
      </c>
      <c r="B25220" t="inlineStr">
        <is>
          <t>x̄x̄V̅CCXIX</t>
        </is>
      </c>
      <c r="C25220">
        <f>ROMAN(25219)</f>
        <v/>
      </c>
      <c r="D25220">
        <f>IF(B25220=C25220, "YES", "WRONG")</f>
        <v/>
      </c>
    </row>
    <row r="25221">
      <c r="A25221" t="n">
        <v>25220</v>
      </c>
      <c r="B25221" t="inlineStr">
        <is>
          <t>x̄x̄V̅CCXX</t>
        </is>
      </c>
      <c r="C25221">
        <f>ROMAN(25220)</f>
        <v/>
      </c>
      <c r="D25221">
        <f>IF(B25221=C25221, "YES", "WRONG")</f>
        <v/>
      </c>
    </row>
    <row r="25222">
      <c r="A25222" t="n">
        <v>25221</v>
      </c>
      <c r="B25222" t="inlineStr">
        <is>
          <t>x̄x̄V̅CCXXI</t>
        </is>
      </c>
      <c r="C25222">
        <f>ROMAN(25221)</f>
        <v/>
      </c>
      <c r="D25222">
        <f>IF(B25222=C25222, "YES", "WRONG")</f>
        <v/>
      </c>
    </row>
    <row r="25223">
      <c r="A25223" t="n">
        <v>25222</v>
      </c>
      <c r="B25223" t="inlineStr">
        <is>
          <t>x̄x̄V̅CCXXII</t>
        </is>
      </c>
      <c r="C25223">
        <f>ROMAN(25222)</f>
        <v/>
      </c>
      <c r="D25223">
        <f>IF(B25223=C25223, "YES", "WRONG")</f>
        <v/>
      </c>
    </row>
    <row r="25224">
      <c r="A25224" t="n">
        <v>25223</v>
      </c>
      <c r="B25224" t="inlineStr">
        <is>
          <t>x̄x̄V̅CCXXIII</t>
        </is>
      </c>
      <c r="C25224">
        <f>ROMAN(25223)</f>
        <v/>
      </c>
      <c r="D25224">
        <f>IF(B25224=C25224, "YES", "WRONG")</f>
        <v/>
      </c>
    </row>
    <row r="25225">
      <c r="A25225" t="n">
        <v>25224</v>
      </c>
      <c r="B25225" t="inlineStr">
        <is>
          <t>x̄x̄V̅CCXXIV</t>
        </is>
      </c>
      <c r="C25225">
        <f>ROMAN(25224)</f>
        <v/>
      </c>
      <c r="D25225">
        <f>IF(B25225=C25225, "YES", "WRONG")</f>
        <v/>
      </c>
    </row>
    <row r="25226">
      <c r="A25226" t="n">
        <v>25225</v>
      </c>
      <c r="B25226" t="inlineStr">
        <is>
          <t>x̄x̄V̅CCXXV</t>
        </is>
      </c>
      <c r="C25226">
        <f>ROMAN(25225)</f>
        <v/>
      </c>
      <c r="D25226">
        <f>IF(B25226=C25226, "YES", "WRONG")</f>
        <v/>
      </c>
    </row>
    <row r="25227">
      <c r="A25227" t="n">
        <v>25226</v>
      </c>
      <c r="B25227" t="inlineStr">
        <is>
          <t>x̄x̄V̅CCXXVI</t>
        </is>
      </c>
      <c r="C25227">
        <f>ROMAN(25226)</f>
        <v/>
      </c>
      <c r="D25227">
        <f>IF(B25227=C25227, "YES", "WRONG")</f>
        <v/>
      </c>
    </row>
    <row r="25228">
      <c r="A25228" t="n">
        <v>25227</v>
      </c>
      <c r="B25228" t="inlineStr">
        <is>
          <t>x̄x̄V̅CCXXVII</t>
        </is>
      </c>
      <c r="C25228">
        <f>ROMAN(25227)</f>
        <v/>
      </c>
      <c r="D25228">
        <f>IF(B25228=C25228, "YES", "WRONG")</f>
        <v/>
      </c>
    </row>
    <row r="25229">
      <c r="A25229" t="n">
        <v>25228</v>
      </c>
      <c r="B25229" t="inlineStr">
        <is>
          <t>x̄x̄V̅CCXXVIII</t>
        </is>
      </c>
      <c r="C25229">
        <f>ROMAN(25228)</f>
        <v/>
      </c>
      <c r="D25229">
        <f>IF(B25229=C25229, "YES", "WRONG")</f>
        <v/>
      </c>
    </row>
    <row r="25230">
      <c r="A25230" t="n">
        <v>25229</v>
      </c>
      <c r="B25230" t="inlineStr">
        <is>
          <t>x̄x̄V̅CCXXIX</t>
        </is>
      </c>
      <c r="C25230">
        <f>ROMAN(25229)</f>
        <v/>
      </c>
      <c r="D25230">
        <f>IF(B25230=C25230, "YES", "WRONG")</f>
        <v/>
      </c>
    </row>
    <row r="25231">
      <c r="A25231" t="n">
        <v>25230</v>
      </c>
      <c r="B25231" t="inlineStr">
        <is>
          <t>x̄x̄V̅CCXXX</t>
        </is>
      </c>
      <c r="C25231">
        <f>ROMAN(25230)</f>
        <v/>
      </c>
      <c r="D25231">
        <f>IF(B25231=C25231, "YES", "WRONG")</f>
        <v/>
      </c>
    </row>
    <row r="25232">
      <c r="A25232" t="n">
        <v>25231</v>
      </c>
      <c r="B25232" t="inlineStr">
        <is>
          <t>x̄x̄V̅CCXXXI</t>
        </is>
      </c>
      <c r="C25232">
        <f>ROMAN(25231)</f>
        <v/>
      </c>
      <c r="D25232">
        <f>IF(B25232=C25232, "YES", "WRONG")</f>
        <v/>
      </c>
    </row>
    <row r="25233">
      <c r="A25233" t="n">
        <v>25232</v>
      </c>
      <c r="B25233" t="inlineStr">
        <is>
          <t>x̄x̄V̅CCXXXII</t>
        </is>
      </c>
      <c r="C25233">
        <f>ROMAN(25232)</f>
        <v/>
      </c>
      <c r="D25233">
        <f>IF(B25233=C25233, "YES", "WRONG")</f>
        <v/>
      </c>
    </row>
    <row r="25234">
      <c r="A25234" t="n">
        <v>25233</v>
      </c>
      <c r="B25234" t="inlineStr">
        <is>
          <t>x̄x̄V̅CCXXXIII</t>
        </is>
      </c>
      <c r="C25234">
        <f>ROMAN(25233)</f>
        <v/>
      </c>
      <c r="D25234">
        <f>IF(B25234=C25234, "YES", "WRONG")</f>
        <v/>
      </c>
    </row>
    <row r="25235">
      <c r="A25235" t="n">
        <v>25234</v>
      </c>
      <c r="B25235" t="inlineStr">
        <is>
          <t>x̄x̄V̅CCXXXIV</t>
        </is>
      </c>
      <c r="C25235">
        <f>ROMAN(25234)</f>
        <v/>
      </c>
      <c r="D25235">
        <f>IF(B25235=C25235, "YES", "WRONG")</f>
        <v/>
      </c>
    </row>
    <row r="25236">
      <c r="A25236" t="n">
        <v>25235</v>
      </c>
      <c r="B25236" t="inlineStr">
        <is>
          <t>x̄x̄V̅CCXXXV</t>
        </is>
      </c>
      <c r="C25236">
        <f>ROMAN(25235)</f>
        <v/>
      </c>
      <c r="D25236">
        <f>IF(B25236=C25236, "YES", "WRONG")</f>
        <v/>
      </c>
    </row>
    <row r="25237">
      <c r="A25237" t="n">
        <v>25236</v>
      </c>
      <c r="B25237" t="inlineStr">
        <is>
          <t>x̄x̄V̅CCXXXVI</t>
        </is>
      </c>
      <c r="C25237">
        <f>ROMAN(25236)</f>
        <v/>
      </c>
      <c r="D25237">
        <f>IF(B25237=C25237, "YES", "WRONG")</f>
        <v/>
      </c>
    </row>
    <row r="25238">
      <c r="A25238" t="n">
        <v>25237</v>
      </c>
      <c r="B25238" t="inlineStr">
        <is>
          <t>x̄x̄V̅CCXXXVII</t>
        </is>
      </c>
      <c r="C25238">
        <f>ROMAN(25237)</f>
        <v/>
      </c>
      <c r="D25238">
        <f>IF(B25238=C25238, "YES", "WRONG")</f>
        <v/>
      </c>
    </row>
    <row r="25239">
      <c r="A25239" t="n">
        <v>25238</v>
      </c>
      <c r="B25239" t="inlineStr">
        <is>
          <t>x̄x̄V̅CCXXXVIII</t>
        </is>
      </c>
      <c r="C25239">
        <f>ROMAN(25238)</f>
        <v/>
      </c>
      <c r="D25239">
        <f>IF(B25239=C25239, "YES", "WRONG")</f>
        <v/>
      </c>
    </row>
    <row r="25240">
      <c r="A25240" t="n">
        <v>25239</v>
      </c>
      <c r="B25240" t="inlineStr">
        <is>
          <t>x̄x̄V̅CCXXXIX</t>
        </is>
      </c>
      <c r="C25240">
        <f>ROMAN(25239)</f>
        <v/>
      </c>
      <c r="D25240">
        <f>IF(B25240=C25240, "YES", "WRONG")</f>
        <v/>
      </c>
    </row>
    <row r="25241">
      <c r="A25241" t="n">
        <v>25240</v>
      </c>
      <c r="B25241" t="inlineStr">
        <is>
          <t>x̄x̄V̅CCXL</t>
        </is>
      </c>
      <c r="C25241">
        <f>ROMAN(25240)</f>
        <v/>
      </c>
      <c r="D25241">
        <f>IF(B25241=C25241, "YES", "WRONG")</f>
        <v/>
      </c>
    </row>
    <row r="25242">
      <c r="A25242" t="n">
        <v>25241</v>
      </c>
      <c r="B25242" t="inlineStr">
        <is>
          <t>x̄x̄V̅CCXLI</t>
        </is>
      </c>
      <c r="C25242">
        <f>ROMAN(25241)</f>
        <v/>
      </c>
      <c r="D25242">
        <f>IF(B25242=C25242, "YES", "WRONG")</f>
        <v/>
      </c>
    </row>
    <row r="25243">
      <c r="A25243" t="n">
        <v>25242</v>
      </c>
      <c r="B25243" t="inlineStr">
        <is>
          <t>x̄x̄V̅CCXLII</t>
        </is>
      </c>
      <c r="C25243">
        <f>ROMAN(25242)</f>
        <v/>
      </c>
      <c r="D25243">
        <f>IF(B25243=C25243, "YES", "WRONG")</f>
        <v/>
      </c>
    </row>
    <row r="25244">
      <c r="A25244" t="n">
        <v>25243</v>
      </c>
      <c r="B25244" t="inlineStr">
        <is>
          <t>x̄x̄V̅CCXLIII</t>
        </is>
      </c>
      <c r="C25244">
        <f>ROMAN(25243)</f>
        <v/>
      </c>
      <c r="D25244">
        <f>IF(B25244=C25244, "YES", "WRONG")</f>
        <v/>
      </c>
    </row>
    <row r="25245">
      <c r="A25245" t="n">
        <v>25244</v>
      </c>
      <c r="B25245" t="inlineStr">
        <is>
          <t>x̄x̄V̅CCXLIV</t>
        </is>
      </c>
      <c r="C25245">
        <f>ROMAN(25244)</f>
        <v/>
      </c>
      <c r="D25245">
        <f>IF(B25245=C25245, "YES", "WRONG")</f>
        <v/>
      </c>
    </row>
    <row r="25246">
      <c r="A25246" t="n">
        <v>25245</v>
      </c>
      <c r="B25246" t="inlineStr">
        <is>
          <t>x̄x̄V̅CCXLV</t>
        </is>
      </c>
      <c r="C25246">
        <f>ROMAN(25245)</f>
        <v/>
      </c>
      <c r="D25246">
        <f>IF(B25246=C25246, "YES", "WRONG")</f>
        <v/>
      </c>
    </row>
    <row r="25247">
      <c r="A25247" t="n">
        <v>25246</v>
      </c>
      <c r="B25247" t="inlineStr">
        <is>
          <t>x̄x̄V̅CCXLVI</t>
        </is>
      </c>
      <c r="C25247">
        <f>ROMAN(25246)</f>
        <v/>
      </c>
      <c r="D25247">
        <f>IF(B25247=C25247, "YES", "WRONG")</f>
        <v/>
      </c>
    </row>
    <row r="25248">
      <c r="A25248" t="n">
        <v>25247</v>
      </c>
      <c r="B25248" t="inlineStr">
        <is>
          <t>x̄x̄V̅CCXLVII</t>
        </is>
      </c>
      <c r="C25248">
        <f>ROMAN(25247)</f>
        <v/>
      </c>
      <c r="D25248">
        <f>IF(B25248=C25248, "YES", "WRONG")</f>
        <v/>
      </c>
    </row>
    <row r="25249">
      <c r="A25249" t="n">
        <v>25248</v>
      </c>
      <c r="B25249" t="inlineStr">
        <is>
          <t>x̄x̄V̅CCXLVIII</t>
        </is>
      </c>
      <c r="C25249">
        <f>ROMAN(25248)</f>
        <v/>
      </c>
      <c r="D25249">
        <f>IF(B25249=C25249, "YES", "WRONG")</f>
        <v/>
      </c>
    </row>
    <row r="25250">
      <c r="A25250" t="n">
        <v>25249</v>
      </c>
      <c r="B25250" t="inlineStr">
        <is>
          <t>x̄x̄V̅CCXLIX</t>
        </is>
      </c>
      <c r="C25250">
        <f>ROMAN(25249)</f>
        <v/>
      </c>
      <c r="D25250">
        <f>IF(B25250=C25250, "YES", "WRONG")</f>
        <v/>
      </c>
    </row>
    <row r="25251">
      <c r="A25251" t="n">
        <v>25250</v>
      </c>
      <c r="B25251" t="inlineStr">
        <is>
          <t>x̄x̄V̅CCL</t>
        </is>
      </c>
      <c r="C25251">
        <f>ROMAN(25250)</f>
        <v/>
      </c>
      <c r="D25251">
        <f>IF(B25251=C25251, "YES", "WRONG")</f>
        <v/>
      </c>
    </row>
    <row r="25252">
      <c r="A25252" t="n">
        <v>25251</v>
      </c>
      <c r="B25252" t="inlineStr">
        <is>
          <t>x̄x̄V̅CCLI</t>
        </is>
      </c>
      <c r="C25252">
        <f>ROMAN(25251)</f>
        <v/>
      </c>
      <c r="D25252">
        <f>IF(B25252=C25252, "YES", "WRONG")</f>
        <v/>
      </c>
    </row>
    <row r="25253">
      <c r="A25253" t="n">
        <v>25252</v>
      </c>
      <c r="B25253" t="inlineStr">
        <is>
          <t>x̄x̄V̅CCLII</t>
        </is>
      </c>
      <c r="C25253">
        <f>ROMAN(25252)</f>
        <v/>
      </c>
      <c r="D25253">
        <f>IF(B25253=C25253, "YES", "WRONG")</f>
        <v/>
      </c>
    </row>
    <row r="25254">
      <c r="A25254" t="n">
        <v>25253</v>
      </c>
      <c r="B25254" t="inlineStr">
        <is>
          <t>x̄x̄V̅CCLIII</t>
        </is>
      </c>
      <c r="C25254">
        <f>ROMAN(25253)</f>
        <v/>
      </c>
      <c r="D25254">
        <f>IF(B25254=C25254, "YES", "WRONG")</f>
        <v/>
      </c>
    </row>
    <row r="25255">
      <c r="A25255" t="n">
        <v>25254</v>
      </c>
      <c r="B25255" t="inlineStr">
        <is>
          <t>x̄x̄V̅CCLIV</t>
        </is>
      </c>
      <c r="C25255">
        <f>ROMAN(25254)</f>
        <v/>
      </c>
      <c r="D25255">
        <f>IF(B25255=C25255, "YES", "WRONG")</f>
        <v/>
      </c>
    </row>
    <row r="25256">
      <c r="A25256" t="n">
        <v>25255</v>
      </c>
      <c r="B25256" t="inlineStr">
        <is>
          <t>x̄x̄V̅CCLV</t>
        </is>
      </c>
      <c r="C25256">
        <f>ROMAN(25255)</f>
        <v/>
      </c>
      <c r="D25256">
        <f>IF(B25256=C25256, "YES", "WRONG")</f>
        <v/>
      </c>
    </row>
    <row r="25257">
      <c r="A25257" t="n">
        <v>25256</v>
      </c>
      <c r="B25257" t="inlineStr">
        <is>
          <t>x̄x̄V̅CCLVI</t>
        </is>
      </c>
      <c r="C25257">
        <f>ROMAN(25256)</f>
        <v/>
      </c>
      <c r="D25257">
        <f>IF(B25257=C25257, "YES", "WRONG")</f>
        <v/>
      </c>
    </row>
    <row r="25258">
      <c r="A25258" t="n">
        <v>25257</v>
      </c>
      <c r="B25258" t="inlineStr">
        <is>
          <t>x̄x̄V̅CCLVII</t>
        </is>
      </c>
      <c r="C25258">
        <f>ROMAN(25257)</f>
        <v/>
      </c>
      <c r="D25258">
        <f>IF(B25258=C25258, "YES", "WRONG")</f>
        <v/>
      </c>
    </row>
    <row r="25259">
      <c r="A25259" t="n">
        <v>25258</v>
      </c>
      <c r="B25259" t="inlineStr">
        <is>
          <t>x̄x̄V̅CCLVIII</t>
        </is>
      </c>
      <c r="C25259">
        <f>ROMAN(25258)</f>
        <v/>
      </c>
      <c r="D25259">
        <f>IF(B25259=C25259, "YES", "WRONG")</f>
        <v/>
      </c>
    </row>
    <row r="25260">
      <c r="A25260" t="n">
        <v>25259</v>
      </c>
      <c r="B25260" t="inlineStr">
        <is>
          <t>x̄x̄V̅CCLIX</t>
        </is>
      </c>
      <c r="C25260">
        <f>ROMAN(25259)</f>
        <v/>
      </c>
      <c r="D25260">
        <f>IF(B25260=C25260, "YES", "WRONG")</f>
        <v/>
      </c>
    </row>
    <row r="25261">
      <c r="A25261" t="n">
        <v>25260</v>
      </c>
      <c r="B25261" t="inlineStr">
        <is>
          <t>x̄x̄V̅CCLX</t>
        </is>
      </c>
      <c r="C25261">
        <f>ROMAN(25260)</f>
        <v/>
      </c>
      <c r="D25261">
        <f>IF(B25261=C25261, "YES", "WRONG")</f>
        <v/>
      </c>
    </row>
    <row r="25262">
      <c r="A25262" t="n">
        <v>25261</v>
      </c>
      <c r="B25262" t="inlineStr">
        <is>
          <t>x̄x̄V̅CCLXI</t>
        </is>
      </c>
      <c r="C25262">
        <f>ROMAN(25261)</f>
        <v/>
      </c>
      <c r="D25262">
        <f>IF(B25262=C25262, "YES", "WRONG")</f>
        <v/>
      </c>
    </row>
    <row r="25263">
      <c r="A25263" t="n">
        <v>25262</v>
      </c>
      <c r="B25263" t="inlineStr">
        <is>
          <t>x̄x̄V̅CCLXII</t>
        </is>
      </c>
      <c r="C25263">
        <f>ROMAN(25262)</f>
        <v/>
      </c>
      <c r="D25263">
        <f>IF(B25263=C25263, "YES", "WRONG")</f>
        <v/>
      </c>
    </row>
    <row r="25264">
      <c r="A25264" t="n">
        <v>25263</v>
      </c>
      <c r="B25264" t="inlineStr">
        <is>
          <t>x̄x̄V̅CCLXIII</t>
        </is>
      </c>
      <c r="C25264">
        <f>ROMAN(25263)</f>
        <v/>
      </c>
      <c r="D25264">
        <f>IF(B25264=C25264, "YES", "WRONG")</f>
        <v/>
      </c>
    </row>
    <row r="25265">
      <c r="A25265" t="n">
        <v>25264</v>
      </c>
      <c r="B25265" t="inlineStr">
        <is>
          <t>x̄x̄V̅CCLXIV</t>
        </is>
      </c>
      <c r="C25265">
        <f>ROMAN(25264)</f>
        <v/>
      </c>
      <c r="D25265">
        <f>IF(B25265=C25265, "YES", "WRONG")</f>
        <v/>
      </c>
    </row>
    <row r="25266">
      <c r="A25266" t="n">
        <v>25265</v>
      </c>
      <c r="B25266" t="inlineStr">
        <is>
          <t>x̄x̄V̅CCLXV</t>
        </is>
      </c>
      <c r="C25266">
        <f>ROMAN(25265)</f>
        <v/>
      </c>
      <c r="D25266">
        <f>IF(B25266=C25266, "YES", "WRONG")</f>
        <v/>
      </c>
    </row>
    <row r="25267">
      <c r="A25267" t="n">
        <v>25266</v>
      </c>
      <c r="B25267" t="inlineStr">
        <is>
          <t>x̄x̄V̅CCLXVI</t>
        </is>
      </c>
      <c r="C25267">
        <f>ROMAN(25266)</f>
        <v/>
      </c>
      <c r="D25267">
        <f>IF(B25267=C25267, "YES", "WRONG")</f>
        <v/>
      </c>
    </row>
    <row r="25268">
      <c r="A25268" t="n">
        <v>25267</v>
      </c>
      <c r="B25268" t="inlineStr">
        <is>
          <t>x̄x̄V̅CCLXVII</t>
        </is>
      </c>
      <c r="C25268">
        <f>ROMAN(25267)</f>
        <v/>
      </c>
      <c r="D25268">
        <f>IF(B25268=C25268, "YES", "WRONG")</f>
        <v/>
      </c>
    </row>
    <row r="25269">
      <c r="A25269" t="n">
        <v>25268</v>
      </c>
      <c r="B25269" t="inlineStr">
        <is>
          <t>x̄x̄V̅CCLXVIII</t>
        </is>
      </c>
      <c r="C25269">
        <f>ROMAN(25268)</f>
        <v/>
      </c>
      <c r="D25269">
        <f>IF(B25269=C25269, "YES", "WRONG")</f>
        <v/>
      </c>
    </row>
    <row r="25270">
      <c r="A25270" t="n">
        <v>25269</v>
      </c>
      <c r="B25270" t="inlineStr">
        <is>
          <t>x̄x̄V̅CCLXIX</t>
        </is>
      </c>
      <c r="C25270">
        <f>ROMAN(25269)</f>
        <v/>
      </c>
      <c r="D25270">
        <f>IF(B25270=C25270, "YES", "WRONG")</f>
        <v/>
      </c>
    </row>
    <row r="25271">
      <c r="A25271" t="n">
        <v>25270</v>
      </c>
      <c r="B25271" t="inlineStr">
        <is>
          <t>x̄x̄V̅CCLXX</t>
        </is>
      </c>
      <c r="C25271">
        <f>ROMAN(25270)</f>
        <v/>
      </c>
      <c r="D25271">
        <f>IF(B25271=C25271, "YES", "WRONG")</f>
        <v/>
      </c>
    </row>
    <row r="25272">
      <c r="A25272" t="n">
        <v>25271</v>
      </c>
      <c r="B25272" t="inlineStr">
        <is>
          <t>x̄x̄V̅CCLXXI</t>
        </is>
      </c>
      <c r="C25272">
        <f>ROMAN(25271)</f>
        <v/>
      </c>
      <c r="D25272">
        <f>IF(B25272=C25272, "YES", "WRONG")</f>
        <v/>
      </c>
    </row>
    <row r="25273">
      <c r="A25273" t="n">
        <v>25272</v>
      </c>
      <c r="B25273" t="inlineStr">
        <is>
          <t>x̄x̄V̅CCLXXII</t>
        </is>
      </c>
      <c r="C25273">
        <f>ROMAN(25272)</f>
        <v/>
      </c>
      <c r="D25273">
        <f>IF(B25273=C25273, "YES", "WRONG")</f>
        <v/>
      </c>
    </row>
    <row r="25274">
      <c r="A25274" t="n">
        <v>25273</v>
      </c>
      <c r="B25274" t="inlineStr">
        <is>
          <t>x̄x̄V̅CCLXXIII</t>
        </is>
      </c>
      <c r="C25274">
        <f>ROMAN(25273)</f>
        <v/>
      </c>
      <c r="D25274">
        <f>IF(B25274=C25274, "YES", "WRONG")</f>
        <v/>
      </c>
    </row>
    <row r="25275">
      <c r="A25275" t="n">
        <v>25274</v>
      </c>
      <c r="B25275" t="inlineStr">
        <is>
          <t>x̄x̄V̅CCLXXIV</t>
        </is>
      </c>
      <c r="C25275">
        <f>ROMAN(25274)</f>
        <v/>
      </c>
      <c r="D25275">
        <f>IF(B25275=C25275, "YES", "WRONG")</f>
        <v/>
      </c>
    </row>
    <row r="25276">
      <c r="A25276" t="n">
        <v>25275</v>
      </c>
      <c r="B25276" t="inlineStr">
        <is>
          <t>x̄x̄V̅CCLXXV</t>
        </is>
      </c>
      <c r="C25276">
        <f>ROMAN(25275)</f>
        <v/>
      </c>
      <c r="D25276">
        <f>IF(B25276=C25276, "YES", "WRONG")</f>
        <v/>
      </c>
    </row>
    <row r="25277">
      <c r="A25277" t="n">
        <v>25276</v>
      </c>
      <c r="B25277" t="inlineStr">
        <is>
          <t>x̄x̄V̅CCLXXVI</t>
        </is>
      </c>
      <c r="C25277">
        <f>ROMAN(25276)</f>
        <v/>
      </c>
      <c r="D25277">
        <f>IF(B25277=C25277, "YES", "WRONG")</f>
        <v/>
      </c>
    </row>
    <row r="25278">
      <c r="A25278" t="n">
        <v>25277</v>
      </c>
      <c r="B25278" t="inlineStr">
        <is>
          <t>x̄x̄V̅CCLXXVII</t>
        </is>
      </c>
      <c r="C25278">
        <f>ROMAN(25277)</f>
        <v/>
      </c>
      <c r="D25278">
        <f>IF(B25278=C25278, "YES", "WRONG")</f>
        <v/>
      </c>
    </row>
    <row r="25279">
      <c r="A25279" t="n">
        <v>25278</v>
      </c>
      <c r="B25279" t="inlineStr">
        <is>
          <t>x̄x̄V̅CCLXXVIII</t>
        </is>
      </c>
      <c r="C25279">
        <f>ROMAN(25278)</f>
        <v/>
      </c>
      <c r="D25279">
        <f>IF(B25279=C25279, "YES", "WRONG")</f>
        <v/>
      </c>
    </row>
    <row r="25280">
      <c r="A25280" t="n">
        <v>25279</v>
      </c>
      <c r="B25280" t="inlineStr">
        <is>
          <t>x̄x̄V̅CCLXXIX</t>
        </is>
      </c>
      <c r="C25280">
        <f>ROMAN(25279)</f>
        <v/>
      </c>
      <c r="D25280">
        <f>IF(B25280=C25280, "YES", "WRONG")</f>
        <v/>
      </c>
    </row>
    <row r="25281">
      <c r="A25281" t="n">
        <v>25280</v>
      </c>
      <c r="B25281" t="inlineStr">
        <is>
          <t>x̄x̄V̅CCLXXX</t>
        </is>
      </c>
      <c r="C25281">
        <f>ROMAN(25280)</f>
        <v/>
      </c>
      <c r="D25281">
        <f>IF(B25281=C25281, "YES", "WRONG")</f>
        <v/>
      </c>
    </row>
    <row r="25282">
      <c r="A25282" t="n">
        <v>25281</v>
      </c>
      <c r="B25282" t="inlineStr">
        <is>
          <t>x̄x̄V̅CCLXXXI</t>
        </is>
      </c>
      <c r="C25282">
        <f>ROMAN(25281)</f>
        <v/>
      </c>
      <c r="D25282">
        <f>IF(B25282=C25282, "YES", "WRONG")</f>
        <v/>
      </c>
    </row>
    <row r="25283">
      <c r="A25283" t="n">
        <v>25282</v>
      </c>
      <c r="B25283" t="inlineStr">
        <is>
          <t>x̄x̄V̅CCLXXXII</t>
        </is>
      </c>
      <c r="C25283">
        <f>ROMAN(25282)</f>
        <v/>
      </c>
      <c r="D25283">
        <f>IF(B25283=C25283, "YES", "WRONG")</f>
        <v/>
      </c>
    </row>
    <row r="25284">
      <c r="A25284" t="n">
        <v>25283</v>
      </c>
      <c r="B25284" t="inlineStr">
        <is>
          <t>x̄x̄V̅CCLXXXIII</t>
        </is>
      </c>
      <c r="C25284">
        <f>ROMAN(25283)</f>
        <v/>
      </c>
      <c r="D25284">
        <f>IF(B25284=C25284, "YES", "WRONG")</f>
        <v/>
      </c>
    </row>
    <row r="25285">
      <c r="A25285" t="n">
        <v>25284</v>
      </c>
      <c r="B25285" t="inlineStr">
        <is>
          <t>x̄x̄V̅CCLXXXIV</t>
        </is>
      </c>
      <c r="C25285">
        <f>ROMAN(25284)</f>
        <v/>
      </c>
      <c r="D25285">
        <f>IF(B25285=C25285, "YES", "WRONG")</f>
        <v/>
      </c>
    </row>
    <row r="25286">
      <c r="A25286" t="n">
        <v>25285</v>
      </c>
      <c r="B25286" t="inlineStr">
        <is>
          <t>x̄x̄V̅CCLXXXV</t>
        </is>
      </c>
      <c r="C25286">
        <f>ROMAN(25285)</f>
        <v/>
      </c>
      <c r="D25286">
        <f>IF(B25286=C25286, "YES", "WRONG")</f>
        <v/>
      </c>
    </row>
    <row r="25287">
      <c r="A25287" t="n">
        <v>25286</v>
      </c>
      <c r="B25287" t="inlineStr">
        <is>
          <t>x̄x̄V̅CCLXXXVI</t>
        </is>
      </c>
      <c r="C25287">
        <f>ROMAN(25286)</f>
        <v/>
      </c>
      <c r="D25287">
        <f>IF(B25287=C25287, "YES", "WRONG")</f>
        <v/>
      </c>
    </row>
    <row r="25288">
      <c r="A25288" t="n">
        <v>25287</v>
      </c>
      <c r="B25288" t="inlineStr">
        <is>
          <t>x̄x̄V̅CCLXXXVII</t>
        </is>
      </c>
      <c r="C25288">
        <f>ROMAN(25287)</f>
        <v/>
      </c>
      <c r="D25288">
        <f>IF(B25288=C25288, "YES", "WRONG")</f>
        <v/>
      </c>
    </row>
    <row r="25289">
      <c r="A25289" t="n">
        <v>25288</v>
      </c>
      <c r="B25289" t="inlineStr">
        <is>
          <t>x̄x̄V̅CCLXXXVIII</t>
        </is>
      </c>
      <c r="C25289">
        <f>ROMAN(25288)</f>
        <v/>
      </c>
      <c r="D25289">
        <f>IF(B25289=C25289, "YES", "WRONG")</f>
        <v/>
      </c>
    </row>
    <row r="25290">
      <c r="A25290" t="n">
        <v>25289</v>
      </c>
      <c r="B25290" t="inlineStr">
        <is>
          <t>x̄x̄V̅CCLXXXIX</t>
        </is>
      </c>
      <c r="C25290">
        <f>ROMAN(25289)</f>
        <v/>
      </c>
      <c r="D25290">
        <f>IF(B25290=C25290, "YES", "WRONG")</f>
        <v/>
      </c>
    </row>
    <row r="25291">
      <c r="A25291" t="n">
        <v>25290</v>
      </c>
      <c r="B25291" t="inlineStr">
        <is>
          <t>x̄x̄V̅CCXC</t>
        </is>
      </c>
      <c r="C25291">
        <f>ROMAN(25290)</f>
        <v/>
      </c>
      <c r="D25291">
        <f>IF(B25291=C25291, "YES", "WRONG")</f>
        <v/>
      </c>
    </row>
    <row r="25292">
      <c r="A25292" t="n">
        <v>25291</v>
      </c>
      <c r="B25292" t="inlineStr">
        <is>
          <t>x̄x̄V̅CCXCI</t>
        </is>
      </c>
      <c r="C25292">
        <f>ROMAN(25291)</f>
        <v/>
      </c>
      <c r="D25292">
        <f>IF(B25292=C25292, "YES", "WRONG")</f>
        <v/>
      </c>
    </row>
    <row r="25293">
      <c r="A25293" t="n">
        <v>25292</v>
      </c>
      <c r="B25293" t="inlineStr">
        <is>
          <t>x̄x̄V̅CCXCII</t>
        </is>
      </c>
      <c r="C25293">
        <f>ROMAN(25292)</f>
        <v/>
      </c>
      <c r="D25293">
        <f>IF(B25293=C25293, "YES", "WRONG")</f>
        <v/>
      </c>
    </row>
    <row r="25294">
      <c r="A25294" t="n">
        <v>25293</v>
      </c>
      <c r="B25294" t="inlineStr">
        <is>
          <t>x̄x̄V̅CCXCIII</t>
        </is>
      </c>
      <c r="C25294">
        <f>ROMAN(25293)</f>
        <v/>
      </c>
      <c r="D25294">
        <f>IF(B25294=C25294, "YES", "WRONG")</f>
        <v/>
      </c>
    </row>
    <row r="25295">
      <c r="A25295" t="n">
        <v>25294</v>
      </c>
      <c r="B25295" t="inlineStr">
        <is>
          <t>x̄x̄V̅CCXCIV</t>
        </is>
      </c>
      <c r="C25295">
        <f>ROMAN(25294)</f>
        <v/>
      </c>
      <c r="D25295">
        <f>IF(B25295=C25295, "YES", "WRONG")</f>
        <v/>
      </c>
    </row>
    <row r="25296">
      <c r="A25296" t="n">
        <v>25295</v>
      </c>
      <c r="B25296" t="inlineStr">
        <is>
          <t>x̄x̄V̅CCXCV</t>
        </is>
      </c>
      <c r="C25296">
        <f>ROMAN(25295)</f>
        <v/>
      </c>
      <c r="D25296">
        <f>IF(B25296=C25296, "YES", "WRONG")</f>
        <v/>
      </c>
    </row>
    <row r="25297">
      <c r="A25297" t="n">
        <v>25296</v>
      </c>
      <c r="B25297" t="inlineStr">
        <is>
          <t>x̄x̄V̅CCXCVI</t>
        </is>
      </c>
      <c r="C25297">
        <f>ROMAN(25296)</f>
        <v/>
      </c>
      <c r="D25297">
        <f>IF(B25297=C25297, "YES", "WRONG")</f>
        <v/>
      </c>
    </row>
    <row r="25298">
      <c r="A25298" t="n">
        <v>25297</v>
      </c>
      <c r="B25298" t="inlineStr">
        <is>
          <t>x̄x̄V̅CCXCVII</t>
        </is>
      </c>
      <c r="C25298">
        <f>ROMAN(25297)</f>
        <v/>
      </c>
      <c r="D25298">
        <f>IF(B25298=C25298, "YES", "WRONG")</f>
        <v/>
      </c>
    </row>
    <row r="25299">
      <c r="A25299" t="n">
        <v>25298</v>
      </c>
      <c r="B25299" t="inlineStr">
        <is>
          <t>x̄x̄V̅CCXCVIII</t>
        </is>
      </c>
      <c r="C25299">
        <f>ROMAN(25298)</f>
        <v/>
      </c>
      <c r="D25299">
        <f>IF(B25299=C25299, "YES", "WRONG")</f>
        <v/>
      </c>
    </row>
    <row r="25300">
      <c r="A25300" t="n">
        <v>25299</v>
      </c>
      <c r="B25300" t="inlineStr">
        <is>
          <t>x̄x̄V̅CCXCIX</t>
        </is>
      </c>
      <c r="C25300">
        <f>ROMAN(25299)</f>
        <v/>
      </c>
      <c r="D25300">
        <f>IF(B25300=C25300, "YES", "WRONG")</f>
        <v/>
      </c>
    </row>
    <row r="25301">
      <c r="A25301" t="n">
        <v>25300</v>
      </c>
      <c r="B25301" t="inlineStr">
        <is>
          <t>x̄x̄V̅CCC</t>
        </is>
      </c>
      <c r="C25301">
        <f>ROMAN(25300)</f>
        <v/>
      </c>
      <c r="D25301">
        <f>IF(B25301=C25301, "YES", "WRONG")</f>
        <v/>
      </c>
    </row>
    <row r="25302">
      <c r="A25302" t="n">
        <v>25301</v>
      </c>
      <c r="B25302" t="inlineStr">
        <is>
          <t>x̄x̄V̅CCCI</t>
        </is>
      </c>
      <c r="C25302">
        <f>ROMAN(25301)</f>
        <v/>
      </c>
      <c r="D25302">
        <f>IF(B25302=C25302, "YES", "WRONG")</f>
        <v/>
      </c>
    </row>
    <row r="25303">
      <c r="A25303" t="n">
        <v>25302</v>
      </c>
      <c r="B25303" t="inlineStr">
        <is>
          <t>x̄x̄V̅CCCII</t>
        </is>
      </c>
      <c r="C25303">
        <f>ROMAN(25302)</f>
        <v/>
      </c>
      <c r="D25303">
        <f>IF(B25303=C25303, "YES", "WRONG")</f>
        <v/>
      </c>
    </row>
    <row r="25304">
      <c r="A25304" t="n">
        <v>25303</v>
      </c>
      <c r="B25304" t="inlineStr">
        <is>
          <t>x̄x̄V̅CCCIII</t>
        </is>
      </c>
      <c r="C25304">
        <f>ROMAN(25303)</f>
        <v/>
      </c>
      <c r="D25304">
        <f>IF(B25304=C25304, "YES", "WRONG")</f>
        <v/>
      </c>
    </row>
    <row r="25305">
      <c r="A25305" t="n">
        <v>25304</v>
      </c>
      <c r="B25305" t="inlineStr">
        <is>
          <t>x̄x̄V̅CCCIV</t>
        </is>
      </c>
      <c r="C25305">
        <f>ROMAN(25304)</f>
        <v/>
      </c>
      <c r="D25305">
        <f>IF(B25305=C25305, "YES", "WRONG")</f>
        <v/>
      </c>
    </row>
    <row r="25306">
      <c r="A25306" t="n">
        <v>25305</v>
      </c>
      <c r="B25306" t="inlineStr">
        <is>
          <t>x̄x̄V̅CCCV</t>
        </is>
      </c>
      <c r="C25306">
        <f>ROMAN(25305)</f>
        <v/>
      </c>
      <c r="D25306">
        <f>IF(B25306=C25306, "YES", "WRONG")</f>
        <v/>
      </c>
    </row>
    <row r="25307">
      <c r="A25307" t="n">
        <v>25306</v>
      </c>
      <c r="B25307" t="inlineStr">
        <is>
          <t>x̄x̄V̅CCCVI</t>
        </is>
      </c>
      <c r="C25307">
        <f>ROMAN(25306)</f>
        <v/>
      </c>
      <c r="D25307">
        <f>IF(B25307=C25307, "YES", "WRONG")</f>
        <v/>
      </c>
    </row>
    <row r="25308">
      <c r="A25308" t="n">
        <v>25307</v>
      </c>
      <c r="B25308" t="inlineStr">
        <is>
          <t>x̄x̄V̅CCCVII</t>
        </is>
      </c>
      <c r="C25308">
        <f>ROMAN(25307)</f>
        <v/>
      </c>
      <c r="D25308">
        <f>IF(B25308=C25308, "YES", "WRONG")</f>
        <v/>
      </c>
    </row>
    <row r="25309">
      <c r="A25309" t="n">
        <v>25308</v>
      </c>
      <c r="B25309" t="inlineStr">
        <is>
          <t>x̄x̄V̅CCCVIII</t>
        </is>
      </c>
      <c r="C25309">
        <f>ROMAN(25308)</f>
        <v/>
      </c>
      <c r="D25309">
        <f>IF(B25309=C25309, "YES", "WRONG")</f>
        <v/>
      </c>
    </row>
    <row r="25310">
      <c r="A25310" t="n">
        <v>25309</v>
      </c>
      <c r="B25310" t="inlineStr">
        <is>
          <t>x̄x̄V̅CCCIX</t>
        </is>
      </c>
      <c r="C25310">
        <f>ROMAN(25309)</f>
        <v/>
      </c>
      <c r="D25310">
        <f>IF(B25310=C25310, "YES", "WRONG")</f>
        <v/>
      </c>
    </row>
    <row r="25311">
      <c r="A25311" t="n">
        <v>25310</v>
      </c>
      <c r="B25311" t="inlineStr">
        <is>
          <t>x̄x̄V̅CCCX</t>
        </is>
      </c>
      <c r="C25311">
        <f>ROMAN(25310)</f>
        <v/>
      </c>
      <c r="D25311">
        <f>IF(B25311=C25311, "YES", "WRONG")</f>
        <v/>
      </c>
    </row>
    <row r="25312">
      <c r="A25312" t="n">
        <v>25311</v>
      </c>
      <c r="B25312" t="inlineStr">
        <is>
          <t>x̄x̄V̅CCCXI</t>
        </is>
      </c>
      <c r="C25312">
        <f>ROMAN(25311)</f>
        <v/>
      </c>
      <c r="D25312">
        <f>IF(B25312=C25312, "YES", "WRONG")</f>
        <v/>
      </c>
    </row>
    <row r="25313">
      <c r="A25313" t="n">
        <v>25312</v>
      </c>
      <c r="B25313" t="inlineStr">
        <is>
          <t>x̄x̄V̅CCCXII</t>
        </is>
      </c>
      <c r="C25313">
        <f>ROMAN(25312)</f>
        <v/>
      </c>
      <c r="D25313">
        <f>IF(B25313=C25313, "YES", "WRONG")</f>
        <v/>
      </c>
    </row>
    <row r="25314">
      <c r="A25314" t="n">
        <v>25313</v>
      </c>
      <c r="B25314" t="inlineStr">
        <is>
          <t>x̄x̄V̅CCCXIII</t>
        </is>
      </c>
      <c r="C25314">
        <f>ROMAN(25313)</f>
        <v/>
      </c>
      <c r="D25314">
        <f>IF(B25314=C25314, "YES", "WRONG")</f>
        <v/>
      </c>
    </row>
    <row r="25315">
      <c r="A25315" t="n">
        <v>25314</v>
      </c>
      <c r="B25315" t="inlineStr">
        <is>
          <t>x̄x̄V̅CCCXIV</t>
        </is>
      </c>
      <c r="C25315">
        <f>ROMAN(25314)</f>
        <v/>
      </c>
      <c r="D25315">
        <f>IF(B25315=C25315, "YES", "WRONG")</f>
        <v/>
      </c>
    </row>
    <row r="25316">
      <c r="A25316" t="n">
        <v>25315</v>
      </c>
      <c r="B25316" t="inlineStr">
        <is>
          <t>x̄x̄V̅CCCXV</t>
        </is>
      </c>
      <c r="C25316">
        <f>ROMAN(25315)</f>
        <v/>
      </c>
      <c r="D25316">
        <f>IF(B25316=C25316, "YES", "WRONG")</f>
        <v/>
      </c>
    </row>
    <row r="25317">
      <c r="A25317" t="n">
        <v>25316</v>
      </c>
      <c r="B25317" t="inlineStr">
        <is>
          <t>x̄x̄V̅CCCXVI</t>
        </is>
      </c>
      <c r="C25317">
        <f>ROMAN(25316)</f>
        <v/>
      </c>
      <c r="D25317">
        <f>IF(B25317=C25317, "YES", "WRONG")</f>
        <v/>
      </c>
    </row>
    <row r="25318">
      <c r="A25318" t="n">
        <v>25317</v>
      </c>
      <c r="B25318" t="inlineStr">
        <is>
          <t>x̄x̄V̅CCCXVII</t>
        </is>
      </c>
      <c r="C25318">
        <f>ROMAN(25317)</f>
        <v/>
      </c>
      <c r="D25318">
        <f>IF(B25318=C25318, "YES", "WRONG")</f>
        <v/>
      </c>
    </row>
    <row r="25319">
      <c r="A25319" t="n">
        <v>25318</v>
      </c>
      <c r="B25319" t="inlineStr">
        <is>
          <t>x̄x̄V̅CCCXVIII</t>
        </is>
      </c>
      <c r="C25319">
        <f>ROMAN(25318)</f>
        <v/>
      </c>
      <c r="D25319">
        <f>IF(B25319=C25319, "YES", "WRONG")</f>
        <v/>
      </c>
    </row>
    <row r="25320">
      <c r="A25320" t="n">
        <v>25319</v>
      </c>
      <c r="B25320" t="inlineStr">
        <is>
          <t>x̄x̄V̅CCCXIX</t>
        </is>
      </c>
      <c r="C25320">
        <f>ROMAN(25319)</f>
        <v/>
      </c>
      <c r="D25320">
        <f>IF(B25320=C25320, "YES", "WRONG")</f>
        <v/>
      </c>
    </row>
    <row r="25321">
      <c r="A25321" t="n">
        <v>25320</v>
      </c>
      <c r="B25321" t="inlineStr">
        <is>
          <t>x̄x̄V̅CCCXX</t>
        </is>
      </c>
      <c r="C25321">
        <f>ROMAN(25320)</f>
        <v/>
      </c>
      <c r="D25321">
        <f>IF(B25321=C25321, "YES", "WRONG")</f>
        <v/>
      </c>
    </row>
    <row r="25322">
      <c r="A25322" t="n">
        <v>25321</v>
      </c>
      <c r="B25322" t="inlineStr">
        <is>
          <t>x̄x̄V̅CCCXXI</t>
        </is>
      </c>
      <c r="C25322">
        <f>ROMAN(25321)</f>
        <v/>
      </c>
      <c r="D25322">
        <f>IF(B25322=C25322, "YES", "WRONG")</f>
        <v/>
      </c>
    </row>
    <row r="25323">
      <c r="A25323" t="n">
        <v>25322</v>
      </c>
      <c r="B25323" t="inlineStr">
        <is>
          <t>x̄x̄V̅CCCXXII</t>
        </is>
      </c>
      <c r="C25323">
        <f>ROMAN(25322)</f>
        <v/>
      </c>
      <c r="D25323">
        <f>IF(B25323=C25323, "YES", "WRONG")</f>
        <v/>
      </c>
    </row>
    <row r="25324">
      <c r="A25324" t="n">
        <v>25323</v>
      </c>
      <c r="B25324" t="inlineStr">
        <is>
          <t>x̄x̄V̅CCCXXIII</t>
        </is>
      </c>
      <c r="C25324">
        <f>ROMAN(25323)</f>
        <v/>
      </c>
      <c r="D25324">
        <f>IF(B25324=C25324, "YES", "WRONG")</f>
        <v/>
      </c>
    </row>
    <row r="25325">
      <c r="A25325" t="n">
        <v>25324</v>
      </c>
      <c r="B25325" t="inlineStr">
        <is>
          <t>x̄x̄V̅CCCXXIV</t>
        </is>
      </c>
      <c r="C25325">
        <f>ROMAN(25324)</f>
        <v/>
      </c>
      <c r="D25325">
        <f>IF(B25325=C25325, "YES", "WRONG")</f>
        <v/>
      </c>
    </row>
    <row r="25326">
      <c r="A25326" t="n">
        <v>25325</v>
      </c>
      <c r="B25326" t="inlineStr">
        <is>
          <t>x̄x̄V̅CCCXXV</t>
        </is>
      </c>
      <c r="C25326">
        <f>ROMAN(25325)</f>
        <v/>
      </c>
      <c r="D25326">
        <f>IF(B25326=C25326, "YES", "WRONG")</f>
        <v/>
      </c>
    </row>
    <row r="25327">
      <c r="A25327" t="n">
        <v>25326</v>
      </c>
      <c r="B25327" t="inlineStr">
        <is>
          <t>x̄x̄V̅CCCXXVI</t>
        </is>
      </c>
      <c r="C25327">
        <f>ROMAN(25326)</f>
        <v/>
      </c>
      <c r="D25327">
        <f>IF(B25327=C25327, "YES", "WRONG")</f>
        <v/>
      </c>
    </row>
    <row r="25328">
      <c r="A25328" t="n">
        <v>25327</v>
      </c>
      <c r="B25328" t="inlineStr">
        <is>
          <t>x̄x̄V̅CCCXXVII</t>
        </is>
      </c>
      <c r="C25328">
        <f>ROMAN(25327)</f>
        <v/>
      </c>
      <c r="D25328">
        <f>IF(B25328=C25328, "YES", "WRONG")</f>
        <v/>
      </c>
    </row>
    <row r="25329">
      <c r="A25329" t="n">
        <v>25328</v>
      </c>
      <c r="B25329" t="inlineStr">
        <is>
          <t>x̄x̄V̅CCCXXVIII</t>
        </is>
      </c>
      <c r="C25329">
        <f>ROMAN(25328)</f>
        <v/>
      </c>
      <c r="D25329">
        <f>IF(B25329=C25329, "YES", "WRONG")</f>
        <v/>
      </c>
    </row>
    <row r="25330">
      <c r="A25330" t="n">
        <v>25329</v>
      </c>
      <c r="B25330" t="inlineStr">
        <is>
          <t>x̄x̄V̅CCCXXIX</t>
        </is>
      </c>
      <c r="C25330">
        <f>ROMAN(25329)</f>
        <v/>
      </c>
      <c r="D25330">
        <f>IF(B25330=C25330, "YES", "WRONG")</f>
        <v/>
      </c>
    </row>
    <row r="25331">
      <c r="A25331" t="n">
        <v>25330</v>
      </c>
      <c r="B25331" t="inlineStr">
        <is>
          <t>x̄x̄V̅CCCXXX</t>
        </is>
      </c>
      <c r="C25331">
        <f>ROMAN(25330)</f>
        <v/>
      </c>
      <c r="D25331">
        <f>IF(B25331=C25331, "YES", "WRONG")</f>
        <v/>
      </c>
    </row>
    <row r="25332">
      <c r="A25332" t="n">
        <v>25331</v>
      </c>
      <c r="B25332" t="inlineStr">
        <is>
          <t>x̄x̄V̅CCCXXXI</t>
        </is>
      </c>
      <c r="C25332">
        <f>ROMAN(25331)</f>
        <v/>
      </c>
      <c r="D25332">
        <f>IF(B25332=C25332, "YES", "WRONG")</f>
        <v/>
      </c>
    </row>
    <row r="25333">
      <c r="A25333" t="n">
        <v>25332</v>
      </c>
      <c r="B25333" t="inlineStr">
        <is>
          <t>x̄x̄V̅CCCXXXII</t>
        </is>
      </c>
      <c r="C25333">
        <f>ROMAN(25332)</f>
        <v/>
      </c>
      <c r="D25333">
        <f>IF(B25333=C25333, "YES", "WRONG")</f>
        <v/>
      </c>
    </row>
    <row r="25334">
      <c r="A25334" t="n">
        <v>25333</v>
      </c>
      <c r="B25334" t="inlineStr">
        <is>
          <t>x̄x̄V̅CCCXXXIII</t>
        </is>
      </c>
      <c r="C25334">
        <f>ROMAN(25333)</f>
        <v/>
      </c>
      <c r="D25334">
        <f>IF(B25334=C25334, "YES", "WRONG")</f>
        <v/>
      </c>
    </row>
    <row r="25335">
      <c r="A25335" t="n">
        <v>25334</v>
      </c>
      <c r="B25335" t="inlineStr">
        <is>
          <t>x̄x̄V̅CCCXXXIV</t>
        </is>
      </c>
      <c r="C25335">
        <f>ROMAN(25334)</f>
        <v/>
      </c>
      <c r="D25335">
        <f>IF(B25335=C25335, "YES", "WRONG")</f>
        <v/>
      </c>
    </row>
    <row r="25336">
      <c r="A25336" t="n">
        <v>25335</v>
      </c>
      <c r="B25336" t="inlineStr">
        <is>
          <t>x̄x̄V̅CCCXXXV</t>
        </is>
      </c>
      <c r="C25336">
        <f>ROMAN(25335)</f>
        <v/>
      </c>
      <c r="D25336">
        <f>IF(B25336=C25336, "YES", "WRONG")</f>
        <v/>
      </c>
    </row>
    <row r="25337">
      <c r="A25337" t="n">
        <v>25336</v>
      </c>
      <c r="B25337" t="inlineStr">
        <is>
          <t>x̄x̄V̅CCCXXXVI</t>
        </is>
      </c>
      <c r="C25337">
        <f>ROMAN(25336)</f>
        <v/>
      </c>
      <c r="D25337">
        <f>IF(B25337=C25337, "YES", "WRONG")</f>
        <v/>
      </c>
    </row>
    <row r="25338">
      <c r="A25338" t="n">
        <v>25337</v>
      </c>
      <c r="B25338" t="inlineStr">
        <is>
          <t>x̄x̄V̅CCCXXXVII</t>
        </is>
      </c>
      <c r="C25338">
        <f>ROMAN(25337)</f>
        <v/>
      </c>
      <c r="D25338">
        <f>IF(B25338=C25338, "YES", "WRONG")</f>
        <v/>
      </c>
    </row>
    <row r="25339">
      <c r="A25339" t="n">
        <v>25338</v>
      </c>
      <c r="B25339" t="inlineStr">
        <is>
          <t>x̄x̄V̅CCCXXXVIII</t>
        </is>
      </c>
      <c r="C25339">
        <f>ROMAN(25338)</f>
        <v/>
      </c>
      <c r="D25339">
        <f>IF(B25339=C25339, "YES", "WRONG")</f>
        <v/>
      </c>
    </row>
    <row r="25340">
      <c r="A25340" t="n">
        <v>25339</v>
      </c>
      <c r="B25340" t="inlineStr">
        <is>
          <t>x̄x̄V̅CCCXXXIX</t>
        </is>
      </c>
      <c r="C25340">
        <f>ROMAN(25339)</f>
        <v/>
      </c>
      <c r="D25340">
        <f>IF(B25340=C25340, "YES", "WRONG")</f>
        <v/>
      </c>
    </row>
    <row r="25341">
      <c r="A25341" t="n">
        <v>25340</v>
      </c>
      <c r="B25341" t="inlineStr">
        <is>
          <t>x̄x̄V̅CCCXL</t>
        </is>
      </c>
      <c r="C25341">
        <f>ROMAN(25340)</f>
        <v/>
      </c>
      <c r="D25341">
        <f>IF(B25341=C25341, "YES", "WRONG")</f>
        <v/>
      </c>
    </row>
    <row r="25342">
      <c r="A25342" t="n">
        <v>25341</v>
      </c>
      <c r="B25342" t="inlineStr">
        <is>
          <t>x̄x̄V̅CCCXLI</t>
        </is>
      </c>
      <c r="C25342">
        <f>ROMAN(25341)</f>
        <v/>
      </c>
      <c r="D25342">
        <f>IF(B25342=C25342, "YES", "WRONG")</f>
        <v/>
      </c>
    </row>
    <row r="25343">
      <c r="A25343" t="n">
        <v>25342</v>
      </c>
      <c r="B25343" t="inlineStr">
        <is>
          <t>x̄x̄V̅CCCXLII</t>
        </is>
      </c>
      <c r="C25343">
        <f>ROMAN(25342)</f>
        <v/>
      </c>
      <c r="D25343">
        <f>IF(B25343=C25343, "YES", "WRONG")</f>
        <v/>
      </c>
    </row>
    <row r="25344">
      <c r="A25344" t="n">
        <v>25343</v>
      </c>
      <c r="B25344" t="inlineStr">
        <is>
          <t>x̄x̄V̅CCCXLIII</t>
        </is>
      </c>
      <c r="C25344">
        <f>ROMAN(25343)</f>
        <v/>
      </c>
      <c r="D25344">
        <f>IF(B25344=C25344, "YES", "WRONG")</f>
        <v/>
      </c>
    </row>
    <row r="25345">
      <c r="A25345" t="n">
        <v>25344</v>
      </c>
      <c r="B25345" t="inlineStr">
        <is>
          <t>x̄x̄V̅CCCXLIV</t>
        </is>
      </c>
      <c r="C25345">
        <f>ROMAN(25344)</f>
        <v/>
      </c>
      <c r="D25345">
        <f>IF(B25345=C25345, "YES", "WRONG")</f>
        <v/>
      </c>
    </row>
    <row r="25346">
      <c r="A25346" t="n">
        <v>25345</v>
      </c>
      <c r="B25346" t="inlineStr">
        <is>
          <t>x̄x̄V̅CCCXLV</t>
        </is>
      </c>
      <c r="C25346">
        <f>ROMAN(25345)</f>
        <v/>
      </c>
      <c r="D25346">
        <f>IF(B25346=C25346, "YES", "WRONG")</f>
        <v/>
      </c>
    </row>
    <row r="25347">
      <c r="A25347" t="n">
        <v>25346</v>
      </c>
      <c r="B25347" t="inlineStr">
        <is>
          <t>x̄x̄V̅CCCXLVI</t>
        </is>
      </c>
      <c r="C25347">
        <f>ROMAN(25346)</f>
        <v/>
      </c>
      <c r="D25347">
        <f>IF(B25347=C25347, "YES", "WRONG")</f>
        <v/>
      </c>
    </row>
    <row r="25348">
      <c r="A25348" t="n">
        <v>25347</v>
      </c>
      <c r="B25348" t="inlineStr">
        <is>
          <t>x̄x̄V̅CCCXLVII</t>
        </is>
      </c>
      <c r="C25348">
        <f>ROMAN(25347)</f>
        <v/>
      </c>
      <c r="D25348">
        <f>IF(B25348=C25348, "YES", "WRONG")</f>
        <v/>
      </c>
    </row>
    <row r="25349">
      <c r="A25349" t="n">
        <v>25348</v>
      </c>
      <c r="B25349" t="inlineStr">
        <is>
          <t>x̄x̄V̅CCCXLVIII</t>
        </is>
      </c>
      <c r="C25349">
        <f>ROMAN(25348)</f>
        <v/>
      </c>
      <c r="D25349">
        <f>IF(B25349=C25349, "YES", "WRONG")</f>
        <v/>
      </c>
    </row>
    <row r="25350">
      <c r="A25350" t="n">
        <v>25349</v>
      </c>
      <c r="B25350" t="inlineStr">
        <is>
          <t>x̄x̄V̅CCCXLIX</t>
        </is>
      </c>
      <c r="C25350">
        <f>ROMAN(25349)</f>
        <v/>
      </c>
      <c r="D25350">
        <f>IF(B25350=C25350, "YES", "WRONG")</f>
        <v/>
      </c>
    </row>
    <row r="25351">
      <c r="A25351" t="n">
        <v>25350</v>
      </c>
      <c r="B25351" t="inlineStr">
        <is>
          <t>x̄x̄V̅CCCL</t>
        </is>
      </c>
      <c r="C25351">
        <f>ROMAN(25350)</f>
        <v/>
      </c>
      <c r="D25351">
        <f>IF(B25351=C25351, "YES", "WRONG")</f>
        <v/>
      </c>
    </row>
    <row r="25352">
      <c r="A25352" t="n">
        <v>25351</v>
      </c>
      <c r="B25352" t="inlineStr">
        <is>
          <t>x̄x̄V̅CCCLI</t>
        </is>
      </c>
      <c r="C25352">
        <f>ROMAN(25351)</f>
        <v/>
      </c>
      <c r="D25352">
        <f>IF(B25352=C25352, "YES", "WRONG")</f>
        <v/>
      </c>
    </row>
    <row r="25353">
      <c r="A25353" t="n">
        <v>25352</v>
      </c>
      <c r="B25353" t="inlineStr">
        <is>
          <t>x̄x̄V̅CCCLII</t>
        </is>
      </c>
      <c r="C25353">
        <f>ROMAN(25352)</f>
        <v/>
      </c>
      <c r="D25353">
        <f>IF(B25353=C25353, "YES", "WRONG")</f>
        <v/>
      </c>
    </row>
    <row r="25354">
      <c r="A25354" t="n">
        <v>25353</v>
      </c>
      <c r="B25354" t="inlineStr">
        <is>
          <t>x̄x̄V̅CCCLIII</t>
        </is>
      </c>
      <c r="C25354">
        <f>ROMAN(25353)</f>
        <v/>
      </c>
      <c r="D25354">
        <f>IF(B25354=C25354, "YES", "WRONG")</f>
        <v/>
      </c>
    </row>
    <row r="25355">
      <c r="A25355" t="n">
        <v>25354</v>
      </c>
      <c r="B25355" t="inlineStr">
        <is>
          <t>x̄x̄V̅CCCLIV</t>
        </is>
      </c>
      <c r="C25355">
        <f>ROMAN(25354)</f>
        <v/>
      </c>
      <c r="D25355">
        <f>IF(B25355=C25355, "YES", "WRONG")</f>
        <v/>
      </c>
    </row>
    <row r="25356">
      <c r="A25356" t="n">
        <v>25355</v>
      </c>
      <c r="B25356" t="inlineStr">
        <is>
          <t>x̄x̄V̅CCCLV</t>
        </is>
      </c>
      <c r="C25356">
        <f>ROMAN(25355)</f>
        <v/>
      </c>
      <c r="D25356">
        <f>IF(B25356=C25356, "YES", "WRONG")</f>
        <v/>
      </c>
    </row>
    <row r="25357">
      <c r="A25357" t="n">
        <v>25356</v>
      </c>
      <c r="B25357" t="inlineStr">
        <is>
          <t>x̄x̄V̅CCCLVI</t>
        </is>
      </c>
      <c r="C25357">
        <f>ROMAN(25356)</f>
        <v/>
      </c>
      <c r="D25357">
        <f>IF(B25357=C25357, "YES", "WRONG")</f>
        <v/>
      </c>
    </row>
    <row r="25358">
      <c r="A25358" t="n">
        <v>25357</v>
      </c>
      <c r="B25358" t="inlineStr">
        <is>
          <t>x̄x̄V̅CCCLVII</t>
        </is>
      </c>
      <c r="C25358">
        <f>ROMAN(25357)</f>
        <v/>
      </c>
      <c r="D25358">
        <f>IF(B25358=C25358, "YES", "WRONG")</f>
        <v/>
      </c>
    </row>
    <row r="25359">
      <c r="A25359" t="n">
        <v>25358</v>
      </c>
      <c r="B25359" t="inlineStr">
        <is>
          <t>x̄x̄V̅CCCLVIII</t>
        </is>
      </c>
      <c r="C25359">
        <f>ROMAN(25358)</f>
        <v/>
      </c>
      <c r="D25359">
        <f>IF(B25359=C25359, "YES", "WRONG")</f>
        <v/>
      </c>
    </row>
    <row r="25360">
      <c r="A25360" t="n">
        <v>25359</v>
      </c>
      <c r="B25360" t="inlineStr">
        <is>
          <t>x̄x̄V̅CCCLIX</t>
        </is>
      </c>
      <c r="C25360">
        <f>ROMAN(25359)</f>
        <v/>
      </c>
      <c r="D25360">
        <f>IF(B25360=C25360, "YES", "WRONG")</f>
        <v/>
      </c>
    </row>
    <row r="25361">
      <c r="A25361" t="n">
        <v>25360</v>
      </c>
      <c r="B25361" t="inlineStr">
        <is>
          <t>x̄x̄V̅CCCLX</t>
        </is>
      </c>
      <c r="C25361">
        <f>ROMAN(25360)</f>
        <v/>
      </c>
      <c r="D25361">
        <f>IF(B25361=C25361, "YES", "WRONG")</f>
        <v/>
      </c>
    </row>
    <row r="25362">
      <c r="A25362" t="n">
        <v>25361</v>
      </c>
      <c r="B25362" t="inlineStr">
        <is>
          <t>x̄x̄V̅CCCLXI</t>
        </is>
      </c>
      <c r="C25362">
        <f>ROMAN(25361)</f>
        <v/>
      </c>
      <c r="D25362">
        <f>IF(B25362=C25362, "YES", "WRONG")</f>
        <v/>
      </c>
    </row>
    <row r="25363">
      <c r="A25363" t="n">
        <v>25362</v>
      </c>
      <c r="B25363" t="inlineStr">
        <is>
          <t>x̄x̄V̅CCCLXII</t>
        </is>
      </c>
      <c r="C25363">
        <f>ROMAN(25362)</f>
        <v/>
      </c>
      <c r="D25363">
        <f>IF(B25363=C25363, "YES", "WRONG")</f>
        <v/>
      </c>
    </row>
    <row r="25364">
      <c r="A25364" t="n">
        <v>25363</v>
      </c>
      <c r="B25364" t="inlineStr">
        <is>
          <t>x̄x̄V̅CCCLXIII</t>
        </is>
      </c>
      <c r="C25364">
        <f>ROMAN(25363)</f>
        <v/>
      </c>
      <c r="D25364">
        <f>IF(B25364=C25364, "YES", "WRONG")</f>
        <v/>
      </c>
    </row>
    <row r="25365">
      <c r="A25365" t="n">
        <v>25364</v>
      </c>
      <c r="B25365" t="inlineStr">
        <is>
          <t>x̄x̄V̅CCCLXIV</t>
        </is>
      </c>
      <c r="C25365">
        <f>ROMAN(25364)</f>
        <v/>
      </c>
      <c r="D25365">
        <f>IF(B25365=C25365, "YES", "WRONG")</f>
        <v/>
      </c>
    </row>
    <row r="25366">
      <c r="A25366" t="n">
        <v>25365</v>
      </c>
      <c r="B25366" t="inlineStr">
        <is>
          <t>x̄x̄V̅CCCLXV</t>
        </is>
      </c>
      <c r="C25366">
        <f>ROMAN(25365)</f>
        <v/>
      </c>
      <c r="D25366">
        <f>IF(B25366=C25366, "YES", "WRONG")</f>
        <v/>
      </c>
    </row>
    <row r="25367">
      <c r="A25367" t="n">
        <v>25366</v>
      </c>
      <c r="B25367" t="inlineStr">
        <is>
          <t>x̄x̄V̅CCCLXVI</t>
        </is>
      </c>
      <c r="C25367">
        <f>ROMAN(25366)</f>
        <v/>
      </c>
      <c r="D25367">
        <f>IF(B25367=C25367, "YES", "WRONG")</f>
        <v/>
      </c>
    </row>
    <row r="25368">
      <c r="A25368" t="n">
        <v>25367</v>
      </c>
      <c r="B25368" t="inlineStr">
        <is>
          <t>x̄x̄V̅CCCLXVII</t>
        </is>
      </c>
      <c r="C25368">
        <f>ROMAN(25367)</f>
        <v/>
      </c>
      <c r="D25368">
        <f>IF(B25368=C25368, "YES", "WRONG")</f>
        <v/>
      </c>
    </row>
    <row r="25369">
      <c r="A25369" t="n">
        <v>25368</v>
      </c>
      <c r="B25369" t="inlineStr">
        <is>
          <t>x̄x̄V̅CCCLXVIII</t>
        </is>
      </c>
      <c r="C25369">
        <f>ROMAN(25368)</f>
        <v/>
      </c>
      <c r="D25369">
        <f>IF(B25369=C25369, "YES", "WRONG")</f>
        <v/>
      </c>
    </row>
    <row r="25370">
      <c r="A25370" t="n">
        <v>25369</v>
      </c>
      <c r="B25370" t="inlineStr">
        <is>
          <t>x̄x̄V̅CCCLXIX</t>
        </is>
      </c>
      <c r="C25370">
        <f>ROMAN(25369)</f>
        <v/>
      </c>
      <c r="D25370">
        <f>IF(B25370=C25370, "YES", "WRONG")</f>
        <v/>
      </c>
    </row>
    <row r="25371">
      <c r="A25371" t="n">
        <v>25370</v>
      </c>
      <c r="B25371" t="inlineStr">
        <is>
          <t>x̄x̄V̅CCCLXX</t>
        </is>
      </c>
      <c r="C25371">
        <f>ROMAN(25370)</f>
        <v/>
      </c>
      <c r="D25371">
        <f>IF(B25371=C25371, "YES", "WRONG")</f>
        <v/>
      </c>
    </row>
    <row r="25372">
      <c r="A25372" t="n">
        <v>25371</v>
      </c>
      <c r="B25372" t="inlineStr">
        <is>
          <t>x̄x̄V̅CCCLXXI</t>
        </is>
      </c>
      <c r="C25372">
        <f>ROMAN(25371)</f>
        <v/>
      </c>
      <c r="D25372">
        <f>IF(B25372=C25372, "YES", "WRONG")</f>
        <v/>
      </c>
    </row>
    <row r="25373">
      <c r="A25373" t="n">
        <v>25372</v>
      </c>
      <c r="B25373" t="inlineStr">
        <is>
          <t>x̄x̄V̅CCCLXXII</t>
        </is>
      </c>
      <c r="C25373">
        <f>ROMAN(25372)</f>
        <v/>
      </c>
      <c r="D25373">
        <f>IF(B25373=C25373, "YES", "WRONG")</f>
        <v/>
      </c>
    </row>
    <row r="25374">
      <c r="A25374" t="n">
        <v>25373</v>
      </c>
      <c r="B25374" t="inlineStr">
        <is>
          <t>x̄x̄V̅CCCLXXIII</t>
        </is>
      </c>
      <c r="C25374">
        <f>ROMAN(25373)</f>
        <v/>
      </c>
      <c r="D25374">
        <f>IF(B25374=C25374, "YES", "WRONG")</f>
        <v/>
      </c>
    </row>
    <row r="25375">
      <c r="A25375" t="n">
        <v>25374</v>
      </c>
      <c r="B25375" t="inlineStr">
        <is>
          <t>x̄x̄V̅CCCLXXIV</t>
        </is>
      </c>
      <c r="C25375">
        <f>ROMAN(25374)</f>
        <v/>
      </c>
      <c r="D25375">
        <f>IF(B25375=C25375, "YES", "WRONG")</f>
        <v/>
      </c>
    </row>
    <row r="25376">
      <c r="A25376" t="n">
        <v>25375</v>
      </c>
      <c r="B25376" t="inlineStr">
        <is>
          <t>x̄x̄V̅CCCLXXV</t>
        </is>
      </c>
      <c r="C25376">
        <f>ROMAN(25375)</f>
        <v/>
      </c>
      <c r="D25376">
        <f>IF(B25376=C25376, "YES", "WRONG")</f>
        <v/>
      </c>
    </row>
    <row r="25377">
      <c r="A25377" t="n">
        <v>25376</v>
      </c>
      <c r="B25377" t="inlineStr">
        <is>
          <t>x̄x̄V̅CCCLXXVI</t>
        </is>
      </c>
      <c r="C25377">
        <f>ROMAN(25376)</f>
        <v/>
      </c>
      <c r="D25377">
        <f>IF(B25377=C25377, "YES", "WRONG")</f>
        <v/>
      </c>
    </row>
    <row r="25378">
      <c r="A25378" t="n">
        <v>25377</v>
      </c>
      <c r="B25378" t="inlineStr">
        <is>
          <t>x̄x̄V̅CCCLXXVII</t>
        </is>
      </c>
      <c r="C25378">
        <f>ROMAN(25377)</f>
        <v/>
      </c>
      <c r="D25378">
        <f>IF(B25378=C25378, "YES", "WRONG")</f>
        <v/>
      </c>
    </row>
    <row r="25379">
      <c r="A25379" t="n">
        <v>25378</v>
      </c>
      <c r="B25379" t="inlineStr">
        <is>
          <t>x̄x̄V̅CCCLXXVIII</t>
        </is>
      </c>
      <c r="C25379">
        <f>ROMAN(25378)</f>
        <v/>
      </c>
      <c r="D25379">
        <f>IF(B25379=C25379, "YES", "WRONG")</f>
        <v/>
      </c>
    </row>
    <row r="25380">
      <c r="A25380" t="n">
        <v>25379</v>
      </c>
      <c r="B25380" t="inlineStr">
        <is>
          <t>x̄x̄V̅CCCLXXIX</t>
        </is>
      </c>
      <c r="C25380">
        <f>ROMAN(25379)</f>
        <v/>
      </c>
      <c r="D25380">
        <f>IF(B25380=C25380, "YES", "WRONG")</f>
        <v/>
      </c>
    </row>
    <row r="25381">
      <c r="A25381" t="n">
        <v>25380</v>
      </c>
      <c r="B25381" t="inlineStr">
        <is>
          <t>x̄x̄V̅CCCLXXX</t>
        </is>
      </c>
      <c r="C25381">
        <f>ROMAN(25380)</f>
        <v/>
      </c>
      <c r="D25381">
        <f>IF(B25381=C25381, "YES", "WRONG")</f>
        <v/>
      </c>
    </row>
    <row r="25382">
      <c r="A25382" t="n">
        <v>25381</v>
      </c>
      <c r="B25382" t="inlineStr">
        <is>
          <t>x̄x̄V̅CCCLXXXI</t>
        </is>
      </c>
      <c r="C25382">
        <f>ROMAN(25381)</f>
        <v/>
      </c>
      <c r="D25382">
        <f>IF(B25382=C25382, "YES", "WRONG")</f>
        <v/>
      </c>
    </row>
    <row r="25383">
      <c r="A25383" t="n">
        <v>25382</v>
      </c>
      <c r="B25383" t="inlineStr">
        <is>
          <t>x̄x̄V̅CCCLXXXII</t>
        </is>
      </c>
      <c r="C25383">
        <f>ROMAN(25382)</f>
        <v/>
      </c>
      <c r="D25383">
        <f>IF(B25383=C25383, "YES", "WRONG")</f>
        <v/>
      </c>
    </row>
    <row r="25384">
      <c r="A25384" t="n">
        <v>25383</v>
      </c>
      <c r="B25384" t="inlineStr">
        <is>
          <t>x̄x̄V̅CCCLXXXIII</t>
        </is>
      </c>
      <c r="C25384">
        <f>ROMAN(25383)</f>
        <v/>
      </c>
      <c r="D25384">
        <f>IF(B25384=C25384, "YES", "WRONG")</f>
        <v/>
      </c>
    </row>
    <row r="25385">
      <c r="A25385" t="n">
        <v>25384</v>
      </c>
      <c r="B25385" t="inlineStr">
        <is>
          <t>x̄x̄V̅CCCLXXXIV</t>
        </is>
      </c>
      <c r="C25385">
        <f>ROMAN(25384)</f>
        <v/>
      </c>
      <c r="D25385">
        <f>IF(B25385=C25385, "YES", "WRONG")</f>
        <v/>
      </c>
    </row>
    <row r="25386">
      <c r="A25386" t="n">
        <v>25385</v>
      </c>
      <c r="B25386" t="inlineStr">
        <is>
          <t>x̄x̄V̅CCCLXXXV</t>
        </is>
      </c>
      <c r="C25386">
        <f>ROMAN(25385)</f>
        <v/>
      </c>
      <c r="D25386">
        <f>IF(B25386=C25386, "YES", "WRONG")</f>
        <v/>
      </c>
    </row>
    <row r="25387">
      <c r="A25387" t="n">
        <v>25386</v>
      </c>
      <c r="B25387" t="inlineStr">
        <is>
          <t>x̄x̄V̅CCCLXXXVI</t>
        </is>
      </c>
      <c r="C25387">
        <f>ROMAN(25386)</f>
        <v/>
      </c>
      <c r="D25387">
        <f>IF(B25387=C25387, "YES", "WRONG")</f>
        <v/>
      </c>
    </row>
    <row r="25388">
      <c r="A25388" t="n">
        <v>25387</v>
      </c>
      <c r="B25388" t="inlineStr">
        <is>
          <t>x̄x̄V̅CCCLXXXVII</t>
        </is>
      </c>
      <c r="C25388">
        <f>ROMAN(25387)</f>
        <v/>
      </c>
      <c r="D25388">
        <f>IF(B25388=C25388, "YES", "WRONG")</f>
        <v/>
      </c>
    </row>
    <row r="25389">
      <c r="A25389" t="n">
        <v>25388</v>
      </c>
      <c r="B25389" t="inlineStr">
        <is>
          <t>x̄x̄V̅CCCLXXXVIII</t>
        </is>
      </c>
      <c r="C25389">
        <f>ROMAN(25388)</f>
        <v/>
      </c>
      <c r="D25389">
        <f>IF(B25389=C25389, "YES", "WRONG")</f>
        <v/>
      </c>
    </row>
    <row r="25390">
      <c r="A25390" t="n">
        <v>25389</v>
      </c>
      <c r="B25390" t="inlineStr">
        <is>
          <t>x̄x̄V̅CCCLXXXIX</t>
        </is>
      </c>
      <c r="C25390">
        <f>ROMAN(25389)</f>
        <v/>
      </c>
      <c r="D25390">
        <f>IF(B25390=C25390, "YES", "WRONG")</f>
        <v/>
      </c>
    </row>
    <row r="25391">
      <c r="A25391" t="n">
        <v>25390</v>
      </c>
      <c r="B25391" t="inlineStr">
        <is>
          <t>x̄x̄V̅CCCXC</t>
        </is>
      </c>
      <c r="C25391">
        <f>ROMAN(25390)</f>
        <v/>
      </c>
      <c r="D25391">
        <f>IF(B25391=C25391, "YES", "WRONG")</f>
        <v/>
      </c>
    </row>
    <row r="25392">
      <c r="A25392" t="n">
        <v>25391</v>
      </c>
      <c r="B25392" t="inlineStr">
        <is>
          <t>x̄x̄V̅CCCXCI</t>
        </is>
      </c>
      <c r="C25392">
        <f>ROMAN(25391)</f>
        <v/>
      </c>
      <c r="D25392">
        <f>IF(B25392=C25392, "YES", "WRONG")</f>
        <v/>
      </c>
    </row>
    <row r="25393">
      <c r="A25393" t="n">
        <v>25392</v>
      </c>
      <c r="B25393" t="inlineStr">
        <is>
          <t>x̄x̄V̅CCCXCII</t>
        </is>
      </c>
      <c r="C25393">
        <f>ROMAN(25392)</f>
        <v/>
      </c>
      <c r="D25393">
        <f>IF(B25393=C25393, "YES", "WRONG")</f>
        <v/>
      </c>
    </row>
    <row r="25394">
      <c r="A25394" t="n">
        <v>25393</v>
      </c>
      <c r="B25394" t="inlineStr">
        <is>
          <t>x̄x̄V̅CCCXCIII</t>
        </is>
      </c>
      <c r="C25394">
        <f>ROMAN(25393)</f>
        <v/>
      </c>
      <c r="D25394">
        <f>IF(B25394=C25394, "YES", "WRONG")</f>
        <v/>
      </c>
    </row>
    <row r="25395">
      <c r="A25395" t="n">
        <v>25394</v>
      </c>
      <c r="B25395" t="inlineStr">
        <is>
          <t>x̄x̄V̅CCCXCIV</t>
        </is>
      </c>
      <c r="C25395">
        <f>ROMAN(25394)</f>
        <v/>
      </c>
      <c r="D25395">
        <f>IF(B25395=C25395, "YES", "WRONG")</f>
        <v/>
      </c>
    </row>
    <row r="25396">
      <c r="A25396" t="n">
        <v>25395</v>
      </c>
      <c r="B25396" t="inlineStr">
        <is>
          <t>x̄x̄V̅CCCXCV</t>
        </is>
      </c>
      <c r="C25396">
        <f>ROMAN(25395)</f>
        <v/>
      </c>
      <c r="D25396">
        <f>IF(B25396=C25396, "YES", "WRONG")</f>
        <v/>
      </c>
    </row>
    <row r="25397">
      <c r="A25397" t="n">
        <v>25396</v>
      </c>
      <c r="B25397" t="inlineStr">
        <is>
          <t>x̄x̄V̅CCCXCVI</t>
        </is>
      </c>
      <c r="C25397">
        <f>ROMAN(25396)</f>
        <v/>
      </c>
      <c r="D25397">
        <f>IF(B25397=C25397, "YES", "WRONG")</f>
        <v/>
      </c>
    </row>
    <row r="25398">
      <c r="A25398" t="n">
        <v>25397</v>
      </c>
      <c r="B25398" t="inlineStr">
        <is>
          <t>x̄x̄V̅CCCXCVII</t>
        </is>
      </c>
      <c r="C25398">
        <f>ROMAN(25397)</f>
        <v/>
      </c>
      <c r="D25398">
        <f>IF(B25398=C25398, "YES", "WRONG")</f>
        <v/>
      </c>
    </row>
    <row r="25399">
      <c r="A25399" t="n">
        <v>25398</v>
      </c>
      <c r="B25399" t="inlineStr">
        <is>
          <t>x̄x̄V̅CCCXCVIII</t>
        </is>
      </c>
      <c r="C25399">
        <f>ROMAN(25398)</f>
        <v/>
      </c>
      <c r="D25399">
        <f>IF(B25399=C25399, "YES", "WRONG")</f>
        <v/>
      </c>
    </row>
    <row r="25400">
      <c r="A25400" t="n">
        <v>25399</v>
      </c>
      <c r="B25400" t="inlineStr">
        <is>
          <t>x̄x̄V̅CCCXCIX</t>
        </is>
      </c>
      <c r="C25400">
        <f>ROMAN(25399)</f>
        <v/>
      </c>
      <c r="D25400">
        <f>IF(B25400=C25400, "YES", "WRONG")</f>
        <v/>
      </c>
    </row>
    <row r="25401">
      <c r="A25401" t="n">
        <v>25400</v>
      </c>
      <c r="B25401" t="inlineStr">
        <is>
          <t>x̄x̄V̅CD</t>
        </is>
      </c>
      <c r="C25401">
        <f>ROMAN(25400)</f>
        <v/>
      </c>
      <c r="D25401">
        <f>IF(B25401=C25401, "YES", "WRONG")</f>
        <v/>
      </c>
    </row>
    <row r="25402">
      <c r="A25402" t="n">
        <v>25401</v>
      </c>
      <c r="B25402" t="inlineStr">
        <is>
          <t>x̄x̄V̅CDI</t>
        </is>
      </c>
      <c r="C25402">
        <f>ROMAN(25401)</f>
        <v/>
      </c>
      <c r="D25402">
        <f>IF(B25402=C25402, "YES", "WRONG")</f>
        <v/>
      </c>
    </row>
    <row r="25403">
      <c r="A25403" t="n">
        <v>25402</v>
      </c>
      <c r="B25403" t="inlineStr">
        <is>
          <t>x̄x̄V̅CDII</t>
        </is>
      </c>
      <c r="C25403">
        <f>ROMAN(25402)</f>
        <v/>
      </c>
      <c r="D25403">
        <f>IF(B25403=C25403, "YES", "WRONG")</f>
        <v/>
      </c>
    </row>
    <row r="25404">
      <c r="A25404" t="n">
        <v>25403</v>
      </c>
      <c r="B25404" t="inlineStr">
        <is>
          <t>x̄x̄V̅CDIII</t>
        </is>
      </c>
      <c r="C25404">
        <f>ROMAN(25403)</f>
        <v/>
      </c>
      <c r="D25404">
        <f>IF(B25404=C25404, "YES", "WRONG")</f>
        <v/>
      </c>
    </row>
    <row r="25405">
      <c r="A25405" t="n">
        <v>25404</v>
      </c>
      <c r="B25405" t="inlineStr">
        <is>
          <t>x̄x̄V̅CDIV</t>
        </is>
      </c>
      <c r="C25405">
        <f>ROMAN(25404)</f>
        <v/>
      </c>
      <c r="D25405">
        <f>IF(B25405=C25405, "YES", "WRONG")</f>
        <v/>
      </c>
    </row>
    <row r="25406">
      <c r="A25406" t="n">
        <v>25405</v>
      </c>
      <c r="B25406" t="inlineStr">
        <is>
          <t>x̄x̄V̅CDV</t>
        </is>
      </c>
      <c r="C25406">
        <f>ROMAN(25405)</f>
        <v/>
      </c>
      <c r="D25406">
        <f>IF(B25406=C25406, "YES", "WRONG")</f>
        <v/>
      </c>
    </row>
    <row r="25407">
      <c r="A25407" t="n">
        <v>25406</v>
      </c>
      <c r="B25407" t="inlineStr">
        <is>
          <t>x̄x̄V̅CDVI</t>
        </is>
      </c>
      <c r="C25407">
        <f>ROMAN(25406)</f>
        <v/>
      </c>
      <c r="D25407">
        <f>IF(B25407=C25407, "YES", "WRONG")</f>
        <v/>
      </c>
    </row>
    <row r="25408">
      <c r="A25408" t="n">
        <v>25407</v>
      </c>
      <c r="B25408" t="inlineStr">
        <is>
          <t>x̄x̄V̅CDVII</t>
        </is>
      </c>
      <c r="C25408">
        <f>ROMAN(25407)</f>
        <v/>
      </c>
      <c r="D25408">
        <f>IF(B25408=C25408, "YES", "WRONG")</f>
        <v/>
      </c>
    </row>
    <row r="25409">
      <c r="A25409" t="n">
        <v>25408</v>
      </c>
      <c r="B25409" t="inlineStr">
        <is>
          <t>x̄x̄V̅CDVIII</t>
        </is>
      </c>
      <c r="C25409">
        <f>ROMAN(25408)</f>
        <v/>
      </c>
      <c r="D25409">
        <f>IF(B25409=C25409, "YES", "WRONG")</f>
        <v/>
      </c>
    </row>
    <row r="25410">
      <c r="A25410" t="n">
        <v>25409</v>
      </c>
      <c r="B25410" t="inlineStr">
        <is>
          <t>x̄x̄V̅CDIX</t>
        </is>
      </c>
      <c r="C25410">
        <f>ROMAN(25409)</f>
        <v/>
      </c>
      <c r="D25410">
        <f>IF(B25410=C25410, "YES", "WRONG")</f>
        <v/>
      </c>
    </row>
    <row r="25411">
      <c r="A25411" t="n">
        <v>25410</v>
      </c>
      <c r="B25411" t="inlineStr">
        <is>
          <t>x̄x̄V̅CDX</t>
        </is>
      </c>
      <c r="C25411">
        <f>ROMAN(25410)</f>
        <v/>
      </c>
      <c r="D25411">
        <f>IF(B25411=C25411, "YES", "WRONG")</f>
        <v/>
      </c>
    </row>
    <row r="25412">
      <c r="A25412" t="n">
        <v>25411</v>
      </c>
      <c r="B25412" t="inlineStr">
        <is>
          <t>x̄x̄V̅CDXI</t>
        </is>
      </c>
      <c r="C25412">
        <f>ROMAN(25411)</f>
        <v/>
      </c>
      <c r="D25412">
        <f>IF(B25412=C25412, "YES", "WRONG")</f>
        <v/>
      </c>
    </row>
    <row r="25413">
      <c r="A25413" t="n">
        <v>25412</v>
      </c>
      <c r="B25413" t="inlineStr">
        <is>
          <t>x̄x̄V̅CDXII</t>
        </is>
      </c>
      <c r="C25413">
        <f>ROMAN(25412)</f>
        <v/>
      </c>
      <c r="D25413">
        <f>IF(B25413=C25413, "YES", "WRONG")</f>
        <v/>
      </c>
    </row>
    <row r="25414">
      <c r="A25414" t="n">
        <v>25413</v>
      </c>
      <c r="B25414" t="inlineStr">
        <is>
          <t>x̄x̄V̅CDXIII</t>
        </is>
      </c>
      <c r="C25414">
        <f>ROMAN(25413)</f>
        <v/>
      </c>
      <c r="D25414">
        <f>IF(B25414=C25414, "YES", "WRONG")</f>
        <v/>
      </c>
    </row>
    <row r="25415">
      <c r="A25415" t="n">
        <v>25414</v>
      </c>
      <c r="B25415" t="inlineStr">
        <is>
          <t>x̄x̄V̅CDXIV</t>
        </is>
      </c>
      <c r="C25415">
        <f>ROMAN(25414)</f>
        <v/>
      </c>
      <c r="D25415">
        <f>IF(B25415=C25415, "YES", "WRONG")</f>
        <v/>
      </c>
    </row>
    <row r="25416">
      <c r="A25416" t="n">
        <v>25415</v>
      </c>
      <c r="B25416" t="inlineStr">
        <is>
          <t>x̄x̄V̅CDXV</t>
        </is>
      </c>
      <c r="C25416">
        <f>ROMAN(25415)</f>
        <v/>
      </c>
      <c r="D25416">
        <f>IF(B25416=C25416, "YES", "WRONG")</f>
        <v/>
      </c>
    </row>
    <row r="25417">
      <c r="A25417" t="n">
        <v>25416</v>
      </c>
      <c r="B25417" t="inlineStr">
        <is>
          <t>x̄x̄V̅CDXVI</t>
        </is>
      </c>
      <c r="C25417">
        <f>ROMAN(25416)</f>
        <v/>
      </c>
      <c r="D25417">
        <f>IF(B25417=C25417, "YES", "WRONG")</f>
        <v/>
      </c>
    </row>
    <row r="25418">
      <c r="A25418" t="n">
        <v>25417</v>
      </c>
      <c r="B25418" t="inlineStr">
        <is>
          <t>x̄x̄V̅CDXVII</t>
        </is>
      </c>
      <c r="C25418">
        <f>ROMAN(25417)</f>
        <v/>
      </c>
      <c r="D25418">
        <f>IF(B25418=C25418, "YES", "WRONG")</f>
        <v/>
      </c>
    </row>
    <row r="25419">
      <c r="A25419" t="n">
        <v>25418</v>
      </c>
      <c r="B25419" t="inlineStr">
        <is>
          <t>x̄x̄V̅CDXVIII</t>
        </is>
      </c>
      <c r="C25419">
        <f>ROMAN(25418)</f>
        <v/>
      </c>
      <c r="D25419">
        <f>IF(B25419=C25419, "YES", "WRONG")</f>
        <v/>
      </c>
    </row>
    <row r="25420">
      <c r="A25420" t="n">
        <v>25419</v>
      </c>
      <c r="B25420" t="inlineStr">
        <is>
          <t>x̄x̄V̅CDXIX</t>
        </is>
      </c>
      <c r="C25420">
        <f>ROMAN(25419)</f>
        <v/>
      </c>
      <c r="D25420">
        <f>IF(B25420=C25420, "YES", "WRONG")</f>
        <v/>
      </c>
    </row>
    <row r="25421">
      <c r="A25421" t="n">
        <v>25420</v>
      </c>
      <c r="B25421" t="inlineStr">
        <is>
          <t>x̄x̄V̅CDXX</t>
        </is>
      </c>
      <c r="C25421">
        <f>ROMAN(25420)</f>
        <v/>
      </c>
      <c r="D25421">
        <f>IF(B25421=C25421, "YES", "WRONG")</f>
        <v/>
      </c>
    </row>
    <row r="25422">
      <c r="A25422" t="n">
        <v>25421</v>
      </c>
      <c r="B25422" t="inlineStr">
        <is>
          <t>x̄x̄V̅CDXXI</t>
        </is>
      </c>
      <c r="C25422">
        <f>ROMAN(25421)</f>
        <v/>
      </c>
      <c r="D25422">
        <f>IF(B25422=C25422, "YES", "WRONG")</f>
        <v/>
      </c>
    </row>
    <row r="25423">
      <c r="A25423" t="n">
        <v>25422</v>
      </c>
      <c r="B25423" t="inlineStr">
        <is>
          <t>x̄x̄V̅CDXXII</t>
        </is>
      </c>
      <c r="C25423">
        <f>ROMAN(25422)</f>
        <v/>
      </c>
      <c r="D25423">
        <f>IF(B25423=C25423, "YES", "WRONG")</f>
        <v/>
      </c>
    </row>
    <row r="25424">
      <c r="A25424" t="n">
        <v>25423</v>
      </c>
      <c r="B25424" t="inlineStr">
        <is>
          <t>x̄x̄V̅CDXXIII</t>
        </is>
      </c>
      <c r="C25424">
        <f>ROMAN(25423)</f>
        <v/>
      </c>
      <c r="D25424">
        <f>IF(B25424=C25424, "YES", "WRONG")</f>
        <v/>
      </c>
    </row>
    <row r="25425">
      <c r="A25425" t="n">
        <v>25424</v>
      </c>
      <c r="B25425" t="inlineStr">
        <is>
          <t>x̄x̄V̅CDXXIV</t>
        </is>
      </c>
      <c r="C25425">
        <f>ROMAN(25424)</f>
        <v/>
      </c>
      <c r="D25425">
        <f>IF(B25425=C25425, "YES", "WRONG")</f>
        <v/>
      </c>
    </row>
    <row r="25426">
      <c r="A25426" t="n">
        <v>25425</v>
      </c>
      <c r="B25426" t="inlineStr">
        <is>
          <t>x̄x̄V̅CDXXV</t>
        </is>
      </c>
      <c r="C25426">
        <f>ROMAN(25425)</f>
        <v/>
      </c>
      <c r="D25426">
        <f>IF(B25426=C25426, "YES", "WRONG")</f>
        <v/>
      </c>
    </row>
    <row r="25427">
      <c r="A25427" t="n">
        <v>25426</v>
      </c>
      <c r="B25427" t="inlineStr">
        <is>
          <t>x̄x̄V̅CDXXVI</t>
        </is>
      </c>
      <c r="C25427">
        <f>ROMAN(25426)</f>
        <v/>
      </c>
      <c r="D25427">
        <f>IF(B25427=C25427, "YES", "WRONG")</f>
        <v/>
      </c>
    </row>
    <row r="25428">
      <c r="A25428" t="n">
        <v>25427</v>
      </c>
      <c r="B25428" t="inlineStr">
        <is>
          <t>x̄x̄V̅CDXXVII</t>
        </is>
      </c>
      <c r="C25428">
        <f>ROMAN(25427)</f>
        <v/>
      </c>
      <c r="D25428">
        <f>IF(B25428=C25428, "YES", "WRONG")</f>
        <v/>
      </c>
    </row>
    <row r="25429">
      <c r="A25429" t="n">
        <v>25428</v>
      </c>
      <c r="B25429" t="inlineStr">
        <is>
          <t>x̄x̄V̅CDXXVIII</t>
        </is>
      </c>
      <c r="C25429">
        <f>ROMAN(25428)</f>
        <v/>
      </c>
      <c r="D25429">
        <f>IF(B25429=C25429, "YES", "WRONG")</f>
        <v/>
      </c>
    </row>
    <row r="25430">
      <c r="A25430" t="n">
        <v>25429</v>
      </c>
      <c r="B25430" t="inlineStr">
        <is>
          <t>x̄x̄V̅CDXXIX</t>
        </is>
      </c>
      <c r="C25430">
        <f>ROMAN(25429)</f>
        <v/>
      </c>
      <c r="D25430">
        <f>IF(B25430=C25430, "YES", "WRONG")</f>
        <v/>
      </c>
    </row>
    <row r="25431">
      <c r="A25431" t="n">
        <v>25430</v>
      </c>
      <c r="B25431" t="inlineStr">
        <is>
          <t>x̄x̄V̅CDXXX</t>
        </is>
      </c>
      <c r="C25431">
        <f>ROMAN(25430)</f>
        <v/>
      </c>
      <c r="D25431">
        <f>IF(B25431=C25431, "YES", "WRONG")</f>
        <v/>
      </c>
    </row>
    <row r="25432">
      <c r="A25432" t="n">
        <v>25431</v>
      </c>
      <c r="B25432" t="inlineStr">
        <is>
          <t>x̄x̄V̅CDXXXI</t>
        </is>
      </c>
      <c r="C25432">
        <f>ROMAN(25431)</f>
        <v/>
      </c>
      <c r="D25432">
        <f>IF(B25432=C25432, "YES", "WRONG")</f>
        <v/>
      </c>
    </row>
    <row r="25433">
      <c r="A25433" t="n">
        <v>25432</v>
      </c>
      <c r="B25433" t="inlineStr">
        <is>
          <t>x̄x̄V̅CDXXXII</t>
        </is>
      </c>
      <c r="C25433">
        <f>ROMAN(25432)</f>
        <v/>
      </c>
      <c r="D25433">
        <f>IF(B25433=C25433, "YES", "WRONG")</f>
        <v/>
      </c>
    </row>
    <row r="25434">
      <c r="A25434" t="n">
        <v>25433</v>
      </c>
      <c r="B25434" t="inlineStr">
        <is>
          <t>x̄x̄V̅CDXXXIII</t>
        </is>
      </c>
      <c r="C25434">
        <f>ROMAN(25433)</f>
        <v/>
      </c>
      <c r="D25434">
        <f>IF(B25434=C25434, "YES", "WRONG")</f>
        <v/>
      </c>
    </row>
    <row r="25435">
      <c r="A25435" t="n">
        <v>25434</v>
      </c>
      <c r="B25435" t="inlineStr">
        <is>
          <t>x̄x̄V̅CDXXXIV</t>
        </is>
      </c>
      <c r="C25435">
        <f>ROMAN(25434)</f>
        <v/>
      </c>
      <c r="D25435">
        <f>IF(B25435=C25435, "YES", "WRONG")</f>
        <v/>
      </c>
    </row>
    <row r="25436">
      <c r="A25436" t="n">
        <v>25435</v>
      </c>
      <c r="B25436" t="inlineStr">
        <is>
          <t>x̄x̄V̅CDXXXV</t>
        </is>
      </c>
      <c r="C25436">
        <f>ROMAN(25435)</f>
        <v/>
      </c>
      <c r="D25436">
        <f>IF(B25436=C25436, "YES", "WRONG")</f>
        <v/>
      </c>
    </row>
    <row r="25437">
      <c r="A25437" t="n">
        <v>25436</v>
      </c>
      <c r="B25437" t="inlineStr">
        <is>
          <t>x̄x̄V̅CDXXXVI</t>
        </is>
      </c>
      <c r="C25437">
        <f>ROMAN(25436)</f>
        <v/>
      </c>
      <c r="D25437">
        <f>IF(B25437=C25437, "YES", "WRONG")</f>
        <v/>
      </c>
    </row>
    <row r="25438">
      <c r="A25438" t="n">
        <v>25437</v>
      </c>
      <c r="B25438" t="inlineStr">
        <is>
          <t>x̄x̄V̅CDXXXVII</t>
        </is>
      </c>
      <c r="C25438">
        <f>ROMAN(25437)</f>
        <v/>
      </c>
      <c r="D25438">
        <f>IF(B25438=C25438, "YES", "WRONG")</f>
        <v/>
      </c>
    </row>
    <row r="25439">
      <c r="A25439" t="n">
        <v>25438</v>
      </c>
      <c r="B25439" t="inlineStr">
        <is>
          <t>x̄x̄V̅CDXXXVIII</t>
        </is>
      </c>
      <c r="C25439">
        <f>ROMAN(25438)</f>
        <v/>
      </c>
      <c r="D25439">
        <f>IF(B25439=C25439, "YES", "WRONG")</f>
        <v/>
      </c>
    </row>
    <row r="25440">
      <c r="A25440" t="n">
        <v>25439</v>
      </c>
      <c r="B25440" t="inlineStr">
        <is>
          <t>x̄x̄V̅CDXXXIX</t>
        </is>
      </c>
      <c r="C25440">
        <f>ROMAN(25439)</f>
        <v/>
      </c>
      <c r="D25440">
        <f>IF(B25440=C25440, "YES", "WRONG")</f>
        <v/>
      </c>
    </row>
    <row r="25441">
      <c r="A25441" t="n">
        <v>25440</v>
      </c>
      <c r="B25441" t="inlineStr">
        <is>
          <t>x̄x̄V̅CDXL</t>
        </is>
      </c>
      <c r="C25441">
        <f>ROMAN(25440)</f>
        <v/>
      </c>
      <c r="D25441">
        <f>IF(B25441=C25441, "YES", "WRONG")</f>
        <v/>
      </c>
    </row>
    <row r="25442">
      <c r="A25442" t="n">
        <v>25441</v>
      </c>
      <c r="B25442" t="inlineStr">
        <is>
          <t>x̄x̄V̅CDXLI</t>
        </is>
      </c>
      <c r="C25442">
        <f>ROMAN(25441)</f>
        <v/>
      </c>
      <c r="D25442">
        <f>IF(B25442=C25442, "YES", "WRONG")</f>
        <v/>
      </c>
    </row>
    <row r="25443">
      <c r="A25443" t="n">
        <v>25442</v>
      </c>
      <c r="B25443" t="inlineStr">
        <is>
          <t>x̄x̄V̅CDXLII</t>
        </is>
      </c>
      <c r="C25443">
        <f>ROMAN(25442)</f>
        <v/>
      </c>
      <c r="D25443">
        <f>IF(B25443=C25443, "YES", "WRONG")</f>
        <v/>
      </c>
    </row>
    <row r="25444">
      <c r="A25444" t="n">
        <v>25443</v>
      </c>
      <c r="B25444" t="inlineStr">
        <is>
          <t>x̄x̄V̅CDXLIII</t>
        </is>
      </c>
      <c r="C25444">
        <f>ROMAN(25443)</f>
        <v/>
      </c>
      <c r="D25444">
        <f>IF(B25444=C25444, "YES", "WRONG")</f>
        <v/>
      </c>
    </row>
    <row r="25445">
      <c r="A25445" t="n">
        <v>25444</v>
      </c>
      <c r="B25445" t="inlineStr">
        <is>
          <t>x̄x̄V̅CDXLIV</t>
        </is>
      </c>
      <c r="C25445">
        <f>ROMAN(25444)</f>
        <v/>
      </c>
      <c r="D25445">
        <f>IF(B25445=C25445, "YES", "WRONG")</f>
        <v/>
      </c>
    </row>
    <row r="25446">
      <c r="A25446" t="n">
        <v>25445</v>
      </c>
      <c r="B25446" t="inlineStr">
        <is>
          <t>x̄x̄V̅CDXLV</t>
        </is>
      </c>
      <c r="C25446">
        <f>ROMAN(25445)</f>
        <v/>
      </c>
      <c r="D25446">
        <f>IF(B25446=C25446, "YES", "WRONG")</f>
        <v/>
      </c>
    </row>
    <row r="25447">
      <c r="A25447" t="n">
        <v>25446</v>
      </c>
      <c r="B25447" t="inlineStr">
        <is>
          <t>x̄x̄V̅CDXLVI</t>
        </is>
      </c>
      <c r="C25447">
        <f>ROMAN(25446)</f>
        <v/>
      </c>
      <c r="D25447">
        <f>IF(B25447=C25447, "YES", "WRONG")</f>
        <v/>
      </c>
    </row>
    <row r="25448">
      <c r="A25448" t="n">
        <v>25447</v>
      </c>
      <c r="B25448" t="inlineStr">
        <is>
          <t>x̄x̄V̅CDXLVII</t>
        </is>
      </c>
      <c r="C25448">
        <f>ROMAN(25447)</f>
        <v/>
      </c>
      <c r="D25448">
        <f>IF(B25448=C25448, "YES", "WRONG")</f>
        <v/>
      </c>
    </row>
    <row r="25449">
      <c r="A25449" t="n">
        <v>25448</v>
      </c>
      <c r="B25449" t="inlineStr">
        <is>
          <t>x̄x̄V̅CDXLVIII</t>
        </is>
      </c>
      <c r="C25449">
        <f>ROMAN(25448)</f>
        <v/>
      </c>
      <c r="D25449">
        <f>IF(B25449=C25449, "YES", "WRONG")</f>
        <v/>
      </c>
    </row>
    <row r="25450">
      <c r="A25450" t="n">
        <v>25449</v>
      </c>
      <c r="B25450" t="inlineStr">
        <is>
          <t>x̄x̄V̅CDXLIX</t>
        </is>
      </c>
      <c r="C25450">
        <f>ROMAN(25449)</f>
        <v/>
      </c>
      <c r="D25450">
        <f>IF(B25450=C25450, "YES", "WRONG")</f>
        <v/>
      </c>
    </row>
    <row r="25451">
      <c r="A25451" t="n">
        <v>25450</v>
      </c>
      <c r="B25451" t="inlineStr">
        <is>
          <t>x̄x̄V̅CDL</t>
        </is>
      </c>
      <c r="C25451">
        <f>ROMAN(25450)</f>
        <v/>
      </c>
      <c r="D25451">
        <f>IF(B25451=C25451, "YES", "WRONG")</f>
        <v/>
      </c>
    </row>
    <row r="25452">
      <c r="A25452" t="n">
        <v>25451</v>
      </c>
      <c r="B25452" t="inlineStr">
        <is>
          <t>x̄x̄V̅CDLI</t>
        </is>
      </c>
      <c r="C25452">
        <f>ROMAN(25451)</f>
        <v/>
      </c>
      <c r="D25452">
        <f>IF(B25452=C25452, "YES", "WRONG")</f>
        <v/>
      </c>
    </row>
    <row r="25453">
      <c r="A25453" t="n">
        <v>25452</v>
      </c>
      <c r="B25453" t="inlineStr">
        <is>
          <t>x̄x̄V̅CDLII</t>
        </is>
      </c>
      <c r="C25453">
        <f>ROMAN(25452)</f>
        <v/>
      </c>
      <c r="D25453">
        <f>IF(B25453=C25453, "YES", "WRONG")</f>
        <v/>
      </c>
    </row>
    <row r="25454">
      <c r="A25454" t="n">
        <v>25453</v>
      </c>
      <c r="B25454" t="inlineStr">
        <is>
          <t>x̄x̄V̅CDLIII</t>
        </is>
      </c>
      <c r="C25454">
        <f>ROMAN(25453)</f>
        <v/>
      </c>
      <c r="D25454">
        <f>IF(B25454=C25454, "YES", "WRONG")</f>
        <v/>
      </c>
    </row>
    <row r="25455">
      <c r="A25455" t="n">
        <v>25454</v>
      </c>
      <c r="B25455" t="inlineStr">
        <is>
          <t>x̄x̄V̅CDLIV</t>
        </is>
      </c>
      <c r="C25455">
        <f>ROMAN(25454)</f>
        <v/>
      </c>
      <c r="D25455">
        <f>IF(B25455=C25455, "YES", "WRONG")</f>
        <v/>
      </c>
    </row>
    <row r="25456">
      <c r="A25456" t="n">
        <v>25455</v>
      </c>
      <c r="B25456" t="inlineStr">
        <is>
          <t>x̄x̄V̅CDLV</t>
        </is>
      </c>
      <c r="C25456">
        <f>ROMAN(25455)</f>
        <v/>
      </c>
      <c r="D25456">
        <f>IF(B25456=C25456, "YES", "WRONG")</f>
        <v/>
      </c>
    </row>
    <row r="25457">
      <c r="A25457" t="n">
        <v>25456</v>
      </c>
      <c r="B25457" t="inlineStr">
        <is>
          <t>x̄x̄V̅CDLVI</t>
        </is>
      </c>
      <c r="C25457">
        <f>ROMAN(25456)</f>
        <v/>
      </c>
      <c r="D25457">
        <f>IF(B25457=C25457, "YES", "WRONG")</f>
        <v/>
      </c>
    </row>
    <row r="25458">
      <c r="A25458" t="n">
        <v>25457</v>
      </c>
      <c r="B25458" t="inlineStr">
        <is>
          <t>x̄x̄V̅CDLVII</t>
        </is>
      </c>
      <c r="C25458">
        <f>ROMAN(25457)</f>
        <v/>
      </c>
      <c r="D25458">
        <f>IF(B25458=C25458, "YES", "WRONG")</f>
        <v/>
      </c>
    </row>
    <row r="25459">
      <c r="A25459" t="n">
        <v>25458</v>
      </c>
      <c r="B25459" t="inlineStr">
        <is>
          <t>x̄x̄V̅CDLVIII</t>
        </is>
      </c>
      <c r="C25459">
        <f>ROMAN(25458)</f>
        <v/>
      </c>
      <c r="D25459">
        <f>IF(B25459=C25459, "YES", "WRONG")</f>
        <v/>
      </c>
    </row>
    <row r="25460">
      <c r="A25460" t="n">
        <v>25459</v>
      </c>
      <c r="B25460" t="inlineStr">
        <is>
          <t>x̄x̄V̅CDLIX</t>
        </is>
      </c>
      <c r="C25460">
        <f>ROMAN(25459)</f>
        <v/>
      </c>
      <c r="D25460">
        <f>IF(B25460=C25460, "YES", "WRONG")</f>
        <v/>
      </c>
    </row>
    <row r="25461">
      <c r="A25461" t="n">
        <v>25460</v>
      </c>
      <c r="B25461" t="inlineStr">
        <is>
          <t>x̄x̄V̅CDLX</t>
        </is>
      </c>
      <c r="C25461">
        <f>ROMAN(25460)</f>
        <v/>
      </c>
      <c r="D25461">
        <f>IF(B25461=C25461, "YES", "WRONG")</f>
        <v/>
      </c>
    </row>
    <row r="25462">
      <c r="A25462" t="n">
        <v>25461</v>
      </c>
      <c r="B25462" t="inlineStr">
        <is>
          <t>x̄x̄V̅CDLXI</t>
        </is>
      </c>
      <c r="C25462">
        <f>ROMAN(25461)</f>
        <v/>
      </c>
      <c r="D25462">
        <f>IF(B25462=C25462, "YES", "WRONG")</f>
        <v/>
      </c>
    </row>
    <row r="25463">
      <c r="A25463" t="n">
        <v>25462</v>
      </c>
      <c r="B25463" t="inlineStr">
        <is>
          <t>x̄x̄V̅CDLXII</t>
        </is>
      </c>
      <c r="C25463">
        <f>ROMAN(25462)</f>
        <v/>
      </c>
      <c r="D25463">
        <f>IF(B25463=C25463, "YES", "WRONG")</f>
        <v/>
      </c>
    </row>
    <row r="25464">
      <c r="A25464" t="n">
        <v>25463</v>
      </c>
      <c r="B25464" t="inlineStr">
        <is>
          <t>x̄x̄V̅CDLXIII</t>
        </is>
      </c>
      <c r="C25464">
        <f>ROMAN(25463)</f>
        <v/>
      </c>
      <c r="D25464">
        <f>IF(B25464=C25464, "YES", "WRONG")</f>
        <v/>
      </c>
    </row>
    <row r="25465">
      <c r="A25465" t="n">
        <v>25464</v>
      </c>
      <c r="B25465" t="inlineStr">
        <is>
          <t>x̄x̄V̅CDLXIV</t>
        </is>
      </c>
      <c r="C25465">
        <f>ROMAN(25464)</f>
        <v/>
      </c>
      <c r="D25465">
        <f>IF(B25465=C25465, "YES", "WRONG")</f>
        <v/>
      </c>
    </row>
    <row r="25466">
      <c r="A25466" t="n">
        <v>25465</v>
      </c>
      <c r="B25466" t="inlineStr">
        <is>
          <t>x̄x̄V̅CDLXV</t>
        </is>
      </c>
      <c r="C25466">
        <f>ROMAN(25465)</f>
        <v/>
      </c>
      <c r="D25466">
        <f>IF(B25466=C25466, "YES", "WRONG")</f>
        <v/>
      </c>
    </row>
    <row r="25467">
      <c r="A25467" t="n">
        <v>25466</v>
      </c>
      <c r="B25467" t="inlineStr">
        <is>
          <t>x̄x̄V̅CDLXVI</t>
        </is>
      </c>
      <c r="C25467">
        <f>ROMAN(25466)</f>
        <v/>
      </c>
      <c r="D25467">
        <f>IF(B25467=C25467, "YES", "WRONG")</f>
        <v/>
      </c>
    </row>
    <row r="25468">
      <c r="A25468" t="n">
        <v>25467</v>
      </c>
      <c r="B25468" t="inlineStr">
        <is>
          <t>x̄x̄V̅CDLXVII</t>
        </is>
      </c>
      <c r="C25468">
        <f>ROMAN(25467)</f>
        <v/>
      </c>
      <c r="D25468">
        <f>IF(B25468=C25468, "YES", "WRONG")</f>
        <v/>
      </c>
    </row>
    <row r="25469">
      <c r="A25469" t="n">
        <v>25468</v>
      </c>
      <c r="B25469" t="inlineStr">
        <is>
          <t>x̄x̄V̅CDLXVIII</t>
        </is>
      </c>
      <c r="C25469">
        <f>ROMAN(25468)</f>
        <v/>
      </c>
      <c r="D25469">
        <f>IF(B25469=C25469, "YES", "WRONG")</f>
        <v/>
      </c>
    </row>
    <row r="25470">
      <c r="A25470" t="n">
        <v>25469</v>
      </c>
      <c r="B25470" t="inlineStr">
        <is>
          <t>x̄x̄V̅CDLXIX</t>
        </is>
      </c>
      <c r="C25470">
        <f>ROMAN(25469)</f>
        <v/>
      </c>
      <c r="D25470">
        <f>IF(B25470=C25470, "YES", "WRONG")</f>
        <v/>
      </c>
    </row>
    <row r="25471">
      <c r="A25471" t="n">
        <v>25470</v>
      </c>
      <c r="B25471" t="inlineStr">
        <is>
          <t>x̄x̄V̅CDLXX</t>
        </is>
      </c>
      <c r="C25471">
        <f>ROMAN(25470)</f>
        <v/>
      </c>
      <c r="D25471">
        <f>IF(B25471=C25471, "YES", "WRONG")</f>
        <v/>
      </c>
    </row>
    <row r="25472">
      <c r="A25472" t="n">
        <v>25471</v>
      </c>
      <c r="B25472" t="inlineStr">
        <is>
          <t>x̄x̄V̅CDLXXI</t>
        </is>
      </c>
      <c r="C25472">
        <f>ROMAN(25471)</f>
        <v/>
      </c>
      <c r="D25472">
        <f>IF(B25472=C25472, "YES", "WRONG")</f>
        <v/>
      </c>
    </row>
    <row r="25473">
      <c r="A25473" t="n">
        <v>25472</v>
      </c>
      <c r="B25473" t="inlineStr">
        <is>
          <t>x̄x̄V̅CDLXXII</t>
        </is>
      </c>
      <c r="C25473">
        <f>ROMAN(25472)</f>
        <v/>
      </c>
      <c r="D25473">
        <f>IF(B25473=C25473, "YES", "WRONG")</f>
        <v/>
      </c>
    </row>
    <row r="25474">
      <c r="A25474" t="n">
        <v>25473</v>
      </c>
      <c r="B25474" t="inlineStr">
        <is>
          <t>x̄x̄V̅CDLXXIII</t>
        </is>
      </c>
      <c r="C25474">
        <f>ROMAN(25473)</f>
        <v/>
      </c>
      <c r="D25474">
        <f>IF(B25474=C25474, "YES", "WRONG")</f>
        <v/>
      </c>
    </row>
    <row r="25475">
      <c r="A25475" t="n">
        <v>25474</v>
      </c>
      <c r="B25475" t="inlineStr">
        <is>
          <t>x̄x̄V̅CDLXXIV</t>
        </is>
      </c>
      <c r="C25475">
        <f>ROMAN(25474)</f>
        <v/>
      </c>
      <c r="D25475">
        <f>IF(B25475=C25475, "YES", "WRONG")</f>
        <v/>
      </c>
    </row>
    <row r="25476">
      <c r="A25476" t="n">
        <v>25475</v>
      </c>
      <c r="B25476" t="inlineStr">
        <is>
          <t>x̄x̄V̅CDLXXV</t>
        </is>
      </c>
      <c r="C25476">
        <f>ROMAN(25475)</f>
        <v/>
      </c>
      <c r="D25476">
        <f>IF(B25476=C25476, "YES", "WRONG")</f>
        <v/>
      </c>
    </row>
    <row r="25477">
      <c r="A25477" t="n">
        <v>25476</v>
      </c>
      <c r="B25477" t="inlineStr">
        <is>
          <t>x̄x̄V̅CDLXXVI</t>
        </is>
      </c>
      <c r="C25477">
        <f>ROMAN(25476)</f>
        <v/>
      </c>
      <c r="D25477">
        <f>IF(B25477=C25477, "YES", "WRONG")</f>
        <v/>
      </c>
    </row>
    <row r="25478">
      <c r="A25478" t="n">
        <v>25477</v>
      </c>
      <c r="B25478" t="inlineStr">
        <is>
          <t>x̄x̄V̅CDLXXVII</t>
        </is>
      </c>
      <c r="C25478">
        <f>ROMAN(25477)</f>
        <v/>
      </c>
      <c r="D25478">
        <f>IF(B25478=C25478, "YES", "WRONG")</f>
        <v/>
      </c>
    </row>
    <row r="25479">
      <c r="A25479" t="n">
        <v>25478</v>
      </c>
      <c r="B25479" t="inlineStr">
        <is>
          <t>x̄x̄V̅CDLXXVIII</t>
        </is>
      </c>
      <c r="C25479">
        <f>ROMAN(25478)</f>
        <v/>
      </c>
      <c r="D25479">
        <f>IF(B25479=C25479, "YES", "WRONG")</f>
        <v/>
      </c>
    </row>
    <row r="25480">
      <c r="A25480" t="n">
        <v>25479</v>
      </c>
      <c r="B25480" t="inlineStr">
        <is>
          <t>x̄x̄V̅CDLXXIX</t>
        </is>
      </c>
      <c r="C25480">
        <f>ROMAN(25479)</f>
        <v/>
      </c>
      <c r="D25480">
        <f>IF(B25480=C25480, "YES", "WRONG")</f>
        <v/>
      </c>
    </row>
    <row r="25481">
      <c r="A25481" t="n">
        <v>25480</v>
      </c>
      <c r="B25481" t="inlineStr">
        <is>
          <t>x̄x̄V̅CDLXXX</t>
        </is>
      </c>
      <c r="C25481">
        <f>ROMAN(25480)</f>
        <v/>
      </c>
      <c r="D25481">
        <f>IF(B25481=C25481, "YES", "WRONG")</f>
        <v/>
      </c>
    </row>
    <row r="25482">
      <c r="A25482" t="n">
        <v>25481</v>
      </c>
      <c r="B25482" t="inlineStr">
        <is>
          <t>x̄x̄V̅CDLXXXI</t>
        </is>
      </c>
      <c r="C25482">
        <f>ROMAN(25481)</f>
        <v/>
      </c>
      <c r="D25482">
        <f>IF(B25482=C25482, "YES", "WRONG")</f>
        <v/>
      </c>
    </row>
    <row r="25483">
      <c r="A25483" t="n">
        <v>25482</v>
      </c>
      <c r="B25483" t="inlineStr">
        <is>
          <t>x̄x̄V̅CDLXXXII</t>
        </is>
      </c>
      <c r="C25483">
        <f>ROMAN(25482)</f>
        <v/>
      </c>
      <c r="D25483">
        <f>IF(B25483=C25483, "YES", "WRONG")</f>
        <v/>
      </c>
    </row>
    <row r="25484">
      <c r="A25484" t="n">
        <v>25483</v>
      </c>
      <c r="B25484" t="inlineStr">
        <is>
          <t>x̄x̄V̅CDLXXXIII</t>
        </is>
      </c>
      <c r="C25484">
        <f>ROMAN(25483)</f>
        <v/>
      </c>
      <c r="D25484">
        <f>IF(B25484=C25484, "YES", "WRONG")</f>
        <v/>
      </c>
    </row>
    <row r="25485">
      <c r="A25485" t="n">
        <v>25484</v>
      </c>
      <c r="B25485" t="inlineStr">
        <is>
          <t>x̄x̄V̅CDLXXXIV</t>
        </is>
      </c>
      <c r="C25485">
        <f>ROMAN(25484)</f>
        <v/>
      </c>
      <c r="D25485">
        <f>IF(B25485=C25485, "YES", "WRONG")</f>
        <v/>
      </c>
    </row>
    <row r="25486">
      <c r="A25486" t="n">
        <v>25485</v>
      </c>
      <c r="B25486" t="inlineStr">
        <is>
          <t>x̄x̄V̅CDLXXXV</t>
        </is>
      </c>
      <c r="C25486">
        <f>ROMAN(25485)</f>
        <v/>
      </c>
      <c r="D25486">
        <f>IF(B25486=C25486, "YES", "WRONG")</f>
        <v/>
      </c>
    </row>
    <row r="25487">
      <c r="A25487" t="n">
        <v>25486</v>
      </c>
      <c r="B25487" t="inlineStr">
        <is>
          <t>x̄x̄V̅CDLXXXVI</t>
        </is>
      </c>
      <c r="C25487">
        <f>ROMAN(25486)</f>
        <v/>
      </c>
      <c r="D25487">
        <f>IF(B25487=C25487, "YES", "WRONG")</f>
        <v/>
      </c>
    </row>
    <row r="25488">
      <c r="A25488" t="n">
        <v>25487</v>
      </c>
      <c r="B25488" t="inlineStr">
        <is>
          <t>x̄x̄V̅CDLXXXVII</t>
        </is>
      </c>
      <c r="C25488">
        <f>ROMAN(25487)</f>
        <v/>
      </c>
      <c r="D25488">
        <f>IF(B25488=C25488, "YES", "WRONG")</f>
        <v/>
      </c>
    </row>
    <row r="25489">
      <c r="A25489" t="n">
        <v>25488</v>
      </c>
      <c r="B25489" t="inlineStr">
        <is>
          <t>x̄x̄V̅CDLXXXVIII</t>
        </is>
      </c>
      <c r="C25489">
        <f>ROMAN(25488)</f>
        <v/>
      </c>
      <c r="D25489">
        <f>IF(B25489=C25489, "YES", "WRONG")</f>
        <v/>
      </c>
    </row>
    <row r="25490">
      <c r="A25490" t="n">
        <v>25489</v>
      </c>
      <c r="B25490" t="inlineStr">
        <is>
          <t>x̄x̄V̅CDLXXXIX</t>
        </is>
      </c>
      <c r="C25490">
        <f>ROMAN(25489)</f>
        <v/>
      </c>
      <c r="D25490">
        <f>IF(B25490=C25490, "YES", "WRONG")</f>
        <v/>
      </c>
    </row>
    <row r="25491">
      <c r="A25491" t="n">
        <v>25490</v>
      </c>
      <c r="B25491" t="inlineStr">
        <is>
          <t>x̄x̄V̅CDXC</t>
        </is>
      </c>
      <c r="C25491">
        <f>ROMAN(25490)</f>
        <v/>
      </c>
      <c r="D25491">
        <f>IF(B25491=C25491, "YES", "WRONG")</f>
        <v/>
      </c>
    </row>
    <row r="25492">
      <c r="A25492" t="n">
        <v>25491</v>
      </c>
      <c r="B25492" t="inlineStr">
        <is>
          <t>x̄x̄V̅CDXCI</t>
        </is>
      </c>
      <c r="C25492">
        <f>ROMAN(25491)</f>
        <v/>
      </c>
      <c r="D25492">
        <f>IF(B25492=C25492, "YES", "WRONG")</f>
        <v/>
      </c>
    </row>
    <row r="25493">
      <c r="A25493" t="n">
        <v>25492</v>
      </c>
      <c r="B25493" t="inlineStr">
        <is>
          <t>x̄x̄V̅CDXCII</t>
        </is>
      </c>
      <c r="C25493">
        <f>ROMAN(25492)</f>
        <v/>
      </c>
      <c r="D25493">
        <f>IF(B25493=C25493, "YES", "WRONG")</f>
        <v/>
      </c>
    </row>
    <row r="25494">
      <c r="A25494" t="n">
        <v>25493</v>
      </c>
      <c r="B25494" t="inlineStr">
        <is>
          <t>x̄x̄V̅CDXCIII</t>
        </is>
      </c>
      <c r="C25494">
        <f>ROMAN(25493)</f>
        <v/>
      </c>
      <c r="D25494">
        <f>IF(B25494=C25494, "YES", "WRONG")</f>
        <v/>
      </c>
    </row>
    <row r="25495">
      <c r="A25495" t="n">
        <v>25494</v>
      </c>
      <c r="B25495" t="inlineStr">
        <is>
          <t>x̄x̄V̅CDXCIV</t>
        </is>
      </c>
      <c r="C25495">
        <f>ROMAN(25494)</f>
        <v/>
      </c>
      <c r="D25495">
        <f>IF(B25495=C25495, "YES", "WRONG")</f>
        <v/>
      </c>
    </row>
    <row r="25496">
      <c r="A25496" t="n">
        <v>25495</v>
      </c>
      <c r="B25496" t="inlineStr">
        <is>
          <t>x̄x̄V̅CDXCV</t>
        </is>
      </c>
      <c r="C25496">
        <f>ROMAN(25495)</f>
        <v/>
      </c>
      <c r="D25496">
        <f>IF(B25496=C25496, "YES", "WRONG")</f>
        <v/>
      </c>
    </row>
    <row r="25497">
      <c r="A25497" t="n">
        <v>25496</v>
      </c>
      <c r="B25497" t="inlineStr">
        <is>
          <t>x̄x̄V̅CDXCVI</t>
        </is>
      </c>
      <c r="C25497">
        <f>ROMAN(25496)</f>
        <v/>
      </c>
      <c r="D25497">
        <f>IF(B25497=C25497, "YES", "WRONG")</f>
        <v/>
      </c>
    </row>
    <row r="25498">
      <c r="A25498" t="n">
        <v>25497</v>
      </c>
      <c r="B25498" t="inlineStr">
        <is>
          <t>x̄x̄V̅CDXCVII</t>
        </is>
      </c>
      <c r="C25498">
        <f>ROMAN(25497)</f>
        <v/>
      </c>
      <c r="D25498">
        <f>IF(B25498=C25498, "YES", "WRONG")</f>
        <v/>
      </c>
    </row>
    <row r="25499">
      <c r="A25499" t="n">
        <v>25498</v>
      </c>
      <c r="B25499" t="inlineStr">
        <is>
          <t>x̄x̄V̅CDXCVIII</t>
        </is>
      </c>
      <c r="C25499">
        <f>ROMAN(25498)</f>
        <v/>
      </c>
      <c r="D25499">
        <f>IF(B25499=C25499, "YES", "WRONG")</f>
        <v/>
      </c>
    </row>
    <row r="25500">
      <c r="A25500" t="n">
        <v>25499</v>
      </c>
      <c r="B25500" t="inlineStr">
        <is>
          <t>x̄x̄V̅CDXCIX</t>
        </is>
      </c>
      <c r="C25500">
        <f>ROMAN(25499)</f>
        <v/>
      </c>
      <c r="D25500">
        <f>IF(B25500=C25500, "YES", "WRONG")</f>
        <v/>
      </c>
    </row>
    <row r="25501">
      <c r="A25501" t="n">
        <v>25500</v>
      </c>
      <c r="B25501" t="inlineStr">
        <is>
          <t>x̄x̄V̅D</t>
        </is>
      </c>
      <c r="C25501">
        <f>ROMAN(25500)</f>
        <v/>
      </c>
      <c r="D25501">
        <f>IF(B25501=C25501, "YES", "WRONG")</f>
        <v/>
      </c>
    </row>
    <row r="25502">
      <c r="A25502" t="n">
        <v>25501</v>
      </c>
      <c r="B25502" t="inlineStr">
        <is>
          <t>x̄x̄V̅DI</t>
        </is>
      </c>
      <c r="C25502">
        <f>ROMAN(25501)</f>
        <v/>
      </c>
      <c r="D25502">
        <f>IF(B25502=C25502, "YES", "WRONG")</f>
        <v/>
      </c>
    </row>
    <row r="25503">
      <c r="A25503" t="n">
        <v>25502</v>
      </c>
      <c r="B25503" t="inlineStr">
        <is>
          <t>x̄x̄V̅DII</t>
        </is>
      </c>
      <c r="C25503">
        <f>ROMAN(25502)</f>
        <v/>
      </c>
      <c r="D25503">
        <f>IF(B25503=C25503, "YES", "WRONG")</f>
        <v/>
      </c>
    </row>
    <row r="25504">
      <c r="A25504" t="n">
        <v>25503</v>
      </c>
      <c r="B25504" t="inlineStr">
        <is>
          <t>x̄x̄V̅DIII</t>
        </is>
      </c>
      <c r="C25504">
        <f>ROMAN(25503)</f>
        <v/>
      </c>
      <c r="D25504">
        <f>IF(B25504=C25504, "YES", "WRONG")</f>
        <v/>
      </c>
    </row>
    <row r="25505">
      <c r="A25505" t="n">
        <v>25504</v>
      </c>
      <c r="B25505" t="inlineStr">
        <is>
          <t>x̄x̄V̅DIV</t>
        </is>
      </c>
      <c r="C25505">
        <f>ROMAN(25504)</f>
        <v/>
      </c>
      <c r="D25505">
        <f>IF(B25505=C25505, "YES", "WRONG")</f>
        <v/>
      </c>
    </row>
    <row r="25506">
      <c r="A25506" t="n">
        <v>25505</v>
      </c>
      <c r="B25506" t="inlineStr">
        <is>
          <t>x̄x̄V̅DV</t>
        </is>
      </c>
      <c r="C25506">
        <f>ROMAN(25505)</f>
        <v/>
      </c>
      <c r="D25506">
        <f>IF(B25506=C25506, "YES", "WRONG")</f>
        <v/>
      </c>
    </row>
    <row r="25507">
      <c r="A25507" t="n">
        <v>25506</v>
      </c>
      <c r="B25507" t="inlineStr">
        <is>
          <t>x̄x̄V̅DVI</t>
        </is>
      </c>
      <c r="C25507">
        <f>ROMAN(25506)</f>
        <v/>
      </c>
      <c r="D25507">
        <f>IF(B25507=C25507, "YES", "WRONG")</f>
        <v/>
      </c>
    </row>
    <row r="25508">
      <c r="A25508" t="n">
        <v>25507</v>
      </c>
      <c r="B25508" t="inlineStr">
        <is>
          <t>x̄x̄V̅DVII</t>
        </is>
      </c>
      <c r="C25508">
        <f>ROMAN(25507)</f>
        <v/>
      </c>
      <c r="D25508">
        <f>IF(B25508=C25508, "YES", "WRONG")</f>
        <v/>
      </c>
    </row>
    <row r="25509">
      <c r="A25509" t="n">
        <v>25508</v>
      </c>
      <c r="B25509" t="inlineStr">
        <is>
          <t>x̄x̄V̅DVIII</t>
        </is>
      </c>
      <c r="C25509">
        <f>ROMAN(25508)</f>
        <v/>
      </c>
      <c r="D25509">
        <f>IF(B25509=C25509, "YES", "WRONG")</f>
        <v/>
      </c>
    </row>
    <row r="25510">
      <c r="A25510" t="n">
        <v>25509</v>
      </c>
      <c r="B25510" t="inlineStr">
        <is>
          <t>x̄x̄V̅DIX</t>
        </is>
      </c>
      <c r="C25510">
        <f>ROMAN(25509)</f>
        <v/>
      </c>
      <c r="D25510">
        <f>IF(B25510=C25510, "YES", "WRONG")</f>
        <v/>
      </c>
    </row>
    <row r="25511">
      <c r="A25511" t="n">
        <v>25510</v>
      </c>
      <c r="B25511" t="inlineStr">
        <is>
          <t>x̄x̄V̅DX</t>
        </is>
      </c>
      <c r="C25511">
        <f>ROMAN(25510)</f>
        <v/>
      </c>
      <c r="D25511">
        <f>IF(B25511=C25511, "YES", "WRONG")</f>
        <v/>
      </c>
    </row>
    <row r="25512">
      <c r="A25512" t="n">
        <v>25511</v>
      </c>
      <c r="B25512" t="inlineStr">
        <is>
          <t>x̄x̄V̅DXI</t>
        </is>
      </c>
      <c r="C25512">
        <f>ROMAN(25511)</f>
        <v/>
      </c>
      <c r="D25512">
        <f>IF(B25512=C25512, "YES", "WRONG")</f>
        <v/>
      </c>
    </row>
    <row r="25513">
      <c r="A25513" t="n">
        <v>25512</v>
      </c>
      <c r="B25513" t="inlineStr">
        <is>
          <t>x̄x̄V̅DXII</t>
        </is>
      </c>
      <c r="C25513">
        <f>ROMAN(25512)</f>
        <v/>
      </c>
      <c r="D25513">
        <f>IF(B25513=C25513, "YES", "WRONG")</f>
        <v/>
      </c>
    </row>
    <row r="25514">
      <c r="A25514" t="n">
        <v>25513</v>
      </c>
      <c r="B25514" t="inlineStr">
        <is>
          <t>x̄x̄V̅DXIII</t>
        </is>
      </c>
      <c r="C25514">
        <f>ROMAN(25513)</f>
        <v/>
      </c>
      <c r="D25514">
        <f>IF(B25514=C25514, "YES", "WRONG")</f>
        <v/>
      </c>
    </row>
    <row r="25515">
      <c r="A25515" t="n">
        <v>25514</v>
      </c>
      <c r="B25515" t="inlineStr">
        <is>
          <t>x̄x̄V̅DXIV</t>
        </is>
      </c>
      <c r="C25515">
        <f>ROMAN(25514)</f>
        <v/>
      </c>
      <c r="D25515">
        <f>IF(B25515=C25515, "YES", "WRONG")</f>
        <v/>
      </c>
    </row>
    <row r="25516">
      <c r="A25516" t="n">
        <v>25515</v>
      </c>
      <c r="B25516" t="inlineStr">
        <is>
          <t>x̄x̄V̅DXV</t>
        </is>
      </c>
      <c r="C25516">
        <f>ROMAN(25515)</f>
        <v/>
      </c>
      <c r="D25516">
        <f>IF(B25516=C25516, "YES", "WRONG")</f>
        <v/>
      </c>
    </row>
    <row r="25517">
      <c r="A25517" t="n">
        <v>25516</v>
      </c>
      <c r="B25517" t="inlineStr">
        <is>
          <t>x̄x̄V̅DXVI</t>
        </is>
      </c>
      <c r="C25517">
        <f>ROMAN(25516)</f>
        <v/>
      </c>
      <c r="D25517">
        <f>IF(B25517=C25517, "YES", "WRONG")</f>
        <v/>
      </c>
    </row>
    <row r="25518">
      <c r="A25518" t="n">
        <v>25517</v>
      </c>
      <c r="B25518" t="inlineStr">
        <is>
          <t>x̄x̄V̅DXVII</t>
        </is>
      </c>
      <c r="C25518">
        <f>ROMAN(25517)</f>
        <v/>
      </c>
      <c r="D25518">
        <f>IF(B25518=C25518, "YES", "WRONG")</f>
        <v/>
      </c>
    </row>
    <row r="25519">
      <c r="A25519" t="n">
        <v>25518</v>
      </c>
      <c r="B25519" t="inlineStr">
        <is>
          <t>x̄x̄V̅DXVIII</t>
        </is>
      </c>
      <c r="C25519">
        <f>ROMAN(25518)</f>
        <v/>
      </c>
      <c r="D25519">
        <f>IF(B25519=C25519, "YES", "WRONG")</f>
        <v/>
      </c>
    </row>
    <row r="25520">
      <c r="A25520" t="n">
        <v>25519</v>
      </c>
      <c r="B25520" t="inlineStr">
        <is>
          <t>x̄x̄V̅DXIX</t>
        </is>
      </c>
      <c r="C25520">
        <f>ROMAN(25519)</f>
        <v/>
      </c>
      <c r="D25520">
        <f>IF(B25520=C25520, "YES", "WRONG")</f>
        <v/>
      </c>
    </row>
    <row r="25521">
      <c r="A25521" t="n">
        <v>25520</v>
      </c>
      <c r="B25521" t="inlineStr">
        <is>
          <t>x̄x̄V̅DXX</t>
        </is>
      </c>
      <c r="C25521">
        <f>ROMAN(25520)</f>
        <v/>
      </c>
      <c r="D25521">
        <f>IF(B25521=C25521, "YES", "WRONG")</f>
        <v/>
      </c>
    </row>
    <row r="25522">
      <c r="A25522" t="n">
        <v>25521</v>
      </c>
      <c r="B25522" t="inlineStr">
        <is>
          <t>x̄x̄V̅DXXI</t>
        </is>
      </c>
      <c r="C25522">
        <f>ROMAN(25521)</f>
        <v/>
      </c>
      <c r="D25522">
        <f>IF(B25522=C25522, "YES", "WRONG")</f>
        <v/>
      </c>
    </row>
    <row r="25523">
      <c r="A25523" t="n">
        <v>25522</v>
      </c>
      <c r="B25523" t="inlineStr">
        <is>
          <t>x̄x̄V̅DXXII</t>
        </is>
      </c>
      <c r="C25523">
        <f>ROMAN(25522)</f>
        <v/>
      </c>
      <c r="D25523">
        <f>IF(B25523=C25523, "YES", "WRONG")</f>
        <v/>
      </c>
    </row>
    <row r="25524">
      <c r="A25524" t="n">
        <v>25523</v>
      </c>
      <c r="B25524" t="inlineStr">
        <is>
          <t>x̄x̄V̅DXXIII</t>
        </is>
      </c>
      <c r="C25524">
        <f>ROMAN(25523)</f>
        <v/>
      </c>
      <c r="D25524">
        <f>IF(B25524=C25524, "YES", "WRONG")</f>
        <v/>
      </c>
    </row>
    <row r="25525">
      <c r="A25525" t="n">
        <v>25524</v>
      </c>
      <c r="B25525" t="inlineStr">
        <is>
          <t>x̄x̄V̅DXXIV</t>
        </is>
      </c>
      <c r="C25525">
        <f>ROMAN(25524)</f>
        <v/>
      </c>
      <c r="D25525">
        <f>IF(B25525=C25525, "YES", "WRONG")</f>
        <v/>
      </c>
    </row>
    <row r="25526">
      <c r="A25526" t="n">
        <v>25525</v>
      </c>
      <c r="B25526" t="inlineStr">
        <is>
          <t>x̄x̄V̅DXXV</t>
        </is>
      </c>
      <c r="C25526">
        <f>ROMAN(25525)</f>
        <v/>
      </c>
      <c r="D25526">
        <f>IF(B25526=C25526, "YES", "WRONG")</f>
        <v/>
      </c>
    </row>
    <row r="25527">
      <c r="A25527" t="n">
        <v>25526</v>
      </c>
      <c r="B25527" t="inlineStr">
        <is>
          <t>x̄x̄V̅DXXVI</t>
        </is>
      </c>
      <c r="C25527">
        <f>ROMAN(25526)</f>
        <v/>
      </c>
      <c r="D25527">
        <f>IF(B25527=C25527, "YES", "WRONG")</f>
        <v/>
      </c>
    </row>
    <row r="25528">
      <c r="A25528" t="n">
        <v>25527</v>
      </c>
      <c r="B25528" t="inlineStr">
        <is>
          <t>x̄x̄V̅DXXVII</t>
        </is>
      </c>
      <c r="C25528">
        <f>ROMAN(25527)</f>
        <v/>
      </c>
      <c r="D25528">
        <f>IF(B25528=C25528, "YES", "WRONG")</f>
        <v/>
      </c>
    </row>
    <row r="25529">
      <c r="A25529" t="n">
        <v>25528</v>
      </c>
      <c r="B25529" t="inlineStr">
        <is>
          <t>x̄x̄V̅DXXVIII</t>
        </is>
      </c>
      <c r="C25529">
        <f>ROMAN(25528)</f>
        <v/>
      </c>
      <c r="D25529">
        <f>IF(B25529=C25529, "YES", "WRONG")</f>
        <v/>
      </c>
    </row>
    <row r="25530">
      <c r="A25530" t="n">
        <v>25529</v>
      </c>
      <c r="B25530" t="inlineStr">
        <is>
          <t>x̄x̄V̅DXXIX</t>
        </is>
      </c>
      <c r="C25530">
        <f>ROMAN(25529)</f>
        <v/>
      </c>
      <c r="D25530">
        <f>IF(B25530=C25530, "YES", "WRONG")</f>
        <v/>
      </c>
    </row>
    <row r="25531">
      <c r="A25531" t="n">
        <v>25530</v>
      </c>
      <c r="B25531" t="inlineStr">
        <is>
          <t>x̄x̄V̅DXXX</t>
        </is>
      </c>
      <c r="C25531">
        <f>ROMAN(25530)</f>
        <v/>
      </c>
      <c r="D25531">
        <f>IF(B25531=C25531, "YES", "WRONG")</f>
        <v/>
      </c>
    </row>
    <row r="25532">
      <c r="A25532" t="n">
        <v>25531</v>
      </c>
      <c r="B25532" t="inlineStr">
        <is>
          <t>x̄x̄V̅DXXXI</t>
        </is>
      </c>
      <c r="C25532">
        <f>ROMAN(25531)</f>
        <v/>
      </c>
      <c r="D25532">
        <f>IF(B25532=C25532, "YES", "WRONG")</f>
        <v/>
      </c>
    </row>
    <row r="25533">
      <c r="A25533" t="n">
        <v>25532</v>
      </c>
      <c r="B25533" t="inlineStr">
        <is>
          <t>x̄x̄V̅DXXXII</t>
        </is>
      </c>
      <c r="C25533">
        <f>ROMAN(25532)</f>
        <v/>
      </c>
      <c r="D25533">
        <f>IF(B25533=C25533, "YES", "WRONG")</f>
        <v/>
      </c>
    </row>
    <row r="25534">
      <c r="A25534" t="n">
        <v>25533</v>
      </c>
      <c r="B25534" t="inlineStr">
        <is>
          <t>x̄x̄V̅DXXXIII</t>
        </is>
      </c>
      <c r="C25534">
        <f>ROMAN(25533)</f>
        <v/>
      </c>
      <c r="D25534">
        <f>IF(B25534=C25534, "YES", "WRONG")</f>
        <v/>
      </c>
    </row>
    <row r="25535">
      <c r="A25535" t="n">
        <v>25534</v>
      </c>
      <c r="B25535" t="inlineStr">
        <is>
          <t>x̄x̄V̅DXXXIV</t>
        </is>
      </c>
      <c r="C25535">
        <f>ROMAN(25534)</f>
        <v/>
      </c>
      <c r="D25535">
        <f>IF(B25535=C25535, "YES", "WRONG")</f>
        <v/>
      </c>
    </row>
    <row r="25536">
      <c r="A25536" t="n">
        <v>25535</v>
      </c>
      <c r="B25536" t="inlineStr">
        <is>
          <t>x̄x̄V̅DXXXV</t>
        </is>
      </c>
      <c r="C25536">
        <f>ROMAN(25535)</f>
        <v/>
      </c>
      <c r="D25536">
        <f>IF(B25536=C25536, "YES", "WRONG")</f>
        <v/>
      </c>
    </row>
    <row r="25537">
      <c r="A25537" t="n">
        <v>25536</v>
      </c>
      <c r="B25537" t="inlineStr">
        <is>
          <t>x̄x̄V̅DXXXVI</t>
        </is>
      </c>
      <c r="C25537">
        <f>ROMAN(25536)</f>
        <v/>
      </c>
      <c r="D25537">
        <f>IF(B25537=C25537, "YES", "WRONG")</f>
        <v/>
      </c>
    </row>
    <row r="25538">
      <c r="A25538" t="n">
        <v>25537</v>
      </c>
      <c r="B25538" t="inlineStr">
        <is>
          <t>x̄x̄V̅DXXXVII</t>
        </is>
      </c>
      <c r="C25538">
        <f>ROMAN(25537)</f>
        <v/>
      </c>
      <c r="D25538">
        <f>IF(B25538=C25538, "YES", "WRONG")</f>
        <v/>
      </c>
    </row>
    <row r="25539">
      <c r="A25539" t="n">
        <v>25538</v>
      </c>
      <c r="B25539" t="inlineStr">
        <is>
          <t>x̄x̄V̅DXXXVIII</t>
        </is>
      </c>
      <c r="C25539">
        <f>ROMAN(25538)</f>
        <v/>
      </c>
      <c r="D25539">
        <f>IF(B25539=C25539, "YES", "WRONG")</f>
        <v/>
      </c>
    </row>
    <row r="25540">
      <c r="A25540" t="n">
        <v>25539</v>
      </c>
      <c r="B25540" t="inlineStr">
        <is>
          <t>x̄x̄V̅DXXXIX</t>
        </is>
      </c>
      <c r="C25540">
        <f>ROMAN(25539)</f>
        <v/>
      </c>
      <c r="D25540">
        <f>IF(B25540=C25540, "YES", "WRONG")</f>
        <v/>
      </c>
    </row>
    <row r="25541">
      <c r="A25541" t="n">
        <v>25540</v>
      </c>
      <c r="B25541" t="inlineStr">
        <is>
          <t>x̄x̄V̅DXL</t>
        </is>
      </c>
      <c r="C25541">
        <f>ROMAN(25540)</f>
        <v/>
      </c>
      <c r="D25541">
        <f>IF(B25541=C25541, "YES", "WRONG")</f>
        <v/>
      </c>
    </row>
    <row r="25542">
      <c r="A25542" t="n">
        <v>25541</v>
      </c>
      <c r="B25542" t="inlineStr">
        <is>
          <t>x̄x̄V̅DXLI</t>
        </is>
      </c>
      <c r="C25542">
        <f>ROMAN(25541)</f>
        <v/>
      </c>
      <c r="D25542">
        <f>IF(B25542=C25542, "YES", "WRONG")</f>
        <v/>
      </c>
    </row>
    <row r="25543">
      <c r="A25543" t="n">
        <v>25542</v>
      </c>
      <c r="B25543" t="inlineStr">
        <is>
          <t>x̄x̄V̅DXLII</t>
        </is>
      </c>
      <c r="C25543">
        <f>ROMAN(25542)</f>
        <v/>
      </c>
      <c r="D25543">
        <f>IF(B25543=C25543, "YES", "WRONG")</f>
        <v/>
      </c>
    </row>
    <row r="25544">
      <c r="A25544" t="n">
        <v>25543</v>
      </c>
      <c r="B25544" t="inlineStr">
        <is>
          <t>x̄x̄V̅DXLIII</t>
        </is>
      </c>
      <c r="C25544">
        <f>ROMAN(25543)</f>
        <v/>
      </c>
      <c r="D25544">
        <f>IF(B25544=C25544, "YES", "WRONG")</f>
        <v/>
      </c>
    </row>
    <row r="25545">
      <c r="A25545" t="n">
        <v>25544</v>
      </c>
      <c r="B25545" t="inlineStr">
        <is>
          <t>x̄x̄V̅DXLIV</t>
        </is>
      </c>
      <c r="C25545">
        <f>ROMAN(25544)</f>
        <v/>
      </c>
      <c r="D25545">
        <f>IF(B25545=C25545, "YES", "WRONG")</f>
        <v/>
      </c>
    </row>
    <row r="25546">
      <c r="A25546" t="n">
        <v>25545</v>
      </c>
      <c r="B25546" t="inlineStr">
        <is>
          <t>x̄x̄V̅DXLV</t>
        </is>
      </c>
      <c r="C25546">
        <f>ROMAN(25545)</f>
        <v/>
      </c>
      <c r="D25546">
        <f>IF(B25546=C25546, "YES", "WRONG")</f>
        <v/>
      </c>
    </row>
    <row r="25547">
      <c r="A25547" t="n">
        <v>25546</v>
      </c>
      <c r="B25547" t="inlineStr">
        <is>
          <t>x̄x̄V̅DXLVI</t>
        </is>
      </c>
      <c r="C25547">
        <f>ROMAN(25546)</f>
        <v/>
      </c>
      <c r="D25547">
        <f>IF(B25547=C25547, "YES", "WRONG")</f>
        <v/>
      </c>
    </row>
    <row r="25548">
      <c r="A25548" t="n">
        <v>25547</v>
      </c>
      <c r="B25548" t="inlineStr">
        <is>
          <t>x̄x̄V̅DXLVII</t>
        </is>
      </c>
      <c r="C25548">
        <f>ROMAN(25547)</f>
        <v/>
      </c>
      <c r="D25548">
        <f>IF(B25548=C25548, "YES", "WRONG")</f>
        <v/>
      </c>
    </row>
    <row r="25549">
      <c r="A25549" t="n">
        <v>25548</v>
      </c>
      <c r="B25549" t="inlineStr">
        <is>
          <t>x̄x̄V̅DXLVIII</t>
        </is>
      </c>
      <c r="C25549">
        <f>ROMAN(25548)</f>
        <v/>
      </c>
      <c r="D25549">
        <f>IF(B25549=C25549, "YES", "WRONG")</f>
        <v/>
      </c>
    </row>
    <row r="25550">
      <c r="A25550" t="n">
        <v>25549</v>
      </c>
      <c r="B25550" t="inlineStr">
        <is>
          <t>x̄x̄V̅DXLIX</t>
        </is>
      </c>
      <c r="C25550">
        <f>ROMAN(25549)</f>
        <v/>
      </c>
      <c r="D25550">
        <f>IF(B25550=C25550, "YES", "WRONG")</f>
        <v/>
      </c>
    </row>
    <row r="25551">
      <c r="A25551" t="n">
        <v>25550</v>
      </c>
      <c r="B25551" t="inlineStr">
        <is>
          <t>x̄x̄V̅DL</t>
        </is>
      </c>
      <c r="C25551">
        <f>ROMAN(25550)</f>
        <v/>
      </c>
      <c r="D25551">
        <f>IF(B25551=C25551, "YES", "WRONG")</f>
        <v/>
      </c>
    </row>
    <row r="25552">
      <c r="A25552" t="n">
        <v>25551</v>
      </c>
      <c r="B25552" t="inlineStr">
        <is>
          <t>x̄x̄V̅DLI</t>
        </is>
      </c>
      <c r="C25552">
        <f>ROMAN(25551)</f>
        <v/>
      </c>
      <c r="D25552">
        <f>IF(B25552=C25552, "YES", "WRONG")</f>
        <v/>
      </c>
    </row>
    <row r="25553">
      <c r="A25553" t="n">
        <v>25552</v>
      </c>
      <c r="B25553" t="inlineStr">
        <is>
          <t>x̄x̄V̅DLII</t>
        </is>
      </c>
      <c r="C25553">
        <f>ROMAN(25552)</f>
        <v/>
      </c>
      <c r="D25553">
        <f>IF(B25553=C25553, "YES", "WRONG")</f>
        <v/>
      </c>
    </row>
    <row r="25554">
      <c r="A25554" t="n">
        <v>25553</v>
      </c>
      <c r="B25554" t="inlineStr">
        <is>
          <t>x̄x̄V̅DLIII</t>
        </is>
      </c>
      <c r="C25554">
        <f>ROMAN(25553)</f>
        <v/>
      </c>
      <c r="D25554">
        <f>IF(B25554=C25554, "YES", "WRONG")</f>
        <v/>
      </c>
    </row>
    <row r="25555">
      <c r="A25555" t="n">
        <v>25554</v>
      </c>
      <c r="B25555" t="inlineStr">
        <is>
          <t>x̄x̄V̅DLIV</t>
        </is>
      </c>
      <c r="C25555">
        <f>ROMAN(25554)</f>
        <v/>
      </c>
      <c r="D25555">
        <f>IF(B25555=C25555, "YES", "WRONG")</f>
        <v/>
      </c>
    </row>
    <row r="25556">
      <c r="A25556" t="n">
        <v>25555</v>
      </c>
      <c r="B25556" t="inlineStr">
        <is>
          <t>x̄x̄V̅DLV</t>
        </is>
      </c>
      <c r="C25556">
        <f>ROMAN(25555)</f>
        <v/>
      </c>
      <c r="D25556">
        <f>IF(B25556=C25556, "YES", "WRONG")</f>
        <v/>
      </c>
    </row>
    <row r="25557">
      <c r="A25557" t="n">
        <v>25556</v>
      </c>
      <c r="B25557" t="inlineStr">
        <is>
          <t>x̄x̄V̅DLVI</t>
        </is>
      </c>
      <c r="C25557">
        <f>ROMAN(25556)</f>
        <v/>
      </c>
      <c r="D25557">
        <f>IF(B25557=C25557, "YES", "WRONG")</f>
        <v/>
      </c>
    </row>
    <row r="25558">
      <c r="A25558" t="n">
        <v>25557</v>
      </c>
      <c r="B25558" t="inlineStr">
        <is>
          <t>x̄x̄V̅DLVII</t>
        </is>
      </c>
      <c r="C25558">
        <f>ROMAN(25557)</f>
        <v/>
      </c>
      <c r="D25558">
        <f>IF(B25558=C25558, "YES", "WRONG")</f>
        <v/>
      </c>
    </row>
    <row r="25559">
      <c r="A25559" t="n">
        <v>25558</v>
      </c>
      <c r="B25559" t="inlineStr">
        <is>
          <t>x̄x̄V̅DLVIII</t>
        </is>
      </c>
      <c r="C25559">
        <f>ROMAN(25558)</f>
        <v/>
      </c>
      <c r="D25559">
        <f>IF(B25559=C25559, "YES", "WRONG")</f>
        <v/>
      </c>
    </row>
    <row r="25560">
      <c r="A25560" t="n">
        <v>25559</v>
      </c>
      <c r="B25560" t="inlineStr">
        <is>
          <t>x̄x̄V̅DLIX</t>
        </is>
      </c>
      <c r="C25560">
        <f>ROMAN(25559)</f>
        <v/>
      </c>
      <c r="D25560">
        <f>IF(B25560=C25560, "YES", "WRONG")</f>
        <v/>
      </c>
    </row>
    <row r="25561">
      <c r="A25561" t="n">
        <v>25560</v>
      </c>
      <c r="B25561" t="inlineStr">
        <is>
          <t>x̄x̄V̅DLX</t>
        </is>
      </c>
      <c r="C25561">
        <f>ROMAN(25560)</f>
        <v/>
      </c>
      <c r="D25561">
        <f>IF(B25561=C25561, "YES", "WRONG")</f>
        <v/>
      </c>
    </row>
    <row r="25562">
      <c r="A25562" t="n">
        <v>25561</v>
      </c>
      <c r="B25562" t="inlineStr">
        <is>
          <t>x̄x̄V̅DLXI</t>
        </is>
      </c>
      <c r="C25562">
        <f>ROMAN(25561)</f>
        <v/>
      </c>
      <c r="D25562">
        <f>IF(B25562=C25562, "YES", "WRONG")</f>
        <v/>
      </c>
    </row>
    <row r="25563">
      <c r="A25563" t="n">
        <v>25562</v>
      </c>
      <c r="B25563" t="inlineStr">
        <is>
          <t>x̄x̄V̅DLXII</t>
        </is>
      </c>
      <c r="C25563">
        <f>ROMAN(25562)</f>
        <v/>
      </c>
      <c r="D25563">
        <f>IF(B25563=C25563, "YES", "WRONG")</f>
        <v/>
      </c>
    </row>
    <row r="25564">
      <c r="A25564" t="n">
        <v>25563</v>
      </c>
      <c r="B25564" t="inlineStr">
        <is>
          <t>x̄x̄V̅DLXIII</t>
        </is>
      </c>
      <c r="C25564">
        <f>ROMAN(25563)</f>
        <v/>
      </c>
      <c r="D25564">
        <f>IF(B25564=C25564, "YES", "WRONG")</f>
        <v/>
      </c>
    </row>
    <row r="25565">
      <c r="A25565" t="n">
        <v>25564</v>
      </c>
      <c r="B25565" t="inlineStr">
        <is>
          <t>x̄x̄V̅DLXIV</t>
        </is>
      </c>
      <c r="C25565">
        <f>ROMAN(25564)</f>
        <v/>
      </c>
      <c r="D25565">
        <f>IF(B25565=C25565, "YES", "WRONG")</f>
        <v/>
      </c>
    </row>
    <row r="25566">
      <c r="A25566" t="n">
        <v>25565</v>
      </c>
      <c r="B25566" t="inlineStr">
        <is>
          <t>x̄x̄V̅DLXV</t>
        </is>
      </c>
      <c r="C25566">
        <f>ROMAN(25565)</f>
        <v/>
      </c>
      <c r="D25566">
        <f>IF(B25566=C25566, "YES", "WRONG")</f>
        <v/>
      </c>
    </row>
    <row r="25567">
      <c r="A25567" t="n">
        <v>25566</v>
      </c>
      <c r="B25567" t="inlineStr">
        <is>
          <t>x̄x̄V̅DLXVI</t>
        </is>
      </c>
      <c r="C25567">
        <f>ROMAN(25566)</f>
        <v/>
      </c>
      <c r="D25567">
        <f>IF(B25567=C25567, "YES", "WRONG")</f>
        <v/>
      </c>
    </row>
    <row r="25568">
      <c r="A25568" t="n">
        <v>25567</v>
      </c>
      <c r="B25568" t="inlineStr">
        <is>
          <t>x̄x̄V̅DLXVII</t>
        </is>
      </c>
      <c r="C25568">
        <f>ROMAN(25567)</f>
        <v/>
      </c>
      <c r="D25568">
        <f>IF(B25568=C25568, "YES", "WRONG")</f>
        <v/>
      </c>
    </row>
    <row r="25569">
      <c r="A25569" t="n">
        <v>25568</v>
      </c>
      <c r="B25569" t="inlineStr">
        <is>
          <t>x̄x̄V̅DLXVIII</t>
        </is>
      </c>
      <c r="C25569">
        <f>ROMAN(25568)</f>
        <v/>
      </c>
      <c r="D25569">
        <f>IF(B25569=C25569, "YES", "WRONG")</f>
        <v/>
      </c>
    </row>
    <row r="25570">
      <c r="A25570" t="n">
        <v>25569</v>
      </c>
      <c r="B25570" t="inlineStr">
        <is>
          <t>x̄x̄V̅DLXIX</t>
        </is>
      </c>
      <c r="C25570">
        <f>ROMAN(25569)</f>
        <v/>
      </c>
      <c r="D25570">
        <f>IF(B25570=C25570, "YES", "WRONG")</f>
        <v/>
      </c>
    </row>
    <row r="25571">
      <c r="A25571" t="n">
        <v>25570</v>
      </c>
      <c r="B25571" t="inlineStr">
        <is>
          <t>x̄x̄V̅DLXX</t>
        </is>
      </c>
      <c r="C25571">
        <f>ROMAN(25570)</f>
        <v/>
      </c>
      <c r="D25571">
        <f>IF(B25571=C25571, "YES", "WRONG")</f>
        <v/>
      </c>
    </row>
    <row r="25572">
      <c r="A25572" t="n">
        <v>25571</v>
      </c>
      <c r="B25572" t="inlineStr">
        <is>
          <t>x̄x̄V̅DLXXI</t>
        </is>
      </c>
      <c r="C25572">
        <f>ROMAN(25571)</f>
        <v/>
      </c>
      <c r="D25572">
        <f>IF(B25572=C25572, "YES", "WRONG")</f>
        <v/>
      </c>
    </row>
    <row r="25573">
      <c r="A25573" t="n">
        <v>25572</v>
      </c>
      <c r="B25573" t="inlineStr">
        <is>
          <t>x̄x̄V̅DLXXII</t>
        </is>
      </c>
      <c r="C25573">
        <f>ROMAN(25572)</f>
        <v/>
      </c>
      <c r="D25573">
        <f>IF(B25573=C25573, "YES", "WRONG")</f>
        <v/>
      </c>
    </row>
    <row r="25574">
      <c r="A25574" t="n">
        <v>25573</v>
      </c>
      <c r="B25574" t="inlineStr">
        <is>
          <t>x̄x̄V̅DLXXIII</t>
        </is>
      </c>
      <c r="C25574">
        <f>ROMAN(25573)</f>
        <v/>
      </c>
      <c r="D25574">
        <f>IF(B25574=C25574, "YES", "WRONG")</f>
        <v/>
      </c>
    </row>
    <row r="25575">
      <c r="A25575" t="n">
        <v>25574</v>
      </c>
      <c r="B25575" t="inlineStr">
        <is>
          <t>x̄x̄V̅DLXXIV</t>
        </is>
      </c>
      <c r="C25575">
        <f>ROMAN(25574)</f>
        <v/>
      </c>
      <c r="D25575">
        <f>IF(B25575=C25575, "YES", "WRONG")</f>
        <v/>
      </c>
    </row>
    <row r="25576">
      <c r="A25576" t="n">
        <v>25575</v>
      </c>
      <c r="B25576" t="inlineStr">
        <is>
          <t>x̄x̄V̅DLXXV</t>
        </is>
      </c>
      <c r="C25576">
        <f>ROMAN(25575)</f>
        <v/>
      </c>
      <c r="D25576">
        <f>IF(B25576=C25576, "YES", "WRONG")</f>
        <v/>
      </c>
    </row>
    <row r="25577">
      <c r="A25577" t="n">
        <v>25576</v>
      </c>
      <c r="B25577" t="inlineStr">
        <is>
          <t>x̄x̄V̅DLXXVI</t>
        </is>
      </c>
      <c r="C25577">
        <f>ROMAN(25576)</f>
        <v/>
      </c>
      <c r="D25577">
        <f>IF(B25577=C25577, "YES", "WRONG")</f>
        <v/>
      </c>
    </row>
    <row r="25578">
      <c r="A25578" t="n">
        <v>25577</v>
      </c>
      <c r="B25578" t="inlineStr">
        <is>
          <t>x̄x̄V̅DLXXVII</t>
        </is>
      </c>
      <c r="C25578">
        <f>ROMAN(25577)</f>
        <v/>
      </c>
      <c r="D25578">
        <f>IF(B25578=C25578, "YES", "WRONG")</f>
        <v/>
      </c>
    </row>
    <row r="25579">
      <c r="A25579" t="n">
        <v>25578</v>
      </c>
      <c r="B25579" t="inlineStr">
        <is>
          <t>x̄x̄V̅DLXXVIII</t>
        </is>
      </c>
      <c r="C25579">
        <f>ROMAN(25578)</f>
        <v/>
      </c>
      <c r="D25579">
        <f>IF(B25579=C25579, "YES", "WRONG")</f>
        <v/>
      </c>
    </row>
    <row r="25580">
      <c r="A25580" t="n">
        <v>25579</v>
      </c>
      <c r="B25580" t="inlineStr">
        <is>
          <t>x̄x̄V̅DLXXIX</t>
        </is>
      </c>
      <c r="C25580">
        <f>ROMAN(25579)</f>
        <v/>
      </c>
      <c r="D25580">
        <f>IF(B25580=C25580, "YES", "WRONG")</f>
        <v/>
      </c>
    </row>
    <row r="25581">
      <c r="A25581" t="n">
        <v>25580</v>
      </c>
      <c r="B25581" t="inlineStr">
        <is>
          <t>x̄x̄V̅DLXXX</t>
        </is>
      </c>
      <c r="C25581">
        <f>ROMAN(25580)</f>
        <v/>
      </c>
      <c r="D25581">
        <f>IF(B25581=C25581, "YES", "WRONG")</f>
        <v/>
      </c>
    </row>
    <row r="25582">
      <c r="A25582" t="n">
        <v>25581</v>
      </c>
      <c r="B25582" t="inlineStr">
        <is>
          <t>x̄x̄V̅DLXXXI</t>
        </is>
      </c>
      <c r="C25582">
        <f>ROMAN(25581)</f>
        <v/>
      </c>
      <c r="D25582">
        <f>IF(B25582=C25582, "YES", "WRONG")</f>
        <v/>
      </c>
    </row>
    <row r="25583">
      <c r="A25583" t="n">
        <v>25582</v>
      </c>
      <c r="B25583" t="inlineStr">
        <is>
          <t>x̄x̄V̅DLXXXII</t>
        </is>
      </c>
      <c r="C25583">
        <f>ROMAN(25582)</f>
        <v/>
      </c>
      <c r="D25583">
        <f>IF(B25583=C25583, "YES", "WRONG")</f>
        <v/>
      </c>
    </row>
    <row r="25584">
      <c r="A25584" t="n">
        <v>25583</v>
      </c>
      <c r="B25584" t="inlineStr">
        <is>
          <t>x̄x̄V̅DLXXXIII</t>
        </is>
      </c>
      <c r="C25584">
        <f>ROMAN(25583)</f>
        <v/>
      </c>
      <c r="D25584">
        <f>IF(B25584=C25584, "YES", "WRONG")</f>
        <v/>
      </c>
    </row>
    <row r="25585">
      <c r="A25585" t="n">
        <v>25584</v>
      </c>
      <c r="B25585" t="inlineStr">
        <is>
          <t>x̄x̄V̅DLXXXIV</t>
        </is>
      </c>
      <c r="C25585">
        <f>ROMAN(25584)</f>
        <v/>
      </c>
      <c r="D25585">
        <f>IF(B25585=C25585, "YES", "WRONG")</f>
        <v/>
      </c>
    </row>
    <row r="25586">
      <c r="A25586" t="n">
        <v>25585</v>
      </c>
      <c r="B25586" t="inlineStr">
        <is>
          <t>x̄x̄V̅DLXXXV</t>
        </is>
      </c>
      <c r="C25586">
        <f>ROMAN(25585)</f>
        <v/>
      </c>
      <c r="D25586">
        <f>IF(B25586=C25586, "YES", "WRONG")</f>
        <v/>
      </c>
    </row>
    <row r="25587">
      <c r="A25587" t="n">
        <v>25586</v>
      </c>
      <c r="B25587" t="inlineStr">
        <is>
          <t>x̄x̄V̅DLXXXVI</t>
        </is>
      </c>
      <c r="C25587">
        <f>ROMAN(25586)</f>
        <v/>
      </c>
      <c r="D25587">
        <f>IF(B25587=C25587, "YES", "WRONG")</f>
        <v/>
      </c>
    </row>
    <row r="25588">
      <c r="A25588" t="n">
        <v>25587</v>
      </c>
      <c r="B25588" t="inlineStr">
        <is>
          <t>x̄x̄V̅DLXXXVII</t>
        </is>
      </c>
      <c r="C25588">
        <f>ROMAN(25587)</f>
        <v/>
      </c>
      <c r="D25588">
        <f>IF(B25588=C25588, "YES", "WRONG")</f>
        <v/>
      </c>
    </row>
    <row r="25589">
      <c r="A25589" t="n">
        <v>25588</v>
      </c>
      <c r="B25589" t="inlineStr">
        <is>
          <t>x̄x̄V̅DLXXXVIII</t>
        </is>
      </c>
      <c r="C25589">
        <f>ROMAN(25588)</f>
        <v/>
      </c>
      <c r="D25589">
        <f>IF(B25589=C25589, "YES", "WRONG")</f>
        <v/>
      </c>
    </row>
    <row r="25590">
      <c r="A25590" t="n">
        <v>25589</v>
      </c>
      <c r="B25590" t="inlineStr">
        <is>
          <t>x̄x̄V̅DLXXXIX</t>
        </is>
      </c>
      <c r="C25590">
        <f>ROMAN(25589)</f>
        <v/>
      </c>
      <c r="D25590">
        <f>IF(B25590=C25590, "YES", "WRONG")</f>
        <v/>
      </c>
    </row>
    <row r="25591">
      <c r="A25591" t="n">
        <v>25590</v>
      </c>
      <c r="B25591" t="inlineStr">
        <is>
          <t>x̄x̄V̅DXC</t>
        </is>
      </c>
      <c r="C25591">
        <f>ROMAN(25590)</f>
        <v/>
      </c>
      <c r="D25591">
        <f>IF(B25591=C25591, "YES", "WRONG")</f>
        <v/>
      </c>
    </row>
    <row r="25592">
      <c r="A25592" t="n">
        <v>25591</v>
      </c>
      <c r="B25592" t="inlineStr">
        <is>
          <t>x̄x̄V̅DXCI</t>
        </is>
      </c>
      <c r="C25592">
        <f>ROMAN(25591)</f>
        <v/>
      </c>
      <c r="D25592">
        <f>IF(B25592=C25592, "YES", "WRONG")</f>
        <v/>
      </c>
    </row>
    <row r="25593">
      <c r="A25593" t="n">
        <v>25592</v>
      </c>
      <c r="B25593" t="inlineStr">
        <is>
          <t>x̄x̄V̅DXCII</t>
        </is>
      </c>
      <c r="C25593">
        <f>ROMAN(25592)</f>
        <v/>
      </c>
      <c r="D25593">
        <f>IF(B25593=C25593, "YES", "WRONG")</f>
        <v/>
      </c>
    </row>
    <row r="25594">
      <c r="A25594" t="n">
        <v>25593</v>
      </c>
      <c r="B25594" t="inlineStr">
        <is>
          <t>x̄x̄V̅DXCIII</t>
        </is>
      </c>
      <c r="C25594">
        <f>ROMAN(25593)</f>
        <v/>
      </c>
      <c r="D25594">
        <f>IF(B25594=C25594, "YES", "WRONG")</f>
        <v/>
      </c>
    </row>
    <row r="25595">
      <c r="A25595" t="n">
        <v>25594</v>
      </c>
      <c r="B25595" t="inlineStr">
        <is>
          <t>x̄x̄V̅DXCIV</t>
        </is>
      </c>
      <c r="C25595">
        <f>ROMAN(25594)</f>
        <v/>
      </c>
      <c r="D25595">
        <f>IF(B25595=C25595, "YES", "WRONG")</f>
        <v/>
      </c>
    </row>
    <row r="25596">
      <c r="A25596" t="n">
        <v>25595</v>
      </c>
      <c r="B25596" t="inlineStr">
        <is>
          <t>x̄x̄V̅DXCV</t>
        </is>
      </c>
      <c r="C25596">
        <f>ROMAN(25595)</f>
        <v/>
      </c>
      <c r="D25596">
        <f>IF(B25596=C25596, "YES", "WRONG")</f>
        <v/>
      </c>
    </row>
    <row r="25597">
      <c r="A25597" t="n">
        <v>25596</v>
      </c>
      <c r="B25597" t="inlineStr">
        <is>
          <t>x̄x̄V̅DXCVI</t>
        </is>
      </c>
      <c r="C25597">
        <f>ROMAN(25596)</f>
        <v/>
      </c>
      <c r="D25597">
        <f>IF(B25597=C25597, "YES", "WRONG")</f>
        <v/>
      </c>
    </row>
    <row r="25598">
      <c r="A25598" t="n">
        <v>25597</v>
      </c>
      <c r="B25598" t="inlineStr">
        <is>
          <t>x̄x̄V̅DXCVII</t>
        </is>
      </c>
      <c r="C25598">
        <f>ROMAN(25597)</f>
        <v/>
      </c>
      <c r="D25598">
        <f>IF(B25598=C25598, "YES", "WRONG")</f>
        <v/>
      </c>
    </row>
    <row r="25599">
      <c r="A25599" t="n">
        <v>25598</v>
      </c>
      <c r="B25599" t="inlineStr">
        <is>
          <t>x̄x̄V̅DXCVIII</t>
        </is>
      </c>
      <c r="C25599">
        <f>ROMAN(25598)</f>
        <v/>
      </c>
      <c r="D25599">
        <f>IF(B25599=C25599, "YES", "WRONG")</f>
        <v/>
      </c>
    </row>
    <row r="25600">
      <c r="A25600" t="n">
        <v>25599</v>
      </c>
      <c r="B25600" t="inlineStr">
        <is>
          <t>x̄x̄V̅DXCIX</t>
        </is>
      </c>
      <c r="C25600">
        <f>ROMAN(25599)</f>
        <v/>
      </c>
      <c r="D25600">
        <f>IF(B25600=C25600, "YES", "WRONG")</f>
        <v/>
      </c>
    </row>
    <row r="25601">
      <c r="A25601" t="n">
        <v>25600</v>
      </c>
      <c r="B25601" t="inlineStr">
        <is>
          <t>x̄x̄V̅DC</t>
        </is>
      </c>
      <c r="C25601">
        <f>ROMAN(25600)</f>
        <v/>
      </c>
      <c r="D25601">
        <f>IF(B25601=C25601, "YES", "WRONG")</f>
        <v/>
      </c>
    </row>
    <row r="25602">
      <c r="A25602" t="n">
        <v>25601</v>
      </c>
      <c r="B25602" t="inlineStr">
        <is>
          <t>x̄x̄V̅DCI</t>
        </is>
      </c>
      <c r="C25602">
        <f>ROMAN(25601)</f>
        <v/>
      </c>
      <c r="D25602">
        <f>IF(B25602=C25602, "YES", "WRONG")</f>
        <v/>
      </c>
    </row>
    <row r="25603">
      <c r="A25603" t="n">
        <v>25602</v>
      </c>
      <c r="B25603" t="inlineStr">
        <is>
          <t>x̄x̄V̅DCII</t>
        </is>
      </c>
      <c r="C25603">
        <f>ROMAN(25602)</f>
        <v/>
      </c>
      <c r="D25603">
        <f>IF(B25603=C25603, "YES", "WRONG")</f>
        <v/>
      </c>
    </row>
    <row r="25604">
      <c r="A25604" t="n">
        <v>25603</v>
      </c>
      <c r="B25604" t="inlineStr">
        <is>
          <t>x̄x̄V̅DCIII</t>
        </is>
      </c>
      <c r="C25604">
        <f>ROMAN(25603)</f>
        <v/>
      </c>
      <c r="D25604">
        <f>IF(B25604=C25604, "YES", "WRONG")</f>
        <v/>
      </c>
    </row>
    <row r="25605">
      <c r="A25605" t="n">
        <v>25604</v>
      </c>
      <c r="B25605" t="inlineStr">
        <is>
          <t>x̄x̄V̅DCIV</t>
        </is>
      </c>
      <c r="C25605">
        <f>ROMAN(25604)</f>
        <v/>
      </c>
      <c r="D25605">
        <f>IF(B25605=C25605, "YES", "WRONG")</f>
        <v/>
      </c>
    </row>
    <row r="25606">
      <c r="A25606" t="n">
        <v>25605</v>
      </c>
      <c r="B25606" t="inlineStr">
        <is>
          <t>x̄x̄V̅DCV</t>
        </is>
      </c>
      <c r="C25606">
        <f>ROMAN(25605)</f>
        <v/>
      </c>
      <c r="D25606">
        <f>IF(B25606=C25606, "YES", "WRONG")</f>
        <v/>
      </c>
    </row>
    <row r="25607">
      <c r="A25607" t="n">
        <v>25606</v>
      </c>
      <c r="B25607" t="inlineStr">
        <is>
          <t>x̄x̄V̅DCVI</t>
        </is>
      </c>
      <c r="C25607">
        <f>ROMAN(25606)</f>
        <v/>
      </c>
      <c r="D25607">
        <f>IF(B25607=C25607, "YES", "WRONG")</f>
        <v/>
      </c>
    </row>
    <row r="25608">
      <c r="A25608" t="n">
        <v>25607</v>
      </c>
      <c r="B25608" t="inlineStr">
        <is>
          <t>x̄x̄V̅DCVII</t>
        </is>
      </c>
      <c r="C25608">
        <f>ROMAN(25607)</f>
        <v/>
      </c>
      <c r="D25608">
        <f>IF(B25608=C25608, "YES", "WRONG")</f>
        <v/>
      </c>
    </row>
    <row r="25609">
      <c r="A25609" t="n">
        <v>25608</v>
      </c>
      <c r="B25609" t="inlineStr">
        <is>
          <t>x̄x̄V̅DCVIII</t>
        </is>
      </c>
      <c r="C25609">
        <f>ROMAN(25608)</f>
        <v/>
      </c>
      <c r="D25609">
        <f>IF(B25609=C25609, "YES", "WRONG")</f>
        <v/>
      </c>
    </row>
    <row r="25610">
      <c r="A25610" t="n">
        <v>25609</v>
      </c>
      <c r="B25610" t="inlineStr">
        <is>
          <t>x̄x̄V̅DCIX</t>
        </is>
      </c>
      <c r="C25610">
        <f>ROMAN(25609)</f>
        <v/>
      </c>
      <c r="D25610">
        <f>IF(B25610=C25610, "YES", "WRONG")</f>
        <v/>
      </c>
    </row>
    <row r="25611">
      <c r="A25611" t="n">
        <v>25610</v>
      </c>
      <c r="B25611" t="inlineStr">
        <is>
          <t>x̄x̄V̅DCX</t>
        </is>
      </c>
      <c r="C25611">
        <f>ROMAN(25610)</f>
        <v/>
      </c>
      <c r="D25611">
        <f>IF(B25611=C25611, "YES", "WRONG")</f>
        <v/>
      </c>
    </row>
    <row r="25612">
      <c r="A25612" t="n">
        <v>25611</v>
      </c>
      <c r="B25612" t="inlineStr">
        <is>
          <t>x̄x̄V̅DCXI</t>
        </is>
      </c>
      <c r="C25612">
        <f>ROMAN(25611)</f>
        <v/>
      </c>
      <c r="D25612">
        <f>IF(B25612=C25612, "YES", "WRONG")</f>
        <v/>
      </c>
    </row>
    <row r="25613">
      <c r="A25613" t="n">
        <v>25612</v>
      </c>
      <c r="B25613" t="inlineStr">
        <is>
          <t>x̄x̄V̅DCXII</t>
        </is>
      </c>
      <c r="C25613">
        <f>ROMAN(25612)</f>
        <v/>
      </c>
      <c r="D25613">
        <f>IF(B25613=C25613, "YES", "WRONG")</f>
        <v/>
      </c>
    </row>
    <row r="25614">
      <c r="A25614" t="n">
        <v>25613</v>
      </c>
      <c r="B25614" t="inlineStr">
        <is>
          <t>x̄x̄V̅DCXIII</t>
        </is>
      </c>
      <c r="C25614">
        <f>ROMAN(25613)</f>
        <v/>
      </c>
      <c r="D25614">
        <f>IF(B25614=C25614, "YES", "WRONG")</f>
        <v/>
      </c>
    </row>
    <row r="25615">
      <c r="A25615" t="n">
        <v>25614</v>
      </c>
      <c r="B25615" t="inlineStr">
        <is>
          <t>x̄x̄V̅DCXIV</t>
        </is>
      </c>
      <c r="C25615">
        <f>ROMAN(25614)</f>
        <v/>
      </c>
      <c r="D25615">
        <f>IF(B25615=C25615, "YES", "WRONG")</f>
        <v/>
      </c>
    </row>
    <row r="25616">
      <c r="A25616" t="n">
        <v>25615</v>
      </c>
      <c r="B25616" t="inlineStr">
        <is>
          <t>x̄x̄V̅DCXV</t>
        </is>
      </c>
      <c r="C25616">
        <f>ROMAN(25615)</f>
        <v/>
      </c>
      <c r="D25616">
        <f>IF(B25616=C25616, "YES", "WRONG")</f>
        <v/>
      </c>
    </row>
    <row r="25617">
      <c r="A25617" t="n">
        <v>25616</v>
      </c>
      <c r="B25617" t="inlineStr">
        <is>
          <t>x̄x̄V̅DCXVI</t>
        </is>
      </c>
      <c r="C25617">
        <f>ROMAN(25616)</f>
        <v/>
      </c>
      <c r="D25617">
        <f>IF(B25617=C25617, "YES", "WRONG")</f>
        <v/>
      </c>
    </row>
    <row r="25618">
      <c r="A25618" t="n">
        <v>25617</v>
      </c>
      <c r="B25618" t="inlineStr">
        <is>
          <t>x̄x̄V̅DCXVII</t>
        </is>
      </c>
      <c r="C25618">
        <f>ROMAN(25617)</f>
        <v/>
      </c>
      <c r="D25618">
        <f>IF(B25618=C25618, "YES", "WRONG")</f>
        <v/>
      </c>
    </row>
    <row r="25619">
      <c r="A25619" t="n">
        <v>25618</v>
      </c>
      <c r="B25619" t="inlineStr">
        <is>
          <t>x̄x̄V̅DCXVIII</t>
        </is>
      </c>
      <c r="C25619">
        <f>ROMAN(25618)</f>
        <v/>
      </c>
      <c r="D25619">
        <f>IF(B25619=C25619, "YES", "WRONG")</f>
        <v/>
      </c>
    </row>
    <row r="25620">
      <c r="A25620" t="n">
        <v>25619</v>
      </c>
      <c r="B25620" t="inlineStr">
        <is>
          <t>x̄x̄V̅DCXIX</t>
        </is>
      </c>
      <c r="C25620">
        <f>ROMAN(25619)</f>
        <v/>
      </c>
      <c r="D25620">
        <f>IF(B25620=C25620, "YES", "WRONG")</f>
        <v/>
      </c>
    </row>
    <row r="25621">
      <c r="A25621" t="n">
        <v>25620</v>
      </c>
      <c r="B25621" t="inlineStr">
        <is>
          <t>x̄x̄V̅DCXX</t>
        </is>
      </c>
      <c r="C25621">
        <f>ROMAN(25620)</f>
        <v/>
      </c>
      <c r="D25621">
        <f>IF(B25621=C25621, "YES", "WRONG")</f>
        <v/>
      </c>
    </row>
    <row r="25622">
      <c r="A25622" t="n">
        <v>25621</v>
      </c>
      <c r="B25622" t="inlineStr">
        <is>
          <t>x̄x̄V̅DCXXI</t>
        </is>
      </c>
      <c r="C25622">
        <f>ROMAN(25621)</f>
        <v/>
      </c>
      <c r="D25622">
        <f>IF(B25622=C25622, "YES", "WRONG")</f>
        <v/>
      </c>
    </row>
    <row r="25623">
      <c r="A25623" t="n">
        <v>25622</v>
      </c>
      <c r="B25623" t="inlineStr">
        <is>
          <t>x̄x̄V̅DCXXII</t>
        </is>
      </c>
      <c r="C25623">
        <f>ROMAN(25622)</f>
        <v/>
      </c>
      <c r="D25623">
        <f>IF(B25623=C25623, "YES", "WRONG")</f>
        <v/>
      </c>
    </row>
    <row r="25624">
      <c r="A25624" t="n">
        <v>25623</v>
      </c>
      <c r="B25624" t="inlineStr">
        <is>
          <t>x̄x̄V̅DCXXIII</t>
        </is>
      </c>
      <c r="C25624">
        <f>ROMAN(25623)</f>
        <v/>
      </c>
      <c r="D25624">
        <f>IF(B25624=C25624, "YES", "WRONG")</f>
        <v/>
      </c>
    </row>
    <row r="25625">
      <c r="A25625" t="n">
        <v>25624</v>
      </c>
      <c r="B25625" t="inlineStr">
        <is>
          <t>x̄x̄V̅DCXXIV</t>
        </is>
      </c>
      <c r="C25625">
        <f>ROMAN(25624)</f>
        <v/>
      </c>
      <c r="D25625">
        <f>IF(B25625=C25625, "YES", "WRONG")</f>
        <v/>
      </c>
    </row>
    <row r="25626">
      <c r="A25626" t="n">
        <v>25625</v>
      </c>
      <c r="B25626" t="inlineStr">
        <is>
          <t>x̄x̄V̅DCXXV</t>
        </is>
      </c>
      <c r="C25626">
        <f>ROMAN(25625)</f>
        <v/>
      </c>
      <c r="D25626">
        <f>IF(B25626=C25626, "YES", "WRONG")</f>
        <v/>
      </c>
    </row>
    <row r="25627">
      <c r="A25627" t="n">
        <v>25626</v>
      </c>
      <c r="B25627" t="inlineStr">
        <is>
          <t>x̄x̄V̅DCXXVI</t>
        </is>
      </c>
      <c r="C25627">
        <f>ROMAN(25626)</f>
        <v/>
      </c>
      <c r="D25627">
        <f>IF(B25627=C25627, "YES", "WRONG")</f>
        <v/>
      </c>
    </row>
    <row r="25628">
      <c r="A25628" t="n">
        <v>25627</v>
      </c>
      <c r="B25628" t="inlineStr">
        <is>
          <t>x̄x̄V̅DCXXVII</t>
        </is>
      </c>
      <c r="C25628">
        <f>ROMAN(25627)</f>
        <v/>
      </c>
      <c r="D25628">
        <f>IF(B25628=C25628, "YES", "WRONG")</f>
        <v/>
      </c>
    </row>
    <row r="25629">
      <c r="A25629" t="n">
        <v>25628</v>
      </c>
      <c r="B25629" t="inlineStr">
        <is>
          <t>x̄x̄V̅DCXXVIII</t>
        </is>
      </c>
      <c r="C25629">
        <f>ROMAN(25628)</f>
        <v/>
      </c>
      <c r="D25629">
        <f>IF(B25629=C25629, "YES", "WRONG")</f>
        <v/>
      </c>
    </row>
    <row r="25630">
      <c r="A25630" t="n">
        <v>25629</v>
      </c>
      <c r="B25630" t="inlineStr">
        <is>
          <t>x̄x̄V̅DCXXIX</t>
        </is>
      </c>
      <c r="C25630">
        <f>ROMAN(25629)</f>
        <v/>
      </c>
      <c r="D25630">
        <f>IF(B25630=C25630, "YES", "WRONG")</f>
        <v/>
      </c>
    </row>
    <row r="25631">
      <c r="A25631" t="n">
        <v>25630</v>
      </c>
      <c r="B25631" t="inlineStr">
        <is>
          <t>x̄x̄V̅DCXXX</t>
        </is>
      </c>
      <c r="C25631">
        <f>ROMAN(25630)</f>
        <v/>
      </c>
      <c r="D25631">
        <f>IF(B25631=C25631, "YES", "WRONG")</f>
        <v/>
      </c>
    </row>
    <row r="25632">
      <c r="A25632" t="n">
        <v>25631</v>
      </c>
      <c r="B25632" t="inlineStr">
        <is>
          <t>x̄x̄V̅DCXXXI</t>
        </is>
      </c>
      <c r="C25632">
        <f>ROMAN(25631)</f>
        <v/>
      </c>
      <c r="D25632">
        <f>IF(B25632=C25632, "YES", "WRONG")</f>
        <v/>
      </c>
    </row>
    <row r="25633">
      <c r="A25633" t="n">
        <v>25632</v>
      </c>
      <c r="B25633" t="inlineStr">
        <is>
          <t>x̄x̄V̅DCXXXII</t>
        </is>
      </c>
      <c r="C25633">
        <f>ROMAN(25632)</f>
        <v/>
      </c>
      <c r="D25633">
        <f>IF(B25633=C25633, "YES", "WRONG")</f>
        <v/>
      </c>
    </row>
    <row r="25634">
      <c r="A25634" t="n">
        <v>25633</v>
      </c>
      <c r="B25634" t="inlineStr">
        <is>
          <t>x̄x̄V̅DCXXXIII</t>
        </is>
      </c>
      <c r="C25634">
        <f>ROMAN(25633)</f>
        <v/>
      </c>
      <c r="D25634">
        <f>IF(B25634=C25634, "YES", "WRONG")</f>
        <v/>
      </c>
    </row>
    <row r="25635">
      <c r="A25635" t="n">
        <v>25634</v>
      </c>
      <c r="B25635" t="inlineStr">
        <is>
          <t>x̄x̄V̅DCXXXIV</t>
        </is>
      </c>
      <c r="C25635">
        <f>ROMAN(25634)</f>
        <v/>
      </c>
      <c r="D25635">
        <f>IF(B25635=C25635, "YES", "WRONG")</f>
        <v/>
      </c>
    </row>
    <row r="25636">
      <c r="A25636" t="n">
        <v>25635</v>
      </c>
      <c r="B25636" t="inlineStr">
        <is>
          <t>x̄x̄V̅DCXXXV</t>
        </is>
      </c>
      <c r="C25636">
        <f>ROMAN(25635)</f>
        <v/>
      </c>
      <c r="D25636">
        <f>IF(B25636=C25636, "YES", "WRONG")</f>
        <v/>
      </c>
    </row>
    <row r="25637">
      <c r="A25637" t="n">
        <v>25636</v>
      </c>
      <c r="B25637" t="inlineStr">
        <is>
          <t>x̄x̄V̅DCXXXVI</t>
        </is>
      </c>
      <c r="C25637">
        <f>ROMAN(25636)</f>
        <v/>
      </c>
      <c r="D25637">
        <f>IF(B25637=C25637, "YES", "WRONG")</f>
        <v/>
      </c>
    </row>
    <row r="25638">
      <c r="A25638" t="n">
        <v>25637</v>
      </c>
      <c r="B25638" t="inlineStr">
        <is>
          <t>x̄x̄V̅DCXXXVII</t>
        </is>
      </c>
      <c r="C25638">
        <f>ROMAN(25637)</f>
        <v/>
      </c>
      <c r="D25638">
        <f>IF(B25638=C25638, "YES", "WRONG")</f>
        <v/>
      </c>
    </row>
    <row r="25639">
      <c r="A25639" t="n">
        <v>25638</v>
      </c>
      <c r="B25639" t="inlineStr">
        <is>
          <t>x̄x̄V̅DCXXXVIII</t>
        </is>
      </c>
      <c r="C25639">
        <f>ROMAN(25638)</f>
        <v/>
      </c>
      <c r="D25639">
        <f>IF(B25639=C25639, "YES", "WRONG")</f>
        <v/>
      </c>
    </row>
    <row r="25640">
      <c r="A25640" t="n">
        <v>25639</v>
      </c>
      <c r="B25640" t="inlineStr">
        <is>
          <t>x̄x̄V̅DCXXXIX</t>
        </is>
      </c>
      <c r="C25640">
        <f>ROMAN(25639)</f>
        <v/>
      </c>
      <c r="D25640">
        <f>IF(B25640=C25640, "YES", "WRONG")</f>
        <v/>
      </c>
    </row>
    <row r="25641">
      <c r="A25641" t="n">
        <v>25640</v>
      </c>
      <c r="B25641" t="inlineStr">
        <is>
          <t>x̄x̄V̅DCXL</t>
        </is>
      </c>
      <c r="C25641">
        <f>ROMAN(25640)</f>
        <v/>
      </c>
      <c r="D25641">
        <f>IF(B25641=C25641, "YES", "WRONG")</f>
        <v/>
      </c>
    </row>
    <row r="25642">
      <c r="A25642" t="n">
        <v>25641</v>
      </c>
      <c r="B25642" t="inlineStr">
        <is>
          <t>x̄x̄V̅DCXLI</t>
        </is>
      </c>
      <c r="C25642">
        <f>ROMAN(25641)</f>
        <v/>
      </c>
      <c r="D25642">
        <f>IF(B25642=C25642, "YES", "WRONG")</f>
        <v/>
      </c>
    </row>
    <row r="25643">
      <c r="A25643" t="n">
        <v>25642</v>
      </c>
      <c r="B25643" t="inlineStr">
        <is>
          <t>x̄x̄V̅DCXLII</t>
        </is>
      </c>
      <c r="C25643">
        <f>ROMAN(25642)</f>
        <v/>
      </c>
      <c r="D25643">
        <f>IF(B25643=C25643, "YES", "WRONG")</f>
        <v/>
      </c>
    </row>
    <row r="25644">
      <c r="A25644" t="n">
        <v>25643</v>
      </c>
      <c r="B25644" t="inlineStr">
        <is>
          <t>x̄x̄V̅DCXLIII</t>
        </is>
      </c>
      <c r="C25644">
        <f>ROMAN(25643)</f>
        <v/>
      </c>
      <c r="D25644">
        <f>IF(B25644=C25644, "YES", "WRONG")</f>
        <v/>
      </c>
    </row>
    <row r="25645">
      <c r="A25645" t="n">
        <v>25644</v>
      </c>
      <c r="B25645" t="inlineStr">
        <is>
          <t>x̄x̄V̅DCXLIV</t>
        </is>
      </c>
      <c r="C25645">
        <f>ROMAN(25644)</f>
        <v/>
      </c>
      <c r="D25645">
        <f>IF(B25645=C25645, "YES", "WRONG")</f>
        <v/>
      </c>
    </row>
    <row r="25646">
      <c r="A25646" t="n">
        <v>25645</v>
      </c>
      <c r="B25646" t="inlineStr">
        <is>
          <t>x̄x̄V̅DCXLV</t>
        </is>
      </c>
      <c r="C25646">
        <f>ROMAN(25645)</f>
        <v/>
      </c>
      <c r="D25646">
        <f>IF(B25646=C25646, "YES", "WRONG")</f>
        <v/>
      </c>
    </row>
    <row r="25647">
      <c r="A25647" t="n">
        <v>25646</v>
      </c>
      <c r="B25647" t="inlineStr">
        <is>
          <t>x̄x̄V̅DCXLVI</t>
        </is>
      </c>
      <c r="C25647">
        <f>ROMAN(25646)</f>
        <v/>
      </c>
      <c r="D25647">
        <f>IF(B25647=C25647, "YES", "WRONG")</f>
        <v/>
      </c>
    </row>
    <row r="25648">
      <c r="A25648" t="n">
        <v>25647</v>
      </c>
      <c r="B25648" t="inlineStr">
        <is>
          <t>x̄x̄V̅DCXLVII</t>
        </is>
      </c>
      <c r="C25648">
        <f>ROMAN(25647)</f>
        <v/>
      </c>
      <c r="D25648">
        <f>IF(B25648=C25648, "YES", "WRONG")</f>
        <v/>
      </c>
    </row>
    <row r="25649">
      <c r="A25649" t="n">
        <v>25648</v>
      </c>
      <c r="B25649" t="inlineStr">
        <is>
          <t>x̄x̄V̅DCXLVIII</t>
        </is>
      </c>
      <c r="C25649">
        <f>ROMAN(25648)</f>
        <v/>
      </c>
      <c r="D25649">
        <f>IF(B25649=C25649, "YES", "WRONG")</f>
        <v/>
      </c>
    </row>
    <row r="25650">
      <c r="A25650" t="n">
        <v>25649</v>
      </c>
      <c r="B25650" t="inlineStr">
        <is>
          <t>x̄x̄V̅DCXLIX</t>
        </is>
      </c>
      <c r="C25650">
        <f>ROMAN(25649)</f>
        <v/>
      </c>
      <c r="D25650">
        <f>IF(B25650=C25650, "YES", "WRONG")</f>
        <v/>
      </c>
    </row>
    <row r="25651">
      <c r="A25651" t="n">
        <v>25650</v>
      </c>
      <c r="B25651" t="inlineStr">
        <is>
          <t>x̄x̄V̅DCL</t>
        </is>
      </c>
      <c r="C25651">
        <f>ROMAN(25650)</f>
        <v/>
      </c>
      <c r="D25651">
        <f>IF(B25651=C25651, "YES", "WRONG")</f>
        <v/>
      </c>
    </row>
    <row r="25652">
      <c r="A25652" t="n">
        <v>25651</v>
      </c>
      <c r="B25652" t="inlineStr">
        <is>
          <t>x̄x̄V̅DCLI</t>
        </is>
      </c>
      <c r="C25652">
        <f>ROMAN(25651)</f>
        <v/>
      </c>
      <c r="D25652">
        <f>IF(B25652=C25652, "YES", "WRONG")</f>
        <v/>
      </c>
    </row>
    <row r="25653">
      <c r="A25653" t="n">
        <v>25652</v>
      </c>
      <c r="B25653" t="inlineStr">
        <is>
          <t>x̄x̄V̅DCLII</t>
        </is>
      </c>
      <c r="C25653">
        <f>ROMAN(25652)</f>
        <v/>
      </c>
      <c r="D25653">
        <f>IF(B25653=C25653, "YES", "WRONG")</f>
        <v/>
      </c>
    </row>
    <row r="25654">
      <c r="A25654" t="n">
        <v>25653</v>
      </c>
      <c r="B25654" t="inlineStr">
        <is>
          <t>x̄x̄V̅DCLIII</t>
        </is>
      </c>
      <c r="C25654">
        <f>ROMAN(25653)</f>
        <v/>
      </c>
      <c r="D25654">
        <f>IF(B25654=C25654, "YES", "WRONG")</f>
        <v/>
      </c>
    </row>
    <row r="25655">
      <c r="A25655" t="n">
        <v>25654</v>
      </c>
      <c r="B25655" t="inlineStr">
        <is>
          <t>x̄x̄V̅DCLIV</t>
        </is>
      </c>
      <c r="C25655">
        <f>ROMAN(25654)</f>
        <v/>
      </c>
      <c r="D25655">
        <f>IF(B25655=C25655, "YES", "WRONG")</f>
        <v/>
      </c>
    </row>
    <row r="25656">
      <c r="A25656" t="n">
        <v>25655</v>
      </c>
      <c r="B25656" t="inlineStr">
        <is>
          <t>x̄x̄V̅DCLV</t>
        </is>
      </c>
      <c r="C25656">
        <f>ROMAN(25655)</f>
        <v/>
      </c>
      <c r="D25656">
        <f>IF(B25656=C25656, "YES", "WRONG")</f>
        <v/>
      </c>
    </row>
    <row r="25657">
      <c r="A25657" t="n">
        <v>25656</v>
      </c>
      <c r="B25657" t="inlineStr">
        <is>
          <t>x̄x̄V̅DCLVI</t>
        </is>
      </c>
      <c r="C25657">
        <f>ROMAN(25656)</f>
        <v/>
      </c>
      <c r="D25657">
        <f>IF(B25657=C25657, "YES", "WRONG")</f>
        <v/>
      </c>
    </row>
    <row r="25658">
      <c r="A25658" t="n">
        <v>25657</v>
      </c>
      <c r="B25658" t="inlineStr">
        <is>
          <t>x̄x̄V̅DCLVII</t>
        </is>
      </c>
      <c r="C25658">
        <f>ROMAN(25657)</f>
        <v/>
      </c>
      <c r="D25658">
        <f>IF(B25658=C25658, "YES", "WRONG")</f>
        <v/>
      </c>
    </row>
    <row r="25659">
      <c r="A25659" t="n">
        <v>25658</v>
      </c>
      <c r="B25659" t="inlineStr">
        <is>
          <t>x̄x̄V̅DCLVIII</t>
        </is>
      </c>
      <c r="C25659">
        <f>ROMAN(25658)</f>
        <v/>
      </c>
      <c r="D25659">
        <f>IF(B25659=C25659, "YES", "WRONG")</f>
        <v/>
      </c>
    </row>
    <row r="25660">
      <c r="A25660" t="n">
        <v>25659</v>
      </c>
      <c r="B25660" t="inlineStr">
        <is>
          <t>x̄x̄V̅DCLIX</t>
        </is>
      </c>
      <c r="C25660">
        <f>ROMAN(25659)</f>
        <v/>
      </c>
      <c r="D25660">
        <f>IF(B25660=C25660, "YES", "WRONG")</f>
        <v/>
      </c>
    </row>
    <row r="25661">
      <c r="A25661" t="n">
        <v>25660</v>
      </c>
      <c r="B25661" t="inlineStr">
        <is>
          <t>x̄x̄V̅DCLX</t>
        </is>
      </c>
      <c r="C25661">
        <f>ROMAN(25660)</f>
        <v/>
      </c>
      <c r="D25661">
        <f>IF(B25661=C25661, "YES", "WRONG")</f>
        <v/>
      </c>
    </row>
    <row r="25662">
      <c r="A25662" t="n">
        <v>25661</v>
      </c>
      <c r="B25662" t="inlineStr">
        <is>
          <t>x̄x̄V̅DCLXI</t>
        </is>
      </c>
      <c r="C25662">
        <f>ROMAN(25661)</f>
        <v/>
      </c>
      <c r="D25662">
        <f>IF(B25662=C25662, "YES", "WRONG")</f>
        <v/>
      </c>
    </row>
    <row r="25663">
      <c r="A25663" t="n">
        <v>25662</v>
      </c>
      <c r="B25663" t="inlineStr">
        <is>
          <t>x̄x̄V̅DCLXII</t>
        </is>
      </c>
      <c r="C25663">
        <f>ROMAN(25662)</f>
        <v/>
      </c>
      <c r="D25663">
        <f>IF(B25663=C25663, "YES", "WRONG")</f>
        <v/>
      </c>
    </row>
    <row r="25664">
      <c r="A25664" t="n">
        <v>25663</v>
      </c>
      <c r="B25664" t="inlineStr">
        <is>
          <t>x̄x̄V̅DCLXIII</t>
        </is>
      </c>
      <c r="C25664">
        <f>ROMAN(25663)</f>
        <v/>
      </c>
      <c r="D25664">
        <f>IF(B25664=C25664, "YES", "WRONG")</f>
        <v/>
      </c>
    </row>
    <row r="25665">
      <c r="A25665" t="n">
        <v>25664</v>
      </c>
      <c r="B25665" t="inlineStr">
        <is>
          <t>x̄x̄V̅DCLXIV</t>
        </is>
      </c>
      <c r="C25665">
        <f>ROMAN(25664)</f>
        <v/>
      </c>
      <c r="D25665">
        <f>IF(B25665=C25665, "YES", "WRONG")</f>
        <v/>
      </c>
    </row>
    <row r="25666">
      <c r="A25666" t="n">
        <v>25665</v>
      </c>
      <c r="B25666" t="inlineStr">
        <is>
          <t>x̄x̄V̅DCLXV</t>
        </is>
      </c>
      <c r="C25666">
        <f>ROMAN(25665)</f>
        <v/>
      </c>
      <c r="D25666">
        <f>IF(B25666=C25666, "YES", "WRONG")</f>
        <v/>
      </c>
    </row>
    <row r="25667">
      <c r="A25667" t="n">
        <v>25666</v>
      </c>
      <c r="B25667" t="inlineStr">
        <is>
          <t>x̄x̄V̅DCLXVI</t>
        </is>
      </c>
      <c r="C25667">
        <f>ROMAN(25666)</f>
        <v/>
      </c>
      <c r="D25667">
        <f>IF(B25667=C25667, "YES", "WRONG")</f>
        <v/>
      </c>
    </row>
    <row r="25668">
      <c r="A25668" t="n">
        <v>25667</v>
      </c>
      <c r="B25668" t="inlineStr">
        <is>
          <t>x̄x̄V̅DCLXVII</t>
        </is>
      </c>
      <c r="C25668">
        <f>ROMAN(25667)</f>
        <v/>
      </c>
      <c r="D25668">
        <f>IF(B25668=C25668, "YES", "WRONG")</f>
        <v/>
      </c>
    </row>
    <row r="25669">
      <c r="A25669" t="n">
        <v>25668</v>
      </c>
      <c r="B25669" t="inlineStr">
        <is>
          <t>x̄x̄V̅DCLXVIII</t>
        </is>
      </c>
      <c r="C25669">
        <f>ROMAN(25668)</f>
        <v/>
      </c>
      <c r="D25669">
        <f>IF(B25669=C25669, "YES", "WRONG")</f>
        <v/>
      </c>
    </row>
    <row r="25670">
      <c r="A25670" t="n">
        <v>25669</v>
      </c>
      <c r="B25670" t="inlineStr">
        <is>
          <t>x̄x̄V̅DCLXIX</t>
        </is>
      </c>
      <c r="C25670">
        <f>ROMAN(25669)</f>
        <v/>
      </c>
      <c r="D25670">
        <f>IF(B25670=C25670, "YES", "WRONG")</f>
        <v/>
      </c>
    </row>
    <row r="25671">
      <c r="A25671" t="n">
        <v>25670</v>
      </c>
      <c r="B25671" t="inlineStr">
        <is>
          <t>x̄x̄V̅DCLXX</t>
        </is>
      </c>
      <c r="C25671">
        <f>ROMAN(25670)</f>
        <v/>
      </c>
      <c r="D25671">
        <f>IF(B25671=C25671, "YES", "WRONG")</f>
        <v/>
      </c>
    </row>
    <row r="25672">
      <c r="A25672" t="n">
        <v>25671</v>
      </c>
      <c r="B25672" t="inlineStr">
        <is>
          <t>x̄x̄V̅DCLXXI</t>
        </is>
      </c>
      <c r="C25672">
        <f>ROMAN(25671)</f>
        <v/>
      </c>
      <c r="D25672">
        <f>IF(B25672=C25672, "YES", "WRONG")</f>
        <v/>
      </c>
    </row>
    <row r="25673">
      <c r="A25673" t="n">
        <v>25672</v>
      </c>
      <c r="B25673" t="inlineStr">
        <is>
          <t>x̄x̄V̅DCLXXII</t>
        </is>
      </c>
      <c r="C25673">
        <f>ROMAN(25672)</f>
        <v/>
      </c>
      <c r="D25673">
        <f>IF(B25673=C25673, "YES", "WRONG")</f>
        <v/>
      </c>
    </row>
    <row r="25674">
      <c r="A25674" t="n">
        <v>25673</v>
      </c>
      <c r="B25674" t="inlineStr">
        <is>
          <t>x̄x̄V̅DCLXXIII</t>
        </is>
      </c>
      <c r="C25674">
        <f>ROMAN(25673)</f>
        <v/>
      </c>
      <c r="D25674">
        <f>IF(B25674=C25674, "YES", "WRONG")</f>
        <v/>
      </c>
    </row>
    <row r="25675">
      <c r="A25675" t="n">
        <v>25674</v>
      </c>
      <c r="B25675" t="inlineStr">
        <is>
          <t>x̄x̄V̅DCLXXIV</t>
        </is>
      </c>
      <c r="C25675">
        <f>ROMAN(25674)</f>
        <v/>
      </c>
      <c r="D25675">
        <f>IF(B25675=C25675, "YES", "WRONG")</f>
        <v/>
      </c>
    </row>
    <row r="25676">
      <c r="A25676" t="n">
        <v>25675</v>
      </c>
      <c r="B25676" t="inlineStr">
        <is>
          <t>x̄x̄V̅DCLXXV</t>
        </is>
      </c>
      <c r="C25676">
        <f>ROMAN(25675)</f>
        <v/>
      </c>
      <c r="D25676">
        <f>IF(B25676=C25676, "YES", "WRONG")</f>
        <v/>
      </c>
    </row>
    <row r="25677">
      <c r="A25677" t="n">
        <v>25676</v>
      </c>
      <c r="B25677" t="inlineStr">
        <is>
          <t>x̄x̄V̅DCLXXVI</t>
        </is>
      </c>
      <c r="C25677">
        <f>ROMAN(25676)</f>
        <v/>
      </c>
      <c r="D25677">
        <f>IF(B25677=C25677, "YES", "WRONG")</f>
        <v/>
      </c>
    </row>
    <row r="25678">
      <c r="A25678" t="n">
        <v>25677</v>
      </c>
      <c r="B25678" t="inlineStr">
        <is>
          <t>x̄x̄V̅DCLXXVII</t>
        </is>
      </c>
      <c r="C25678">
        <f>ROMAN(25677)</f>
        <v/>
      </c>
      <c r="D25678">
        <f>IF(B25678=C25678, "YES", "WRONG")</f>
        <v/>
      </c>
    </row>
    <row r="25679">
      <c r="A25679" t="n">
        <v>25678</v>
      </c>
      <c r="B25679" t="inlineStr">
        <is>
          <t>x̄x̄V̅DCLXXVIII</t>
        </is>
      </c>
      <c r="C25679">
        <f>ROMAN(25678)</f>
        <v/>
      </c>
      <c r="D25679">
        <f>IF(B25679=C25679, "YES", "WRONG")</f>
        <v/>
      </c>
    </row>
    <row r="25680">
      <c r="A25680" t="n">
        <v>25679</v>
      </c>
      <c r="B25680" t="inlineStr">
        <is>
          <t>x̄x̄V̅DCLXXIX</t>
        </is>
      </c>
      <c r="C25680">
        <f>ROMAN(25679)</f>
        <v/>
      </c>
      <c r="D25680">
        <f>IF(B25680=C25680, "YES", "WRONG")</f>
        <v/>
      </c>
    </row>
    <row r="25681">
      <c r="A25681" t="n">
        <v>25680</v>
      </c>
      <c r="B25681" t="inlineStr">
        <is>
          <t>x̄x̄V̅DCLXXX</t>
        </is>
      </c>
      <c r="C25681">
        <f>ROMAN(25680)</f>
        <v/>
      </c>
      <c r="D25681">
        <f>IF(B25681=C25681, "YES", "WRONG")</f>
        <v/>
      </c>
    </row>
    <row r="25682">
      <c r="A25682" t="n">
        <v>25681</v>
      </c>
      <c r="B25682" t="inlineStr">
        <is>
          <t>x̄x̄V̅DCLXXXI</t>
        </is>
      </c>
      <c r="C25682">
        <f>ROMAN(25681)</f>
        <v/>
      </c>
      <c r="D25682">
        <f>IF(B25682=C25682, "YES", "WRONG")</f>
        <v/>
      </c>
    </row>
    <row r="25683">
      <c r="A25683" t="n">
        <v>25682</v>
      </c>
      <c r="B25683" t="inlineStr">
        <is>
          <t>x̄x̄V̅DCLXXXII</t>
        </is>
      </c>
      <c r="C25683">
        <f>ROMAN(25682)</f>
        <v/>
      </c>
      <c r="D25683">
        <f>IF(B25683=C25683, "YES", "WRONG")</f>
        <v/>
      </c>
    </row>
    <row r="25684">
      <c r="A25684" t="n">
        <v>25683</v>
      </c>
      <c r="B25684" t="inlineStr">
        <is>
          <t>x̄x̄V̅DCLXXXIII</t>
        </is>
      </c>
      <c r="C25684">
        <f>ROMAN(25683)</f>
        <v/>
      </c>
      <c r="D25684">
        <f>IF(B25684=C25684, "YES", "WRONG")</f>
        <v/>
      </c>
    </row>
    <row r="25685">
      <c r="A25685" t="n">
        <v>25684</v>
      </c>
      <c r="B25685" t="inlineStr">
        <is>
          <t>x̄x̄V̅DCLXXXIV</t>
        </is>
      </c>
      <c r="C25685">
        <f>ROMAN(25684)</f>
        <v/>
      </c>
      <c r="D25685">
        <f>IF(B25685=C25685, "YES", "WRONG")</f>
        <v/>
      </c>
    </row>
    <row r="25686">
      <c r="A25686" t="n">
        <v>25685</v>
      </c>
      <c r="B25686" t="inlineStr">
        <is>
          <t>x̄x̄V̅DCLXXXV</t>
        </is>
      </c>
      <c r="C25686">
        <f>ROMAN(25685)</f>
        <v/>
      </c>
      <c r="D25686">
        <f>IF(B25686=C25686, "YES", "WRONG")</f>
        <v/>
      </c>
    </row>
    <row r="25687">
      <c r="A25687" t="n">
        <v>25686</v>
      </c>
      <c r="B25687" t="inlineStr">
        <is>
          <t>x̄x̄V̅DCLXXXVI</t>
        </is>
      </c>
      <c r="C25687">
        <f>ROMAN(25686)</f>
        <v/>
      </c>
      <c r="D25687">
        <f>IF(B25687=C25687, "YES", "WRONG")</f>
        <v/>
      </c>
    </row>
    <row r="25688">
      <c r="A25688" t="n">
        <v>25687</v>
      </c>
      <c r="B25688" t="inlineStr">
        <is>
          <t>x̄x̄V̅DCLXXXVII</t>
        </is>
      </c>
      <c r="C25688">
        <f>ROMAN(25687)</f>
        <v/>
      </c>
      <c r="D25688">
        <f>IF(B25688=C25688, "YES", "WRONG")</f>
        <v/>
      </c>
    </row>
    <row r="25689">
      <c r="A25689" t="n">
        <v>25688</v>
      </c>
      <c r="B25689" t="inlineStr">
        <is>
          <t>x̄x̄V̅DCLXXXVIII</t>
        </is>
      </c>
      <c r="C25689">
        <f>ROMAN(25688)</f>
        <v/>
      </c>
      <c r="D25689">
        <f>IF(B25689=C25689, "YES", "WRONG")</f>
        <v/>
      </c>
    </row>
    <row r="25690">
      <c r="A25690" t="n">
        <v>25689</v>
      </c>
      <c r="B25690" t="inlineStr">
        <is>
          <t>x̄x̄V̅DCLXXXIX</t>
        </is>
      </c>
      <c r="C25690">
        <f>ROMAN(25689)</f>
        <v/>
      </c>
      <c r="D25690">
        <f>IF(B25690=C25690, "YES", "WRONG")</f>
        <v/>
      </c>
    </row>
    <row r="25691">
      <c r="A25691" t="n">
        <v>25690</v>
      </c>
      <c r="B25691" t="inlineStr">
        <is>
          <t>x̄x̄V̅DCXC</t>
        </is>
      </c>
      <c r="C25691">
        <f>ROMAN(25690)</f>
        <v/>
      </c>
      <c r="D25691">
        <f>IF(B25691=C25691, "YES", "WRONG")</f>
        <v/>
      </c>
    </row>
    <row r="25692">
      <c r="A25692" t="n">
        <v>25691</v>
      </c>
      <c r="B25692" t="inlineStr">
        <is>
          <t>x̄x̄V̅DCXCI</t>
        </is>
      </c>
      <c r="C25692">
        <f>ROMAN(25691)</f>
        <v/>
      </c>
      <c r="D25692">
        <f>IF(B25692=C25692, "YES", "WRONG")</f>
        <v/>
      </c>
    </row>
    <row r="25693">
      <c r="A25693" t="n">
        <v>25692</v>
      </c>
      <c r="B25693" t="inlineStr">
        <is>
          <t>x̄x̄V̅DCXCII</t>
        </is>
      </c>
      <c r="C25693">
        <f>ROMAN(25692)</f>
        <v/>
      </c>
      <c r="D25693">
        <f>IF(B25693=C25693, "YES", "WRONG")</f>
        <v/>
      </c>
    </row>
    <row r="25694">
      <c r="A25694" t="n">
        <v>25693</v>
      </c>
      <c r="B25694" t="inlineStr">
        <is>
          <t>x̄x̄V̅DCXCIII</t>
        </is>
      </c>
      <c r="C25694">
        <f>ROMAN(25693)</f>
        <v/>
      </c>
      <c r="D25694">
        <f>IF(B25694=C25694, "YES", "WRONG")</f>
        <v/>
      </c>
    </row>
    <row r="25695">
      <c r="A25695" t="n">
        <v>25694</v>
      </c>
      <c r="B25695" t="inlineStr">
        <is>
          <t>x̄x̄V̅DCXCIV</t>
        </is>
      </c>
      <c r="C25695">
        <f>ROMAN(25694)</f>
        <v/>
      </c>
      <c r="D25695">
        <f>IF(B25695=C25695, "YES", "WRONG")</f>
        <v/>
      </c>
    </row>
    <row r="25696">
      <c r="A25696" t="n">
        <v>25695</v>
      </c>
      <c r="B25696" t="inlineStr">
        <is>
          <t>x̄x̄V̅DCXCV</t>
        </is>
      </c>
      <c r="C25696">
        <f>ROMAN(25695)</f>
        <v/>
      </c>
      <c r="D25696">
        <f>IF(B25696=C25696, "YES", "WRONG")</f>
        <v/>
      </c>
    </row>
    <row r="25697">
      <c r="A25697" t="n">
        <v>25696</v>
      </c>
      <c r="B25697" t="inlineStr">
        <is>
          <t>x̄x̄V̅DCXCVI</t>
        </is>
      </c>
      <c r="C25697">
        <f>ROMAN(25696)</f>
        <v/>
      </c>
      <c r="D25697">
        <f>IF(B25697=C25697, "YES", "WRONG")</f>
        <v/>
      </c>
    </row>
    <row r="25698">
      <c r="A25698" t="n">
        <v>25697</v>
      </c>
      <c r="B25698" t="inlineStr">
        <is>
          <t>x̄x̄V̅DCXCVII</t>
        </is>
      </c>
      <c r="C25698">
        <f>ROMAN(25697)</f>
        <v/>
      </c>
      <c r="D25698">
        <f>IF(B25698=C25698, "YES", "WRONG")</f>
        <v/>
      </c>
    </row>
    <row r="25699">
      <c r="A25699" t="n">
        <v>25698</v>
      </c>
      <c r="B25699" t="inlineStr">
        <is>
          <t>x̄x̄V̅DCXCVIII</t>
        </is>
      </c>
      <c r="C25699">
        <f>ROMAN(25698)</f>
        <v/>
      </c>
      <c r="D25699">
        <f>IF(B25699=C25699, "YES", "WRONG")</f>
        <v/>
      </c>
    </row>
    <row r="25700">
      <c r="A25700" t="n">
        <v>25699</v>
      </c>
      <c r="B25700" t="inlineStr">
        <is>
          <t>x̄x̄V̅DCXCIX</t>
        </is>
      </c>
      <c r="C25700">
        <f>ROMAN(25699)</f>
        <v/>
      </c>
      <c r="D25700">
        <f>IF(B25700=C25700, "YES", "WRONG")</f>
        <v/>
      </c>
    </row>
    <row r="25701">
      <c r="A25701" t="n">
        <v>25700</v>
      </c>
      <c r="B25701" t="inlineStr">
        <is>
          <t>x̄x̄V̅DCC</t>
        </is>
      </c>
      <c r="C25701">
        <f>ROMAN(25700)</f>
        <v/>
      </c>
      <c r="D25701">
        <f>IF(B25701=C25701, "YES", "WRONG")</f>
        <v/>
      </c>
    </row>
    <row r="25702">
      <c r="A25702" t="n">
        <v>25701</v>
      </c>
      <c r="B25702" t="inlineStr">
        <is>
          <t>x̄x̄V̅DCCI</t>
        </is>
      </c>
      <c r="C25702">
        <f>ROMAN(25701)</f>
        <v/>
      </c>
      <c r="D25702">
        <f>IF(B25702=C25702, "YES", "WRONG")</f>
        <v/>
      </c>
    </row>
    <row r="25703">
      <c r="A25703" t="n">
        <v>25702</v>
      </c>
      <c r="B25703" t="inlineStr">
        <is>
          <t>x̄x̄V̅DCCII</t>
        </is>
      </c>
      <c r="C25703">
        <f>ROMAN(25702)</f>
        <v/>
      </c>
      <c r="D25703">
        <f>IF(B25703=C25703, "YES", "WRONG")</f>
        <v/>
      </c>
    </row>
    <row r="25704">
      <c r="A25704" t="n">
        <v>25703</v>
      </c>
      <c r="B25704" t="inlineStr">
        <is>
          <t>x̄x̄V̅DCCIII</t>
        </is>
      </c>
      <c r="C25704">
        <f>ROMAN(25703)</f>
        <v/>
      </c>
      <c r="D25704">
        <f>IF(B25704=C25704, "YES", "WRONG")</f>
        <v/>
      </c>
    </row>
    <row r="25705">
      <c r="A25705" t="n">
        <v>25704</v>
      </c>
      <c r="B25705" t="inlineStr">
        <is>
          <t>x̄x̄V̅DCCIV</t>
        </is>
      </c>
      <c r="C25705">
        <f>ROMAN(25704)</f>
        <v/>
      </c>
      <c r="D25705">
        <f>IF(B25705=C25705, "YES", "WRONG")</f>
        <v/>
      </c>
    </row>
    <row r="25706">
      <c r="A25706" t="n">
        <v>25705</v>
      </c>
      <c r="B25706" t="inlineStr">
        <is>
          <t>x̄x̄V̅DCCV</t>
        </is>
      </c>
      <c r="C25706">
        <f>ROMAN(25705)</f>
        <v/>
      </c>
      <c r="D25706">
        <f>IF(B25706=C25706, "YES", "WRONG")</f>
        <v/>
      </c>
    </row>
    <row r="25707">
      <c r="A25707" t="n">
        <v>25706</v>
      </c>
      <c r="B25707" t="inlineStr">
        <is>
          <t>x̄x̄V̅DCCVI</t>
        </is>
      </c>
      <c r="C25707">
        <f>ROMAN(25706)</f>
        <v/>
      </c>
      <c r="D25707">
        <f>IF(B25707=C25707, "YES", "WRONG")</f>
        <v/>
      </c>
    </row>
    <row r="25708">
      <c r="A25708" t="n">
        <v>25707</v>
      </c>
      <c r="B25708" t="inlineStr">
        <is>
          <t>x̄x̄V̅DCCVII</t>
        </is>
      </c>
      <c r="C25708">
        <f>ROMAN(25707)</f>
        <v/>
      </c>
      <c r="D25708">
        <f>IF(B25708=C25708, "YES", "WRONG")</f>
        <v/>
      </c>
    </row>
    <row r="25709">
      <c r="A25709" t="n">
        <v>25708</v>
      </c>
      <c r="B25709" t="inlineStr">
        <is>
          <t>x̄x̄V̅DCCVIII</t>
        </is>
      </c>
      <c r="C25709">
        <f>ROMAN(25708)</f>
        <v/>
      </c>
      <c r="D25709">
        <f>IF(B25709=C25709, "YES", "WRONG")</f>
        <v/>
      </c>
    </row>
    <row r="25710">
      <c r="A25710" t="n">
        <v>25709</v>
      </c>
      <c r="B25710" t="inlineStr">
        <is>
          <t>x̄x̄V̅DCCIX</t>
        </is>
      </c>
      <c r="C25710">
        <f>ROMAN(25709)</f>
        <v/>
      </c>
      <c r="D25710">
        <f>IF(B25710=C25710, "YES", "WRONG")</f>
        <v/>
      </c>
    </row>
    <row r="25711">
      <c r="A25711" t="n">
        <v>25710</v>
      </c>
      <c r="B25711" t="inlineStr">
        <is>
          <t>x̄x̄V̅DCCX</t>
        </is>
      </c>
      <c r="C25711">
        <f>ROMAN(25710)</f>
        <v/>
      </c>
      <c r="D25711">
        <f>IF(B25711=C25711, "YES", "WRONG")</f>
        <v/>
      </c>
    </row>
    <row r="25712">
      <c r="A25712" t="n">
        <v>25711</v>
      </c>
      <c r="B25712" t="inlineStr">
        <is>
          <t>x̄x̄V̅DCCXI</t>
        </is>
      </c>
      <c r="C25712">
        <f>ROMAN(25711)</f>
        <v/>
      </c>
      <c r="D25712">
        <f>IF(B25712=C25712, "YES", "WRONG")</f>
        <v/>
      </c>
    </row>
    <row r="25713">
      <c r="A25713" t="n">
        <v>25712</v>
      </c>
      <c r="B25713" t="inlineStr">
        <is>
          <t>x̄x̄V̅DCCXII</t>
        </is>
      </c>
      <c r="C25713">
        <f>ROMAN(25712)</f>
        <v/>
      </c>
      <c r="D25713">
        <f>IF(B25713=C25713, "YES", "WRONG")</f>
        <v/>
      </c>
    </row>
    <row r="25714">
      <c r="A25714" t="n">
        <v>25713</v>
      </c>
      <c r="B25714" t="inlineStr">
        <is>
          <t>x̄x̄V̅DCCXIII</t>
        </is>
      </c>
      <c r="C25714">
        <f>ROMAN(25713)</f>
        <v/>
      </c>
      <c r="D25714">
        <f>IF(B25714=C25714, "YES", "WRONG")</f>
        <v/>
      </c>
    </row>
    <row r="25715">
      <c r="A25715" t="n">
        <v>25714</v>
      </c>
      <c r="B25715" t="inlineStr">
        <is>
          <t>x̄x̄V̅DCCXIV</t>
        </is>
      </c>
      <c r="C25715">
        <f>ROMAN(25714)</f>
        <v/>
      </c>
      <c r="D25715">
        <f>IF(B25715=C25715, "YES", "WRONG")</f>
        <v/>
      </c>
    </row>
    <row r="25716">
      <c r="A25716" t="n">
        <v>25715</v>
      </c>
      <c r="B25716" t="inlineStr">
        <is>
          <t>x̄x̄V̅DCCXV</t>
        </is>
      </c>
      <c r="C25716">
        <f>ROMAN(25715)</f>
        <v/>
      </c>
      <c r="D25716">
        <f>IF(B25716=C25716, "YES", "WRONG")</f>
        <v/>
      </c>
    </row>
    <row r="25717">
      <c r="A25717" t="n">
        <v>25716</v>
      </c>
      <c r="B25717" t="inlineStr">
        <is>
          <t>x̄x̄V̅DCCXVI</t>
        </is>
      </c>
      <c r="C25717">
        <f>ROMAN(25716)</f>
        <v/>
      </c>
      <c r="D25717">
        <f>IF(B25717=C25717, "YES", "WRONG")</f>
        <v/>
      </c>
    </row>
    <row r="25718">
      <c r="A25718" t="n">
        <v>25717</v>
      </c>
      <c r="B25718" t="inlineStr">
        <is>
          <t>x̄x̄V̅DCCXVII</t>
        </is>
      </c>
      <c r="C25718">
        <f>ROMAN(25717)</f>
        <v/>
      </c>
      <c r="D25718">
        <f>IF(B25718=C25718, "YES", "WRONG")</f>
        <v/>
      </c>
    </row>
    <row r="25719">
      <c r="A25719" t="n">
        <v>25718</v>
      </c>
      <c r="B25719" t="inlineStr">
        <is>
          <t>x̄x̄V̅DCCXVIII</t>
        </is>
      </c>
      <c r="C25719">
        <f>ROMAN(25718)</f>
        <v/>
      </c>
      <c r="D25719">
        <f>IF(B25719=C25719, "YES", "WRONG")</f>
        <v/>
      </c>
    </row>
    <row r="25720">
      <c r="A25720" t="n">
        <v>25719</v>
      </c>
      <c r="B25720" t="inlineStr">
        <is>
          <t>x̄x̄V̅DCCXIX</t>
        </is>
      </c>
      <c r="C25720">
        <f>ROMAN(25719)</f>
        <v/>
      </c>
      <c r="D25720">
        <f>IF(B25720=C25720, "YES", "WRONG")</f>
        <v/>
      </c>
    </row>
    <row r="25721">
      <c r="A25721" t="n">
        <v>25720</v>
      </c>
      <c r="B25721" t="inlineStr">
        <is>
          <t>x̄x̄V̅DCCXX</t>
        </is>
      </c>
      <c r="C25721">
        <f>ROMAN(25720)</f>
        <v/>
      </c>
      <c r="D25721">
        <f>IF(B25721=C25721, "YES", "WRONG")</f>
        <v/>
      </c>
    </row>
    <row r="25722">
      <c r="A25722" t="n">
        <v>25721</v>
      </c>
      <c r="B25722" t="inlineStr">
        <is>
          <t>x̄x̄V̅DCCXXI</t>
        </is>
      </c>
      <c r="C25722">
        <f>ROMAN(25721)</f>
        <v/>
      </c>
      <c r="D25722">
        <f>IF(B25722=C25722, "YES", "WRONG")</f>
        <v/>
      </c>
    </row>
    <row r="25723">
      <c r="A25723" t="n">
        <v>25722</v>
      </c>
      <c r="B25723" t="inlineStr">
        <is>
          <t>x̄x̄V̅DCCXXII</t>
        </is>
      </c>
      <c r="C25723">
        <f>ROMAN(25722)</f>
        <v/>
      </c>
      <c r="D25723">
        <f>IF(B25723=C25723, "YES", "WRONG")</f>
        <v/>
      </c>
    </row>
    <row r="25724">
      <c r="A25724" t="n">
        <v>25723</v>
      </c>
      <c r="B25724" t="inlineStr">
        <is>
          <t>x̄x̄V̅DCCXXIII</t>
        </is>
      </c>
      <c r="C25724">
        <f>ROMAN(25723)</f>
        <v/>
      </c>
      <c r="D25724">
        <f>IF(B25724=C25724, "YES", "WRONG")</f>
        <v/>
      </c>
    </row>
    <row r="25725">
      <c r="A25725" t="n">
        <v>25724</v>
      </c>
      <c r="B25725" t="inlineStr">
        <is>
          <t>x̄x̄V̅DCCXXIV</t>
        </is>
      </c>
      <c r="C25725">
        <f>ROMAN(25724)</f>
        <v/>
      </c>
      <c r="D25725">
        <f>IF(B25725=C25725, "YES", "WRONG")</f>
        <v/>
      </c>
    </row>
    <row r="25726">
      <c r="A25726" t="n">
        <v>25725</v>
      </c>
      <c r="B25726" t="inlineStr">
        <is>
          <t>x̄x̄V̅DCCXXV</t>
        </is>
      </c>
      <c r="C25726">
        <f>ROMAN(25725)</f>
        <v/>
      </c>
      <c r="D25726">
        <f>IF(B25726=C25726, "YES", "WRONG")</f>
        <v/>
      </c>
    </row>
    <row r="25727">
      <c r="A25727" t="n">
        <v>25726</v>
      </c>
      <c r="B25727" t="inlineStr">
        <is>
          <t>x̄x̄V̅DCCXXVI</t>
        </is>
      </c>
      <c r="C25727">
        <f>ROMAN(25726)</f>
        <v/>
      </c>
      <c r="D25727">
        <f>IF(B25727=C25727, "YES", "WRONG")</f>
        <v/>
      </c>
    </row>
    <row r="25728">
      <c r="A25728" t="n">
        <v>25727</v>
      </c>
      <c r="B25728" t="inlineStr">
        <is>
          <t>x̄x̄V̅DCCXXVII</t>
        </is>
      </c>
      <c r="C25728">
        <f>ROMAN(25727)</f>
        <v/>
      </c>
      <c r="D25728">
        <f>IF(B25728=C25728, "YES", "WRONG")</f>
        <v/>
      </c>
    </row>
    <row r="25729">
      <c r="A25729" t="n">
        <v>25728</v>
      </c>
      <c r="B25729" t="inlineStr">
        <is>
          <t>x̄x̄V̅DCCXXVIII</t>
        </is>
      </c>
      <c r="C25729">
        <f>ROMAN(25728)</f>
        <v/>
      </c>
      <c r="D25729">
        <f>IF(B25729=C25729, "YES", "WRONG")</f>
        <v/>
      </c>
    </row>
    <row r="25730">
      <c r="A25730" t="n">
        <v>25729</v>
      </c>
      <c r="B25730" t="inlineStr">
        <is>
          <t>x̄x̄V̅DCCXXIX</t>
        </is>
      </c>
      <c r="C25730">
        <f>ROMAN(25729)</f>
        <v/>
      </c>
      <c r="D25730">
        <f>IF(B25730=C25730, "YES", "WRONG")</f>
        <v/>
      </c>
    </row>
    <row r="25731">
      <c r="A25731" t="n">
        <v>25730</v>
      </c>
      <c r="B25731" t="inlineStr">
        <is>
          <t>x̄x̄V̅DCCXXX</t>
        </is>
      </c>
      <c r="C25731">
        <f>ROMAN(25730)</f>
        <v/>
      </c>
      <c r="D25731">
        <f>IF(B25731=C25731, "YES", "WRONG")</f>
        <v/>
      </c>
    </row>
    <row r="25732">
      <c r="A25732" t="n">
        <v>25731</v>
      </c>
      <c r="B25732" t="inlineStr">
        <is>
          <t>x̄x̄V̅DCCXXXI</t>
        </is>
      </c>
      <c r="C25732">
        <f>ROMAN(25731)</f>
        <v/>
      </c>
      <c r="D25732">
        <f>IF(B25732=C25732, "YES", "WRONG")</f>
        <v/>
      </c>
    </row>
    <row r="25733">
      <c r="A25733" t="n">
        <v>25732</v>
      </c>
      <c r="B25733" t="inlineStr">
        <is>
          <t>x̄x̄V̅DCCXXXII</t>
        </is>
      </c>
      <c r="C25733">
        <f>ROMAN(25732)</f>
        <v/>
      </c>
      <c r="D25733">
        <f>IF(B25733=C25733, "YES", "WRONG")</f>
        <v/>
      </c>
    </row>
    <row r="25734">
      <c r="A25734" t="n">
        <v>25733</v>
      </c>
      <c r="B25734" t="inlineStr">
        <is>
          <t>x̄x̄V̅DCCXXXIII</t>
        </is>
      </c>
      <c r="C25734">
        <f>ROMAN(25733)</f>
        <v/>
      </c>
      <c r="D25734">
        <f>IF(B25734=C25734, "YES", "WRONG")</f>
        <v/>
      </c>
    </row>
    <row r="25735">
      <c r="A25735" t="n">
        <v>25734</v>
      </c>
      <c r="B25735" t="inlineStr">
        <is>
          <t>x̄x̄V̅DCCXXXIV</t>
        </is>
      </c>
      <c r="C25735">
        <f>ROMAN(25734)</f>
        <v/>
      </c>
      <c r="D25735">
        <f>IF(B25735=C25735, "YES", "WRONG")</f>
        <v/>
      </c>
    </row>
    <row r="25736">
      <c r="A25736" t="n">
        <v>25735</v>
      </c>
      <c r="B25736" t="inlineStr">
        <is>
          <t>x̄x̄V̅DCCXXXV</t>
        </is>
      </c>
      <c r="C25736">
        <f>ROMAN(25735)</f>
        <v/>
      </c>
      <c r="D25736">
        <f>IF(B25736=C25736, "YES", "WRONG")</f>
        <v/>
      </c>
    </row>
    <row r="25737">
      <c r="A25737" t="n">
        <v>25736</v>
      </c>
      <c r="B25737" t="inlineStr">
        <is>
          <t>x̄x̄V̅DCCXXXVI</t>
        </is>
      </c>
      <c r="C25737">
        <f>ROMAN(25736)</f>
        <v/>
      </c>
      <c r="D25737">
        <f>IF(B25737=C25737, "YES", "WRONG")</f>
        <v/>
      </c>
    </row>
    <row r="25738">
      <c r="A25738" t="n">
        <v>25737</v>
      </c>
      <c r="B25738" t="inlineStr">
        <is>
          <t>x̄x̄V̅DCCXXXVII</t>
        </is>
      </c>
      <c r="C25738">
        <f>ROMAN(25737)</f>
        <v/>
      </c>
      <c r="D25738">
        <f>IF(B25738=C25738, "YES", "WRONG")</f>
        <v/>
      </c>
    </row>
    <row r="25739">
      <c r="A25739" t="n">
        <v>25738</v>
      </c>
      <c r="B25739" t="inlineStr">
        <is>
          <t>x̄x̄V̅DCCXXXVIII</t>
        </is>
      </c>
      <c r="C25739">
        <f>ROMAN(25738)</f>
        <v/>
      </c>
      <c r="D25739">
        <f>IF(B25739=C25739, "YES", "WRONG")</f>
        <v/>
      </c>
    </row>
    <row r="25740">
      <c r="A25740" t="n">
        <v>25739</v>
      </c>
      <c r="B25740" t="inlineStr">
        <is>
          <t>x̄x̄V̅DCCXXXIX</t>
        </is>
      </c>
      <c r="C25740">
        <f>ROMAN(25739)</f>
        <v/>
      </c>
      <c r="D25740">
        <f>IF(B25740=C25740, "YES", "WRONG")</f>
        <v/>
      </c>
    </row>
    <row r="25741">
      <c r="A25741" t="n">
        <v>25740</v>
      </c>
      <c r="B25741" t="inlineStr">
        <is>
          <t>x̄x̄V̅DCCXL</t>
        </is>
      </c>
      <c r="C25741">
        <f>ROMAN(25740)</f>
        <v/>
      </c>
      <c r="D25741">
        <f>IF(B25741=C25741, "YES", "WRONG")</f>
        <v/>
      </c>
    </row>
    <row r="25742">
      <c r="A25742" t="n">
        <v>25741</v>
      </c>
      <c r="B25742" t="inlineStr">
        <is>
          <t>x̄x̄V̅DCCXLI</t>
        </is>
      </c>
      <c r="C25742">
        <f>ROMAN(25741)</f>
        <v/>
      </c>
      <c r="D25742">
        <f>IF(B25742=C25742, "YES", "WRONG")</f>
        <v/>
      </c>
    </row>
    <row r="25743">
      <c r="A25743" t="n">
        <v>25742</v>
      </c>
      <c r="B25743" t="inlineStr">
        <is>
          <t>x̄x̄V̅DCCXLII</t>
        </is>
      </c>
      <c r="C25743">
        <f>ROMAN(25742)</f>
        <v/>
      </c>
      <c r="D25743">
        <f>IF(B25743=C25743, "YES", "WRONG")</f>
        <v/>
      </c>
    </row>
    <row r="25744">
      <c r="A25744" t="n">
        <v>25743</v>
      </c>
      <c r="B25744" t="inlineStr">
        <is>
          <t>x̄x̄V̅DCCXLIII</t>
        </is>
      </c>
      <c r="C25744">
        <f>ROMAN(25743)</f>
        <v/>
      </c>
      <c r="D25744">
        <f>IF(B25744=C25744, "YES", "WRONG")</f>
        <v/>
      </c>
    </row>
    <row r="25745">
      <c r="A25745" t="n">
        <v>25744</v>
      </c>
      <c r="B25745" t="inlineStr">
        <is>
          <t>x̄x̄V̅DCCXLIV</t>
        </is>
      </c>
      <c r="C25745">
        <f>ROMAN(25744)</f>
        <v/>
      </c>
      <c r="D25745">
        <f>IF(B25745=C25745, "YES", "WRONG")</f>
        <v/>
      </c>
    </row>
    <row r="25746">
      <c r="A25746" t="n">
        <v>25745</v>
      </c>
      <c r="B25746" t="inlineStr">
        <is>
          <t>x̄x̄V̅DCCXLV</t>
        </is>
      </c>
      <c r="C25746">
        <f>ROMAN(25745)</f>
        <v/>
      </c>
      <c r="D25746">
        <f>IF(B25746=C25746, "YES", "WRONG")</f>
        <v/>
      </c>
    </row>
    <row r="25747">
      <c r="A25747" t="n">
        <v>25746</v>
      </c>
      <c r="B25747" t="inlineStr">
        <is>
          <t>x̄x̄V̅DCCXLVI</t>
        </is>
      </c>
      <c r="C25747">
        <f>ROMAN(25746)</f>
        <v/>
      </c>
      <c r="D25747">
        <f>IF(B25747=C25747, "YES", "WRONG")</f>
        <v/>
      </c>
    </row>
    <row r="25748">
      <c r="A25748" t="n">
        <v>25747</v>
      </c>
      <c r="B25748" t="inlineStr">
        <is>
          <t>x̄x̄V̅DCCXLVII</t>
        </is>
      </c>
      <c r="C25748">
        <f>ROMAN(25747)</f>
        <v/>
      </c>
      <c r="D25748">
        <f>IF(B25748=C25748, "YES", "WRONG")</f>
        <v/>
      </c>
    </row>
    <row r="25749">
      <c r="A25749" t="n">
        <v>25748</v>
      </c>
      <c r="B25749" t="inlineStr">
        <is>
          <t>x̄x̄V̅DCCXLVIII</t>
        </is>
      </c>
      <c r="C25749">
        <f>ROMAN(25748)</f>
        <v/>
      </c>
      <c r="D25749">
        <f>IF(B25749=C25749, "YES", "WRONG")</f>
        <v/>
      </c>
    </row>
    <row r="25750">
      <c r="A25750" t="n">
        <v>25749</v>
      </c>
      <c r="B25750" t="inlineStr">
        <is>
          <t>x̄x̄V̅DCCXLIX</t>
        </is>
      </c>
      <c r="C25750">
        <f>ROMAN(25749)</f>
        <v/>
      </c>
      <c r="D25750">
        <f>IF(B25750=C25750, "YES", "WRONG")</f>
        <v/>
      </c>
    </row>
    <row r="25751">
      <c r="A25751" t="n">
        <v>25750</v>
      </c>
      <c r="B25751" t="inlineStr">
        <is>
          <t>x̄x̄V̅DCCL</t>
        </is>
      </c>
      <c r="C25751">
        <f>ROMAN(25750)</f>
        <v/>
      </c>
      <c r="D25751">
        <f>IF(B25751=C25751, "YES", "WRONG")</f>
        <v/>
      </c>
    </row>
    <row r="25752">
      <c r="A25752" t="n">
        <v>25751</v>
      </c>
      <c r="B25752" t="inlineStr">
        <is>
          <t>x̄x̄V̅DCCLI</t>
        </is>
      </c>
      <c r="C25752">
        <f>ROMAN(25751)</f>
        <v/>
      </c>
      <c r="D25752">
        <f>IF(B25752=C25752, "YES", "WRONG")</f>
        <v/>
      </c>
    </row>
    <row r="25753">
      <c r="A25753" t="n">
        <v>25752</v>
      </c>
      <c r="B25753" t="inlineStr">
        <is>
          <t>x̄x̄V̅DCCLII</t>
        </is>
      </c>
      <c r="C25753">
        <f>ROMAN(25752)</f>
        <v/>
      </c>
      <c r="D25753">
        <f>IF(B25753=C25753, "YES", "WRONG")</f>
        <v/>
      </c>
    </row>
    <row r="25754">
      <c r="A25754" t="n">
        <v>25753</v>
      </c>
      <c r="B25754" t="inlineStr">
        <is>
          <t>x̄x̄V̅DCCLIII</t>
        </is>
      </c>
      <c r="C25754">
        <f>ROMAN(25753)</f>
        <v/>
      </c>
      <c r="D25754">
        <f>IF(B25754=C25754, "YES", "WRONG")</f>
        <v/>
      </c>
    </row>
    <row r="25755">
      <c r="A25755" t="n">
        <v>25754</v>
      </c>
      <c r="B25755" t="inlineStr">
        <is>
          <t>x̄x̄V̅DCCLIV</t>
        </is>
      </c>
      <c r="C25755">
        <f>ROMAN(25754)</f>
        <v/>
      </c>
      <c r="D25755">
        <f>IF(B25755=C25755, "YES", "WRONG")</f>
        <v/>
      </c>
    </row>
    <row r="25756">
      <c r="A25756" t="n">
        <v>25755</v>
      </c>
      <c r="B25756" t="inlineStr">
        <is>
          <t>x̄x̄V̅DCCLV</t>
        </is>
      </c>
      <c r="C25756">
        <f>ROMAN(25755)</f>
        <v/>
      </c>
      <c r="D25756">
        <f>IF(B25756=C25756, "YES", "WRONG")</f>
        <v/>
      </c>
    </row>
    <row r="25757">
      <c r="A25757" t="n">
        <v>25756</v>
      </c>
      <c r="B25757" t="inlineStr">
        <is>
          <t>x̄x̄V̅DCCLVI</t>
        </is>
      </c>
      <c r="C25757">
        <f>ROMAN(25756)</f>
        <v/>
      </c>
      <c r="D25757">
        <f>IF(B25757=C25757, "YES", "WRONG")</f>
        <v/>
      </c>
    </row>
    <row r="25758">
      <c r="A25758" t="n">
        <v>25757</v>
      </c>
      <c r="B25758" t="inlineStr">
        <is>
          <t>x̄x̄V̅DCCLVII</t>
        </is>
      </c>
      <c r="C25758">
        <f>ROMAN(25757)</f>
        <v/>
      </c>
      <c r="D25758">
        <f>IF(B25758=C25758, "YES", "WRONG")</f>
        <v/>
      </c>
    </row>
    <row r="25759">
      <c r="A25759" t="n">
        <v>25758</v>
      </c>
      <c r="B25759" t="inlineStr">
        <is>
          <t>x̄x̄V̅DCCLVIII</t>
        </is>
      </c>
      <c r="C25759">
        <f>ROMAN(25758)</f>
        <v/>
      </c>
      <c r="D25759">
        <f>IF(B25759=C25759, "YES", "WRONG")</f>
        <v/>
      </c>
    </row>
    <row r="25760">
      <c r="A25760" t="n">
        <v>25759</v>
      </c>
      <c r="B25760" t="inlineStr">
        <is>
          <t>x̄x̄V̅DCCLIX</t>
        </is>
      </c>
      <c r="C25760">
        <f>ROMAN(25759)</f>
        <v/>
      </c>
      <c r="D25760">
        <f>IF(B25760=C25760, "YES", "WRONG")</f>
        <v/>
      </c>
    </row>
    <row r="25761">
      <c r="A25761" t="n">
        <v>25760</v>
      </c>
      <c r="B25761" t="inlineStr">
        <is>
          <t>x̄x̄V̅DCCLX</t>
        </is>
      </c>
      <c r="C25761">
        <f>ROMAN(25760)</f>
        <v/>
      </c>
      <c r="D25761">
        <f>IF(B25761=C25761, "YES", "WRONG")</f>
        <v/>
      </c>
    </row>
    <row r="25762">
      <c r="A25762" t="n">
        <v>25761</v>
      </c>
      <c r="B25762" t="inlineStr">
        <is>
          <t>x̄x̄V̅DCCLXI</t>
        </is>
      </c>
      <c r="C25762">
        <f>ROMAN(25761)</f>
        <v/>
      </c>
      <c r="D25762">
        <f>IF(B25762=C25762, "YES", "WRONG")</f>
        <v/>
      </c>
    </row>
    <row r="25763">
      <c r="A25763" t="n">
        <v>25762</v>
      </c>
      <c r="B25763" t="inlineStr">
        <is>
          <t>x̄x̄V̅DCCLXII</t>
        </is>
      </c>
      <c r="C25763">
        <f>ROMAN(25762)</f>
        <v/>
      </c>
      <c r="D25763">
        <f>IF(B25763=C25763, "YES", "WRONG")</f>
        <v/>
      </c>
    </row>
    <row r="25764">
      <c r="A25764" t="n">
        <v>25763</v>
      </c>
      <c r="B25764" t="inlineStr">
        <is>
          <t>x̄x̄V̅DCCLXIII</t>
        </is>
      </c>
      <c r="C25764">
        <f>ROMAN(25763)</f>
        <v/>
      </c>
      <c r="D25764">
        <f>IF(B25764=C25764, "YES", "WRONG")</f>
        <v/>
      </c>
    </row>
    <row r="25765">
      <c r="A25765" t="n">
        <v>25764</v>
      </c>
      <c r="B25765" t="inlineStr">
        <is>
          <t>x̄x̄V̅DCCLXIV</t>
        </is>
      </c>
      <c r="C25765">
        <f>ROMAN(25764)</f>
        <v/>
      </c>
      <c r="D25765">
        <f>IF(B25765=C25765, "YES", "WRONG")</f>
        <v/>
      </c>
    </row>
    <row r="25766">
      <c r="A25766" t="n">
        <v>25765</v>
      </c>
      <c r="B25766" t="inlineStr">
        <is>
          <t>x̄x̄V̅DCCLXV</t>
        </is>
      </c>
      <c r="C25766">
        <f>ROMAN(25765)</f>
        <v/>
      </c>
      <c r="D25766">
        <f>IF(B25766=C25766, "YES", "WRONG")</f>
        <v/>
      </c>
    </row>
    <row r="25767">
      <c r="A25767" t="n">
        <v>25766</v>
      </c>
      <c r="B25767" t="inlineStr">
        <is>
          <t>x̄x̄V̅DCCLXVI</t>
        </is>
      </c>
      <c r="C25767">
        <f>ROMAN(25766)</f>
        <v/>
      </c>
      <c r="D25767">
        <f>IF(B25767=C25767, "YES", "WRONG")</f>
        <v/>
      </c>
    </row>
    <row r="25768">
      <c r="A25768" t="n">
        <v>25767</v>
      </c>
      <c r="B25768" t="inlineStr">
        <is>
          <t>x̄x̄V̅DCCLXVII</t>
        </is>
      </c>
      <c r="C25768">
        <f>ROMAN(25767)</f>
        <v/>
      </c>
      <c r="D25768">
        <f>IF(B25768=C25768, "YES", "WRONG")</f>
        <v/>
      </c>
    </row>
    <row r="25769">
      <c r="A25769" t="n">
        <v>25768</v>
      </c>
      <c r="B25769" t="inlineStr">
        <is>
          <t>x̄x̄V̅DCCLXVIII</t>
        </is>
      </c>
      <c r="C25769">
        <f>ROMAN(25768)</f>
        <v/>
      </c>
      <c r="D25769">
        <f>IF(B25769=C25769, "YES", "WRONG")</f>
        <v/>
      </c>
    </row>
    <row r="25770">
      <c r="A25770" t="n">
        <v>25769</v>
      </c>
      <c r="B25770" t="inlineStr">
        <is>
          <t>x̄x̄V̅DCCLXIX</t>
        </is>
      </c>
      <c r="C25770">
        <f>ROMAN(25769)</f>
        <v/>
      </c>
      <c r="D25770">
        <f>IF(B25770=C25770, "YES", "WRONG")</f>
        <v/>
      </c>
    </row>
    <row r="25771">
      <c r="A25771" t="n">
        <v>25770</v>
      </c>
      <c r="B25771" t="inlineStr">
        <is>
          <t>x̄x̄V̅DCCLXX</t>
        </is>
      </c>
      <c r="C25771">
        <f>ROMAN(25770)</f>
        <v/>
      </c>
      <c r="D25771">
        <f>IF(B25771=C25771, "YES", "WRONG")</f>
        <v/>
      </c>
    </row>
    <row r="25772">
      <c r="A25772" t="n">
        <v>25771</v>
      </c>
      <c r="B25772" t="inlineStr">
        <is>
          <t>x̄x̄V̅DCCLXXI</t>
        </is>
      </c>
      <c r="C25772">
        <f>ROMAN(25771)</f>
        <v/>
      </c>
      <c r="D25772">
        <f>IF(B25772=C25772, "YES", "WRONG")</f>
        <v/>
      </c>
    </row>
    <row r="25773">
      <c r="A25773" t="n">
        <v>25772</v>
      </c>
      <c r="B25773" t="inlineStr">
        <is>
          <t>x̄x̄V̅DCCLXXII</t>
        </is>
      </c>
      <c r="C25773">
        <f>ROMAN(25772)</f>
        <v/>
      </c>
      <c r="D25773">
        <f>IF(B25773=C25773, "YES", "WRONG")</f>
        <v/>
      </c>
    </row>
    <row r="25774">
      <c r="A25774" t="n">
        <v>25773</v>
      </c>
      <c r="B25774" t="inlineStr">
        <is>
          <t>x̄x̄V̅DCCLXXIII</t>
        </is>
      </c>
      <c r="C25774">
        <f>ROMAN(25773)</f>
        <v/>
      </c>
      <c r="D25774">
        <f>IF(B25774=C25774, "YES", "WRONG")</f>
        <v/>
      </c>
    </row>
    <row r="25775">
      <c r="A25775" t="n">
        <v>25774</v>
      </c>
      <c r="B25775" t="inlineStr">
        <is>
          <t>x̄x̄V̅DCCLXXIV</t>
        </is>
      </c>
      <c r="C25775">
        <f>ROMAN(25774)</f>
        <v/>
      </c>
      <c r="D25775">
        <f>IF(B25775=C25775, "YES", "WRONG")</f>
        <v/>
      </c>
    </row>
    <row r="25776">
      <c r="A25776" t="n">
        <v>25775</v>
      </c>
      <c r="B25776" t="inlineStr">
        <is>
          <t>x̄x̄V̅DCCLXXV</t>
        </is>
      </c>
      <c r="C25776">
        <f>ROMAN(25775)</f>
        <v/>
      </c>
      <c r="D25776">
        <f>IF(B25776=C25776, "YES", "WRONG")</f>
        <v/>
      </c>
    </row>
    <row r="25777">
      <c r="A25777" t="n">
        <v>25776</v>
      </c>
      <c r="B25777" t="inlineStr">
        <is>
          <t>x̄x̄V̅DCCLXXVI</t>
        </is>
      </c>
      <c r="C25777">
        <f>ROMAN(25776)</f>
        <v/>
      </c>
      <c r="D25777">
        <f>IF(B25777=C25777, "YES", "WRONG")</f>
        <v/>
      </c>
    </row>
    <row r="25778">
      <c r="A25778" t="n">
        <v>25777</v>
      </c>
      <c r="B25778" t="inlineStr">
        <is>
          <t>x̄x̄V̅DCCLXXVII</t>
        </is>
      </c>
      <c r="C25778">
        <f>ROMAN(25777)</f>
        <v/>
      </c>
      <c r="D25778">
        <f>IF(B25778=C25778, "YES", "WRONG")</f>
        <v/>
      </c>
    </row>
    <row r="25779">
      <c r="A25779" t="n">
        <v>25778</v>
      </c>
      <c r="B25779" t="inlineStr">
        <is>
          <t>x̄x̄V̅DCCLXXVIII</t>
        </is>
      </c>
      <c r="C25779">
        <f>ROMAN(25778)</f>
        <v/>
      </c>
      <c r="D25779">
        <f>IF(B25779=C25779, "YES", "WRONG")</f>
        <v/>
      </c>
    </row>
    <row r="25780">
      <c r="A25780" t="n">
        <v>25779</v>
      </c>
      <c r="B25780" t="inlineStr">
        <is>
          <t>x̄x̄V̅DCCLXXIX</t>
        </is>
      </c>
      <c r="C25780">
        <f>ROMAN(25779)</f>
        <v/>
      </c>
      <c r="D25780">
        <f>IF(B25780=C25780, "YES", "WRONG")</f>
        <v/>
      </c>
    </row>
    <row r="25781">
      <c r="A25781" t="n">
        <v>25780</v>
      </c>
      <c r="B25781" t="inlineStr">
        <is>
          <t>x̄x̄V̅DCCLXXX</t>
        </is>
      </c>
      <c r="C25781">
        <f>ROMAN(25780)</f>
        <v/>
      </c>
      <c r="D25781">
        <f>IF(B25781=C25781, "YES", "WRONG")</f>
        <v/>
      </c>
    </row>
    <row r="25782">
      <c r="A25782" t="n">
        <v>25781</v>
      </c>
      <c r="B25782" t="inlineStr">
        <is>
          <t>x̄x̄V̅DCCLXXXI</t>
        </is>
      </c>
      <c r="C25782">
        <f>ROMAN(25781)</f>
        <v/>
      </c>
      <c r="D25782">
        <f>IF(B25782=C25782, "YES", "WRONG")</f>
        <v/>
      </c>
    </row>
    <row r="25783">
      <c r="A25783" t="n">
        <v>25782</v>
      </c>
      <c r="B25783" t="inlineStr">
        <is>
          <t>x̄x̄V̅DCCLXXXII</t>
        </is>
      </c>
      <c r="C25783">
        <f>ROMAN(25782)</f>
        <v/>
      </c>
      <c r="D25783">
        <f>IF(B25783=C25783, "YES", "WRONG")</f>
        <v/>
      </c>
    </row>
    <row r="25784">
      <c r="A25784" t="n">
        <v>25783</v>
      </c>
      <c r="B25784" t="inlineStr">
        <is>
          <t>x̄x̄V̅DCCLXXXIII</t>
        </is>
      </c>
      <c r="C25784">
        <f>ROMAN(25783)</f>
        <v/>
      </c>
      <c r="D25784">
        <f>IF(B25784=C25784, "YES", "WRONG")</f>
        <v/>
      </c>
    </row>
    <row r="25785">
      <c r="A25785" t="n">
        <v>25784</v>
      </c>
      <c r="B25785" t="inlineStr">
        <is>
          <t>x̄x̄V̅DCCLXXXIV</t>
        </is>
      </c>
      <c r="C25785">
        <f>ROMAN(25784)</f>
        <v/>
      </c>
      <c r="D25785">
        <f>IF(B25785=C25785, "YES", "WRONG")</f>
        <v/>
      </c>
    </row>
    <row r="25786">
      <c r="A25786" t="n">
        <v>25785</v>
      </c>
      <c r="B25786" t="inlineStr">
        <is>
          <t>x̄x̄V̅DCCLXXXV</t>
        </is>
      </c>
      <c r="C25786">
        <f>ROMAN(25785)</f>
        <v/>
      </c>
      <c r="D25786">
        <f>IF(B25786=C25786, "YES", "WRONG")</f>
        <v/>
      </c>
    </row>
    <row r="25787">
      <c r="A25787" t="n">
        <v>25786</v>
      </c>
      <c r="B25787" t="inlineStr">
        <is>
          <t>x̄x̄V̅DCCLXXXVI</t>
        </is>
      </c>
      <c r="C25787">
        <f>ROMAN(25786)</f>
        <v/>
      </c>
      <c r="D25787">
        <f>IF(B25787=C25787, "YES", "WRONG")</f>
        <v/>
      </c>
    </row>
    <row r="25788">
      <c r="A25788" t="n">
        <v>25787</v>
      </c>
      <c r="B25788" t="inlineStr">
        <is>
          <t>x̄x̄V̅DCCLXXXVII</t>
        </is>
      </c>
      <c r="C25788">
        <f>ROMAN(25787)</f>
        <v/>
      </c>
      <c r="D25788">
        <f>IF(B25788=C25788, "YES", "WRONG")</f>
        <v/>
      </c>
    </row>
    <row r="25789">
      <c r="A25789" t="n">
        <v>25788</v>
      </c>
      <c r="B25789" t="inlineStr">
        <is>
          <t>x̄x̄V̅DCCLXXXVIII</t>
        </is>
      </c>
      <c r="C25789">
        <f>ROMAN(25788)</f>
        <v/>
      </c>
      <c r="D25789">
        <f>IF(B25789=C25789, "YES", "WRONG")</f>
        <v/>
      </c>
    </row>
    <row r="25790">
      <c r="A25790" t="n">
        <v>25789</v>
      </c>
      <c r="B25790" t="inlineStr">
        <is>
          <t>x̄x̄V̅DCCLXXXIX</t>
        </is>
      </c>
      <c r="C25790">
        <f>ROMAN(25789)</f>
        <v/>
      </c>
      <c r="D25790">
        <f>IF(B25790=C25790, "YES", "WRONG")</f>
        <v/>
      </c>
    </row>
    <row r="25791">
      <c r="A25791" t="n">
        <v>25790</v>
      </c>
      <c r="B25791" t="inlineStr">
        <is>
          <t>x̄x̄V̅DCCXC</t>
        </is>
      </c>
      <c r="C25791">
        <f>ROMAN(25790)</f>
        <v/>
      </c>
      <c r="D25791">
        <f>IF(B25791=C25791, "YES", "WRONG")</f>
        <v/>
      </c>
    </row>
    <row r="25792">
      <c r="A25792" t="n">
        <v>25791</v>
      </c>
      <c r="B25792" t="inlineStr">
        <is>
          <t>x̄x̄V̅DCCXCI</t>
        </is>
      </c>
      <c r="C25792">
        <f>ROMAN(25791)</f>
        <v/>
      </c>
      <c r="D25792">
        <f>IF(B25792=C25792, "YES", "WRONG")</f>
        <v/>
      </c>
    </row>
    <row r="25793">
      <c r="A25793" t="n">
        <v>25792</v>
      </c>
      <c r="B25793" t="inlineStr">
        <is>
          <t>x̄x̄V̅DCCXCII</t>
        </is>
      </c>
      <c r="C25793">
        <f>ROMAN(25792)</f>
        <v/>
      </c>
      <c r="D25793">
        <f>IF(B25793=C25793, "YES", "WRONG")</f>
        <v/>
      </c>
    </row>
    <row r="25794">
      <c r="A25794" t="n">
        <v>25793</v>
      </c>
      <c r="B25794" t="inlineStr">
        <is>
          <t>x̄x̄V̅DCCXCIII</t>
        </is>
      </c>
      <c r="C25794">
        <f>ROMAN(25793)</f>
        <v/>
      </c>
      <c r="D25794">
        <f>IF(B25794=C25794, "YES", "WRONG")</f>
        <v/>
      </c>
    </row>
    <row r="25795">
      <c r="A25795" t="n">
        <v>25794</v>
      </c>
      <c r="B25795" t="inlineStr">
        <is>
          <t>x̄x̄V̅DCCXCIV</t>
        </is>
      </c>
      <c r="C25795">
        <f>ROMAN(25794)</f>
        <v/>
      </c>
      <c r="D25795">
        <f>IF(B25795=C25795, "YES", "WRONG")</f>
        <v/>
      </c>
    </row>
    <row r="25796">
      <c r="A25796" t="n">
        <v>25795</v>
      </c>
      <c r="B25796" t="inlineStr">
        <is>
          <t>x̄x̄V̅DCCXCV</t>
        </is>
      </c>
      <c r="C25796">
        <f>ROMAN(25795)</f>
        <v/>
      </c>
      <c r="D25796">
        <f>IF(B25796=C25796, "YES", "WRONG")</f>
        <v/>
      </c>
    </row>
    <row r="25797">
      <c r="A25797" t="n">
        <v>25796</v>
      </c>
      <c r="B25797" t="inlineStr">
        <is>
          <t>x̄x̄V̅DCCXCVI</t>
        </is>
      </c>
      <c r="C25797">
        <f>ROMAN(25796)</f>
        <v/>
      </c>
      <c r="D25797">
        <f>IF(B25797=C25797, "YES", "WRONG")</f>
        <v/>
      </c>
    </row>
    <row r="25798">
      <c r="A25798" t="n">
        <v>25797</v>
      </c>
      <c r="B25798" t="inlineStr">
        <is>
          <t>x̄x̄V̅DCCXCVII</t>
        </is>
      </c>
      <c r="C25798">
        <f>ROMAN(25797)</f>
        <v/>
      </c>
      <c r="D25798">
        <f>IF(B25798=C25798, "YES", "WRONG")</f>
        <v/>
      </c>
    </row>
    <row r="25799">
      <c r="A25799" t="n">
        <v>25798</v>
      </c>
      <c r="B25799" t="inlineStr">
        <is>
          <t>x̄x̄V̅DCCXCVIII</t>
        </is>
      </c>
      <c r="C25799">
        <f>ROMAN(25798)</f>
        <v/>
      </c>
      <c r="D25799">
        <f>IF(B25799=C25799, "YES", "WRONG")</f>
        <v/>
      </c>
    </row>
    <row r="25800">
      <c r="A25800" t="n">
        <v>25799</v>
      </c>
      <c r="B25800" t="inlineStr">
        <is>
          <t>x̄x̄V̅DCCXCIX</t>
        </is>
      </c>
      <c r="C25800">
        <f>ROMAN(25799)</f>
        <v/>
      </c>
      <c r="D25800">
        <f>IF(B25800=C25800, "YES", "WRONG")</f>
        <v/>
      </c>
    </row>
    <row r="25801">
      <c r="A25801" t="n">
        <v>25800</v>
      </c>
      <c r="B25801" t="inlineStr">
        <is>
          <t>x̄x̄V̅DCCC</t>
        </is>
      </c>
      <c r="C25801">
        <f>ROMAN(25800)</f>
        <v/>
      </c>
      <c r="D25801">
        <f>IF(B25801=C25801, "YES", "WRONG")</f>
        <v/>
      </c>
    </row>
    <row r="25802">
      <c r="A25802" t="n">
        <v>25801</v>
      </c>
      <c r="B25802" t="inlineStr">
        <is>
          <t>x̄x̄V̅DCCCI</t>
        </is>
      </c>
      <c r="C25802">
        <f>ROMAN(25801)</f>
        <v/>
      </c>
      <c r="D25802">
        <f>IF(B25802=C25802, "YES", "WRONG")</f>
        <v/>
      </c>
    </row>
    <row r="25803">
      <c r="A25803" t="n">
        <v>25802</v>
      </c>
      <c r="B25803" t="inlineStr">
        <is>
          <t>x̄x̄V̅DCCCII</t>
        </is>
      </c>
      <c r="C25803">
        <f>ROMAN(25802)</f>
        <v/>
      </c>
      <c r="D25803">
        <f>IF(B25803=C25803, "YES", "WRONG")</f>
        <v/>
      </c>
    </row>
    <row r="25804">
      <c r="A25804" t="n">
        <v>25803</v>
      </c>
      <c r="B25804" t="inlineStr">
        <is>
          <t>x̄x̄V̅DCCCIII</t>
        </is>
      </c>
      <c r="C25804">
        <f>ROMAN(25803)</f>
        <v/>
      </c>
      <c r="D25804">
        <f>IF(B25804=C25804, "YES", "WRONG")</f>
        <v/>
      </c>
    </row>
    <row r="25805">
      <c r="A25805" t="n">
        <v>25804</v>
      </c>
      <c r="B25805" t="inlineStr">
        <is>
          <t>x̄x̄V̅DCCCIV</t>
        </is>
      </c>
      <c r="C25805">
        <f>ROMAN(25804)</f>
        <v/>
      </c>
      <c r="D25805">
        <f>IF(B25805=C25805, "YES", "WRONG")</f>
        <v/>
      </c>
    </row>
    <row r="25806">
      <c r="A25806" t="n">
        <v>25805</v>
      </c>
      <c r="B25806" t="inlineStr">
        <is>
          <t>x̄x̄V̅DCCCV</t>
        </is>
      </c>
      <c r="C25806">
        <f>ROMAN(25805)</f>
        <v/>
      </c>
      <c r="D25806">
        <f>IF(B25806=C25806, "YES", "WRONG")</f>
        <v/>
      </c>
    </row>
    <row r="25807">
      <c r="A25807" t="n">
        <v>25806</v>
      </c>
      <c r="B25807" t="inlineStr">
        <is>
          <t>x̄x̄V̅DCCCVI</t>
        </is>
      </c>
      <c r="C25807">
        <f>ROMAN(25806)</f>
        <v/>
      </c>
      <c r="D25807">
        <f>IF(B25807=C25807, "YES", "WRONG")</f>
        <v/>
      </c>
    </row>
    <row r="25808">
      <c r="A25808" t="n">
        <v>25807</v>
      </c>
      <c r="B25808" t="inlineStr">
        <is>
          <t>x̄x̄V̅DCCCVII</t>
        </is>
      </c>
      <c r="C25808">
        <f>ROMAN(25807)</f>
        <v/>
      </c>
      <c r="D25808">
        <f>IF(B25808=C25808, "YES", "WRONG")</f>
        <v/>
      </c>
    </row>
    <row r="25809">
      <c r="A25809" t="n">
        <v>25808</v>
      </c>
      <c r="B25809" t="inlineStr">
        <is>
          <t>x̄x̄V̅DCCCVIII</t>
        </is>
      </c>
      <c r="C25809">
        <f>ROMAN(25808)</f>
        <v/>
      </c>
      <c r="D25809">
        <f>IF(B25809=C25809, "YES", "WRONG")</f>
        <v/>
      </c>
    </row>
    <row r="25810">
      <c r="A25810" t="n">
        <v>25809</v>
      </c>
      <c r="B25810" t="inlineStr">
        <is>
          <t>x̄x̄V̅DCCCIX</t>
        </is>
      </c>
      <c r="C25810">
        <f>ROMAN(25809)</f>
        <v/>
      </c>
      <c r="D25810">
        <f>IF(B25810=C25810, "YES", "WRONG")</f>
        <v/>
      </c>
    </row>
    <row r="25811">
      <c r="A25811" t="n">
        <v>25810</v>
      </c>
      <c r="B25811" t="inlineStr">
        <is>
          <t>x̄x̄V̅DCCCX</t>
        </is>
      </c>
      <c r="C25811">
        <f>ROMAN(25810)</f>
        <v/>
      </c>
      <c r="D25811">
        <f>IF(B25811=C25811, "YES", "WRONG")</f>
        <v/>
      </c>
    </row>
    <row r="25812">
      <c r="A25812" t="n">
        <v>25811</v>
      </c>
      <c r="B25812" t="inlineStr">
        <is>
          <t>x̄x̄V̅DCCCXI</t>
        </is>
      </c>
      <c r="C25812">
        <f>ROMAN(25811)</f>
        <v/>
      </c>
      <c r="D25812">
        <f>IF(B25812=C25812, "YES", "WRONG")</f>
        <v/>
      </c>
    </row>
    <row r="25813">
      <c r="A25813" t="n">
        <v>25812</v>
      </c>
      <c r="B25813" t="inlineStr">
        <is>
          <t>x̄x̄V̅DCCCXII</t>
        </is>
      </c>
      <c r="C25813">
        <f>ROMAN(25812)</f>
        <v/>
      </c>
      <c r="D25813">
        <f>IF(B25813=C25813, "YES", "WRONG")</f>
        <v/>
      </c>
    </row>
    <row r="25814">
      <c r="A25814" t="n">
        <v>25813</v>
      </c>
      <c r="B25814" t="inlineStr">
        <is>
          <t>x̄x̄V̅DCCCXIII</t>
        </is>
      </c>
      <c r="C25814">
        <f>ROMAN(25813)</f>
        <v/>
      </c>
      <c r="D25814">
        <f>IF(B25814=C25814, "YES", "WRONG")</f>
        <v/>
      </c>
    </row>
    <row r="25815">
      <c r="A25815" t="n">
        <v>25814</v>
      </c>
      <c r="B25815" t="inlineStr">
        <is>
          <t>x̄x̄V̅DCCCXIV</t>
        </is>
      </c>
      <c r="C25815">
        <f>ROMAN(25814)</f>
        <v/>
      </c>
      <c r="D25815">
        <f>IF(B25815=C25815, "YES", "WRONG")</f>
        <v/>
      </c>
    </row>
    <row r="25816">
      <c r="A25816" t="n">
        <v>25815</v>
      </c>
      <c r="B25816" t="inlineStr">
        <is>
          <t>x̄x̄V̅DCCCXV</t>
        </is>
      </c>
      <c r="C25816">
        <f>ROMAN(25815)</f>
        <v/>
      </c>
      <c r="D25816">
        <f>IF(B25816=C25816, "YES", "WRONG")</f>
        <v/>
      </c>
    </row>
    <row r="25817">
      <c r="A25817" t="n">
        <v>25816</v>
      </c>
      <c r="B25817" t="inlineStr">
        <is>
          <t>x̄x̄V̅DCCCXVI</t>
        </is>
      </c>
      <c r="C25817">
        <f>ROMAN(25816)</f>
        <v/>
      </c>
      <c r="D25817">
        <f>IF(B25817=C25817, "YES", "WRONG")</f>
        <v/>
      </c>
    </row>
    <row r="25818">
      <c r="A25818" t="n">
        <v>25817</v>
      </c>
      <c r="B25818" t="inlineStr">
        <is>
          <t>x̄x̄V̅DCCCXVII</t>
        </is>
      </c>
      <c r="C25818">
        <f>ROMAN(25817)</f>
        <v/>
      </c>
      <c r="D25818">
        <f>IF(B25818=C25818, "YES", "WRONG")</f>
        <v/>
      </c>
    </row>
    <row r="25819">
      <c r="A25819" t="n">
        <v>25818</v>
      </c>
      <c r="B25819" t="inlineStr">
        <is>
          <t>x̄x̄V̅DCCCXVIII</t>
        </is>
      </c>
      <c r="C25819">
        <f>ROMAN(25818)</f>
        <v/>
      </c>
      <c r="D25819">
        <f>IF(B25819=C25819, "YES", "WRONG")</f>
        <v/>
      </c>
    </row>
    <row r="25820">
      <c r="A25820" t="n">
        <v>25819</v>
      </c>
      <c r="B25820" t="inlineStr">
        <is>
          <t>x̄x̄V̅DCCCXIX</t>
        </is>
      </c>
      <c r="C25820">
        <f>ROMAN(25819)</f>
        <v/>
      </c>
      <c r="D25820">
        <f>IF(B25820=C25820, "YES", "WRONG")</f>
        <v/>
      </c>
    </row>
    <row r="25821">
      <c r="A25821" t="n">
        <v>25820</v>
      </c>
      <c r="B25821" t="inlineStr">
        <is>
          <t>x̄x̄V̅DCCCXX</t>
        </is>
      </c>
      <c r="C25821">
        <f>ROMAN(25820)</f>
        <v/>
      </c>
      <c r="D25821">
        <f>IF(B25821=C25821, "YES", "WRONG")</f>
        <v/>
      </c>
    </row>
    <row r="25822">
      <c r="A25822" t="n">
        <v>25821</v>
      </c>
      <c r="B25822" t="inlineStr">
        <is>
          <t>x̄x̄V̅DCCCXXI</t>
        </is>
      </c>
      <c r="C25822">
        <f>ROMAN(25821)</f>
        <v/>
      </c>
      <c r="D25822">
        <f>IF(B25822=C25822, "YES", "WRONG")</f>
        <v/>
      </c>
    </row>
    <row r="25823">
      <c r="A25823" t="n">
        <v>25822</v>
      </c>
      <c r="B25823" t="inlineStr">
        <is>
          <t>x̄x̄V̅DCCCXXII</t>
        </is>
      </c>
      <c r="C25823">
        <f>ROMAN(25822)</f>
        <v/>
      </c>
      <c r="D25823">
        <f>IF(B25823=C25823, "YES", "WRONG")</f>
        <v/>
      </c>
    </row>
    <row r="25824">
      <c r="A25824" t="n">
        <v>25823</v>
      </c>
      <c r="B25824" t="inlineStr">
        <is>
          <t>x̄x̄V̅DCCCXXIII</t>
        </is>
      </c>
      <c r="C25824">
        <f>ROMAN(25823)</f>
        <v/>
      </c>
      <c r="D25824">
        <f>IF(B25824=C25824, "YES", "WRONG")</f>
        <v/>
      </c>
    </row>
    <row r="25825">
      <c r="A25825" t="n">
        <v>25824</v>
      </c>
      <c r="B25825" t="inlineStr">
        <is>
          <t>x̄x̄V̅DCCCXXIV</t>
        </is>
      </c>
      <c r="C25825">
        <f>ROMAN(25824)</f>
        <v/>
      </c>
      <c r="D25825">
        <f>IF(B25825=C25825, "YES", "WRONG")</f>
        <v/>
      </c>
    </row>
    <row r="25826">
      <c r="A25826" t="n">
        <v>25825</v>
      </c>
      <c r="B25826" t="inlineStr">
        <is>
          <t>x̄x̄V̅DCCCXXV</t>
        </is>
      </c>
      <c r="C25826">
        <f>ROMAN(25825)</f>
        <v/>
      </c>
      <c r="D25826">
        <f>IF(B25826=C25826, "YES", "WRONG")</f>
        <v/>
      </c>
    </row>
    <row r="25827">
      <c r="A25827" t="n">
        <v>25826</v>
      </c>
      <c r="B25827" t="inlineStr">
        <is>
          <t>x̄x̄V̅DCCCXXVI</t>
        </is>
      </c>
      <c r="C25827">
        <f>ROMAN(25826)</f>
        <v/>
      </c>
      <c r="D25827">
        <f>IF(B25827=C25827, "YES", "WRONG")</f>
        <v/>
      </c>
    </row>
    <row r="25828">
      <c r="A25828" t="n">
        <v>25827</v>
      </c>
      <c r="B25828" t="inlineStr">
        <is>
          <t>x̄x̄V̅DCCCXXVII</t>
        </is>
      </c>
      <c r="C25828">
        <f>ROMAN(25827)</f>
        <v/>
      </c>
      <c r="D25828">
        <f>IF(B25828=C25828, "YES", "WRONG")</f>
        <v/>
      </c>
    </row>
    <row r="25829">
      <c r="A25829" t="n">
        <v>25828</v>
      </c>
      <c r="B25829" t="inlineStr">
        <is>
          <t>x̄x̄V̅DCCCXXVIII</t>
        </is>
      </c>
      <c r="C25829">
        <f>ROMAN(25828)</f>
        <v/>
      </c>
      <c r="D25829">
        <f>IF(B25829=C25829, "YES", "WRONG")</f>
        <v/>
      </c>
    </row>
    <row r="25830">
      <c r="A25830" t="n">
        <v>25829</v>
      </c>
      <c r="B25830" t="inlineStr">
        <is>
          <t>x̄x̄V̅DCCCXXIX</t>
        </is>
      </c>
      <c r="C25830">
        <f>ROMAN(25829)</f>
        <v/>
      </c>
      <c r="D25830">
        <f>IF(B25830=C25830, "YES", "WRONG")</f>
        <v/>
      </c>
    </row>
    <row r="25831">
      <c r="A25831" t="n">
        <v>25830</v>
      </c>
      <c r="B25831" t="inlineStr">
        <is>
          <t>x̄x̄V̅DCCCXXX</t>
        </is>
      </c>
      <c r="C25831">
        <f>ROMAN(25830)</f>
        <v/>
      </c>
      <c r="D25831">
        <f>IF(B25831=C25831, "YES", "WRONG")</f>
        <v/>
      </c>
    </row>
    <row r="25832">
      <c r="A25832" t="n">
        <v>25831</v>
      </c>
      <c r="B25832" t="inlineStr">
        <is>
          <t>x̄x̄V̅DCCCXXXI</t>
        </is>
      </c>
      <c r="C25832">
        <f>ROMAN(25831)</f>
        <v/>
      </c>
      <c r="D25832">
        <f>IF(B25832=C25832, "YES", "WRONG")</f>
        <v/>
      </c>
    </row>
    <row r="25833">
      <c r="A25833" t="n">
        <v>25832</v>
      </c>
      <c r="B25833" t="inlineStr">
        <is>
          <t>x̄x̄V̅DCCCXXXII</t>
        </is>
      </c>
      <c r="C25833">
        <f>ROMAN(25832)</f>
        <v/>
      </c>
      <c r="D25833">
        <f>IF(B25833=C25833, "YES", "WRONG")</f>
        <v/>
      </c>
    </row>
    <row r="25834">
      <c r="A25834" t="n">
        <v>25833</v>
      </c>
      <c r="B25834" t="inlineStr">
        <is>
          <t>x̄x̄V̅DCCCXXXIII</t>
        </is>
      </c>
      <c r="C25834">
        <f>ROMAN(25833)</f>
        <v/>
      </c>
      <c r="D25834">
        <f>IF(B25834=C25834, "YES", "WRONG")</f>
        <v/>
      </c>
    </row>
    <row r="25835">
      <c r="A25835" t="n">
        <v>25834</v>
      </c>
      <c r="B25835" t="inlineStr">
        <is>
          <t>x̄x̄V̅DCCCXXXIV</t>
        </is>
      </c>
      <c r="C25835">
        <f>ROMAN(25834)</f>
        <v/>
      </c>
      <c r="D25835">
        <f>IF(B25835=C25835, "YES", "WRONG")</f>
        <v/>
      </c>
    </row>
    <row r="25836">
      <c r="A25836" t="n">
        <v>25835</v>
      </c>
      <c r="B25836" t="inlineStr">
        <is>
          <t>x̄x̄V̅DCCCXXXV</t>
        </is>
      </c>
      <c r="C25836">
        <f>ROMAN(25835)</f>
        <v/>
      </c>
      <c r="D25836">
        <f>IF(B25836=C25836, "YES", "WRONG")</f>
        <v/>
      </c>
    </row>
    <row r="25837">
      <c r="A25837" t="n">
        <v>25836</v>
      </c>
      <c r="B25837" t="inlineStr">
        <is>
          <t>x̄x̄V̅DCCCXXXVI</t>
        </is>
      </c>
      <c r="C25837">
        <f>ROMAN(25836)</f>
        <v/>
      </c>
      <c r="D25837">
        <f>IF(B25837=C25837, "YES", "WRONG")</f>
        <v/>
      </c>
    </row>
    <row r="25838">
      <c r="A25838" t="n">
        <v>25837</v>
      </c>
      <c r="B25838" t="inlineStr">
        <is>
          <t>x̄x̄V̅DCCCXXXVII</t>
        </is>
      </c>
      <c r="C25838">
        <f>ROMAN(25837)</f>
        <v/>
      </c>
      <c r="D25838">
        <f>IF(B25838=C25838, "YES", "WRONG")</f>
        <v/>
      </c>
    </row>
    <row r="25839">
      <c r="A25839" t="n">
        <v>25838</v>
      </c>
      <c r="B25839" t="inlineStr">
        <is>
          <t>x̄x̄V̅DCCCXXXVIII</t>
        </is>
      </c>
      <c r="C25839">
        <f>ROMAN(25838)</f>
        <v/>
      </c>
      <c r="D25839">
        <f>IF(B25839=C25839, "YES", "WRONG")</f>
        <v/>
      </c>
    </row>
    <row r="25840">
      <c r="A25840" t="n">
        <v>25839</v>
      </c>
      <c r="B25840" t="inlineStr">
        <is>
          <t>x̄x̄V̅DCCCXXXIX</t>
        </is>
      </c>
      <c r="C25840">
        <f>ROMAN(25839)</f>
        <v/>
      </c>
      <c r="D25840">
        <f>IF(B25840=C25840, "YES", "WRONG")</f>
        <v/>
      </c>
    </row>
    <row r="25841">
      <c r="A25841" t="n">
        <v>25840</v>
      </c>
      <c r="B25841" t="inlineStr">
        <is>
          <t>x̄x̄V̅DCCCXL</t>
        </is>
      </c>
      <c r="C25841">
        <f>ROMAN(25840)</f>
        <v/>
      </c>
      <c r="D25841">
        <f>IF(B25841=C25841, "YES", "WRONG")</f>
        <v/>
      </c>
    </row>
    <row r="25842">
      <c r="A25842" t="n">
        <v>25841</v>
      </c>
      <c r="B25842" t="inlineStr">
        <is>
          <t>x̄x̄V̅DCCCXLI</t>
        </is>
      </c>
      <c r="C25842">
        <f>ROMAN(25841)</f>
        <v/>
      </c>
      <c r="D25842">
        <f>IF(B25842=C25842, "YES", "WRONG")</f>
        <v/>
      </c>
    </row>
    <row r="25843">
      <c r="A25843" t="n">
        <v>25842</v>
      </c>
      <c r="B25843" t="inlineStr">
        <is>
          <t>x̄x̄V̅DCCCXLII</t>
        </is>
      </c>
      <c r="C25843">
        <f>ROMAN(25842)</f>
        <v/>
      </c>
      <c r="D25843">
        <f>IF(B25843=C25843, "YES", "WRONG")</f>
        <v/>
      </c>
    </row>
    <row r="25844">
      <c r="A25844" t="n">
        <v>25843</v>
      </c>
      <c r="B25844" t="inlineStr">
        <is>
          <t>x̄x̄V̅DCCCXLIII</t>
        </is>
      </c>
      <c r="C25844">
        <f>ROMAN(25843)</f>
        <v/>
      </c>
      <c r="D25844">
        <f>IF(B25844=C25844, "YES", "WRONG")</f>
        <v/>
      </c>
    </row>
    <row r="25845">
      <c r="A25845" t="n">
        <v>25844</v>
      </c>
      <c r="B25845" t="inlineStr">
        <is>
          <t>x̄x̄V̅DCCCXLIV</t>
        </is>
      </c>
      <c r="C25845">
        <f>ROMAN(25844)</f>
        <v/>
      </c>
      <c r="D25845">
        <f>IF(B25845=C25845, "YES", "WRONG")</f>
        <v/>
      </c>
    </row>
    <row r="25846">
      <c r="A25846" t="n">
        <v>25845</v>
      </c>
      <c r="B25846" t="inlineStr">
        <is>
          <t>x̄x̄V̅DCCCXLV</t>
        </is>
      </c>
      <c r="C25846">
        <f>ROMAN(25845)</f>
        <v/>
      </c>
      <c r="D25846">
        <f>IF(B25846=C25846, "YES", "WRONG")</f>
        <v/>
      </c>
    </row>
    <row r="25847">
      <c r="A25847" t="n">
        <v>25846</v>
      </c>
      <c r="B25847" t="inlineStr">
        <is>
          <t>x̄x̄V̅DCCCXLVI</t>
        </is>
      </c>
      <c r="C25847">
        <f>ROMAN(25846)</f>
        <v/>
      </c>
      <c r="D25847">
        <f>IF(B25847=C25847, "YES", "WRONG")</f>
        <v/>
      </c>
    </row>
    <row r="25848">
      <c r="A25848" t="n">
        <v>25847</v>
      </c>
      <c r="B25848" t="inlineStr">
        <is>
          <t>x̄x̄V̅DCCCXLVII</t>
        </is>
      </c>
      <c r="C25848">
        <f>ROMAN(25847)</f>
        <v/>
      </c>
      <c r="D25848">
        <f>IF(B25848=C25848, "YES", "WRONG")</f>
        <v/>
      </c>
    </row>
    <row r="25849">
      <c r="A25849" t="n">
        <v>25848</v>
      </c>
      <c r="B25849" t="inlineStr">
        <is>
          <t>x̄x̄V̅DCCCXLVIII</t>
        </is>
      </c>
      <c r="C25849">
        <f>ROMAN(25848)</f>
        <v/>
      </c>
      <c r="D25849">
        <f>IF(B25849=C25849, "YES", "WRONG")</f>
        <v/>
      </c>
    </row>
    <row r="25850">
      <c r="A25850" t="n">
        <v>25849</v>
      </c>
      <c r="B25850" t="inlineStr">
        <is>
          <t>x̄x̄V̅DCCCXLIX</t>
        </is>
      </c>
      <c r="C25850">
        <f>ROMAN(25849)</f>
        <v/>
      </c>
      <c r="D25850">
        <f>IF(B25850=C25850, "YES", "WRONG")</f>
        <v/>
      </c>
    </row>
    <row r="25851">
      <c r="A25851" t="n">
        <v>25850</v>
      </c>
      <c r="B25851" t="inlineStr">
        <is>
          <t>x̄x̄V̅DCCCL</t>
        </is>
      </c>
      <c r="C25851">
        <f>ROMAN(25850)</f>
        <v/>
      </c>
      <c r="D25851">
        <f>IF(B25851=C25851, "YES", "WRONG")</f>
        <v/>
      </c>
    </row>
    <row r="25852">
      <c r="A25852" t="n">
        <v>25851</v>
      </c>
      <c r="B25852" t="inlineStr">
        <is>
          <t>x̄x̄V̅DCCCLI</t>
        </is>
      </c>
      <c r="C25852">
        <f>ROMAN(25851)</f>
        <v/>
      </c>
      <c r="D25852">
        <f>IF(B25852=C25852, "YES", "WRONG")</f>
        <v/>
      </c>
    </row>
    <row r="25853">
      <c r="A25853" t="n">
        <v>25852</v>
      </c>
      <c r="B25853" t="inlineStr">
        <is>
          <t>x̄x̄V̅DCCCLII</t>
        </is>
      </c>
      <c r="C25853">
        <f>ROMAN(25852)</f>
        <v/>
      </c>
      <c r="D25853">
        <f>IF(B25853=C25853, "YES", "WRONG")</f>
        <v/>
      </c>
    </row>
    <row r="25854">
      <c r="A25854" t="n">
        <v>25853</v>
      </c>
      <c r="B25854" t="inlineStr">
        <is>
          <t>x̄x̄V̅DCCCLIII</t>
        </is>
      </c>
      <c r="C25854">
        <f>ROMAN(25853)</f>
        <v/>
      </c>
      <c r="D25854">
        <f>IF(B25854=C25854, "YES", "WRONG")</f>
        <v/>
      </c>
    </row>
    <row r="25855">
      <c r="A25855" t="n">
        <v>25854</v>
      </c>
      <c r="B25855" t="inlineStr">
        <is>
          <t>x̄x̄V̅DCCCLIV</t>
        </is>
      </c>
      <c r="C25855">
        <f>ROMAN(25854)</f>
        <v/>
      </c>
      <c r="D25855">
        <f>IF(B25855=C25855, "YES", "WRONG")</f>
        <v/>
      </c>
    </row>
    <row r="25856">
      <c r="A25856" t="n">
        <v>25855</v>
      </c>
      <c r="B25856" t="inlineStr">
        <is>
          <t>x̄x̄V̅DCCCLV</t>
        </is>
      </c>
      <c r="C25856">
        <f>ROMAN(25855)</f>
        <v/>
      </c>
      <c r="D25856">
        <f>IF(B25856=C25856, "YES", "WRONG")</f>
        <v/>
      </c>
    </row>
    <row r="25857">
      <c r="A25857" t="n">
        <v>25856</v>
      </c>
      <c r="B25857" t="inlineStr">
        <is>
          <t>x̄x̄V̅DCCCLVI</t>
        </is>
      </c>
      <c r="C25857">
        <f>ROMAN(25856)</f>
        <v/>
      </c>
      <c r="D25857">
        <f>IF(B25857=C25857, "YES", "WRONG")</f>
        <v/>
      </c>
    </row>
    <row r="25858">
      <c r="A25858" t="n">
        <v>25857</v>
      </c>
      <c r="B25858" t="inlineStr">
        <is>
          <t>x̄x̄V̅DCCCLVII</t>
        </is>
      </c>
      <c r="C25858">
        <f>ROMAN(25857)</f>
        <v/>
      </c>
      <c r="D25858">
        <f>IF(B25858=C25858, "YES", "WRONG")</f>
        <v/>
      </c>
    </row>
    <row r="25859">
      <c r="A25859" t="n">
        <v>25858</v>
      </c>
      <c r="B25859" t="inlineStr">
        <is>
          <t>x̄x̄V̅DCCCLVIII</t>
        </is>
      </c>
      <c r="C25859">
        <f>ROMAN(25858)</f>
        <v/>
      </c>
      <c r="D25859">
        <f>IF(B25859=C25859, "YES", "WRONG")</f>
        <v/>
      </c>
    </row>
    <row r="25860">
      <c r="A25860" t="n">
        <v>25859</v>
      </c>
      <c r="B25860" t="inlineStr">
        <is>
          <t>x̄x̄V̅DCCCLIX</t>
        </is>
      </c>
      <c r="C25860">
        <f>ROMAN(25859)</f>
        <v/>
      </c>
      <c r="D25860">
        <f>IF(B25860=C25860, "YES", "WRONG")</f>
        <v/>
      </c>
    </row>
    <row r="25861">
      <c r="A25861" t="n">
        <v>25860</v>
      </c>
      <c r="B25861" t="inlineStr">
        <is>
          <t>x̄x̄V̅DCCCLX</t>
        </is>
      </c>
      <c r="C25861">
        <f>ROMAN(25860)</f>
        <v/>
      </c>
      <c r="D25861">
        <f>IF(B25861=C25861, "YES", "WRONG")</f>
        <v/>
      </c>
    </row>
    <row r="25862">
      <c r="A25862" t="n">
        <v>25861</v>
      </c>
      <c r="B25862" t="inlineStr">
        <is>
          <t>x̄x̄V̅DCCCLXI</t>
        </is>
      </c>
      <c r="C25862">
        <f>ROMAN(25861)</f>
        <v/>
      </c>
      <c r="D25862">
        <f>IF(B25862=C25862, "YES", "WRONG")</f>
        <v/>
      </c>
    </row>
    <row r="25863">
      <c r="A25863" t="n">
        <v>25862</v>
      </c>
      <c r="B25863" t="inlineStr">
        <is>
          <t>x̄x̄V̅DCCCLXII</t>
        </is>
      </c>
      <c r="C25863">
        <f>ROMAN(25862)</f>
        <v/>
      </c>
      <c r="D25863">
        <f>IF(B25863=C25863, "YES", "WRONG")</f>
        <v/>
      </c>
    </row>
    <row r="25864">
      <c r="A25864" t="n">
        <v>25863</v>
      </c>
      <c r="B25864" t="inlineStr">
        <is>
          <t>x̄x̄V̅DCCCLXIII</t>
        </is>
      </c>
      <c r="C25864">
        <f>ROMAN(25863)</f>
        <v/>
      </c>
      <c r="D25864">
        <f>IF(B25864=C25864, "YES", "WRONG")</f>
        <v/>
      </c>
    </row>
    <row r="25865">
      <c r="A25865" t="n">
        <v>25864</v>
      </c>
      <c r="B25865" t="inlineStr">
        <is>
          <t>x̄x̄V̅DCCCLXIV</t>
        </is>
      </c>
      <c r="C25865">
        <f>ROMAN(25864)</f>
        <v/>
      </c>
      <c r="D25865">
        <f>IF(B25865=C25865, "YES", "WRONG")</f>
        <v/>
      </c>
    </row>
    <row r="25866">
      <c r="A25866" t="n">
        <v>25865</v>
      </c>
      <c r="B25866" t="inlineStr">
        <is>
          <t>x̄x̄V̅DCCCLXV</t>
        </is>
      </c>
      <c r="C25866">
        <f>ROMAN(25865)</f>
        <v/>
      </c>
      <c r="D25866">
        <f>IF(B25866=C25866, "YES", "WRONG")</f>
        <v/>
      </c>
    </row>
    <row r="25867">
      <c r="A25867" t="n">
        <v>25866</v>
      </c>
      <c r="B25867" t="inlineStr">
        <is>
          <t>x̄x̄V̅DCCCLXVI</t>
        </is>
      </c>
      <c r="C25867">
        <f>ROMAN(25866)</f>
        <v/>
      </c>
      <c r="D25867">
        <f>IF(B25867=C25867, "YES", "WRONG")</f>
        <v/>
      </c>
    </row>
    <row r="25868">
      <c r="A25868" t="n">
        <v>25867</v>
      </c>
      <c r="B25868" t="inlineStr">
        <is>
          <t>x̄x̄V̅DCCCLXVII</t>
        </is>
      </c>
      <c r="C25868">
        <f>ROMAN(25867)</f>
        <v/>
      </c>
      <c r="D25868">
        <f>IF(B25868=C25868, "YES", "WRONG")</f>
        <v/>
      </c>
    </row>
    <row r="25869">
      <c r="A25869" t="n">
        <v>25868</v>
      </c>
      <c r="B25869" t="inlineStr">
        <is>
          <t>x̄x̄V̅DCCCLXVIII</t>
        </is>
      </c>
      <c r="C25869">
        <f>ROMAN(25868)</f>
        <v/>
      </c>
      <c r="D25869">
        <f>IF(B25869=C25869, "YES", "WRONG")</f>
        <v/>
      </c>
    </row>
    <row r="25870">
      <c r="A25870" t="n">
        <v>25869</v>
      </c>
      <c r="B25870" t="inlineStr">
        <is>
          <t>x̄x̄V̅DCCCLXIX</t>
        </is>
      </c>
      <c r="C25870">
        <f>ROMAN(25869)</f>
        <v/>
      </c>
      <c r="D25870">
        <f>IF(B25870=C25870, "YES", "WRONG")</f>
        <v/>
      </c>
    </row>
    <row r="25871">
      <c r="A25871" t="n">
        <v>25870</v>
      </c>
      <c r="B25871" t="inlineStr">
        <is>
          <t>x̄x̄V̅DCCCLXX</t>
        </is>
      </c>
      <c r="C25871">
        <f>ROMAN(25870)</f>
        <v/>
      </c>
      <c r="D25871">
        <f>IF(B25871=C25871, "YES", "WRONG")</f>
        <v/>
      </c>
    </row>
    <row r="25872">
      <c r="A25872" t="n">
        <v>25871</v>
      </c>
      <c r="B25872" t="inlineStr">
        <is>
          <t>x̄x̄V̅DCCCLXXI</t>
        </is>
      </c>
      <c r="C25872">
        <f>ROMAN(25871)</f>
        <v/>
      </c>
      <c r="D25872">
        <f>IF(B25872=C25872, "YES", "WRONG")</f>
        <v/>
      </c>
    </row>
    <row r="25873">
      <c r="A25873" t="n">
        <v>25872</v>
      </c>
      <c r="B25873" t="inlineStr">
        <is>
          <t>x̄x̄V̅DCCCLXXII</t>
        </is>
      </c>
      <c r="C25873">
        <f>ROMAN(25872)</f>
        <v/>
      </c>
      <c r="D25873">
        <f>IF(B25873=C25873, "YES", "WRONG")</f>
        <v/>
      </c>
    </row>
    <row r="25874">
      <c r="A25874" t="n">
        <v>25873</v>
      </c>
      <c r="B25874" t="inlineStr">
        <is>
          <t>x̄x̄V̅DCCCLXXIII</t>
        </is>
      </c>
      <c r="C25874">
        <f>ROMAN(25873)</f>
        <v/>
      </c>
      <c r="D25874">
        <f>IF(B25874=C25874, "YES", "WRONG")</f>
        <v/>
      </c>
    </row>
    <row r="25875">
      <c r="A25875" t="n">
        <v>25874</v>
      </c>
      <c r="B25875" t="inlineStr">
        <is>
          <t>x̄x̄V̅DCCCLXXIV</t>
        </is>
      </c>
      <c r="C25875">
        <f>ROMAN(25874)</f>
        <v/>
      </c>
      <c r="D25875">
        <f>IF(B25875=C25875, "YES", "WRONG")</f>
        <v/>
      </c>
    </row>
    <row r="25876">
      <c r="A25876" t="n">
        <v>25875</v>
      </c>
      <c r="B25876" t="inlineStr">
        <is>
          <t>x̄x̄V̅DCCCLXXV</t>
        </is>
      </c>
      <c r="C25876">
        <f>ROMAN(25875)</f>
        <v/>
      </c>
      <c r="D25876">
        <f>IF(B25876=C25876, "YES", "WRONG")</f>
        <v/>
      </c>
    </row>
    <row r="25877">
      <c r="A25877" t="n">
        <v>25876</v>
      </c>
      <c r="B25877" t="inlineStr">
        <is>
          <t>x̄x̄V̅DCCCLXXVI</t>
        </is>
      </c>
      <c r="C25877">
        <f>ROMAN(25876)</f>
        <v/>
      </c>
      <c r="D25877">
        <f>IF(B25877=C25877, "YES", "WRONG")</f>
        <v/>
      </c>
    </row>
    <row r="25878">
      <c r="A25878" t="n">
        <v>25877</v>
      </c>
      <c r="B25878" t="inlineStr">
        <is>
          <t>x̄x̄V̅DCCCLXXVII</t>
        </is>
      </c>
      <c r="C25878">
        <f>ROMAN(25877)</f>
        <v/>
      </c>
      <c r="D25878">
        <f>IF(B25878=C25878, "YES", "WRONG")</f>
        <v/>
      </c>
    </row>
    <row r="25879">
      <c r="A25879" t="n">
        <v>25878</v>
      </c>
      <c r="B25879" t="inlineStr">
        <is>
          <t>x̄x̄V̅DCCCLXXVIII</t>
        </is>
      </c>
      <c r="C25879">
        <f>ROMAN(25878)</f>
        <v/>
      </c>
      <c r="D25879">
        <f>IF(B25879=C25879, "YES", "WRONG")</f>
        <v/>
      </c>
    </row>
    <row r="25880">
      <c r="A25880" t="n">
        <v>25879</v>
      </c>
      <c r="B25880" t="inlineStr">
        <is>
          <t>x̄x̄V̅DCCCLXXIX</t>
        </is>
      </c>
      <c r="C25880">
        <f>ROMAN(25879)</f>
        <v/>
      </c>
      <c r="D25880">
        <f>IF(B25880=C25880, "YES", "WRONG")</f>
        <v/>
      </c>
    </row>
    <row r="25881">
      <c r="A25881" t="n">
        <v>25880</v>
      </c>
      <c r="B25881" t="inlineStr">
        <is>
          <t>x̄x̄V̅DCCCLXXX</t>
        </is>
      </c>
      <c r="C25881">
        <f>ROMAN(25880)</f>
        <v/>
      </c>
      <c r="D25881">
        <f>IF(B25881=C25881, "YES", "WRONG")</f>
        <v/>
      </c>
    </row>
    <row r="25882">
      <c r="A25882" t="n">
        <v>25881</v>
      </c>
      <c r="B25882" t="inlineStr">
        <is>
          <t>x̄x̄V̅DCCCLXXXI</t>
        </is>
      </c>
      <c r="C25882">
        <f>ROMAN(25881)</f>
        <v/>
      </c>
      <c r="D25882">
        <f>IF(B25882=C25882, "YES", "WRONG")</f>
        <v/>
      </c>
    </row>
    <row r="25883">
      <c r="A25883" t="n">
        <v>25882</v>
      </c>
      <c r="B25883" t="inlineStr">
        <is>
          <t>x̄x̄V̅DCCCLXXXII</t>
        </is>
      </c>
      <c r="C25883">
        <f>ROMAN(25882)</f>
        <v/>
      </c>
      <c r="D25883">
        <f>IF(B25883=C25883, "YES", "WRONG")</f>
        <v/>
      </c>
    </row>
    <row r="25884">
      <c r="A25884" t="n">
        <v>25883</v>
      </c>
      <c r="B25884" t="inlineStr">
        <is>
          <t>x̄x̄V̅DCCCLXXXIII</t>
        </is>
      </c>
      <c r="C25884">
        <f>ROMAN(25883)</f>
        <v/>
      </c>
      <c r="D25884">
        <f>IF(B25884=C25884, "YES", "WRONG")</f>
        <v/>
      </c>
    </row>
    <row r="25885">
      <c r="A25885" t="n">
        <v>25884</v>
      </c>
      <c r="B25885" t="inlineStr">
        <is>
          <t>x̄x̄V̅DCCCLXXXIV</t>
        </is>
      </c>
      <c r="C25885">
        <f>ROMAN(25884)</f>
        <v/>
      </c>
      <c r="D25885">
        <f>IF(B25885=C25885, "YES", "WRONG")</f>
        <v/>
      </c>
    </row>
    <row r="25886">
      <c r="A25886" t="n">
        <v>25885</v>
      </c>
      <c r="B25886" t="inlineStr">
        <is>
          <t>x̄x̄V̅DCCCLXXXV</t>
        </is>
      </c>
      <c r="C25886">
        <f>ROMAN(25885)</f>
        <v/>
      </c>
      <c r="D25886">
        <f>IF(B25886=C25886, "YES", "WRONG")</f>
        <v/>
      </c>
    </row>
    <row r="25887">
      <c r="A25887" t="n">
        <v>25886</v>
      </c>
      <c r="B25887" t="inlineStr">
        <is>
          <t>x̄x̄V̅DCCCLXXXVI</t>
        </is>
      </c>
      <c r="C25887">
        <f>ROMAN(25886)</f>
        <v/>
      </c>
      <c r="D25887">
        <f>IF(B25887=C25887, "YES", "WRONG")</f>
        <v/>
      </c>
    </row>
    <row r="25888">
      <c r="A25888" t="n">
        <v>25887</v>
      </c>
      <c r="B25888" t="inlineStr">
        <is>
          <t>x̄x̄V̅DCCCLXXXVII</t>
        </is>
      </c>
      <c r="C25888">
        <f>ROMAN(25887)</f>
        <v/>
      </c>
      <c r="D25888">
        <f>IF(B25888=C25888, "YES", "WRONG")</f>
        <v/>
      </c>
    </row>
    <row r="25889">
      <c r="A25889" t="n">
        <v>25888</v>
      </c>
      <c r="B25889" t="inlineStr">
        <is>
          <t>x̄x̄V̅DCCCLXXXVIII</t>
        </is>
      </c>
      <c r="C25889">
        <f>ROMAN(25888)</f>
        <v/>
      </c>
      <c r="D25889">
        <f>IF(B25889=C25889, "YES", "WRONG")</f>
        <v/>
      </c>
    </row>
    <row r="25890">
      <c r="A25890" t="n">
        <v>25889</v>
      </c>
      <c r="B25890" t="inlineStr">
        <is>
          <t>x̄x̄V̅DCCCLXXXIX</t>
        </is>
      </c>
      <c r="C25890">
        <f>ROMAN(25889)</f>
        <v/>
      </c>
      <c r="D25890">
        <f>IF(B25890=C25890, "YES", "WRONG")</f>
        <v/>
      </c>
    </row>
    <row r="25891">
      <c r="A25891" t="n">
        <v>25890</v>
      </c>
      <c r="B25891" t="inlineStr">
        <is>
          <t>x̄x̄V̅DCCCXC</t>
        </is>
      </c>
      <c r="C25891">
        <f>ROMAN(25890)</f>
        <v/>
      </c>
      <c r="D25891">
        <f>IF(B25891=C25891, "YES", "WRONG")</f>
        <v/>
      </c>
    </row>
    <row r="25892">
      <c r="A25892" t="n">
        <v>25891</v>
      </c>
      <c r="B25892" t="inlineStr">
        <is>
          <t>x̄x̄V̅DCCCXCI</t>
        </is>
      </c>
      <c r="C25892">
        <f>ROMAN(25891)</f>
        <v/>
      </c>
      <c r="D25892">
        <f>IF(B25892=C25892, "YES", "WRONG")</f>
        <v/>
      </c>
    </row>
    <row r="25893">
      <c r="A25893" t="n">
        <v>25892</v>
      </c>
      <c r="B25893" t="inlineStr">
        <is>
          <t>x̄x̄V̅DCCCXCII</t>
        </is>
      </c>
      <c r="C25893">
        <f>ROMAN(25892)</f>
        <v/>
      </c>
      <c r="D25893">
        <f>IF(B25893=C25893, "YES", "WRONG")</f>
        <v/>
      </c>
    </row>
    <row r="25894">
      <c r="A25894" t="n">
        <v>25893</v>
      </c>
      <c r="B25894" t="inlineStr">
        <is>
          <t>x̄x̄V̅DCCCXCIII</t>
        </is>
      </c>
      <c r="C25894">
        <f>ROMAN(25893)</f>
        <v/>
      </c>
      <c r="D25894">
        <f>IF(B25894=C25894, "YES", "WRONG")</f>
        <v/>
      </c>
    </row>
    <row r="25895">
      <c r="A25895" t="n">
        <v>25894</v>
      </c>
      <c r="B25895" t="inlineStr">
        <is>
          <t>x̄x̄V̅DCCCXCIV</t>
        </is>
      </c>
      <c r="C25895">
        <f>ROMAN(25894)</f>
        <v/>
      </c>
      <c r="D25895">
        <f>IF(B25895=C25895, "YES", "WRONG")</f>
        <v/>
      </c>
    </row>
    <row r="25896">
      <c r="A25896" t="n">
        <v>25895</v>
      </c>
      <c r="B25896" t="inlineStr">
        <is>
          <t>x̄x̄V̅DCCCXCV</t>
        </is>
      </c>
      <c r="C25896">
        <f>ROMAN(25895)</f>
        <v/>
      </c>
      <c r="D25896">
        <f>IF(B25896=C25896, "YES", "WRONG")</f>
        <v/>
      </c>
    </row>
    <row r="25897">
      <c r="A25897" t="n">
        <v>25896</v>
      </c>
      <c r="B25897" t="inlineStr">
        <is>
          <t>x̄x̄V̅DCCCXCVI</t>
        </is>
      </c>
      <c r="C25897">
        <f>ROMAN(25896)</f>
        <v/>
      </c>
      <c r="D25897">
        <f>IF(B25897=C25897, "YES", "WRONG")</f>
        <v/>
      </c>
    </row>
    <row r="25898">
      <c r="A25898" t="n">
        <v>25897</v>
      </c>
      <c r="B25898" t="inlineStr">
        <is>
          <t>x̄x̄V̅DCCCXCVII</t>
        </is>
      </c>
      <c r="C25898">
        <f>ROMAN(25897)</f>
        <v/>
      </c>
      <c r="D25898">
        <f>IF(B25898=C25898, "YES", "WRONG")</f>
        <v/>
      </c>
    </row>
    <row r="25899">
      <c r="A25899" t="n">
        <v>25898</v>
      </c>
      <c r="B25899" t="inlineStr">
        <is>
          <t>x̄x̄V̅DCCCXCVIII</t>
        </is>
      </c>
      <c r="C25899">
        <f>ROMAN(25898)</f>
        <v/>
      </c>
      <c r="D25899">
        <f>IF(B25899=C25899, "YES", "WRONG")</f>
        <v/>
      </c>
    </row>
    <row r="25900">
      <c r="A25900" t="n">
        <v>25899</v>
      </c>
      <c r="B25900" t="inlineStr">
        <is>
          <t>x̄x̄V̅DCCCXCIX</t>
        </is>
      </c>
      <c r="C25900">
        <f>ROMAN(25899)</f>
        <v/>
      </c>
      <c r="D25900">
        <f>IF(B25900=C25900, "YES", "WRONG")</f>
        <v/>
      </c>
    </row>
    <row r="25901">
      <c r="A25901" t="n">
        <v>25900</v>
      </c>
      <c r="B25901" t="inlineStr">
        <is>
          <t>x̄x̄V̅CM</t>
        </is>
      </c>
      <c r="C25901">
        <f>ROMAN(25900)</f>
        <v/>
      </c>
      <c r="D25901">
        <f>IF(B25901=C25901, "YES", "WRONG")</f>
        <v/>
      </c>
    </row>
    <row r="25902">
      <c r="A25902" t="n">
        <v>25901</v>
      </c>
      <c r="B25902" t="inlineStr">
        <is>
          <t>x̄x̄V̅CMI</t>
        </is>
      </c>
      <c r="C25902">
        <f>ROMAN(25901)</f>
        <v/>
      </c>
      <c r="D25902">
        <f>IF(B25902=C25902, "YES", "WRONG")</f>
        <v/>
      </c>
    </row>
    <row r="25903">
      <c r="A25903" t="n">
        <v>25902</v>
      </c>
      <c r="B25903" t="inlineStr">
        <is>
          <t>x̄x̄V̅CMII</t>
        </is>
      </c>
      <c r="C25903">
        <f>ROMAN(25902)</f>
        <v/>
      </c>
      <c r="D25903">
        <f>IF(B25903=C25903, "YES", "WRONG")</f>
        <v/>
      </c>
    </row>
    <row r="25904">
      <c r="A25904" t="n">
        <v>25903</v>
      </c>
      <c r="B25904" t="inlineStr">
        <is>
          <t>x̄x̄V̅CMIII</t>
        </is>
      </c>
      <c r="C25904">
        <f>ROMAN(25903)</f>
        <v/>
      </c>
      <c r="D25904">
        <f>IF(B25904=C25904, "YES", "WRONG")</f>
        <v/>
      </c>
    </row>
    <row r="25905">
      <c r="A25905" t="n">
        <v>25904</v>
      </c>
      <c r="B25905" t="inlineStr">
        <is>
          <t>x̄x̄V̅CMIV</t>
        </is>
      </c>
      <c r="C25905">
        <f>ROMAN(25904)</f>
        <v/>
      </c>
      <c r="D25905">
        <f>IF(B25905=C25905, "YES", "WRONG")</f>
        <v/>
      </c>
    </row>
    <row r="25906">
      <c r="A25906" t="n">
        <v>25905</v>
      </c>
      <c r="B25906" t="inlineStr">
        <is>
          <t>x̄x̄V̅CMV</t>
        </is>
      </c>
      <c r="C25906">
        <f>ROMAN(25905)</f>
        <v/>
      </c>
      <c r="D25906">
        <f>IF(B25906=C25906, "YES", "WRONG")</f>
        <v/>
      </c>
    </row>
    <row r="25907">
      <c r="A25907" t="n">
        <v>25906</v>
      </c>
      <c r="B25907" t="inlineStr">
        <is>
          <t>x̄x̄V̅CMVI</t>
        </is>
      </c>
      <c r="C25907">
        <f>ROMAN(25906)</f>
        <v/>
      </c>
      <c r="D25907">
        <f>IF(B25907=C25907, "YES", "WRONG")</f>
        <v/>
      </c>
    </row>
    <row r="25908">
      <c r="A25908" t="n">
        <v>25907</v>
      </c>
      <c r="B25908" t="inlineStr">
        <is>
          <t>x̄x̄V̅CMVII</t>
        </is>
      </c>
      <c r="C25908">
        <f>ROMAN(25907)</f>
        <v/>
      </c>
      <c r="D25908">
        <f>IF(B25908=C25908, "YES", "WRONG")</f>
        <v/>
      </c>
    </row>
    <row r="25909">
      <c r="A25909" t="n">
        <v>25908</v>
      </c>
      <c r="B25909" t="inlineStr">
        <is>
          <t>x̄x̄V̅CMVIII</t>
        </is>
      </c>
      <c r="C25909">
        <f>ROMAN(25908)</f>
        <v/>
      </c>
      <c r="D25909">
        <f>IF(B25909=C25909, "YES", "WRONG")</f>
        <v/>
      </c>
    </row>
    <row r="25910">
      <c r="A25910" t="n">
        <v>25909</v>
      </c>
      <c r="B25910" t="inlineStr">
        <is>
          <t>x̄x̄V̅CMIX</t>
        </is>
      </c>
      <c r="C25910">
        <f>ROMAN(25909)</f>
        <v/>
      </c>
      <c r="D25910">
        <f>IF(B25910=C25910, "YES", "WRONG")</f>
        <v/>
      </c>
    </row>
    <row r="25911">
      <c r="A25911" t="n">
        <v>25910</v>
      </c>
      <c r="B25911" t="inlineStr">
        <is>
          <t>x̄x̄V̅CMX</t>
        </is>
      </c>
      <c r="C25911">
        <f>ROMAN(25910)</f>
        <v/>
      </c>
      <c r="D25911">
        <f>IF(B25911=C25911, "YES", "WRONG")</f>
        <v/>
      </c>
    </row>
    <row r="25912">
      <c r="A25912" t="n">
        <v>25911</v>
      </c>
      <c r="B25912" t="inlineStr">
        <is>
          <t>x̄x̄V̅CMXI</t>
        </is>
      </c>
      <c r="C25912">
        <f>ROMAN(25911)</f>
        <v/>
      </c>
      <c r="D25912">
        <f>IF(B25912=C25912, "YES", "WRONG")</f>
        <v/>
      </c>
    </row>
    <row r="25913">
      <c r="A25913" t="n">
        <v>25912</v>
      </c>
      <c r="B25913" t="inlineStr">
        <is>
          <t>x̄x̄V̅CMXII</t>
        </is>
      </c>
      <c r="C25913">
        <f>ROMAN(25912)</f>
        <v/>
      </c>
      <c r="D25913">
        <f>IF(B25913=C25913, "YES", "WRONG")</f>
        <v/>
      </c>
    </row>
    <row r="25914">
      <c r="A25914" t="n">
        <v>25913</v>
      </c>
      <c r="B25914" t="inlineStr">
        <is>
          <t>x̄x̄V̅CMXIII</t>
        </is>
      </c>
      <c r="C25914">
        <f>ROMAN(25913)</f>
        <v/>
      </c>
      <c r="D25914">
        <f>IF(B25914=C25914, "YES", "WRONG")</f>
        <v/>
      </c>
    </row>
    <row r="25915">
      <c r="A25915" t="n">
        <v>25914</v>
      </c>
      <c r="B25915" t="inlineStr">
        <is>
          <t>x̄x̄V̅CMXIV</t>
        </is>
      </c>
      <c r="C25915">
        <f>ROMAN(25914)</f>
        <v/>
      </c>
      <c r="D25915">
        <f>IF(B25915=C25915, "YES", "WRONG")</f>
        <v/>
      </c>
    </row>
    <row r="25916">
      <c r="A25916" t="n">
        <v>25915</v>
      </c>
      <c r="B25916" t="inlineStr">
        <is>
          <t>x̄x̄V̅CMXV</t>
        </is>
      </c>
      <c r="C25916">
        <f>ROMAN(25915)</f>
        <v/>
      </c>
      <c r="D25916">
        <f>IF(B25916=C25916, "YES", "WRONG")</f>
        <v/>
      </c>
    </row>
    <row r="25917">
      <c r="A25917" t="n">
        <v>25916</v>
      </c>
      <c r="B25917" t="inlineStr">
        <is>
          <t>x̄x̄V̅CMXVI</t>
        </is>
      </c>
      <c r="C25917">
        <f>ROMAN(25916)</f>
        <v/>
      </c>
      <c r="D25917">
        <f>IF(B25917=C25917, "YES", "WRONG")</f>
        <v/>
      </c>
    </row>
    <row r="25918">
      <c r="A25918" t="n">
        <v>25917</v>
      </c>
      <c r="B25918" t="inlineStr">
        <is>
          <t>x̄x̄V̅CMXVII</t>
        </is>
      </c>
      <c r="C25918">
        <f>ROMAN(25917)</f>
        <v/>
      </c>
      <c r="D25918">
        <f>IF(B25918=C25918, "YES", "WRONG")</f>
        <v/>
      </c>
    </row>
    <row r="25919">
      <c r="A25919" t="n">
        <v>25918</v>
      </c>
      <c r="B25919" t="inlineStr">
        <is>
          <t>x̄x̄V̅CMXVIII</t>
        </is>
      </c>
      <c r="C25919">
        <f>ROMAN(25918)</f>
        <v/>
      </c>
      <c r="D25919">
        <f>IF(B25919=C25919, "YES", "WRONG")</f>
        <v/>
      </c>
    </row>
    <row r="25920">
      <c r="A25920" t="n">
        <v>25919</v>
      </c>
      <c r="B25920" t="inlineStr">
        <is>
          <t>x̄x̄V̅CMXIX</t>
        </is>
      </c>
      <c r="C25920">
        <f>ROMAN(25919)</f>
        <v/>
      </c>
      <c r="D25920">
        <f>IF(B25920=C25920, "YES", "WRONG")</f>
        <v/>
      </c>
    </row>
    <row r="25921">
      <c r="A25921" t="n">
        <v>25920</v>
      </c>
      <c r="B25921" t="inlineStr">
        <is>
          <t>x̄x̄V̅CMXX</t>
        </is>
      </c>
      <c r="C25921">
        <f>ROMAN(25920)</f>
        <v/>
      </c>
      <c r="D25921">
        <f>IF(B25921=C25921, "YES", "WRONG")</f>
        <v/>
      </c>
    </row>
    <row r="25922">
      <c r="A25922" t="n">
        <v>25921</v>
      </c>
      <c r="B25922" t="inlineStr">
        <is>
          <t>x̄x̄V̅CMXXI</t>
        </is>
      </c>
      <c r="C25922">
        <f>ROMAN(25921)</f>
        <v/>
      </c>
      <c r="D25922">
        <f>IF(B25922=C25922, "YES", "WRONG")</f>
        <v/>
      </c>
    </row>
    <row r="25923">
      <c r="A25923" t="n">
        <v>25922</v>
      </c>
      <c r="B25923" t="inlineStr">
        <is>
          <t>x̄x̄V̅CMXXII</t>
        </is>
      </c>
      <c r="C25923">
        <f>ROMAN(25922)</f>
        <v/>
      </c>
      <c r="D25923">
        <f>IF(B25923=C25923, "YES", "WRONG")</f>
        <v/>
      </c>
    </row>
    <row r="25924">
      <c r="A25924" t="n">
        <v>25923</v>
      </c>
      <c r="B25924" t="inlineStr">
        <is>
          <t>x̄x̄V̅CMXXIII</t>
        </is>
      </c>
      <c r="C25924">
        <f>ROMAN(25923)</f>
        <v/>
      </c>
      <c r="D25924">
        <f>IF(B25924=C25924, "YES", "WRONG")</f>
        <v/>
      </c>
    </row>
    <row r="25925">
      <c r="A25925" t="n">
        <v>25924</v>
      </c>
      <c r="B25925" t="inlineStr">
        <is>
          <t>x̄x̄V̅CMXXIV</t>
        </is>
      </c>
      <c r="C25925">
        <f>ROMAN(25924)</f>
        <v/>
      </c>
      <c r="D25925">
        <f>IF(B25925=C25925, "YES", "WRONG")</f>
        <v/>
      </c>
    </row>
    <row r="25926">
      <c r="A25926" t="n">
        <v>25925</v>
      </c>
      <c r="B25926" t="inlineStr">
        <is>
          <t>x̄x̄V̅CMXXV</t>
        </is>
      </c>
      <c r="C25926">
        <f>ROMAN(25925)</f>
        <v/>
      </c>
      <c r="D25926">
        <f>IF(B25926=C25926, "YES", "WRONG")</f>
        <v/>
      </c>
    </row>
    <row r="25927">
      <c r="A25927" t="n">
        <v>25926</v>
      </c>
      <c r="B25927" t="inlineStr">
        <is>
          <t>x̄x̄V̅CMXXVI</t>
        </is>
      </c>
      <c r="C25927">
        <f>ROMAN(25926)</f>
        <v/>
      </c>
      <c r="D25927">
        <f>IF(B25927=C25927, "YES", "WRONG")</f>
        <v/>
      </c>
    </row>
    <row r="25928">
      <c r="A25928" t="n">
        <v>25927</v>
      </c>
      <c r="B25928" t="inlineStr">
        <is>
          <t>x̄x̄V̅CMXXVII</t>
        </is>
      </c>
      <c r="C25928">
        <f>ROMAN(25927)</f>
        <v/>
      </c>
      <c r="D25928">
        <f>IF(B25928=C25928, "YES", "WRONG")</f>
        <v/>
      </c>
    </row>
    <row r="25929">
      <c r="A25929" t="n">
        <v>25928</v>
      </c>
      <c r="B25929" t="inlineStr">
        <is>
          <t>x̄x̄V̅CMXXVIII</t>
        </is>
      </c>
      <c r="C25929">
        <f>ROMAN(25928)</f>
        <v/>
      </c>
      <c r="D25929">
        <f>IF(B25929=C25929, "YES", "WRONG")</f>
        <v/>
      </c>
    </row>
    <row r="25930">
      <c r="A25930" t="n">
        <v>25929</v>
      </c>
      <c r="B25930" t="inlineStr">
        <is>
          <t>x̄x̄V̅CMXXIX</t>
        </is>
      </c>
      <c r="C25930">
        <f>ROMAN(25929)</f>
        <v/>
      </c>
      <c r="D25930">
        <f>IF(B25930=C25930, "YES", "WRONG")</f>
        <v/>
      </c>
    </row>
    <row r="25931">
      <c r="A25931" t="n">
        <v>25930</v>
      </c>
      <c r="B25931" t="inlineStr">
        <is>
          <t>x̄x̄V̅CMXXX</t>
        </is>
      </c>
      <c r="C25931">
        <f>ROMAN(25930)</f>
        <v/>
      </c>
      <c r="D25931">
        <f>IF(B25931=C25931, "YES", "WRONG")</f>
        <v/>
      </c>
    </row>
    <row r="25932">
      <c r="A25932" t="n">
        <v>25931</v>
      </c>
      <c r="B25932" t="inlineStr">
        <is>
          <t>x̄x̄V̅CMXXXI</t>
        </is>
      </c>
      <c r="C25932">
        <f>ROMAN(25931)</f>
        <v/>
      </c>
      <c r="D25932">
        <f>IF(B25932=C25932, "YES", "WRONG")</f>
        <v/>
      </c>
    </row>
    <row r="25933">
      <c r="A25933" t="n">
        <v>25932</v>
      </c>
      <c r="B25933" t="inlineStr">
        <is>
          <t>x̄x̄V̅CMXXXII</t>
        </is>
      </c>
      <c r="C25933">
        <f>ROMAN(25932)</f>
        <v/>
      </c>
      <c r="D25933">
        <f>IF(B25933=C25933, "YES", "WRONG")</f>
        <v/>
      </c>
    </row>
    <row r="25934">
      <c r="A25934" t="n">
        <v>25933</v>
      </c>
      <c r="B25934" t="inlineStr">
        <is>
          <t>x̄x̄V̅CMXXXIII</t>
        </is>
      </c>
      <c r="C25934">
        <f>ROMAN(25933)</f>
        <v/>
      </c>
      <c r="D25934">
        <f>IF(B25934=C25934, "YES", "WRONG")</f>
        <v/>
      </c>
    </row>
    <row r="25935">
      <c r="A25935" t="n">
        <v>25934</v>
      </c>
      <c r="B25935" t="inlineStr">
        <is>
          <t>x̄x̄V̅CMXXXIV</t>
        </is>
      </c>
      <c r="C25935">
        <f>ROMAN(25934)</f>
        <v/>
      </c>
      <c r="D25935">
        <f>IF(B25935=C25935, "YES", "WRONG")</f>
        <v/>
      </c>
    </row>
    <row r="25936">
      <c r="A25936" t="n">
        <v>25935</v>
      </c>
      <c r="B25936" t="inlineStr">
        <is>
          <t>x̄x̄V̅CMXXXV</t>
        </is>
      </c>
      <c r="C25936">
        <f>ROMAN(25935)</f>
        <v/>
      </c>
      <c r="D25936">
        <f>IF(B25936=C25936, "YES", "WRONG")</f>
        <v/>
      </c>
    </row>
    <row r="25937">
      <c r="A25937" t="n">
        <v>25936</v>
      </c>
      <c r="B25937" t="inlineStr">
        <is>
          <t>x̄x̄V̅CMXXXVI</t>
        </is>
      </c>
      <c r="C25937">
        <f>ROMAN(25936)</f>
        <v/>
      </c>
      <c r="D25937">
        <f>IF(B25937=C25937, "YES", "WRONG")</f>
        <v/>
      </c>
    </row>
    <row r="25938">
      <c r="A25938" t="n">
        <v>25937</v>
      </c>
      <c r="B25938" t="inlineStr">
        <is>
          <t>x̄x̄V̅CMXXXVII</t>
        </is>
      </c>
      <c r="C25938">
        <f>ROMAN(25937)</f>
        <v/>
      </c>
      <c r="D25938">
        <f>IF(B25938=C25938, "YES", "WRONG")</f>
        <v/>
      </c>
    </row>
    <row r="25939">
      <c r="A25939" t="n">
        <v>25938</v>
      </c>
      <c r="B25939" t="inlineStr">
        <is>
          <t>x̄x̄V̅CMXXXVIII</t>
        </is>
      </c>
      <c r="C25939">
        <f>ROMAN(25938)</f>
        <v/>
      </c>
      <c r="D25939">
        <f>IF(B25939=C25939, "YES", "WRONG")</f>
        <v/>
      </c>
    </row>
    <row r="25940">
      <c r="A25940" t="n">
        <v>25939</v>
      </c>
      <c r="B25940" t="inlineStr">
        <is>
          <t>x̄x̄V̅CMXXXIX</t>
        </is>
      </c>
      <c r="C25940">
        <f>ROMAN(25939)</f>
        <v/>
      </c>
      <c r="D25940">
        <f>IF(B25940=C25940, "YES", "WRONG")</f>
        <v/>
      </c>
    </row>
    <row r="25941">
      <c r="A25941" t="n">
        <v>25940</v>
      </c>
      <c r="B25941" t="inlineStr">
        <is>
          <t>x̄x̄V̅CMXL</t>
        </is>
      </c>
      <c r="C25941">
        <f>ROMAN(25940)</f>
        <v/>
      </c>
      <c r="D25941">
        <f>IF(B25941=C25941, "YES", "WRONG")</f>
        <v/>
      </c>
    </row>
    <row r="25942">
      <c r="A25942" t="n">
        <v>25941</v>
      </c>
      <c r="B25942" t="inlineStr">
        <is>
          <t>x̄x̄V̅CMXLI</t>
        </is>
      </c>
      <c r="C25942">
        <f>ROMAN(25941)</f>
        <v/>
      </c>
      <c r="D25942">
        <f>IF(B25942=C25942, "YES", "WRONG")</f>
        <v/>
      </c>
    </row>
    <row r="25943">
      <c r="A25943" t="n">
        <v>25942</v>
      </c>
      <c r="B25943" t="inlineStr">
        <is>
          <t>x̄x̄V̅CMXLII</t>
        </is>
      </c>
      <c r="C25943">
        <f>ROMAN(25942)</f>
        <v/>
      </c>
      <c r="D25943">
        <f>IF(B25943=C25943, "YES", "WRONG")</f>
        <v/>
      </c>
    </row>
    <row r="25944">
      <c r="A25944" t="n">
        <v>25943</v>
      </c>
      <c r="B25944" t="inlineStr">
        <is>
          <t>x̄x̄V̅CMXLIII</t>
        </is>
      </c>
      <c r="C25944">
        <f>ROMAN(25943)</f>
        <v/>
      </c>
      <c r="D25944">
        <f>IF(B25944=C25944, "YES", "WRONG")</f>
        <v/>
      </c>
    </row>
    <row r="25945">
      <c r="A25945" t="n">
        <v>25944</v>
      </c>
      <c r="B25945" t="inlineStr">
        <is>
          <t>x̄x̄V̅CMXLIV</t>
        </is>
      </c>
      <c r="C25945">
        <f>ROMAN(25944)</f>
        <v/>
      </c>
      <c r="D25945">
        <f>IF(B25945=C25945, "YES", "WRONG")</f>
        <v/>
      </c>
    </row>
    <row r="25946">
      <c r="A25946" t="n">
        <v>25945</v>
      </c>
      <c r="B25946" t="inlineStr">
        <is>
          <t>x̄x̄V̅CMXLV</t>
        </is>
      </c>
      <c r="C25946">
        <f>ROMAN(25945)</f>
        <v/>
      </c>
      <c r="D25946">
        <f>IF(B25946=C25946, "YES", "WRONG")</f>
        <v/>
      </c>
    </row>
    <row r="25947">
      <c r="A25947" t="n">
        <v>25946</v>
      </c>
      <c r="B25947" t="inlineStr">
        <is>
          <t>x̄x̄V̅CMXLVI</t>
        </is>
      </c>
      <c r="C25947">
        <f>ROMAN(25946)</f>
        <v/>
      </c>
      <c r="D25947">
        <f>IF(B25947=C25947, "YES", "WRONG")</f>
        <v/>
      </c>
    </row>
    <row r="25948">
      <c r="A25948" t="n">
        <v>25947</v>
      </c>
      <c r="B25948" t="inlineStr">
        <is>
          <t>x̄x̄V̅CMXLVII</t>
        </is>
      </c>
      <c r="C25948">
        <f>ROMAN(25947)</f>
        <v/>
      </c>
      <c r="D25948">
        <f>IF(B25948=C25948, "YES", "WRONG")</f>
        <v/>
      </c>
    </row>
    <row r="25949">
      <c r="A25949" t="n">
        <v>25948</v>
      </c>
      <c r="B25949" t="inlineStr">
        <is>
          <t>x̄x̄V̅CMXLVIII</t>
        </is>
      </c>
      <c r="C25949">
        <f>ROMAN(25948)</f>
        <v/>
      </c>
      <c r="D25949">
        <f>IF(B25949=C25949, "YES", "WRONG")</f>
        <v/>
      </c>
    </row>
    <row r="25950">
      <c r="A25950" t="n">
        <v>25949</v>
      </c>
      <c r="B25950" t="inlineStr">
        <is>
          <t>x̄x̄V̅CMXLIX</t>
        </is>
      </c>
      <c r="C25950">
        <f>ROMAN(25949)</f>
        <v/>
      </c>
      <c r="D25950">
        <f>IF(B25950=C25950, "YES", "WRONG")</f>
        <v/>
      </c>
    </row>
    <row r="25951">
      <c r="A25951" t="n">
        <v>25950</v>
      </c>
      <c r="B25951" t="inlineStr">
        <is>
          <t>x̄x̄V̅CML</t>
        </is>
      </c>
      <c r="C25951">
        <f>ROMAN(25950)</f>
        <v/>
      </c>
      <c r="D25951">
        <f>IF(B25951=C25951, "YES", "WRONG")</f>
        <v/>
      </c>
    </row>
    <row r="25952">
      <c r="A25952" t="n">
        <v>25951</v>
      </c>
      <c r="B25952" t="inlineStr">
        <is>
          <t>x̄x̄V̅CMLI</t>
        </is>
      </c>
      <c r="C25952">
        <f>ROMAN(25951)</f>
        <v/>
      </c>
      <c r="D25952">
        <f>IF(B25952=C25952, "YES", "WRONG")</f>
        <v/>
      </c>
    </row>
    <row r="25953">
      <c r="A25953" t="n">
        <v>25952</v>
      </c>
      <c r="B25953" t="inlineStr">
        <is>
          <t>x̄x̄V̅CMLII</t>
        </is>
      </c>
      <c r="C25953">
        <f>ROMAN(25952)</f>
        <v/>
      </c>
      <c r="D25953">
        <f>IF(B25953=C25953, "YES", "WRONG")</f>
        <v/>
      </c>
    </row>
    <row r="25954">
      <c r="A25954" t="n">
        <v>25953</v>
      </c>
      <c r="B25954" t="inlineStr">
        <is>
          <t>x̄x̄V̅CMLIII</t>
        </is>
      </c>
      <c r="C25954">
        <f>ROMAN(25953)</f>
        <v/>
      </c>
      <c r="D25954">
        <f>IF(B25954=C25954, "YES", "WRONG")</f>
        <v/>
      </c>
    </row>
    <row r="25955">
      <c r="A25955" t="n">
        <v>25954</v>
      </c>
      <c r="B25955" t="inlineStr">
        <is>
          <t>x̄x̄V̅CMLIV</t>
        </is>
      </c>
      <c r="C25955">
        <f>ROMAN(25954)</f>
        <v/>
      </c>
      <c r="D25955">
        <f>IF(B25955=C25955, "YES", "WRONG")</f>
        <v/>
      </c>
    </row>
    <row r="25956">
      <c r="A25956" t="n">
        <v>25955</v>
      </c>
      <c r="B25956" t="inlineStr">
        <is>
          <t>x̄x̄V̅CMLV</t>
        </is>
      </c>
      <c r="C25956">
        <f>ROMAN(25955)</f>
        <v/>
      </c>
      <c r="D25956">
        <f>IF(B25956=C25956, "YES", "WRONG")</f>
        <v/>
      </c>
    </row>
    <row r="25957">
      <c r="A25957" t="n">
        <v>25956</v>
      </c>
      <c r="B25957" t="inlineStr">
        <is>
          <t>x̄x̄V̅CMLVI</t>
        </is>
      </c>
      <c r="C25957">
        <f>ROMAN(25956)</f>
        <v/>
      </c>
      <c r="D25957">
        <f>IF(B25957=C25957, "YES", "WRONG")</f>
        <v/>
      </c>
    </row>
    <row r="25958">
      <c r="A25958" t="n">
        <v>25957</v>
      </c>
      <c r="B25958" t="inlineStr">
        <is>
          <t>x̄x̄V̅CMLVII</t>
        </is>
      </c>
      <c r="C25958">
        <f>ROMAN(25957)</f>
        <v/>
      </c>
      <c r="D25958">
        <f>IF(B25958=C25958, "YES", "WRONG")</f>
        <v/>
      </c>
    </row>
    <row r="25959">
      <c r="A25959" t="n">
        <v>25958</v>
      </c>
      <c r="B25959" t="inlineStr">
        <is>
          <t>x̄x̄V̅CMLVIII</t>
        </is>
      </c>
      <c r="C25959">
        <f>ROMAN(25958)</f>
        <v/>
      </c>
      <c r="D25959">
        <f>IF(B25959=C25959, "YES", "WRONG")</f>
        <v/>
      </c>
    </row>
    <row r="25960">
      <c r="A25960" t="n">
        <v>25959</v>
      </c>
      <c r="B25960" t="inlineStr">
        <is>
          <t>x̄x̄V̅CMLIX</t>
        </is>
      </c>
      <c r="C25960">
        <f>ROMAN(25959)</f>
        <v/>
      </c>
      <c r="D25960">
        <f>IF(B25960=C25960, "YES", "WRONG")</f>
        <v/>
      </c>
    </row>
    <row r="25961">
      <c r="A25961" t="n">
        <v>25960</v>
      </c>
      <c r="B25961" t="inlineStr">
        <is>
          <t>x̄x̄V̅CMLX</t>
        </is>
      </c>
      <c r="C25961">
        <f>ROMAN(25960)</f>
        <v/>
      </c>
      <c r="D25961">
        <f>IF(B25961=C25961, "YES", "WRONG")</f>
        <v/>
      </c>
    </row>
    <row r="25962">
      <c r="A25962" t="n">
        <v>25961</v>
      </c>
      <c r="B25962" t="inlineStr">
        <is>
          <t>x̄x̄V̅CMLXI</t>
        </is>
      </c>
      <c r="C25962">
        <f>ROMAN(25961)</f>
        <v/>
      </c>
      <c r="D25962">
        <f>IF(B25962=C25962, "YES", "WRONG")</f>
        <v/>
      </c>
    </row>
    <row r="25963">
      <c r="A25963" t="n">
        <v>25962</v>
      </c>
      <c r="B25963" t="inlineStr">
        <is>
          <t>x̄x̄V̅CMLXII</t>
        </is>
      </c>
      <c r="C25963">
        <f>ROMAN(25962)</f>
        <v/>
      </c>
      <c r="D25963">
        <f>IF(B25963=C25963, "YES", "WRONG")</f>
        <v/>
      </c>
    </row>
    <row r="25964">
      <c r="A25964" t="n">
        <v>25963</v>
      </c>
      <c r="B25964" t="inlineStr">
        <is>
          <t>x̄x̄V̅CMLXIII</t>
        </is>
      </c>
      <c r="C25964">
        <f>ROMAN(25963)</f>
        <v/>
      </c>
      <c r="D25964">
        <f>IF(B25964=C25964, "YES", "WRONG")</f>
        <v/>
      </c>
    </row>
    <row r="25965">
      <c r="A25965" t="n">
        <v>25964</v>
      </c>
      <c r="B25965" t="inlineStr">
        <is>
          <t>x̄x̄V̅CMLXIV</t>
        </is>
      </c>
      <c r="C25965">
        <f>ROMAN(25964)</f>
        <v/>
      </c>
      <c r="D25965">
        <f>IF(B25965=C25965, "YES", "WRONG")</f>
        <v/>
      </c>
    </row>
    <row r="25966">
      <c r="A25966" t="n">
        <v>25965</v>
      </c>
      <c r="B25966" t="inlineStr">
        <is>
          <t>x̄x̄V̅CMLXV</t>
        </is>
      </c>
      <c r="C25966">
        <f>ROMAN(25965)</f>
        <v/>
      </c>
      <c r="D25966">
        <f>IF(B25966=C25966, "YES", "WRONG")</f>
        <v/>
      </c>
    </row>
    <row r="25967">
      <c r="A25967" t="n">
        <v>25966</v>
      </c>
      <c r="B25967" t="inlineStr">
        <is>
          <t>x̄x̄V̅CMLXVI</t>
        </is>
      </c>
      <c r="C25967">
        <f>ROMAN(25966)</f>
        <v/>
      </c>
      <c r="D25967">
        <f>IF(B25967=C25967, "YES", "WRONG")</f>
        <v/>
      </c>
    </row>
    <row r="25968">
      <c r="A25968" t="n">
        <v>25967</v>
      </c>
      <c r="B25968" t="inlineStr">
        <is>
          <t>x̄x̄V̅CMLXVII</t>
        </is>
      </c>
      <c r="C25968">
        <f>ROMAN(25967)</f>
        <v/>
      </c>
      <c r="D25968">
        <f>IF(B25968=C25968, "YES", "WRONG")</f>
        <v/>
      </c>
    </row>
    <row r="25969">
      <c r="A25969" t="n">
        <v>25968</v>
      </c>
      <c r="B25969" t="inlineStr">
        <is>
          <t>x̄x̄V̅CMLXVIII</t>
        </is>
      </c>
      <c r="C25969">
        <f>ROMAN(25968)</f>
        <v/>
      </c>
      <c r="D25969">
        <f>IF(B25969=C25969, "YES", "WRONG")</f>
        <v/>
      </c>
    </row>
    <row r="25970">
      <c r="A25970" t="n">
        <v>25969</v>
      </c>
      <c r="B25970" t="inlineStr">
        <is>
          <t>x̄x̄V̅CMLXIX</t>
        </is>
      </c>
      <c r="C25970">
        <f>ROMAN(25969)</f>
        <v/>
      </c>
      <c r="D25970">
        <f>IF(B25970=C25970, "YES", "WRONG")</f>
        <v/>
      </c>
    </row>
    <row r="25971">
      <c r="A25971" t="n">
        <v>25970</v>
      </c>
      <c r="B25971" t="inlineStr">
        <is>
          <t>x̄x̄V̅CMLXX</t>
        </is>
      </c>
      <c r="C25971">
        <f>ROMAN(25970)</f>
        <v/>
      </c>
      <c r="D25971">
        <f>IF(B25971=C25971, "YES", "WRONG")</f>
        <v/>
      </c>
    </row>
    <row r="25972">
      <c r="A25972" t="n">
        <v>25971</v>
      </c>
      <c r="B25972" t="inlineStr">
        <is>
          <t>x̄x̄V̅CMLXXI</t>
        </is>
      </c>
      <c r="C25972">
        <f>ROMAN(25971)</f>
        <v/>
      </c>
      <c r="D25972">
        <f>IF(B25972=C25972, "YES", "WRONG")</f>
        <v/>
      </c>
    </row>
    <row r="25973">
      <c r="A25973" t="n">
        <v>25972</v>
      </c>
      <c r="B25973" t="inlineStr">
        <is>
          <t>x̄x̄V̅CMLXXII</t>
        </is>
      </c>
      <c r="C25973">
        <f>ROMAN(25972)</f>
        <v/>
      </c>
      <c r="D25973">
        <f>IF(B25973=C25973, "YES", "WRONG")</f>
        <v/>
      </c>
    </row>
    <row r="25974">
      <c r="A25974" t="n">
        <v>25973</v>
      </c>
      <c r="B25974" t="inlineStr">
        <is>
          <t>x̄x̄V̅CMLXXIII</t>
        </is>
      </c>
      <c r="C25974">
        <f>ROMAN(25973)</f>
        <v/>
      </c>
      <c r="D25974">
        <f>IF(B25974=C25974, "YES", "WRONG")</f>
        <v/>
      </c>
    </row>
    <row r="25975">
      <c r="A25975" t="n">
        <v>25974</v>
      </c>
      <c r="B25975" t="inlineStr">
        <is>
          <t>x̄x̄V̅CMLXXIV</t>
        </is>
      </c>
      <c r="C25975">
        <f>ROMAN(25974)</f>
        <v/>
      </c>
      <c r="D25975">
        <f>IF(B25975=C25975, "YES", "WRONG")</f>
        <v/>
      </c>
    </row>
    <row r="25976">
      <c r="A25976" t="n">
        <v>25975</v>
      </c>
      <c r="B25976" t="inlineStr">
        <is>
          <t>x̄x̄V̅CMLXXV</t>
        </is>
      </c>
      <c r="C25976">
        <f>ROMAN(25975)</f>
        <v/>
      </c>
      <c r="D25976">
        <f>IF(B25976=C25976, "YES", "WRONG")</f>
        <v/>
      </c>
    </row>
    <row r="25977">
      <c r="A25977" t="n">
        <v>25976</v>
      </c>
      <c r="B25977" t="inlineStr">
        <is>
          <t>x̄x̄V̅CMLXXVI</t>
        </is>
      </c>
      <c r="C25977">
        <f>ROMAN(25976)</f>
        <v/>
      </c>
      <c r="D25977">
        <f>IF(B25977=C25977, "YES", "WRONG")</f>
        <v/>
      </c>
    </row>
    <row r="25978">
      <c r="A25978" t="n">
        <v>25977</v>
      </c>
      <c r="B25978" t="inlineStr">
        <is>
          <t>x̄x̄V̅CMLXXVII</t>
        </is>
      </c>
      <c r="C25978">
        <f>ROMAN(25977)</f>
        <v/>
      </c>
      <c r="D25978">
        <f>IF(B25978=C25978, "YES", "WRONG")</f>
        <v/>
      </c>
    </row>
    <row r="25979">
      <c r="A25979" t="n">
        <v>25978</v>
      </c>
      <c r="B25979" t="inlineStr">
        <is>
          <t>x̄x̄V̅CMLXXVIII</t>
        </is>
      </c>
      <c r="C25979">
        <f>ROMAN(25978)</f>
        <v/>
      </c>
      <c r="D25979">
        <f>IF(B25979=C25979, "YES", "WRONG")</f>
        <v/>
      </c>
    </row>
    <row r="25980">
      <c r="A25980" t="n">
        <v>25979</v>
      </c>
      <c r="B25980" t="inlineStr">
        <is>
          <t>x̄x̄V̅CMLXXIX</t>
        </is>
      </c>
      <c r="C25980">
        <f>ROMAN(25979)</f>
        <v/>
      </c>
      <c r="D25980">
        <f>IF(B25980=C25980, "YES", "WRONG")</f>
        <v/>
      </c>
    </row>
    <row r="25981">
      <c r="A25981" t="n">
        <v>25980</v>
      </c>
      <c r="B25981" t="inlineStr">
        <is>
          <t>x̄x̄V̅CMLXXX</t>
        </is>
      </c>
      <c r="C25981">
        <f>ROMAN(25980)</f>
        <v/>
      </c>
      <c r="D25981">
        <f>IF(B25981=C25981, "YES", "WRONG")</f>
        <v/>
      </c>
    </row>
    <row r="25982">
      <c r="A25982" t="n">
        <v>25981</v>
      </c>
      <c r="B25982" t="inlineStr">
        <is>
          <t>x̄x̄V̅CMLXXXI</t>
        </is>
      </c>
      <c r="C25982">
        <f>ROMAN(25981)</f>
        <v/>
      </c>
      <c r="D25982">
        <f>IF(B25982=C25982, "YES", "WRONG")</f>
        <v/>
      </c>
    </row>
    <row r="25983">
      <c r="A25983" t="n">
        <v>25982</v>
      </c>
      <c r="B25983" t="inlineStr">
        <is>
          <t>x̄x̄V̅CMLXXXII</t>
        </is>
      </c>
      <c r="C25983">
        <f>ROMAN(25982)</f>
        <v/>
      </c>
      <c r="D25983">
        <f>IF(B25983=C25983, "YES", "WRONG")</f>
        <v/>
      </c>
    </row>
    <row r="25984">
      <c r="A25984" t="n">
        <v>25983</v>
      </c>
      <c r="B25984" t="inlineStr">
        <is>
          <t>x̄x̄V̅CMLXXXIII</t>
        </is>
      </c>
      <c r="C25984">
        <f>ROMAN(25983)</f>
        <v/>
      </c>
      <c r="D25984">
        <f>IF(B25984=C25984, "YES", "WRONG")</f>
        <v/>
      </c>
    </row>
    <row r="25985">
      <c r="A25985" t="n">
        <v>25984</v>
      </c>
      <c r="B25985" t="inlineStr">
        <is>
          <t>x̄x̄V̅CMLXXXIV</t>
        </is>
      </c>
      <c r="C25985">
        <f>ROMAN(25984)</f>
        <v/>
      </c>
      <c r="D25985">
        <f>IF(B25985=C25985, "YES", "WRONG")</f>
        <v/>
      </c>
    </row>
    <row r="25986">
      <c r="A25986" t="n">
        <v>25985</v>
      </c>
      <c r="B25986" t="inlineStr">
        <is>
          <t>x̄x̄V̅CMLXXXV</t>
        </is>
      </c>
      <c r="C25986">
        <f>ROMAN(25985)</f>
        <v/>
      </c>
      <c r="D25986">
        <f>IF(B25986=C25986, "YES", "WRONG")</f>
        <v/>
      </c>
    </row>
    <row r="25987">
      <c r="A25987" t="n">
        <v>25986</v>
      </c>
      <c r="B25987" t="inlineStr">
        <is>
          <t>x̄x̄V̅CMLXXXVI</t>
        </is>
      </c>
      <c r="C25987">
        <f>ROMAN(25986)</f>
        <v/>
      </c>
      <c r="D25987">
        <f>IF(B25987=C25987, "YES", "WRONG")</f>
        <v/>
      </c>
    </row>
    <row r="25988">
      <c r="A25988" t="n">
        <v>25987</v>
      </c>
      <c r="B25988" t="inlineStr">
        <is>
          <t>x̄x̄V̅CMLXXXVII</t>
        </is>
      </c>
      <c r="C25988">
        <f>ROMAN(25987)</f>
        <v/>
      </c>
      <c r="D25988">
        <f>IF(B25988=C25988, "YES", "WRONG")</f>
        <v/>
      </c>
    </row>
    <row r="25989">
      <c r="A25989" t="n">
        <v>25988</v>
      </c>
      <c r="B25989" t="inlineStr">
        <is>
          <t>x̄x̄V̅CMLXXXVIII</t>
        </is>
      </c>
      <c r="C25989">
        <f>ROMAN(25988)</f>
        <v/>
      </c>
      <c r="D25989">
        <f>IF(B25989=C25989, "YES", "WRONG")</f>
        <v/>
      </c>
    </row>
    <row r="25990">
      <c r="A25990" t="n">
        <v>25989</v>
      </c>
      <c r="B25990" t="inlineStr">
        <is>
          <t>x̄x̄V̅CMLXXXIX</t>
        </is>
      </c>
      <c r="C25990">
        <f>ROMAN(25989)</f>
        <v/>
      </c>
      <c r="D25990">
        <f>IF(B25990=C25990, "YES", "WRONG")</f>
        <v/>
      </c>
    </row>
    <row r="25991">
      <c r="A25991" t="n">
        <v>25990</v>
      </c>
      <c r="B25991" t="inlineStr">
        <is>
          <t>x̄x̄V̅CMXC</t>
        </is>
      </c>
      <c r="C25991">
        <f>ROMAN(25990)</f>
        <v/>
      </c>
      <c r="D25991">
        <f>IF(B25991=C25991, "YES", "WRONG")</f>
        <v/>
      </c>
    </row>
    <row r="25992">
      <c r="A25992" t="n">
        <v>25991</v>
      </c>
      <c r="B25992" t="inlineStr">
        <is>
          <t>x̄x̄V̅CMXCI</t>
        </is>
      </c>
      <c r="C25992">
        <f>ROMAN(25991)</f>
        <v/>
      </c>
      <c r="D25992">
        <f>IF(B25992=C25992, "YES", "WRONG")</f>
        <v/>
      </c>
    </row>
    <row r="25993">
      <c r="A25993" t="n">
        <v>25992</v>
      </c>
      <c r="B25993" t="inlineStr">
        <is>
          <t>x̄x̄V̅CMXCII</t>
        </is>
      </c>
      <c r="C25993">
        <f>ROMAN(25992)</f>
        <v/>
      </c>
      <c r="D25993">
        <f>IF(B25993=C25993, "YES", "WRONG")</f>
        <v/>
      </c>
    </row>
    <row r="25994">
      <c r="A25994" t="n">
        <v>25993</v>
      </c>
      <c r="B25994" t="inlineStr">
        <is>
          <t>x̄x̄V̅CMXCIII</t>
        </is>
      </c>
      <c r="C25994">
        <f>ROMAN(25993)</f>
        <v/>
      </c>
      <c r="D25994">
        <f>IF(B25994=C25994, "YES", "WRONG")</f>
        <v/>
      </c>
    </row>
    <row r="25995">
      <c r="A25995" t="n">
        <v>25994</v>
      </c>
      <c r="B25995" t="inlineStr">
        <is>
          <t>x̄x̄V̅CMXCIV</t>
        </is>
      </c>
      <c r="C25995">
        <f>ROMAN(25994)</f>
        <v/>
      </c>
      <c r="D25995">
        <f>IF(B25995=C25995, "YES", "WRONG")</f>
        <v/>
      </c>
    </row>
    <row r="25996">
      <c r="A25996" t="n">
        <v>25995</v>
      </c>
      <c r="B25996" t="inlineStr">
        <is>
          <t>x̄x̄V̅CMXCV</t>
        </is>
      </c>
      <c r="C25996">
        <f>ROMAN(25995)</f>
        <v/>
      </c>
      <c r="D25996">
        <f>IF(B25996=C25996, "YES", "WRONG")</f>
        <v/>
      </c>
    </row>
    <row r="25997">
      <c r="A25997" t="n">
        <v>25996</v>
      </c>
      <c r="B25997" t="inlineStr">
        <is>
          <t>x̄x̄V̅CMXCVI</t>
        </is>
      </c>
      <c r="C25997">
        <f>ROMAN(25996)</f>
        <v/>
      </c>
      <c r="D25997">
        <f>IF(B25997=C25997, "YES", "WRONG")</f>
        <v/>
      </c>
    </row>
    <row r="25998">
      <c r="A25998" t="n">
        <v>25997</v>
      </c>
      <c r="B25998" t="inlineStr">
        <is>
          <t>x̄x̄V̅CMXCVII</t>
        </is>
      </c>
      <c r="C25998">
        <f>ROMAN(25997)</f>
        <v/>
      </c>
      <c r="D25998">
        <f>IF(B25998=C25998, "YES", "WRONG")</f>
        <v/>
      </c>
    </row>
    <row r="25999">
      <c r="A25999" t="n">
        <v>25998</v>
      </c>
      <c r="B25999" t="inlineStr">
        <is>
          <t>x̄x̄V̅CMXCVIII</t>
        </is>
      </c>
      <c r="C25999">
        <f>ROMAN(25998)</f>
        <v/>
      </c>
      <c r="D25999">
        <f>IF(B25999=C25999, "YES", "WRONG")</f>
        <v/>
      </c>
    </row>
    <row r="26000">
      <c r="A26000" t="n">
        <v>25999</v>
      </c>
      <c r="B26000" t="inlineStr">
        <is>
          <t>x̄x̄V̅CMXCIX</t>
        </is>
      </c>
      <c r="C26000">
        <f>ROMAN(25999)</f>
        <v/>
      </c>
      <c r="D26000">
        <f>IF(B26000=C26000, "YES", "WRONG")</f>
        <v/>
      </c>
    </row>
    <row r="26001">
      <c r="A26001" t="n">
        <v>26000</v>
      </c>
      <c r="B26001" t="inlineStr">
        <is>
          <t>x̄x̄V̅M</t>
        </is>
      </c>
      <c r="C26001">
        <f>ROMAN(26000)</f>
        <v/>
      </c>
      <c r="D26001">
        <f>IF(B26001=C26001, "YES", "WRONG")</f>
        <v/>
      </c>
    </row>
    <row r="26002">
      <c r="A26002" t="n">
        <v>26001</v>
      </c>
      <c r="B26002" t="inlineStr">
        <is>
          <t>x̄x̄V̅MI</t>
        </is>
      </c>
      <c r="C26002">
        <f>ROMAN(26001)</f>
        <v/>
      </c>
      <c r="D26002">
        <f>IF(B26002=C26002, "YES", "WRONG")</f>
        <v/>
      </c>
    </row>
    <row r="26003">
      <c r="A26003" t="n">
        <v>26002</v>
      </c>
      <c r="B26003" t="inlineStr">
        <is>
          <t>x̄x̄V̅MII</t>
        </is>
      </c>
      <c r="C26003">
        <f>ROMAN(26002)</f>
        <v/>
      </c>
      <c r="D26003">
        <f>IF(B26003=C26003, "YES", "WRONG")</f>
        <v/>
      </c>
    </row>
    <row r="26004">
      <c r="A26004" t="n">
        <v>26003</v>
      </c>
      <c r="B26004" t="inlineStr">
        <is>
          <t>x̄x̄V̅MIII</t>
        </is>
      </c>
      <c r="C26004">
        <f>ROMAN(26003)</f>
        <v/>
      </c>
      <c r="D26004">
        <f>IF(B26004=C26004, "YES", "WRONG")</f>
        <v/>
      </c>
    </row>
    <row r="26005">
      <c r="A26005" t="n">
        <v>26004</v>
      </c>
      <c r="B26005" t="inlineStr">
        <is>
          <t>x̄x̄V̅MIV</t>
        </is>
      </c>
      <c r="C26005">
        <f>ROMAN(26004)</f>
        <v/>
      </c>
      <c r="D26005">
        <f>IF(B26005=C26005, "YES", "WRONG")</f>
        <v/>
      </c>
    </row>
    <row r="26006">
      <c r="A26006" t="n">
        <v>26005</v>
      </c>
      <c r="B26006" t="inlineStr">
        <is>
          <t>x̄x̄V̅MV</t>
        </is>
      </c>
      <c r="C26006">
        <f>ROMAN(26005)</f>
        <v/>
      </c>
      <c r="D26006">
        <f>IF(B26006=C26006, "YES", "WRONG")</f>
        <v/>
      </c>
    </row>
    <row r="26007">
      <c r="A26007" t="n">
        <v>26006</v>
      </c>
      <c r="B26007" t="inlineStr">
        <is>
          <t>x̄x̄V̅MVI</t>
        </is>
      </c>
      <c r="C26007">
        <f>ROMAN(26006)</f>
        <v/>
      </c>
      <c r="D26007">
        <f>IF(B26007=C26007, "YES", "WRONG")</f>
        <v/>
      </c>
    </row>
    <row r="26008">
      <c r="A26008" t="n">
        <v>26007</v>
      </c>
      <c r="B26008" t="inlineStr">
        <is>
          <t>x̄x̄V̅MVII</t>
        </is>
      </c>
      <c r="C26008">
        <f>ROMAN(26007)</f>
        <v/>
      </c>
      <c r="D26008">
        <f>IF(B26008=C26008, "YES", "WRONG")</f>
        <v/>
      </c>
    </row>
    <row r="26009">
      <c r="A26009" t="n">
        <v>26008</v>
      </c>
      <c r="B26009" t="inlineStr">
        <is>
          <t>x̄x̄V̅MVIII</t>
        </is>
      </c>
      <c r="C26009">
        <f>ROMAN(26008)</f>
        <v/>
      </c>
      <c r="D26009">
        <f>IF(B26009=C26009, "YES", "WRONG")</f>
        <v/>
      </c>
    </row>
    <row r="26010">
      <c r="A26010" t="n">
        <v>26009</v>
      </c>
      <c r="B26010" t="inlineStr">
        <is>
          <t>x̄x̄V̅MIX</t>
        </is>
      </c>
      <c r="C26010">
        <f>ROMAN(26009)</f>
        <v/>
      </c>
      <c r="D26010">
        <f>IF(B26010=C26010, "YES", "WRONG")</f>
        <v/>
      </c>
    </row>
    <row r="26011">
      <c r="A26011" t="n">
        <v>26010</v>
      </c>
      <c r="B26011" t="inlineStr">
        <is>
          <t>x̄x̄V̅MX</t>
        </is>
      </c>
      <c r="C26011">
        <f>ROMAN(26010)</f>
        <v/>
      </c>
      <c r="D26011">
        <f>IF(B26011=C26011, "YES", "WRONG")</f>
        <v/>
      </c>
    </row>
    <row r="26012">
      <c r="A26012" t="n">
        <v>26011</v>
      </c>
      <c r="B26012" t="inlineStr">
        <is>
          <t>x̄x̄V̅MXI</t>
        </is>
      </c>
      <c r="C26012">
        <f>ROMAN(26011)</f>
        <v/>
      </c>
      <c r="D26012">
        <f>IF(B26012=C26012, "YES", "WRONG")</f>
        <v/>
      </c>
    </row>
    <row r="26013">
      <c r="A26013" t="n">
        <v>26012</v>
      </c>
      <c r="B26013" t="inlineStr">
        <is>
          <t>x̄x̄V̅MXII</t>
        </is>
      </c>
      <c r="C26013">
        <f>ROMAN(26012)</f>
        <v/>
      </c>
      <c r="D26013">
        <f>IF(B26013=C26013, "YES", "WRONG")</f>
        <v/>
      </c>
    </row>
    <row r="26014">
      <c r="A26014" t="n">
        <v>26013</v>
      </c>
      <c r="B26014" t="inlineStr">
        <is>
          <t>x̄x̄V̅MXIII</t>
        </is>
      </c>
      <c r="C26014">
        <f>ROMAN(26013)</f>
        <v/>
      </c>
      <c r="D26014">
        <f>IF(B26014=C26014, "YES", "WRONG")</f>
        <v/>
      </c>
    </row>
    <row r="26015">
      <c r="A26015" t="n">
        <v>26014</v>
      </c>
      <c r="B26015" t="inlineStr">
        <is>
          <t>x̄x̄V̅MXIV</t>
        </is>
      </c>
      <c r="C26015">
        <f>ROMAN(26014)</f>
        <v/>
      </c>
      <c r="D26015">
        <f>IF(B26015=C26015, "YES", "WRONG")</f>
        <v/>
      </c>
    </row>
    <row r="26016">
      <c r="A26016" t="n">
        <v>26015</v>
      </c>
      <c r="B26016" t="inlineStr">
        <is>
          <t>x̄x̄V̅MXV</t>
        </is>
      </c>
      <c r="C26016">
        <f>ROMAN(26015)</f>
        <v/>
      </c>
      <c r="D26016">
        <f>IF(B26016=C26016, "YES", "WRONG")</f>
        <v/>
      </c>
    </row>
    <row r="26017">
      <c r="A26017" t="n">
        <v>26016</v>
      </c>
      <c r="B26017" t="inlineStr">
        <is>
          <t>x̄x̄V̅MXVI</t>
        </is>
      </c>
      <c r="C26017">
        <f>ROMAN(26016)</f>
        <v/>
      </c>
      <c r="D26017">
        <f>IF(B26017=C26017, "YES", "WRONG")</f>
        <v/>
      </c>
    </row>
    <row r="26018">
      <c r="A26018" t="n">
        <v>26017</v>
      </c>
      <c r="B26018" t="inlineStr">
        <is>
          <t>x̄x̄V̅MXVII</t>
        </is>
      </c>
      <c r="C26018">
        <f>ROMAN(26017)</f>
        <v/>
      </c>
      <c r="D26018">
        <f>IF(B26018=C26018, "YES", "WRONG")</f>
        <v/>
      </c>
    </row>
    <row r="26019">
      <c r="A26019" t="n">
        <v>26018</v>
      </c>
      <c r="B26019" t="inlineStr">
        <is>
          <t>x̄x̄V̅MXVIII</t>
        </is>
      </c>
      <c r="C26019">
        <f>ROMAN(26018)</f>
        <v/>
      </c>
      <c r="D26019">
        <f>IF(B26019=C26019, "YES", "WRONG")</f>
        <v/>
      </c>
    </row>
    <row r="26020">
      <c r="A26020" t="n">
        <v>26019</v>
      </c>
      <c r="B26020" t="inlineStr">
        <is>
          <t>x̄x̄V̅MXIX</t>
        </is>
      </c>
      <c r="C26020">
        <f>ROMAN(26019)</f>
        <v/>
      </c>
      <c r="D26020">
        <f>IF(B26020=C26020, "YES", "WRONG")</f>
        <v/>
      </c>
    </row>
    <row r="26021">
      <c r="A26021" t="n">
        <v>26020</v>
      </c>
      <c r="B26021" t="inlineStr">
        <is>
          <t>x̄x̄V̅MXX</t>
        </is>
      </c>
      <c r="C26021">
        <f>ROMAN(26020)</f>
        <v/>
      </c>
      <c r="D26021">
        <f>IF(B26021=C26021, "YES", "WRONG")</f>
        <v/>
      </c>
    </row>
    <row r="26022">
      <c r="A26022" t="n">
        <v>26021</v>
      </c>
      <c r="B26022" t="inlineStr">
        <is>
          <t>x̄x̄V̅MXXI</t>
        </is>
      </c>
      <c r="C26022">
        <f>ROMAN(26021)</f>
        <v/>
      </c>
      <c r="D26022">
        <f>IF(B26022=C26022, "YES", "WRONG")</f>
        <v/>
      </c>
    </row>
    <row r="26023">
      <c r="A26023" t="n">
        <v>26022</v>
      </c>
      <c r="B26023" t="inlineStr">
        <is>
          <t>x̄x̄V̅MXXII</t>
        </is>
      </c>
      <c r="C26023">
        <f>ROMAN(26022)</f>
        <v/>
      </c>
      <c r="D26023">
        <f>IF(B26023=C26023, "YES", "WRONG")</f>
        <v/>
      </c>
    </row>
    <row r="26024">
      <c r="A26024" t="n">
        <v>26023</v>
      </c>
      <c r="B26024" t="inlineStr">
        <is>
          <t>x̄x̄V̅MXXIII</t>
        </is>
      </c>
      <c r="C26024">
        <f>ROMAN(26023)</f>
        <v/>
      </c>
      <c r="D26024">
        <f>IF(B26024=C26024, "YES", "WRONG")</f>
        <v/>
      </c>
    </row>
    <row r="26025">
      <c r="A26025" t="n">
        <v>26024</v>
      </c>
      <c r="B26025" t="inlineStr">
        <is>
          <t>x̄x̄V̅MXXIV</t>
        </is>
      </c>
      <c r="C26025">
        <f>ROMAN(26024)</f>
        <v/>
      </c>
      <c r="D26025">
        <f>IF(B26025=C26025, "YES", "WRONG")</f>
        <v/>
      </c>
    </row>
    <row r="26026">
      <c r="A26026" t="n">
        <v>26025</v>
      </c>
      <c r="B26026" t="inlineStr">
        <is>
          <t>x̄x̄V̅MXXV</t>
        </is>
      </c>
      <c r="C26026">
        <f>ROMAN(26025)</f>
        <v/>
      </c>
      <c r="D26026">
        <f>IF(B26026=C26026, "YES", "WRONG")</f>
        <v/>
      </c>
    </row>
    <row r="26027">
      <c r="A26027" t="n">
        <v>26026</v>
      </c>
      <c r="B26027" t="inlineStr">
        <is>
          <t>x̄x̄V̅MXXVI</t>
        </is>
      </c>
      <c r="C26027">
        <f>ROMAN(26026)</f>
        <v/>
      </c>
      <c r="D26027">
        <f>IF(B26027=C26027, "YES", "WRONG")</f>
        <v/>
      </c>
    </row>
    <row r="26028">
      <c r="A26028" t="n">
        <v>26027</v>
      </c>
      <c r="B26028" t="inlineStr">
        <is>
          <t>x̄x̄V̅MXXVII</t>
        </is>
      </c>
      <c r="C26028">
        <f>ROMAN(26027)</f>
        <v/>
      </c>
      <c r="D26028">
        <f>IF(B26028=C26028, "YES", "WRONG")</f>
        <v/>
      </c>
    </row>
    <row r="26029">
      <c r="A26029" t="n">
        <v>26028</v>
      </c>
      <c r="B26029" t="inlineStr">
        <is>
          <t>x̄x̄V̅MXXVIII</t>
        </is>
      </c>
      <c r="C26029">
        <f>ROMAN(26028)</f>
        <v/>
      </c>
      <c r="D26029">
        <f>IF(B26029=C26029, "YES", "WRONG")</f>
        <v/>
      </c>
    </row>
    <row r="26030">
      <c r="A26030" t="n">
        <v>26029</v>
      </c>
      <c r="B26030" t="inlineStr">
        <is>
          <t>x̄x̄V̅MXXIX</t>
        </is>
      </c>
      <c r="C26030">
        <f>ROMAN(26029)</f>
        <v/>
      </c>
      <c r="D26030">
        <f>IF(B26030=C26030, "YES", "WRONG")</f>
        <v/>
      </c>
    </row>
    <row r="26031">
      <c r="A26031" t="n">
        <v>26030</v>
      </c>
      <c r="B26031" t="inlineStr">
        <is>
          <t>x̄x̄V̅MXXX</t>
        </is>
      </c>
      <c r="C26031">
        <f>ROMAN(26030)</f>
        <v/>
      </c>
      <c r="D26031">
        <f>IF(B26031=C26031, "YES", "WRONG")</f>
        <v/>
      </c>
    </row>
    <row r="26032">
      <c r="A26032" t="n">
        <v>26031</v>
      </c>
      <c r="B26032" t="inlineStr">
        <is>
          <t>x̄x̄V̅MXXXI</t>
        </is>
      </c>
      <c r="C26032">
        <f>ROMAN(26031)</f>
        <v/>
      </c>
      <c r="D26032">
        <f>IF(B26032=C26032, "YES", "WRONG")</f>
        <v/>
      </c>
    </row>
    <row r="26033">
      <c r="A26033" t="n">
        <v>26032</v>
      </c>
      <c r="B26033" t="inlineStr">
        <is>
          <t>x̄x̄V̅MXXXII</t>
        </is>
      </c>
      <c r="C26033">
        <f>ROMAN(26032)</f>
        <v/>
      </c>
      <c r="D26033">
        <f>IF(B26033=C26033, "YES", "WRONG")</f>
        <v/>
      </c>
    </row>
    <row r="26034">
      <c r="A26034" t="n">
        <v>26033</v>
      </c>
      <c r="B26034" t="inlineStr">
        <is>
          <t>x̄x̄V̅MXXXIII</t>
        </is>
      </c>
      <c r="C26034">
        <f>ROMAN(26033)</f>
        <v/>
      </c>
      <c r="D26034">
        <f>IF(B26034=C26034, "YES", "WRONG")</f>
        <v/>
      </c>
    </row>
    <row r="26035">
      <c r="A26035" t="n">
        <v>26034</v>
      </c>
      <c r="B26035" t="inlineStr">
        <is>
          <t>x̄x̄V̅MXXXIV</t>
        </is>
      </c>
      <c r="C26035">
        <f>ROMAN(26034)</f>
        <v/>
      </c>
      <c r="D26035">
        <f>IF(B26035=C26035, "YES", "WRONG")</f>
        <v/>
      </c>
    </row>
    <row r="26036">
      <c r="A26036" t="n">
        <v>26035</v>
      </c>
      <c r="B26036" t="inlineStr">
        <is>
          <t>x̄x̄V̅MXXXV</t>
        </is>
      </c>
      <c r="C26036">
        <f>ROMAN(26035)</f>
        <v/>
      </c>
      <c r="D26036">
        <f>IF(B26036=C26036, "YES", "WRONG")</f>
        <v/>
      </c>
    </row>
    <row r="26037">
      <c r="A26037" t="n">
        <v>26036</v>
      </c>
      <c r="B26037" t="inlineStr">
        <is>
          <t>x̄x̄V̅MXXXVI</t>
        </is>
      </c>
      <c r="C26037">
        <f>ROMAN(26036)</f>
        <v/>
      </c>
      <c r="D26037">
        <f>IF(B26037=C26037, "YES", "WRONG")</f>
        <v/>
      </c>
    </row>
    <row r="26038">
      <c r="A26038" t="n">
        <v>26037</v>
      </c>
      <c r="B26038" t="inlineStr">
        <is>
          <t>x̄x̄V̅MXXXVII</t>
        </is>
      </c>
      <c r="C26038">
        <f>ROMAN(26037)</f>
        <v/>
      </c>
      <c r="D26038">
        <f>IF(B26038=C26038, "YES", "WRONG")</f>
        <v/>
      </c>
    </row>
    <row r="26039">
      <c r="A26039" t="n">
        <v>26038</v>
      </c>
      <c r="B26039" t="inlineStr">
        <is>
          <t>x̄x̄V̅MXXXVIII</t>
        </is>
      </c>
      <c r="C26039">
        <f>ROMAN(26038)</f>
        <v/>
      </c>
      <c r="D26039">
        <f>IF(B26039=C26039, "YES", "WRONG")</f>
        <v/>
      </c>
    </row>
    <row r="26040">
      <c r="A26040" t="n">
        <v>26039</v>
      </c>
      <c r="B26040" t="inlineStr">
        <is>
          <t>x̄x̄V̅MXXXIX</t>
        </is>
      </c>
      <c r="C26040">
        <f>ROMAN(26039)</f>
        <v/>
      </c>
      <c r="D26040">
        <f>IF(B26040=C26040, "YES", "WRONG")</f>
        <v/>
      </c>
    </row>
    <row r="26041">
      <c r="A26041" t="n">
        <v>26040</v>
      </c>
      <c r="B26041" t="inlineStr">
        <is>
          <t>x̄x̄V̅MXL</t>
        </is>
      </c>
      <c r="C26041">
        <f>ROMAN(26040)</f>
        <v/>
      </c>
      <c r="D26041">
        <f>IF(B26041=C26041, "YES", "WRONG")</f>
        <v/>
      </c>
    </row>
    <row r="26042">
      <c r="A26042" t="n">
        <v>26041</v>
      </c>
      <c r="B26042" t="inlineStr">
        <is>
          <t>x̄x̄V̅MXLI</t>
        </is>
      </c>
      <c r="C26042">
        <f>ROMAN(26041)</f>
        <v/>
      </c>
      <c r="D26042">
        <f>IF(B26042=C26042, "YES", "WRONG")</f>
        <v/>
      </c>
    </row>
    <row r="26043">
      <c r="A26043" t="n">
        <v>26042</v>
      </c>
      <c r="B26043" t="inlineStr">
        <is>
          <t>x̄x̄V̅MXLII</t>
        </is>
      </c>
      <c r="C26043">
        <f>ROMAN(26042)</f>
        <v/>
      </c>
      <c r="D26043">
        <f>IF(B26043=C26043, "YES", "WRONG")</f>
        <v/>
      </c>
    </row>
    <row r="26044">
      <c r="A26044" t="n">
        <v>26043</v>
      </c>
      <c r="B26044" t="inlineStr">
        <is>
          <t>x̄x̄V̅MXLIII</t>
        </is>
      </c>
      <c r="C26044">
        <f>ROMAN(26043)</f>
        <v/>
      </c>
      <c r="D26044">
        <f>IF(B26044=C26044, "YES", "WRONG")</f>
        <v/>
      </c>
    </row>
    <row r="26045">
      <c r="A26045" t="n">
        <v>26044</v>
      </c>
      <c r="B26045" t="inlineStr">
        <is>
          <t>x̄x̄V̅MXLIV</t>
        </is>
      </c>
      <c r="C26045">
        <f>ROMAN(26044)</f>
        <v/>
      </c>
      <c r="D26045">
        <f>IF(B26045=C26045, "YES", "WRONG")</f>
        <v/>
      </c>
    </row>
    <row r="26046">
      <c r="A26046" t="n">
        <v>26045</v>
      </c>
      <c r="B26046" t="inlineStr">
        <is>
          <t>x̄x̄V̅MXLV</t>
        </is>
      </c>
      <c r="C26046">
        <f>ROMAN(26045)</f>
        <v/>
      </c>
      <c r="D26046">
        <f>IF(B26046=C26046, "YES", "WRONG")</f>
        <v/>
      </c>
    </row>
    <row r="26047">
      <c r="A26047" t="n">
        <v>26046</v>
      </c>
      <c r="B26047" t="inlineStr">
        <is>
          <t>x̄x̄V̅MXLVI</t>
        </is>
      </c>
      <c r="C26047">
        <f>ROMAN(26046)</f>
        <v/>
      </c>
      <c r="D26047">
        <f>IF(B26047=C26047, "YES", "WRONG")</f>
        <v/>
      </c>
    </row>
    <row r="26048">
      <c r="A26048" t="n">
        <v>26047</v>
      </c>
      <c r="B26048" t="inlineStr">
        <is>
          <t>x̄x̄V̅MXLVII</t>
        </is>
      </c>
      <c r="C26048">
        <f>ROMAN(26047)</f>
        <v/>
      </c>
      <c r="D26048">
        <f>IF(B26048=C26048, "YES", "WRONG")</f>
        <v/>
      </c>
    </row>
    <row r="26049">
      <c r="A26049" t="n">
        <v>26048</v>
      </c>
      <c r="B26049" t="inlineStr">
        <is>
          <t>x̄x̄V̅MXLVIII</t>
        </is>
      </c>
      <c r="C26049">
        <f>ROMAN(26048)</f>
        <v/>
      </c>
      <c r="D26049">
        <f>IF(B26049=C26049, "YES", "WRONG")</f>
        <v/>
      </c>
    </row>
    <row r="26050">
      <c r="A26050" t="n">
        <v>26049</v>
      </c>
      <c r="B26050" t="inlineStr">
        <is>
          <t>x̄x̄V̅MXLIX</t>
        </is>
      </c>
      <c r="C26050">
        <f>ROMAN(26049)</f>
        <v/>
      </c>
      <c r="D26050">
        <f>IF(B26050=C26050, "YES", "WRONG")</f>
        <v/>
      </c>
    </row>
    <row r="26051">
      <c r="A26051" t="n">
        <v>26050</v>
      </c>
      <c r="B26051" t="inlineStr">
        <is>
          <t>x̄x̄V̅ML</t>
        </is>
      </c>
      <c r="C26051">
        <f>ROMAN(26050)</f>
        <v/>
      </c>
      <c r="D26051">
        <f>IF(B26051=C26051, "YES", "WRONG")</f>
        <v/>
      </c>
    </row>
    <row r="26052">
      <c r="A26052" t="n">
        <v>26051</v>
      </c>
      <c r="B26052" t="inlineStr">
        <is>
          <t>x̄x̄V̅MLI</t>
        </is>
      </c>
      <c r="C26052">
        <f>ROMAN(26051)</f>
        <v/>
      </c>
      <c r="D26052">
        <f>IF(B26052=C26052, "YES", "WRONG")</f>
        <v/>
      </c>
    </row>
    <row r="26053">
      <c r="A26053" t="n">
        <v>26052</v>
      </c>
      <c r="B26053" t="inlineStr">
        <is>
          <t>x̄x̄V̅MLII</t>
        </is>
      </c>
      <c r="C26053">
        <f>ROMAN(26052)</f>
        <v/>
      </c>
      <c r="D26053">
        <f>IF(B26053=C26053, "YES", "WRONG")</f>
        <v/>
      </c>
    </row>
    <row r="26054">
      <c r="A26054" t="n">
        <v>26053</v>
      </c>
      <c r="B26054" t="inlineStr">
        <is>
          <t>x̄x̄V̅MLIII</t>
        </is>
      </c>
      <c r="C26054">
        <f>ROMAN(26053)</f>
        <v/>
      </c>
      <c r="D26054">
        <f>IF(B26054=C26054, "YES", "WRONG")</f>
        <v/>
      </c>
    </row>
    <row r="26055">
      <c r="A26055" t="n">
        <v>26054</v>
      </c>
      <c r="B26055" t="inlineStr">
        <is>
          <t>x̄x̄V̅MLIV</t>
        </is>
      </c>
      <c r="C26055">
        <f>ROMAN(26054)</f>
        <v/>
      </c>
      <c r="D26055">
        <f>IF(B26055=C26055, "YES", "WRONG")</f>
        <v/>
      </c>
    </row>
    <row r="26056">
      <c r="A26056" t="n">
        <v>26055</v>
      </c>
      <c r="B26056" t="inlineStr">
        <is>
          <t>x̄x̄V̅MLV</t>
        </is>
      </c>
      <c r="C26056">
        <f>ROMAN(26055)</f>
        <v/>
      </c>
      <c r="D26056">
        <f>IF(B26056=C26056, "YES", "WRONG")</f>
        <v/>
      </c>
    </row>
    <row r="26057">
      <c r="A26057" t="n">
        <v>26056</v>
      </c>
      <c r="B26057" t="inlineStr">
        <is>
          <t>x̄x̄V̅MLVI</t>
        </is>
      </c>
      <c r="C26057">
        <f>ROMAN(26056)</f>
        <v/>
      </c>
      <c r="D26057">
        <f>IF(B26057=C26057, "YES", "WRONG")</f>
        <v/>
      </c>
    </row>
    <row r="26058">
      <c r="A26058" t="n">
        <v>26057</v>
      </c>
      <c r="B26058" t="inlineStr">
        <is>
          <t>x̄x̄V̅MLVII</t>
        </is>
      </c>
      <c r="C26058">
        <f>ROMAN(26057)</f>
        <v/>
      </c>
      <c r="D26058">
        <f>IF(B26058=C26058, "YES", "WRONG")</f>
        <v/>
      </c>
    </row>
    <row r="26059">
      <c r="A26059" t="n">
        <v>26058</v>
      </c>
      <c r="B26059" t="inlineStr">
        <is>
          <t>x̄x̄V̅MLVIII</t>
        </is>
      </c>
      <c r="C26059">
        <f>ROMAN(26058)</f>
        <v/>
      </c>
      <c r="D26059">
        <f>IF(B26059=C26059, "YES", "WRONG")</f>
        <v/>
      </c>
    </row>
    <row r="26060">
      <c r="A26060" t="n">
        <v>26059</v>
      </c>
      <c r="B26060" t="inlineStr">
        <is>
          <t>x̄x̄V̅MLIX</t>
        </is>
      </c>
      <c r="C26060">
        <f>ROMAN(26059)</f>
        <v/>
      </c>
      <c r="D26060">
        <f>IF(B26060=C26060, "YES", "WRONG")</f>
        <v/>
      </c>
    </row>
    <row r="26061">
      <c r="A26061" t="n">
        <v>26060</v>
      </c>
      <c r="B26061" t="inlineStr">
        <is>
          <t>x̄x̄V̅MLX</t>
        </is>
      </c>
      <c r="C26061">
        <f>ROMAN(26060)</f>
        <v/>
      </c>
      <c r="D26061">
        <f>IF(B26061=C26061, "YES", "WRONG")</f>
        <v/>
      </c>
    </row>
    <row r="26062">
      <c r="A26062" t="n">
        <v>26061</v>
      </c>
      <c r="B26062" t="inlineStr">
        <is>
          <t>x̄x̄V̅MLXI</t>
        </is>
      </c>
      <c r="C26062">
        <f>ROMAN(26061)</f>
        <v/>
      </c>
      <c r="D26062">
        <f>IF(B26062=C26062, "YES", "WRONG")</f>
        <v/>
      </c>
    </row>
    <row r="26063">
      <c r="A26063" t="n">
        <v>26062</v>
      </c>
      <c r="B26063" t="inlineStr">
        <is>
          <t>x̄x̄V̅MLXII</t>
        </is>
      </c>
      <c r="C26063">
        <f>ROMAN(26062)</f>
        <v/>
      </c>
      <c r="D26063">
        <f>IF(B26063=C26063, "YES", "WRONG")</f>
        <v/>
      </c>
    </row>
    <row r="26064">
      <c r="A26064" t="n">
        <v>26063</v>
      </c>
      <c r="B26064" t="inlineStr">
        <is>
          <t>x̄x̄V̅MLXIII</t>
        </is>
      </c>
      <c r="C26064">
        <f>ROMAN(26063)</f>
        <v/>
      </c>
      <c r="D26064">
        <f>IF(B26064=C26064, "YES", "WRONG")</f>
        <v/>
      </c>
    </row>
    <row r="26065">
      <c r="A26065" t="n">
        <v>26064</v>
      </c>
      <c r="B26065" t="inlineStr">
        <is>
          <t>x̄x̄V̅MLXIV</t>
        </is>
      </c>
      <c r="C26065">
        <f>ROMAN(26064)</f>
        <v/>
      </c>
      <c r="D26065">
        <f>IF(B26065=C26065, "YES", "WRONG")</f>
        <v/>
      </c>
    </row>
    <row r="26066">
      <c r="A26066" t="n">
        <v>26065</v>
      </c>
      <c r="B26066" t="inlineStr">
        <is>
          <t>x̄x̄V̅MLXV</t>
        </is>
      </c>
      <c r="C26066">
        <f>ROMAN(26065)</f>
        <v/>
      </c>
      <c r="D26066">
        <f>IF(B26066=C26066, "YES", "WRONG")</f>
        <v/>
      </c>
    </row>
    <row r="26067">
      <c r="A26067" t="n">
        <v>26066</v>
      </c>
      <c r="B26067" t="inlineStr">
        <is>
          <t>x̄x̄V̅MLXVI</t>
        </is>
      </c>
      <c r="C26067">
        <f>ROMAN(26066)</f>
        <v/>
      </c>
      <c r="D26067">
        <f>IF(B26067=C26067, "YES", "WRONG")</f>
        <v/>
      </c>
    </row>
    <row r="26068">
      <c r="A26068" t="n">
        <v>26067</v>
      </c>
      <c r="B26068" t="inlineStr">
        <is>
          <t>x̄x̄V̅MLXVII</t>
        </is>
      </c>
      <c r="C26068">
        <f>ROMAN(26067)</f>
        <v/>
      </c>
      <c r="D26068">
        <f>IF(B26068=C26068, "YES", "WRONG")</f>
        <v/>
      </c>
    </row>
    <row r="26069">
      <c r="A26069" t="n">
        <v>26068</v>
      </c>
      <c r="B26069" t="inlineStr">
        <is>
          <t>x̄x̄V̅MLXVIII</t>
        </is>
      </c>
      <c r="C26069">
        <f>ROMAN(26068)</f>
        <v/>
      </c>
      <c r="D26069">
        <f>IF(B26069=C26069, "YES", "WRONG")</f>
        <v/>
      </c>
    </row>
    <row r="26070">
      <c r="A26070" t="n">
        <v>26069</v>
      </c>
      <c r="B26070" t="inlineStr">
        <is>
          <t>x̄x̄V̅MLXIX</t>
        </is>
      </c>
      <c r="C26070">
        <f>ROMAN(26069)</f>
        <v/>
      </c>
      <c r="D26070">
        <f>IF(B26070=C26070, "YES", "WRONG")</f>
        <v/>
      </c>
    </row>
    <row r="26071">
      <c r="A26071" t="n">
        <v>26070</v>
      </c>
      <c r="B26071" t="inlineStr">
        <is>
          <t>x̄x̄V̅MLXX</t>
        </is>
      </c>
      <c r="C26071">
        <f>ROMAN(26070)</f>
        <v/>
      </c>
      <c r="D26071">
        <f>IF(B26071=C26071, "YES", "WRONG")</f>
        <v/>
      </c>
    </row>
    <row r="26072">
      <c r="A26072" t="n">
        <v>26071</v>
      </c>
      <c r="B26072" t="inlineStr">
        <is>
          <t>x̄x̄V̅MLXXI</t>
        </is>
      </c>
      <c r="C26072">
        <f>ROMAN(26071)</f>
        <v/>
      </c>
      <c r="D26072">
        <f>IF(B26072=C26072, "YES", "WRONG")</f>
        <v/>
      </c>
    </row>
    <row r="26073">
      <c r="A26073" t="n">
        <v>26072</v>
      </c>
      <c r="B26073" t="inlineStr">
        <is>
          <t>x̄x̄V̅MLXXII</t>
        </is>
      </c>
      <c r="C26073">
        <f>ROMAN(26072)</f>
        <v/>
      </c>
      <c r="D26073">
        <f>IF(B26073=C26073, "YES", "WRONG")</f>
        <v/>
      </c>
    </row>
    <row r="26074">
      <c r="A26074" t="n">
        <v>26073</v>
      </c>
      <c r="B26074" t="inlineStr">
        <is>
          <t>x̄x̄V̅MLXXIII</t>
        </is>
      </c>
      <c r="C26074">
        <f>ROMAN(26073)</f>
        <v/>
      </c>
      <c r="D26074">
        <f>IF(B26074=C26074, "YES", "WRONG")</f>
        <v/>
      </c>
    </row>
    <row r="26075">
      <c r="A26075" t="n">
        <v>26074</v>
      </c>
      <c r="B26075" t="inlineStr">
        <is>
          <t>x̄x̄V̅MLXXIV</t>
        </is>
      </c>
      <c r="C26075">
        <f>ROMAN(26074)</f>
        <v/>
      </c>
      <c r="D26075">
        <f>IF(B26075=C26075, "YES", "WRONG")</f>
        <v/>
      </c>
    </row>
    <row r="26076">
      <c r="A26076" t="n">
        <v>26075</v>
      </c>
      <c r="B26076" t="inlineStr">
        <is>
          <t>x̄x̄V̅MLXXV</t>
        </is>
      </c>
      <c r="C26076">
        <f>ROMAN(26075)</f>
        <v/>
      </c>
      <c r="D26076">
        <f>IF(B26076=C26076, "YES", "WRONG")</f>
        <v/>
      </c>
    </row>
    <row r="26077">
      <c r="A26077" t="n">
        <v>26076</v>
      </c>
      <c r="B26077" t="inlineStr">
        <is>
          <t>x̄x̄V̅MLXXVI</t>
        </is>
      </c>
      <c r="C26077">
        <f>ROMAN(26076)</f>
        <v/>
      </c>
      <c r="D26077">
        <f>IF(B26077=C26077, "YES", "WRONG")</f>
        <v/>
      </c>
    </row>
    <row r="26078">
      <c r="A26078" t="n">
        <v>26077</v>
      </c>
      <c r="B26078" t="inlineStr">
        <is>
          <t>x̄x̄V̅MLXXVII</t>
        </is>
      </c>
      <c r="C26078">
        <f>ROMAN(26077)</f>
        <v/>
      </c>
      <c r="D26078">
        <f>IF(B26078=C26078, "YES", "WRONG")</f>
        <v/>
      </c>
    </row>
    <row r="26079">
      <c r="A26079" t="n">
        <v>26078</v>
      </c>
      <c r="B26079" t="inlineStr">
        <is>
          <t>x̄x̄V̅MLXXVIII</t>
        </is>
      </c>
      <c r="C26079">
        <f>ROMAN(26078)</f>
        <v/>
      </c>
      <c r="D26079">
        <f>IF(B26079=C26079, "YES", "WRONG")</f>
        <v/>
      </c>
    </row>
    <row r="26080">
      <c r="A26080" t="n">
        <v>26079</v>
      </c>
      <c r="B26080" t="inlineStr">
        <is>
          <t>x̄x̄V̅MLXXIX</t>
        </is>
      </c>
      <c r="C26080">
        <f>ROMAN(26079)</f>
        <v/>
      </c>
      <c r="D26080">
        <f>IF(B26080=C26080, "YES", "WRONG")</f>
        <v/>
      </c>
    </row>
    <row r="26081">
      <c r="A26081" t="n">
        <v>26080</v>
      </c>
      <c r="B26081" t="inlineStr">
        <is>
          <t>x̄x̄V̅MLXXX</t>
        </is>
      </c>
      <c r="C26081">
        <f>ROMAN(26080)</f>
        <v/>
      </c>
      <c r="D26081">
        <f>IF(B26081=C26081, "YES", "WRONG")</f>
        <v/>
      </c>
    </row>
    <row r="26082">
      <c r="A26082" t="n">
        <v>26081</v>
      </c>
      <c r="B26082" t="inlineStr">
        <is>
          <t>x̄x̄V̅MLXXXI</t>
        </is>
      </c>
      <c r="C26082">
        <f>ROMAN(26081)</f>
        <v/>
      </c>
      <c r="D26082">
        <f>IF(B26082=C26082, "YES", "WRONG")</f>
        <v/>
      </c>
    </row>
    <row r="26083">
      <c r="A26083" t="n">
        <v>26082</v>
      </c>
      <c r="B26083" t="inlineStr">
        <is>
          <t>x̄x̄V̅MLXXXII</t>
        </is>
      </c>
      <c r="C26083">
        <f>ROMAN(26082)</f>
        <v/>
      </c>
      <c r="D26083">
        <f>IF(B26083=C26083, "YES", "WRONG")</f>
        <v/>
      </c>
    </row>
    <row r="26084">
      <c r="A26084" t="n">
        <v>26083</v>
      </c>
      <c r="B26084" t="inlineStr">
        <is>
          <t>x̄x̄V̅MLXXXIII</t>
        </is>
      </c>
      <c r="C26084">
        <f>ROMAN(26083)</f>
        <v/>
      </c>
      <c r="D26084">
        <f>IF(B26084=C26084, "YES", "WRONG")</f>
        <v/>
      </c>
    </row>
    <row r="26085">
      <c r="A26085" t="n">
        <v>26084</v>
      </c>
      <c r="B26085" t="inlineStr">
        <is>
          <t>x̄x̄V̅MLXXXIV</t>
        </is>
      </c>
      <c r="C26085">
        <f>ROMAN(26084)</f>
        <v/>
      </c>
      <c r="D26085">
        <f>IF(B26085=C26085, "YES", "WRONG")</f>
        <v/>
      </c>
    </row>
    <row r="26086">
      <c r="A26086" t="n">
        <v>26085</v>
      </c>
      <c r="B26086" t="inlineStr">
        <is>
          <t>x̄x̄V̅MLXXXV</t>
        </is>
      </c>
      <c r="C26086">
        <f>ROMAN(26085)</f>
        <v/>
      </c>
      <c r="D26086">
        <f>IF(B26086=C26086, "YES", "WRONG")</f>
        <v/>
      </c>
    </row>
    <row r="26087">
      <c r="A26087" t="n">
        <v>26086</v>
      </c>
      <c r="B26087" t="inlineStr">
        <is>
          <t>x̄x̄V̅MLXXXVI</t>
        </is>
      </c>
      <c r="C26087">
        <f>ROMAN(26086)</f>
        <v/>
      </c>
      <c r="D26087">
        <f>IF(B26087=C26087, "YES", "WRONG")</f>
        <v/>
      </c>
    </row>
    <row r="26088">
      <c r="A26088" t="n">
        <v>26087</v>
      </c>
      <c r="B26088" t="inlineStr">
        <is>
          <t>x̄x̄V̅MLXXXVII</t>
        </is>
      </c>
      <c r="C26088">
        <f>ROMAN(26087)</f>
        <v/>
      </c>
      <c r="D26088">
        <f>IF(B26088=C26088, "YES", "WRONG")</f>
        <v/>
      </c>
    </row>
    <row r="26089">
      <c r="A26089" t="n">
        <v>26088</v>
      </c>
      <c r="B26089" t="inlineStr">
        <is>
          <t>x̄x̄V̅MLXXXVIII</t>
        </is>
      </c>
      <c r="C26089">
        <f>ROMAN(26088)</f>
        <v/>
      </c>
      <c r="D26089">
        <f>IF(B26089=C26089, "YES", "WRONG")</f>
        <v/>
      </c>
    </row>
    <row r="26090">
      <c r="A26090" t="n">
        <v>26089</v>
      </c>
      <c r="B26090" t="inlineStr">
        <is>
          <t>x̄x̄V̅MLXXXIX</t>
        </is>
      </c>
      <c r="C26090">
        <f>ROMAN(26089)</f>
        <v/>
      </c>
      <c r="D26090">
        <f>IF(B26090=C26090, "YES", "WRONG")</f>
        <v/>
      </c>
    </row>
    <row r="26091">
      <c r="A26091" t="n">
        <v>26090</v>
      </c>
      <c r="B26091" t="inlineStr">
        <is>
          <t>x̄x̄V̅MXC</t>
        </is>
      </c>
      <c r="C26091">
        <f>ROMAN(26090)</f>
        <v/>
      </c>
      <c r="D26091">
        <f>IF(B26091=C26091, "YES", "WRONG")</f>
        <v/>
      </c>
    </row>
    <row r="26092">
      <c r="A26092" t="n">
        <v>26091</v>
      </c>
      <c r="B26092" t="inlineStr">
        <is>
          <t>x̄x̄V̅MXCI</t>
        </is>
      </c>
      <c r="C26092">
        <f>ROMAN(26091)</f>
        <v/>
      </c>
      <c r="D26092">
        <f>IF(B26092=C26092, "YES", "WRONG")</f>
        <v/>
      </c>
    </row>
    <row r="26093">
      <c r="A26093" t="n">
        <v>26092</v>
      </c>
      <c r="B26093" t="inlineStr">
        <is>
          <t>x̄x̄V̅MXCII</t>
        </is>
      </c>
      <c r="C26093">
        <f>ROMAN(26092)</f>
        <v/>
      </c>
      <c r="D26093">
        <f>IF(B26093=C26093, "YES", "WRONG")</f>
        <v/>
      </c>
    </row>
    <row r="26094">
      <c r="A26094" t="n">
        <v>26093</v>
      </c>
      <c r="B26094" t="inlineStr">
        <is>
          <t>x̄x̄V̅MXCIII</t>
        </is>
      </c>
      <c r="C26094">
        <f>ROMAN(26093)</f>
        <v/>
      </c>
      <c r="D26094">
        <f>IF(B26094=C26094, "YES", "WRONG")</f>
        <v/>
      </c>
    </row>
    <row r="26095">
      <c r="A26095" t="n">
        <v>26094</v>
      </c>
      <c r="B26095" t="inlineStr">
        <is>
          <t>x̄x̄V̅MXCIV</t>
        </is>
      </c>
      <c r="C26095">
        <f>ROMAN(26094)</f>
        <v/>
      </c>
      <c r="D26095">
        <f>IF(B26095=C26095, "YES", "WRONG")</f>
        <v/>
      </c>
    </row>
    <row r="26096">
      <c r="A26096" t="n">
        <v>26095</v>
      </c>
      <c r="B26096" t="inlineStr">
        <is>
          <t>x̄x̄V̅MXCV</t>
        </is>
      </c>
      <c r="C26096">
        <f>ROMAN(26095)</f>
        <v/>
      </c>
      <c r="D26096">
        <f>IF(B26096=C26096, "YES", "WRONG")</f>
        <v/>
      </c>
    </row>
    <row r="26097">
      <c r="A26097" t="n">
        <v>26096</v>
      </c>
      <c r="B26097" t="inlineStr">
        <is>
          <t>x̄x̄V̅MXCVI</t>
        </is>
      </c>
      <c r="C26097">
        <f>ROMAN(26096)</f>
        <v/>
      </c>
      <c r="D26097">
        <f>IF(B26097=C26097, "YES", "WRONG")</f>
        <v/>
      </c>
    </row>
    <row r="26098">
      <c r="A26098" t="n">
        <v>26097</v>
      </c>
      <c r="B26098" t="inlineStr">
        <is>
          <t>x̄x̄V̅MXCVII</t>
        </is>
      </c>
      <c r="C26098">
        <f>ROMAN(26097)</f>
        <v/>
      </c>
      <c r="D26098">
        <f>IF(B26098=C26098, "YES", "WRONG")</f>
        <v/>
      </c>
    </row>
    <row r="26099">
      <c r="A26099" t="n">
        <v>26098</v>
      </c>
      <c r="B26099" t="inlineStr">
        <is>
          <t>x̄x̄V̅MXCVIII</t>
        </is>
      </c>
      <c r="C26099">
        <f>ROMAN(26098)</f>
        <v/>
      </c>
      <c r="D26099">
        <f>IF(B26099=C26099, "YES", "WRONG")</f>
        <v/>
      </c>
    </row>
    <row r="26100">
      <c r="A26100" t="n">
        <v>26099</v>
      </c>
      <c r="B26100" t="inlineStr">
        <is>
          <t>x̄x̄V̅MXCIX</t>
        </is>
      </c>
      <c r="C26100">
        <f>ROMAN(26099)</f>
        <v/>
      </c>
      <c r="D26100">
        <f>IF(B26100=C26100, "YES", "WRONG")</f>
        <v/>
      </c>
    </row>
    <row r="26101">
      <c r="A26101" t="n">
        <v>26100</v>
      </c>
      <c r="B26101" t="inlineStr">
        <is>
          <t>x̄x̄V̅MC</t>
        </is>
      </c>
      <c r="C26101">
        <f>ROMAN(26100)</f>
        <v/>
      </c>
      <c r="D26101">
        <f>IF(B26101=C26101, "YES", "WRONG")</f>
        <v/>
      </c>
    </row>
    <row r="26102">
      <c r="A26102" t="n">
        <v>26101</v>
      </c>
      <c r="B26102" t="inlineStr">
        <is>
          <t>x̄x̄V̅MCI</t>
        </is>
      </c>
      <c r="C26102">
        <f>ROMAN(26101)</f>
        <v/>
      </c>
      <c r="D26102">
        <f>IF(B26102=C26102, "YES", "WRONG")</f>
        <v/>
      </c>
    </row>
    <row r="26103">
      <c r="A26103" t="n">
        <v>26102</v>
      </c>
      <c r="B26103" t="inlineStr">
        <is>
          <t>x̄x̄V̅MCII</t>
        </is>
      </c>
      <c r="C26103">
        <f>ROMAN(26102)</f>
        <v/>
      </c>
      <c r="D26103">
        <f>IF(B26103=C26103, "YES", "WRONG")</f>
        <v/>
      </c>
    </row>
    <row r="26104">
      <c r="A26104" t="n">
        <v>26103</v>
      </c>
      <c r="B26104" t="inlineStr">
        <is>
          <t>x̄x̄V̅MCIII</t>
        </is>
      </c>
      <c r="C26104">
        <f>ROMAN(26103)</f>
        <v/>
      </c>
      <c r="D26104">
        <f>IF(B26104=C26104, "YES", "WRONG")</f>
        <v/>
      </c>
    </row>
    <row r="26105">
      <c r="A26105" t="n">
        <v>26104</v>
      </c>
      <c r="B26105" t="inlineStr">
        <is>
          <t>x̄x̄V̅MCIV</t>
        </is>
      </c>
      <c r="C26105">
        <f>ROMAN(26104)</f>
        <v/>
      </c>
      <c r="D26105">
        <f>IF(B26105=C26105, "YES", "WRONG")</f>
        <v/>
      </c>
    </row>
    <row r="26106">
      <c r="A26106" t="n">
        <v>26105</v>
      </c>
      <c r="B26106" t="inlineStr">
        <is>
          <t>x̄x̄V̅MCV</t>
        </is>
      </c>
      <c r="C26106">
        <f>ROMAN(26105)</f>
        <v/>
      </c>
      <c r="D26106">
        <f>IF(B26106=C26106, "YES", "WRONG")</f>
        <v/>
      </c>
    </row>
    <row r="26107">
      <c r="A26107" t="n">
        <v>26106</v>
      </c>
      <c r="B26107" t="inlineStr">
        <is>
          <t>x̄x̄V̅MCVI</t>
        </is>
      </c>
      <c r="C26107">
        <f>ROMAN(26106)</f>
        <v/>
      </c>
      <c r="D26107">
        <f>IF(B26107=C26107, "YES", "WRONG")</f>
        <v/>
      </c>
    </row>
    <row r="26108">
      <c r="A26108" t="n">
        <v>26107</v>
      </c>
      <c r="B26108" t="inlineStr">
        <is>
          <t>x̄x̄V̅MCVII</t>
        </is>
      </c>
      <c r="C26108">
        <f>ROMAN(26107)</f>
        <v/>
      </c>
      <c r="D26108">
        <f>IF(B26108=C26108, "YES", "WRONG")</f>
        <v/>
      </c>
    </row>
    <row r="26109">
      <c r="A26109" t="n">
        <v>26108</v>
      </c>
      <c r="B26109" t="inlineStr">
        <is>
          <t>x̄x̄V̅MCVIII</t>
        </is>
      </c>
      <c r="C26109">
        <f>ROMAN(26108)</f>
        <v/>
      </c>
      <c r="D26109">
        <f>IF(B26109=C26109, "YES", "WRONG")</f>
        <v/>
      </c>
    </row>
    <row r="26110">
      <c r="A26110" t="n">
        <v>26109</v>
      </c>
      <c r="B26110" t="inlineStr">
        <is>
          <t>x̄x̄V̅MCIX</t>
        </is>
      </c>
      <c r="C26110">
        <f>ROMAN(26109)</f>
        <v/>
      </c>
      <c r="D26110">
        <f>IF(B26110=C26110, "YES", "WRONG")</f>
        <v/>
      </c>
    </row>
    <row r="26111">
      <c r="A26111" t="n">
        <v>26110</v>
      </c>
      <c r="B26111" t="inlineStr">
        <is>
          <t>x̄x̄V̅MCX</t>
        </is>
      </c>
      <c r="C26111">
        <f>ROMAN(26110)</f>
        <v/>
      </c>
      <c r="D26111">
        <f>IF(B26111=C26111, "YES", "WRONG")</f>
        <v/>
      </c>
    </row>
    <row r="26112">
      <c r="A26112" t="n">
        <v>26111</v>
      </c>
      <c r="B26112" t="inlineStr">
        <is>
          <t>x̄x̄V̅MCXI</t>
        </is>
      </c>
      <c r="C26112">
        <f>ROMAN(26111)</f>
        <v/>
      </c>
      <c r="D26112">
        <f>IF(B26112=C26112, "YES", "WRONG")</f>
        <v/>
      </c>
    </row>
    <row r="26113">
      <c r="A26113" t="n">
        <v>26112</v>
      </c>
      <c r="B26113" t="inlineStr">
        <is>
          <t>x̄x̄V̅MCXII</t>
        </is>
      </c>
      <c r="C26113">
        <f>ROMAN(26112)</f>
        <v/>
      </c>
      <c r="D26113">
        <f>IF(B26113=C26113, "YES", "WRONG")</f>
        <v/>
      </c>
    </row>
    <row r="26114">
      <c r="A26114" t="n">
        <v>26113</v>
      </c>
      <c r="B26114" t="inlineStr">
        <is>
          <t>x̄x̄V̅MCXIII</t>
        </is>
      </c>
      <c r="C26114">
        <f>ROMAN(26113)</f>
        <v/>
      </c>
      <c r="D26114">
        <f>IF(B26114=C26114, "YES", "WRONG")</f>
        <v/>
      </c>
    </row>
    <row r="26115">
      <c r="A26115" t="n">
        <v>26114</v>
      </c>
      <c r="B26115" t="inlineStr">
        <is>
          <t>x̄x̄V̅MCXIV</t>
        </is>
      </c>
      <c r="C26115">
        <f>ROMAN(26114)</f>
        <v/>
      </c>
      <c r="D26115">
        <f>IF(B26115=C26115, "YES", "WRONG")</f>
        <v/>
      </c>
    </row>
    <row r="26116">
      <c r="A26116" t="n">
        <v>26115</v>
      </c>
      <c r="B26116" t="inlineStr">
        <is>
          <t>x̄x̄V̅MCXV</t>
        </is>
      </c>
      <c r="C26116">
        <f>ROMAN(26115)</f>
        <v/>
      </c>
      <c r="D26116">
        <f>IF(B26116=C26116, "YES", "WRONG")</f>
        <v/>
      </c>
    </row>
    <row r="26117">
      <c r="A26117" t="n">
        <v>26116</v>
      </c>
      <c r="B26117" t="inlineStr">
        <is>
          <t>x̄x̄V̅MCXVI</t>
        </is>
      </c>
      <c r="C26117">
        <f>ROMAN(26116)</f>
        <v/>
      </c>
      <c r="D26117">
        <f>IF(B26117=C26117, "YES", "WRONG")</f>
        <v/>
      </c>
    </row>
    <row r="26118">
      <c r="A26118" t="n">
        <v>26117</v>
      </c>
      <c r="B26118" t="inlineStr">
        <is>
          <t>x̄x̄V̅MCXVII</t>
        </is>
      </c>
      <c r="C26118">
        <f>ROMAN(26117)</f>
        <v/>
      </c>
      <c r="D26118">
        <f>IF(B26118=C26118, "YES", "WRONG")</f>
        <v/>
      </c>
    </row>
    <row r="26119">
      <c r="A26119" t="n">
        <v>26118</v>
      </c>
      <c r="B26119" t="inlineStr">
        <is>
          <t>x̄x̄V̅MCXVIII</t>
        </is>
      </c>
      <c r="C26119">
        <f>ROMAN(26118)</f>
        <v/>
      </c>
      <c r="D26119">
        <f>IF(B26119=C26119, "YES", "WRONG")</f>
        <v/>
      </c>
    </row>
    <row r="26120">
      <c r="A26120" t="n">
        <v>26119</v>
      </c>
      <c r="B26120" t="inlineStr">
        <is>
          <t>x̄x̄V̅MCXIX</t>
        </is>
      </c>
      <c r="C26120">
        <f>ROMAN(26119)</f>
        <v/>
      </c>
      <c r="D26120">
        <f>IF(B26120=C26120, "YES", "WRONG")</f>
        <v/>
      </c>
    </row>
    <row r="26121">
      <c r="A26121" t="n">
        <v>26120</v>
      </c>
      <c r="B26121" t="inlineStr">
        <is>
          <t>x̄x̄V̅MCXX</t>
        </is>
      </c>
      <c r="C26121">
        <f>ROMAN(26120)</f>
        <v/>
      </c>
      <c r="D26121">
        <f>IF(B26121=C26121, "YES", "WRONG")</f>
        <v/>
      </c>
    </row>
    <row r="26122">
      <c r="A26122" t="n">
        <v>26121</v>
      </c>
      <c r="B26122" t="inlineStr">
        <is>
          <t>x̄x̄V̅MCXXI</t>
        </is>
      </c>
      <c r="C26122">
        <f>ROMAN(26121)</f>
        <v/>
      </c>
      <c r="D26122">
        <f>IF(B26122=C26122, "YES", "WRONG")</f>
        <v/>
      </c>
    </row>
    <row r="26123">
      <c r="A26123" t="n">
        <v>26122</v>
      </c>
      <c r="B26123" t="inlineStr">
        <is>
          <t>x̄x̄V̅MCXXII</t>
        </is>
      </c>
      <c r="C26123">
        <f>ROMAN(26122)</f>
        <v/>
      </c>
      <c r="D26123">
        <f>IF(B26123=C26123, "YES", "WRONG")</f>
        <v/>
      </c>
    </row>
    <row r="26124">
      <c r="A26124" t="n">
        <v>26123</v>
      </c>
      <c r="B26124" t="inlineStr">
        <is>
          <t>x̄x̄V̅MCXXIII</t>
        </is>
      </c>
      <c r="C26124">
        <f>ROMAN(26123)</f>
        <v/>
      </c>
      <c r="D26124">
        <f>IF(B26124=C26124, "YES", "WRONG")</f>
        <v/>
      </c>
    </row>
    <row r="26125">
      <c r="A26125" t="n">
        <v>26124</v>
      </c>
      <c r="B26125" t="inlineStr">
        <is>
          <t>x̄x̄V̅MCXXIV</t>
        </is>
      </c>
      <c r="C26125">
        <f>ROMAN(26124)</f>
        <v/>
      </c>
      <c r="D26125">
        <f>IF(B26125=C26125, "YES", "WRONG")</f>
        <v/>
      </c>
    </row>
    <row r="26126">
      <c r="A26126" t="n">
        <v>26125</v>
      </c>
      <c r="B26126" t="inlineStr">
        <is>
          <t>x̄x̄V̅MCXXV</t>
        </is>
      </c>
      <c r="C26126">
        <f>ROMAN(26125)</f>
        <v/>
      </c>
      <c r="D26126">
        <f>IF(B26126=C26126, "YES", "WRONG")</f>
        <v/>
      </c>
    </row>
    <row r="26127">
      <c r="A26127" t="n">
        <v>26126</v>
      </c>
      <c r="B26127" t="inlineStr">
        <is>
          <t>x̄x̄V̅MCXXVI</t>
        </is>
      </c>
      <c r="C26127">
        <f>ROMAN(26126)</f>
        <v/>
      </c>
      <c r="D26127">
        <f>IF(B26127=C26127, "YES", "WRONG")</f>
        <v/>
      </c>
    </row>
    <row r="26128">
      <c r="A26128" t="n">
        <v>26127</v>
      </c>
      <c r="B26128" t="inlineStr">
        <is>
          <t>x̄x̄V̅MCXXVII</t>
        </is>
      </c>
      <c r="C26128">
        <f>ROMAN(26127)</f>
        <v/>
      </c>
      <c r="D26128">
        <f>IF(B26128=C26128, "YES", "WRONG")</f>
        <v/>
      </c>
    </row>
    <row r="26129">
      <c r="A26129" t="n">
        <v>26128</v>
      </c>
      <c r="B26129" t="inlineStr">
        <is>
          <t>x̄x̄V̅MCXXVIII</t>
        </is>
      </c>
      <c r="C26129">
        <f>ROMAN(26128)</f>
        <v/>
      </c>
      <c r="D26129">
        <f>IF(B26129=C26129, "YES", "WRONG")</f>
        <v/>
      </c>
    </row>
    <row r="26130">
      <c r="A26130" t="n">
        <v>26129</v>
      </c>
      <c r="B26130" t="inlineStr">
        <is>
          <t>x̄x̄V̅MCXXIX</t>
        </is>
      </c>
      <c r="C26130">
        <f>ROMAN(26129)</f>
        <v/>
      </c>
      <c r="D26130">
        <f>IF(B26130=C26130, "YES", "WRONG")</f>
        <v/>
      </c>
    </row>
    <row r="26131">
      <c r="A26131" t="n">
        <v>26130</v>
      </c>
      <c r="B26131" t="inlineStr">
        <is>
          <t>x̄x̄V̅MCXXX</t>
        </is>
      </c>
      <c r="C26131">
        <f>ROMAN(26130)</f>
        <v/>
      </c>
      <c r="D26131">
        <f>IF(B26131=C26131, "YES", "WRONG")</f>
        <v/>
      </c>
    </row>
    <row r="26132">
      <c r="A26132" t="n">
        <v>26131</v>
      </c>
      <c r="B26132" t="inlineStr">
        <is>
          <t>x̄x̄V̅MCXXXI</t>
        </is>
      </c>
      <c r="C26132">
        <f>ROMAN(26131)</f>
        <v/>
      </c>
      <c r="D26132">
        <f>IF(B26132=C26132, "YES", "WRONG")</f>
        <v/>
      </c>
    </row>
    <row r="26133">
      <c r="A26133" t="n">
        <v>26132</v>
      </c>
      <c r="B26133" t="inlineStr">
        <is>
          <t>x̄x̄V̅MCXXXII</t>
        </is>
      </c>
      <c r="C26133">
        <f>ROMAN(26132)</f>
        <v/>
      </c>
      <c r="D26133">
        <f>IF(B26133=C26133, "YES", "WRONG")</f>
        <v/>
      </c>
    </row>
    <row r="26134">
      <c r="A26134" t="n">
        <v>26133</v>
      </c>
      <c r="B26134" t="inlineStr">
        <is>
          <t>x̄x̄V̅MCXXXIII</t>
        </is>
      </c>
      <c r="C26134">
        <f>ROMAN(26133)</f>
        <v/>
      </c>
      <c r="D26134">
        <f>IF(B26134=C26134, "YES", "WRONG")</f>
        <v/>
      </c>
    </row>
    <row r="26135">
      <c r="A26135" t="n">
        <v>26134</v>
      </c>
      <c r="B26135" t="inlineStr">
        <is>
          <t>x̄x̄V̅MCXXXIV</t>
        </is>
      </c>
      <c r="C26135">
        <f>ROMAN(26134)</f>
        <v/>
      </c>
      <c r="D26135">
        <f>IF(B26135=C26135, "YES", "WRONG")</f>
        <v/>
      </c>
    </row>
    <row r="26136">
      <c r="A26136" t="n">
        <v>26135</v>
      </c>
      <c r="B26136" t="inlineStr">
        <is>
          <t>x̄x̄V̅MCXXXV</t>
        </is>
      </c>
      <c r="C26136">
        <f>ROMAN(26135)</f>
        <v/>
      </c>
      <c r="D26136">
        <f>IF(B26136=C26136, "YES", "WRONG")</f>
        <v/>
      </c>
    </row>
    <row r="26137">
      <c r="A26137" t="n">
        <v>26136</v>
      </c>
      <c r="B26137" t="inlineStr">
        <is>
          <t>x̄x̄V̅MCXXXVI</t>
        </is>
      </c>
      <c r="C26137">
        <f>ROMAN(26136)</f>
        <v/>
      </c>
      <c r="D26137">
        <f>IF(B26137=C26137, "YES", "WRONG")</f>
        <v/>
      </c>
    </row>
    <row r="26138">
      <c r="A26138" t="n">
        <v>26137</v>
      </c>
      <c r="B26138" t="inlineStr">
        <is>
          <t>x̄x̄V̅MCXXXVII</t>
        </is>
      </c>
      <c r="C26138">
        <f>ROMAN(26137)</f>
        <v/>
      </c>
      <c r="D26138">
        <f>IF(B26138=C26138, "YES", "WRONG")</f>
        <v/>
      </c>
    </row>
    <row r="26139">
      <c r="A26139" t="n">
        <v>26138</v>
      </c>
      <c r="B26139" t="inlineStr">
        <is>
          <t>x̄x̄V̅MCXXXVIII</t>
        </is>
      </c>
      <c r="C26139">
        <f>ROMAN(26138)</f>
        <v/>
      </c>
      <c r="D26139">
        <f>IF(B26139=C26139, "YES", "WRONG")</f>
        <v/>
      </c>
    </row>
    <row r="26140">
      <c r="A26140" t="n">
        <v>26139</v>
      </c>
      <c r="B26140" t="inlineStr">
        <is>
          <t>x̄x̄V̅MCXXXIX</t>
        </is>
      </c>
      <c r="C26140">
        <f>ROMAN(26139)</f>
        <v/>
      </c>
      <c r="D26140">
        <f>IF(B26140=C26140, "YES", "WRONG")</f>
        <v/>
      </c>
    </row>
    <row r="26141">
      <c r="A26141" t="n">
        <v>26140</v>
      </c>
      <c r="B26141" t="inlineStr">
        <is>
          <t>x̄x̄V̅MCXL</t>
        </is>
      </c>
      <c r="C26141">
        <f>ROMAN(26140)</f>
        <v/>
      </c>
      <c r="D26141">
        <f>IF(B26141=C26141, "YES", "WRONG")</f>
        <v/>
      </c>
    </row>
    <row r="26142">
      <c r="A26142" t="n">
        <v>26141</v>
      </c>
      <c r="B26142" t="inlineStr">
        <is>
          <t>x̄x̄V̅MCXLI</t>
        </is>
      </c>
      <c r="C26142">
        <f>ROMAN(26141)</f>
        <v/>
      </c>
      <c r="D26142">
        <f>IF(B26142=C26142, "YES", "WRONG")</f>
        <v/>
      </c>
    </row>
    <row r="26143">
      <c r="A26143" t="n">
        <v>26142</v>
      </c>
      <c r="B26143" t="inlineStr">
        <is>
          <t>x̄x̄V̅MCXLII</t>
        </is>
      </c>
      <c r="C26143">
        <f>ROMAN(26142)</f>
        <v/>
      </c>
      <c r="D26143">
        <f>IF(B26143=C26143, "YES", "WRONG")</f>
        <v/>
      </c>
    </row>
    <row r="26144">
      <c r="A26144" t="n">
        <v>26143</v>
      </c>
      <c r="B26144" t="inlineStr">
        <is>
          <t>x̄x̄V̅MCXLIII</t>
        </is>
      </c>
      <c r="C26144">
        <f>ROMAN(26143)</f>
        <v/>
      </c>
      <c r="D26144">
        <f>IF(B26144=C26144, "YES", "WRONG")</f>
        <v/>
      </c>
    </row>
    <row r="26145">
      <c r="A26145" t="n">
        <v>26144</v>
      </c>
      <c r="B26145" t="inlineStr">
        <is>
          <t>x̄x̄V̅MCXLIV</t>
        </is>
      </c>
      <c r="C26145">
        <f>ROMAN(26144)</f>
        <v/>
      </c>
      <c r="D26145">
        <f>IF(B26145=C26145, "YES", "WRONG")</f>
        <v/>
      </c>
    </row>
    <row r="26146">
      <c r="A26146" t="n">
        <v>26145</v>
      </c>
      <c r="B26146" t="inlineStr">
        <is>
          <t>x̄x̄V̅MCXLV</t>
        </is>
      </c>
      <c r="C26146">
        <f>ROMAN(26145)</f>
        <v/>
      </c>
      <c r="D26146">
        <f>IF(B26146=C26146, "YES", "WRONG")</f>
        <v/>
      </c>
    </row>
    <row r="26147">
      <c r="A26147" t="n">
        <v>26146</v>
      </c>
      <c r="B26147" t="inlineStr">
        <is>
          <t>x̄x̄V̅MCXLVI</t>
        </is>
      </c>
      <c r="C26147">
        <f>ROMAN(26146)</f>
        <v/>
      </c>
      <c r="D26147">
        <f>IF(B26147=C26147, "YES", "WRONG")</f>
        <v/>
      </c>
    </row>
    <row r="26148">
      <c r="A26148" t="n">
        <v>26147</v>
      </c>
      <c r="B26148" t="inlineStr">
        <is>
          <t>x̄x̄V̅MCXLVII</t>
        </is>
      </c>
      <c r="C26148">
        <f>ROMAN(26147)</f>
        <v/>
      </c>
      <c r="D26148">
        <f>IF(B26148=C26148, "YES", "WRONG")</f>
        <v/>
      </c>
    </row>
    <row r="26149">
      <c r="A26149" t="n">
        <v>26148</v>
      </c>
      <c r="B26149" t="inlineStr">
        <is>
          <t>x̄x̄V̅MCXLVIII</t>
        </is>
      </c>
      <c r="C26149">
        <f>ROMAN(26148)</f>
        <v/>
      </c>
      <c r="D26149">
        <f>IF(B26149=C26149, "YES", "WRONG")</f>
        <v/>
      </c>
    </row>
    <row r="26150">
      <c r="A26150" t="n">
        <v>26149</v>
      </c>
      <c r="B26150" t="inlineStr">
        <is>
          <t>x̄x̄V̅MCXLIX</t>
        </is>
      </c>
      <c r="C26150">
        <f>ROMAN(26149)</f>
        <v/>
      </c>
      <c r="D26150">
        <f>IF(B26150=C26150, "YES", "WRONG")</f>
        <v/>
      </c>
    </row>
    <row r="26151">
      <c r="A26151" t="n">
        <v>26150</v>
      </c>
      <c r="B26151" t="inlineStr">
        <is>
          <t>x̄x̄V̅MCL</t>
        </is>
      </c>
      <c r="C26151">
        <f>ROMAN(26150)</f>
        <v/>
      </c>
      <c r="D26151">
        <f>IF(B26151=C26151, "YES", "WRONG")</f>
        <v/>
      </c>
    </row>
    <row r="26152">
      <c r="A26152" t="n">
        <v>26151</v>
      </c>
      <c r="B26152" t="inlineStr">
        <is>
          <t>x̄x̄V̅MCLI</t>
        </is>
      </c>
      <c r="C26152">
        <f>ROMAN(26151)</f>
        <v/>
      </c>
      <c r="D26152">
        <f>IF(B26152=C26152, "YES", "WRONG")</f>
        <v/>
      </c>
    </row>
    <row r="26153">
      <c r="A26153" t="n">
        <v>26152</v>
      </c>
      <c r="B26153" t="inlineStr">
        <is>
          <t>x̄x̄V̅MCLII</t>
        </is>
      </c>
      <c r="C26153">
        <f>ROMAN(26152)</f>
        <v/>
      </c>
      <c r="D26153">
        <f>IF(B26153=C26153, "YES", "WRONG")</f>
        <v/>
      </c>
    </row>
    <row r="26154">
      <c r="A26154" t="n">
        <v>26153</v>
      </c>
      <c r="B26154" t="inlineStr">
        <is>
          <t>x̄x̄V̅MCLIII</t>
        </is>
      </c>
      <c r="C26154">
        <f>ROMAN(26153)</f>
        <v/>
      </c>
      <c r="D26154">
        <f>IF(B26154=C26154, "YES", "WRONG")</f>
        <v/>
      </c>
    </row>
    <row r="26155">
      <c r="A26155" t="n">
        <v>26154</v>
      </c>
      <c r="B26155" t="inlineStr">
        <is>
          <t>x̄x̄V̅MCLIV</t>
        </is>
      </c>
      <c r="C26155">
        <f>ROMAN(26154)</f>
        <v/>
      </c>
      <c r="D26155">
        <f>IF(B26155=C26155, "YES", "WRONG")</f>
        <v/>
      </c>
    </row>
    <row r="26156">
      <c r="A26156" t="n">
        <v>26155</v>
      </c>
      <c r="B26156" t="inlineStr">
        <is>
          <t>x̄x̄V̅MCLV</t>
        </is>
      </c>
      <c r="C26156">
        <f>ROMAN(26155)</f>
        <v/>
      </c>
      <c r="D26156">
        <f>IF(B26156=C26156, "YES", "WRONG")</f>
        <v/>
      </c>
    </row>
    <row r="26157">
      <c r="A26157" t="n">
        <v>26156</v>
      </c>
      <c r="B26157" t="inlineStr">
        <is>
          <t>x̄x̄V̅MCLVI</t>
        </is>
      </c>
      <c r="C26157">
        <f>ROMAN(26156)</f>
        <v/>
      </c>
      <c r="D26157">
        <f>IF(B26157=C26157, "YES", "WRONG")</f>
        <v/>
      </c>
    </row>
    <row r="26158">
      <c r="A26158" t="n">
        <v>26157</v>
      </c>
      <c r="B26158" t="inlineStr">
        <is>
          <t>x̄x̄V̅MCLVII</t>
        </is>
      </c>
      <c r="C26158">
        <f>ROMAN(26157)</f>
        <v/>
      </c>
      <c r="D26158">
        <f>IF(B26158=C26158, "YES", "WRONG")</f>
        <v/>
      </c>
    </row>
    <row r="26159">
      <c r="A26159" t="n">
        <v>26158</v>
      </c>
      <c r="B26159" t="inlineStr">
        <is>
          <t>x̄x̄V̅MCLVIII</t>
        </is>
      </c>
      <c r="C26159">
        <f>ROMAN(26158)</f>
        <v/>
      </c>
      <c r="D26159">
        <f>IF(B26159=C26159, "YES", "WRONG")</f>
        <v/>
      </c>
    </row>
    <row r="26160">
      <c r="A26160" t="n">
        <v>26159</v>
      </c>
      <c r="B26160" t="inlineStr">
        <is>
          <t>x̄x̄V̅MCLIX</t>
        </is>
      </c>
      <c r="C26160">
        <f>ROMAN(26159)</f>
        <v/>
      </c>
      <c r="D26160">
        <f>IF(B26160=C26160, "YES", "WRONG")</f>
        <v/>
      </c>
    </row>
    <row r="26161">
      <c r="A26161" t="n">
        <v>26160</v>
      </c>
      <c r="B26161" t="inlineStr">
        <is>
          <t>x̄x̄V̅MCLX</t>
        </is>
      </c>
      <c r="C26161">
        <f>ROMAN(26160)</f>
        <v/>
      </c>
      <c r="D26161">
        <f>IF(B26161=C26161, "YES", "WRONG")</f>
        <v/>
      </c>
    </row>
    <row r="26162">
      <c r="A26162" t="n">
        <v>26161</v>
      </c>
      <c r="B26162" t="inlineStr">
        <is>
          <t>x̄x̄V̅MCLXI</t>
        </is>
      </c>
      <c r="C26162">
        <f>ROMAN(26161)</f>
        <v/>
      </c>
      <c r="D26162">
        <f>IF(B26162=C26162, "YES", "WRONG")</f>
        <v/>
      </c>
    </row>
    <row r="26163">
      <c r="A26163" t="n">
        <v>26162</v>
      </c>
      <c r="B26163" t="inlineStr">
        <is>
          <t>x̄x̄V̅MCLXII</t>
        </is>
      </c>
      <c r="C26163">
        <f>ROMAN(26162)</f>
        <v/>
      </c>
      <c r="D26163">
        <f>IF(B26163=C26163, "YES", "WRONG")</f>
        <v/>
      </c>
    </row>
    <row r="26164">
      <c r="A26164" t="n">
        <v>26163</v>
      </c>
      <c r="B26164" t="inlineStr">
        <is>
          <t>x̄x̄V̅MCLXIII</t>
        </is>
      </c>
      <c r="C26164">
        <f>ROMAN(26163)</f>
        <v/>
      </c>
      <c r="D26164">
        <f>IF(B26164=C26164, "YES", "WRONG")</f>
        <v/>
      </c>
    </row>
    <row r="26165">
      <c r="A26165" t="n">
        <v>26164</v>
      </c>
      <c r="B26165" t="inlineStr">
        <is>
          <t>x̄x̄V̅MCLXIV</t>
        </is>
      </c>
      <c r="C26165">
        <f>ROMAN(26164)</f>
        <v/>
      </c>
      <c r="D26165">
        <f>IF(B26165=C26165, "YES", "WRONG")</f>
        <v/>
      </c>
    </row>
    <row r="26166">
      <c r="A26166" t="n">
        <v>26165</v>
      </c>
      <c r="B26166" t="inlineStr">
        <is>
          <t>x̄x̄V̅MCLXV</t>
        </is>
      </c>
      <c r="C26166">
        <f>ROMAN(26165)</f>
        <v/>
      </c>
      <c r="D26166">
        <f>IF(B26166=C26166, "YES", "WRONG")</f>
        <v/>
      </c>
    </row>
    <row r="26167">
      <c r="A26167" t="n">
        <v>26166</v>
      </c>
      <c r="B26167" t="inlineStr">
        <is>
          <t>x̄x̄V̅MCLXVI</t>
        </is>
      </c>
      <c r="C26167">
        <f>ROMAN(26166)</f>
        <v/>
      </c>
      <c r="D26167">
        <f>IF(B26167=C26167, "YES", "WRONG")</f>
        <v/>
      </c>
    </row>
    <row r="26168">
      <c r="A26168" t="n">
        <v>26167</v>
      </c>
      <c r="B26168" t="inlineStr">
        <is>
          <t>x̄x̄V̅MCLXVII</t>
        </is>
      </c>
      <c r="C26168">
        <f>ROMAN(26167)</f>
        <v/>
      </c>
      <c r="D26168">
        <f>IF(B26168=C26168, "YES", "WRONG")</f>
        <v/>
      </c>
    </row>
    <row r="26169">
      <c r="A26169" t="n">
        <v>26168</v>
      </c>
      <c r="B26169" t="inlineStr">
        <is>
          <t>x̄x̄V̅MCLXVIII</t>
        </is>
      </c>
      <c r="C26169">
        <f>ROMAN(26168)</f>
        <v/>
      </c>
      <c r="D26169">
        <f>IF(B26169=C26169, "YES", "WRONG")</f>
        <v/>
      </c>
    </row>
    <row r="26170">
      <c r="A26170" t="n">
        <v>26169</v>
      </c>
      <c r="B26170" t="inlineStr">
        <is>
          <t>x̄x̄V̅MCLXIX</t>
        </is>
      </c>
      <c r="C26170">
        <f>ROMAN(26169)</f>
        <v/>
      </c>
      <c r="D26170">
        <f>IF(B26170=C26170, "YES", "WRONG")</f>
        <v/>
      </c>
    </row>
    <row r="26171">
      <c r="A26171" t="n">
        <v>26170</v>
      </c>
      <c r="B26171" t="inlineStr">
        <is>
          <t>x̄x̄V̅MCLXX</t>
        </is>
      </c>
      <c r="C26171">
        <f>ROMAN(26170)</f>
        <v/>
      </c>
      <c r="D26171">
        <f>IF(B26171=C26171, "YES", "WRONG")</f>
        <v/>
      </c>
    </row>
    <row r="26172">
      <c r="A26172" t="n">
        <v>26171</v>
      </c>
      <c r="B26172" t="inlineStr">
        <is>
          <t>x̄x̄V̅MCLXXI</t>
        </is>
      </c>
      <c r="C26172">
        <f>ROMAN(26171)</f>
        <v/>
      </c>
      <c r="D26172">
        <f>IF(B26172=C26172, "YES", "WRONG")</f>
        <v/>
      </c>
    </row>
    <row r="26173">
      <c r="A26173" t="n">
        <v>26172</v>
      </c>
      <c r="B26173" t="inlineStr">
        <is>
          <t>x̄x̄V̅MCLXXII</t>
        </is>
      </c>
      <c r="C26173">
        <f>ROMAN(26172)</f>
        <v/>
      </c>
      <c r="D26173">
        <f>IF(B26173=C26173, "YES", "WRONG")</f>
        <v/>
      </c>
    </row>
    <row r="26174">
      <c r="A26174" t="n">
        <v>26173</v>
      </c>
      <c r="B26174" t="inlineStr">
        <is>
          <t>x̄x̄V̅MCLXXIII</t>
        </is>
      </c>
      <c r="C26174">
        <f>ROMAN(26173)</f>
        <v/>
      </c>
      <c r="D26174">
        <f>IF(B26174=C26174, "YES", "WRONG")</f>
        <v/>
      </c>
    </row>
    <row r="26175">
      <c r="A26175" t="n">
        <v>26174</v>
      </c>
      <c r="B26175" t="inlineStr">
        <is>
          <t>x̄x̄V̅MCLXXIV</t>
        </is>
      </c>
      <c r="C26175">
        <f>ROMAN(26174)</f>
        <v/>
      </c>
      <c r="D26175">
        <f>IF(B26175=C26175, "YES", "WRONG")</f>
        <v/>
      </c>
    </row>
    <row r="26176">
      <c r="A26176" t="n">
        <v>26175</v>
      </c>
      <c r="B26176" t="inlineStr">
        <is>
          <t>x̄x̄V̅MCLXXV</t>
        </is>
      </c>
      <c r="C26176">
        <f>ROMAN(26175)</f>
        <v/>
      </c>
      <c r="D26176">
        <f>IF(B26176=C26176, "YES", "WRONG")</f>
        <v/>
      </c>
    </row>
    <row r="26177">
      <c r="A26177" t="n">
        <v>26176</v>
      </c>
      <c r="B26177" t="inlineStr">
        <is>
          <t>x̄x̄V̅MCLXXVI</t>
        </is>
      </c>
      <c r="C26177">
        <f>ROMAN(26176)</f>
        <v/>
      </c>
      <c r="D26177">
        <f>IF(B26177=C26177, "YES", "WRONG")</f>
        <v/>
      </c>
    </row>
    <row r="26178">
      <c r="A26178" t="n">
        <v>26177</v>
      </c>
      <c r="B26178" t="inlineStr">
        <is>
          <t>x̄x̄V̅MCLXXVII</t>
        </is>
      </c>
      <c r="C26178">
        <f>ROMAN(26177)</f>
        <v/>
      </c>
      <c r="D26178">
        <f>IF(B26178=C26178, "YES", "WRONG")</f>
        <v/>
      </c>
    </row>
    <row r="26179">
      <c r="A26179" t="n">
        <v>26178</v>
      </c>
      <c r="B26179" t="inlineStr">
        <is>
          <t>x̄x̄V̅MCLXXVIII</t>
        </is>
      </c>
      <c r="C26179">
        <f>ROMAN(26178)</f>
        <v/>
      </c>
      <c r="D26179">
        <f>IF(B26179=C26179, "YES", "WRONG")</f>
        <v/>
      </c>
    </row>
    <row r="26180">
      <c r="A26180" t="n">
        <v>26179</v>
      </c>
      <c r="B26180" t="inlineStr">
        <is>
          <t>x̄x̄V̅MCLXXIX</t>
        </is>
      </c>
      <c r="C26180">
        <f>ROMAN(26179)</f>
        <v/>
      </c>
      <c r="D26180">
        <f>IF(B26180=C26180, "YES", "WRONG")</f>
        <v/>
      </c>
    </row>
    <row r="26181">
      <c r="A26181" t="n">
        <v>26180</v>
      </c>
      <c r="B26181" t="inlineStr">
        <is>
          <t>x̄x̄V̅MCLXXX</t>
        </is>
      </c>
      <c r="C26181">
        <f>ROMAN(26180)</f>
        <v/>
      </c>
      <c r="D26181">
        <f>IF(B26181=C26181, "YES", "WRONG")</f>
        <v/>
      </c>
    </row>
    <row r="26182">
      <c r="A26182" t="n">
        <v>26181</v>
      </c>
      <c r="B26182" t="inlineStr">
        <is>
          <t>x̄x̄V̅MCLXXXI</t>
        </is>
      </c>
      <c r="C26182">
        <f>ROMAN(26181)</f>
        <v/>
      </c>
      <c r="D26182">
        <f>IF(B26182=C26182, "YES", "WRONG")</f>
        <v/>
      </c>
    </row>
    <row r="26183">
      <c r="A26183" t="n">
        <v>26182</v>
      </c>
      <c r="B26183" t="inlineStr">
        <is>
          <t>x̄x̄V̅MCLXXXII</t>
        </is>
      </c>
      <c r="C26183">
        <f>ROMAN(26182)</f>
        <v/>
      </c>
      <c r="D26183">
        <f>IF(B26183=C26183, "YES", "WRONG")</f>
        <v/>
      </c>
    </row>
    <row r="26184">
      <c r="A26184" t="n">
        <v>26183</v>
      </c>
      <c r="B26184" t="inlineStr">
        <is>
          <t>x̄x̄V̅MCLXXXIII</t>
        </is>
      </c>
      <c r="C26184">
        <f>ROMAN(26183)</f>
        <v/>
      </c>
      <c r="D26184">
        <f>IF(B26184=C26184, "YES", "WRONG")</f>
        <v/>
      </c>
    </row>
    <row r="26185">
      <c r="A26185" t="n">
        <v>26184</v>
      </c>
      <c r="B26185" t="inlineStr">
        <is>
          <t>x̄x̄V̅MCLXXXIV</t>
        </is>
      </c>
      <c r="C26185">
        <f>ROMAN(26184)</f>
        <v/>
      </c>
      <c r="D26185">
        <f>IF(B26185=C26185, "YES", "WRONG")</f>
        <v/>
      </c>
    </row>
    <row r="26186">
      <c r="A26186" t="n">
        <v>26185</v>
      </c>
      <c r="B26186" t="inlineStr">
        <is>
          <t>x̄x̄V̅MCLXXXV</t>
        </is>
      </c>
      <c r="C26186">
        <f>ROMAN(26185)</f>
        <v/>
      </c>
      <c r="D26186">
        <f>IF(B26186=C26186, "YES", "WRONG")</f>
        <v/>
      </c>
    </row>
    <row r="26187">
      <c r="A26187" t="n">
        <v>26186</v>
      </c>
      <c r="B26187" t="inlineStr">
        <is>
          <t>x̄x̄V̅MCLXXXVI</t>
        </is>
      </c>
      <c r="C26187">
        <f>ROMAN(26186)</f>
        <v/>
      </c>
      <c r="D26187">
        <f>IF(B26187=C26187, "YES", "WRONG")</f>
        <v/>
      </c>
    </row>
    <row r="26188">
      <c r="A26188" t="n">
        <v>26187</v>
      </c>
      <c r="B26188" t="inlineStr">
        <is>
          <t>x̄x̄V̅MCLXXXVII</t>
        </is>
      </c>
      <c r="C26188">
        <f>ROMAN(26187)</f>
        <v/>
      </c>
      <c r="D26188">
        <f>IF(B26188=C26188, "YES", "WRONG")</f>
        <v/>
      </c>
    </row>
    <row r="26189">
      <c r="A26189" t="n">
        <v>26188</v>
      </c>
      <c r="B26189" t="inlineStr">
        <is>
          <t>x̄x̄V̅MCLXXXVIII</t>
        </is>
      </c>
      <c r="C26189">
        <f>ROMAN(26188)</f>
        <v/>
      </c>
      <c r="D26189">
        <f>IF(B26189=C26189, "YES", "WRONG")</f>
        <v/>
      </c>
    </row>
    <row r="26190">
      <c r="A26190" t="n">
        <v>26189</v>
      </c>
      <c r="B26190" t="inlineStr">
        <is>
          <t>x̄x̄V̅MCLXXXIX</t>
        </is>
      </c>
      <c r="C26190">
        <f>ROMAN(26189)</f>
        <v/>
      </c>
      <c r="D26190">
        <f>IF(B26190=C26190, "YES", "WRONG")</f>
        <v/>
      </c>
    </row>
    <row r="26191">
      <c r="A26191" t="n">
        <v>26190</v>
      </c>
      <c r="B26191" t="inlineStr">
        <is>
          <t>x̄x̄V̅MCXC</t>
        </is>
      </c>
      <c r="C26191">
        <f>ROMAN(26190)</f>
        <v/>
      </c>
      <c r="D26191">
        <f>IF(B26191=C26191, "YES", "WRONG")</f>
        <v/>
      </c>
    </row>
    <row r="26192">
      <c r="A26192" t="n">
        <v>26191</v>
      </c>
      <c r="B26192" t="inlineStr">
        <is>
          <t>x̄x̄V̅MCXCI</t>
        </is>
      </c>
      <c r="C26192">
        <f>ROMAN(26191)</f>
        <v/>
      </c>
      <c r="D26192">
        <f>IF(B26192=C26192, "YES", "WRONG")</f>
        <v/>
      </c>
    </row>
    <row r="26193">
      <c r="A26193" t="n">
        <v>26192</v>
      </c>
      <c r="B26193" t="inlineStr">
        <is>
          <t>x̄x̄V̅MCXCII</t>
        </is>
      </c>
      <c r="C26193">
        <f>ROMAN(26192)</f>
        <v/>
      </c>
      <c r="D26193">
        <f>IF(B26193=C26193, "YES", "WRONG")</f>
        <v/>
      </c>
    </row>
    <row r="26194">
      <c r="A26194" t="n">
        <v>26193</v>
      </c>
      <c r="B26194" t="inlineStr">
        <is>
          <t>x̄x̄V̅MCXCIII</t>
        </is>
      </c>
      <c r="C26194">
        <f>ROMAN(26193)</f>
        <v/>
      </c>
      <c r="D26194">
        <f>IF(B26194=C26194, "YES", "WRONG")</f>
        <v/>
      </c>
    </row>
    <row r="26195">
      <c r="A26195" t="n">
        <v>26194</v>
      </c>
      <c r="B26195" t="inlineStr">
        <is>
          <t>x̄x̄V̅MCXCIV</t>
        </is>
      </c>
      <c r="C26195">
        <f>ROMAN(26194)</f>
        <v/>
      </c>
      <c r="D26195">
        <f>IF(B26195=C26195, "YES", "WRONG")</f>
        <v/>
      </c>
    </row>
    <row r="26196">
      <c r="A26196" t="n">
        <v>26195</v>
      </c>
      <c r="B26196" t="inlineStr">
        <is>
          <t>x̄x̄V̅MCXCV</t>
        </is>
      </c>
      <c r="C26196">
        <f>ROMAN(26195)</f>
        <v/>
      </c>
      <c r="D26196">
        <f>IF(B26196=C26196, "YES", "WRONG")</f>
        <v/>
      </c>
    </row>
    <row r="26197">
      <c r="A26197" t="n">
        <v>26196</v>
      </c>
      <c r="B26197" t="inlineStr">
        <is>
          <t>x̄x̄V̅MCXCVI</t>
        </is>
      </c>
      <c r="C26197">
        <f>ROMAN(26196)</f>
        <v/>
      </c>
      <c r="D26197">
        <f>IF(B26197=C26197, "YES", "WRONG")</f>
        <v/>
      </c>
    </row>
    <row r="26198">
      <c r="A26198" t="n">
        <v>26197</v>
      </c>
      <c r="B26198" t="inlineStr">
        <is>
          <t>x̄x̄V̅MCXCVII</t>
        </is>
      </c>
      <c r="C26198">
        <f>ROMAN(26197)</f>
        <v/>
      </c>
      <c r="D26198">
        <f>IF(B26198=C26198, "YES", "WRONG")</f>
        <v/>
      </c>
    </row>
    <row r="26199">
      <c r="A26199" t="n">
        <v>26198</v>
      </c>
      <c r="B26199" t="inlineStr">
        <is>
          <t>x̄x̄V̅MCXCVIII</t>
        </is>
      </c>
      <c r="C26199">
        <f>ROMAN(26198)</f>
        <v/>
      </c>
      <c r="D26199">
        <f>IF(B26199=C26199, "YES", "WRONG")</f>
        <v/>
      </c>
    </row>
    <row r="26200">
      <c r="A26200" t="n">
        <v>26199</v>
      </c>
      <c r="B26200" t="inlineStr">
        <is>
          <t>x̄x̄V̅MCXCIX</t>
        </is>
      </c>
      <c r="C26200">
        <f>ROMAN(26199)</f>
        <v/>
      </c>
      <c r="D26200">
        <f>IF(B26200=C26200, "YES", "WRONG")</f>
        <v/>
      </c>
    </row>
    <row r="26201">
      <c r="A26201" t="n">
        <v>26200</v>
      </c>
      <c r="B26201" t="inlineStr">
        <is>
          <t>x̄x̄V̅MCC</t>
        </is>
      </c>
      <c r="C26201">
        <f>ROMAN(26200)</f>
        <v/>
      </c>
      <c r="D26201">
        <f>IF(B26201=C26201, "YES", "WRONG")</f>
        <v/>
      </c>
    </row>
    <row r="26202">
      <c r="A26202" t="n">
        <v>26201</v>
      </c>
      <c r="B26202" t="inlineStr">
        <is>
          <t>x̄x̄V̅MCCI</t>
        </is>
      </c>
      <c r="C26202">
        <f>ROMAN(26201)</f>
        <v/>
      </c>
      <c r="D26202">
        <f>IF(B26202=C26202, "YES", "WRONG")</f>
        <v/>
      </c>
    </row>
    <row r="26203">
      <c r="A26203" t="n">
        <v>26202</v>
      </c>
      <c r="B26203" t="inlineStr">
        <is>
          <t>x̄x̄V̅MCCII</t>
        </is>
      </c>
      <c r="C26203">
        <f>ROMAN(26202)</f>
        <v/>
      </c>
      <c r="D26203">
        <f>IF(B26203=C26203, "YES", "WRONG")</f>
        <v/>
      </c>
    </row>
    <row r="26204">
      <c r="A26204" t="n">
        <v>26203</v>
      </c>
      <c r="B26204" t="inlineStr">
        <is>
          <t>x̄x̄V̅MCCIII</t>
        </is>
      </c>
      <c r="C26204">
        <f>ROMAN(26203)</f>
        <v/>
      </c>
      <c r="D26204">
        <f>IF(B26204=C26204, "YES", "WRONG")</f>
        <v/>
      </c>
    </row>
    <row r="26205">
      <c r="A26205" t="n">
        <v>26204</v>
      </c>
      <c r="B26205" t="inlineStr">
        <is>
          <t>x̄x̄V̅MCCIV</t>
        </is>
      </c>
      <c r="C26205">
        <f>ROMAN(26204)</f>
        <v/>
      </c>
      <c r="D26205">
        <f>IF(B26205=C26205, "YES", "WRONG")</f>
        <v/>
      </c>
    </row>
    <row r="26206">
      <c r="A26206" t="n">
        <v>26205</v>
      </c>
      <c r="B26206" t="inlineStr">
        <is>
          <t>x̄x̄V̅MCCV</t>
        </is>
      </c>
      <c r="C26206">
        <f>ROMAN(26205)</f>
        <v/>
      </c>
      <c r="D26206">
        <f>IF(B26206=C26206, "YES", "WRONG")</f>
        <v/>
      </c>
    </row>
    <row r="26207">
      <c r="A26207" t="n">
        <v>26206</v>
      </c>
      <c r="B26207" t="inlineStr">
        <is>
          <t>x̄x̄V̅MCCVI</t>
        </is>
      </c>
      <c r="C26207">
        <f>ROMAN(26206)</f>
        <v/>
      </c>
      <c r="D26207">
        <f>IF(B26207=C26207, "YES", "WRONG")</f>
        <v/>
      </c>
    </row>
    <row r="26208">
      <c r="A26208" t="n">
        <v>26207</v>
      </c>
      <c r="B26208" t="inlineStr">
        <is>
          <t>x̄x̄V̅MCCVII</t>
        </is>
      </c>
      <c r="C26208">
        <f>ROMAN(26207)</f>
        <v/>
      </c>
      <c r="D26208">
        <f>IF(B26208=C26208, "YES", "WRONG")</f>
        <v/>
      </c>
    </row>
    <row r="26209">
      <c r="A26209" t="n">
        <v>26208</v>
      </c>
      <c r="B26209" t="inlineStr">
        <is>
          <t>x̄x̄V̅MCCVIII</t>
        </is>
      </c>
      <c r="C26209">
        <f>ROMAN(26208)</f>
        <v/>
      </c>
      <c r="D26209">
        <f>IF(B26209=C26209, "YES", "WRONG")</f>
        <v/>
      </c>
    </row>
    <row r="26210">
      <c r="A26210" t="n">
        <v>26209</v>
      </c>
      <c r="B26210" t="inlineStr">
        <is>
          <t>x̄x̄V̅MCCIX</t>
        </is>
      </c>
      <c r="C26210">
        <f>ROMAN(26209)</f>
        <v/>
      </c>
      <c r="D26210">
        <f>IF(B26210=C26210, "YES", "WRONG")</f>
        <v/>
      </c>
    </row>
    <row r="26211">
      <c r="A26211" t="n">
        <v>26210</v>
      </c>
      <c r="B26211" t="inlineStr">
        <is>
          <t>x̄x̄V̅MCCX</t>
        </is>
      </c>
      <c r="C26211">
        <f>ROMAN(26210)</f>
        <v/>
      </c>
      <c r="D26211">
        <f>IF(B26211=C26211, "YES", "WRONG")</f>
        <v/>
      </c>
    </row>
    <row r="26212">
      <c r="A26212" t="n">
        <v>26211</v>
      </c>
      <c r="B26212" t="inlineStr">
        <is>
          <t>x̄x̄V̅MCCXI</t>
        </is>
      </c>
      <c r="C26212">
        <f>ROMAN(26211)</f>
        <v/>
      </c>
      <c r="D26212">
        <f>IF(B26212=C26212, "YES", "WRONG")</f>
        <v/>
      </c>
    </row>
    <row r="26213">
      <c r="A26213" t="n">
        <v>26212</v>
      </c>
      <c r="B26213" t="inlineStr">
        <is>
          <t>x̄x̄V̅MCCXII</t>
        </is>
      </c>
      <c r="C26213">
        <f>ROMAN(26212)</f>
        <v/>
      </c>
      <c r="D26213">
        <f>IF(B26213=C26213, "YES", "WRONG")</f>
        <v/>
      </c>
    </row>
    <row r="26214">
      <c r="A26214" t="n">
        <v>26213</v>
      </c>
      <c r="B26214" t="inlineStr">
        <is>
          <t>x̄x̄V̅MCCXIII</t>
        </is>
      </c>
      <c r="C26214">
        <f>ROMAN(26213)</f>
        <v/>
      </c>
      <c r="D26214">
        <f>IF(B26214=C26214, "YES", "WRONG")</f>
        <v/>
      </c>
    </row>
    <row r="26215">
      <c r="A26215" t="n">
        <v>26214</v>
      </c>
      <c r="B26215" t="inlineStr">
        <is>
          <t>x̄x̄V̅MCCXIV</t>
        </is>
      </c>
      <c r="C26215">
        <f>ROMAN(26214)</f>
        <v/>
      </c>
      <c r="D26215">
        <f>IF(B26215=C26215, "YES", "WRONG")</f>
        <v/>
      </c>
    </row>
    <row r="26216">
      <c r="A26216" t="n">
        <v>26215</v>
      </c>
      <c r="B26216" t="inlineStr">
        <is>
          <t>x̄x̄V̅MCCXV</t>
        </is>
      </c>
      <c r="C26216">
        <f>ROMAN(26215)</f>
        <v/>
      </c>
      <c r="D26216">
        <f>IF(B26216=C26216, "YES", "WRONG")</f>
        <v/>
      </c>
    </row>
    <row r="26217">
      <c r="A26217" t="n">
        <v>26216</v>
      </c>
      <c r="B26217" t="inlineStr">
        <is>
          <t>x̄x̄V̅MCCXVI</t>
        </is>
      </c>
      <c r="C26217">
        <f>ROMAN(26216)</f>
        <v/>
      </c>
      <c r="D26217">
        <f>IF(B26217=C26217, "YES", "WRONG")</f>
        <v/>
      </c>
    </row>
    <row r="26218">
      <c r="A26218" t="n">
        <v>26217</v>
      </c>
      <c r="B26218" t="inlineStr">
        <is>
          <t>x̄x̄V̅MCCXVII</t>
        </is>
      </c>
      <c r="C26218">
        <f>ROMAN(26217)</f>
        <v/>
      </c>
      <c r="D26218">
        <f>IF(B26218=C26218, "YES", "WRONG")</f>
        <v/>
      </c>
    </row>
    <row r="26219">
      <c r="A26219" t="n">
        <v>26218</v>
      </c>
      <c r="B26219" t="inlineStr">
        <is>
          <t>x̄x̄V̅MCCXVIII</t>
        </is>
      </c>
      <c r="C26219">
        <f>ROMAN(26218)</f>
        <v/>
      </c>
      <c r="D26219">
        <f>IF(B26219=C26219, "YES", "WRONG")</f>
        <v/>
      </c>
    </row>
    <row r="26220">
      <c r="A26220" t="n">
        <v>26219</v>
      </c>
      <c r="B26220" t="inlineStr">
        <is>
          <t>x̄x̄V̅MCCXIX</t>
        </is>
      </c>
      <c r="C26220">
        <f>ROMAN(26219)</f>
        <v/>
      </c>
      <c r="D26220">
        <f>IF(B26220=C26220, "YES", "WRONG")</f>
        <v/>
      </c>
    </row>
    <row r="26221">
      <c r="A26221" t="n">
        <v>26220</v>
      </c>
      <c r="B26221" t="inlineStr">
        <is>
          <t>x̄x̄V̅MCCXX</t>
        </is>
      </c>
      <c r="C26221">
        <f>ROMAN(26220)</f>
        <v/>
      </c>
      <c r="D26221">
        <f>IF(B26221=C26221, "YES", "WRONG")</f>
        <v/>
      </c>
    </row>
    <row r="26222">
      <c r="A26222" t="n">
        <v>26221</v>
      </c>
      <c r="B26222" t="inlineStr">
        <is>
          <t>x̄x̄V̅MCCXXI</t>
        </is>
      </c>
      <c r="C26222">
        <f>ROMAN(26221)</f>
        <v/>
      </c>
      <c r="D26222">
        <f>IF(B26222=C26222, "YES", "WRONG")</f>
        <v/>
      </c>
    </row>
    <row r="26223">
      <c r="A26223" t="n">
        <v>26222</v>
      </c>
      <c r="B26223" t="inlineStr">
        <is>
          <t>x̄x̄V̅MCCXXII</t>
        </is>
      </c>
      <c r="C26223">
        <f>ROMAN(26222)</f>
        <v/>
      </c>
      <c r="D26223">
        <f>IF(B26223=C26223, "YES", "WRONG")</f>
        <v/>
      </c>
    </row>
    <row r="26224">
      <c r="A26224" t="n">
        <v>26223</v>
      </c>
      <c r="B26224" t="inlineStr">
        <is>
          <t>x̄x̄V̅MCCXXIII</t>
        </is>
      </c>
      <c r="C26224">
        <f>ROMAN(26223)</f>
        <v/>
      </c>
      <c r="D26224">
        <f>IF(B26224=C26224, "YES", "WRONG")</f>
        <v/>
      </c>
    </row>
    <row r="26225">
      <c r="A26225" t="n">
        <v>26224</v>
      </c>
      <c r="B26225" t="inlineStr">
        <is>
          <t>x̄x̄V̅MCCXXIV</t>
        </is>
      </c>
      <c r="C26225">
        <f>ROMAN(26224)</f>
        <v/>
      </c>
      <c r="D26225">
        <f>IF(B26225=C26225, "YES", "WRONG")</f>
        <v/>
      </c>
    </row>
    <row r="26226">
      <c r="A26226" t="n">
        <v>26225</v>
      </c>
      <c r="B26226" t="inlineStr">
        <is>
          <t>x̄x̄V̅MCCXXV</t>
        </is>
      </c>
      <c r="C26226">
        <f>ROMAN(26225)</f>
        <v/>
      </c>
      <c r="D26226">
        <f>IF(B26226=C26226, "YES", "WRONG")</f>
        <v/>
      </c>
    </row>
    <row r="26227">
      <c r="A26227" t="n">
        <v>26226</v>
      </c>
      <c r="B26227" t="inlineStr">
        <is>
          <t>x̄x̄V̅MCCXXVI</t>
        </is>
      </c>
      <c r="C26227">
        <f>ROMAN(26226)</f>
        <v/>
      </c>
      <c r="D26227">
        <f>IF(B26227=C26227, "YES", "WRONG")</f>
        <v/>
      </c>
    </row>
    <row r="26228">
      <c r="A26228" t="n">
        <v>26227</v>
      </c>
      <c r="B26228" t="inlineStr">
        <is>
          <t>x̄x̄V̅MCCXXVII</t>
        </is>
      </c>
      <c r="C26228">
        <f>ROMAN(26227)</f>
        <v/>
      </c>
      <c r="D26228">
        <f>IF(B26228=C26228, "YES", "WRONG")</f>
        <v/>
      </c>
    </row>
    <row r="26229">
      <c r="A26229" t="n">
        <v>26228</v>
      </c>
      <c r="B26229" t="inlineStr">
        <is>
          <t>x̄x̄V̅MCCXXVIII</t>
        </is>
      </c>
      <c r="C26229">
        <f>ROMAN(26228)</f>
        <v/>
      </c>
      <c r="D26229">
        <f>IF(B26229=C26229, "YES", "WRONG")</f>
        <v/>
      </c>
    </row>
    <row r="26230">
      <c r="A26230" t="n">
        <v>26229</v>
      </c>
      <c r="B26230" t="inlineStr">
        <is>
          <t>x̄x̄V̅MCCXXIX</t>
        </is>
      </c>
      <c r="C26230">
        <f>ROMAN(26229)</f>
        <v/>
      </c>
      <c r="D26230">
        <f>IF(B26230=C26230, "YES", "WRONG")</f>
        <v/>
      </c>
    </row>
    <row r="26231">
      <c r="A26231" t="n">
        <v>26230</v>
      </c>
      <c r="B26231" t="inlineStr">
        <is>
          <t>x̄x̄V̅MCCXXX</t>
        </is>
      </c>
      <c r="C26231">
        <f>ROMAN(26230)</f>
        <v/>
      </c>
      <c r="D26231">
        <f>IF(B26231=C26231, "YES", "WRONG")</f>
        <v/>
      </c>
    </row>
    <row r="26232">
      <c r="A26232" t="n">
        <v>26231</v>
      </c>
      <c r="B26232" t="inlineStr">
        <is>
          <t>x̄x̄V̅MCCXXXI</t>
        </is>
      </c>
      <c r="C26232">
        <f>ROMAN(26231)</f>
        <v/>
      </c>
      <c r="D26232">
        <f>IF(B26232=C26232, "YES", "WRONG")</f>
        <v/>
      </c>
    </row>
    <row r="26233">
      <c r="A26233" t="n">
        <v>26232</v>
      </c>
      <c r="B26233" t="inlineStr">
        <is>
          <t>x̄x̄V̅MCCXXXII</t>
        </is>
      </c>
      <c r="C26233">
        <f>ROMAN(26232)</f>
        <v/>
      </c>
      <c r="D26233">
        <f>IF(B26233=C26233, "YES", "WRONG")</f>
        <v/>
      </c>
    </row>
    <row r="26234">
      <c r="A26234" t="n">
        <v>26233</v>
      </c>
      <c r="B26234" t="inlineStr">
        <is>
          <t>x̄x̄V̅MCCXXXIII</t>
        </is>
      </c>
      <c r="C26234">
        <f>ROMAN(26233)</f>
        <v/>
      </c>
      <c r="D26234">
        <f>IF(B26234=C26234, "YES", "WRONG")</f>
        <v/>
      </c>
    </row>
    <row r="26235">
      <c r="A26235" t="n">
        <v>26234</v>
      </c>
      <c r="B26235" t="inlineStr">
        <is>
          <t>x̄x̄V̅MCCXXXIV</t>
        </is>
      </c>
      <c r="C26235">
        <f>ROMAN(26234)</f>
        <v/>
      </c>
      <c r="D26235">
        <f>IF(B26235=C26235, "YES", "WRONG")</f>
        <v/>
      </c>
    </row>
    <row r="26236">
      <c r="A26236" t="n">
        <v>26235</v>
      </c>
      <c r="B26236" t="inlineStr">
        <is>
          <t>x̄x̄V̅MCCXXXV</t>
        </is>
      </c>
      <c r="C26236">
        <f>ROMAN(26235)</f>
        <v/>
      </c>
      <c r="D26236">
        <f>IF(B26236=C26236, "YES", "WRONG")</f>
        <v/>
      </c>
    </row>
    <row r="26237">
      <c r="A26237" t="n">
        <v>26236</v>
      </c>
      <c r="B26237" t="inlineStr">
        <is>
          <t>x̄x̄V̅MCCXXXVI</t>
        </is>
      </c>
      <c r="C26237">
        <f>ROMAN(26236)</f>
        <v/>
      </c>
      <c r="D26237">
        <f>IF(B26237=C26237, "YES", "WRONG")</f>
        <v/>
      </c>
    </row>
    <row r="26238">
      <c r="A26238" t="n">
        <v>26237</v>
      </c>
      <c r="B26238" t="inlineStr">
        <is>
          <t>x̄x̄V̅MCCXXXVII</t>
        </is>
      </c>
      <c r="C26238">
        <f>ROMAN(26237)</f>
        <v/>
      </c>
      <c r="D26238">
        <f>IF(B26238=C26238, "YES", "WRONG")</f>
        <v/>
      </c>
    </row>
    <row r="26239">
      <c r="A26239" t="n">
        <v>26238</v>
      </c>
      <c r="B26239" t="inlineStr">
        <is>
          <t>x̄x̄V̅MCCXXXVIII</t>
        </is>
      </c>
      <c r="C26239">
        <f>ROMAN(26238)</f>
        <v/>
      </c>
      <c r="D26239">
        <f>IF(B26239=C26239, "YES", "WRONG")</f>
        <v/>
      </c>
    </row>
    <row r="26240">
      <c r="A26240" t="n">
        <v>26239</v>
      </c>
      <c r="B26240" t="inlineStr">
        <is>
          <t>x̄x̄V̅MCCXXXIX</t>
        </is>
      </c>
      <c r="C26240">
        <f>ROMAN(26239)</f>
        <v/>
      </c>
      <c r="D26240">
        <f>IF(B26240=C26240, "YES", "WRONG")</f>
        <v/>
      </c>
    </row>
    <row r="26241">
      <c r="A26241" t="n">
        <v>26240</v>
      </c>
      <c r="B26241" t="inlineStr">
        <is>
          <t>x̄x̄V̅MCCXL</t>
        </is>
      </c>
      <c r="C26241">
        <f>ROMAN(26240)</f>
        <v/>
      </c>
      <c r="D26241">
        <f>IF(B26241=C26241, "YES", "WRONG")</f>
        <v/>
      </c>
    </row>
    <row r="26242">
      <c r="A26242" t="n">
        <v>26241</v>
      </c>
      <c r="B26242" t="inlineStr">
        <is>
          <t>x̄x̄V̅MCCXLI</t>
        </is>
      </c>
      <c r="C26242">
        <f>ROMAN(26241)</f>
        <v/>
      </c>
      <c r="D26242">
        <f>IF(B26242=C26242, "YES", "WRONG")</f>
        <v/>
      </c>
    </row>
    <row r="26243">
      <c r="A26243" t="n">
        <v>26242</v>
      </c>
      <c r="B26243" t="inlineStr">
        <is>
          <t>x̄x̄V̅MCCXLII</t>
        </is>
      </c>
      <c r="C26243">
        <f>ROMAN(26242)</f>
        <v/>
      </c>
      <c r="D26243">
        <f>IF(B26243=C26243, "YES", "WRONG")</f>
        <v/>
      </c>
    </row>
    <row r="26244">
      <c r="A26244" t="n">
        <v>26243</v>
      </c>
      <c r="B26244" t="inlineStr">
        <is>
          <t>x̄x̄V̅MCCXLIII</t>
        </is>
      </c>
      <c r="C26244">
        <f>ROMAN(26243)</f>
        <v/>
      </c>
      <c r="D26244">
        <f>IF(B26244=C26244, "YES", "WRONG")</f>
        <v/>
      </c>
    </row>
    <row r="26245">
      <c r="A26245" t="n">
        <v>26244</v>
      </c>
      <c r="B26245" t="inlineStr">
        <is>
          <t>x̄x̄V̅MCCXLIV</t>
        </is>
      </c>
      <c r="C26245">
        <f>ROMAN(26244)</f>
        <v/>
      </c>
      <c r="D26245">
        <f>IF(B26245=C26245, "YES", "WRONG")</f>
        <v/>
      </c>
    </row>
    <row r="26246">
      <c r="A26246" t="n">
        <v>26245</v>
      </c>
      <c r="B26246" t="inlineStr">
        <is>
          <t>x̄x̄V̅MCCXLV</t>
        </is>
      </c>
      <c r="C26246">
        <f>ROMAN(26245)</f>
        <v/>
      </c>
      <c r="D26246">
        <f>IF(B26246=C26246, "YES", "WRONG")</f>
        <v/>
      </c>
    </row>
    <row r="26247">
      <c r="A26247" t="n">
        <v>26246</v>
      </c>
      <c r="B26247" t="inlineStr">
        <is>
          <t>x̄x̄V̅MCCXLVI</t>
        </is>
      </c>
      <c r="C26247">
        <f>ROMAN(26246)</f>
        <v/>
      </c>
      <c r="D26247">
        <f>IF(B26247=C26247, "YES", "WRONG")</f>
        <v/>
      </c>
    </row>
    <row r="26248">
      <c r="A26248" t="n">
        <v>26247</v>
      </c>
      <c r="B26248" t="inlineStr">
        <is>
          <t>x̄x̄V̅MCCXLVII</t>
        </is>
      </c>
      <c r="C26248">
        <f>ROMAN(26247)</f>
        <v/>
      </c>
      <c r="D26248">
        <f>IF(B26248=C26248, "YES", "WRONG")</f>
        <v/>
      </c>
    </row>
    <row r="26249">
      <c r="A26249" t="n">
        <v>26248</v>
      </c>
      <c r="B26249" t="inlineStr">
        <is>
          <t>x̄x̄V̅MCCXLVIII</t>
        </is>
      </c>
      <c r="C26249">
        <f>ROMAN(26248)</f>
        <v/>
      </c>
      <c r="D26249">
        <f>IF(B26249=C26249, "YES", "WRONG")</f>
        <v/>
      </c>
    </row>
    <row r="26250">
      <c r="A26250" t="n">
        <v>26249</v>
      </c>
      <c r="B26250" t="inlineStr">
        <is>
          <t>x̄x̄V̅MCCXLIX</t>
        </is>
      </c>
      <c r="C26250">
        <f>ROMAN(26249)</f>
        <v/>
      </c>
      <c r="D26250">
        <f>IF(B26250=C26250, "YES", "WRONG")</f>
        <v/>
      </c>
    </row>
    <row r="26251">
      <c r="A26251" t="n">
        <v>26250</v>
      </c>
      <c r="B26251" t="inlineStr">
        <is>
          <t>x̄x̄V̅MCCL</t>
        </is>
      </c>
      <c r="C26251">
        <f>ROMAN(26250)</f>
        <v/>
      </c>
      <c r="D26251">
        <f>IF(B26251=C26251, "YES", "WRONG")</f>
        <v/>
      </c>
    </row>
    <row r="26252">
      <c r="A26252" t="n">
        <v>26251</v>
      </c>
      <c r="B26252" t="inlineStr">
        <is>
          <t>x̄x̄V̅MCCLI</t>
        </is>
      </c>
      <c r="C26252">
        <f>ROMAN(26251)</f>
        <v/>
      </c>
      <c r="D26252">
        <f>IF(B26252=C26252, "YES", "WRONG")</f>
        <v/>
      </c>
    </row>
    <row r="26253">
      <c r="A26253" t="n">
        <v>26252</v>
      </c>
      <c r="B26253" t="inlineStr">
        <is>
          <t>x̄x̄V̅MCCLII</t>
        </is>
      </c>
      <c r="C26253">
        <f>ROMAN(26252)</f>
        <v/>
      </c>
      <c r="D26253">
        <f>IF(B26253=C26253, "YES", "WRONG")</f>
        <v/>
      </c>
    </row>
    <row r="26254">
      <c r="A26254" t="n">
        <v>26253</v>
      </c>
      <c r="B26254" t="inlineStr">
        <is>
          <t>x̄x̄V̅MCCLIII</t>
        </is>
      </c>
      <c r="C26254">
        <f>ROMAN(26253)</f>
        <v/>
      </c>
      <c r="D26254">
        <f>IF(B26254=C26254, "YES", "WRONG")</f>
        <v/>
      </c>
    </row>
    <row r="26255">
      <c r="A26255" t="n">
        <v>26254</v>
      </c>
      <c r="B26255" t="inlineStr">
        <is>
          <t>x̄x̄V̅MCCLIV</t>
        </is>
      </c>
      <c r="C26255">
        <f>ROMAN(26254)</f>
        <v/>
      </c>
      <c r="D26255">
        <f>IF(B26255=C26255, "YES", "WRONG")</f>
        <v/>
      </c>
    </row>
    <row r="26256">
      <c r="A26256" t="n">
        <v>26255</v>
      </c>
      <c r="B26256" t="inlineStr">
        <is>
          <t>x̄x̄V̅MCCLV</t>
        </is>
      </c>
      <c r="C26256">
        <f>ROMAN(26255)</f>
        <v/>
      </c>
      <c r="D26256">
        <f>IF(B26256=C26256, "YES", "WRONG")</f>
        <v/>
      </c>
    </row>
    <row r="26257">
      <c r="A26257" t="n">
        <v>26256</v>
      </c>
      <c r="B26257" t="inlineStr">
        <is>
          <t>x̄x̄V̅MCCLVI</t>
        </is>
      </c>
      <c r="C26257">
        <f>ROMAN(26256)</f>
        <v/>
      </c>
      <c r="D26257">
        <f>IF(B26257=C26257, "YES", "WRONG")</f>
        <v/>
      </c>
    </row>
    <row r="26258">
      <c r="A26258" t="n">
        <v>26257</v>
      </c>
      <c r="B26258" t="inlineStr">
        <is>
          <t>x̄x̄V̅MCCLVII</t>
        </is>
      </c>
      <c r="C26258">
        <f>ROMAN(26257)</f>
        <v/>
      </c>
      <c r="D26258">
        <f>IF(B26258=C26258, "YES", "WRONG")</f>
        <v/>
      </c>
    </row>
    <row r="26259">
      <c r="A26259" t="n">
        <v>26258</v>
      </c>
      <c r="B26259" t="inlineStr">
        <is>
          <t>x̄x̄V̅MCCLVIII</t>
        </is>
      </c>
      <c r="C26259">
        <f>ROMAN(26258)</f>
        <v/>
      </c>
      <c r="D26259">
        <f>IF(B26259=C26259, "YES", "WRONG")</f>
        <v/>
      </c>
    </row>
    <row r="26260">
      <c r="A26260" t="n">
        <v>26259</v>
      </c>
      <c r="B26260" t="inlineStr">
        <is>
          <t>x̄x̄V̅MCCLIX</t>
        </is>
      </c>
      <c r="C26260">
        <f>ROMAN(26259)</f>
        <v/>
      </c>
      <c r="D26260">
        <f>IF(B26260=C26260, "YES", "WRONG")</f>
        <v/>
      </c>
    </row>
    <row r="26261">
      <c r="A26261" t="n">
        <v>26260</v>
      </c>
      <c r="B26261" t="inlineStr">
        <is>
          <t>x̄x̄V̅MCCLX</t>
        </is>
      </c>
      <c r="C26261">
        <f>ROMAN(26260)</f>
        <v/>
      </c>
      <c r="D26261">
        <f>IF(B26261=C26261, "YES", "WRONG")</f>
        <v/>
      </c>
    </row>
    <row r="26262">
      <c r="A26262" t="n">
        <v>26261</v>
      </c>
      <c r="B26262" t="inlineStr">
        <is>
          <t>x̄x̄V̅MCCLXI</t>
        </is>
      </c>
      <c r="C26262">
        <f>ROMAN(26261)</f>
        <v/>
      </c>
      <c r="D26262">
        <f>IF(B26262=C26262, "YES", "WRONG")</f>
        <v/>
      </c>
    </row>
    <row r="26263">
      <c r="A26263" t="n">
        <v>26262</v>
      </c>
      <c r="B26263" t="inlineStr">
        <is>
          <t>x̄x̄V̅MCCLXII</t>
        </is>
      </c>
      <c r="C26263">
        <f>ROMAN(26262)</f>
        <v/>
      </c>
      <c r="D26263">
        <f>IF(B26263=C26263, "YES", "WRONG")</f>
        <v/>
      </c>
    </row>
    <row r="26264">
      <c r="A26264" t="n">
        <v>26263</v>
      </c>
      <c r="B26264" t="inlineStr">
        <is>
          <t>x̄x̄V̅MCCLXIII</t>
        </is>
      </c>
      <c r="C26264">
        <f>ROMAN(26263)</f>
        <v/>
      </c>
      <c r="D26264">
        <f>IF(B26264=C26264, "YES", "WRONG")</f>
        <v/>
      </c>
    </row>
    <row r="26265">
      <c r="A26265" t="n">
        <v>26264</v>
      </c>
      <c r="B26265" t="inlineStr">
        <is>
          <t>x̄x̄V̅MCCLXIV</t>
        </is>
      </c>
      <c r="C26265">
        <f>ROMAN(26264)</f>
        <v/>
      </c>
      <c r="D26265">
        <f>IF(B26265=C26265, "YES", "WRONG")</f>
        <v/>
      </c>
    </row>
    <row r="26266">
      <c r="A26266" t="n">
        <v>26265</v>
      </c>
      <c r="B26266" t="inlineStr">
        <is>
          <t>x̄x̄V̅MCCLXV</t>
        </is>
      </c>
      <c r="C26266">
        <f>ROMAN(26265)</f>
        <v/>
      </c>
      <c r="D26266">
        <f>IF(B26266=C26266, "YES", "WRONG")</f>
        <v/>
      </c>
    </row>
    <row r="26267">
      <c r="A26267" t="n">
        <v>26266</v>
      </c>
      <c r="B26267" t="inlineStr">
        <is>
          <t>x̄x̄V̅MCCLXVI</t>
        </is>
      </c>
      <c r="C26267">
        <f>ROMAN(26266)</f>
        <v/>
      </c>
      <c r="D26267">
        <f>IF(B26267=C26267, "YES", "WRONG")</f>
        <v/>
      </c>
    </row>
    <row r="26268">
      <c r="A26268" t="n">
        <v>26267</v>
      </c>
      <c r="B26268" t="inlineStr">
        <is>
          <t>x̄x̄V̅MCCLXVII</t>
        </is>
      </c>
      <c r="C26268">
        <f>ROMAN(26267)</f>
        <v/>
      </c>
      <c r="D26268">
        <f>IF(B26268=C26268, "YES", "WRONG")</f>
        <v/>
      </c>
    </row>
    <row r="26269">
      <c r="A26269" t="n">
        <v>26268</v>
      </c>
      <c r="B26269" t="inlineStr">
        <is>
          <t>x̄x̄V̅MCCLXVIII</t>
        </is>
      </c>
      <c r="C26269">
        <f>ROMAN(26268)</f>
        <v/>
      </c>
      <c r="D26269">
        <f>IF(B26269=C26269, "YES", "WRONG")</f>
        <v/>
      </c>
    </row>
    <row r="26270">
      <c r="A26270" t="n">
        <v>26269</v>
      </c>
      <c r="B26270" t="inlineStr">
        <is>
          <t>x̄x̄V̅MCCLXIX</t>
        </is>
      </c>
      <c r="C26270">
        <f>ROMAN(26269)</f>
        <v/>
      </c>
      <c r="D26270">
        <f>IF(B26270=C26270, "YES", "WRONG")</f>
        <v/>
      </c>
    </row>
    <row r="26271">
      <c r="A26271" t="n">
        <v>26270</v>
      </c>
      <c r="B26271" t="inlineStr">
        <is>
          <t>x̄x̄V̅MCCLXX</t>
        </is>
      </c>
      <c r="C26271">
        <f>ROMAN(26270)</f>
        <v/>
      </c>
      <c r="D26271">
        <f>IF(B26271=C26271, "YES", "WRONG")</f>
        <v/>
      </c>
    </row>
    <row r="26272">
      <c r="A26272" t="n">
        <v>26271</v>
      </c>
      <c r="B26272" t="inlineStr">
        <is>
          <t>x̄x̄V̅MCCLXXI</t>
        </is>
      </c>
      <c r="C26272">
        <f>ROMAN(26271)</f>
        <v/>
      </c>
      <c r="D26272">
        <f>IF(B26272=C26272, "YES", "WRONG")</f>
        <v/>
      </c>
    </row>
    <row r="26273">
      <c r="A26273" t="n">
        <v>26272</v>
      </c>
      <c r="B26273" t="inlineStr">
        <is>
          <t>x̄x̄V̅MCCLXXII</t>
        </is>
      </c>
      <c r="C26273">
        <f>ROMAN(26272)</f>
        <v/>
      </c>
      <c r="D26273">
        <f>IF(B26273=C26273, "YES", "WRONG")</f>
        <v/>
      </c>
    </row>
    <row r="26274">
      <c r="A26274" t="n">
        <v>26273</v>
      </c>
      <c r="B26274" t="inlineStr">
        <is>
          <t>x̄x̄V̅MCCLXXIII</t>
        </is>
      </c>
      <c r="C26274">
        <f>ROMAN(26273)</f>
        <v/>
      </c>
      <c r="D26274">
        <f>IF(B26274=C26274, "YES", "WRONG")</f>
        <v/>
      </c>
    </row>
    <row r="26275">
      <c r="A26275" t="n">
        <v>26274</v>
      </c>
      <c r="B26275" t="inlineStr">
        <is>
          <t>x̄x̄V̅MCCLXXIV</t>
        </is>
      </c>
      <c r="C26275">
        <f>ROMAN(26274)</f>
        <v/>
      </c>
      <c r="D26275">
        <f>IF(B26275=C26275, "YES", "WRONG")</f>
        <v/>
      </c>
    </row>
    <row r="26276">
      <c r="A26276" t="n">
        <v>26275</v>
      </c>
      <c r="B26276" t="inlineStr">
        <is>
          <t>x̄x̄V̅MCCLXXV</t>
        </is>
      </c>
      <c r="C26276">
        <f>ROMAN(26275)</f>
        <v/>
      </c>
      <c r="D26276">
        <f>IF(B26276=C26276, "YES", "WRONG")</f>
        <v/>
      </c>
    </row>
    <row r="26277">
      <c r="A26277" t="n">
        <v>26276</v>
      </c>
      <c r="B26277" t="inlineStr">
        <is>
          <t>x̄x̄V̅MCCLXXVI</t>
        </is>
      </c>
      <c r="C26277">
        <f>ROMAN(26276)</f>
        <v/>
      </c>
      <c r="D26277">
        <f>IF(B26277=C26277, "YES", "WRONG")</f>
        <v/>
      </c>
    </row>
    <row r="26278">
      <c r="A26278" t="n">
        <v>26277</v>
      </c>
      <c r="B26278" t="inlineStr">
        <is>
          <t>x̄x̄V̅MCCLXXVII</t>
        </is>
      </c>
      <c r="C26278">
        <f>ROMAN(26277)</f>
        <v/>
      </c>
      <c r="D26278">
        <f>IF(B26278=C26278, "YES", "WRONG")</f>
        <v/>
      </c>
    </row>
    <row r="26279">
      <c r="A26279" t="n">
        <v>26278</v>
      </c>
      <c r="B26279" t="inlineStr">
        <is>
          <t>x̄x̄V̅MCCLXXVIII</t>
        </is>
      </c>
      <c r="C26279">
        <f>ROMAN(26278)</f>
        <v/>
      </c>
      <c r="D26279">
        <f>IF(B26279=C26279, "YES", "WRONG")</f>
        <v/>
      </c>
    </row>
    <row r="26280">
      <c r="A26280" t="n">
        <v>26279</v>
      </c>
      <c r="B26280" t="inlineStr">
        <is>
          <t>x̄x̄V̅MCCLXXIX</t>
        </is>
      </c>
      <c r="C26280">
        <f>ROMAN(26279)</f>
        <v/>
      </c>
      <c r="D26280">
        <f>IF(B26280=C26280, "YES", "WRONG")</f>
        <v/>
      </c>
    </row>
    <row r="26281">
      <c r="A26281" t="n">
        <v>26280</v>
      </c>
      <c r="B26281" t="inlineStr">
        <is>
          <t>x̄x̄V̅MCCLXXX</t>
        </is>
      </c>
      <c r="C26281">
        <f>ROMAN(26280)</f>
        <v/>
      </c>
      <c r="D26281">
        <f>IF(B26281=C26281, "YES", "WRONG")</f>
        <v/>
      </c>
    </row>
    <row r="26282">
      <c r="A26282" t="n">
        <v>26281</v>
      </c>
      <c r="B26282" t="inlineStr">
        <is>
          <t>x̄x̄V̅MCCLXXXI</t>
        </is>
      </c>
      <c r="C26282">
        <f>ROMAN(26281)</f>
        <v/>
      </c>
      <c r="D26282">
        <f>IF(B26282=C26282, "YES", "WRONG")</f>
        <v/>
      </c>
    </row>
    <row r="26283">
      <c r="A26283" t="n">
        <v>26282</v>
      </c>
      <c r="B26283" t="inlineStr">
        <is>
          <t>x̄x̄V̅MCCLXXXII</t>
        </is>
      </c>
      <c r="C26283">
        <f>ROMAN(26282)</f>
        <v/>
      </c>
      <c r="D26283">
        <f>IF(B26283=C26283, "YES", "WRONG")</f>
        <v/>
      </c>
    </row>
    <row r="26284">
      <c r="A26284" t="n">
        <v>26283</v>
      </c>
      <c r="B26284" t="inlineStr">
        <is>
          <t>x̄x̄V̅MCCLXXXIII</t>
        </is>
      </c>
      <c r="C26284">
        <f>ROMAN(26283)</f>
        <v/>
      </c>
      <c r="D26284">
        <f>IF(B26284=C26284, "YES", "WRONG")</f>
        <v/>
      </c>
    </row>
    <row r="26285">
      <c r="A26285" t="n">
        <v>26284</v>
      </c>
      <c r="B26285" t="inlineStr">
        <is>
          <t>x̄x̄V̅MCCLXXXIV</t>
        </is>
      </c>
      <c r="C26285">
        <f>ROMAN(26284)</f>
        <v/>
      </c>
      <c r="D26285">
        <f>IF(B26285=C26285, "YES", "WRONG")</f>
        <v/>
      </c>
    </row>
    <row r="26286">
      <c r="A26286" t="n">
        <v>26285</v>
      </c>
      <c r="B26286" t="inlineStr">
        <is>
          <t>x̄x̄V̅MCCLXXXV</t>
        </is>
      </c>
      <c r="C26286">
        <f>ROMAN(26285)</f>
        <v/>
      </c>
      <c r="D26286">
        <f>IF(B26286=C26286, "YES", "WRONG")</f>
        <v/>
      </c>
    </row>
    <row r="26287">
      <c r="A26287" t="n">
        <v>26286</v>
      </c>
      <c r="B26287" t="inlineStr">
        <is>
          <t>x̄x̄V̅MCCLXXXVI</t>
        </is>
      </c>
      <c r="C26287">
        <f>ROMAN(26286)</f>
        <v/>
      </c>
      <c r="D26287">
        <f>IF(B26287=C26287, "YES", "WRONG")</f>
        <v/>
      </c>
    </row>
    <row r="26288">
      <c r="A26288" t="n">
        <v>26287</v>
      </c>
      <c r="B26288" t="inlineStr">
        <is>
          <t>x̄x̄V̅MCCLXXXVII</t>
        </is>
      </c>
      <c r="C26288">
        <f>ROMAN(26287)</f>
        <v/>
      </c>
      <c r="D26288">
        <f>IF(B26288=C26288, "YES", "WRONG")</f>
        <v/>
      </c>
    </row>
    <row r="26289">
      <c r="A26289" t="n">
        <v>26288</v>
      </c>
      <c r="B26289" t="inlineStr">
        <is>
          <t>x̄x̄V̅MCCLXXXVIII</t>
        </is>
      </c>
      <c r="C26289">
        <f>ROMAN(26288)</f>
        <v/>
      </c>
      <c r="D26289">
        <f>IF(B26289=C26289, "YES", "WRONG")</f>
        <v/>
      </c>
    </row>
    <row r="26290">
      <c r="A26290" t="n">
        <v>26289</v>
      </c>
      <c r="B26290" t="inlineStr">
        <is>
          <t>x̄x̄V̅MCCLXXXIX</t>
        </is>
      </c>
      <c r="C26290">
        <f>ROMAN(26289)</f>
        <v/>
      </c>
      <c r="D26290">
        <f>IF(B26290=C26290, "YES", "WRONG")</f>
        <v/>
      </c>
    </row>
    <row r="26291">
      <c r="A26291" t="n">
        <v>26290</v>
      </c>
      <c r="B26291" t="inlineStr">
        <is>
          <t>x̄x̄V̅MCCXC</t>
        </is>
      </c>
      <c r="C26291">
        <f>ROMAN(26290)</f>
        <v/>
      </c>
      <c r="D26291">
        <f>IF(B26291=C26291, "YES", "WRONG")</f>
        <v/>
      </c>
    </row>
    <row r="26292">
      <c r="A26292" t="n">
        <v>26291</v>
      </c>
      <c r="B26292" t="inlineStr">
        <is>
          <t>x̄x̄V̅MCCXCI</t>
        </is>
      </c>
      <c r="C26292">
        <f>ROMAN(26291)</f>
        <v/>
      </c>
      <c r="D26292">
        <f>IF(B26292=C26292, "YES", "WRONG")</f>
        <v/>
      </c>
    </row>
    <row r="26293">
      <c r="A26293" t="n">
        <v>26292</v>
      </c>
      <c r="B26293" t="inlineStr">
        <is>
          <t>x̄x̄V̅MCCXCII</t>
        </is>
      </c>
      <c r="C26293">
        <f>ROMAN(26292)</f>
        <v/>
      </c>
      <c r="D26293">
        <f>IF(B26293=C26293, "YES", "WRONG")</f>
        <v/>
      </c>
    </row>
    <row r="26294">
      <c r="A26294" t="n">
        <v>26293</v>
      </c>
      <c r="B26294" t="inlineStr">
        <is>
          <t>x̄x̄V̅MCCXCIII</t>
        </is>
      </c>
      <c r="C26294">
        <f>ROMAN(26293)</f>
        <v/>
      </c>
      <c r="D26294">
        <f>IF(B26294=C26294, "YES", "WRONG")</f>
        <v/>
      </c>
    </row>
    <row r="26295">
      <c r="A26295" t="n">
        <v>26294</v>
      </c>
      <c r="B26295" t="inlineStr">
        <is>
          <t>x̄x̄V̅MCCXCIV</t>
        </is>
      </c>
      <c r="C26295">
        <f>ROMAN(26294)</f>
        <v/>
      </c>
      <c r="D26295">
        <f>IF(B26295=C26295, "YES", "WRONG")</f>
        <v/>
      </c>
    </row>
    <row r="26296">
      <c r="A26296" t="n">
        <v>26295</v>
      </c>
      <c r="B26296" t="inlineStr">
        <is>
          <t>x̄x̄V̅MCCXCV</t>
        </is>
      </c>
      <c r="C26296">
        <f>ROMAN(26295)</f>
        <v/>
      </c>
      <c r="D26296">
        <f>IF(B26296=C26296, "YES", "WRONG")</f>
        <v/>
      </c>
    </row>
    <row r="26297">
      <c r="A26297" t="n">
        <v>26296</v>
      </c>
      <c r="B26297" t="inlineStr">
        <is>
          <t>x̄x̄V̅MCCXCVI</t>
        </is>
      </c>
      <c r="C26297">
        <f>ROMAN(26296)</f>
        <v/>
      </c>
      <c r="D26297">
        <f>IF(B26297=C26297, "YES", "WRONG")</f>
        <v/>
      </c>
    </row>
    <row r="26298">
      <c r="A26298" t="n">
        <v>26297</v>
      </c>
      <c r="B26298" t="inlineStr">
        <is>
          <t>x̄x̄V̅MCCXCVII</t>
        </is>
      </c>
      <c r="C26298">
        <f>ROMAN(26297)</f>
        <v/>
      </c>
      <c r="D26298">
        <f>IF(B26298=C26298, "YES", "WRONG")</f>
        <v/>
      </c>
    </row>
    <row r="26299">
      <c r="A26299" t="n">
        <v>26298</v>
      </c>
      <c r="B26299" t="inlineStr">
        <is>
          <t>x̄x̄V̅MCCXCVIII</t>
        </is>
      </c>
      <c r="C26299">
        <f>ROMAN(26298)</f>
        <v/>
      </c>
      <c r="D26299">
        <f>IF(B26299=C26299, "YES", "WRONG")</f>
        <v/>
      </c>
    </row>
    <row r="26300">
      <c r="A26300" t="n">
        <v>26299</v>
      </c>
      <c r="B26300" t="inlineStr">
        <is>
          <t>x̄x̄V̅MCCXCIX</t>
        </is>
      </c>
      <c r="C26300">
        <f>ROMAN(26299)</f>
        <v/>
      </c>
      <c r="D26300">
        <f>IF(B26300=C26300, "YES", "WRONG")</f>
        <v/>
      </c>
    </row>
    <row r="26301">
      <c r="A26301" t="n">
        <v>26300</v>
      </c>
      <c r="B26301" t="inlineStr">
        <is>
          <t>x̄x̄V̅MCCC</t>
        </is>
      </c>
      <c r="C26301">
        <f>ROMAN(26300)</f>
        <v/>
      </c>
      <c r="D26301">
        <f>IF(B26301=C26301, "YES", "WRONG")</f>
        <v/>
      </c>
    </row>
    <row r="26302">
      <c r="A26302" t="n">
        <v>26301</v>
      </c>
      <c r="B26302" t="inlineStr">
        <is>
          <t>x̄x̄V̅MCCCI</t>
        </is>
      </c>
      <c r="C26302">
        <f>ROMAN(26301)</f>
        <v/>
      </c>
      <c r="D26302">
        <f>IF(B26302=C26302, "YES", "WRONG")</f>
        <v/>
      </c>
    </row>
    <row r="26303">
      <c r="A26303" t="n">
        <v>26302</v>
      </c>
      <c r="B26303" t="inlineStr">
        <is>
          <t>x̄x̄V̅MCCCII</t>
        </is>
      </c>
      <c r="C26303">
        <f>ROMAN(26302)</f>
        <v/>
      </c>
      <c r="D26303">
        <f>IF(B26303=C26303, "YES", "WRONG")</f>
        <v/>
      </c>
    </row>
    <row r="26304">
      <c r="A26304" t="n">
        <v>26303</v>
      </c>
      <c r="B26304" t="inlineStr">
        <is>
          <t>x̄x̄V̅MCCCIII</t>
        </is>
      </c>
      <c r="C26304">
        <f>ROMAN(26303)</f>
        <v/>
      </c>
      <c r="D26304">
        <f>IF(B26304=C26304, "YES", "WRONG")</f>
        <v/>
      </c>
    </row>
    <row r="26305">
      <c r="A26305" t="n">
        <v>26304</v>
      </c>
      <c r="B26305" t="inlineStr">
        <is>
          <t>x̄x̄V̅MCCCIV</t>
        </is>
      </c>
      <c r="C26305">
        <f>ROMAN(26304)</f>
        <v/>
      </c>
      <c r="D26305">
        <f>IF(B26305=C26305, "YES", "WRONG")</f>
        <v/>
      </c>
    </row>
    <row r="26306">
      <c r="A26306" t="n">
        <v>26305</v>
      </c>
      <c r="B26306" t="inlineStr">
        <is>
          <t>x̄x̄V̅MCCCV</t>
        </is>
      </c>
      <c r="C26306">
        <f>ROMAN(26305)</f>
        <v/>
      </c>
      <c r="D26306">
        <f>IF(B26306=C26306, "YES", "WRONG")</f>
        <v/>
      </c>
    </row>
    <row r="26307">
      <c r="A26307" t="n">
        <v>26306</v>
      </c>
      <c r="B26307" t="inlineStr">
        <is>
          <t>x̄x̄V̅MCCCVI</t>
        </is>
      </c>
      <c r="C26307">
        <f>ROMAN(26306)</f>
        <v/>
      </c>
      <c r="D26307">
        <f>IF(B26307=C26307, "YES", "WRONG")</f>
        <v/>
      </c>
    </row>
    <row r="26308">
      <c r="A26308" t="n">
        <v>26307</v>
      </c>
      <c r="B26308" t="inlineStr">
        <is>
          <t>x̄x̄V̅MCCCVII</t>
        </is>
      </c>
      <c r="C26308">
        <f>ROMAN(26307)</f>
        <v/>
      </c>
      <c r="D26308">
        <f>IF(B26308=C26308, "YES", "WRONG")</f>
        <v/>
      </c>
    </row>
    <row r="26309">
      <c r="A26309" t="n">
        <v>26308</v>
      </c>
      <c r="B26309" t="inlineStr">
        <is>
          <t>x̄x̄V̅MCCCVIII</t>
        </is>
      </c>
      <c r="C26309">
        <f>ROMAN(26308)</f>
        <v/>
      </c>
      <c r="D26309">
        <f>IF(B26309=C26309, "YES", "WRONG")</f>
        <v/>
      </c>
    </row>
    <row r="26310">
      <c r="A26310" t="n">
        <v>26309</v>
      </c>
      <c r="B26310" t="inlineStr">
        <is>
          <t>x̄x̄V̅MCCCIX</t>
        </is>
      </c>
      <c r="C26310">
        <f>ROMAN(26309)</f>
        <v/>
      </c>
      <c r="D26310">
        <f>IF(B26310=C26310, "YES", "WRONG")</f>
        <v/>
      </c>
    </row>
    <row r="26311">
      <c r="A26311" t="n">
        <v>26310</v>
      </c>
      <c r="B26311" t="inlineStr">
        <is>
          <t>x̄x̄V̅MCCCX</t>
        </is>
      </c>
      <c r="C26311">
        <f>ROMAN(26310)</f>
        <v/>
      </c>
      <c r="D26311">
        <f>IF(B26311=C26311, "YES", "WRONG")</f>
        <v/>
      </c>
    </row>
    <row r="26312">
      <c r="A26312" t="n">
        <v>26311</v>
      </c>
      <c r="B26312" t="inlineStr">
        <is>
          <t>x̄x̄V̅MCCCXI</t>
        </is>
      </c>
      <c r="C26312">
        <f>ROMAN(26311)</f>
        <v/>
      </c>
      <c r="D26312">
        <f>IF(B26312=C26312, "YES", "WRONG")</f>
        <v/>
      </c>
    </row>
    <row r="26313">
      <c r="A26313" t="n">
        <v>26312</v>
      </c>
      <c r="B26313" t="inlineStr">
        <is>
          <t>x̄x̄V̅MCCCXII</t>
        </is>
      </c>
      <c r="C26313">
        <f>ROMAN(26312)</f>
        <v/>
      </c>
      <c r="D26313">
        <f>IF(B26313=C26313, "YES", "WRONG")</f>
        <v/>
      </c>
    </row>
    <row r="26314">
      <c r="A26314" t="n">
        <v>26313</v>
      </c>
      <c r="B26314" t="inlineStr">
        <is>
          <t>x̄x̄V̅MCCCXIII</t>
        </is>
      </c>
      <c r="C26314">
        <f>ROMAN(26313)</f>
        <v/>
      </c>
      <c r="D26314">
        <f>IF(B26314=C26314, "YES", "WRONG")</f>
        <v/>
      </c>
    </row>
    <row r="26315">
      <c r="A26315" t="n">
        <v>26314</v>
      </c>
      <c r="B26315" t="inlineStr">
        <is>
          <t>x̄x̄V̅MCCCXIV</t>
        </is>
      </c>
      <c r="C26315">
        <f>ROMAN(26314)</f>
        <v/>
      </c>
      <c r="D26315">
        <f>IF(B26315=C26315, "YES", "WRONG")</f>
        <v/>
      </c>
    </row>
    <row r="26316">
      <c r="A26316" t="n">
        <v>26315</v>
      </c>
      <c r="B26316" t="inlineStr">
        <is>
          <t>x̄x̄V̅MCCCXV</t>
        </is>
      </c>
      <c r="C26316">
        <f>ROMAN(26315)</f>
        <v/>
      </c>
      <c r="D26316">
        <f>IF(B26316=C26316, "YES", "WRONG")</f>
        <v/>
      </c>
    </row>
    <row r="26317">
      <c r="A26317" t="n">
        <v>26316</v>
      </c>
      <c r="B26317" t="inlineStr">
        <is>
          <t>x̄x̄V̅MCCCXVI</t>
        </is>
      </c>
      <c r="C26317">
        <f>ROMAN(26316)</f>
        <v/>
      </c>
      <c r="D26317">
        <f>IF(B26317=C26317, "YES", "WRONG")</f>
        <v/>
      </c>
    </row>
    <row r="26318">
      <c r="A26318" t="n">
        <v>26317</v>
      </c>
      <c r="B26318" t="inlineStr">
        <is>
          <t>x̄x̄V̅MCCCXVII</t>
        </is>
      </c>
      <c r="C26318">
        <f>ROMAN(26317)</f>
        <v/>
      </c>
      <c r="D26318">
        <f>IF(B26318=C26318, "YES", "WRONG")</f>
        <v/>
      </c>
    </row>
    <row r="26319">
      <c r="A26319" t="n">
        <v>26318</v>
      </c>
      <c r="B26319" t="inlineStr">
        <is>
          <t>x̄x̄V̅MCCCXVIII</t>
        </is>
      </c>
      <c r="C26319">
        <f>ROMAN(26318)</f>
        <v/>
      </c>
      <c r="D26319">
        <f>IF(B26319=C26319, "YES", "WRONG")</f>
        <v/>
      </c>
    </row>
    <row r="26320">
      <c r="A26320" t="n">
        <v>26319</v>
      </c>
      <c r="B26320" t="inlineStr">
        <is>
          <t>x̄x̄V̅MCCCXIX</t>
        </is>
      </c>
      <c r="C26320">
        <f>ROMAN(26319)</f>
        <v/>
      </c>
      <c r="D26320">
        <f>IF(B26320=C26320, "YES", "WRONG")</f>
        <v/>
      </c>
    </row>
    <row r="26321">
      <c r="A26321" t="n">
        <v>26320</v>
      </c>
      <c r="B26321" t="inlineStr">
        <is>
          <t>x̄x̄V̅MCCCXX</t>
        </is>
      </c>
      <c r="C26321">
        <f>ROMAN(26320)</f>
        <v/>
      </c>
      <c r="D26321">
        <f>IF(B26321=C26321, "YES", "WRONG")</f>
        <v/>
      </c>
    </row>
    <row r="26322">
      <c r="A26322" t="n">
        <v>26321</v>
      </c>
      <c r="B26322" t="inlineStr">
        <is>
          <t>x̄x̄V̅MCCCXXI</t>
        </is>
      </c>
      <c r="C26322">
        <f>ROMAN(26321)</f>
        <v/>
      </c>
      <c r="D26322">
        <f>IF(B26322=C26322, "YES", "WRONG")</f>
        <v/>
      </c>
    </row>
    <row r="26323">
      <c r="A26323" t="n">
        <v>26322</v>
      </c>
      <c r="B26323" t="inlineStr">
        <is>
          <t>x̄x̄V̅MCCCXXII</t>
        </is>
      </c>
      <c r="C26323">
        <f>ROMAN(26322)</f>
        <v/>
      </c>
      <c r="D26323">
        <f>IF(B26323=C26323, "YES", "WRONG")</f>
        <v/>
      </c>
    </row>
    <row r="26324">
      <c r="A26324" t="n">
        <v>26323</v>
      </c>
      <c r="B26324" t="inlineStr">
        <is>
          <t>x̄x̄V̅MCCCXXIII</t>
        </is>
      </c>
      <c r="C26324">
        <f>ROMAN(26323)</f>
        <v/>
      </c>
      <c r="D26324">
        <f>IF(B26324=C26324, "YES", "WRONG")</f>
        <v/>
      </c>
    </row>
    <row r="26325">
      <c r="A26325" t="n">
        <v>26324</v>
      </c>
      <c r="B26325" t="inlineStr">
        <is>
          <t>x̄x̄V̅MCCCXXIV</t>
        </is>
      </c>
      <c r="C26325">
        <f>ROMAN(26324)</f>
        <v/>
      </c>
      <c r="D26325">
        <f>IF(B26325=C26325, "YES", "WRONG")</f>
        <v/>
      </c>
    </row>
    <row r="26326">
      <c r="A26326" t="n">
        <v>26325</v>
      </c>
      <c r="B26326" t="inlineStr">
        <is>
          <t>x̄x̄V̅MCCCXXV</t>
        </is>
      </c>
      <c r="C26326">
        <f>ROMAN(26325)</f>
        <v/>
      </c>
      <c r="D26326">
        <f>IF(B26326=C26326, "YES", "WRONG")</f>
        <v/>
      </c>
    </row>
    <row r="26327">
      <c r="A26327" t="n">
        <v>26326</v>
      </c>
      <c r="B26327" t="inlineStr">
        <is>
          <t>x̄x̄V̅MCCCXXVI</t>
        </is>
      </c>
      <c r="C26327">
        <f>ROMAN(26326)</f>
        <v/>
      </c>
      <c r="D26327">
        <f>IF(B26327=C26327, "YES", "WRONG")</f>
        <v/>
      </c>
    </row>
    <row r="26328">
      <c r="A26328" t="n">
        <v>26327</v>
      </c>
      <c r="B26328" t="inlineStr">
        <is>
          <t>x̄x̄V̅MCCCXXVII</t>
        </is>
      </c>
      <c r="C26328">
        <f>ROMAN(26327)</f>
        <v/>
      </c>
      <c r="D26328">
        <f>IF(B26328=C26328, "YES", "WRONG")</f>
        <v/>
      </c>
    </row>
    <row r="26329">
      <c r="A26329" t="n">
        <v>26328</v>
      </c>
      <c r="B26329" t="inlineStr">
        <is>
          <t>x̄x̄V̅MCCCXXVIII</t>
        </is>
      </c>
      <c r="C26329">
        <f>ROMAN(26328)</f>
        <v/>
      </c>
      <c r="D26329">
        <f>IF(B26329=C26329, "YES", "WRONG")</f>
        <v/>
      </c>
    </row>
    <row r="26330">
      <c r="A26330" t="n">
        <v>26329</v>
      </c>
      <c r="B26330" t="inlineStr">
        <is>
          <t>x̄x̄V̅MCCCXXIX</t>
        </is>
      </c>
      <c r="C26330">
        <f>ROMAN(26329)</f>
        <v/>
      </c>
      <c r="D26330">
        <f>IF(B26330=C26330, "YES", "WRONG")</f>
        <v/>
      </c>
    </row>
    <row r="26331">
      <c r="A26331" t="n">
        <v>26330</v>
      </c>
      <c r="B26331" t="inlineStr">
        <is>
          <t>x̄x̄V̅MCCCXXX</t>
        </is>
      </c>
      <c r="C26331">
        <f>ROMAN(26330)</f>
        <v/>
      </c>
      <c r="D26331">
        <f>IF(B26331=C26331, "YES", "WRONG")</f>
        <v/>
      </c>
    </row>
    <row r="26332">
      <c r="A26332" t="n">
        <v>26331</v>
      </c>
      <c r="B26332" t="inlineStr">
        <is>
          <t>x̄x̄V̅MCCCXXXI</t>
        </is>
      </c>
      <c r="C26332">
        <f>ROMAN(26331)</f>
        <v/>
      </c>
      <c r="D26332">
        <f>IF(B26332=C26332, "YES", "WRONG")</f>
        <v/>
      </c>
    </row>
    <row r="26333">
      <c r="A26333" t="n">
        <v>26332</v>
      </c>
      <c r="B26333" t="inlineStr">
        <is>
          <t>x̄x̄V̅MCCCXXXII</t>
        </is>
      </c>
      <c r="C26333">
        <f>ROMAN(26332)</f>
        <v/>
      </c>
      <c r="D26333">
        <f>IF(B26333=C26333, "YES", "WRONG")</f>
        <v/>
      </c>
    </row>
    <row r="26334">
      <c r="A26334" t="n">
        <v>26333</v>
      </c>
      <c r="B26334" t="inlineStr">
        <is>
          <t>x̄x̄V̅MCCCXXXIII</t>
        </is>
      </c>
      <c r="C26334">
        <f>ROMAN(26333)</f>
        <v/>
      </c>
      <c r="D26334">
        <f>IF(B26334=C26334, "YES", "WRONG")</f>
        <v/>
      </c>
    </row>
    <row r="26335">
      <c r="A26335" t="n">
        <v>26334</v>
      </c>
      <c r="B26335" t="inlineStr">
        <is>
          <t>x̄x̄V̅MCCCXXXIV</t>
        </is>
      </c>
      <c r="C26335">
        <f>ROMAN(26334)</f>
        <v/>
      </c>
      <c r="D26335">
        <f>IF(B26335=C26335, "YES", "WRONG")</f>
        <v/>
      </c>
    </row>
    <row r="26336">
      <c r="A26336" t="n">
        <v>26335</v>
      </c>
      <c r="B26336" t="inlineStr">
        <is>
          <t>x̄x̄V̅MCCCXXXV</t>
        </is>
      </c>
      <c r="C26336">
        <f>ROMAN(26335)</f>
        <v/>
      </c>
      <c r="D26336">
        <f>IF(B26336=C26336, "YES", "WRONG")</f>
        <v/>
      </c>
    </row>
    <row r="26337">
      <c r="A26337" t="n">
        <v>26336</v>
      </c>
      <c r="B26337" t="inlineStr">
        <is>
          <t>x̄x̄V̅MCCCXXXVI</t>
        </is>
      </c>
      <c r="C26337">
        <f>ROMAN(26336)</f>
        <v/>
      </c>
      <c r="D26337">
        <f>IF(B26337=C26337, "YES", "WRONG")</f>
        <v/>
      </c>
    </row>
    <row r="26338">
      <c r="A26338" t="n">
        <v>26337</v>
      </c>
      <c r="B26338" t="inlineStr">
        <is>
          <t>x̄x̄V̅MCCCXXXVII</t>
        </is>
      </c>
      <c r="C26338">
        <f>ROMAN(26337)</f>
        <v/>
      </c>
      <c r="D26338">
        <f>IF(B26338=C26338, "YES", "WRONG")</f>
        <v/>
      </c>
    </row>
    <row r="26339">
      <c r="A26339" t="n">
        <v>26338</v>
      </c>
      <c r="B26339" t="inlineStr">
        <is>
          <t>x̄x̄V̅MCCCXXXVIII</t>
        </is>
      </c>
      <c r="C26339">
        <f>ROMAN(26338)</f>
        <v/>
      </c>
      <c r="D26339">
        <f>IF(B26339=C26339, "YES", "WRONG")</f>
        <v/>
      </c>
    </row>
    <row r="26340">
      <c r="A26340" t="n">
        <v>26339</v>
      </c>
      <c r="B26340" t="inlineStr">
        <is>
          <t>x̄x̄V̅MCCCXXXIX</t>
        </is>
      </c>
      <c r="C26340">
        <f>ROMAN(26339)</f>
        <v/>
      </c>
      <c r="D26340">
        <f>IF(B26340=C26340, "YES", "WRONG")</f>
        <v/>
      </c>
    </row>
    <row r="26341">
      <c r="A26341" t="n">
        <v>26340</v>
      </c>
      <c r="B26341" t="inlineStr">
        <is>
          <t>x̄x̄V̅MCCCXL</t>
        </is>
      </c>
      <c r="C26341">
        <f>ROMAN(26340)</f>
        <v/>
      </c>
      <c r="D26341">
        <f>IF(B26341=C26341, "YES", "WRONG")</f>
        <v/>
      </c>
    </row>
    <row r="26342">
      <c r="A26342" t="n">
        <v>26341</v>
      </c>
      <c r="B26342" t="inlineStr">
        <is>
          <t>x̄x̄V̅MCCCXLI</t>
        </is>
      </c>
      <c r="C26342">
        <f>ROMAN(26341)</f>
        <v/>
      </c>
      <c r="D26342">
        <f>IF(B26342=C26342, "YES", "WRONG")</f>
        <v/>
      </c>
    </row>
    <row r="26343">
      <c r="A26343" t="n">
        <v>26342</v>
      </c>
      <c r="B26343" t="inlineStr">
        <is>
          <t>x̄x̄V̅MCCCXLII</t>
        </is>
      </c>
      <c r="C26343">
        <f>ROMAN(26342)</f>
        <v/>
      </c>
      <c r="D26343">
        <f>IF(B26343=C26343, "YES", "WRONG")</f>
        <v/>
      </c>
    </row>
    <row r="26344">
      <c r="A26344" t="n">
        <v>26343</v>
      </c>
      <c r="B26344" t="inlineStr">
        <is>
          <t>x̄x̄V̅MCCCXLIII</t>
        </is>
      </c>
      <c r="C26344">
        <f>ROMAN(26343)</f>
        <v/>
      </c>
      <c r="D26344">
        <f>IF(B26344=C26344, "YES", "WRONG")</f>
        <v/>
      </c>
    </row>
    <row r="26345">
      <c r="A26345" t="n">
        <v>26344</v>
      </c>
      <c r="B26345" t="inlineStr">
        <is>
          <t>x̄x̄V̅MCCCXLIV</t>
        </is>
      </c>
      <c r="C26345">
        <f>ROMAN(26344)</f>
        <v/>
      </c>
      <c r="D26345">
        <f>IF(B26345=C26345, "YES", "WRONG")</f>
        <v/>
      </c>
    </row>
    <row r="26346">
      <c r="A26346" t="n">
        <v>26345</v>
      </c>
      <c r="B26346" t="inlineStr">
        <is>
          <t>x̄x̄V̅MCCCXLV</t>
        </is>
      </c>
      <c r="C26346">
        <f>ROMAN(26345)</f>
        <v/>
      </c>
      <c r="D26346">
        <f>IF(B26346=C26346, "YES", "WRONG")</f>
        <v/>
      </c>
    </row>
    <row r="26347">
      <c r="A26347" t="n">
        <v>26346</v>
      </c>
      <c r="B26347" t="inlineStr">
        <is>
          <t>x̄x̄V̅MCCCXLVI</t>
        </is>
      </c>
      <c r="C26347">
        <f>ROMAN(26346)</f>
        <v/>
      </c>
      <c r="D26347">
        <f>IF(B26347=C26347, "YES", "WRONG")</f>
        <v/>
      </c>
    </row>
    <row r="26348">
      <c r="A26348" t="n">
        <v>26347</v>
      </c>
      <c r="B26348" t="inlineStr">
        <is>
          <t>x̄x̄V̅MCCCXLVII</t>
        </is>
      </c>
      <c r="C26348">
        <f>ROMAN(26347)</f>
        <v/>
      </c>
      <c r="D26348">
        <f>IF(B26348=C26348, "YES", "WRONG")</f>
        <v/>
      </c>
    </row>
    <row r="26349">
      <c r="A26349" t="n">
        <v>26348</v>
      </c>
      <c r="B26349" t="inlineStr">
        <is>
          <t>x̄x̄V̅MCCCXLVIII</t>
        </is>
      </c>
      <c r="C26349">
        <f>ROMAN(26348)</f>
        <v/>
      </c>
      <c r="D26349">
        <f>IF(B26349=C26349, "YES", "WRONG")</f>
        <v/>
      </c>
    </row>
    <row r="26350">
      <c r="A26350" t="n">
        <v>26349</v>
      </c>
      <c r="B26350" t="inlineStr">
        <is>
          <t>x̄x̄V̅MCCCXLIX</t>
        </is>
      </c>
      <c r="C26350">
        <f>ROMAN(26349)</f>
        <v/>
      </c>
      <c r="D26350">
        <f>IF(B26350=C26350, "YES", "WRONG")</f>
        <v/>
      </c>
    </row>
    <row r="26351">
      <c r="A26351" t="n">
        <v>26350</v>
      </c>
      <c r="B26351" t="inlineStr">
        <is>
          <t>x̄x̄V̅MCCCL</t>
        </is>
      </c>
      <c r="C26351">
        <f>ROMAN(26350)</f>
        <v/>
      </c>
      <c r="D26351">
        <f>IF(B26351=C26351, "YES", "WRONG")</f>
        <v/>
      </c>
    </row>
    <row r="26352">
      <c r="A26352" t="n">
        <v>26351</v>
      </c>
      <c r="B26352" t="inlineStr">
        <is>
          <t>x̄x̄V̅MCCCLI</t>
        </is>
      </c>
      <c r="C26352">
        <f>ROMAN(26351)</f>
        <v/>
      </c>
      <c r="D26352">
        <f>IF(B26352=C26352, "YES", "WRONG")</f>
        <v/>
      </c>
    </row>
    <row r="26353">
      <c r="A26353" t="n">
        <v>26352</v>
      </c>
      <c r="B26353" t="inlineStr">
        <is>
          <t>x̄x̄V̅MCCCLII</t>
        </is>
      </c>
      <c r="C26353">
        <f>ROMAN(26352)</f>
        <v/>
      </c>
      <c r="D26353">
        <f>IF(B26353=C26353, "YES", "WRONG")</f>
        <v/>
      </c>
    </row>
    <row r="26354">
      <c r="A26354" t="n">
        <v>26353</v>
      </c>
      <c r="B26354" t="inlineStr">
        <is>
          <t>x̄x̄V̅MCCCLIII</t>
        </is>
      </c>
      <c r="C26354">
        <f>ROMAN(26353)</f>
        <v/>
      </c>
      <c r="D26354">
        <f>IF(B26354=C26354, "YES", "WRONG")</f>
        <v/>
      </c>
    </row>
    <row r="26355">
      <c r="A26355" t="n">
        <v>26354</v>
      </c>
      <c r="B26355" t="inlineStr">
        <is>
          <t>x̄x̄V̅MCCCLIV</t>
        </is>
      </c>
      <c r="C26355">
        <f>ROMAN(26354)</f>
        <v/>
      </c>
      <c r="D26355">
        <f>IF(B26355=C26355, "YES", "WRONG")</f>
        <v/>
      </c>
    </row>
    <row r="26356">
      <c r="A26356" t="n">
        <v>26355</v>
      </c>
      <c r="B26356" t="inlineStr">
        <is>
          <t>x̄x̄V̅MCCCLV</t>
        </is>
      </c>
      <c r="C26356">
        <f>ROMAN(26355)</f>
        <v/>
      </c>
      <c r="D26356">
        <f>IF(B26356=C26356, "YES", "WRONG")</f>
        <v/>
      </c>
    </row>
    <row r="26357">
      <c r="A26357" t="n">
        <v>26356</v>
      </c>
      <c r="B26357" t="inlineStr">
        <is>
          <t>x̄x̄V̅MCCCLVI</t>
        </is>
      </c>
      <c r="C26357">
        <f>ROMAN(26356)</f>
        <v/>
      </c>
      <c r="D26357">
        <f>IF(B26357=C26357, "YES", "WRONG")</f>
        <v/>
      </c>
    </row>
    <row r="26358">
      <c r="A26358" t="n">
        <v>26357</v>
      </c>
      <c r="B26358" t="inlineStr">
        <is>
          <t>x̄x̄V̅MCCCLVII</t>
        </is>
      </c>
      <c r="C26358">
        <f>ROMAN(26357)</f>
        <v/>
      </c>
      <c r="D26358">
        <f>IF(B26358=C26358, "YES", "WRONG")</f>
        <v/>
      </c>
    </row>
    <row r="26359">
      <c r="A26359" t="n">
        <v>26358</v>
      </c>
      <c r="B26359" t="inlineStr">
        <is>
          <t>x̄x̄V̅MCCCLVIII</t>
        </is>
      </c>
      <c r="C26359">
        <f>ROMAN(26358)</f>
        <v/>
      </c>
      <c r="D26359">
        <f>IF(B26359=C26359, "YES", "WRONG")</f>
        <v/>
      </c>
    </row>
    <row r="26360">
      <c r="A26360" t="n">
        <v>26359</v>
      </c>
      <c r="B26360" t="inlineStr">
        <is>
          <t>x̄x̄V̅MCCCLIX</t>
        </is>
      </c>
      <c r="C26360">
        <f>ROMAN(26359)</f>
        <v/>
      </c>
      <c r="D26360">
        <f>IF(B26360=C26360, "YES", "WRONG")</f>
        <v/>
      </c>
    </row>
    <row r="26361">
      <c r="A26361" t="n">
        <v>26360</v>
      </c>
      <c r="B26361" t="inlineStr">
        <is>
          <t>x̄x̄V̅MCCCLX</t>
        </is>
      </c>
      <c r="C26361">
        <f>ROMAN(26360)</f>
        <v/>
      </c>
      <c r="D26361">
        <f>IF(B26361=C26361, "YES", "WRONG")</f>
        <v/>
      </c>
    </row>
    <row r="26362">
      <c r="A26362" t="n">
        <v>26361</v>
      </c>
      <c r="B26362" t="inlineStr">
        <is>
          <t>x̄x̄V̅MCCCLXI</t>
        </is>
      </c>
      <c r="C26362">
        <f>ROMAN(26361)</f>
        <v/>
      </c>
      <c r="D26362">
        <f>IF(B26362=C26362, "YES", "WRONG")</f>
        <v/>
      </c>
    </row>
    <row r="26363">
      <c r="A26363" t="n">
        <v>26362</v>
      </c>
      <c r="B26363" t="inlineStr">
        <is>
          <t>x̄x̄V̅MCCCLXII</t>
        </is>
      </c>
      <c r="C26363">
        <f>ROMAN(26362)</f>
        <v/>
      </c>
      <c r="D26363">
        <f>IF(B26363=C26363, "YES", "WRONG")</f>
        <v/>
      </c>
    </row>
    <row r="26364">
      <c r="A26364" t="n">
        <v>26363</v>
      </c>
      <c r="B26364" t="inlineStr">
        <is>
          <t>x̄x̄V̅MCCCLXIII</t>
        </is>
      </c>
      <c r="C26364">
        <f>ROMAN(26363)</f>
        <v/>
      </c>
      <c r="D26364">
        <f>IF(B26364=C26364, "YES", "WRONG")</f>
        <v/>
      </c>
    </row>
    <row r="26365">
      <c r="A26365" t="n">
        <v>26364</v>
      </c>
      <c r="B26365" t="inlineStr">
        <is>
          <t>x̄x̄V̅MCCCLXIV</t>
        </is>
      </c>
      <c r="C26365">
        <f>ROMAN(26364)</f>
        <v/>
      </c>
      <c r="D26365">
        <f>IF(B26365=C26365, "YES", "WRONG")</f>
        <v/>
      </c>
    </row>
    <row r="26366">
      <c r="A26366" t="n">
        <v>26365</v>
      </c>
      <c r="B26366" t="inlineStr">
        <is>
          <t>x̄x̄V̅MCCCLXV</t>
        </is>
      </c>
      <c r="C26366">
        <f>ROMAN(26365)</f>
        <v/>
      </c>
      <c r="D26366">
        <f>IF(B26366=C26366, "YES", "WRONG")</f>
        <v/>
      </c>
    </row>
    <row r="26367">
      <c r="A26367" t="n">
        <v>26366</v>
      </c>
      <c r="B26367" t="inlineStr">
        <is>
          <t>x̄x̄V̅MCCCLXVI</t>
        </is>
      </c>
      <c r="C26367">
        <f>ROMAN(26366)</f>
        <v/>
      </c>
      <c r="D26367">
        <f>IF(B26367=C26367, "YES", "WRONG")</f>
        <v/>
      </c>
    </row>
    <row r="26368">
      <c r="A26368" t="n">
        <v>26367</v>
      </c>
      <c r="B26368" t="inlineStr">
        <is>
          <t>x̄x̄V̅MCCCLXVII</t>
        </is>
      </c>
      <c r="C26368">
        <f>ROMAN(26367)</f>
        <v/>
      </c>
      <c r="D26368">
        <f>IF(B26368=C26368, "YES", "WRONG")</f>
        <v/>
      </c>
    </row>
    <row r="26369">
      <c r="A26369" t="n">
        <v>26368</v>
      </c>
      <c r="B26369" t="inlineStr">
        <is>
          <t>x̄x̄V̅MCCCLXVIII</t>
        </is>
      </c>
      <c r="C26369">
        <f>ROMAN(26368)</f>
        <v/>
      </c>
      <c r="D26369">
        <f>IF(B26369=C26369, "YES", "WRONG")</f>
        <v/>
      </c>
    </row>
    <row r="26370">
      <c r="A26370" t="n">
        <v>26369</v>
      </c>
      <c r="B26370" t="inlineStr">
        <is>
          <t>x̄x̄V̅MCCCLXIX</t>
        </is>
      </c>
      <c r="C26370">
        <f>ROMAN(26369)</f>
        <v/>
      </c>
      <c r="D26370">
        <f>IF(B26370=C26370, "YES", "WRONG")</f>
        <v/>
      </c>
    </row>
    <row r="26371">
      <c r="A26371" t="n">
        <v>26370</v>
      </c>
      <c r="B26371" t="inlineStr">
        <is>
          <t>x̄x̄V̅MCCCLXX</t>
        </is>
      </c>
      <c r="C26371">
        <f>ROMAN(26370)</f>
        <v/>
      </c>
      <c r="D26371">
        <f>IF(B26371=C26371, "YES", "WRONG")</f>
        <v/>
      </c>
    </row>
    <row r="26372">
      <c r="A26372" t="n">
        <v>26371</v>
      </c>
      <c r="B26372" t="inlineStr">
        <is>
          <t>x̄x̄V̅MCCCLXXI</t>
        </is>
      </c>
      <c r="C26372">
        <f>ROMAN(26371)</f>
        <v/>
      </c>
      <c r="D26372">
        <f>IF(B26372=C26372, "YES", "WRONG")</f>
        <v/>
      </c>
    </row>
    <row r="26373">
      <c r="A26373" t="n">
        <v>26372</v>
      </c>
      <c r="B26373" t="inlineStr">
        <is>
          <t>x̄x̄V̅MCCCLXXII</t>
        </is>
      </c>
      <c r="C26373">
        <f>ROMAN(26372)</f>
        <v/>
      </c>
      <c r="D26373">
        <f>IF(B26373=C26373, "YES", "WRONG")</f>
        <v/>
      </c>
    </row>
    <row r="26374">
      <c r="A26374" t="n">
        <v>26373</v>
      </c>
      <c r="B26374" t="inlineStr">
        <is>
          <t>x̄x̄V̅MCCCLXXIII</t>
        </is>
      </c>
      <c r="C26374">
        <f>ROMAN(26373)</f>
        <v/>
      </c>
      <c r="D26374">
        <f>IF(B26374=C26374, "YES", "WRONG")</f>
        <v/>
      </c>
    </row>
    <row r="26375">
      <c r="A26375" t="n">
        <v>26374</v>
      </c>
      <c r="B26375" t="inlineStr">
        <is>
          <t>x̄x̄V̅MCCCLXXIV</t>
        </is>
      </c>
      <c r="C26375">
        <f>ROMAN(26374)</f>
        <v/>
      </c>
      <c r="D26375">
        <f>IF(B26375=C26375, "YES", "WRONG")</f>
        <v/>
      </c>
    </row>
    <row r="26376">
      <c r="A26376" t="n">
        <v>26375</v>
      </c>
      <c r="B26376" t="inlineStr">
        <is>
          <t>x̄x̄V̅MCCCLXXV</t>
        </is>
      </c>
      <c r="C26376">
        <f>ROMAN(26375)</f>
        <v/>
      </c>
      <c r="D26376">
        <f>IF(B26376=C26376, "YES", "WRONG")</f>
        <v/>
      </c>
    </row>
    <row r="26377">
      <c r="A26377" t="n">
        <v>26376</v>
      </c>
      <c r="B26377" t="inlineStr">
        <is>
          <t>x̄x̄V̅MCCCLXXVI</t>
        </is>
      </c>
      <c r="C26377">
        <f>ROMAN(26376)</f>
        <v/>
      </c>
      <c r="D26377">
        <f>IF(B26377=C26377, "YES", "WRONG")</f>
        <v/>
      </c>
    </row>
    <row r="26378">
      <c r="A26378" t="n">
        <v>26377</v>
      </c>
      <c r="B26378" t="inlineStr">
        <is>
          <t>x̄x̄V̅MCCCLXXVII</t>
        </is>
      </c>
      <c r="C26378">
        <f>ROMAN(26377)</f>
        <v/>
      </c>
      <c r="D26378">
        <f>IF(B26378=C26378, "YES", "WRONG")</f>
        <v/>
      </c>
    </row>
    <row r="26379">
      <c r="A26379" t="n">
        <v>26378</v>
      </c>
      <c r="B26379" t="inlineStr">
        <is>
          <t>x̄x̄V̅MCCCLXXVIII</t>
        </is>
      </c>
      <c r="C26379">
        <f>ROMAN(26378)</f>
        <v/>
      </c>
      <c r="D26379">
        <f>IF(B26379=C26379, "YES", "WRONG")</f>
        <v/>
      </c>
    </row>
    <row r="26380">
      <c r="A26380" t="n">
        <v>26379</v>
      </c>
      <c r="B26380" t="inlineStr">
        <is>
          <t>x̄x̄V̅MCCCLXXIX</t>
        </is>
      </c>
      <c r="C26380">
        <f>ROMAN(26379)</f>
        <v/>
      </c>
      <c r="D26380">
        <f>IF(B26380=C26380, "YES", "WRONG")</f>
        <v/>
      </c>
    </row>
    <row r="26381">
      <c r="A26381" t="n">
        <v>26380</v>
      </c>
      <c r="B26381" t="inlineStr">
        <is>
          <t>x̄x̄V̅MCCCLXXX</t>
        </is>
      </c>
      <c r="C26381">
        <f>ROMAN(26380)</f>
        <v/>
      </c>
      <c r="D26381">
        <f>IF(B26381=C26381, "YES", "WRONG")</f>
        <v/>
      </c>
    </row>
    <row r="26382">
      <c r="A26382" t="n">
        <v>26381</v>
      </c>
      <c r="B26382" t="inlineStr">
        <is>
          <t>x̄x̄V̅MCCCLXXXI</t>
        </is>
      </c>
      <c r="C26382">
        <f>ROMAN(26381)</f>
        <v/>
      </c>
      <c r="D26382">
        <f>IF(B26382=C26382, "YES", "WRONG")</f>
        <v/>
      </c>
    </row>
    <row r="26383">
      <c r="A26383" t="n">
        <v>26382</v>
      </c>
      <c r="B26383" t="inlineStr">
        <is>
          <t>x̄x̄V̅MCCCLXXXII</t>
        </is>
      </c>
      <c r="C26383">
        <f>ROMAN(26382)</f>
        <v/>
      </c>
      <c r="D26383">
        <f>IF(B26383=C26383, "YES", "WRONG")</f>
        <v/>
      </c>
    </row>
    <row r="26384">
      <c r="A26384" t="n">
        <v>26383</v>
      </c>
      <c r="B26384" t="inlineStr">
        <is>
          <t>x̄x̄V̅MCCCLXXXIII</t>
        </is>
      </c>
      <c r="C26384">
        <f>ROMAN(26383)</f>
        <v/>
      </c>
      <c r="D26384">
        <f>IF(B26384=C26384, "YES", "WRONG")</f>
        <v/>
      </c>
    </row>
    <row r="26385">
      <c r="A26385" t="n">
        <v>26384</v>
      </c>
      <c r="B26385" t="inlineStr">
        <is>
          <t>x̄x̄V̅MCCCLXXXIV</t>
        </is>
      </c>
      <c r="C26385">
        <f>ROMAN(26384)</f>
        <v/>
      </c>
      <c r="D26385">
        <f>IF(B26385=C26385, "YES", "WRONG")</f>
        <v/>
      </c>
    </row>
    <row r="26386">
      <c r="A26386" t="n">
        <v>26385</v>
      </c>
      <c r="B26386" t="inlineStr">
        <is>
          <t>x̄x̄V̅MCCCLXXXV</t>
        </is>
      </c>
      <c r="C26386">
        <f>ROMAN(26385)</f>
        <v/>
      </c>
      <c r="D26386">
        <f>IF(B26386=C26386, "YES", "WRONG")</f>
        <v/>
      </c>
    </row>
    <row r="26387">
      <c r="A26387" t="n">
        <v>26386</v>
      </c>
      <c r="B26387" t="inlineStr">
        <is>
          <t>x̄x̄V̅MCCCLXXXVI</t>
        </is>
      </c>
      <c r="C26387">
        <f>ROMAN(26386)</f>
        <v/>
      </c>
      <c r="D26387">
        <f>IF(B26387=C26387, "YES", "WRONG")</f>
        <v/>
      </c>
    </row>
    <row r="26388">
      <c r="A26388" t="n">
        <v>26387</v>
      </c>
      <c r="B26388" t="inlineStr">
        <is>
          <t>x̄x̄V̅MCCCLXXXVII</t>
        </is>
      </c>
      <c r="C26388">
        <f>ROMAN(26387)</f>
        <v/>
      </c>
      <c r="D26388">
        <f>IF(B26388=C26388, "YES", "WRONG")</f>
        <v/>
      </c>
    </row>
    <row r="26389">
      <c r="A26389" t="n">
        <v>26388</v>
      </c>
      <c r="B26389" t="inlineStr">
        <is>
          <t>x̄x̄V̅MCCCLXXXVIII</t>
        </is>
      </c>
      <c r="C26389">
        <f>ROMAN(26388)</f>
        <v/>
      </c>
      <c r="D26389">
        <f>IF(B26389=C26389, "YES", "WRONG")</f>
        <v/>
      </c>
    </row>
    <row r="26390">
      <c r="A26390" t="n">
        <v>26389</v>
      </c>
      <c r="B26390" t="inlineStr">
        <is>
          <t>x̄x̄V̅MCCCLXXXIX</t>
        </is>
      </c>
      <c r="C26390">
        <f>ROMAN(26389)</f>
        <v/>
      </c>
      <c r="D26390">
        <f>IF(B26390=C26390, "YES", "WRONG")</f>
        <v/>
      </c>
    </row>
    <row r="26391">
      <c r="A26391" t="n">
        <v>26390</v>
      </c>
      <c r="B26391" t="inlineStr">
        <is>
          <t>x̄x̄V̅MCCCXC</t>
        </is>
      </c>
      <c r="C26391">
        <f>ROMAN(26390)</f>
        <v/>
      </c>
      <c r="D26391">
        <f>IF(B26391=C26391, "YES", "WRONG")</f>
        <v/>
      </c>
    </row>
    <row r="26392">
      <c r="A26392" t="n">
        <v>26391</v>
      </c>
      <c r="B26392" t="inlineStr">
        <is>
          <t>x̄x̄V̅MCCCXCI</t>
        </is>
      </c>
      <c r="C26392">
        <f>ROMAN(26391)</f>
        <v/>
      </c>
      <c r="D26392">
        <f>IF(B26392=C26392, "YES", "WRONG")</f>
        <v/>
      </c>
    </row>
    <row r="26393">
      <c r="A26393" t="n">
        <v>26392</v>
      </c>
      <c r="B26393" t="inlineStr">
        <is>
          <t>x̄x̄V̅MCCCXCII</t>
        </is>
      </c>
      <c r="C26393">
        <f>ROMAN(26392)</f>
        <v/>
      </c>
      <c r="D26393">
        <f>IF(B26393=C26393, "YES", "WRONG")</f>
        <v/>
      </c>
    </row>
    <row r="26394">
      <c r="A26394" t="n">
        <v>26393</v>
      </c>
      <c r="B26394" t="inlineStr">
        <is>
          <t>x̄x̄V̅MCCCXCIII</t>
        </is>
      </c>
      <c r="C26394">
        <f>ROMAN(26393)</f>
        <v/>
      </c>
      <c r="D26394">
        <f>IF(B26394=C26394, "YES", "WRONG")</f>
        <v/>
      </c>
    </row>
    <row r="26395">
      <c r="A26395" t="n">
        <v>26394</v>
      </c>
      <c r="B26395" t="inlineStr">
        <is>
          <t>x̄x̄V̅MCCCXCIV</t>
        </is>
      </c>
      <c r="C26395">
        <f>ROMAN(26394)</f>
        <v/>
      </c>
      <c r="D26395">
        <f>IF(B26395=C26395, "YES", "WRONG")</f>
        <v/>
      </c>
    </row>
    <row r="26396">
      <c r="A26396" t="n">
        <v>26395</v>
      </c>
      <c r="B26396" t="inlineStr">
        <is>
          <t>x̄x̄V̅MCCCXCV</t>
        </is>
      </c>
      <c r="C26396">
        <f>ROMAN(26395)</f>
        <v/>
      </c>
      <c r="D26396">
        <f>IF(B26396=C26396, "YES", "WRONG")</f>
        <v/>
      </c>
    </row>
    <row r="26397">
      <c r="A26397" t="n">
        <v>26396</v>
      </c>
      <c r="B26397" t="inlineStr">
        <is>
          <t>x̄x̄V̅MCCCXCVI</t>
        </is>
      </c>
      <c r="C26397">
        <f>ROMAN(26396)</f>
        <v/>
      </c>
      <c r="D26397">
        <f>IF(B26397=C26397, "YES", "WRONG")</f>
        <v/>
      </c>
    </row>
    <row r="26398">
      <c r="A26398" t="n">
        <v>26397</v>
      </c>
      <c r="B26398" t="inlineStr">
        <is>
          <t>x̄x̄V̅MCCCXCVII</t>
        </is>
      </c>
      <c r="C26398">
        <f>ROMAN(26397)</f>
        <v/>
      </c>
      <c r="D26398">
        <f>IF(B26398=C26398, "YES", "WRONG")</f>
        <v/>
      </c>
    </row>
    <row r="26399">
      <c r="A26399" t="n">
        <v>26398</v>
      </c>
      <c r="B26399" t="inlineStr">
        <is>
          <t>x̄x̄V̅MCCCXCVIII</t>
        </is>
      </c>
      <c r="C26399">
        <f>ROMAN(26398)</f>
        <v/>
      </c>
      <c r="D26399">
        <f>IF(B26399=C26399, "YES", "WRONG")</f>
        <v/>
      </c>
    </row>
    <row r="26400">
      <c r="A26400" t="n">
        <v>26399</v>
      </c>
      <c r="B26400" t="inlineStr">
        <is>
          <t>x̄x̄V̅MCCCXCIX</t>
        </is>
      </c>
      <c r="C26400">
        <f>ROMAN(26399)</f>
        <v/>
      </c>
      <c r="D26400">
        <f>IF(B26400=C26400, "YES", "WRONG")</f>
        <v/>
      </c>
    </row>
    <row r="26401">
      <c r="A26401" t="n">
        <v>26400</v>
      </c>
      <c r="B26401" t="inlineStr">
        <is>
          <t>x̄x̄V̅MCD</t>
        </is>
      </c>
      <c r="C26401">
        <f>ROMAN(26400)</f>
        <v/>
      </c>
      <c r="D26401">
        <f>IF(B26401=C26401, "YES", "WRONG")</f>
        <v/>
      </c>
    </row>
    <row r="26402">
      <c r="A26402" t="n">
        <v>26401</v>
      </c>
      <c r="B26402" t="inlineStr">
        <is>
          <t>x̄x̄V̅MCDI</t>
        </is>
      </c>
      <c r="C26402">
        <f>ROMAN(26401)</f>
        <v/>
      </c>
      <c r="D26402">
        <f>IF(B26402=C26402, "YES", "WRONG")</f>
        <v/>
      </c>
    </row>
    <row r="26403">
      <c r="A26403" t="n">
        <v>26402</v>
      </c>
      <c r="B26403" t="inlineStr">
        <is>
          <t>x̄x̄V̅MCDII</t>
        </is>
      </c>
      <c r="C26403">
        <f>ROMAN(26402)</f>
        <v/>
      </c>
      <c r="D26403">
        <f>IF(B26403=C26403, "YES", "WRONG")</f>
        <v/>
      </c>
    </row>
    <row r="26404">
      <c r="A26404" t="n">
        <v>26403</v>
      </c>
      <c r="B26404" t="inlineStr">
        <is>
          <t>x̄x̄V̅MCDIII</t>
        </is>
      </c>
      <c r="C26404">
        <f>ROMAN(26403)</f>
        <v/>
      </c>
      <c r="D26404">
        <f>IF(B26404=C26404, "YES", "WRONG")</f>
        <v/>
      </c>
    </row>
    <row r="26405">
      <c r="A26405" t="n">
        <v>26404</v>
      </c>
      <c r="B26405" t="inlineStr">
        <is>
          <t>x̄x̄V̅MCDIV</t>
        </is>
      </c>
      <c r="C26405">
        <f>ROMAN(26404)</f>
        <v/>
      </c>
      <c r="D26405">
        <f>IF(B26405=C26405, "YES", "WRONG")</f>
        <v/>
      </c>
    </row>
    <row r="26406">
      <c r="A26406" t="n">
        <v>26405</v>
      </c>
      <c r="B26406" t="inlineStr">
        <is>
          <t>x̄x̄V̅MCDV</t>
        </is>
      </c>
      <c r="C26406">
        <f>ROMAN(26405)</f>
        <v/>
      </c>
      <c r="D26406">
        <f>IF(B26406=C26406, "YES", "WRONG")</f>
        <v/>
      </c>
    </row>
    <row r="26407">
      <c r="A26407" t="n">
        <v>26406</v>
      </c>
      <c r="B26407" t="inlineStr">
        <is>
          <t>x̄x̄V̅MCDVI</t>
        </is>
      </c>
      <c r="C26407">
        <f>ROMAN(26406)</f>
        <v/>
      </c>
      <c r="D26407">
        <f>IF(B26407=C26407, "YES", "WRONG")</f>
        <v/>
      </c>
    </row>
    <row r="26408">
      <c r="A26408" t="n">
        <v>26407</v>
      </c>
      <c r="B26408" t="inlineStr">
        <is>
          <t>x̄x̄V̅MCDVII</t>
        </is>
      </c>
      <c r="C26408">
        <f>ROMAN(26407)</f>
        <v/>
      </c>
      <c r="D26408">
        <f>IF(B26408=C26408, "YES", "WRONG")</f>
        <v/>
      </c>
    </row>
    <row r="26409">
      <c r="A26409" t="n">
        <v>26408</v>
      </c>
      <c r="B26409" t="inlineStr">
        <is>
          <t>x̄x̄V̅MCDVIII</t>
        </is>
      </c>
      <c r="C26409">
        <f>ROMAN(26408)</f>
        <v/>
      </c>
      <c r="D26409">
        <f>IF(B26409=C26409, "YES", "WRONG")</f>
        <v/>
      </c>
    </row>
    <row r="26410">
      <c r="A26410" t="n">
        <v>26409</v>
      </c>
      <c r="B26410" t="inlineStr">
        <is>
          <t>x̄x̄V̅MCDIX</t>
        </is>
      </c>
      <c r="C26410">
        <f>ROMAN(26409)</f>
        <v/>
      </c>
      <c r="D26410">
        <f>IF(B26410=C26410, "YES", "WRONG")</f>
        <v/>
      </c>
    </row>
    <row r="26411">
      <c r="A26411" t="n">
        <v>26410</v>
      </c>
      <c r="B26411" t="inlineStr">
        <is>
          <t>x̄x̄V̅MCDX</t>
        </is>
      </c>
      <c r="C26411">
        <f>ROMAN(26410)</f>
        <v/>
      </c>
      <c r="D26411">
        <f>IF(B26411=C26411, "YES", "WRONG")</f>
        <v/>
      </c>
    </row>
    <row r="26412">
      <c r="A26412" t="n">
        <v>26411</v>
      </c>
      <c r="B26412" t="inlineStr">
        <is>
          <t>x̄x̄V̅MCDXI</t>
        </is>
      </c>
      <c r="C26412">
        <f>ROMAN(26411)</f>
        <v/>
      </c>
      <c r="D26412">
        <f>IF(B26412=C26412, "YES", "WRONG")</f>
        <v/>
      </c>
    </row>
    <row r="26413">
      <c r="A26413" t="n">
        <v>26412</v>
      </c>
      <c r="B26413" t="inlineStr">
        <is>
          <t>x̄x̄V̅MCDXII</t>
        </is>
      </c>
      <c r="C26413">
        <f>ROMAN(26412)</f>
        <v/>
      </c>
      <c r="D26413">
        <f>IF(B26413=C26413, "YES", "WRONG")</f>
        <v/>
      </c>
    </row>
    <row r="26414">
      <c r="A26414" t="n">
        <v>26413</v>
      </c>
      <c r="B26414" t="inlineStr">
        <is>
          <t>x̄x̄V̅MCDXIII</t>
        </is>
      </c>
      <c r="C26414">
        <f>ROMAN(26413)</f>
        <v/>
      </c>
      <c r="D26414">
        <f>IF(B26414=C26414, "YES", "WRONG")</f>
        <v/>
      </c>
    </row>
    <row r="26415">
      <c r="A26415" t="n">
        <v>26414</v>
      </c>
      <c r="B26415" t="inlineStr">
        <is>
          <t>x̄x̄V̅MCDXIV</t>
        </is>
      </c>
      <c r="C26415">
        <f>ROMAN(26414)</f>
        <v/>
      </c>
      <c r="D26415">
        <f>IF(B26415=C26415, "YES", "WRONG")</f>
        <v/>
      </c>
    </row>
    <row r="26416">
      <c r="A26416" t="n">
        <v>26415</v>
      </c>
      <c r="B26416" t="inlineStr">
        <is>
          <t>x̄x̄V̅MCDXV</t>
        </is>
      </c>
      <c r="C26416">
        <f>ROMAN(26415)</f>
        <v/>
      </c>
      <c r="D26416">
        <f>IF(B26416=C26416, "YES", "WRONG")</f>
        <v/>
      </c>
    </row>
    <row r="26417">
      <c r="A26417" t="n">
        <v>26416</v>
      </c>
      <c r="B26417" t="inlineStr">
        <is>
          <t>x̄x̄V̅MCDXVI</t>
        </is>
      </c>
      <c r="C26417">
        <f>ROMAN(26416)</f>
        <v/>
      </c>
      <c r="D26417">
        <f>IF(B26417=C26417, "YES", "WRONG")</f>
        <v/>
      </c>
    </row>
    <row r="26418">
      <c r="A26418" t="n">
        <v>26417</v>
      </c>
      <c r="B26418" t="inlineStr">
        <is>
          <t>x̄x̄V̅MCDXVII</t>
        </is>
      </c>
      <c r="C26418">
        <f>ROMAN(26417)</f>
        <v/>
      </c>
      <c r="D26418">
        <f>IF(B26418=C26418, "YES", "WRONG")</f>
        <v/>
      </c>
    </row>
    <row r="26419">
      <c r="A26419" t="n">
        <v>26418</v>
      </c>
      <c r="B26419" t="inlineStr">
        <is>
          <t>x̄x̄V̅MCDXVIII</t>
        </is>
      </c>
      <c r="C26419">
        <f>ROMAN(26418)</f>
        <v/>
      </c>
      <c r="D26419">
        <f>IF(B26419=C26419, "YES", "WRONG")</f>
        <v/>
      </c>
    </row>
    <row r="26420">
      <c r="A26420" t="n">
        <v>26419</v>
      </c>
      <c r="B26420" t="inlineStr">
        <is>
          <t>x̄x̄V̅MCDXIX</t>
        </is>
      </c>
      <c r="C26420">
        <f>ROMAN(26419)</f>
        <v/>
      </c>
      <c r="D26420">
        <f>IF(B26420=C26420, "YES", "WRONG")</f>
        <v/>
      </c>
    </row>
    <row r="26421">
      <c r="A26421" t="n">
        <v>26420</v>
      </c>
      <c r="B26421" t="inlineStr">
        <is>
          <t>x̄x̄V̅MCDXX</t>
        </is>
      </c>
      <c r="C26421">
        <f>ROMAN(26420)</f>
        <v/>
      </c>
      <c r="D26421">
        <f>IF(B26421=C26421, "YES", "WRONG")</f>
        <v/>
      </c>
    </row>
    <row r="26422">
      <c r="A26422" t="n">
        <v>26421</v>
      </c>
      <c r="B26422" t="inlineStr">
        <is>
          <t>x̄x̄V̅MCDXXI</t>
        </is>
      </c>
      <c r="C26422">
        <f>ROMAN(26421)</f>
        <v/>
      </c>
      <c r="D26422">
        <f>IF(B26422=C26422, "YES", "WRONG")</f>
        <v/>
      </c>
    </row>
    <row r="26423">
      <c r="A26423" t="n">
        <v>26422</v>
      </c>
      <c r="B26423" t="inlineStr">
        <is>
          <t>x̄x̄V̅MCDXXII</t>
        </is>
      </c>
      <c r="C26423">
        <f>ROMAN(26422)</f>
        <v/>
      </c>
      <c r="D26423">
        <f>IF(B26423=C26423, "YES", "WRONG")</f>
        <v/>
      </c>
    </row>
    <row r="26424">
      <c r="A26424" t="n">
        <v>26423</v>
      </c>
      <c r="B26424" t="inlineStr">
        <is>
          <t>x̄x̄V̅MCDXXIII</t>
        </is>
      </c>
      <c r="C26424">
        <f>ROMAN(26423)</f>
        <v/>
      </c>
      <c r="D26424">
        <f>IF(B26424=C26424, "YES", "WRONG")</f>
        <v/>
      </c>
    </row>
    <row r="26425">
      <c r="A26425" t="n">
        <v>26424</v>
      </c>
      <c r="B26425" t="inlineStr">
        <is>
          <t>x̄x̄V̅MCDXXIV</t>
        </is>
      </c>
      <c r="C26425">
        <f>ROMAN(26424)</f>
        <v/>
      </c>
      <c r="D26425">
        <f>IF(B26425=C26425, "YES", "WRONG")</f>
        <v/>
      </c>
    </row>
    <row r="26426">
      <c r="A26426" t="n">
        <v>26425</v>
      </c>
      <c r="B26426" t="inlineStr">
        <is>
          <t>x̄x̄V̅MCDXXV</t>
        </is>
      </c>
      <c r="C26426">
        <f>ROMAN(26425)</f>
        <v/>
      </c>
      <c r="D26426">
        <f>IF(B26426=C26426, "YES", "WRONG")</f>
        <v/>
      </c>
    </row>
    <row r="26427">
      <c r="A26427" t="n">
        <v>26426</v>
      </c>
      <c r="B26427" t="inlineStr">
        <is>
          <t>x̄x̄V̅MCDXXVI</t>
        </is>
      </c>
      <c r="C26427">
        <f>ROMAN(26426)</f>
        <v/>
      </c>
      <c r="D26427">
        <f>IF(B26427=C26427, "YES", "WRONG")</f>
        <v/>
      </c>
    </row>
    <row r="26428">
      <c r="A26428" t="n">
        <v>26427</v>
      </c>
      <c r="B26428" t="inlineStr">
        <is>
          <t>x̄x̄V̅MCDXXVII</t>
        </is>
      </c>
      <c r="C26428">
        <f>ROMAN(26427)</f>
        <v/>
      </c>
      <c r="D26428">
        <f>IF(B26428=C26428, "YES", "WRONG")</f>
        <v/>
      </c>
    </row>
    <row r="26429">
      <c r="A26429" t="n">
        <v>26428</v>
      </c>
      <c r="B26429" t="inlineStr">
        <is>
          <t>x̄x̄V̅MCDXXVIII</t>
        </is>
      </c>
      <c r="C26429">
        <f>ROMAN(26428)</f>
        <v/>
      </c>
      <c r="D26429">
        <f>IF(B26429=C26429, "YES", "WRONG")</f>
        <v/>
      </c>
    </row>
    <row r="26430">
      <c r="A26430" t="n">
        <v>26429</v>
      </c>
      <c r="B26430" t="inlineStr">
        <is>
          <t>x̄x̄V̅MCDXXIX</t>
        </is>
      </c>
      <c r="C26430">
        <f>ROMAN(26429)</f>
        <v/>
      </c>
      <c r="D26430">
        <f>IF(B26430=C26430, "YES", "WRONG")</f>
        <v/>
      </c>
    </row>
    <row r="26431">
      <c r="A26431" t="n">
        <v>26430</v>
      </c>
      <c r="B26431" t="inlineStr">
        <is>
          <t>x̄x̄V̅MCDXXX</t>
        </is>
      </c>
      <c r="C26431">
        <f>ROMAN(26430)</f>
        <v/>
      </c>
      <c r="D26431">
        <f>IF(B26431=C26431, "YES", "WRONG")</f>
        <v/>
      </c>
    </row>
    <row r="26432">
      <c r="A26432" t="n">
        <v>26431</v>
      </c>
      <c r="B26432" t="inlineStr">
        <is>
          <t>x̄x̄V̅MCDXXXI</t>
        </is>
      </c>
      <c r="C26432">
        <f>ROMAN(26431)</f>
        <v/>
      </c>
      <c r="D26432">
        <f>IF(B26432=C26432, "YES", "WRONG")</f>
        <v/>
      </c>
    </row>
    <row r="26433">
      <c r="A26433" t="n">
        <v>26432</v>
      </c>
      <c r="B26433" t="inlineStr">
        <is>
          <t>x̄x̄V̅MCDXXXII</t>
        </is>
      </c>
      <c r="C26433">
        <f>ROMAN(26432)</f>
        <v/>
      </c>
      <c r="D26433">
        <f>IF(B26433=C26433, "YES", "WRONG")</f>
        <v/>
      </c>
    </row>
    <row r="26434">
      <c r="A26434" t="n">
        <v>26433</v>
      </c>
      <c r="B26434" t="inlineStr">
        <is>
          <t>x̄x̄V̅MCDXXXIII</t>
        </is>
      </c>
      <c r="C26434">
        <f>ROMAN(26433)</f>
        <v/>
      </c>
      <c r="D26434">
        <f>IF(B26434=C26434, "YES", "WRONG")</f>
        <v/>
      </c>
    </row>
    <row r="26435">
      <c r="A26435" t="n">
        <v>26434</v>
      </c>
      <c r="B26435" t="inlineStr">
        <is>
          <t>x̄x̄V̅MCDXXXIV</t>
        </is>
      </c>
      <c r="C26435">
        <f>ROMAN(26434)</f>
        <v/>
      </c>
      <c r="D26435">
        <f>IF(B26435=C26435, "YES", "WRONG")</f>
        <v/>
      </c>
    </row>
    <row r="26436">
      <c r="A26436" t="n">
        <v>26435</v>
      </c>
      <c r="B26436" t="inlineStr">
        <is>
          <t>x̄x̄V̅MCDXXXV</t>
        </is>
      </c>
      <c r="C26436">
        <f>ROMAN(26435)</f>
        <v/>
      </c>
      <c r="D26436">
        <f>IF(B26436=C26436, "YES", "WRONG")</f>
        <v/>
      </c>
    </row>
    <row r="26437">
      <c r="A26437" t="n">
        <v>26436</v>
      </c>
      <c r="B26437" t="inlineStr">
        <is>
          <t>x̄x̄V̅MCDXXXVI</t>
        </is>
      </c>
      <c r="C26437">
        <f>ROMAN(26436)</f>
        <v/>
      </c>
      <c r="D26437">
        <f>IF(B26437=C26437, "YES", "WRONG")</f>
        <v/>
      </c>
    </row>
    <row r="26438">
      <c r="A26438" t="n">
        <v>26437</v>
      </c>
      <c r="B26438" t="inlineStr">
        <is>
          <t>x̄x̄V̅MCDXXXVII</t>
        </is>
      </c>
      <c r="C26438">
        <f>ROMAN(26437)</f>
        <v/>
      </c>
      <c r="D26438">
        <f>IF(B26438=C26438, "YES", "WRONG")</f>
        <v/>
      </c>
    </row>
    <row r="26439">
      <c r="A26439" t="n">
        <v>26438</v>
      </c>
      <c r="B26439" t="inlineStr">
        <is>
          <t>x̄x̄V̅MCDXXXVIII</t>
        </is>
      </c>
      <c r="C26439">
        <f>ROMAN(26438)</f>
        <v/>
      </c>
      <c r="D26439">
        <f>IF(B26439=C26439, "YES", "WRONG")</f>
        <v/>
      </c>
    </row>
    <row r="26440">
      <c r="A26440" t="n">
        <v>26439</v>
      </c>
      <c r="B26440" t="inlineStr">
        <is>
          <t>x̄x̄V̅MCDXXXIX</t>
        </is>
      </c>
      <c r="C26440">
        <f>ROMAN(26439)</f>
        <v/>
      </c>
      <c r="D26440">
        <f>IF(B26440=C26440, "YES", "WRONG")</f>
        <v/>
      </c>
    </row>
    <row r="26441">
      <c r="A26441" t="n">
        <v>26440</v>
      </c>
      <c r="B26441" t="inlineStr">
        <is>
          <t>x̄x̄V̅MCDXL</t>
        </is>
      </c>
      <c r="C26441">
        <f>ROMAN(26440)</f>
        <v/>
      </c>
      <c r="D26441">
        <f>IF(B26441=C26441, "YES", "WRONG")</f>
        <v/>
      </c>
    </row>
    <row r="26442">
      <c r="A26442" t="n">
        <v>26441</v>
      </c>
      <c r="B26442" t="inlineStr">
        <is>
          <t>x̄x̄V̅MCDXLI</t>
        </is>
      </c>
      <c r="C26442">
        <f>ROMAN(26441)</f>
        <v/>
      </c>
      <c r="D26442">
        <f>IF(B26442=C26442, "YES", "WRONG")</f>
        <v/>
      </c>
    </row>
    <row r="26443">
      <c r="A26443" t="n">
        <v>26442</v>
      </c>
      <c r="B26443" t="inlineStr">
        <is>
          <t>x̄x̄V̅MCDXLII</t>
        </is>
      </c>
      <c r="C26443">
        <f>ROMAN(26442)</f>
        <v/>
      </c>
      <c r="D26443">
        <f>IF(B26443=C26443, "YES", "WRONG")</f>
        <v/>
      </c>
    </row>
    <row r="26444">
      <c r="A26444" t="n">
        <v>26443</v>
      </c>
      <c r="B26444" t="inlineStr">
        <is>
          <t>x̄x̄V̅MCDXLIII</t>
        </is>
      </c>
      <c r="C26444">
        <f>ROMAN(26443)</f>
        <v/>
      </c>
      <c r="D26444">
        <f>IF(B26444=C26444, "YES", "WRONG")</f>
        <v/>
      </c>
    </row>
    <row r="26445">
      <c r="A26445" t="n">
        <v>26444</v>
      </c>
      <c r="B26445" t="inlineStr">
        <is>
          <t>x̄x̄V̅MCDXLIV</t>
        </is>
      </c>
      <c r="C26445">
        <f>ROMAN(26444)</f>
        <v/>
      </c>
      <c r="D26445">
        <f>IF(B26445=C26445, "YES", "WRONG")</f>
        <v/>
      </c>
    </row>
    <row r="26446">
      <c r="A26446" t="n">
        <v>26445</v>
      </c>
      <c r="B26446" t="inlineStr">
        <is>
          <t>x̄x̄V̅MCDXLV</t>
        </is>
      </c>
      <c r="C26446">
        <f>ROMAN(26445)</f>
        <v/>
      </c>
      <c r="D26446">
        <f>IF(B26446=C26446, "YES", "WRONG")</f>
        <v/>
      </c>
    </row>
    <row r="26447">
      <c r="A26447" t="n">
        <v>26446</v>
      </c>
      <c r="B26447" t="inlineStr">
        <is>
          <t>x̄x̄V̅MCDXLVI</t>
        </is>
      </c>
      <c r="C26447">
        <f>ROMAN(26446)</f>
        <v/>
      </c>
      <c r="D26447">
        <f>IF(B26447=C26447, "YES", "WRONG")</f>
        <v/>
      </c>
    </row>
    <row r="26448">
      <c r="A26448" t="n">
        <v>26447</v>
      </c>
      <c r="B26448" t="inlineStr">
        <is>
          <t>x̄x̄V̅MCDXLVII</t>
        </is>
      </c>
      <c r="C26448">
        <f>ROMAN(26447)</f>
        <v/>
      </c>
      <c r="D26448">
        <f>IF(B26448=C26448, "YES", "WRONG")</f>
        <v/>
      </c>
    </row>
    <row r="26449">
      <c r="A26449" t="n">
        <v>26448</v>
      </c>
      <c r="B26449" t="inlineStr">
        <is>
          <t>x̄x̄V̅MCDXLVIII</t>
        </is>
      </c>
      <c r="C26449">
        <f>ROMAN(26448)</f>
        <v/>
      </c>
      <c r="D26449">
        <f>IF(B26449=C26449, "YES", "WRONG")</f>
        <v/>
      </c>
    </row>
    <row r="26450">
      <c r="A26450" t="n">
        <v>26449</v>
      </c>
      <c r="B26450" t="inlineStr">
        <is>
          <t>x̄x̄V̅MCDXLIX</t>
        </is>
      </c>
      <c r="C26450">
        <f>ROMAN(26449)</f>
        <v/>
      </c>
      <c r="D26450">
        <f>IF(B26450=C26450, "YES", "WRONG")</f>
        <v/>
      </c>
    </row>
    <row r="26451">
      <c r="A26451" t="n">
        <v>26450</v>
      </c>
      <c r="B26451" t="inlineStr">
        <is>
          <t>x̄x̄V̅MCDL</t>
        </is>
      </c>
      <c r="C26451">
        <f>ROMAN(26450)</f>
        <v/>
      </c>
      <c r="D26451">
        <f>IF(B26451=C26451, "YES", "WRONG")</f>
        <v/>
      </c>
    </row>
    <row r="26452">
      <c r="A26452" t="n">
        <v>26451</v>
      </c>
      <c r="B26452" t="inlineStr">
        <is>
          <t>x̄x̄V̅MCDLI</t>
        </is>
      </c>
      <c r="C26452">
        <f>ROMAN(26451)</f>
        <v/>
      </c>
      <c r="D26452">
        <f>IF(B26452=C26452, "YES", "WRONG")</f>
        <v/>
      </c>
    </row>
    <row r="26453">
      <c r="A26453" t="n">
        <v>26452</v>
      </c>
      <c r="B26453" t="inlineStr">
        <is>
          <t>x̄x̄V̅MCDLII</t>
        </is>
      </c>
      <c r="C26453">
        <f>ROMAN(26452)</f>
        <v/>
      </c>
      <c r="D26453">
        <f>IF(B26453=C26453, "YES", "WRONG")</f>
        <v/>
      </c>
    </row>
    <row r="26454">
      <c r="A26454" t="n">
        <v>26453</v>
      </c>
      <c r="B26454" t="inlineStr">
        <is>
          <t>x̄x̄V̅MCDLIII</t>
        </is>
      </c>
      <c r="C26454">
        <f>ROMAN(26453)</f>
        <v/>
      </c>
      <c r="D26454">
        <f>IF(B26454=C26454, "YES", "WRONG")</f>
        <v/>
      </c>
    </row>
    <row r="26455">
      <c r="A26455" t="n">
        <v>26454</v>
      </c>
      <c r="B26455" t="inlineStr">
        <is>
          <t>x̄x̄V̅MCDLIV</t>
        </is>
      </c>
      <c r="C26455">
        <f>ROMAN(26454)</f>
        <v/>
      </c>
      <c r="D26455">
        <f>IF(B26455=C26455, "YES", "WRONG")</f>
        <v/>
      </c>
    </row>
    <row r="26456">
      <c r="A26456" t="n">
        <v>26455</v>
      </c>
      <c r="B26456" t="inlineStr">
        <is>
          <t>x̄x̄V̅MCDLV</t>
        </is>
      </c>
      <c r="C26456">
        <f>ROMAN(26455)</f>
        <v/>
      </c>
      <c r="D26456">
        <f>IF(B26456=C26456, "YES", "WRONG")</f>
        <v/>
      </c>
    </row>
    <row r="26457">
      <c r="A26457" t="n">
        <v>26456</v>
      </c>
      <c r="B26457" t="inlineStr">
        <is>
          <t>x̄x̄V̅MCDLVI</t>
        </is>
      </c>
      <c r="C26457">
        <f>ROMAN(26456)</f>
        <v/>
      </c>
      <c r="D26457">
        <f>IF(B26457=C26457, "YES", "WRONG")</f>
        <v/>
      </c>
    </row>
    <row r="26458">
      <c r="A26458" t="n">
        <v>26457</v>
      </c>
      <c r="B26458" t="inlineStr">
        <is>
          <t>x̄x̄V̅MCDLVII</t>
        </is>
      </c>
      <c r="C26458">
        <f>ROMAN(26457)</f>
        <v/>
      </c>
      <c r="D26458">
        <f>IF(B26458=C26458, "YES", "WRONG")</f>
        <v/>
      </c>
    </row>
    <row r="26459">
      <c r="A26459" t="n">
        <v>26458</v>
      </c>
      <c r="B26459" t="inlineStr">
        <is>
          <t>x̄x̄V̅MCDLVIII</t>
        </is>
      </c>
      <c r="C26459">
        <f>ROMAN(26458)</f>
        <v/>
      </c>
      <c r="D26459">
        <f>IF(B26459=C26459, "YES", "WRONG")</f>
        <v/>
      </c>
    </row>
    <row r="26460">
      <c r="A26460" t="n">
        <v>26459</v>
      </c>
      <c r="B26460" t="inlineStr">
        <is>
          <t>x̄x̄V̅MCDLIX</t>
        </is>
      </c>
      <c r="C26460">
        <f>ROMAN(26459)</f>
        <v/>
      </c>
      <c r="D26460">
        <f>IF(B26460=C26460, "YES", "WRONG")</f>
        <v/>
      </c>
    </row>
    <row r="26461">
      <c r="A26461" t="n">
        <v>26460</v>
      </c>
      <c r="B26461" t="inlineStr">
        <is>
          <t>x̄x̄V̅MCDLX</t>
        </is>
      </c>
      <c r="C26461">
        <f>ROMAN(26460)</f>
        <v/>
      </c>
      <c r="D26461">
        <f>IF(B26461=C26461, "YES", "WRONG")</f>
        <v/>
      </c>
    </row>
    <row r="26462">
      <c r="A26462" t="n">
        <v>26461</v>
      </c>
      <c r="B26462" t="inlineStr">
        <is>
          <t>x̄x̄V̅MCDLXI</t>
        </is>
      </c>
      <c r="C26462">
        <f>ROMAN(26461)</f>
        <v/>
      </c>
      <c r="D26462">
        <f>IF(B26462=C26462, "YES", "WRONG")</f>
        <v/>
      </c>
    </row>
    <row r="26463">
      <c r="A26463" t="n">
        <v>26462</v>
      </c>
      <c r="B26463" t="inlineStr">
        <is>
          <t>x̄x̄V̅MCDLXII</t>
        </is>
      </c>
      <c r="C26463">
        <f>ROMAN(26462)</f>
        <v/>
      </c>
      <c r="D26463">
        <f>IF(B26463=C26463, "YES", "WRONG")</f>
        <v/>
      </c>
    </row>
    <row r="26464">
      <c r="A26464" t="n">
        <v>26463</v>
      </c>
      <c r="B26464" t="inlineStr">
        <is>
          <t>x̄x̄V̅MCDLXIII</t>
        </is>
      </c>
      <c r="C26464">
        <f>ROMAN(26463)</f>
        <v/>
      </c>
      <c r="D26464">
        <f>IF(B26464=C26464, "YES", "WRONG")</f>
        <v/>
      </c>
    </row>
    <row r="26465">
      <c r="A26465" t="n">
        <v>26464</v>
      </c>
      <c r="B26465" t="inlineStr">
        <is>
          <t>x̄x̄V̅MCDLXIV</t>
        </is>
      </c>
      <c r="C26465">
        <f>ROMAN(26464)</f>
        <v/>
      </c>
      <c r="D26465">
        <f>IF(B26465=C26465, "YES", "WRONG")</f>
        <v/>
      </c>
    </row>
    <row r="26466">
      <c r="A26466" t="n">
        <v>26465</v>
      </c>
      <c r="B26466" t="inlineStr">
        <is>
          <t>x̄x̄V̅MCDLXV</t>
        </is>
      </c>
      <c r="C26466">
        <f>ROMAN(26465)</f>
        <v/>
      </c>
      <c r="D26466">
        <f>IF(B26466=C26466, "YES", "WRONG")</f>
        <v/>
      </c>
    </row>
    <row r="26467">
      <c r="A26467" t="n">
        <v>26466</v>
      </c>
      <c r="B26467" t="inlineStr">
        <is>
          <t>x̄x̄V̅MCDLXVI</t>
        </is>
      </c>
      <c r="C26467">
        <f>ROMAN(26466)</f>
        <v/>
      </c>
      <c r="D26467">
        <f>IF(B26467=C26467, "YES", "WRONG")</f>
        <v/>
      </c>
    </row>
    <row r="26468">
      <c r="A26468" t="n">
        <v>26467</v>
      </c>
      <c r="B26468" t="inlineStr">
        <is>
          <t>x̄x̄V̅MCDLXVII</t>
        </is>
      </c>
      <c r="C26468">
        <f>ROMAN(26467)</f>
        <v/>
      </c>
      <c r="D26468">
        <f>IF(B26468=C26468, "YES", "WRONG")</f>
        <v/>
      </c>
    </row>
    <row r="26469">
      <c r="A26469" t="n">
        <v>26468</v>
      </c>
      <c r="B26469" t="inlineStr">
        <is>
          <t>x̄x̄V̅MCDLXVIII</t>
        </is>
      </c>
      <c r="C26469">
        <f>ROMAN(26468)</f>
        <v/>
      </c>
      <c r="D26469">
        <f>IF(B26469=C26469, "YES", "WRONG")</f>
        <v/>
      </c>
    </row>
    <row r="26470">
      <c r="A26470" t="n">
        <v>26469</v>
      </c>
      <c r="B26470" t="inlineStr">
        <is>
          <t>x̄x̄V̅MCDLXIX</t>
        </is>
      </c>
      <c r="C26470">
        <f>ROMAN(26469)</f>
        <v/>
      </c>
      <c r="D26470">
        <f>IF(B26470=C26470, "YES", "WRONG")</f>
        <v/>
      </c>
    </row>
    <row r="26471">
      <c r="A26471" t="n">
        <v>26470</v>
      </c>
      <c r="B26471" t="inlineStr">
        <is>
          <t>x̄x̄V̅MCDLXX</t>
        </is>
      </c>
      <c r="C26471">
        <f>ROMAN(26470)</f>
        <v/>
      </c>
      <c r="D26471">
        <f>IF(B26471=C26471, "YES", "WRONG")</f>
        <v/>
      </c>
    </row>
    <row r="26472">
      <c r="A26472" t="n">
        <v>26471</v>
      </c>
      <c r="B26472" t="inlineStr">
        <is>
          <t>x̄x̄V̅MCDLXXI</t>
        </is>
      </c>
      <c r="C26472">
        <f>ROMAN(26471)</f>
        <v/>
      </c>
      <c r="D26472">
        <f>IF(B26472=C26472, "YES", "WRONG")</f>
        <v/>
      </c>
    </row>
    <row r="26473">
      <c r="A26473" t="n">
        <v>26472</v>
      </c>
      <c r="B26473" t="inlineStr">
        <is>
          <t>x̄x̄V̅MCDLXXII</t>
        </is>
      </c>
      <c r="C26473">
        <f>ROMAN(26472)</f>
        <v/>
      </c>
      <c r="D26473">
        <f>IF(B26473=C26473, "YES", "WRONG")</f>
        <v/>
      </c>
    </row>
    <row r="26474">
      <c r="A26474" t="n">
        <v>26473</v>
      </c>
      <c r="B26474" t="inlineStr">
        <is>
          <t>x̄x̄V̅MCDLXXIII</t>
        </is>
      </c>
      <c r="C26474">
        <f>ROMAN(26473)</f>
        <v/>
      </c>
      <c r="D26474">
        <f>IF(B26474=C26474, "YES", "WRONG")</f>
        <v/>
      </c>
    </row>
    <row r="26475">
      <c r="A26475" t="n">
        <v>26474</v>
      </c>
      <c r="B26475" t="inlineStr">
        <is>
          <t>x̄x̄V̅MCDLXXIV</t>
        </is>
      </c>
      <c r="C26475">
        <f>ROMAN(26474)</f>
        <v/>
      </c>
      <c r="D26475">
        <f>IF(B26475=C26475, "YES", "WRONG")</f>
        <v/>
      </c>
    </row>
    <row r="26476">
      <c r="A26476" t="n">
        <v>26475</v>
      </c>
      <c r="B26476" t="inlineStr">
        <is>
          <t>x̄x̄V̅MCDLXXV</t>
        </is>
      </c>
      <c r="C26476">
        <f>ROMAN(26475)</f>
        <v/>
      </c>
      <c r="D26476">
        <f>IF(B26476=C26476, "YES", "WRONG")</f>
        <v/>
      </c>
    </row>
    <row r="26477">
      <c r="A26477" t="n">
        <v>26476</v>
      </c>
      <c r="B26477" t="inlineStr">
        <is>
          <t>x̄x̄V̅MCDLXXVI</t>
        </is>
      </c>
      <c r="C26477">
        <f>ROMAN(26476)</f>
        <v/>
      </c>
      <c r="D26477">
        <f>IF(B26477=C26477, "YES", "WRONG")</f>
        <v/>
      </c>
    </row>
    <row r="26478">
      <c r="A26478" t="n">
        <v>26477</v>
      </c>
      <c r="B26478" t="inlineStr">
        <is>
          <t>x̄x̄V̅MCDLXXVII</t>
        </is>
      </c>
      <c r="C26478">
        <f>ROMAN(26477)</f>
        <v/>
      </c>
      <c r="D26478">
        <f>IF(B26478=C26478, "YES", "WRONG")</f>
        <v/>
      </c>
    </row>
    <row r="26479">
      <c r="A26479" t="n">
        <v>26478</v>
      </c>
      <c r="B26479" t="inlineStr">
        <is>
          <t>x̄x̄V̅MCDLXXVIII</t>
        </is>
      </c>
      <c r="C26479">
        <f>ROMAN(26478)</f>
        <v/>
      </c>
      <c r="D26479">
        <f>IF(B26479=C26479, "YES", "WRONG")</f>
        <v/>
      </c>
    </row>
    <row r="26480">
      <c r="A26480" t="n">
        <v>26479</v>
      </c>
      <c r="B26480" t="inlineStr">
        <is>
          <t>x̄x̄V̅MCDLXXIX</t>
        </is>
      </c>
      <c r="C26480">
        <f>ROMAN(26479)</f>
        <v/>
      </c>
      <c r="D26480">
        <f>IF(B26480=C26480, "YES", "WRONG")</f>
        <v/>
      </c>
    </row>
    <row r="26481">
      <c r="A26481" t="n">
        <v>26480</v>
      </c>
      <c r="B26481" t="inlineStr">
        <is>
          <t>x̄x̄V̅MCDLXXX</t>
        </is>
      </c>
      <c r="C26481">
        <f>ROMAN(26480)</f>
        <v/>
      </c>
      <c r="D26481">
        <f>IF(B26481=C26481, "YES", "WRONG")</f>
        <v/>
      </c>
    </row>
    <row r="26482">
      <c r="A26482" t="n">
        <v>26481</v>
      </c>
      <c r="B26482" t="inlineStr">
        <is>
          <t>x̄x̄V̅MCDLXXXI</t>
        </is>
      </c>
      <c r="C26482">
        <f>ROMAN(26481)</f>
        <v/>
      </c>
      <c r="D26482">
        <f>IF(B26482=C26482, "YES", "WRONG")</f>
        <v/>
      </c>
    </row>
    <row r="26483">
      <c r="A26483" t="n">
        <v>26482</v>
      </c>
      <c r="B26483" t="inlineStr">
        <is>
          <t>x̄x̄V̅MCDLXXXII</t>
        </is>
      </c>
      <c r="C26483">
        <f>ROMAN(26482)</f>
        <v/>
      </c>
      <c r="D26483">
        <f>IF(B26483=C26483, "YES", "WRONG")</f>
        <v/>
      </c>
    </row>
    <row r="26484">
      <c r="A26484" t="n">
        <v>26483</v>
      </c>
      <c r="B26484" t="inlineStr">
        <is>
          <t>x̄x̄V̅MCDLXXXIII</t>
        </is>
      </c>
      <c r="C26484">
        <f>ROMAN(26483)</f>
        <v/>
      </c>
      <c r="D26484">
        <f>IF(B26484=C26484, "YES", "WRONG")</f>
        <v/>
      </c>
    </row>
    <row r="26485">
      <c r="A26485" t="n">
        <v>26484</v>
      </c>
      <c r="B26485" t="inlineStr">
        <is>
          <t>x̄x̄V̅MCDLXXXIV</t>
        </is>
      </c>
      <c r="C26485">
        <f>ROMAN(26484)</f>
        <v/>
      </c>
      <c r="D26485">
        <f>IF(B26485=C26485, "YES", "WRONG")</f>
        <v/>
      </c>
    </row>
    <row r="26486">
      <c r="A26486" t="n">
        <v>26485</v>
      </c>
      <c r="B26486" t="inlineStr">
        <is>
          <t>x̄x̄V̅MCDLXXXV</t>
        </is>
      </c>
      <c r="C26486">
        <f>ROMAN(26485)</f>
        <v/>
      </c>
      <c r="D26486">
        <f>IF(B26486=C26486, "YES", "WRONG")</f>
        <v/>
      </c>
    </row>
    <row r="26487">
      <c r="A26487" t="n">
        <v>26486</v>
      </c>
      <c r="B26487" t="inlineStr">
        <is>
          <t>x̄x̄V̅MCDLXXXVI</t>
        </is>
      </c>
      <c r="C26487">
        <f>ROMAN(26486)</f>
        <v/>
      </c>
      <c r="D26487">
        <f>IF(B26487=C26487, "YES", "WRONG")</f>
        <v/>
      </c>
    </row>
    <row r="26488">
      <c r="A26488" t="n">
        <v>26487</v>
      </c>
      <c r="B26488" t="inlineStr">
        <is>
          <t>x̄x̄V̅MCDLXXXVII</t>
        </is>
      </c>
      <c r="C26488">
        <f>ROMAN(26487)</f>
        <v/>
      </c>
      <c r="D26488">
        <f>IF(B26488=C26488, "YES", "WRONG")</f>
        <v/>
      </c>
    </row>
    <row r="26489">
      <c r="A26489" t="n">
        <v>26488</v>
      </c>
      <c r="B26489" t="inlineStr">
        <is>
          <t>x̄x̄V̅MCDLXXXVIII</t>
        </is>
      </c>
      <c r="C26489">
        <f>ROMAN(26488)</f>
        <v/>
      </c>
      <c r="D26489">
        <f>IF(B26489=C26489, "YES", "WRONG")</f>
        <v/>
      </c>
    </row>
    <row r="26490">
      <c r="A26490" t="n">
        <v>26489</v>
      </c>
      <c r="B26490" t="inlineStr">
        <is>
          <t>x̄x̄V̅MCDLXXXIX</t>
        </is>
      </c>
      <c r="C26490">
        <f>ROMAN(26489)</f>
        <v/>
      </c>
      <c r="D26490">
        <f>IF(B26490=C26490, "YES", "WRONG")</f>
        <v/>
      </c>
    </row>
    <row r="26491">
      <c r="A26491" t="n">
        <v>26490</v>
      </c>
      <c r="B26491" t="inlineStr">
        <is>
          <t>x̄x̄V̅MCDXC</t>
        </is>
      </c>
      <c r="C26491">
        <f>ROMAN(26490)</f>
        <v/>
      </c>
      <c r="D26491">
        <f>IF(B26491=C26491, "YES", "WRONG")</f>
        <v/>
      </c>
    </row>
    <row r="26492">
      <c r="A26492" t="n">
        <v>26491</v>
      </c>
      <c r="B26492" t="inlineStr">
        <is>
          <t>x̄x̄V̅MCDXCI</t>
        </is>
      </c>
      <c r="C26492">
        <f>ROMAN(26491)</f>
        <v/>
      </c>
      <c r="D26492">
        <f>IF(B26492=C26492, "YES", "WRONG")</f>
        <v/>
      </c>
    </row>
    <row r="26493">
      <c r="A26493" t="n">
        <v>26492</v>
      </c>
      <c r="B26493" t="inlineStr">
        <is>
          <t>x̄x̄V̅MCDXCII</t>
        </is>
      </c>
      <c r="C26493">
        <f>ROMAN(26492)</f>
        <v/>
      </c>
      <c r="D26493">
        <f>IF(B26493=C26493, "YES", "WRONG")</f>
        <v/>
      </c>
    </row>
    <row r="26494">
      <c r="A26494" t="n">
        <v>26493</v>
      </c>
      <c r="B26494" t="inlineStr">
        <is>
          <t>x̄x̄V̅MCDXCIII</t>
        </is>
      </c>
      <c r="C26494">
        <f>ROMAN(26493)</f>
        <v/>
      </c>
      <c r="D26494">
        <f>IF(B26494=C26494, "YES", "WRONG")</f>
        <v/>
      </c>
    </row>
    <row r="26495">
      <c r="A26495" t="n">
        <v>26494</v>
      </c>
      <c r="B26495" t="inlineStr">
        <is>
          <t>x̄x̄V̅MCDXCIV</t>
        </is>
      </c>
      <c r="C26495">
        <f>ROMAN(26494)</f>
        <v/>
      </c>
      <c r="D26495">
        <f>IF(B26495=C26495, "YES", "WRONG")</f>
        <v/>
      </c>
    </row>
    <row r="26496">
      <c r="A26496" t="n">
        <v>26495</v>
      </c>
      <c r="B26496" t="inlineStr">
        <is>
          <t>x̄x̄V̅MCDXCV</t>
        </is>
      </c>
      <c r="C26496">
        <f>ROMAN(26495)</f>
        <v/>
      </c>
      <c r="D26496">
        <f>IF(B26496=C26496, "YES", "WRONG")</f>
        <v/>
      </c>
    </row>
    <row r="26497">
      <c r="A26497" t="n">
        <v>26496</v>
      </c>
      <c r="B26497" t="inlineStr">
        <is>
          <t>x̄x̄V̅MCDXCVI</t>
        </is>
      </c>
      <c r="C26497">
        <f>ROMAN(26496)</f>
        <v/>
      </c>
      <c r="D26497">
        <f>IF(B26497=C26497, "YES", "WRONG")</f>
        <v/>
      </c>
    </row>
    <row r="26498">
      <c r="A26498" t="n">
        <v>26497</v>
      </c>
      <c r="B26498" t="inlineStr">
        <is>
          <t>x̄x̄V̅MCDXCVII</t>
        </is>
      </c>
      <c r="C26498">
        <f>ROMAN(26497)</f>
        <v/>
      </c>
      <c r="D26498">
        <f>IF(B26498=C26498, "YES", "WRONG")</f>
        <v/>
      </c>
    </row>
    <row r="26499">
      <c r="A26499" t="n">
        <v>26498</v>
      </c>
      <c r="B26499" t="inlineStr">
        <is>
          <t>x̄x̄V̅MCDXCVIII</t>
        </is>
      </c>
      <c r="C26499">
        <f>ROMAN(26498)</f>
        <v/>
      </c>
      <c r="D26499">
        <f>IF(B26499=C26499, "YES", "WRONG")</f>
        <v/>
      </c>
    </row>
    <row r="26500">
      <c r="A26500" t="n">
        <v>26499</v>
      </c>
      <c r="B26500" t="inlineStr">
        <is>
          <t>x̄x̄V̅MCDXCIX</t>
        </is>
      </c>
      <c r="C26500">
        <f>ROMAN(26499)</f>
        <v/>
      </c>
      <c r="D26500">
        <f>IF(B26500=C26500, "YES", "WRONG")</f>
        <v/>
      </c>
    </row>
    <row r="26501">
      <c r="A26501" t="n">
        <v>26500</v>
      </c>
      <c r="B26501" t="inlineStr">
        <is>
          <t>x̄x̄V̅MD</t>
        </is>
      </c>
      <c r="C26501">
        <f>ROMAN(26500)</f>
        <v/>
      </c>
      <c r="D26501">
        <f>IF(B26501=C26501, "YES", "WRONG")</f>
        <v/>
      </c>
    </row>
    <row r="26502">
      <c r="A26502" t="n">
        <v>26501</v>
      </c>
      <c r="B26502" t="inlineStr">
        <is>
          <t>x̄x̄V̅MDI</t>
        </is>
      </c>
      <c r="C26502">
        <f>ROMAN(26501)</f>
        <v/>
      </c>
      <c r="D26502">
        <f>IF(B26502=C26502, "YES", "WRONG")</f>
        <v/>
      </c>
    </row>
    <row r="26503">
      <c r="A26503" t="n">
        <v>26502</v>
      </c>
      <c r="B26503" t="inlineStr">
        <is>
          <t>x̄x̄V̅MDII</t>
        </is>
      </c>
      <c r="C26503">
        <f>ROMAN(26502)</f>
        <v/>
      </c>
      <c r="D26503">
        <f>IF(B26503=C26503, "YES", "WRONG")</f>
        <v/>
      </c>
    </row>
    <row r="26504">
      <c r="A26504" t="n">
        <v>26503</v>
      </c>
      <c r="B26504" t="inlineStr">
        <is>
          <t>x̄x̄V̅MDIII</t>
        </is>
      </c>
      <c r="C26504">
        <f>ROMAN(26503)</f>
        <v/>
      </c>
      <c r="D26504">
        <f>IF(B26504=C26504, "YES", "WRONG")</f>
        <v/>
      </c>
    </row>
    <row r="26505">
      <c r="A26505" t="n">
        <v>26504</v>
      </c>
      <c r="B26505" t="inlineStr">
        <is>
          <t>x̄x̄V̅MDIV</t>
        </is>
      </c>
      <c r="C26505">
        <f>ROMAN(26504)</f>
        <v/>
      </c>
      <c r="D26505">
        <f>IF(B26505=C26505, "YES", "WRONG")</f>
        <v/>
      </c>
    </row>
    <row r="26506">
      <c r="A26506" t="n">
        <v>26505</v>
      </c>
      <c r="B26506" t="inlineStr">
        <is>
          <t>x̄x̄V̅MDV</t>
        </is>
      </c>
      <c r="C26506">
        <f>ROMAN(26505)</f>
        <v/>
      </c>
      <c r="D26506">
        <f>IF(B26506=C26506, "YES", "WRONG")</f>
        <v/>
      </c>
    </row>
    <row r="26507">
      <c r="A26507" t="n">
        <v>26506</v>
      </c>
      <c r="B26507" t="inlineStr">
        <is>
          <t>x̄x̄V̅MDVI</t>
        </is>
      </c>
      <c r="C26507">
        <f>ROMAN(26506)</f>
        <v/>
      </c>
      <c r="D26507">
        <f>IF(B26507=C26507, "YES", "WRONG")</f>
        <v/>
      </c>
    </row>
    <row r="26508">
      <c r="A26508" t="n">
        <v>26507</v>
      </c>
      <c r="B26508" t="inlineStr">
        <is>
          <t>x̄x̄V̅MDVII</t>
        </is>
      </c>
      <c r="C26508">
        <f>ROMAN(26507)</f>
        <v/>
      </c>
      <c r="D26508">
        <f>IF(B26508=C26508, "YES", "WRONG")</f>
        <v/>
      </c>
    </row>
    <row r="26509">
      <c r="A26509" t="n">
        <v>26508</v>
      </c>
      <c r="B26509" t="inlineStr">
        <is>
          <t>x̄x̄V̅MDVIII</t>
        </is>
      </c>
      <c r="C26509">
        <f>ROMAN(26508)</f>
        <v/>
      </c>
      <c r="D26509">
        <f>IF(B26509=C26509, "YES", "WRONG")</f>
        <v/>
      </c>
    </row>
    <row r="26510">
      <c r="A26510" t="n">
        <v>26509</v>
      </c>
      <c r="B26510" t="inlineStr">
        <is>
          <t>x̄x̄V̅MDIX</t>
        </is>
      </c>
      <c r="C26510">
        <f>ROMAN(26509)</f>
        <v/>
      </c>
      <c r="D26510">
        <f>IF(B26510=C26510, "YES", "WRONG")</f>
        <v/>
      </c>
    </row>
    <row r="26511">
      <c r="A26511" t="n">
        <v>26510</v>
      </c>
      <c r="B26511" t="inlineStr">
        <is>
          <t>x̄x̄V̅MDX</t>
        </is>
      </c>
      <c r="C26511">
        <f>ROMAN(26510)</f>
        <v/>
      </c>
      <c r="D26511">
        <f>IF(B26511=C26511, "YES", "WRONG")</f>
        <v/>
      </c>
    </row>
    <row r="26512">
      <c r="A26512" t="n">
        <v>26511</v>
      </c>
      <c r="B26512" t="inlineStr">
        <is>
          <t>x̄x̄V̅MDXI</t>
        </is>
      </c>
      <c r="C26512">
        <f>ROMAN(26511)</f>
        <v/>
      </c>
      <c r="D26512">
        <f>IF(B26512=C26512, "YES", "WRONG")</f>
        <v/>
      </c>
    </row>
    <row r="26513">
      <c r="A26513" t="n">
        <v>26512</v>
      </c>
      <c r="B26513" t="inlineStr">
        <is>
          <t>x̄x̄V̅MDXII</t>
        </is>
      </c>
      <c r="C26513">
        <f>ROMAN(26512)</f>
        <v/>
      </c>
      <c r="D26513">
        <f>IF(B26513=C26513, "YES", "WRONG")</f>
        <v/>
      </c>
    </row>
    <row r="26514">
      <c r="A26514" t="n">
        <v>26513</v>
      </c>
      <c r="B26514" t="inlineStr">
        <is>
          <t>x̄x̄V̅MDXIII</t>
        </is>
      </c>
      <c r="C26514">
        <f>ROMAN(26513)</f>
        <v/>
      </c>
      <c r="D26514">
        <f>IF(B26514=C26514, "YES", "WRONG")</f>
        <v/>
      </c>
    </row>
    <row r="26515">
      <c r="A26515" t="n">
        <v>26514</v>
      </c>
      <c r="B26515" t="inlineStr">
        <is>
          <t>x̄x̄V̅MDXIV</t>
        </is>
      </c>
      <c r="C26515">
        <f>ROMAN(26514)</f>
        <v/>
      </c>
      <c r="D26515">
        <f>IF(B26515=C26515, "YES", "WRONG")</f>
        <v/>
      </c>
    </row>
    <row r="26516">
      <c r="A26516" t="n">
        <v>26515</v>
      </c>
      <c r="B26516" t="inlineStr">
        <is>
          <t>x̄x̄V̅MDXV</t>
        </is>
      </c>
      <c r="C26516">
        <f>ROMAN(26515)</f>
        <v/>
      </c>
      <c r="D26516">
        <f>IF(B26516=C26516, "YES", "WRONG")</f>
        <v/>
      </c>
    </row>
    <row r="26517">
      <c r="A26517" t="n">
        <v>26516</v>
      </c>
      <c r="B26517" t="inlineStr">
        <is>
          <t>x̄x̄V̅MDXVI</t>
        </is>
      </c>
      <c r="C26517">
        <f>ROMAN(26516)</f>
        <v/>
      </c>
      <c r="D26517">
        <f>IF(B26517=C26517, "YES", "WRONG")</f>
        <v/>
      </c>
    </row>
    <row r="26518">
      <c r="A26518" t="n">
        <v>26517</v>
      </c>
      <c r="B26518" t="inlineStr">
        <is>
          <t>x̄x̄V̅MDXVII</t>
        </is>
      </c>
      <c r="C26518">
        <f>ROMAN(26517)</f>
        <v/>
      </c>
      <c r="D26518">
        <f>IF(B26518=C26518, "YES", "WRONG")</f>
        <v/>
      </c>
    </row>
    <row r="26519">
      <c r="A26519" t="n">
        <v>26518</v>
      </c>
      <c r="B26519" t="inlineStr">
        <is>
          <t>x̄x̄V̅MDXVIII</t>
        </is>
      </c>
      <c r="C26519">
        <f>ROMAN(26518)</f>
        <v/>
      </c>
      <c r="D26519">
        <f>IF(B26519=C26519, "YES", "WRONG")</f>
        <v/>
      </c>
    </row>
    <row r="26520">
      <c r="A26520" t="n">
        <v>26519</v>
      </c>
      <c r="B26520" t="inlineStr">
        <is>
          <t>x̄x̄V̅MDXIX</t>
        </is>
      </c>
      <c r="C26520">
        <f>ROMAN(26519)</f>
        <v/>
      </c>
      <c r="D26520">
        <f>IF(B26520=C26520, "YES", "WRONG")</f>
        <v/>
      </c>
    </row>
    <row r="26521">
      <c r="A26521" t="n">
        <v>26520</v>
      </c>
      <c r="B26521" t="inlineStr">
        <is>
          <t>x̄x̄V̅MDXX</t>
        </is>
      </c>
      <c r="C26521">
        <f>ROMAN(26520)</f>
        <v/>
      </c>
      <c r="D26521">
        <f>IF(B26521=C26521, "YES", "WRONG")</f>
        <v/>
      </c>
    </row>
    <row r="26522">
      <c r="A26522" t="n">
        <v>26521</v>
      </c>
      <c r="B26522" t="inlineStr">
        <is>
          <t>x̄x̄V̅MDXXI</t>
        </is>
      </c>
      <c r="C26522">
        <f>ROMAN(26521)</f>
        <v/>
      </c>
      <c r="D26522">
        <f>IF(B26522=C26522, "YES", "WRONG")</f>
        <v/>
      </c>
    </row>
    <row r="26523">
      <c r="A26523" t="n">
        <v>26522</v>
      </c>
      <c r="B26523" t="inlineStr">
        <is>
          <t>x̄x̄V̅MDXXII</t>
        </is>
      </c>
      <c r="C26523">
        <f>ROMAN(26522)</f>
        <v/>
      </c>
      <c r="D26523">
        <f>IF(B26523=C26523, "YES", "WRONG")</f>
        <v/>
      </c>
    </row>
    <row r="26524">
      <c r="A26524" t="n">
        <v>26523</v>
      </c>
      <c r="B26524" t="inlineStr">
        <is>
          <t>x̄x̄V̅MDXXIII</t>
        </is>
      </c>
      <c r="C26524">
        <f>ROMAN(26523)</f>
        <v/>
      </c>
      <c r="D26524">
        <f>IF(B26524=C26524, "YES", "WRONG")</f>
        <v/>
      </c>
    </row>
    <row r="26525">
      <c r="A26525" t="n">
        <v>26524</v>
      </c>
      <c r="B26525" t="inlineStr">
        <is>
          <t>x̄x̄V̅MDXXIV</t>
        </is>
      </c>
      <c r="C26525">
        <f>ROMAN(26524)</f>
        <v/>
      </c>
      <c r="D26525">
        <f>IF(B26525=C26525, "YES", "WRONG")</f>
        <v/>
      </c>
    </row>
    <row r="26526">
      <c r="A26526" t="n">
        <v>26525</v>
      </c>
      <c r="B26526" t="inlineStr">
        <is>
          <t>x̄x̄V̅MDXXV</t>
        </is>
      </c>
      <c r="C26526">
        <f>ROMAN(26525)</f>
        <v/>
      </c>
      <c r="D26526">
        <f>IF(B26526=C26526, "YES", "WRONG")</f>
        <v/>
      </c>
    </row>
    <row r="26527">
      <c r="A26527" t="n">
        <v>26526</v>
      </c>
      <c r="B26527" t="inlineStr">
        <is>
          <t>x̄x̄V̅MDXXVI</t>
        </is>
      </c>
      <c r="C26527">
        <f>ROMAN(26526)</f>
        <v/>
      </c>
      <c r="D26527">
        <f>IF(B26527=C26527, "YES", "WRONG")</f>
        <v/>
      </c>
    </row>
    <row r="26528">
      <c r="A26528" t="n">
        <v>26527</v>
      </c>
      <c r="B26528" t="inlineStr">
        <is>
          <t>x̄x̄V̅MDXXVII</t>
        </is>
      </c>
      <c r="C26528">
        <f>ROMAN(26527)</f>
        <v/>
      </c>
      <c r="D26528">
        <f>IF(B26528=C26528, "YES", "WRONG")</f>
        <v/>
      </c>
    </row>
    <row r="26529">
      <c r="A26529" t="n">
        <v>26528</v>
      </c>
      <c r="B26529" t="inlineStr">
        <is>
          <t>x̄x̄V̅MDXXVIII</t>
        </is>
      </c>
      <c r="C26529">
        <f>ROMAN(26528)</f>
        <v/>
      </c>
      <c r="D26529">
        <f>IF(B26529=C26529, "YES", "WRONG")</f>
        <v/>
      </c>
    </row>
    <row r="26530">
      <c r="A26530" t="n">
        <v>26529</v>
      </c>
      <c r="B26530" t="inlineStr">
        <is>
          <t>x̄x̄V̅MDXXIX</t>
        </is>
      </c>
      <c r="C26530">
        <f>ROMAN(26529)</f>
        <v/>
      </c>
      <c r="D26530">
        <f>IF(B26530=C26530, "YES", "WRONG")</f>
        <v/>
      </c>
    </row>
    <row r="26531">
      <c r="A26531" t="n">
        <v>26530</v>
      </c>
      <c r="B26531" t="inlineStr">
        <is>
          <t>x̄x̄V̅MDXXX</t>
        </is>
      </c>
      <c r="C26531">
        <f>ROMAN(26530)</f>
        <v/>
      </c>
      <c r="D26531">
        <f>IF(B26531=C26531, "YES", "WRONG")</f>
        <v/>
      </c>
    </row>
    <row r="26532">
      <c r="A26532" t="n">
        <v>26531</v>
      </c>
      <c r="B26532" t="inlineStr">
        <is>
          <t>x̄x̄V̅MDXXXI</t>
        </is>
      </c>
      <c r="C26532">
        <f>ROMAN(26531)</f>
        <v/>
      </c>
      <c r="D26532">
        <f>IF(B26532=C26532, "YES", "WRONG")</f>
        <v/>
      </c>
    </row>
    <row r="26533">
      <c r="A26533" t="n">
        <v>26532</v>
      </c>
      <c r="B26533" t="inlineStr">
        <is>
          <t>x̄x̄V̅MDXXXII</t>
        </is>
      </c>
      <c r="C26533">
        <f>ROMAN(26532)</f>
        <v/>
      </c>
      <c r="D26533">
        <f>IF(B26533=C26533, "YES", "WRONG")</f>
        <v/>
      </c>
    </row>
    <row r="26534">
      <c r="A26534" t="n">
        <v>26533</v>
      </c>
      <c r="B26534" t="inlineStr">
        <is>
          <t>x̄x̄V̅MDXXXIII</t>
        </is>
      </c>
      <c r="C26534">
        <f>ROMAN(26533)</f>
        <v/>
      </c>
      <c r="D26534">
        <f>IF(B26534=C26534, "YES", "WRONG")</f>
        <v/>
      </c>
    </row>
    <row r="26535">
      <c r="A26535" t="n">
        <v>26534</v>
      </c>
      <c r="B26535" t="inlineStr">
        <is>
          <t>x̄x̄V̅MDXXXIV</t>
        </is>
      </c>
      <c r="C26535">
        <f>ROMAN(26534)</f>
        <v/>
      </c>
      <c r="D26535">
        <f>IF(B26535=C26535, "YES", "WRONG")</f>
        <v/>
      </c>
    </row>
    <row r="26536">
      <c r="A26536" t="n">
        <v>26535</v>
      </c>
      <c r="B26536" t="inlineStr">
        <is>
          <t>x̄x̄V̅MDXXXV</t>
        </is>
      </c>
      <c r="C26536">
        <f>ROMAN(26535)</f>
        <v/>
      </c>
      <c r="D26536">
        <f>IF(B26536=C26536, "YES", "WRONG")</f>
        <v/>
      </c>
    </row>
    <row r="26537">
      <c r="A26537" t="n">
        <v>26536</v>
      </c>
      <c r="B26537" t="inlineStr">
        <is>
          <t>x̄x̄V̅MDXXXVI</t>
        </is>
      </c>
      <c r="C26537">
        <f>ROMAN(26536)</f>
        <v/>
      </c>
      <c r="D26537">
        <f>IF(B26537=C26537, "YES", "WRONG")</f>
        <v/>
      </c>
    </row>
    <row r="26538">
      <c r="A26538" t="n">
        <v>26537</v>
      </c>
      <c r="B26538" t="inlineStr">
        <is>
          <t>x̄x̄V̅MDXXXVII</t>
        </is>
      </c>
      <c r="C26538">
        <f>ROMAN(26537)</f>
        <v/>
      </c>
      <c r="D26538">
        <f>IF(B26538=C26538, "YES", "WRONG")</f>
        <v/>
      </c>
    </row>
    <row r="26539">
      <c r="A26539" t="n">
        <v>26538</v>
      </c>
      <c r="B26539" t="inlineStr">
        <is>
          <t>x̄x̄V̅MDXXXVIII</t>
        </is>
      </c>
      <c r="C26539">
        <f>ROMAN(26538)</f>
        <v/>
      </c>
      <c r="D26539">
        <f>IF(B26539=C26539, "YES", "WRONG")</f>
        <v/>
      </c>
    </row>
    <row r="26540">
      <c r="A26540" t="n">
        <v>26539</v>
      </c>
      <c r="B26540" t="inlineStr">
        <is>
          <t>x̄x̄V̅MDXXXIX</t>
        </is>
      </c>
      <c r="C26540">
        <f>ROMAN(26539)</f>
        <v/>
      </c>
      <c r="D26540">
        <f>IF(B26540=C26540, "YES", "WRONG")</f>
        <v/>
      </c>
    </row>
    <row r="26541">
      <c r="A26541" t="n">
        <v>26540</v>
      </c>
      <c r="B26541" t="inlineStr">
        <is>
          <t>x̄x̄V̅MDXL</t>
        </is>
      </c>
      <c r="C26541">
        <f>ROMAN(26540)</f>
        <v/>
      </c>
      <c r="D26541">
        <f>IF(B26541=C26541, "YES", "WRONG")</f>
        <v/>
      </c>
    </row>
    <row r="26542">
      <c r="A26542" t="n">
        <v>26541</v>
      </c>
      <c r="B26542" t="inlineStr">
        <is>
          <t>x̄x̄V̅MDXLI</t>
        </is>
      </c>
      <c r="C26542">
        <f>ROMAN(26541)</f>
        <v/>
      </c>
      <c r="D26542">
        <f>IF(B26542=C26542, "YES", "WRONG")</f>
        <v/>
      </c>
    </row>
    <row r="26543">
      <c r="A26543" t="n">
        <v>26542</v>
      </c>
      <c r="B26543" t="inlineStr">
        <is>
          <t>x̄x̄V̅MDXLII</t>
        </is>
      </c>
      <c r="C26543">
        <f>ROMAN(26542)</f>
        <v/>
      </c>
      <c r="D26543">
        <f>IF(B26543=C26543, "YES", "WRONG")</f>
        <v/>
      </c>
    </row>
    <row r="26544">
      <c r="A26544" t="n">
        <v>26543</v>
      </c>
      <c r="B26544" t="inlineStr">
        <is>
          <t>x̄x̄V̅MDXLIII</t>
        </is>
      </c>
      <c r="C26544">
        <f>ROMAN(26543)</f>
        <v/>
      </c>
      <c r="D26544">
        <f>IF(B26544=C26544, "YES", "WRONG")</f>
        <v/>
      </c>
    </row>
    <row r="26545">
      <c r="A26545" t="n">
        <v>26544</v>
      </c>
      <c r="B26545" t="inlineStr">
        <is>
          <t>x̄x̄V̅MDXLIV</t>
        </is>
      </c>
      <c r="C26545">
        <f>ROMAN(26544)</f>
        <v/>
      </c>
      <c r="D26545">
        <f>IF(B26545=C26545, "YES", "WRONG")</f>
        <v/>
      </c>
    </row>
    <row r="26546">
      <c r="A26546" t="n">
        <v>26545</v>
      </c>
      <c r="B26546" t="inlineStr">
        <is>
          <t>x̄x̄V̅MDXLV</t>
        </is>
      </c>
      <c r="C26546">
        <f>ROMAN(26545)</f>
        <v/>
      </c>
      <c r="D26546">
        <f>IF(B26546=C26546, "YES", "WRONG")</f>
        <v/>
      </c>
    </row>
    <row r="26547">
      <c r="A26547" t="n">
        <v>26546</v>
      </c>
      <c r="B26547" t="inlineStr">
        <is>
          <t>x̄x̄V̅MDXLVI</t>
        </is>
      </c>
      <c r="C26547">
        <f>ROMAN(26546)</f>
        <v/>
      </c>
      <c r="D26547">
        <f>IF(B26547=C26547, "YES", "WRONG")</f>
        <v/>
      </c>
    </row>
    <row r="26548">
      <c r="A26548" t="n">
        <v>26547</v>
      </c>
      <c r="B26548" t="inlineStr">
        <is>
          <t>x̄x̄V̅MDXLVII</t>
        </is>
      </c>
      <c r="C26548">
        <f>ROMAN(26547)</f>
        <v/>
      </c>
      <c r="D26548">
        <f>IF(B26548=C26548, "YES", "WRONG")</f>
        <v/>
      </c>
    </row>
    <row r="26549">
      <c r="A26549" t="n">
        <v>26548</v>
      </c>
      <c r="B26549" t="inlineStr">
        <is>
          <t>x̄x̄V̅MDXLVIII</t>
        </is>
      </c>
      <c r="C26549">
        <f>ROMAN(26548)</f>
        <v/>
      </c>
      <c r="D26549">
        <f>IF(B26549=C26549, "YES", "WRONG")</f>
        <v/>
      </c>
    </row>
    <row r="26550">
      <c r="A26550" t="n">
        <v>26549</v>
      </c>
      <c r="B26550" t="inlineStr">
        <is>
          <t>x̄x̄V̅MDXLIX</t>
        </is>
      </c>
      <c r="C26550">
        <f>ROMAN(26549)</f>
        <v/>
      </c>
      <c r="D26550">
        <f>IF(B26550=C26550, "YES", "WRONG")</f>
        <v/>
      </c>
    </row>
    <row r="26551">
      <c r="A26551" t="n">
        <v>26550</v>
      </c>
      <c r="B26551" t="inlineStr">
        <is>
          <t>x̄x̄V̅MDL</t>
        </is>
      </c>
      <c r="C26551">
        <f>ROMAN(26550)</f>
        <v/>
      </c>
      <c r="D26551">
        <f>IF(B26551=C26551, "YES", "WRONG")</f>
        <v/>
      </c>
    </row>
    <row r="26552">
      <c r="A26552" t="n">
        <v>26551</v>
      </c>
      <c r="B26552" t="inlineStr">
        <is>
          <t>x̄x̄V̅MDLI</t>
        </is>
      </c>
      <c r="C26552">
        <f>ROMAN(26551)</f>
        <v/>
      </c>
      <c r="D26552">
        <f>IF(B26552=C26552, "YES", "WRONG")</f>
        <v/>
      </c>
    </row>
    <row r="26553">
      <c r="A26553" t="n">
        <v>26552</v>
      </c>
      <c r="B26553" t="inlineStr">
        <is>
          <t>x̄x̄V̅MDLII</t>
        </is>
      </c>
      <c r="C26553">
        <f>ROMAN(26552)</f>
        <v/>
      </c>
      <c r="D26553">
        <f>IF(B26553=C26553, "YES", "WRONG")</f>
        <v/>
      </c>
    </row>
    <row r="26554">
      <c r="A26554" t="n">
        <v>26553</v>
      </c>
      <c r="B26554" t="inlineStr">
        <is>
          <t>x̄x̄V̅MDLIII</t>
        </is>
      </c>
      <c r="C26554">
        <f>ROMAN(26553)</f>
        <v/>
      </c>
      <c r="D26554">
        <f>IF(B26554=C26554, "YES", "WRONG")</f>
        <v/>
      </c>
    </row>
    <row r="26555">
      <c r="A26555" t="n">
        <v>26554</v>
      </c>
      <c r="B26555" t="inlineStr">
        <is>
          <t>x̄x̄V̅MDLIV</t>
        </is>
      </c>
      <c r="C26555">
        <f>ROMAN(26554)</f>
        <v/>
      </c>
      <c r="D26555">
        <f>IF(B26555=C26555, "YES", "WRONG")</f>
        <v/>
      </c>
    </row>
    <row r="26556">
      <c r="A26556" t="n">
        <v>26555</v>
      </c>
      <c r="B26556" t="inlineStr">
        <is>
          <t>x̄x̄V̅MDLV</t>
        </is>
      </c>
      <c r="C26556">
        <f>ROMAN(26555)</f>
        <v/>
      </c>
      <c r="D26556">
        <f>IF(B26556=C26556, "YES", "WRONG")</f>
        <v/>
      </c>
    </row>
    <row r="26557">
      <c r="A26557" t="n">
        <v>26556</v>
      </c>
      <c r="B26557" t="inlineStr">
        <is>
          <t>x̄x̄V̅MDLVI</t>
        </is>
      </c>
      <c r="C26557">
        <f>ROMAN(26556)</f>
        <v/>
      </c>
      <c r="D26557">
        <f>IF(B26557=C26557, "YES", "WRONG")</f>
        <v/>
      </c>
    </row>
    <row r="26558">
      <c r="A26558" t="n">
        <v>26557</v>
      </c>
      <c r="B26558" t="inlineStr">
        <is>
          <t>x̄x̄V̅MDLVII</t>
        </is>
      </c>
      <c r="C26558">
        <f>ROMAN(26557)</f>
        <v/>
      </c>
      <c r="D26558">
        <f>IF(B26558=C26558, "YES", "WRONG")</f>
        <v/>
      </c>
    </row>
    <row r="26559">
      <c r="A26559" t="n">
        <v>26558</v>
      </c>
      <c r="B26559" t="inlineStr">
        <is>
          <t>x̄x̄V̅MDLVIII</t>
        </is>
      </c>
      <c r="C26559">
        <f>ROMAN(26558)</f>
        <v/>
      </c>
      <c r="D26559">
        <f>IF(B26559=C26559, "YES", "WRONG")</f>
        <v/>
      </c>
    </row>
    <row r="26560">
      <c r="A26560" t="n">
        <v>26559</v>
      </c>
      <c r="B26560" t="inlineStr">
        <is>
          <t>x̄x̄V̅MDLIX</t>
        </is>
      </c>
      <c r="C26560">
        <f>ROMAN(26559)</f>
        <v/>
      </c>
      <c r="D26560">
        <f>IF(B26560=C26560, "YES", "WRONG")</f>
        <v/>
      </c>
    </row>
    <row r="26561">
      <c r="A26561" t="n">
        <v>26560</v>
      </c>
      <c r="B26561" t="inlineStr">
        <is>
          <t>x̄x̄V̅MDLX</t>
        </is>
      </c>
      <c r="C26561">
        <f>ROMAN(26560)</f>
        <v/>
      </c>
      <c r="D26561">
        <f>IF(B26561=C26561, "YES", "WRONG")</f>
        <v/>
      </c>
    </row>
    <row r="26562">
      <c r="A26562" t="n">
        <v>26561</v>
      </c>
      <c r="B26562" t="inlineStr">
        <is>
          <t>x̄x̄V̅MDLXI</t>
        </is>
      </c>
      <c r="C26562">
        <f>ROMAN(26561)</f>
        <v/>
      </c>
      <c r="D26562">
        <f>IF(B26562=C26562, "YES", "WRONG")</f>
        <v/>
      </c>
    </row>
    <row r="26563">
      <c r="A26563" t="n">
        <v>26562</v>
      </c>
      <c r="B26563" t="inlineStr">
        <is>
          <t>x̄x̄V̅MDLXII</t>
        </is>
      </c>
      <c r="C26563">
        <f>ROMAN(26562)</f>
        <v/>
      </c>
      <c r="D26563">
        <f>IF(B26563=C26563, "YES", "WRONG")</f>
        <v/>
      </c>
    </row>
    <row r="26564">
      <c r="A26564" t="n">
        <v>26563</v>
      </c>
      <c r="B26564" t="inlineStr">
        <is>
          <t>x̄x̄V̅MDLXIII</t>
        </is>
      </c>
      <c r="C26564">
        <f>ROMAN(26563)</f>
        <v/>
      </c>
      <c r="D26564">
        <f>IF(B26564=C26564, "YES", "WRONG")</f>
        <v/>
      </c>
    </row>
    <row r="26565">
      <c r="A26565" t="n">
        <v>26564</v>
      </c>
      <c r="B26565" t="inlineStr">
        <is>
          <t>x̄x̄V̅MDLXIV</t>
        </is>
      </c>
      <c r="C26565">
        <f>ROMAN(26564)</f>
        <v/>
      </c>
      <c r="D26565">
        <f>IF(B26565=C26565, "YES", "WRONG")</f>
        <v/>
      </c>
    </row>
    <row r="26566">
      <c r="A26566" t="n">
        <v>26565</v>
      </c>
      <c r="B26566" t="inlineStr">
        <is>
          <t>x̄x̄V̅MDLXV</t>
        </is>
      </c>
      <c r="C26566">
        <f>ROMAN(26565)</f>
        <v/>
      </c>
      <c r="D26566">
        <f>IF(B26566=C26566, "YES", "WRONG")</f>
        <v/>
      </c>
    </row>
    <row r="26567">
      <c r="A26567" t="n">
        <v>26566</v>
      </c>
      <c r="B26567" t="inlineStr">
        <is>
          <t>x̄x̄V̅MDLXVI</t>
        </is>
      </c>
      <c r="C26567">
        <f>ROMAN(26566)</f>
        <v/>
      </c>
      <c r="D26567">
        <f>IF(B26567=C26567, "YES", "WRONG")</f>
        <v/>
      </c>
    </row>
    <row r="26568">
      <c r="A26568" t="n">
        <v>26567</v>
      </c>
      <c r="B26568" t="inlineStr">
        <is>
          <t>x̄x̄V̅MDLXVII</t>
        </is>
      </c>
      <c r="C26568">
        <f>ROMAN(26567)</f>
        <v/>
      </c>
      <c r="D26568">
        <f>IF(B26568=C26568, "YES", "WRONG")</f>
        <v/>
      </c>
    </row>
    <row r="26569">
      <c r="A26569" t="n">
        <v>26568</v>
      </c>
      <c r="B26569" t="inlineStr">
        <is>
          <t>x̄x̄V̅MDLXVIII</t>
        </is>
      </c>
      <c r="C26569">
        <f>ROMAN(26568)</f>
        <v/>
      </c>
      <c r="D26569">
        <f>IF(B26569=C26569, "YES", "WRONG")</f>
        <v/>
      </c>
    </row>
    <row r="26570">
      <c r="A26570" t="n">
        <v>26569</v>
      </c>
      <c r="B26570" t="inlineStr">
        <is>
          <t>x̄x̄V̅MDLXIX</t>
        </is>
      </c>
      <c r="C26570">
        <f>ROMAN(26569)</f>
        <v/>
      </c>
      <c r="D26570">
        <f>IF(B26570=C26570, "YES", "WRONG")</f>
        <v/>
      </c>
    </row>
    <row r="26571">
      <c r="A26571" t="n">
        <v>26570</v>
      </c>
      <c r="B26571" t="inlineStr">
        <is>
          <t>x̄x̄V̅MDLXX</t>
        </is>
      </c>
      <c r="C26571">
        <f>ROMAN(26570)</f>
        <v/>
      </c>
      <c r="D26571">
        <f>IF(B26571=C26571, "YES", "WRONG")</f>
        <v/>
      </c>
    </row>
    <row r="26572">
      <c r="A26572" t="n">
        <v>26571</v>
      </c>
      <c r="B26572" t="inlineStr">
        <is>
          <t>x̄x̄V̅MDLXXI</t>
        </is>
      </c>
      <c r="C26572">
        <f>ROMAN(26571)</f>
        <v/>
      </c>
      <c r="D26572">
        <f>IF(B26572=C26572, "YES", "WRONG")</f>
        <v/>
      </c>
    </row>
    <row r="26573">
      <c r="A26573" t="n">
        <v>26572</v>
      </c>
      <c r="B26573" t="inlineStr">
        <is>
          <t>x̄x̄V̅MDLXXII</t>
        </is>
      </c>
      <c r="C26573">
        <f>ROMAN(26572)</f>
        <v/>
      </c>
      <c r="D26573">
        <f>IF(B26573=C26573, "YES", "WRONG")</f>
        <v/>
      </c>
    </row>
    <row r="26574">
      <c r="A26574" t="n">
        <v>26573</v>
      </c>
      <c r="B26574" t="inlineStr">
        <is>
          <t>x̄x̄V̅MDLXXIII</t>
        </is>
      </c>
      <c r="C26574">
        <f>ROMAN(26573)</f>
        <v/>
      </c>
      <c r="D26574">
        <f>IF(B26574=C26574, "YES", "WRONG")</f>
        <v/>
      </c>
    </row>
    <row r="26575">
      <c r="A26575" t="n">
        <v>26574</v>
      </c>
      <c r="B26575" t="inlineStr">
        <is>
          <t>x̄x̄V̅MDLXXIV</t>
        </is>
      </c>
      <c r="C26575">
        <f>ROMAN(26574)</f>
        <v/>
      </c>
      <c r="D26575">
        <f>IF(B26575=C26575, "YES", "WRONG")</f>
        <v/>
      </c>
    </row>
    <row r="26576">
      <c r="A26576" t="n">
        <v>26575</v>
      </c>
      <c r="B26576" t="inlineStr">
        <is>
          <t>x̄x̄V̅MDLXXV</t>
        </is>
      </c>
      <c r="C26576">
        <f>ROMAN(26575)</f>
        <v/>
      </c>
      <c r="D26576">
        <f>IF(B26576=C26576, "YES", "WRONG")</f>
        <v/>
      </c>
    </row>
    <row r="26577">
      <c r="A26577" t="n">
        <v>26576</v>
      </c>
      <c r="B26577" t="inlineStr">
        <is>
          <t>x̄x̄V̅MDLXXVI</t>
        </is>
      </c>
      <c r="C26577">
        <f>ROMAN(26576)</f>
        <v/>
      </c>
      <c r="D26577">
        <f>IF(B26577=C26577, "YES", "WRONG")</f>
        <v/>
      </c>
    </row>
    <row r="26578">
      <c r="A26578" t="n">
        <v>26577</v>
      </c>
      <c r="B26578" t="inlineStr">
        <is>
          <t>x̄x̄V̅MDLXXVII</t>
        </is>
      </c>
      <c r="C26578">
        <f>ROMAN(26577)</f>
        <v/>
      </c>
      <c r="D26578">
        <f>IF(B26578=C26578, "YES", "WRONG")</f>
        <v/>
      </c>
    </row>
    <row r="26579">
      <c r="A26579" t="n">
        <v>26578</v>
      </c>
      <c r="B26579" t="inlineStr">
        <is>
          <t>x̄x̄V̅MDLXXVIII</t>
        </is>
      </c>
      <c r="C26579">
        <f>ROMAN(26578)</f>
        <v/>
      </c>
      <c r="D26579">
        <f>IF(B26579=C26579, "YES", "WRONG")</f>
        <v/>
      </c>
    </row>
    <row r="26580">
      <c r="A26580" t="n">
        <v>26579</v>
      </c>
      <c r="B26580" t="inlineStr">
        <is>
          <t>x̄x̄V̅MDLXXIX</t>
        </is>
      </c>
      <c r="C26580">
        <f>ROMAN(26579)</f>
        <v/>
      </c>
      <c r="D26580">
        <f>IF(B26580=C26580, "YES", "WRONG")</f>
        <v/>
      </c>
    </row>
    <row r="26581">
      <c r="A26581" t="n">
        <v>26580</v>
      </c>
      <c r="B26581" t="inlineStr">
        <is>
          <t>x̄x̄V̅MDLXXX</t>
        </is>
      </c>
      <c r="C26581">
        <f>ROMAN(26580)</f>
        <v/>
      </c>
      <c r="D26581">
        <f>IF(B26581=C26581, "YES", "WRONG")</f>
        <v/>
      </c>
    </row>
    <row r="26582">
      <c r="A26582" t="n">
        <v>26581</v>
      </c>
      <c r="B26582" t="inlineStr">
        <is>
          <t>x̄x̄V̅MDLXXXI</t>
        </is>
      </c>
      <c r="C26582">
        <f>ROMAN(26581)</f>
        <v/>
      </c>
      <c r="D26582">
        <f>IF(B26582=C26582, "YES", "WRONG")</f>
        <v/>
      </c>
    </row>
    <row r="26583">
      <c r="A26583" t="n">
        <v>26582</v>
      </c>
      <c r="B26583" t="inlineStr">
        <is>
          <t>x̄x̄V̅MDLXXXII</t>
        </is>
      </c>
      <c r="C26583">
        <f>ROMAN(26582)</f>
        <v/>
      </c>
      <c r="D26583">
        <f>IF(B26583=C26583, "YES", "WRONG")</f>
        <v/>
      </c>
    </row>
    <row r="26584">
      <c r="A26584" t="n">
        <v>26583</v>
      </c>
      <c r="B26584" t="inlineStr">
        <is>
          <t>x̄x̄V̅MDLXXXIII</t>
        </is>
      </c>
      <c r="C26584">
        <f>ROMAN(26583)</f>
        <v/>
      </c>
      <c r="D26584">
        <f>IF(B26584=C26584, "YES", "WRONG")</f>
        <v/>
      </c>
    </row>
    <row r="26585">
      <c r="A26585" t="n">
        <v>26584</v>
      </c>
      <c r="B26585" t="inlineStr">
        <is>
          <t>x̄x̄V̅MDLXXXIV</t>
        </is>
      </c>
      <c r="C26585">
        <f>ROMAN(26584)</f>
        <v/>
      </c>
      <c r="D26585">
        <f>IF(B26585=C26585, "YES", "WRONG")</f>
        <v/>
      </c>
    </row>
    <row r="26586">
      <c r="A26586" t="n">
        <v>26585</v>
      </c>
      <c r="B26586" t="inlineStr">
        <is>
          <t>x̄x̄V̅MDLXXXV</t>
        </is>
      </c>
      <c r="C26586">
        <f>ROMAN(26585)</f>
        <v/>
      </c>
      <c r="D26586">
        <f>IF(B26586=C26586, "YES", "WRONG")</f>
        <v/>
      </c>
    </row>
    <row r="26587">
      <c r="A26587" t="n">
        <v>26586</v>
      </c>
      <c r="B26587" t="inlineStr">
        <is>
          <t>x̄x̄V̅MDLXXXVI</t>
        </is>
      </c>
      <c r="C26587">
        <f>ROMAN(26586)</f>
        <v/>
      </c>
      <c r="D26587">
        <f>IF(B26587=C26587, "YES", "WRONG")</f>
        <v/>
      </c>
    </row>
    <row r="26588">
      <c r="A26588" t="n">
        <v>26587</v>
      </c>
      <c r="B26588" t="inlineStr">
        <is>
          <t>x̄x̄V̅MDLXXXVII</t>
        </is>
      </c>
      <c r="C26588">
        <f>ROMAN(26587)</f>
        <v/>
      </c>
      <c r="D26588">
        <f>IF(B26588=C26588, "YES", "WRONG")</f>
        <v/>
      </c>
    </row>
    <row r="26589">
      <c r="A26589" t="n">
        <v>26588</v>
      </c>
      <c r="B26589" t="inlineStr">
        <is>
          <t>x̄x̄V̅MDLXXXVIII</t>
        </is>
      </c>
      <c r="C26589">
        <f>ROMAN(26588)</f>
        <v/>
      </c>
      <c r="D26589">
        <f>IF(B26589=C26589, "YES", "WRONG")</f>
        <v/>
      </c>
    </row>
    <row r="26590">
      <c r="A26590" t="n">
        <v>26589</v>
      </c>
      <c r="B26590" t="inlineStr">
        <is>
          <t>x̄x̄V̅MDLXXXIX</t>
        </is>
      </c>
      <c r="C26590">
        <f>ROMAN(26589)</f>
        <v/>
      </c>
      <c r="D26590">
        <f>IF(B26590=C26590, "YES", "WRONG")</f>
        <v/>
      </c>
    </row>
    <row r="26591">
      <c r="A26591" t="n">
        <v>26590</v>
      </c>
      <c r="B26591" t="inlineStr">
        <is>
          <t>x̄x̄V̅MDXC</t>
        </is>
      </c>
      <c r="C26591">
        <f>ROMAN(26590)</f>
        <v/>
      </c>
      <c r="D26591">
        <f>IF(B26591=C26591, "YES", "WRONG")</f>
        <v/>
      </c>
    </row>
    <row r="26592">
      <c r="A26592" t="n">
        <v>26591</v>
      </c>
      <c r="B26592" t="inlineStr">
        <is>
          <t>x̄x̄V̅MDXCI</t>
        </is>
      </c>
      <c r="C26592">
        <f>ROMAN(26591)</f>
        <v/>
      </c>
      <c r="D26592">
        <f>IF(B26592=C26592, "YES", "WRONG")</f>
        <v/>
      </c>
    </row>
    <row r="26593">
      <c r="A26593" t="n">
        <v>26592</v>
      </c>
      <c r="B26593" t="inlineStr">
        <is>
          <t>x̄x̄V̅MDXCII</t>
        </is>
      </c>
      <c r="C26593">
        <f>ROMAN(26592)</f>
        <v/>
      </c>
      <c r="D26593">
        <f>IF(B26593=C26593, "YES", "WRONG")</f>
        <v/>
      </c>
    </row>
    <row r="26594">
      <c r="A26594" t="n">
        <v>26593</v>
      </c>
      <c r="B26594" t="inlineStr">
        <is>
          <t>x̄x̄V̅MDXCIII</t>
        </is>
      </c>
      <c r="C26594">
        <f>ROMAN(26593)</f>
        <v/>
      </c>
      <c r="D26594">
        <f>IF(B26594=C26594, "YES", "WRONG")</f>
        <v/>
      </c>
    </row>
    <row r="26595">
      <c r="A26595" t="n">
        <v>26594</v>
      </c>
      <c r="B26595" t="inlineStr">
        <is>
          <t>x̄x̄V̅MDXCIV</t>
        </is>
      </c>
      <c r="C26595">
        <f>ROMAN(26594)</f>
        <v/>
      </c>
      <c r="D26595">
        <f>IF(B26595=C26595, "YES", "WRONG")</f>
        <v/>
      </c>
    </row>
    <row r="26596">
      <c r="A26596" t="n">
        <v>26595</v>
      </c>
      <c r="B26596" t="inlineStr">
        <is>
          <t>x̄x̄V̅MDXCV</t>
        </is>
      </c>
      <c r="C26596">
        <f>ROMAN(26595)</f>
        <v/>
      </c>
      <c r="D26596">
        <f>IF(B26596=C26596, "YES", "WRONG")</f>
        <v/>
      </c>
    </row>
    <row r="26597">
      <c r="A26597" t="n">
        <v>26596</v>
      </c>
      <c r="B26597" t="inlineStr">
        <is>
          <t>x̄x̄V̅MDXCVI</t>
        </is>
      </c>
      <c r="C26597">
        <f>ROMAN(26596)</f>
        <v/>
      </c>
      <c r="D26597">
        <f>IF(B26597=C26597, "YES", "WRONG")</f>
        <v/>
      </c>
    </row>
    <row r="26598">
      <c r="A26598" t="n">
        <v>26597</v>
      </c>
      <c r="B26598" t="inlineStr">
        <is>
          <t>x̄x̄V̅MDXCVII</t>
        </is>
      </c>
      <c r="C26598">
        <f>ROMAN(26597)</f>
        <v/>
      </c>
      <c r="D26598">
        <f>IF(B26598=C26598, "YES", "WRONG")</f>
        <v/>
      </c>
    </row>
    <row r="26599">
      <c r="A26599" t="n">
        <v>26598</v>
      </c>
      <c r="B26599" t="inlineStr">
        <is>
          <t>x̄x̄V̅MDXCVIII</t>
        </is>
      </c>
      <c r="C26599">
        <f>ROMAN(26598)</f>
        <v/>
      </c>
      <c r="D26599">
        <f>IF(B26599=C26599, "YES", "WRONG")</f>
        <v/>
      </c>
    </row>
    <row r="26600">
      <c r="A26600" t="n">
        <v>26599</v>
      </c>
      <c r="B26600" t="inlineStr">
        <is>
          <t>x̄x̄V̅MDXCIX</t>
        </is>
      </c>
      <c r="C26600">
        <f>ROMAN(26599)</f>
        <v/>
      </c>
      <c r="D26600">
        <f>IF(B26600=C26600, "YES", "WRONG")</f>
        <v/>
      </c>
    </row>
    <row r="26601">
      <c r="A26601" t="n">
        <v>26600</v>
      </c>
      <c r="B26601" t="inlineStr">
        <is>
          <t>x̄x̄V̅MDC</t>
        </is>
      </c>
      <c r="C26601">
        <f>ROMAN(26600)</f>
        <v/>
      </c>
      <c r="D26601">
        <f>IF(B26601=C26601, "YES", "WRONG")</f>
        <v/>
      </c>
    </row>
    <row r="26602">
      <c r="A26602" t="n">
        <v>26601</v>
      </c>
      <c r="B26602" t="inlineStr">
        <is>
          <t>x̄x̄V̅MDCI</t>
        </is>
      </c>
      <c r="C26602">
        <f>ROMAN(26601)</f>
        <v/>
      </c>
      <c r="D26602">
        <f>IF(B26602=C26602, "YES", "WRONG")</f>
        <v/>
      </c>
    </row>
    <row r="26603">
      <c r="A26603" t="n">
        <v>26602</v>
      </c>
      <c r="B26603" t="inlineStr">
        <is>
          <t>x̄x̄V̅MDCII</t>
        </is>
      </c>
      <c r="C26603">
        <f>ROMAN(26602)</f>
        <v/>
      </c>
      <c r="D26603">
        <f>IF(B26603=C26603, "YES", "WRONG")</f>
        <v/>
      </c>
    </row>
    <row r="26604">
      <c r="A26604" t="n">
        <v>26603</v>
      </c>
      <c r="B26604" t="inlineStr">
        <is>
          <t>x̄x̄V̅MDCIII</t>
        </is>
      </c>
      <c r="C26604">
        <f>ROMAN(26603)</f>
        <v/>
      </c>
      <c r="D26604">
        <f>IF(B26604=C26604, "YES", "WRONG")</f>
        <v/>
      </c>
    </row>
    <row r="26605">
      <c r="A26605" t="n">
        <v>26604</v>
      </c>
      <c r="B26605" t="inlineStr">
        <is>
          <t>x̄x̄V̅MDCIV</t>
        </is>
      </c>
      <c r="C26605">
        <f>ROMAN(26604)</f>
        <v/>
      </c>
      <c r="D26605">
        <f>IF(B26605=C26605, "YES", "WRONG")</f>
        <v/>
      </c>
    </row>
    <row r="26606">
      <c r="A26606" t="n">
        <v>26605</v>
      </c>
      <c r="B26606" t="inlineStr">
        <is>
          <t>x̄x̄V̅MDCV</t>
        </is>
      </c>
      <c r="C26606">
        <f>ROMAN(26605)</f>
        <v/>
      </c>
      <c r="D26606">
        <f>IF(B26606=C26606, "YES", "WRONG")</f>
        <v/>
      </c>
    </row>
    <row r="26607">
      <c r="A26607" t="n">
        <v>26606</v>
      </c>
      <c r="B26607" t="inlineStr">
        <is>
          <t>x̄x̄V̅MDCVI</t>
        </is>
      </c>
      <c r="C26607">
        <f>ROMAN(26606)</f>
        <v/>
      </c>
      <c r="D26607">
        <f>IF(B26607=C26607, "YES", "WRONG")</f>
        <v/>
      </c>
    </row>
    <row r="26608">
      <c r="A26608" t="n">
        <v>26607</v>
      </c>
      <c r="B26608" t="inlineStr">
        <is>
          <t>x̄x̄V̅MDCVII</t>
        </is>
      </c>
      <c r="C26608">
        <f>ROMAN(26607)</f>
        <v/>
      </c>
      <c r="D26608">
        <f>IF(B26608=C26608, "YES", "WRONG")</f>
        <v/>
      </c>
    </row>
    <row r="26609">
      <c r="A26609" t="n">
        <v>26608</v>
      </c>
      <c r="B26609" t="inlineStr">
        <is>
          <t>x̄x̄V̅MDCVIII</t>
        </is>
      </c>
      <c r="C26609">
        <f>ROMAN(26608)</f>
        <v/>
      </c>
      <c r="D26609">
        <f>IF(B26609=C26609, "YES", "WRONG")</f>
        <v/>
      </c>
    </row>
    <row r="26610">
      <c r="A26610" t="n">
        <v>26609</v>
      </c>
      <c r="B26610" t="inlineStr">
        <is>
          <t>x̄x̄V̅MDCIX</t>
        </is>
      </c>
      <c r="C26610">
        <f>ROMAN(26609)</f>
        <v/>
      </c>
      <c r="D26610">
        <f>IF(B26610=C26610, "YES", "WRONG")</f>
        <v/>
      </c>
    </row>
    <row r="26611">
      <c r="A26611" t="n">
        <v>26610</v>
      </c>
      <c r="B26611" t="inlineStr">
        <is>
          <t>x̄x̄V̅MDCX</t>
        </is>
      </c>
      <c r="C26611">
        <f>ROMAN(26610)</f>
        <v/>
      </c>
      <c r="D26611">
        <f>IF(B26611=C26611, "YES", "WRONG")</f>
        <v/>
      </c>
    </row>
    <row r="26612">
      <c r="A26612" t="n">
        <v>26611</v>
      </c>
      <c r="B26612" t="inlineStr">
        <is>
          <t>x̄x̄V̅MDCXI</t>
        </is>
      </c>
      <c r="C26612">
        <f>ROMAN(26611)</f>
        <v/>
      </c>
      <c r="D26612">
        <f>IF(B26612=C26612, "YES", "WRONG")</f>
        <v/>
      </c>
    </row>
    <row r="26613">
      <c r="A26613" t="n">
        <v>26612</v>
      </c>
      <c r="B26613" t="inlineStr">
        <is>
          <t>x̄x̄V̅MDCXII</t>
        </is>
      </c>
      <c r="C26613">
        <f>ROMAN(26612)</f>
        <v/>
      </c>
      <c r="D26613">
        <f>IF(B26613=C26613, "YES", "WRONG")</f>
        <v/>
      </c>
    </row>
    <row r="26614">
      <c r="A26614" t="n">
        <v>26613</v>
      </c>
      <c r="B26614" t="inlineStr">
        <is>
          <t>x̄x̄V̅MDCXIII</t>
        </is>
      </c>
      <c r="C26614">
        <f>ROMAN(26613)</f>
        <v/>
      </c>
      <c r="D26614">
        <f>IF(B26614=C26614, "YES", "WRONG")</f>
        <v/>
      </c>
    </row>
    <row r="26615">
      <c r="A26615" t="n">
        <v>26614</v>
      </c>
      <c r="B26615" t="inlineStr">
        <is>
          <t>x̄x̄V̅MDCXIV</t>
        </is>
      </c>
      <c r="C26615">
        <f>ROMAN(26614)</f>
        <v/>
      </c>
      <c r="D26615">
        <f>IF(B26615=C26615, "YES", "WRONG")</f>
        <v/>
      </c>
    </row>
    <row r="26616">
      <c r="A26616" t="n">
        <v>26615</v>
      </c>
      <c r="B26616" t="inlineStr">
        <is>
          <t>x̄x̄V̅MDCXV</t>
        </is>
      </c>
      <c r="C26616">
        <f>ROMAN(26615)</f>
        <v/>
      </c>
      <c r="D26616">
        <f>IF(B26616=C26616, "YES", "WRONG")</f>
        <v/>
      </c>
    </row>
    <row r="26617">
      <c r="A26617" t="n">
        <v>26616</v>
      </c>
      <c r="B26617" t="inlineStr">
        <is>
          <t>x̄x̄V̅MDCXVI</t>
        </is>
      </c>
      <c r="C26617">
        <f>ROMAN(26616)</f>
        <v/>
      </c>
      <c r="D26617">
        <f>IF(B26617=C26617, "YES", "WRONG")</f>
        <v/>
      </c>
    </row>
    <row r="26618">
      <c r="A26618" t="n">
        <v>26617</v>
      </c>
      <c r="B26618" t="inlineStr">
        <is>
          <t>x̄x̄V̅MDCXVII</t>
        </is>
      </c>
      <c r="C26618">
        <f>ROMAN(26617)</f>
        <v/>
      </c>
      <c r="D26618">
        <f>IF(B26618=C26618, "YES", "WRONG")</f>
        <v/>
      </c>
    </row>
    <row r="26619">
      <c r="A26619" t="n">
        <v>26618</v>
      </c>
      <c r="B26619" t="inlineStr">
        <is>
          <t>x̄x̄V̅MDCXVIII</t>
        </is>
      </c>
      <c r="C26619">
        <f>ROMAN(26618)</f>
        <v/>
      </c>
      <c r="D26619">
        <f>IF(B26619=C26619, "YES", "WRONG")</f>
        <v/>
      </c>
    </row>
    <row r="26620">
      <c r="A26620" t="n">
        <v>26619</v>
      </c>
      <c r="B26620" t="inlineStr">
        <is>
          <t>x̄x̄V̅MDCXIX</t>
        </is>
      </c>
      <c r="C26620">
        <f>ROMAN(26619)</f>
        <v/>
      </c>
      <c r="D26620">
        <f>IF(B26620=C26620, "YES", "WRONG")</f>
        <v/>
      </c>
    </row>
    <row r="26621">
      <c r="A26621" t="n">
        <v>26620</v>
      </c>
      <c r="B26621" t="inlineStr">
        <is>
          <t>x̄x̄V̅MDCXX</t>
        </is>
      </c>
      <c r="C26621">
        <f>ROMAN(26620)</f>
        <v/>
      </c>
      <c r="D26621">
        <f>IF(B26621=C26621, "YES", "WRONG")</f>
        <v/>
      </c>
    </row>
    <row r="26622">
      <c r="A26622" t="n">
        <v>26621</v>
      </c>
      <c r="B26622" t="inlineStr">
        <is>
          <t>x̄x̄V̅MDCXXI</t>
        </is>
      </c>
      <c r="C26622">
        <f>ROMAN(26621)</f>
        <v/>
      </c>
      <c r="D26622">
        <f>IF(B26622=C26622, "YES", "WRONG")</f>
        <v/>
      </c>
    </row>
    <row r="26623">
      <c r="A26623" t="n">
        <v>26622</v>
      </c>
      <c r="B26623" t="inlineStr">
        <is>
          <t>x̄x̄V̅MDCXXII</t>
        </is>
      </c>
      <c r="C26623">
        <f>ROMAN(26622)</f>
        <v/>
      </c>
      <c r="D26623">
        <f>IF(B26623=C26623, "YES", "WRONG")</f>
        <v/>
      </c>
    </row>
    <row r="26624">
      <c r="A26624" t="n">
        <v>26623</v>
      </c>
      <c r="B26624" t="inlineStr">
        <is>
          <t>x̄x̄V̅MDCXXIII</t>
        </is>
      </c>
      <c r="C26624">
        <f>ROMAN(26623)</f>
        <v/>
      </c>
      <c r="D26624">
        <f>IF(B26624=C26624, "YES", "WRONG")</f>
        <v/>
      </c>
    </row>
    <row r="26625">
      <c r="A26625" t="n">
        <v>26624</v>
      </c>
      <c r="B26625" t="inlineStr">
        <is>
          <t>x̄x̄V̅MDCXXIV</t>
        </is>
      </c>
      <c r="C26625">
        <f>ROMAN(26624)</f>
        <v/>
      </c>
      <c r="D26625">
        <f>IF(B26625=C26625, "YES", "WRONG")</f>
        <v/>
      </c>
    </row>
    <row r="26626">
      <c r="A26626" t="n">
        <v>26625</v>
      </c>
      <c r="B26626" t="inlineStr">
        <is>
          <t>x̄x̄V̅MDCXXV</t>
        </is>
      </c>
      <c r="C26626">
        <f>ROMAN(26625)</f>
        <v/>
      </c>
      <c r="D26626">
        <f>IF(B26626=C26626, "YES", "WRONG")</f>
        <v/>
      </c>
    </row>
    <row r="26627">
      <c r="A26627" t="n">
        <v>26626</v>
      </c>
      <c r="B26627" t="inlineStr">
        <is>
          <t>x̄x̄V̅MDCXXVI</t>
        </is>
      </c>
      <c r="C26627">
        <f>ROMAN(26626)</f>
        <v/>
      </c>
      <c r="D26627">
        <f>IF(B26627=C26627, "YES", "WRONG")</f>
        <v/>
      </c>
    </row>
    <row r="26628">
      <c r="A26628" t="n">
        <v>26627</v>
      </c>
      <c r="B26628" t="inlineStr">
        <is>
          <t>x̄x̄V̅MDCXXVII</t>
        </is>
      </c>
      <c r="C26628">
        <f>ROMAN(26627)</f>
        <v/>
      </c>
      <c r="D26628">
        <f>IF(B26628=C26628, "YES", "WRONG")</f>
        <v/>
      </c>
    </row>
    <row r="26629">
      <c r="A26629" t="n">
        <v>26628</v>
      </c>
      <c r="B26629" t="inlineStr">
        <is>
          <t>x̄x̄V̅MDCXXVIII</t>
        </is>
      </c>
      <c r="C26629">
        <f>ROMAN(26628)</f>
        <v/>
      </c>
      <c r="D26629">
        <f>IF(B26629=C26629, "YES", "WRONG")</f>
        <v/>
      </c>
    </row>
    <row r="26630">
      <c r="A26630" t="n">
        <v>26629</v>
      </c>
      <c r="B26630" t="inlineStr">
        <is>
          <t>x̄x̄V̅MDCXXIX</t>
        </is>
      </c>
      <c r="C26630">
        <f>ROMAN(26629)</f>
        <v/>
      </c>
      <c r="D26630">
        <f>IF(B26630=C26630, "YES", "WRONG")</f>
        <v/>
      </c>
    </row>
    <row r="26631">
      <c r="A26631" t="n">
        <v>26630</v>
      </c>
      <c r="B26631" t="inlineStr">
        <is>
          <t>x̄x̄V̅MDCXXX</t>
        </is>
      </c>
      <c r="C26631">
        <f>ROMAN(26630)</f>
        <v/>
      </c>
      <c r="D26631">
        <f>IF(B26631=C26631, "YES", "WRONG")</f>
        <v/>
      </c>
    </row>
    <row r="26632">
      <c r="A26632" t="n">
        <v>26631</v>
      </c>
      <c r="B26632" t="inlineStr">
        <is>
          <t>x̄x̄V̅MDCXXXI</t>
        </is>
      </c>
      <c r="C26632">
        <f>ROMAN(26631)</f>
        <v/>
      </c>
      <c r="D26632">
        <f>IF(B26632=C26632, "YES", "WRONG")</f>
        <v/>
      </c>
    </row>
    <row r="26633">
      <c r="A26633" t="n">
        <v>26632</v>
      </c>
      <c r="B26633" t="inlineStr">
        <is>
          <t>x̄x̄V̅MDCXXXII</t>
        </is>
      </c>
      <c r="C26633">
        <f>ROMAN(26632)</f>
        <v/>
      </c>
      <c r="D26633">
        <f>IF(B26633=C26633, "YES", "WRONG")</f>
        <v/>
      </c>
    </row>
    <row r="26634">
      <c r="A26634" t="n">
        <v>26633</v>
      </c>
      <c r="B26634" t="inlineStr">
        <is>
          <t>x̄x̄V̅MDCXXXIII</t>
        </is>
      </c>
      <c r="C26634">
        <f>ROMAN(26633)</f>
        <v/>
      </c>
      <c r="D26634">
        <f>IF(B26634=C26634, "YES", "WRONG")</f>
        <v/>
      </c>
    </row>
    <row r="26635">
      <c r="A26635" t="n">
        <v>26634</v>
      </c>
      <c r="B26635" t="inlineStr">
        <is>
          <t>x̄x̄V̅MDCXXXIV</t>
        </is>
      </c>
      <c r="C26635">
        <f>ROMAN(26634)</f>
        <v/>
      </c>
      <c r="D26635">
        <f>IF(B26635=C26635, "YES", "WRONG")</f>
        <v/>
      </c>
    </row>
    <row r="26636">
      <c r="A26636" t="n">
        <v>26635</v>
      </c>
      <c r="B26636" t="inlineStr">
        <is>
          <t>x̄x̄V̅MDCXXXV</t>
        </is>
      </c>
      <c r="C26636">
        <f>ROMAN(26635)</f>
        <v/>
      </c>
      <c r="D26636">
        <f>IF(B26636=C26636, "YES", "WRONG")</f>
        <v/>
      </c>
    </row>
    <row r="26637">
      <c r="A26637" t="n">
        <v>26636</v>
      </c>
      <c r="B26637" t="inlineStr">
        <is>
          <t>x̄x̄V̅MDCXXXVI</t>
        </is>
      </c>
      <c r="C26637">
        <f>ROMAN(26636)</f>
        <v/>
      </c>
      <c r="D26637">
        <f>IF(B26637=C26637, "YES", "WRONG")</f>
        <v/>
      </c>
    </row>
    <row r="26638">
      <c r="A26638" t="n">
        <v>26637</v>
      </c>
      <c r="B26638" t="inlineStr">
        <is>
          <t>x̄x̄V̅MDCXXXVII</t>
        </is>
      </c>
      <c r="C26638">
        <f>ROMAN(26637)</f>
        <v/>
      </c>
      <c r="D26638">
        <f>IF(B26638=C26638, "YES", "WRONG")</f>
        <v/>
      </c>
    </row>
    <row r="26639">
      <c r="A26639" t="n">
        <v>26638</v>
      </c>
      <c r="B26639" t="inlineStr">
        <is>
          <t>x̄x̄V̅MDCXXXVIII</t>
        </is>
      </c>
      <c r="C26639">
        <f>ROMAN(26638)</f>
        <v/>
      </c>
      <c r="D26639">
        <f>IF(B26639=C26639, "YES", "WRONG")</f>
        <v/>
      </c>
    </row>
    <row r="26640">
      <c r="A26640" t="n">
        <v>26639</v>
      </c>
      <c r="B26640" t="inlineStr">
        <is>
          <t>x̄x̄V̅MDCXXXIX</t>
        </is>
      </c>
      <c r="C26640">
        <f>ROMAN(26639)</f>
        <v/>
      </c>
      <c r="D26640">
        <f>IF(B26640=C26640, "YES", "WRONG")</f>
        <v/>
      </c>
    </row>
    <row r="26641">
      <c r="A26641" t="n">
        <v>26640</v>
      </c>
      <c r="B26641" t="inlineStr">
        <is>
          <t>x̄x̄V̅MDCXL</t>
        </is>
      </c>
      <c r="C26641">
        <f>ROMAN(26640)</f>
        <v/>
      </c>
      <c r="D26641">
        <f>IF(B26641=C26641, "YES", "WRONG")</f>
        <v/>
      </c>
    </row>
    <row r="26642">
      <c r="A26642" t="n">
        <v>26641</v>
      </c>
      <c r="B26642" t="inlineStr">
        <is>
          <t>x̄x̄V̅MDCXLI</t>
        </is>
      </c>
      <c r="C26642">
        <f>ROMAN(26641)</f>
        <v/>
      </c>
      <c r="D26642">
        <f>IF(B26642=C26642, "YES", "WRONG")</f>
        <v/>
      </c>
    </row>
    <row r="26643">
      <c r="A26643" t="n">
        <v>26642</v>
      </c>
      <c r="B26643" t="inlineStr">
        <is>
          <t>x̄x̄V̅MDCXLII</t>
        </is>
      </c>
      <c r="C26643">
        <f>ROMAN(26642)</f>
        <v/>
      </c>
      <c r="D26643">
        <f>IF(B26643=C26643, "YES", "WRONG")</f>
        <v/>
      </c>
    </row>
    <row r="26644">
      <c r="A26644" t="n">
        <v>26643</v>
      </c>
      <c r="B26644" t="inlineStr">
        <is>
          <t>x̄x̄V̅MDCXLIII</t>
        </is>
      </c>
      <c r="C26644">
        <f>ROMAN(26643)</f>
        <v/>
      </c>
      <c r="D26644">
        <f>IF(B26644=C26644, "YES", "WRONG")</f>
        <v/>
      </c>
    </row>
    <row r="26645">
      <c r="A26645" t="n">
        <v>26644</v>
      </c>
      <c r="B26645" t="inlineStr">
        <is>
          <t>x̄x̄V̅MDCXLIV</t>
        </is>
      </c>
      <c r="C26645">
        <f>ROMAN(26644)</f>
        <v/>
      </c>
      <c r="D26645">
        <f>IF(B26645=C26645, "YES", "WRONG")</f>
        <v/>
      </c>
    </row>
    <row r="26646">
      <c r="A26646" t="n">
        <v>26645</v>
      </c>
      <c r="B26646" t="inlineStr">
        <is>
          <t>x̄x̄V̅MDCXLV</t>
        </is>
      </c>
      <c r="C26646">
        <f>ROMAN(26645)</f>
        <v/>
      </c>
      <c r="D26646">
        <f>IF(B26646=C26646, "YES", "WRONG")</f>
        <v/>
      </c>
    </row>
    <row r="26647">
      <c r="A26647" t="n">
        <v>26646</v>
      </c>
      <c r="B26647" t="inlineStr">
        <is>
          <t>x̄x̄V̅MDCXLVI</t>
        </is>
      </c>
      <c r="C26647">
        <f>ROMAN(26646)</f>
        <v/>
      </c>
      <c r="D26647">
        <f>IF(B26647=C26647, "YES", "WRONG")</f>
        <v/>
      </c>
    </row>
    <row r="26648">
      <c r="A26648" t="n">
        <v>26647</v>
      </c>
      <c r="B26648" t="inlineStr">
        <is>
          <t>x̄x̄V̅MDCXLVII</t>
        </is>
      </c>
      <c r="C26648">
        <f>ROMAN(26647)</f>
        <v/>
      </c>
      <c r="D26648">
        <f>IF(B26648=C26648, "YES", "WRONG")</f>
        <v/>
      </c>
    </row>
    <row r="26649">
      <c r="A26649" t="n">
        <v>26648</v>
      </c>
      <c r="B26649" t="inlineStr">
        <is>
          <t>x̄x̄V̅MDCXLVIII</t>
        </is>
      </c>
      <c r="C26649">
        <f>ROMAN(26648)</f>
        <v/>
      </c>
      <c r="D26649">
        <f>IF(B26649=C26649, "YES", "WRONG")</f>
        <v/>
      </c>
    </row>
    <row r="26650">
      <c r="A26650" t="n">
        <v>26649</v>
      </c>
      <c r="B26650" t="inlineStr">
        <is>
          <t>x̄x̄V̅MDCXLIX</t>
        </is>
      </c>
      <c r="C26650">
        <f>ROMAN(26649)</f>
        <v/>
      </c>
      <c r="D26650">
        <f>IF(B26650=C26650, "YES", "WRONG")</f>
        <v/>
      </c>
    </row>
    <row r="26651">
      <c r="A26651" t="n">
        <v>26650</v>
      </c>
      <c r="B26651" t="inlineStr">
        <is>
          <t>x̄x̄V̅MDCL</t>
        </is>
      </c>
      <c r="C26651">
        <f>ROMAN(26650)</f>
        <v/>
      </c>
      <c r="D26651">
        <f>IF(B26651=C26651, "YES", "WRONG")</f>
        <v/>
      </c>
    </row>
    <row r="26652">
      <c r="A26652" t="n">
        <v>26651</v>
      </c>
      <c r="B26652" t="inlineStr">
        <is>
          <t>x̄x̄V̅MDCLI</t>
        </is>
      </c>
      <c r="C26652">
        <f>ROMAN(26651)</f>
        <v/>
      </c>
      <c r="D26652">
        <f>IF(B26652=C26652, "YES", "WRONG")</f>
        <v/>
      </c>
    </row>
    <row r="26653">
      <c r="A26653" t="n">
        <v>26652</v>
      </c>
      <c r="B26653" t="inlineStr">
        <is>
          <t>x̄x̄V̅MDCLII</t>
        </is>
      </c>
      <c r="C26653">
        <f>ROMAN(26652)</f>
        <v/>
      </c>
      <c r="D26653">
        <f>IF(B26653=C26653, "YES", "WRONG")</f>
        <v/>
      </c>
    </row>
    <row r="26654">
      <c r="A26654" t="n">
        <v>26653</v>
      </c>
      <c r="B26654" t="inlineStr">
        <is>
          <t>x̄x̄V̅MDCLIII</t>
        </is>
      </c>
      <c r="C26654">
        <f>ROMAN(26653)</f>
        <v/>
      </c>
      <c r="D26654">
        <f>IF(B26654=C26654, "YES", "WRONG")</f>
        <v/>
      </c>
    </row>
    <row r="26655">
      <c r="A26655" t="n">
        <v>26654</v>
      </c>
      <c r="B26655" t="inlineStr">
        <is>
          <t>x̄x̄V̅MDCLIV</t>
        </is>
      </c>
      <c r="C26655">
        <f>ROMAN(26654)</f>
        <v/>
      </c>
      <c r="D26655">
        <f>IF(B26655=C26655, "YES", "WRONG")</f>
        <v/>
      </c>
    </row>
    <row r="26656">
      <c r="A26656" t="n">
        <v>26655</v>
      </c>
      <c r="B26656" t="inlineStr">
        <is>
          <t>x̄x̄V̅MDCLV</t>
        </is>
      </c>
      <c r="C26656">
        <f>ROMAN(26655)</f>
        <v/>
      </c>
      <c r="D26656">
        <f>IF(B26656=C26656, "YES", "WRONG")</f>
        <v/>
      </c>
    </row>
    <row r="26657">
      <c r="A26657" t="n">
        <v>26656</v>
      </c>
      <c r="B26657" t="inlineStr">
        <is>
          <t>x̄x̄V̅MDCLVI</t>
        </is>
      </c>
      <c r="C26657">
        <f>ROMAN(26656)</f>
        <v/>
      </c>
      <c r="D26657">
        <f>IF(B26657=C26657, "YES", "WRONG")</f>
        <v/>
      </c>
    </row>
    <row r="26658">
      <c r="A26658" t="n">
        <v>26657</v>
      </c>
      <c r="B26658" t="inlineStr">
        <is>
          <t>x̄x̄V̅MDCLVII</t>
        </is>
      </c>
      <c r="C26658">
        <f>ROMAN(26657)</f>
        <v/>
      </c>
      <c r="D26658">
        <f>IF(B26658=C26658, "YES", "WRONG")</f>
        <v/>
      </c>
    </row>
    <row r="26659">
      <c r="A26659" t="n">
        <v>26658</v>
      </c>
      <c r="B26659" t="inlineStr">
        <is>
          <t>x̄x̄V̅MDCLVIII</t>
        </is>
      </c>
      <c r="C26659">
        <f>ROMAN(26658)</f>
        <v/>
      </c>
      <c r="D26659">
        <f>IF(B26659=C26659, "YES", "WRONG")</f>
        <v/>
      </c>
    </row>
    <row r="26660">
      <c r="A26660" t="n">
        <v>26659</v>
      </c>
      <c r="B26660" t="inlineStr">
        <is>
          <t>x̄x̄V̅MDCLIX</t>
        </is>
      </c>
      <c r="C26660">
        <f>ROMAN(26659)</f>
        <v/>
      </c>
      <c r="D26660">
        <f>IF(B26660=C26660, "YES", "WRONG")</f>
        <v/>
      </c>
    </row>
    <row r="26661">
      <c r="A26661" t="n">
        <v>26660</v>
      </c>
      <c r="B26661" t="inlineStr">
        <is>
          <t>x̄x̄V̅MDCLX</t>
        </is>
      </c>
      <c r="C26661">
        <f>ROMAN(26660)</f>
        <v/>
      </c>
      <c r="D26661">
        <f>IF(B26661=C26661, "YES", "WRONG")</f>
        <v/>
      </c>
    </row>
    <row r="26662">
      <c r="A26662" t="n">
        <v>26661</v>
      </c>
      <c r="B26662" t="inlineStr">
        <is>
          <t>x̄x̄V̅MDCLXI</t>
        </is>
      </c>
      <c r="C26662">
        <f>ROMAN(26661)</f>
        <v/>
      </c>
      <c r="D26662">
        <f>IF(B26662=C26662, "YES", "WRONG")</f>
        <v/>
      </c>
    </row>
    <row r="26663">
      <c r="A26663" t="n">
        <v>26662</v>
      </c>
      <c r="B26663" t="inlineStr">
        <is>
          <t>x̄x̄V̅MDCLXII</t>
        </is>
      </c>
      <c r="C26663">
        <f>ROMAN(26662)</f>
        <v/>
      </c>
      <c r="D26663">
        <f>IF(B26663=C26663, "YES", "WRONG")</f>
        <v/>
      </c>
    </row>
    <row r="26664">
      <c r="A26664" t="n">
        <v>26663</v>
      </c>
      <c r="B26664" t="inlineStr">
        <is>
          <t>x̄x̄V̅MDCLXIII</t>
        </is>
      </c>
      <c r="C26664">
        <f>ROMAN(26663)</f>
        <v/>
      </c>
      <c r="D26664">
        <f>IF(B26664=C26664, "YES", "WRONG")</f>
        <v/>
      </c>
    </row>
    <row r="26665">
      <c r="A26665" t="n">
        <v>26664</v>
      </c>
      <c r="B26665" t="inlineStr">
        <is>
          <t>x̄x̄V̅MDCLXIV</t>
        </is>
      </c>
      <c r="C26665">
        <f>ROMAN(26664)</f>
        <v/>
      </c>
      <c r="D26665">
        <f>IF(B26665=C26665, "YES", "WRONG")</f>
        <v/>
      </c>
    </row>
    <row r="26666">
      <c r="A26666" t="n">
        <v>26665</v>
      </c>
      <c r="B26666" t="inlineStr">
        <is>
          <t>x̄x̄V̅MDCLXV</t>
        </is>
      </c>
      <c r="C26666">
        <f>ROMAN(26665)</f>
        <v/>
      </c>
      <c r="D26666">
        <f>IF(B26666=C26666, "YES", "WRONG")</f>
        <v/>
      </c>
    </row>
    <row r="26667">
      <c r="A26667" t="n">
        <v>26666</v>
      </c>
      <c r="B26667" t="inlineStr">
        <is>
          <t>x̄x̄V̅MDCLXVI</t>
        </is>
      </c>
      <c r="C26667">
        <f>ROMAN(26666)</f>
        <v/>
      </c>
      <c r="D26667">
        <f>IF(B26667=C26667, "YES", "WRONG")</f>
        <v/>
      </c>
    </row>
    <row r="26668">
      <c r="A26668" t="n">
        <v>26667</v>
      </c>
      <c r="B26668" t="inlineStr">
        <is>
          <t>x̄x̄V̅MDCLXVII</t>
        </is>
      </c>
      <c r="C26668">
        <f>ROMAN(26667)</f>
        <v/>
      </c>
      <c r="D26668">
        <f>IF(B26668=C26668, "YES", "WRONG")</f>
        <v/>
      </c>
    </row>
    <row r="26669">
      <c r="A26669" t="n">
        <v>26668</v>
      </c>
      <c r="B26669" t="inlineStr">
        <is>
          <t>x̄x̄V̅MDCLXVIII</t>
        </is>
      </c>
      <c r="C26669">
        <f>ROMAN(26668)</f>
        <v/>
      </c>
      <c r="D26669">
        <f>IF(B26669=C26669, "YES", "WRONG")</f>
        <v/>
      </c>
    </row>
    <row r="26670">
      <c r="A26670" t="n">
        <v>26669</v>
      </c>
      <c r="B26670" t="inlineStr">
        <is>
          <t>x̄x̄V̅MDCLXIX</t>
        </is>
      </c>
      <c r="C26670">
        <f>ROMAN(26669)</f>
        <v/>
      </c>
      <c r="D26670">
        <f>IF(B26670=C26670, "YES", "WRONG")</f>
        <v/>
      </c>
    </row>
    <row r="26671">
      <c r="A26671" t="n">
        <v>26670</v>
      </c>
      <c r="B26671" t="inlineStr">
        <is>
          <t>x̄x̄V̅MDCLXX</t>
        </is>
      </c>
      <c r="C26671">
        <f>ROMAN(26670)</f>
        <v/>
      </c>
      <c r="D26671">
        <f>IF(B26671=C26671, "YES", "WRONG")</f>
        <v/>
      </c>
    </row>
    <row r="26672">
      <c r="A26672" t="n">
        <v>26671</v>
      </c>
      <c r="B26672" t="inlineStr">
        <is>
          <t>x̄x̄V̅MDCLXXI</t>
        </is>
      </c>
      <c r="C26672">
        <f>ROMAN(26671)</f>
        <v/>
      </c>
      <c r="D26672">
        <f>IF(B26672=C26672, "YES", "WRONG")</f>
        <v/>
      </c>
    </row>
    <row r="26673">
      <c r="A26673" t="n">
        <v>26672</v>
      </c>
      <c r="B26673" t="inlineStr">
        <is>
          <t>x̄x̄V̅MDCLXXII</t>
        </is>
      </c>
      <c r="C26673">
        <f>ROMAN(26672)</f>
        <v/>
      </c>
      <c r="D26673">
        <f>IF(B26673=C26673, "YES", "WRONG")</f>
        <v/>
      </c>
    </row>
    <row r="26674">
      <c r="A26674" t="n">
        <v>26673</v>
      </c>
      <c r="B26674" t="inlineStr">
        <is>
          <t>x̄x̄V̅MDCLXXIII</t>
        </is>
      </c>
      <c r="C26674">
        <f>ROMAN(26673)</f>
        <v/>
      </c>
      <c r="D26674">
        <f>IF(B26674=C26674, "YES", "WRONG")</f>
        <v/>
      </c>
    </row>
    <row r="26675">
      <c r="A26675" t="n">
        <v>26674</v>
      </c>
      <c r="B26675" t="inlineStr">
        <is>
          <t>x̄x̄V̅MDCLXXIV</t>
        </is>
      </c>
      <c r="C26675">
        <f>ROMAN(26674)</f>
        <v/>
      </c>
      <c r="D26675">
        <f>IF(B26675=C26675, "YES", "WRONG")</f>
        <v/>
      </c>
    </row>
    <row r="26676">
      <c r="A26676" t="n">
        <v>26675</v>
      </c>
      <c r="B26676" t="inlineStr">
        <is>
          <t>x̄x̄V̅MDCLXXV</t>
        </is>
      </c>
      <c r="C26676">
        <f>ROMAN(26675)</f>
        <v/>
      </c>
      <c r="D26676">
        <f>IF(B26676=C26676, "YES", "WRONG")</f>
        <v/>
      </c>
    </row>
    <row r="26677">
      <c r="A26677" t="n">
        <v>26676</v>
      </c>
      <c r="B26677" t="inlineStr">
        <is>
          <t>x̄x̄V̅MDCLXXVI</t>
        </is>
      </c>
      <c r="C26677">
        <f>ROMAN(26676)</f>
        <v/>
      </c>
      <c r="D26677">
        <f>IF(B26677=C26677, "YES", "WRONG")</f>
        <v/>
      </c>
    </row>
    <row r="26678">
      <c r="A26678" t="n">
        <v>26677</v>
      </c>
      <c r="B26678" t="inlineStr">
        <is>
          <t>x̄x̄V̅MDCLXXVII</t>
        </is>
      </c>
      <c r="C26678">
        <f>ROMAN(26677)</f>
        <v/>
      </c>
      <c r="D26678">
        <f>IF(B26678=C26678, "YES", "WRONG")</f>
        <v/>
      </c>
    </row>
    <row r="26679">
      <c r="A26679" t="n">
        <v>26678</v>
      </c>
      <c r="B26679" t="inlineStr">
        <is>
          <t>x̄x̄V̅MDCLXXVIII</t>
        </is>
      </c>
      <c r="C26679">
        <f>ROMAN(26678)</f>
        <v/>
      </c>
      <c r="D26679">
        <f>IF(B26679=C26679, "YES", "WRONG")</f>
        <v/>
      </c>
    </row>
    <row r="26680">
      <c r="A26680" t="n">
        <v>26679</v>
      </c>
      <c r="B26680" t="inlineStr">
        <is>
          <t>x̄x̄V̅MDCLXXIX</t>
        </is>
      </c>
      <c r="C26680">
        <f>ROMAN(26679)</f>
        <v/>
      </c>
      <c r="D26680">
        <f>IF(B26680=C26680, "YES", "WRONG")</f>
        <v/>
      </c>
    </row>
    <row r="26681">
      <c r="A26681" t="n">
        <v>26680</v>
      </c>
      <c r="B26681" t="inlineStr">
        <is>
          <t>x̄x̄V̅MDCLXXX</t>
        </is>
      </c>
      <c r="C26681">
        <f>ROMAN(26680)</f>
        <v/>
      </c>
      <c r="D26681">
        <f>IF(B26681=C26681, "YES", "WRONG")</f>
        <v/>
      </c>
    </row>
    <row r="26682">
      <c r="A26682" t="n">
        <v>26681</v>
      </c>
      <c r="B26682" t="inlineStr">
        <is>
          <t>x̄x̄V̅MDCLXXXI</t>
        </is>
      </c>
      <c r="C26682">
        <f>ROMAN(26681)</f>
        <v/>
      </c>
      <c r="D26682">
        <f>IF(B26682=C26682, "YES", "WRONG")</f>
        <v/>
      </c>
    </row>
    <row r="26683">
      <c r="A26683" t="n">
        <v>26682</v>
      </c>
      <c r="B26683" t="inlineStr">
        <is>
          <t>x̄x̄V̅MDCLXXXII</t>
        </is>
      </c>
      <c r="C26683">
        <f>ROMAN(26682)</f>
        <v/>
      </c>
      <c r="D26683">
        <f>IF(B26683=C26683, "YES", "WRONG")</f>
        <v/>
      </c>
    </row>
    <row r="26684">
      <c r="A26684" t="n">
        <v>26683</v>
      </c>
      <c r="B26684" t="inlineStr">
        <is>
          <t>x̄x̄V̅MDCLXXXIII</t>
        </is>
      </c>
      <c r="C26684">
        <f>ROMAN(26683)</f>
        <v/>
      </c>
      <c r="D26684">
        <f>IF(B26684=C26684, "YES", "WRONG")</f>
        <v/>
      </c>
    </row>
    <row r="26685">
      <c r="A26685" t="n">
        <v>26684</v>
      </c>
      <c r="B26685" t="inlineStr">
        <is>
          <t>x̄x̄V̅MDCLXXXIV</t>
        </is>
      </c>
      <c r="C26685">
        <f>ROMAN(26684)</f>
        <v/>
      </c>
      <c r="D26685">
        <f>IF(B26685=C26685, "YES", "WRONG")</f>
        <v/>
      </c>
    </row>
    <row r="26686">
      <c r="A26686" t="n">
        <v>26685</v>
      </c>
      <c r="B26686" t="inlineStr">
        <is>
          <t>x̄x̄V̅MDCLXXXV</t>
        </is>
      </c>
      <c r="C26686">
        <f>ROMAN(26685)</f>
        <v/>
      </c>
      <c r="D26686">
        <f>IF(B26686=C26686, "YES", "WRONG")</f>
        <v/>
      </c>
    </row>
    <row r="26687">
      <c r="A26687" t="n">
        <v>26686</v>
      </c>
      <c r="B26687" t="inlineStr">
        <is>
          <t>x̄x̄V̅MDCLXXXVI</t>
        </is>
      </c>
      <c r="C26687">
        <f>ROMAN(26686)</f>
        <v/>
      </c>
      <c r="D26687">
        <f>IF(B26687=C26687, "YES", "WRONG")</f>
        <v/>
      </c>
    </row>
    <row r="26688">
      <c r="A26688" t="n">
        <v>26687</v>
      </c>
      <c r="B26688" t="inlineStr">
        <is>
          <t>x̄x̄V̅MDCLXXXVII</t>
        </is>
      </c>
      <c r="C26688">
        <f>ROMAN(26687)</f>
        <v/>
      </c>
      <c r="D26688">
        <f>IF(B26688=C26688, "YES", "WRONG")</f>
        <v/>
      </c>
    </row>
    <row r="26689">
      <c r="A26689" t="n">
        <v>26688</v>
      </c>
      <c r="B26689" t="inlineStr">
        <is>
          <t>x̄x̄V̅MDCLXXXVIII</t>
        </is>
      </c>
      <c r="C26689">
        <f>ROMAN(26688)</f>
        <v/>
      </c>
      <c r="D26689">
        <f>IF(B26689=C26689, "YES", "WRONG")</f>
        <v/>
      </c>
    </row>
    <row r="26690">
      <c r="A26690" t="n">
        <v>26689</v>
      </c>
      <c r="B26690" t="inlineStr">
        <is>
          <t>x̄x̄V̅MDCLXXXIX</t>
        </is>
      </c>
      <c r="C26690">
        <f>ROMAN(26689)</f>
        <v/>
      </c>
      <c r="D26690">
        <f>IF(B26690=C26690, "YES", "WRONG")</f>
        <v/>
      </c>
    </row>
    <row r="26691">
      <c r="A26691" t="n">
        <v>26690</v>
      </c>
      <c r="B26691" t="inlineStr">
        <is>
          <t>x̄x̄V̅MDCXC</t>
        </is>
      </c>
      <c r="C26691">
        <f>ROMAN(26690)</f>
        <v/>
      </c>
      <c r="D26691">
        <f>IF(B26691=C26691, "YES", "WRONG")</f>
        <v/>
      </c>
    </row>
    <row r="26692">
      <c r="A26692" t="n">
        <v>26691</v>
      </c>
      <c r="B26692" t="inlineStr">
        <is>
          <t>x̄x̄V̅MDCXCI</t>
        </is>
      </c>
      <c r="C26692">
        <f>ROMAN(26691)</f>
        <v/>
      </c>
      <c r="D26692">
        <f>IF(B26692=C26692, "YES", "WRONG")</f>
        <v/>
      </c>
    </row>
    <row r="26693">
      <c r="A26693" t="n">
        <v>26692</v>
      </c>
      <c r="B26693" t="inlineStr">
        <is>
          <t>x̄x̄V̅MDCXCII</t>
        </is>
      </c>
      <c r="C26693">
        <f>ROMAN(26692)</f>
        <v/>
      </c>
      <c r="D26693">
        <f>IF(B26693=C26693, "YES", "WRONG")</f>
        <v/>
      </c>
    </row>
    <row r="26694">
      <c r="A26694" t="n">
        <v>26693</v>
      </c>
      <c r="B26694" t="inlineStr">
        <is>
          <t>x̄x̄V̅MDCXCIII</t>
        </is>
      </c>
      <c r="C26694">
        <f>ROMAN(26693)</f>
        <v/>
      </c>
      <c r="D26694">
        <f>IF(B26694=C26694, "YES", "WRONG")</f>
        <v/>
      </c>
    </row>
    <row r="26695">
      <c r="A26695" t="n">
        <v>26694</v>
      </c>
      <c r="B26695" t="inlineStr">
        <is>
          <t>x̄x̄V̅MDCXCIV</t>
        </is>
      </c>
      <c r="C26695">
        <f>ROMAN(26694)</f>
        <v/>
      </c>
      <c r="D26695">
        <f>IF(B26695=C26695, "YES", "WRONG")</f>
        <v/>
      </c>
    </row>
    <row r="26696">
      <c r="A26696" t="n">
        <v>26695</v>
      </c>
      <c r="B26696" t="inlineStr">
        <is>
          <t>x̄x̄V̅MDCXCV</t>
        </is>
      </c>
      <c r="C26696">
        <f>ROMAN(26695)</f>
        <v/>
      </c>
      <c r="D26696">
        <f>IF(B26696=C26696, "YES", "WRONG")</f>
        <v/>
      </c>
    </row>
    <row r="26697">
      <c r="A26697" t="n">
        <v>26696</v>
      </c>
      <c r="B26697" t="inlineStr">
        <is>
          <t>x̄x̄V̅MDCXCVI</t>
        </is>
      </c>
      <c r="C26697">
        <f>ROMAN(26696)</f>
        <v/>
      </c>
      <c r="D26697">
        <f>IF(B26697=C26697, "YES", "WRONG")</f>
        <v/>
      </c>
    </row>
    <row r="26698">
      <c r="A26698" t="n">
        <v>26697</v>
      </c>
      <c r="B26698" t="inlineStr">
        <is>
          <t>x̄x̄V̅MDCXCVII</t>
        </is>
      </c>
      <c r="C26698">
        <f>ROMAN(26697)</f>
        <v/>
      </c>
      <c r="D26698">
        <f>IF(B26698=C26698, "YES", "WRONG")</f>
        <v/>
      </c>
    </row>
    <row r="26699">
      <c r="A26699" t="n">
        <v>26698</v>
      </c>
      <c r="B26699" t="inlineStr">
        <is>
          <t>x̄x̄V̅MDCXCVIII</t>
        </is>
      </c>
      <c r="C26699">
        <f>ROMAN(26698)</f>
        <v/>
      </c>
      <c r="D26699">
        <f>IF(B26699=C26699, "YES", "WRONG")</f>
        <v/>
      </c>
    </row>
    <row r="26700">
      <c r="A26700" t="n">
        <v>26699</v>
      </c>
      <c r="B26700" t="inlineStr">
        <is>
          <t>x̄x̄V̅MDCXCIX</t>
        </is>
      </c>
      <c r="C26700">
        <f>ROMAN(26699)</f>
        <v/>
      </c>
      <c r="D26700">
        <f>IF(B26700=C26700, "YES", "WRONG")</f>
        <v/>
      </c>
    </row>
    <row r="26701">
      <c r="A26701" t="n">
        <v>26700</v>
      </c>
      <c r="B26701" t="inlineStr">
        <is>
          <t>x̄x̄V̅MDCC</t>
        </is>
      </c>
      <c r="C26701">
        <f>ROMAN(26700)</f>
        <v/>
      </c>
      <c r="D26701">
        <f>IF(B26701=C26701, "YES", "WRONG")</f>
        <v/>
      </c>
    </row>
    <row r="26702">
      <c r="A26702" t="n">
        <v>26701</v>
      </c>
      <c r="B26702" t="inlineStr">
        <is>
          <t>x̄x̄V̅MDCCI</t>
        </is>
      </c>
      <c r="C26702">
        <f>ROMAN(26701)</f>
        <v/>
      </c>
      <c r="D26702">
        <f>IF(B26702=C26702, "YES", "WRONG")</f>
        <v/>
      </c>
    </row>
    <row r="26703">
      <c r="A26703" t="n">
        <v>26702</v>
      </c>
      <c r="B26703" t="inlineStr">
        <is>
          <t>x̄x̄V̅MDCCII</t>
        </is>
      </c>
      <c r="C26703">
        <f>ROMAN(26702)</f>
        <v/>
      </c>
      <c r="D26703">
        <f>IF(B26703=C26703, "YES", "WRONG")</f>
        <v/>
      </c>
    </row>
    <row r="26704">
      <c r="A26704" t="n">
        <v>26703</v>
      </c>
      <c r="B26704" t="inlineStr">
        <is>
          <t>x̄x̄V̅MDCCIII</t>
        </is>
      </c>
      <c r="C26704">
        <f>ROMAN(26703)</f>
        <v/>
      </c>
      <c r="D26704">
        <f>IF(B26704=C26704, "YES", "WRONG")</f>
        <v/>
      </c>
    </row>
    <row r="26705">
      <c r="A26705" t="n">
        <v>26704</v>
      </c>
      <c r="B26705" t="inlineStr">
        <is>
          <t>x̄x̄V̅MDCCIV</t>
        </is>
      </c>
      <c r="C26705">
        <f>ROMAN(26704)</f>
        <v/>
      </c>
      <c r="D26705">
        <f>IF(B26705=C26705, "YES", "WRONG")</f>
        <v/>
      </c>
    </row>
    <row r="26706">
      <c r="A26706" t="n">
        <v>26705</v>
      </c>
      <c r="B26706" t="inlineStr">
        <is>
          <t>x̄x̄V̅MDCCV</t>
        </is>
      </c>
      <c r="C26706">
        <f>ROMAN(26705)</f>
        <v/>
      </c>
      <c r="D26706">
        <f>IF(B26706=C26706, "YES", "WRONG")</f>
        <v/>
      </c>
    </row>
    <row r="26707">
      <c r="A26707" t="n">
        <v>26706</v>
      </c>
      <c r="B26707" t="inlineStr">
        <is>
          <t>x̄x̄V̅MDCCVI</t>
        </is>
      </c>
      <c r="C26707">
        <f>ROMAN(26706)</f>
        <v/>
      </c>
      <c r="D26707">
        <f>IF(B26707=C26707, "YES", "WRONG")</f>
        <v/>
      </c>
    </row>
    <row r="26708">
      <c r="A26708" t="n">
        <v>26707</v>
      </c>
      <c r="B26708" t="inlineStr">
        <is>
          <t>x̄x̄V̅MDCCVII</t>
        </is>
      </c>
      <c r="C26708">
        <f>ROMAN(26707)</f>
        <v/>
      </c>
      <c r="D26708">
        <f>IF(B26708=C26708, "YES", "WRONG")</f>
        <v/>
      </c>
    </row>
    <row r="26709">
      <c r="A26709" t="n">
        <v>26708</v>
      </c>
      <c r="B26709" t="inlineStr">
        <is>
          <t>x̄x̄V̅MDCCVIII</t>
        </is>
      </c>
      <c r="C26709">
        <f>ROMAN(26708)</f>
        <v/>
      </c>
      <c r="D26709">
        <f>IF(B26709=C26709, "YES", "WRONG")</f>
        <v/>
      </c>
    </row>
    <row r="26710">
      <c r="A26710" t="n">
        <v>26709</v>
      </c>
      <c r="B26710" t="inlineStr">
        <is>
          <t>x̄x̄V̅MDCCIX</t>
        </is>
      </c>
      <c r="C26710">
        <f>ROMAN(26709)</f>
        <v/>
      </c>
      <c r="D26710">
        <f>IF(B26710=C26710, "YES", "WRONG")</f>
        <v/>
      </c>
    </row>
    <row r="26711">
      <c r="A26711" t="n">
        <v>26710</v>
      </c>
      <c r="B26711" t="inlineStr">
        <is>
          <t>x̄x̄V̅MDCCX</t>
        </is>
      </c>
      <c r="C26711">
        <f>ROMAN(26710)</f>
        <v/>
      </c>
      <c r="D26711">
        <f>IF(B26711=C26711, "YES", "WRONG")</f>
        <v/>
      </c>
    </row>
    <row r="26712">
      <c r="A26712" t="n">
        <v>26711</v>
      </c>
      <c r="B26712" t="inlineStr">
        <is>
          <t>x̄x̄V̅MDCCXI</t>
        </is>
      </c>
      <c r="C26712">
        <f>ROMAN(26711)</f>
        <v/>
      </c>
      <c r="D26712">
        <f>IF(B26712=C26712, "YES", "WRONG")</f>
        <v/>
      </c>
    </row>
    <row r="26713">
      <c r="A26713" t="n">
        <v>26712</v>
      </c>
      <c r="B26713" t="inlineStr">
        <is>
          <t>x̄x̄V̅MDCCXII</t>
        </is>
      </c>
      <c r="C26713">
        <f>ROMAN(26712)</f>
        <v/>
      </c>
      <c r="D26713">
        <f>IF(B26713=C26713, "YES", "WRONG")</f>
        <v/>
      </c>
    </row>
    <row r="26714">
      <c r="A26714" t="n">
        <v>26713</v>
      </c>
      <c r="B26714" t="inlineStr">
        <is>
          <t>x̄x̄V̅MDCCXIII</t>
        </is>
      </c>
      <c r="C26714">
        <f>ROMAN(26713)</f>
        <v/>
      </c>
      <c r="D26714">
        <f>IF(B26714=C26714, "YES", "WRONG")</f>
        <v/>
      </c>
    </row>
    <row r="26715">
      <c r="A26715" t="n">
        <v>26714</v>
      </c>
      <c r="B26715" t="inlineStr">
        <is>
          <t>x̄x̄V̅MDCCXIV</t>
        </is>
      </c>
      <c r="C26715">
        <f>ROMAN(26714)</f>
        <v/>
      </c>
      <c r="D26715">
        <f>IF(B26715=C26715, "YES", "WRONG")</f>
        <v/>
      </c>
    </row>
    <row r="26716">
      <c r="A26716" t="n">
        <v>26715</v>
      </c>
      <c r="B26716" t="inlineStr">
        <is>
          <t>x̄x̄V̅MDCCXV</t>
        </is>
      </c>
      <c r="C26716">
        <f>ROMAN(26715)</f>
        <v/>
      </c>
      <c r="D26716">
        <f>IF(B26716=C26716, "YES", "WRONG")</f>
        <v/>
      </c>
    </row>
    <row r="26717">
      <c r="A26717" t="n">
        <v>26716</v>
      </c>
      <c r="B26717" t="inlineStr">
        <is>
          <t>x̄x̄V̅MDCCXVI</t>
        </is>
      </c>
      <c r="C26717">
        <f>ROMAN(26716)</f>
        <v/>
      </c>
      <c r="D26717">
        <f>IF(B26717=C26717, "YES", "WRONG")</f>
        <v/>
      </c>
    </row>
    <row r="26718">
      <c r="A26718" t="n">
        <v>26717</v>
      </c>
      <c r="B26718" t="inlineStr">
        <is>
          <t>x̄x̄V̅MDCCXVII</t>
        </is>
      </c>
      <c r="C26718">
        <f>ROMAN(26717)</f>
        <v/>
      </c>
      <c r="D26718">
        <f>IF(B26718=C26718, "YES", "WRONG")</f>
        <v/>
      </c>
    </row>
    <row r="26719">
      <c r="A26719" t="n">
        <v>26718</v>
      </c>
      <c r="B26719" t="inlineStr">
        <is>
          <t>x̄x̄V̅MDCCXVIII</t>
        </is>
      </c>
      <c r="C26719">
        <f>ROMAN(26718)</f>
        <v/>
      </c>
      <c r="D26719">
        <f>IF(B26719=C26719, "YES", "WRONG")</f>
        <v/>
      </c>
    </row>
    <row r="26720">
      <c r="A26720" t="n">
        <v>26719</v>
      </c>
      <c r="B26720" t="inlineStr">
        <is>
          <t>x̄x̄V̅MDCCXIX</t>
        </is>
      </c>
      <c r="C26720">
        <f>ROMAN(26719)</f>
        <v/>
      </c>
      <c r="D26720">
        <f>IF(B26720=C26720, "YES", "WRONG")</f>
        <v/>
      </c>
    </row>
    <row r="26721">
      <c r="A26721" t="n">
        <v>26720</v>
      </c>
      <c r="B26721" t="inlineStr">
        <is>
          <t>x̄x̄V̅MDCCXX</t>
        </is>
      </c>
      <c r="C26721">
        <f>ROMAN(26720)</f>
        <v/>
      </c>
      <c r="D26721">
        <f>IF(B26721=C26721, "YES", "WRONG")</f>
        <v/>
      </c>
    </row>
    <row r="26722">
      <c r="A26722" t="n">
        <v>26721</v>
      </c>
      <c r="B26722" t="inlineStr">
        <is>
          <t>x̄x̄V̅MDCCXXI</t>
        </is>
      </c>
      <c r="C26722">
        <f>ROMAN(26721)</f>
        <v/>
      </c>
      <c r="D26722">
        <f>IF(B26722=C26722, "YES", "WRONG")</f>
        <v/>
      </c>
    </row>
    <row r="26723">
      <c r="A26723" t="n">
        <v>26722</v>
      </c>
      <c r="B26723" t="inlineStr">
        <is>
          <t>x̄x̄V̅MDCCXXII</t>
        </is>
      </c>
      <c r="C26723">
        <f>ROMAN(26722)</f>
        <v/>
      </c>
      <c r="D26723">
        <f>IF(B26723=C26723, "YES", "WRONG")</f>
        <v/>
      </c>
    </row>
    <row r="26724">
      <c r="A26724" t="n">
        <v>26723</v>
      </c>
      <c r="B26724" t="inlineStr">
        <is>
          <t>x̄x̄V̅MDCCXXIII</t>
        </is>
      </c>
      <c r="C26724">
        <f>ROMAN(26723)</f>
        <v/>
      </c>
      <c r="D26724">
        <f>IF(B26724=C26724, "YES", "WRONG")</f>
        <v/>
      </c>
    </row>
    <row r="26725">
      <c r="A26725" t="n">
        <v>26724</v>
      </c>
      <c r="B26725" t="inlineStr">
        <is>
          <t>x̄x̄V̅MDCCXXIV</t>
        </is>
      </c>
      <c r="C26725">
        <f>ROMAN(26724)</f>
        <v/>
      </c>
      <c r="D26725">
        <f>IF(B26725=C26725, "YES", "WRONG")</f>
        <v/>
      </c>
    </row>
    <row r="26726">
      <c r="A26726" t="n">
        <v>26725</v>
      </c>
      <c r="B26726" t="inlineStr">
        <is>
          <t>x̄x̄V̅MDCCXXV</t>
        </is>
      </c>
      <c r="C26726">
        <f>ROMAN(26725)</f>
        <v/>
      </c>
      <c r="D26726">
        <f>IF(B26726=C26726, "YES", "WRONG")</f>
        <v/>
      </c>
    </row>
    <row r="26727">
      <c r="A26727" t="n">
        <v>26726</v>
      </c>
      <c r="B26727" t="inlineStr">
        <is>
          <t>x̄x̄V̅MDCCXXVI</t>
        </is>
      </c>
      <c r="C26727">
        <f>ROMAN(26726)</f>
        <v/>
      </c>
      <c r="D26727">
        <f>IF(B26727=C26727, "YES", "WRONG")</f>
        <v/>
      </c>
    </row>
    <row r="26728">
      <c r="A26728" t="n">
        <v>26727</v>
      </c>
      <c r="B26728" t="inlineStr">
        <is>
          <t>x̄x̄V̅MDCCXXVII</t>
        </is>
      </c>
      <c r="C26728">
        <f>ROMAN(26727)</f>
        <v/>
      </c>
      <c r="D26728">
        <f>IF(B26728=C26728, "YES", "WRONG")</f>
        <v/>
      </c>
    </row>
    <row r="26729">
      <c r="A26729" t="n">
        <v>26728</v>
      </c>
      <c r="B26729" t="inlineStr">
        <is>
          <t>x̄x̄V̅MDCCXXVIII</t>
        </is>
      </c>
      <c r="C26729">
        <f>ROMAN(26728)</f>
        <v/>
      </c>
      <c r="D26729">
        <f>IF(B26729=C26729, "YES", "WRONG")</f>
        <v/>
      </c>
    </row>
    <row r="26730">
      <c r="A26730" t="n">
        <v>26729</v>
      </c>
      <c r="B26730" t="inlineStr">
        <is>
          <t>x̄x̄V̅MDCCXXIX</t>
        </is>
      </c>
      <c r="C26730">
        <f>ROMAN(26729)</f>
        <v/>
      </c>
      <c r="D26730">
        <f>IF(B26730=C26730, "YES", "WRONG")</f>
        <v/>
      </c>
    </row>
    <row r="26731">
      <c r="A26731" t="n">
        <v>26730</v>
      </c>
      <c r="B26731" t="inlineStr">
        <is>
          <t>x̄x̄V̅MDCCXXX</t>
        </is>
      </c>
      <c r="C26731">
        <f>ROMAN(26730)</f>
        <v/>
      </c>
      <c r="D26731">
        <f>IF(B26731=C26731, "YES", "WRONG")</f>
        <v/>
      </c>
    </row>
    <row r="26732">
      <c r="A26732" t="n">
        <v>26731</v>
      </c>
      <c r="B26732" t="inlineStr">
        <is>
          <t>x̄x̄V̅MDCCXXXI</t>
        </is>
      </c>
      <c r="C26732">
        <f>ROMAN(26731)</f>
        <v/>
      </c>
      <c r="D26732">
        <f>IF(B26732=C26732, "YES", "WRONG")</f>
        <v/>
      </c>
    </row>
    <row r="26733">
      <c r="A26733" t="n">
        <v>26732</v>
      </c>
      <c r="B26733" t="inlineStr">
        <is>
          <t>x̄x̄V̅MDCCXXXII</t>
        </is>
      </c>
      <c r="C26733">
        <f>ROMAN(26732)</f>
        <v/>
      </c>
      <c r="D26733">
        <f>IF(B26733=C26733, "YES", "WRONG")</f>
        <v/>
      </c>
    </row>
    <row r="26734">
      <c r="A26734" t="n">
        <v>26733</v>
      </c>
      <c r="B26734" t="inlineStr">
        <is>
          <t>x̄x̄V̅MDCCXXXIII</t>
        </is>
      </c>
      <c r="C26734">
        <f>ROMAN(26733)</f>
        <v/>
      </c>
      <c r="D26734">
        <f>IF(B26734=C26734, "YES", "WRONG")</f>
        <v/>
      </c>
    </row>
    <row r="26735">
      <c r="A26735" t="n">
        <v>26734</v>
      </c>
      <c r="B26735" t="inlineStr">
        <is>
          <t>x̄x̄V̅MDCCXXXIV</t>
        </is>
      </c>
      <c r="C26735">
        <f>ROMAN(26734)</f>
        <v/>
      </c>
      <c r="D26735">
        <f>IF(B26735=C26735, "YES", "WRONG")</f>
        <v/>
      </c>
    </row>
    <row r="26736">
      <c r="A26736" t="n">
        <v>26735</v>
      </c>
      <c r="B26736" t="inlineStr">
        <is>
          <t>x̄x̄V̅MDCCXXXV</t>
        </is>
      </c>
      <c r="C26736">
        <f>ROMAN(26735)</f>
        <v/>
      </c>
      <c r="D26736">
        <f>IF(B26736=C26736, "YES", "WRONG")</f>
        <v/>
      </c>
    </row>
    <row r="26737">
      <c r="A26737" t="n">
        <v>26736</v>
      </c>
      <c r="B26737" t="inlineStr">
        <is>
          <t>x̄x̄V̅MDCCXXXVI</t>
        </is>
      </c>
      <c r="C26737">
        <f>ROMAN(26736)</f>
        <v/>
      </c>
      <c r="D26737">
        <f>IF(B26737=C26737, "YES", "WRONG")</f>
        <v/>
      </c>
    </row>
    <row r="26738">
      <c r="A26738" t="n">
        <v>26737</v>
      </c>
      <c r="B26738" t="inlineStr">
        <is>
          <t>x̄x̄V̅MDCCXXXVII</t>
        </is>
      </c>
      <c r="C26738">
        <f>ROMAN(26737)</f>
        <v/>
      </c>
      <c r="D26738">
        <f>IF(B26738=C26738, "YES", "WRONG")</f>
        <v/>
      </c>
    </row>
    <row r="26739">
      <c r="A26739" t="n">
        <v>26738</v>
      </c>
      <c r="B26739" t="inlineStr">
        <is>
          <t>x̄x̄V̅MDCCXXXVIII</t>
        </is>
      </c>
      <c r="C26739">
        <f>ROMAN(26738)</f>
        <v/>
      </c>
      <c r="D26739">
        <f>IF(B26739=C26739, "YES", "WRONG")</f>
        <v/>
      </c>
    </row>
    <row r="26740">
      <c r="A26740" t="n">
        <v>26739</v>
      </c>
      <c r="B26740" t="inlineStr">
        <is>
          <t>x̄x̄V̅MDCCXXXIX</t>
        </is>
      </c>
      <c r="C26740">
        <f>ROMAN(26739)</f>
        <v/>
      </c>
      <c r="D26740">
        <f>IF(B26740=C26740, "YES", "WRONG")</f>
        <v/>
      </c>
    </row>
    <row r="26741">
      <c r="A26741" t="n">
        <v>26740</v>
      </c>
      <c r="B26741" t="inlineStr">
        <is>
          <t>x̄x̄V̅MDCCXL</t>
        </is>
      </c>
      <c r="C26741">
        <f>ROMAN(26740)</f>
        <v/>
      </c>
      <c r="D26741">
        <f>IF(B26741=C26741, "YES", "WRONG")</f>
        <v/>
      </c>
    </row>
    <row r="26742">
      <c r="A26742" t="n">
        <v>26741</v>
      </c>
      <c r="B26742" t="inlineStr">
        <is>
          <t>x̄x̄V̅MDCCXLI</t>
        </is>
      </c>
      <c r="C26742">
        <f>ROMAN(26741)</f>
        <v/>
      </c>
      <c r="D26742">
        <f>IF(B26742=C26742, "YES", "WRONG")</f>
        <v/>
      </c>
    </row>
    <row r="26743">
      <c r="A26743" t="n">
        <v>26742</v>
      </c>
      <c r="B26743" t="inlineStr">
        <is>
          <t>x̄x̄V̅MDCCXLII</t>
        </is>
      </c>
      <c r="C26743">
        <f>ROMAN(26742)</f>
        <v/>
      </c>
      <c r="D26743">
        <f>IF(B26743=C26743, "YES", "WRONG")</f>
        <v/>
      </c>
    </row>
    <row r="26744">
      <c r="A26744" t="n">
        <v>26743</v>
      </c>
      <c r="B26744" t="inlineStr">
        <is>
          <t>x̄x̄V̅MDCCXLIII</t>
        </is>
      </c>
      <c r="C26744">
        <f>ROMAN(26743)</f>
        <v/>
      </c>
      <c r="D26744">
        <f>IF(B26744=C26744, "YES", "WRONG")</f>
        <v/>
      </c>
    </row>
    <row r="26745">
      <c r="A26745" t="n">
        <v>26744</v>
      </c>
      <c r="B26745" t="inlineStr">
        <is>
          <t>x̄x̄V̅MDCCXLIV</t>
        </is>
      </c>
      <c r="C26745">
        <f>ROMAN(26744)</f>
        <v/>
      </c>
      <c r="D26745">
        <f>IF(B26745=C26745, "YES", "WRONG")</f>
        <v/>
      </c>
    </row>
    <row r="26746">
      <c r="A26746" t="n">
        <v>26745</v>
      </c>
      <c r="B26746" t="inlineStr">
        <is>
          <t>x̄x̄V̅MDCCXLV</t>
        </is>
      </c>
      <c r="C26746">
        <f>ROMAN(26745)</f>
        <v/>
      </c>
      <c r="D26746">
        <f>IF(B26746=C26746, "YES", "WRONG")</f>
        <v/>
      </c>
    </row>
    <row r="26747">
      <c r="A26747" t="n">
        <v>26746</v>
      </c>
      <c r="B26747" t="inlineStr">
        <is>
          <t>x̄x̄V̅MDCCXLVI</t>
        </is>
      </c>
      <c r="C26747">
        <f>ROMAN(26746)</f>
        <v/>
      </c>
      <c r="D26747">
        <f>IF(B26747=C26747, "YES", "WRONG")</f>
        <v/>
      </c>
    </row>
    <row r="26748">
      <c r="A26748" t="n">
        <v>26747</v>
      </c>
      <c r="B26748" t="inlineStr">
        <is>
          <t>x̄x̄V̅MDCCXLVII</t>
        </is>
      </c>
      <c r="C26748">
        <f>ROMAN(26747)</f>
        <v/>
      </c>
      <c r="D26748">
        <f>IF(B26748=C26748, "YES", "WRONG")</f>
        <v/>
      </c>
    </row>
    <row r="26749">
      <c r="A26749" t="n">
        <v>26748</v>
      </c>
      <c r="B26749" t="inlineStr">
        <is>
          <t>x̄x̄V̅MDCCXLVIII</t>
        </is>
      </c>
      <c r="C26749">
        <f>ROMAN(26748)</f>
        <v/>
      </c>
      <c r="D26749">
        <f>IF(B26749=C26749, "YES", "WRONG")</f>
        <v/>
      </c>
    </row>
    <row r="26750">
      <c r="A26750" t="n">
        <v>26749</v>
      </c>
      <c r="B26750" t="inlineStr">
        <is>
          <t>x̄x̄V̅MDCCXLIX</t>
        </is>
      </c>
      <c r="C26750">
        <f>ROMAN(26749)</f>
        <v/>
      </c>
      <c r="D26750">
        <f>IF(B26750=C26750, "YES", "WRONG")</f>
        <v/>
      </c>
    </row>
    <row r="26751">
      <c r="A26751" t="n">
        <v>26750</v>
      </c>
      <c r="B26751" t="inlineStr">
        <is>
          <t>x̄x̄V̅MDCCL</t>
        </is>
      </c>
      <c r="C26751">
        <f>ROMAN(26750)</f>
        <v/>
      </c>
      <c r="D26751">
        <f>IF(B26751=C26751, "YES", "WRONG")</f>
        <v/>
      </c>
    </row>
    <row r="26752">
      <c r="A26752" t="n">
        <v>26751</v>
      </c>
      <c r="B26752" t="inlineStr">
        <is>
          <t>x̄x̄V̅MDCCLI</t>
        </is>
      </c>
      <c r="C26752">
        <f>ROMAN(26751)</f>
        <v/>
      </c>
      <c r="D26752">
        <f>IF(B26752=C26752, "YES", "WRONG")</f>
        <v/>
      </c>
    </row>
    <row r="26753">
      <c r="A26753" t="n">
        <v>26752</v>
      </c>
      <c r="B26753" t="inlineStr">
        <is>
          <t>x̄x̄V̅MDCCLII</t>
        </is>
      </c>
      <c r="C26753">
        <f>ROMAN(26752)</f>
        <v/>
      </c>
      <c r="D26753">
        <f>IF(B26753=C26753, "YES", "WRONG")</f>
        <v/>
      </c>
    </row>
    <row r="26754">
      <c r="A26754" t="n">
        <v>26753</v>
      </c>
      <c r="B26754" t="inlineStr">
        <is>
          <t>x̄x̄V̅MDCCLIII</t>
        </is>
      </c>
      <c r="C26754">
        <f>ROMAN(26753)</f>
        <v/>
      </c>
      <c r="D26754">
        <f>IF(B26754=C26754, "YES", "WRONG")</f>
        <v/>
      </c>
    </row>
    <row r="26755">
      <c r="A26755" t="n">
        <v>26754</v>
      </c>
      <c r="B26755" t="inlineStr">
        <is>
          <t>x̄x̄V̅MDCCLIV</t>
        </is>
      </c>
      <c r="C26755">
        <f>ROMAN(26754)</f>
        <v/>
      </c>
      <c r="D26755">
        <f>IF(B26755=C26755, "YES", "WRONG")</f>
        <v/>
      </c>
    </row>
    <row r="26756">
      <c r="A26756" t="n">
        <v>26755</v>
      </c>
      <c r="B26756" t="inlineStr">
        <is>
          <t>x̄x̄V̅MDCCLV</t>
        </is>
      </c>
      <c r="C26756">
        <f>ROMAN(26755)</f>
        <v/>
      </c>
      <c r="D26756">
        <f>IF(B26756=C26756, "YES", "WRONG")</f>
        <v/>
      </c>
    </row>
    <row r="26757">
      <c r="A26757" t="n">
        <v>26756</v>
      </c>
      <c r="B26757" t="inlineStr">
        <is>
          <t>x̄x̄V̅MDCCLVI</t>
        </is>
      </c>
      <c r="C26757">
        <f>ROMAN(26756)</f>
        <v/>
      </c>
      <c r="D26757">
        <f>IF(B26757=C26757, "YES", "WRONG")</f>
        <v/>
      </c>
    </row>
    <row r="26758">
      <c r="A26758" t="n">
        <v>26757</v>
      </c>
      <c r="B26758" t="inlineStr">
        <is>
          <t>x̄x̄V̅MDCCLVII</t>
        </is>
      </c>
      <c r="C26758">
        <f>ROMAN(26757)</f>
        <v/>
      </c>
      <c r="D26758">
        <f>IF(B26758=C26758, "YES", "WRONG")</f>
        <v/>
      </c>
    </row>
    <row r="26759">
      <c r="A26759" t="n">
        <v>26758</v>
      </c>
      <c r="B26759" t="inlineStr">
        <is>
          <t>x̄x̄V̅MDCCLVIII</t>
        </is>
      </c>
      <c r="C26759">
        <f>ROMAN(26758)</f>
        <v/>
      </c>
      <c r="D26759">
        <f>IF(B26759=C26759, "YES", "WRONG")</f>
        <v/>
      </c>
    </row>
    <row r="26760">
      <c r="A26760" t="n">
        <v>26759</v>
      </c>
      <c r="B26760" t="inlineStr">
        <is>
          <t>x̄x̄V̅MDCCLIX</t>
        </is>
      </c>
      <c r="C26760">
        <f>ROMAN(26759)</f>
        <v/>
      </c>
      <c r="D26760">
        <f>IF(B26760=C26760, "YES", "WRONG")</f>
        <v/>
      </c>
    </row>
    <row r="26761">
      <c r="A26761" t="n">
        <v>26760</v>
      </c>
      <c r="B26761" t="inlineStr">
        <is>
          <t>x̄x̄V̅MDCCLX</t>
        </is>
      </c>
      <c r="C26761">
        <f>ROMAN(26760)</f>
        <v/>
      </c>
      <c r="D26761">
        <f>IF(B26761=C26761, "YES", "WRONG")</f>
        <v/>
      </c>
    </row>
    <row r="26762">
      <c r="A26762" t="n">
        <v>26761</v>
      </c>
      <c r="B26762" t="inlineStr">
        <is>
          <t>x̄x̄V̅MDCCLXI</t>
        </is>
      </c>
      <c r="C26762">
        <f>ROMAN(26761)</f>
        <v/>
      </c>
      <c r="D26762">
        <f>IF(B26762=C26762, "YES", "WRONG")</f>
        <v/>
      </c>
    </row>
    <row r="26763">
      <c r="A26763" t="n">
        <v>26762</v>
      </c>
      <c r="B26763" t="inlineStr">
        <is>
          <t>x̄x̄V̅MDCCLXII</t>
        </is>
      </c>
      <c r="C26763">
        <f>ROMAN(26762)</f>
        <v/>
      </c>
      <c r="D26763">
        <f>IF(B26763=C26763, "YES", "WRONG")</f>
        <v/>
      </c>
    </row>
    <row r="26764">
      <c r="A26764" t="n">
        <v>26763</v>
      </c>
      <c r="B26764" t="inlineStr">
        <is>
          <t>x̄x̄V̅MDCCLXIII</t>
        </is>
      </c>
      <c r="C26764">
        <f>ROMAN(26763)</f>
        <v/>
      </c>
      <c r="D26764">
        <f>IF(B26764=C26764, "YES", "WRONG")</f>
        <v/>
      </c>
    </row>
    <row r="26765">
      <c r="A26765" t="n">
        <v>26764</v>
      </c>
      <c r="B26765" t="inlineStr">
        <is>
          <t>x̄x̄V̅MDCCLXIV</t>
        </is>
      </c>
      <c r="C26765">
        <f>ROMAN(26764)</f>
        <v/>
      </c>
      <c r="D26765">
        <f>IF(B26765=C26765, "YES", "WRONG")</f>
        <v/>
      </c>
    </row>
    <row r="26766">
      <c r="A26766" t="n">
        <v>26765</v>
      </c>
      <c r="B26766" t="inlineStr">
        <is>
          <t>x̄x̄V̅MDCCLXV</t>
        </is>
      </c>
      <c r="C26766">
        <f>ROMAN(26765)</f>
        <v/>
      </c>
      <c r="D26766">
        <f>IF(B26766=C26766, "YES", "WRONG")</f>
        <v/>
      </c>
    </row>
    <row r="26767">
      <c r="A26767" t="n">
        <v>26766</v>
      </c>
      <c r="B26767" t="inlineStr">
        <is>
          <t>x̄x̄V̅MDCCLXVI</t>
        </is>
      </c>
      <c r="C26767">
        <f>ROMAN(26766)</f>
        <v/>
      </c>
      <c r="D26767">
        <f>IF(B26767=C26767, "YES", "WRONG")</f>
        <v/>
      </c>
    </row>
    <row r="26768">
      <c r="A26768" t="n">
        <v>26767</v>
      </c>
      <c r="B26768" t="inlineStr">
        <is>
          <t>x̄x̄V̅MDCCLXVII</t>
        </is>
      </c>
      <c r="C26768">
        <f>ROMAN(26767)</f>
        <v/>
      </c>
      <c r="D26768">
        <f>IF(B26768=C26768, "YES", "WRONG")</f>
        <v/>
      </c>
    </row>
    <row r="26769">
      <c r="A26769" t="n">
        <v>26768</v>
      </c>
      <c r="B26769" t="inlineStr">
        <is>
          <t>x̄x̄V̅MDCCLXVIII</t>
        </is>
      </c>
      <c r="C26769">
        <f>ROMAN(26768)</f>
        <v/>
      </c>
      <c r="D26769">
        <f>IF(B26769=C26769, "YES", "WRONG")</f>
        <v/>
      </c>
    </row>
    <row r="26770">
      <c r="A26770" t="n">
        <v>26769</v>
      </c>
      <c r="B26770" t="inlineStr">
        <is>
          <t>x̄x̄V̅MDCCLXIX</t>
        </is>
      </c>
      <c r="C26770">
        <f>ROMAN(26769)</f>
        <v/>
      </c>
      <c r="D26770">
        <f>IF(B26770=C26770, "YES", "WRONG")</f>
        <v/>
      </c>
    </row>
    <row r="26771">
      <c r="A26771" t="n">
        <v>26770</v>
      </c>
      <c r="B26771" t="inlineStr">
        <is>
          <t>x̄x̄V̅MDCCLXX</t>
        </is>
      </c>
      <c r="C26771">
        <f>ROMAN(26770)</f>
        <v/>
      </c>
      <c r="D26771">
        <f>IF(B26771=C26771, "YES", "WRONG")</f>
        <v/>
      </c>
    </row>
    <row r="26772">
      <c r="A26772" t="n">
        <v>26771</v>
      </c>
      <c r="B26772" t="inlineStr">
        <is>
          <t>x̄x̄V̅MDCCLXXI</t>
        </is>
      </c>
      <c r="C26772">
        <f>ROMAN(26771)</f>
        <v/>
      </c>
      <c r="D26772">
        <f>IF(B26772=C26772, "YES", "WRONG")</f>
        <v/>
      </c>
    </row>
    <row r="26773">
      <c r="A26773" t="n">
        <v>26772</v>
      </c>
      <c r="B26773" t="inlineStr">
        <is>
          <t>x̄x̄V̅MDCCLXXII</t>
        </is>
      </c>
      <c r="C26773">
        <f>ROMAN(26772)</f>
        <v/>
      </c>
      <c r="D26773">
        <f>IF(B26773=C26773, "YES", "WRONG")</f>
        <v/>
      </c>
    </row>
    <row r="26774">
      <c r="A26774" t="n">
        <v>26773</v>
      </c>
      <c r="B26774" t="inlineStr">
        <is>
          <t>x̄x̄V̅MDCCLXXIII</t>
        </is>
      </c>
      <c r="C26774">
        <f>ROMAN(26773)</f>
        <v/>
      </c>
      <c r="D26774">
        <f>IF(B26774=C26774, "YES", "WRONG")</f>
        <v/>
      </c>
    </row>
    <row r="26775">
      <c r="A26775" t="n">
        <v>26774</v>
      </c>
      <c r="B26775" t="inlineStr">
        <is>
          <t>x̄x̄V̅MDCCLXXIV</t>
        </is>
      </c>
      <c r="C26775">
        <f>ROMAN(26774)</f>
        <v/>
      </c>
      <c r="D26775">
        <f>IF(B26775=C26775, "YES", "WRONG")</f>
        <v/>
      </c>
    </row>
    <row r="26776">
      <c r="A26776" t="n">
        <v>26775</v>
      </c>
      <c r="B26776" t="inlineStr">
        <is>
          <t>x̄x̄V̅MDCCLXXV</t>
        </is>
      </c>
      <c r="C26776">
        <f>ROMAN(26775)</f>
        <v/>
      </c>
      <c r="D26776">
        <f>IF(B26776=C26776, "YES", "WRONG")</f>
        <v/>
      </c>
    </row>
    <row r="26777">
      <c r="A26777" t="n">
        <v>26776</v>
      </c>
      <c r="B26777" t="inlineStr">
        <is>
          <t>x̄x̄V̅MDCCLXXVI</t>
        </is>
      </c>
      <c r="C26777">
        <f>ROMAN(26776)</f>
        <v/>
      </c>
      <c r="D26777">
        <f>IF(B26777=C26777, "YES", "WRONG")</f>
        <v/>
      </c>
    </row>
    <row r="26778">
      <c r="A26778" t="n">
        <v>26777</v>
      </c>
      <c r="B26778" t="inlineStr">
        <is>
          <t>x̄x̄V̅MDCCLXXVII</t>
        </is>
      </c>
      <c r="C26778">
        <f>ROMAN(26777)</f>
        <v/>
      </c>
      <c r="D26778">
        <f>IF(B26778=C26778, "YES", "WRONG")</f>
        <v/>
      </c>
    </row>
    <row r="26779">
      <c r="A26779" t="n">
        <v>26778</v>
      </c>
      <c r="B26779" t="inlineStr">
        <is>
          <t>x̄x̄V̅MDCCLXXVIII</t>
        </is>
      </c>
      <c r="C26779">
        <f>ROMAN(26778)</f>
        <v/>
      </c>
      <c r="D26779">
        <f>IF(B26779=C26779, "YES", "WRONG")</f>
        <v/>
      </c>
    </row>
    <row r="26780">
      <c r="A26780" t="n">
        <v>26779</v>
      </c>
      <c r="B26780" t="inlineStr">
        <is>
          <t>x̄x̄V̅MDCCLXXIX</t>
        </is>
      </c>
      <c r="C26780">
        <f>ROMAN(26779)</f>
        <v/>
      </c>
      <c r="D26780">
        <f>IF(B26780=C26780, "YES", "WRONG")</f>
        <v/>
      </c>
    </row>
    <row r="26781">
      <c r="A26781" t="n">
        <v>26780</v>
      </c>
      <c r="B26781" t="inlineStr">
        <is>
          <t>x̄x̄V̅MDCCLXXX</t>
        </is>
      </c>
      <c r="C26781">
        <f>ROMAN(26780)</f>
        <v/>
      </c>
      <c r="D26781">
        <f>IF(B26781=C26781, "YES", "WRONG")</f>
        <v/>
      </c>
    </row>
    <row r="26782">
      <c r="A26782" t="n">
        <v>26781</v>
      </c>
      <c r="B26782" t="inlineStr">
        <is>
          <t>x̄x̄V̅MDCCLXXXI</t>
        </is>
      </c>
      <c r="C26782">
        <f>ROMAN(26781)</f>
        <v/>
      </c>
      <c r="D26782">
        <f>IF(B26782=C26782, "YES", "WRONG")</f>
        <v/>
      </c>
    </row>
    <row r="26783">
      <c r="A26783" t="n">
        <v>26782</v>
      </c>
      <c r="B26783" t="inlineStr">
        <is>
          <t>x̄x̄V̅MDCCLXXXII</t>
        </is>
      </c>
      <c r="C26783">
        <f>ROMAN(26782)</f>
        <v/>
      </c>
      <c r="D26783">
        <f>IF(B26783=C26783, "YES", "WRONG")</f>
        <v/>
      </c>
    </row>
    <row r="26784">
      <c r="A26784" t="n">
        <v>26783</v>
      </c>
      <c r="B26784" t="inlineStr">
        <is>
          <t>x̄x̄V̅MDCCLXXXIII</t>
        </is>
      </c>
      <c r="C26784">
        <f>ROMAN(26783)</f>
        <v/>
      </c>
      <c r="D26784">
        <f>IF(B26784=C26784, "YES", "WRONG")</f>
        <v/>
      </c>
    </row>
    <row r="26785">
      <c r="A26785" t="n">
        <v>26784</v>
      </c>
      <c r="B26785" t="inlineStr">
        <is>
          <t>x̄x̄V̅MDCCLXXXIV</t>
        </is>
      </c>
      <c r="C26785">
        <f>ROMAN(26784)</f>
        <v/>
      </c>
      <c r="D26785">
        <f>IF(B26785=C26785, "YES", "WRONG")</f>
        <v/>
      </c>
    </row>
    <row r="26786">
      <c r="A26786" t="n">
        <v>26785</v>
      </c>
      <c r="B26786" t="inlineStr">
        <is>
          <t>x̄x̄V̅MDCCLXXXV</t>
        </is>
      </c>
      <c r="C26786">
        <f>ROMAN(26785)</f>
        <v/>
      </c>
      <c r="D26786">
        <f>IF(B26786=C26786, "YES", "WRONG")</f>
        <v/>
      </c>
    </row>
    <row r="26787">
      <c r="A26787" t="n">
        <v>26786</v>
      </c>
      <c r="B26787" t="inlineStr">
        <is>
          <t>x̄x̄V̅MDCCLXXXVI</t>
        </is>
      </c>
      <c r="C26787">
        <f>ROMAN(26786)</f>
        <v/>
      </c>
      <c r="D26787">
        <f>IF(B26787=C26787, "YES", "WRONG")</f>
        <v/>
      </c>
    </row>
    <row r="26788">
      <c r="A26788" t="n">
        <v>26787</v>
      </c>
      <c r="B26788" t="inlineStr">
        <is>
          <t>x̄x̄V̅MDCCLXXXVII</t>
        </is>
      </c>
      <c r="C26788">
        <f>ROMAN(26787)</f>
        <v/>
      </c>
      <c r="D26788">
        <f>IF(B26788=C26788, "YES", "WRONG")</f>
        <v/>
      </c>
    </row>
    <row r="26789">
      <c r="A26789" t="n">
        <v>26788</v>
      </c>
      <c r="B26789" t="inlineStr">
        <is>
          <t>x̄x̄V̅MDCCLXXXVIII</t>
        </is>
      </c>
      <c r="C26789">
        <f>ROMAN(26788)</f>
        <v/>
      </c>
      <c r="D26789">
        <f>IF(B26789=C26789, "YES", "WRONG")</f>
        <v/>
      </c>
    </row>
    <row r="26790">
      <c r="A26790" t="n">
        <v>26789</v>
      </c>
      <c r="B26790" t="inlineStr">
        <is>
          <t>x̄x̄V̅MDCCLXXXIX</t>
        </is>
      </c>
      <c r="C26790">
        <f>ROMAN(26789)</f>
        <v/>
      </c>
      <c r="D26790">
        <f>IF(B26790=C26790, "YES", "WRONG")</f>
        <v/>
      </c>
    </row>
    <row r="26791">
      <c r="A26791" t="n">
        <v>26790</v>
      </c>
      <c r="B26791" t="inlineStr">
        <is>
          <t>x̄x̄V̅MDCCXC</t>
        </is>
      </c>
      <c r="C26791">
        <f>ROMAN(26790)</f>
        <v/>
      </c>
      <c r="D26791">
        <f>IF(B26791=C26791, "YES", "WRONG")</f>
        <v/>
      </c>
    </row>
    <row r="26792">
      <c r="A26792" t="n">
        <v>26791</v>
      </c>
      <c r="B26792" t="inlineStr">
        <is>
          <t>x̄x̄V̅MDCCXCI</t>
        </is>
      </c>
      <c r="C26792">
        <f>ROMAN(26791)</f>
        <v/>
      </c>
      <c r="D26792">
        <f>IF(B26792=C26792, "YES", "WRONG")</f>
        <v/>
      </c>
    </row>
    <row r="26793">
      <c r="A26793" t="n">
        <v>26792</v>
      </c>
      <c r="B26793" t="inlineStr">
        <is>
          <t>x̄x̄V̅MDCCXCII</t>
        </is>
      </c>
      <c r="C26793">
        <f>ROMAN(26792)</f>
        <v/>
      </c>
      <c r="D26793">
        <f>IF(B26793=C26793, "YES", "WRONG")</f>
        <v/>
      </c>
    </row>
    <row r="26794">
      <c r="A26794" t="n">
        <v>26793</v>
      </c>
      <c r="B26794" t="inlineStr">
        <is>
          <t>x̄x̄V̅MDCCXCIII</t>
        </is>
      </c>
      <c r="C26794">
        <f>ROMAN(26793)</f>
        <v/>
      </c>
      <c r="D26794">
        <f>IF(B26794=C26794, "YES", "WRONG")</f>
        <v/>
      </c>
    </row>
    <row r="26795">
      <c r="A26795" t="n">
        <v>26794</v>
      </c>
      <c r="B26795" t="inlineStr">
        <is>
          <t>x̄x̄V̅MDCCXCIV</t>
        </is>
      </c>
      <c r="C26795">
        <f>ROMAN(26794)</f>
        <v/>
      </c>
      <c r="D26795">
        <f>IF(B26795=C26795, "YES", "WRONG")</f>
        <v/>
      </c>
    </row>
    <row r="26796">
      <c r="A26796" t="n">
        <v>26795</v>
      </c>
      <c r="B26796" t="inlineStr">
        <is>
          <t>x̄x̄V̅MDCCXCV</t>
        </is>
      </c>
      <c r="C26796">
        <f>ROMAN(26795)</f>
        <v/>
      </c>
      <c r="D26796">
        <f>IF(B26796=C26796, "YES", "WRONG")</f>
        <v/>
      </c>
    </row>
    <row r="26797">
      <c r="A26797" t="n">
        <v>26796</v>
      </c>
      <c r="B26797" t="inlineStr">
        <is>
          <t>x̄x̄V̅MDCCXCVI</t>
        </is>
      </c>
      <c r="C26797">
        <f>ROMAN(26796)</f>
        <v/>
      </c>
      <c r="D26797">
        <f>IF(B26797=C26797, "YES", "WRONG")</f>
        <v/>
      </c>
    </row>
    <row r="26798">
      <c r="A26798" t="n">
        <v>26797</v>
      </c>
      <c r="B26798" t="inlineStr">
        <is>
          <t>x̄x̄V̅MDCCXCVII</t>
        </is>
      </c>
      <c r="C26798">
        <f>ROMAN(26797)</f>
        <v/>
      </c>
      <c r="D26798">
        <f>IF(B26798=C26798, "YES", "WRONG")</f>
        <v/>
      </c>
    </row>
    <row r="26799">
      <c r="A26799" t="n">
        <v>26798</v>
      </c>
      <c r="B26799" t="inlineStr">
        <is>
          <t>x̄x̄V̅MDCCXCVIII</t>
        </is>
      </c>
      <c r="C26799">
        <f>ROMAN(26798)</f>
        <v/>
      </c>
      <c r="D26799">
        <f>IF(B26799=C26799, "YES", "WRONG")</f>
        <v/>
      </c>
    </row>
    <row r="26800">
      <c r="A26800" t="n">
        <v>26799</v>
      </c>
      <c r="B26800" t="inlineStr">
        <is>
          <t>x̄x̄V̅MDCCXCIX</t>
        </is>
      </c>
      <c r="C26800">
        <f>ROMAN(26799)</f>
        <v/>
      </c>
      <c r="D26800">
        <f>IF(B26800=C26800, "YES", "WRONG")</f>
        <v/>
      </c>
    </row>
    <row r="26801">
      <c r="A26801" t="n">
        <v>26800</v>
      </c>
      <c r="B26801" t="inlineStr">
        <is>
          <t>x̄x̄V̅MDCCC</t>
        </is>
      </c>
      <c r="C26801">
        <f>ROMAN(26800)</f>
        <v/>
      </c>
      <c r="D26801">
        <f>IF(B26801=C26801, "YES", "WRONG")</f>
        <v/>
      </c>
    </row>
    <row r="26802">
      <c r="A26802" t="n">
        <v>26801</v>
      </c>
      <c r="B26802" t="inlineStr">
        <is>
          <t>x̄x̄V̅MDCCCI</t>
        </is>
      </c>
      <c r="C26802">
        <f>ROMAN(26801)</f>
        <v/>
      </c>
      <c r="D26802">
        <f>IF(B26802=C26802, "YES", "WRONG")</f>
        <v/>
      </c>
    </row>
    <row r="26803">
      <c r="A26803" t="n">
        <v>26802</v>
      </c>
      <c r="B26803" t="inlineStr">
        <is>
          <t>x̄x̄V̅MDCCCII</t>
        </is>
      </c>
      <c r="C26803">
        <f>ROMAN(26802)</f>
        <v/>
      </c>
      <c r="D26803">
        <f>IF(B26803=C26803, "YES", "WRONG")</f>
        <v/>
      </c>
    </row>
    <row r="26804">
      <c r="A26804" t="n">
        <v>26803</v>
      </c>
      <c r="B26804" t="inlineStr">
        <is>
          <t>x̄x̄V̅MDCCCIII</t>
        </is>
      </c>
      <c r="C26804">
        <f>ROMAN(26803)</f>
        <v/>
      </c>
      <c r="D26804">
        <f>IF(B26804=C26804, "YES", "WRONG")</f>
        <v/>
      </c>
    </row>
    <row r="26805">
      <c r="A26805" t="n">
        <v>26804</v>
      </c>
      <c r="B26805" t="inlineStr">
        <is>
          <t>x̄x̄V̅MDCCCIV</t>
        </is>
      </c>
      <c r="C26805">
        <f>ROMAN(26804)</f>
        <v/>
      </c>
      <c r="D26805">
        <f>IF(B26805=C26805, "YES", "WRONG")</f>
        <v/>
      </c>
    </row>
    <row r="26806">
      <c r="A26806" t="n">
        <v>26805</v>
      </c>
      <c r="B26806" t="inlineStr">
        <is>
          <t>x̄x̄V̅MDCCCV</t>
        </is>
      </c>
      <c r="C26806">
        <f>ROMAN(26805)</f>
        <v/>
      </c>
      <c r="D26806">
        <f>IF(B26806=C26806, "YES", "WRONG")</f>
        <v/>
      </c>
    </row>
    <row r="26807">
      <c r="A26807" t="n">
        <v>26806</v>
      </c>
      <c r="B26807" t="inlineStr">
        <is>
          <t>x̄x̄V̅MDCCCVI</t>
        </is>
      </c>
      <c r="C26807">
        <f>ROMAN(26806)</f>
        <v/>
      </c>
      <c r="D26807">
        <f>IF(B26807=C26807, "YES", "WRONG")</f>
        <v/>
      </c>
    </row>
    <row r="26808">
      <c r="A26808" t="n">
        <v>26807</v>
      </c>
      <c r="B26808" t="inlineStr">
        <is>
          <t>x̄x̄V̅MDCCCVII</t>
        </is>
      </c>
      <c r="C26808">
        <f>ROMAN(26807)</f>
        <v/>
      </c>
      <c r="D26808">
        <f>IF(B26808=C26808, "YES", "WRONG")</f>
        <v/>
      </c>
    </row>
    <row r="26809">
      <c r="A26809" t="n">
        <v>26808</v>
      </c>
      <c r="B26809" t="inlineStr">
        <is>
          <t>x̄x̄V̅MDCCCVIII</t>
        </is>
      </c>
      <c r="C26809">
        <f>ROMAN(26808)</f>
        <v/>
      </c>
      <c r="D26809">
        <f>IF(B26809=C26809, "YES", "WRONG")</f>
        <v/>
      </c>
    </row>
    <row r="26810">
      <c r="A26810" t="n">
        <v>26809</v>
      </c>
      <c r="B26810" t="inlineStr">
        <is>
          <t>x̄x̄V̅MDCCCIX</t>
        </is>
      </c>
      <c r="C26810">
        <f>ROMAN(26809)</f>
        <v/>
      </c>
      <c r="D26810">
        <f>IF(B26810=C26810, "YES", "WRONG")</f>
        <v/>
      </c>
    </row>
    <row r="26811">
      <c r="A26811" t="n">
        <v>26810</v>
      </c>
      <c r="B26811" t="inlineStr">
        <is>
          <t>x̄x̄V̅MDCCCX</t>
        </is>
      </c>
      <c r="C26811">
        <f>ROMAN(26810)</f>
        <v/>
      </c>
      <c r="D26811">
        <f>IF(B26811=C26811, "YES", "WRONG")</f>
        <v/>
      </c>
    </row>
    <row r="26812">
      <c r="A26812" t="n">
        <v>26811</v>
      </c>
      <c r="B26812" t="inlineStr">
        <is>
          <t>x̄x̄V̅MDCCCXI</t>
        </is>
      </c>
      <c r="C26812">
        <f>ROMAN(26811)</f>
        <v/>
      </c>
      <c r="D26812">
        <f>IF(B26812=C26812, "YES", "WRONG")</f>
        <v/>
      </c>
    </row>
    <row r="26813">
      <c r="A26813" t="n">
        <v>26812</v>
      </c>
      <c r="B26813" t="inlineStr">
        <is>
          <t>x̄x̄V̅MDCCCXII</t>
        </is>
      </c>
      <c r="C26813">
        <f>ROMAN(26812)</f>
        <v/>
      </c>
      <c r="D26813">
        <f>IF(B26813=C26813, "YES", "WRONG")</f>
        <v/>
      </c>
    </row>
    <row r="26814">
      <c r="A26814" t="n">
        <v>26813</v>
      </c>
      <c r="B26814" t="inlineStr">
        <is>
          <t>x̄x̄V̅MDCCCXIII</t>
        </is>
      </c>
      <c r="C26814">
        <f>ROMAN(26813)</f>
        <v/>
      </c>
      <c r="D26814">
        <f>IF(B26814=C26814, "YES", "WRONG")</f>
        <v/>
      </c>
    </row>
    <row r="26815">
      <c r="A26815" t="n">
        <v>26814</v>
      </c>
      <c r="B26815" t="inlineStr">
        <is>
          <t>x̄x̄V̅MDCCCXIV</t>
        </is>
      </c>
      <c r="C26815">
        <f>ROMAN(26814)</f>
        <v/>
      </c>
      <c r="D26815">
        <f>IF(B26815=C26815, "YES", "WRONG")</f>
        <v/>
      </c>
    </row>
    <row r="26816">
      <c r="A26816" t="n">
        <v>26815</v>
      </c>
      <c r="B26816" t="inlineStr">
        <is>
          <t>x̄x̄V̅MDCCCXV</t>
        </is>
      </c>
      <c r="C26816">
        <f>ROMAN(26815)</f>
        <v/>
      </c>
      <c r="D26816">
        <f>IF(B26816=C26816, "YES", "WRONG")</f>
        <v/>
      </c>
    </row>
    <row r="26817">
      <c r="A26817" t="n">
        <v>26816</v>
      </c>
      <c r="B26817" t="inlineStr">
        <is>
          <t>x̄x̄V̅MDCCCXVI</t>
        </is>
      </c>
      <c r="C26817">
        <f>ROMAN(26816)</f>
        <v/>
      </c>
      <c r="D26817">
        <f>IF(B26817=C26817, "YES", "WRONG")</f>
        <v/>
      </c>
    </row>
    <row r="26818">
      <c r="A26818" t="n">
        <v>26817</v>
      </c>
      <c r="B26818" t="inlineStr">
        <is>
          <t>x̄x̄V̅MDCCCXVII</t>
        </is>
      </c>
      <c r="C26818">
        <f>ROMAN(26817)</f>
        <v/>
      </c>
      <c r="D26818">
        <f>IF(B26818=C26818, "YES", "WRONG")</f>
        <v/>
      </c>
    </row>
    <row r="26819">
      <c r="A26819" t="n">
        <v>26818</v>
      </c>
      <c r="B26819" t="inlineStr">
        <is>
          <t>x̄x̄V̅MDCCCXVIII</t>
        </is>
      </c>
      <c r="C26819">
        <f>ROMAN(26818)</f>
        <v/>
      </c>
      <c r="D26819">
        <f>IF(B26819=C26819, "YES", "WRONG")</f>
        <v/>
      </c>
    </row>
    <row r="26820">
      <c r="A26820" t="n">
        <v>26819</v>
      </c>
      <c r="B26820" t="inlineStr">
        <is>
          <t>x̄x̄V̅MDCCCXIX</t>
        </is>
      </c>
      <c r="C26820">
        <f>ROMAN(26819)</f>
        <v/>
      </c>
      <c r="D26820">
        <f>IF(B26820=C26820, "YES", "WRONG")</f>
        <v/>
      </c>
    </row>
    <row r="26821">
      <c r="A26821" t="n">
        <v>26820</v>
      </c>
      <c r="B26821" t="inlineStr">
        <is>
          <t>x̄x̄V̅MDCCCXX</t>
        </is>
      </c>
      <c r="C26821">
        <f>ROMAN(26820)</f>
        <v/>
      </c>
      <c r="D26821">
        <f>IF(B26821=C26821, "YES", "WRONG")</f>
        <v/>
      </c>
    </row>
    <row r="26822">
      <c r="A26822" t="n">
        <v>26821</v>
      </c>
      <c r="B26822" t="inlineStr">
        <is>
          <t>x̄x̄V̅MDCCCXXI</t>
        </is>
      </c>
      <c r="C26822">
        <f>ROMAN(26821)</f>
        <v/>
      </c>
      <c r="D26822">
        <f>IF(B26822=C26822, "YES", "WRONG")</f>
        <v/>
      </c>
    </row>
    <row r="26823">
      <c r="A26823" t="n">
        <v>26822</v>
      </c>
      <c r="B26823" t="inlineStr">
        <is>
          <t>x̄x̄V̅MDCCCXXII</t>
        </is>
      </c>
      <c r="C26823">
        <f>ROMAN(26822)</f>
        <v/>
      </c>
      <c r="D26823">
        <f>IF(B26823=C26823, "YES", "WRONG")</f>
        <v/>
      </c>
    </row>
    <row r="26824">
      <c r="A26824" t="n">
        <v>26823</v>
      </c>
      <c r="B26824" t="inlineStr">
        <is>
          <t>x̄x̄V̅MDCCCXXIII</t>
        </is>
      </c>
      <c r="C26824">
        <f>ROMAN(26823)</f>
        <v/>
      </c>
      <c r="D26824">
        <f>IF(B26824=C26824, "YES", "WRONG")</f>
        <v/>
      </c>
    </row>
    <row r="26825">
      <c r="A26825" t="n">
        <v>26824</v>
      </c>
      <c r="B26825" t="inlineStr">
        <is>
          <t>x̄x̄V̅MDCCCXXIV</t>
        </is>
      </c>
      <c r="C26825">
        <f>ROMAN(26824)</f>
        <v/>
      </c>
      <c r="D26825">
        <f>IF(B26825=C26825, "YES", "WRONG")</f>
        <v/>
      </c>
    </row>
    <row r="26826">
      <c r="A26826" t="n">
        <v>26825</v>
      </c>
      <c r="B26826" t="inlineStr">
        <is>
          <t>x̄x̄V̅MDCCCXXV</t>
        </is>
      </c>
      <c r="C26826">
        <f>ROMAN(26825)</f>
        <v/>
      </c>
      <c r="D26826">
        <f>IF(B26826=C26826, "YES", "WRONG")</f>
        <v/>
      </c>
    </row>
    <row r="26827">
      <c r="A26827" t="n">
        <v>26826</v>
      </c>
      <c r="B26827" t="inlineStr">
        <is>
          <t>x̄x̄V̅MDCCCXXVI</t>
        </is>
      </c>
      <c r="C26827">
        <f>ROMAN(26826)</f>
        <v/>
      </c>
      <c r="D26827">
        <f>IF(B26827=C26827, "YES", "WRONG")</f>
        <v/>
      </c>
    </row>
    <row r="26828">
      <c r="A26828" t="n">
        <v>26827</v>
      </c>
      <c r="B26828" t="inlineStr">
        <is>
          <t>x̄x̄V̅MDCCCXXVII</t>
        </is>
      </c>
      <c r="C26828">
        <f>ROMAN(26827)</f>
        <v/>
      </c>
      <c r="D26828">
        <f>IF(B26828=C26828, "YES", "WRONG")</f>
        <v/>
      </c>
    </row>
    <row r="26829">
      <c r="A26829" t="n">
        <v>26828</v>
      </c>
      <c r="B26829" t="inlineStr">
        <is>
          <t>x̄x̄V̅MDCCCXXVIII</t>
        </is>
      </c>
      <c r="C26829">
        <f>ROMAN(26828)</f>
        <v/>
      </c>
      <c r="D26829">
        <f>IF(B26829=C26829, "YES", "WRONG")</f>
        <v/>
      </c>
    </row>
    <row r="26830">
      <c r="A26830" t="n">
        <v>26829</v>
      </c>
      <c r="B26830" t="inlineStr">
        <is>
          <t>x̄x̄V̅MDCCCXXIX</t>
        </is>
      </c>
      <c r="C26830">
        <f>ROMAN(26829)</f>
        <v/>
      </c>
      <c r="D26830">
        <f>IF(B26830=C26830, "YES", "WRONG")</f>
        <v/>
      </c>
    </row>
    <row r="26831">
      <c r="A26831" t="n">
        <v>26830</v>
      </c>
      <c r="B26831" t="inlineStr">
        <is>
          <t>x̄x̄V̅MDCCCXXX</t>
        </is>
      </c>
      <c r="C26831">
        <f>ROMAN(26830)</f>
        <v/>
      </c>
      <c r="D26831">
        <f>IF(B26831=C26831, "YES", "WRONG")</f>
        <v/>
      </c>
    </row>
    <row r="26832">
      <c r="A26832" t="n">
        <v>26831</v>
      </c>
      <c r="B26832" t="inlineStr">
        <is>
          <t>x̄x̄V̅MDCCCXXXI</t>
        </is>
      </c>
      <c r="C26832">
        <f>ROMAN(26831)</f>
        <v/>
      </c>
      <c r="D26832">
        <f>IF(B26832=C26832, "YES", "WRONG")</f>
        <v/>
      </c>
    </row>
    <row r="26833">
      <c r="A26833" t="n">
        <v>26832</v>
      </c>
      <c r="B26833" t="inlineStr">
        <is>
          <t>x̄x̄V̅MDCCCXXXII</t>
        </is>
      </c>
      <c r="C26833">
        <f>ROMAN(26832)</f>
        <v/>
      </c>
      <c r="D26833">
        <f>IF(B26833=C26833, "YES", "WRONG")</f>
        <v/>
      </c>
    </row>
    <row r="26834">
      <c r="A26834" t="n">
        <v>26833</v>
      </c>
      <c r="B26834" t="inlineStr">
        <is>
          <t>x̄x̄V̅MDCCCXXXIII</t>
        </is>
      </c>
      <c r="C26834">
        <f>ROMAN(26833)</f>
        <v/>
      </c>
      <c r="D26834">
        <f>IF(B26834=C26834, "YES", "WRONG")</f>
        <v/>
      </c>
    </row>
    <row r="26835">
      <c r="A26835" t="n">
        <v>26834</v>
      </c>
      <c r="B26835" t="inlineStr">
        <is>
          <t>x̄x̄V̅MDCCCXXXIV</t>
        </is>
      </c>
      <c r="C26835">
        <f>ROMAN(26834)</f>
        <v/>
      </c>
      <c r="D26835">
        <f>IF(B26835=C26835, "YES", "WRONG")</f>
        <v/>
      </c>
    </row>
    <row r="26836">
      <c r="A26836" t="n">
        <v>26835</v>
      </c>
      <c r="B26836" t="inlineStr">
        <is>
          <t>x̄x̄V̅MDCCCXXXV</t>
        </is>
      </c>
      <c r="C26836">
        <f>ROMAN(26835)</f>
        <v/>
      </c>
      <c r="D26836">
        <f>IF(B26836=C26836, "YES", "WRONG")</f>
        <v/>
      </c>
    </row>
    <row r="26837">
      <c r="A26837" t="n">
        <v>26836</v>
      </c>
      <c r="B26837" t="inlineStr">
        <is>
          <t>x̄x̄V̅MDCCCXXXVI</t>
        </is>
      </c>
      <c r="C26837">
        <f>ROMAN(26836)</f>
        <v/>
      </c>
      <c r="D26837">
        <f>IF(B26837=C26837, "YES", "WRONG")</f>
        <v/>
      </c>
    </row>
    <row r="26838">
      <c r="A26838" t="n">
        <v>26837</v>
      </c>
      <c r="B26838" t="inlineStr">
        <is>
          <t>x̄x̄V̅MDCCCXXXVII</t>
        </is>
      </c>
      <c r="C26838">
        <f>ROMAN(26837)</f>
        <v/>
      </c>
      <c r="D26838">
        <f>IF(B26838=C26838, "YES", "WRONG")</f>
        <v/>
      </c>
    </row>
    <row r="26839">
      <c r="A26839" t="n">
        <v>26838</v>
      </c>
      <c r="B26839" t="inlineStr">
        <is>
          <t>x̄x̄V̅MDCCCXXXVIII</t>
        </is>
      </c>
      <c r="C26839">
        <f>ROMAN(26838)</f>
        <v/>
      </c>
      <c r="D26839">
        <f>IF(B26839=C26839, "YES", "WRONG")</f>
        <v/>
      </c>
    </row>
    <row r="26840">
      <c r="A26840" t="n">
        <v>26839</v>
      </c>
      <c r="B26840" t="inlineStr">
        <is>
          <t>x̄x̄V̅MDCCCXXXIX</t>
        </is>
      </c>
      <c r="C26840">
        <f>ROMAN(26839)</f>
        <v/>
      </c>
      <c r="D26840">
        <f>IF(B26840=C26840, "YES", "WRONG")</f>
        <v/>
      </c>
    </row>
    <row r="26841">
      <c r="A26841" t="n">
        <v>26840</v>
      </c>
      <c r="B26841" t="inlineStr">
        <is>
          <t>x̄x̄V̅MDCCCXL</t>
        </is>
      </c>
      <c r="C26841">
        <f>ROMAN(26840)</f>
        <v/>
      </c>
      <c r="D26841">
        <f>IF(B26841=C26841, "YES", "WRONG")</f>
        <v/>
      </c>
    </row>
    <row r="26842">
      <c r="A26842" t="n">
        <v>26841</v>
      </c>
      <c r="B26842" t="inlineStr">
        <is>
          <t>x̄x̄V̅MDCCCXLI</t>
        </is>
      </c>
      <c r="C26842">
        <f>ROMAN(26841)</f>
        <v/>
      </c>
      <c r="D26842">
        <f>IF(B26842=C26842, "YES", "WRONG")</f>
        <v/>
      </c>
    </row>
    <row r="26843">
      <c r="A26843" t="n">
        <v>26842</v>
      </c>
      <c r="B26843" t="inlineStr">
        <is>
          <t>x̄x̄V̅MDCCCXLII</t>
        </is>
      </c>
      <c r="C26843">
        <f>ROMAN(26842)</f>
        <v/>
      </c>
      <c r="D26843">
        <f>IF(B26843=C26843, "YES", "WRONG")</f>
        <v/>
      </c>
    </row>
    <row r="26844">
      <c r="A26844" t="n">
        <v>26843</v>
      </c>
      <c r="B26844" t="inlineStr">
        <is>
          <t>x̄x̄V̅MDCCCXLIII</t>
        </is>
      </c>
      <c r="C26844">
        <f>ROMAN(26843)</f>
        <v/>
      </c>
      <c r="D26844">
        <f>IF(B26844=C26844, "YES", "WRONG")</f>
        <v/>
      </c>
    </row>
    <row r="26845">
      <c r="A26845" t="n">
        <v>26844</v>
      </c>
      <c r="B26845" t="inlineStr">
        <is>
          <t>x̄x̄V̅MDCCCXLIV</t>
        </is>
      </c>
      <c r="C26845">
        <f>ROMAN(26844)</f>
        <v/>
      </c>
      <c r="D26845">
        <f>IF(B26845=C26845, "YES", "WRONG")</f>
        <v/>
      </c>
    </row>
    <row r="26846">
      <c r="A26846" t="n">
        <v>26845</v>
      </c>
      <c r="B26846" t="inlineStr">
        <is>
          <t>x̄x̄V̅MDCCCXLV</t>
        </is>
      </c>
      <c r="C26846">
        <f>ROMAN(26845)</f>
        <v/>
      </c>
      <c r="D26846">
        <f>IF(B26846=C26846, "YES", "WRONG")</f>
        <v/>
      </c>
    </row>
    <row r="26847">
      <c r="A26847" t="n">
        <v>26846</v>
      </c>
      <c r="B26847" t="inlineStr">
        <is>
          <t>x̄x̄V̅MDCCCXLVI</t>
        </is>
      </c>
      <c r="C26847">
        <f>ROMAN(26846)</f>
        <v/>
      </c>
      <c r="D26847">
        <f>IF(B26847=C26847, "YES", "WRONG")</f>
        <v/>
      </c>
    </row>
    <row r="26848">
      <c r="A26848" t="n">
        <v>26847</v>
      </c>
      <c r="B26848" t="inlineStr">
        <is>
          <t>x̄x̄V̅MDCCCXLVII</t>
        </is>
      </c>
      <c r="C26848">
        <f>ROMAN(26847)</f>
        <v/>
      </c>
      <c r="D26848">
        <f>IF(B26848=C26848, "YES", "WRONG")</f>
        <v/>
      </c>
    </row>
    <row r="26849">
      <c r="A26849" t="n">
        <v>26848</v>
      </c>
      <c r="B26849" t="inlineStr">
        <is>
          <t>x̄x̄V̅MDCCCXLVIII</t>
        </is>
      </c>
      <c r="C26849">
        <f>ROMAN(26848)</f>
        <v/>
      </c>
      <c r="D26849">
        <f>IF(B26849=C26849, "YES", "WRONG")</f>
        <v/>
      </c>
    </row>
    <row r="26850">
      <c r="A26850" t="n">
        <v>26849</v>
      </c>
      <c r="B26850" t="inlineStr">
        <is>
          <t>x̄x̄V̅MDCCCXLIX</t>
        </is>
      </c>
      <c r="C26850">
        <f>ROMAN(26849)</f>
        <v/>
      </c>
      <c r="D26850">
        <f>IF(B26850=C26850, "YES", "WRONG")</f>
        <v/>
      </c>
    </row>
    <row r="26851">
      <c r="A26851" t="n">
        <v>26850</v>
      </c>
      <c r="B26851" t="inlineStr">
        <is>
          <t>x̄x̄V̅MDCCCL</t>
        </is>
      </c>
      <c r="C26851">
        <f>ROMAN(26850)</f>
        <v/>
      </c>
      <c r="D26851">
        <f>IF(B26851=C26851, "YES", "WRONG")</f>
        <v/>
      </c>
    </row>
    <row r="26852">
      <c r="A26852" t="n">
        <v>26851</v>
      </c>
      <c r="B26852" t="inlineStr">
        <is>
          <t>x̄x̄V̅MDCCCLI</t>
        </is>
      </c>
      <c r="C26852">
        <f>ROMAN(26851)</f>
        <v/>
      </c>
      <c r="D26852">
        <f>IF(B26852=C26852, "YES", "WRONG")</f>
        <v/>
      </c>
    </row>
    <row r="26853">
      <c r="A26853" t="n">
        <v>26852</v>
      </c>
      <c r="B26853" t="inlineStr">
        <is>
          <t>x̄x̄V̅MDCCCLII</t>
        </is>
      </c>
      <c r="C26853">
        <f>ROMAN(26852)</f>
        <v/>
      </c>
      <c r="D26853">
        <f>IF(B26853=C26853, "YES", "WRONG")</f>
        <v/>
      </c>
    </row>
    <row r="26854">
      <c r="A26854" t="n">
        <v>26853</v>
      </c>
      <c r="B26854" t="inlineStr">
        <is>
          <t>x̄x̄V̅MDCCCLIII</t>
        </is>
      </c>
      <c r="C26854">
        <f>ROMAN(26853)</f>
        <v/>
      </c>
      <c r="D26854">
        <f>IF(B26854=C26854, "YES", "WRONG")</f>
        <v/>
      </c>
    </row>
    <row r="26855">
      <c r="A26855" t="n">
        <v>26854</v>
      </c>
      <c r="B26855" t="inlineStr">
        <is>
          <t>x̄x̄V̅MDCCCLIV</t>
        </is>
      </c>
      <c r="C26855">
        <f>ROMAN(26854)</f>
        <v/>
      </c>
      <c r="D26855">
        <f>IF(B26855=C26855, "YES", "WRONG")</f>
        <v/>
      </c>
    </row>
    <row r="26856">
      <c r="A26856" t="n">
        <v>26855</v>
      </c>
      <c r="B26856" t="inlineStr">
        <is>
          <t>x̄x̄V̅MDCCCLV</t>
        </is>
      </c>
      <c r="C26856">
        <f>ROMAN(26855)</f>
        <v/>
      </c>
      <c r="D26856">
        <f>IF(B26856=C26856, "YES", "WRONG")</f>
        <v/>
      </c>
    </row>
    <row r="26857">
      <c r="A26857" t="n">
        <v>26856</v>
      </c>
      <c r="B26857" t="inlineStr">
        <is>
          <t>x̄x̄V̅MDCCCLVI</t>
        </is>
      </c>
      <c r="C26857">
        <f>ROMAN(26856)</f>
        <v/>
      </c>
      <c r="D26857">
        <f>IF(B26857=C26857, "YES", "WRONG")</f>
        <v/>
      </c>
    </row>
    <row r="26858">
      <c r="A26858" t="n">
        <v>26857</v>
      </c>
      <c r="B26858" t="inlineStr">
        <is>
          <t>x̄x̄V̅MDCCCLVII</t>
        </is>
      </c>
      <c r="C26858">
        <f>ROMAN(26857)</f>
        <v/>
      </c>
      <c r="D26858">
        <f>IF(B26858=C26858, "YES", "WRONG")</f>
        <v/>
      </c>
    </row>
    <row r="26859">
      <c r="A26859" t="n">
        <v>26858</v>
      </c>
      <c r="B26859" t="inlineStr">
        <is>
          <t>x̄x̄V̅MDCCCLVIII</t>
        </is>
      </c>
      <c r="C26859">
        <f>ROMAN(26858)</f>
        <v/>
      </c>
      <c r="D26859">
        <f>IF(B26859=C26859, "YES", "WRONG")</f>
        <v/>
      </c>
    </row>
    <row r="26860">
      <c r="A26860" t="n">
        <v>26859</v>
      </c>
      <c r="B26860" t="inlineStr">
        <is>
          <t>x̄x̄V̅MDCCCLIX</t>
        </is>
      </c>
      <c r="C26860">
        <f>ROMAN(26859)</f>
        <v/>
      </c>
      <c r="D26860">
        <f>IF(B26860=C26860, "YES", "WRONG")</f>
        <v/>
      </c>
    </row>
    <row r="26861">
      <c r="A26861" t="n">
        <v>26860</v>
      </c>
      <c r="B26861" t="inlineStr">
        <is>
          <t>x̄x̄V̅MDCCCLX</t>
        </is>
      </c>
      <c r="C26861">
        <f>ROMAN(26860)</f>
        <v/>
      </c>
      <c r="D26861">
        <f>IF(B26861=C26861, "YES", "WRONG")</f>
        <v/>
      </c>
    </row>
    <row r="26862">
      <c r="A26862" t="n">
        <v>26861</v>
      </c>
      <c r="B26862" t="inlineStr">
        <is>
          <t>x̄x̄V̅MDCCCLXI</t>
        </is>
      </c>
      <c r="C26862">
        <f>ROMAN(26861)</f>
        <v/>
      </c>
      <c r="D26862">
        <f>IF(B26862=C26862, "YES", "WRONG")</f>
        <v/>
      </c>
    </row>
    <row r="26863">
      <c r="A26863" t="n">
        <v>26862</v>
      </c>
      <c r="B26863" t="inlineStr">
        <is>
          <t>x̄x̄V̅MDCCCLXII</t>
        </is>
      </c>
      <c r="C26863">
        <f>ROMAN(26862)</f>
        <v/>
      </c>
      <c r="D26863">
        <f>IF(B26863=C26863, "YES", "WRONG")</f>
        <v/>
      </c>
    </row>
    <row r="26864">
      <c r="A26864" t="n">
        <v>26863</v>
      </c>
      <c r="B26864" t="inlineStr">
        <is>
          <t>x̄x̄V̅MDCCCLXIII</t>
        </is>
      </c>
      <c r="C26864">
        <f>ROMAN(26863)</f>
        <v/>
      </c>
      <c r="D26864">
        <f>IF(B26864=C26864, "YES", "WRONG")</f>
        <v/>
      </c>
    </row>
    <row r="26865">
      <c r="A26865" t="n">
        <v>26864</v>
      </c>
      <c r="B26865" t="inlineStr">
        <is>
          <t>x̄x̄V̅MDCCCLXIV</t>
        </is>
      </c>
      <c r="C26865">
        <f>ROMAN(26864)</f>
        <v/>
      </c>
      <c r="D26865">
        <f>IF(B26865=C26865, "YES", "WRONG")</f>
        <v/>
      </c>
    </row>
    <row r="26866">
      <c r="A26866" t="n">
        <v>26865</v>
      </c>
      <c r="B26866" t="inlineStr">
        <is>
          <t>x̄x̄V̅MDCCCLXV</t>
        </is>
      </c>
      <c r="C26866">
        <f>ROMAN(26865)</f>
        <v/>
      </c>
      <c r="D26866">
        <f>IF(B26866=C26866, "YES", "WRONG")</f>
        <v/>
      </c>
    </row>
    <row r="26867">
      <c r="A26867" t="n">
        <v>26866</v>
      </c>
      <c r="B26867" t="inlineStr">
        <is>
          <t>x̄x̄V̅MDCCCLXVI</t>
        </is>
      </c>
      <c r="C26867">
        <f>ROMAN(26866)</f>
        <v/>
      </c>
      <c r="D26867">
        <f>IF(B26867=C26867, "YES", "WRONG")</f>
        <v/>
      </c>
    </row>
    <row r="26868">
      <c r="A26868" t="n">
        <v>26867</v>
      </c>
      <c r="B26868" t="inlineStr">
        <is>
          <t>x̄x̄V̅MDCCCLXVII</t>
        </is>
      </c>
      <c r="C26868">
        <f>ROMAN(26867)</f>
        <v/>
      </c>
      <c r="D26868">
        <f>IF(B26868=C26868, "YES", "WRONG")</f>
        <v/>
      </c>
    </row>
    <row r="26869">
      <c r="A26869" t="n">
        <v>26868</v>
      </c>
      <c r="B26869" t="inlineStr">
        <is>
          <t>x̄x̄V̅MDCCCLXVIII</t>
        </is>
      </c>
      <c r="C26869">
        <f>ROMAN(26868)</f>
        <v/>
      </c>
      <c r="D26869">
        <f>IF(B26869=C26869, "YES", "WRONG")</f>
        <v/>
      </c>
    </row>
    <row r="26870">
      <c r="A26870" t="n">
        <v>26869</v>
      </c>
      <c r="B26870" t="inlineStr">
        <is>
          <t>x̄x̄V̅MDCCCLXIX</t>
        </is>
      </c>
      <c r="C26870">
        <f>ROMAN(26869)</f>
        <v/>
      </c>
      <c r="D26870">
        <f>IF(B26870=C26870, "YES", "WRONG")</f>
        <v/>
      </c>
    </row>
    <row r="26871">
      <c r="A26871" t="n">
        <v>26870</v>
      </c>
      <c r="B26871" t="inlineStr">
        <is>
          <t>x̄x̄V̅MDCCCLXX</t>
        </is>
      </c>
      <c r="C26871">
        <f>ROMAN(26870)</f>
        <v/>
      </c>
      <c r="D26871">
        <f>IF(B26871=C26871, "YES", "WRONG")</f>
        <v/>
      </c>
    </row>
    <row r="26872">
      <c r="A26872" t="n">
        <v>26871</v>
      </c>
      <c r="B26872" t="inlineStr">
        <is>
          <t>x̄x̄V̅MDCCCLXXI</t>
        </is>
      </c>
      <c r="C26872">
        <f>ROMAN(26871)</f>
        <v/>
      </c>
      <c r="D26872">
        <f>IF(B26872=C26872, "YES", "WRONG")</f>
        <v/>
      </c>
    </row>
    <row r="26873">
      <c r="A26873" t="n">
        <v>26872</v>
      </c>
      <c r="B26873" t="inlineStr">
        <is>
          <t>x̄x̄V̅MDCCCLXXII</t>
        </is>
      </c>
      <c r="C26873">
        <f>ROMAN(26872)</f>
        <v/>
      </c>
      <c r="D26873">
        <f>IF(B26873=C26873, "YES", "WRONG")</f>
        <v/>
      </c>
    </row>
    <row r="26874">
      <c r="A26874" t="n">
        <v>26873</v>
      </c>
      <c r="B26874" t="inlineStr">
        <is>
          <t>x̄x̄V̅MDCCCLXXIII</t>
        </is>
      </c>
      <c r="C26874">
        <f>ROMAN(26873)</f>
        <v/>
      </c>
      <c r="D26874">
        <f>IF(B26874=C26874, "YES", "WRONG")</f>
        <v/>
      </c>
    </row>
    <row r="26875">
      <c r="A26875" t="n">
        <v>26874</v>
      </c>
      <c r="B26875" t="inlineStr">
        <is>
          <t>x̄x̄V̅MDCCCLXXIV</t>
        </is>
      </c>
      <c r="C26875">
        <f>ROMAN(26874)</f>
        <v/>
      </c>
      <c r="D26875">
        <f>IF(B26875=C26875, "YES", "WRONG")</f>
        <v/>
      </c>
    </row>
    <row r="26876">
      <c r="A26876" t="n">
        <v>26875</v>
      </c>
      <c r="B26876" t="inlineStr">
        <is>
          <t>x̄x̄V̅MDCCCLXXV</t>
        </is>
      </c>
      <c r="C26876">
        <f>ROMAN(26875)</f>
        <v/>
      </c>
      <c r="D26876">
        <f>IF(B26876=C26876, "YES", "WRONG")</f>
        <v/>
      </c>
    </row>
    <row r="26877">
      <c r="A26877" t="n">
        <v>26876</v>
      </c>
      <c r="B26877" t="inlineStr">
        <is>
          <t>x̄x̄V̅MDCCCLXXVI</t>
        </is>
      </c>
      <c r="C26877">
        <f>ROMAN(26876)</f>
        <v/>
      </c>
      <c r="D26877">
        <f>IF(B26877=C26877, "YES", "WRONG")</f>
        <v/>
      </c>
    </row>
    <row r="26878">
      <c r="A26878" t="n">
        <v>26877</v>
      </c>
      <c r="B26878" t="inlineStr">
        <is>
          <t>x̄x̄V̅MDCCCLXXVII</t>
        </is>
      </c>
      <c r="C26878">
        <f>ROMAN(26877)</f>
        <v/>
      </c>
      <c r="D26878">
        <f>IF(B26878=C26878, "YES", "WRONG")</f>
        <v/>
      </c>
    </row>
    <row r="26879">
      <c r="A26879" t="n">
        <v>26878</v>
      </c>
      <c r="B26879" t="inlineStr">
        <is>
          <t>x̄x̄V̅MDCCCLXXVIII</t>
        </is>
      </c>
      <c r="C26879">
        <f>ROMAN(26878)</f>
        <v/>
      </c>
      <c r="D26879">
        <f>IF(B26879=C26879, "YES", "WRONG")</f>
        <v/>
      </c>
    </row>
    <row r="26880">
      <c r="A26880" t="n">
        <v>26879</v>
      </c>
      <c r="B26880" t="inlineStr">
        <is>
          <t>x̄x̄V̅MDCCCLXXIX</t>
        </is>
      </c>
      <c r="C26880">
        <f>ROMAN(26879)</f>
        <v/>
      </c>
      <c r="D26880">
        <f>IF(B26880=C26880, "YES", "WRONG")</f>
        <v/>
      </c>
    </row>
    <row r="26881">
      <c r="A26881" t="n">
        <v>26880</v>
      </c>
      <c r="B26881" t="inlineStr">
        <is>
          <t>x̄x̄V̅MDCCCLXXX</t>
        </is>
      </c>
      <c r="C26881">
        <f>ROMAN(26880)</f>
        <v/>
      </c>
      <c r="D26881">
        <f>IF(B26881=C26881, "YES", "WRONG")</f>
        <v/>
      </c>
    </row>
    <row r="26882">
      <c r="A26882" t="n">
        <v>26881</v>
      </c>
      <c r="B26882" t="inlineStr">
        <is>
          <t>x̄x̄V̅MDCCCLXXXI</t>
        </is>
      </c>
      <c r="C26882">
        <f>ROMAN(26881)</f>
        <v/>
      </c>
      <c r="D26882">
        <f>IF(B26882=C26882, "YES", "WRONG")</f>
        <v/>
      </c>
    </row>
    <row r="26883">
      <c r="A26883" t="n">
        <v>26882</v>
      </c>
      <c r="B26883" t="inlineStr">
        <is>
          <t>x̄x̄V̅MDCCCLXXXII</t>
        </is>
      </c>
      <c r="C26883">
        <f>ROMAN(26882)</f>
        <v/>
      </c>
      <c r="D26883">
        <f>IF(B26883=C26883, "YES", "WRONG")</f>
        <v/>
      </c>
    </row>
    <row r="26884">
      <c r="A26884" t="n">
        <v>26883</v>
      </c>
      <c r="B26884" t="inlineStr">
        <is>
          <t>x̄x̄V̅MDCCCLXXXIII</t>
        </is>
      </c>
      <c r="C26884">
        <f>ROMAN(26883)</f>
        <v/>
      </c>
      <c r="D26884">
        <f>IF(B26884=C26884, "YES", "WRONG")</f>
        <v/>
      </c>
    </row>
    <row r="26885">
      <c r="A26885" t="n">
        <v>26884</v>
      </c>
      <c r="B26885" t="inlineStr">
        <is>
          <t>x̄x̄V̅MDCCCLXXXIV</t>
        </is>
      </c>
      <c r="C26885">
        <f>ROMAN(26884)</f>
        <v/>
      </c>
      <c r="D26885">
        <f>IF(B26885=C26885, "YES", "WRONG")</f>
        <v/>
      </c>
    </row>
    <row r="26886">
      <c r="A26886" t="n">
        <v>26885</v>
      </c>
      <c r="B26886" t="inlineStr">
        <is>
          <t>x̄x̄V̅MDCCCLXXXV</t>
        </is>
      </c>
      <c r="C26886">
        <f>ROMAN(26885)</f>
        <v/>
      </c>
      <c r="D26886">
        <f>IF(B26886=C26886, "YES", "WRONG")</f>
        <v/>
      </c>
    </row>
    <row r="26887">
      <c r="A26887" t="n">
        <v>26886</v>
      </c>
      <c r="B26887" t="inlineStr">
        <is>
          <t>x̄x̄V̅MDCCCLXXXVI</t>
        </is>
      </c>
      <c r="C26887">
        <f>ROMAN(26886)</f>
        <v/>
      </c>
      <c r="D26887">
        <f>IF(B26887=C26887, "YES", "WRONG")</f>
        <v/>
      </c>
    </row>
    <row r="26888">
      <c r="A26888" t="n">
        <v>26887</v>
      </c>
      <c r="B26888" t="inlineStr">
        <is>
          <t>x̄x̄V̅MDCCCLXXXVII</t>
        </is>
      </c>
      <c r="C26888">
        <f>ROMAN(26887)</f>
        <v/>
      </c>
      <c r="D26888">
        <f>IF(B26888=C26888, "YES", "WRONG")</f>
        <v/>
      </c>
    </row>
    <row r="26889">
      <c r="A26889" t="n">
        <v>26888</v>
      </c>
      <c r="B26889" t="inlineStr">
        <is>
          <t>x̄x̄V̅MDCCCLXXXVIII</t>
        </is>
      </c>
      <c r="C26889">
        <f>ROMAN(26888)</f>
        <v/>
      </c>
      <c r="D26889">
        <f>IF(B26889=C26889, "YES", "WRONG")</f>
        <v/>
      </c>
    </row>
    <row r="26890">
      <c r="A26890" t="n">
        <v>26889</v>
      </c>
      <c r="B26890" t="inlineStr">
        <is>
          <t>x̄x̄V̅MDCCCLXXXIX</t>
        </is>
      </c>
      <c r="C26890">
        <f>ROMAN(26889)</f>
        <v/>
      </c>
      <c r="D26890">
        <f>IF(B26890=C26890, "YES", "WRONG")</f>
        <v/>
      </c>
    </row>
    <row r="26891">
      <c r="A26891" t="n">
        <v>26890</v>
      </c>
      <c r="B26891" t="inlineStr">
        <is>
          <t>x̄x̄V̅MDCCCXC</t>
        </is>
      </c>
      <c r="C26891">
        <f>ROMAN(26890)</f>
        <v/>
      </c>
      <c r="D26891">
        <f>IF(B26891=C26891, "YES", "WRONG")</f>
        <v/>
      </c>
    </row>
    <row r="26892">
      <c r="A26892" t="n">
        <v>26891</v>
      </c>
      <c r="B26892" t="inlineStr">
        <is>
          <t>x̄x̄V̅MDCCCXCI</t>
        </is>
      </c>
      <c r="C26892">
        <f>ROMAN(26891)</f>
        <v/>
      </c>
      <c r="D26892">
        <f>IF(B26892=C26892, "YES", "WRONG")</f>
        <v/>
      </c>
    </row>
    <row r="26893">
      <c r="A26893" t="n">
        <v>26892</v>
      </c>
      <c r="B26893" t="inlineStr">
        <is>
          <t>x̄x̄V̅MDCCCXCII</t>
        </is>
      </c>
      <c r="C26893">
        <f>ROMAN(26892)</f>
        <v/>
      </c>
      <c r="D26893">
        <f>IF(B26893=C26893, "YES", "WRONG")</f>
        <v/>
      </c>
    </row>
    <row r="26894">
      <c r="A26894" t="n">
        <v>26893</v>
      </c>
      <c r="B26894" t="inlineStr">
        <is>
          <t>x̄x̄V̅MDCCCXCIII</t>
        </is>
      </c>
      <c r="C26894">
        <f>ROMAN(26893)</f>
        <v/>
      </c>
      <c r="D26894">
        <f>IF(B26894=C26894, "YES", "WRONG")</f>
        <v/>
      </c>
    </row>
    <row r="26895">
      <c r="A26895" t="n">
        <v>26894</v>
      </c>
      <c r="B26895" t="inlineStr">
        <is>
          <t>x̄x̄V̅MDCCCXCIV</t>
        </is>
      </c>
      <c r="C26895">
        <f>ROMAN(26894)</f>
        <v/>
      </c>
      <c r="D26895">
        <f>IF(B26895=C26895, "YES", "WRONG")</f>
        <v/>
      </c>
    </row>
    <row r="26896">
      <c r="A26896" t="n">
        <v>26895</v>
      </c>
      <c r="B26896" t="inlineStr">
        <is>
          <t>x̄x̄V̅MDCCCXCV</t>
        </is>
      </c>
      <c r="C26896">
        <f>ROMAN(26895)</f>
        <v/>
      </c>
      <c r="D26896">
        <f>IF(B26896=C26896, "YES", "WRONG")</f>
        <v/>
      </c>
    </row>
    <row r="26897">
      <c r="A26897" t="n">
        <v>26896</v>
      </c>
      <c r="B26897" t="inlineStr">
        <is>
          <t>x̄x̄V̅MDCCCXCVI</t>
        </is>
      </c>
      <c r="C26897">
        <f>ROMAN(26896)</f>
        <v/>
      </c>
      <c r="D26897">
        <f>IF(B26897=C26897, "YES", "WRONG")</f>
        <v/>
      </c>
    </row>
    <row r="26898">
      <c r="A26898" t="n">
        <v>26897</v>
      </c>
      <c r="B26898" t="inlineStr">
        <is>
          <t>x̄x̄V̅MDCCCXCVII</t>
        </is>
      </c>
      <c r="C26898">
        <f>ROMAN(26897)</f>
        <v/>
      </c>
      <c r="D26898">
        <f>IF(B26898=C26898, "YES", "WRONG")</f>
        <v/>
      </c>
    </row>
    <row r="26899">
      <c r="A26899" t="n">
        <v>26898</v>
      </c>
      <c r="B26899" t="inlineStr">
        <is>
          <t>x̄x̄V̅MDCCCXCVIII</t>
        </is>
      </c>
      <c r="C26899">
        <f>ROMAN(26898)</f>
        <v/>
      </c>
      <c r="D26899">
        <f>IF(B26899=C26899, "YES", "WRONG")</f>
        <v/>
      </c>
    </row>
    <row r="26900">
      <c r="A26900" t="n">
        <v>26899</v>
      </c>
      <c r="B26900" t="inlineStr">
        <is>
          <t>x̄x̄V̅MDCCCXCIX</t>
        </is>
      </c>
      <c r="C26900">
        <f>ROMAN(26899)</f>
        <v/>
      </c>
      <c r="D26900">
        <f>IF(B26900=C26900, "YES", "WRONG")</f>
        <v/>
      </c>
    </row>
    <row r="26901">
      <c r="A26901" t="n">
        <v>26900</v>
      </c>
      <c r="B26901" t="inlineStr">
        <is>
          <t>x̄x̄V̅MCM</t>
        </is>
      </c>
      <c r="C26901">
        <f>ROMAN(26900)</f>
        <v/>
      </c>
      <c r="D26901">
        <f>IF(B26901=C26901, "YES", "WRONG")</f>
        <v/>
      </c>
    </row>
    <row r="26902">
      <c r="A26902" t="n">
        <v>26901</v>
      </c>
      <c r="B26902" t="inlineStr">
        <is>
          <t>x̄x̄V̅MCMI</t>
        </is>
      </c>
      <c r="C26902">
        <f>ROMAN(26901)</f>
        <v/>
      </c>
      <c r="D26902">
        <f>IF(B26902=C26902, "YES", "WRONG")</f>
        <v/>
      </c>
    </row>
    <row r="26903">
      <c r="A26903" t="n">
        <v>26902</v>
      </c>
      <c r="B26903" t="inlineStr">
        <is>
          <t>x̄x̄V̅MCMII</t>
        </is>
      </c>
      <c r="C26903">
        <f>ROMAN(26902)</f>
        <v/>
      </c>
      <c r="D26903">
        <f>IF(B26903=C26903, "YES", "WRONG")</f>
        <v/>
      </c>
    </row>
    <row r="26904">
      <c r="A26904" t="n">
        <v>26903</v>
      </c>
      <c r="B26904" t="inlineStr">
        <is>
          <t>x̄x̄V̅MCMIII</t>
        </is>
      </c>
      <c r="C26904">
        <f>ROMAN(26903)</f>
        <v/>
      </c>
      <c r="D26904">
        <f>IF(B26904=C26904, "YES", "WRONG")</f>
        <v/>
      </c>
    </row>
    <row r="26905">
      <c r="A26905" t="n">
        <v>26904</v>
      </c>
      <c r="B26905" t="inlineStr">
        <is>
          <t>x̄x̄V̅MCMIV</t>
        </is>
      </c>
      <c r="C26905">
        <f>ROMAN(26904)</f>
        <v/>
      </c>
      <c r="D26905">
        <f>IF(B26905=C26905, "YES", "WRONG")</f>
        <v/>
      </c>
    </row>
    <row r="26906">
      <c r="A26906" t="n">
        <v>26905</v>
      </c>
      <c r="B26906" t="inlineStr">
        <is>
          <t>x̄x̄V̅MCMV</t>
        </is>
      </c>
      <c r="C26906">
        <f>ROMAN(26905)</f>
        <v/>
      </c>
      <c r="D26906">
        <f>IF(B26906=C26906, "YES", "WRONG")</f>
        <v/>
      </c>
    </row>
    <row r="26907">
      <c r="A26907" t="n">
        <v>26906</v>
      </c>
      <c r="B26907" t="inlineStr">
        <is>
          <t>x̄x̄V̅MCMVI</t>
        </is>
      </c>
      <c r="C26907">
        <f>ROMAN(26906)</f>
        <v/>
      </c>
      <c r="D26907">
        <f>IF(B26907=C26907, "YES", "WRONG")</f>
        <v/>
      </c>
    </row>
    <row r="26908">
      <c r="A26908" t="n">
        <v>26907</v>
      </c>
      <c r="B26908" t="inlineStr">
        <is>
          <t>x̄x̄V̅MCMVII</t>
        </is>
      </c>
      <c r="C26908">
        <f>ROMAN(26907)</f>
        <v/>
      </c>
      <c r="D26908">
        <f>IF(B26908=C26908, "YES", "WRONG")</f>
        <v/>
      </c>
    </row>
    <row r="26909">
      <c r="A26909" t="n">
        <v>26908</v>
      </c>
      <c r="B26909" t="inlineStr">
        <is>
          <t>x̄x̄V̅MCMVIII</t>
        </is>
      </c>
      <c r="C26909">
        <f>ROMAN(26908)</f>
        <v/>
      </c>
      <c r="D26909">
        <f>IF(B26909=C26909, "YES", "WRONG")</f>
        <v/>
      </c>
    </row>
    <row r="26910">
      <c r="A26910" t="n">
        <v>26909</v>
      </c>
      <c r="B26910" t="inlineStr">
        <is>
          <t>x̄x̄V̅MCMIX</t>
        </is>
      </c>
      <c r="C26910">
        <f>ROMAN(26909)</f>
        <v/>
      </c>
      <c r="D26910">
        <f>IF(B26910=C26910, "YES", "WRONG")</f>
        <v/>
      </c>
    </row>
    <row r="26911">
      <c r="A26911" t="n">
        <v>26910</v>
      </c>
      <c r="B26911" t="inlineStr">
        <is>
          <t>x̄x̄V̅MCMX</t>
        </is>
      </c>
      <c r="C26911">
        <f>ROMAN(26910)</f>
        <v/>
      </c>
      <c r="D26911">
        <f>IF(B26911=C26911, "YES", "WRONG")</f>
        <v/>
      </c>
    </row>
    <row r="26912">
      <c r="A26912" t="n">
        <v>26911</v>
      </c>
      <c r="B26912" t="inlineStr">
        <is>
          <t>x̄x̄V̅MCMXI</t>
        </is>
      </c>
      <c r="C26912">
        <f>ROMAN(26911)</f>
        <v/>
      </c>
      <c r="D26912">
        <f>IF(B26912=C26912, "YES", "WRONG")</f>
        <v/>
      </c>
    </row>
    <row r="26913">
      <c r="A26913" t="n">
        <v>26912</v>
      </c>
      <c r="B26913" t="inlineStr">
        <is>
          <t>x̄x̄V̅MCMXII</t>
        </is>
      </c>
      <c r="C26913">
        <f>ROMAN(26912)</f>
        <v/>
      </c>
      <c r="D26913">
        <f>IF(B26913=C26913, "YES", "WRONG")</f>
        <v/>
      </c>
    </row>
    <row r="26914">
      <c r="A26914" t="n">
        <v>26913</v>
      </c>
      <c r="B26914" t="inlineStr">
        <is>
          <t>x̄x̄V̅MCMXIII</t>
        </is>
      </c>
      <c r="C26914">
        <f>ROMAN(26913)</f>
        <v/>
      </c>
      <c r="D26914">
        <f>IF(B26914=C26914, "YES", "WRONG")</f>
        <v/>
      </c>
    </row>
    <row r="26915">
      <c r="A26915" t="n">
        <v>26914</v>
      </c>
      <c r="B26915" t="inlineStr">
        <is>
          <t>x̄x̄V̅MCMXIV</t>
        </is>
      </c>
      <c r="C26915">
        <f>ROMAN(26914)</f>
        <v/>
      </c>
      <c r="D26915">
        <f>IF(B26915=C26915, "YES", "WRONG")</f>
        <v/>
      </c>
    </row>
    <row r="26916">
      <c r="A26916" t="n">
        <v>26915</v>
      </c>
      <c r="B26916" t="inlineStr">
        <is>
          <t>x̄x̄V̅MCMXV</t>
        </is>
      </c>
      <c r="C26916">
        <f>ROMAN(26915)</f>
        <v/>
      </c>
      <c r="D26916">
        <f>IF(B26916=C26916, "YES", "WRONG")</f>
        <v/>
      </c>
    </row>
    <row r="26917">
      <c r="A26917" t="n">
        <v>26916</v>
      </c>
      <c r="B26917" t="inlineStr">
        <is>
          <t>x̄x̄V̅MCMXVI</t>
        </is>
      </c>
      <c r="C26917">
        <f>ROMAN(26916)</f>
        <v/>
      </c>
      <c r="D26917">
        <f>IF(B26917=C26917, "YES", "WRONG")</f>
        <v/>
      </c>
    </row>
    <row r="26918">
      <c r="A26918" t="n">
        <v>26917</v>
      </c>
      <c r="B26918" t="inlineStr">
        <is>
          <t>x̄x̄V̅MCMXVII</t>
        </is>
      </c>
      <c r="C26918">
        <f>ROMAN(26917)</f>
        <v/>
      </c>
      <c r="D26918">
        <f>IF(B26918=C26918, "YES", "WRONG")</f>
        <v/>
      </c>
    </row>
    <row r="26919">
      <c r="A26919" t="n">
        <v>26918</v>
      </c>
      <c r="B26919" t="inlineStr">
        <is>
          <t>x̄x̄V̅MCMXVIII</t>
        </is>
      </c>
      <c r="C26919">
        <f>ROMAN(26918)</f>
        <v/>
      </c>
      <c r="D26919">
        <f>IF(B26919=C26919, "YES", "WRONG")</f>
        <v/>
      </c>
    </row>
    <row r="26920">
      <c r="A26920" t="n">
        <v>26919</v>
      </c>
      <c r="B26920" t="inlineStr">
        <is>
          <t>x̄x̄V̅MCMXIX</t>
        </is>
      </c>
      <c r="C26920">
        <f>ROMAN(26919)</f>
        <v/>
      </c>
      <c r="D26920">
        <f>IF(B26920=C26920, "YES", "WRONG")</f>
        <v/>
      </c>
    </row>
    <row r="26921">
      <c r="A26921" t="n">
        <v>26920</v>
      </c>
      <c r="B26921" t="inlineStr">
        <is>
          <t>x̄x̄V̅MCMXX</t>
        </is>
      </c>
      <c r="C26921">
        <f>ROMAN(26920)</f>
        <v/>
      </c>
      <c r="D26921">
        <f>IF(B26921=C26921, "YES", "WRONG")</f>
        <v/>
      </c>
    </row>
    <row r="26922">
      <c r="A26922" t="n">
        <v>26921</v>
      </c>
      <c r="B26922" t="inlineStr">
        <is>
          <t>x̄x̄V̅MCMXXI</t>
        </is>
      </c>
      <c r="C26922">
        <f>ROMAN(26921)</f>
        <v/>
      </c>
      <c r="D26922">
        <f>IF(B26922=C26922, "YES", "WRONG")</f>
        <v/>
      </c>
    </row>
    <row r="26923">
      <c r="A26923" t="n">
        <v>26922</v>
      </c>
      <c r="B26923" t="inlineStr">
        <is>
          <t>x̄x̄V̅MCMXXII</t>
        </is>
      </c>
      <c r="C26923">
        <f>ROMAN(26922)</f>
        <v/>
      </c>
      <c r="D26923">
        <f>IF(B26923=C26923, "YES", "WRONG")</f>
        <v/>
      </c>
    </row>
    <row r="26924">
      <c r="A26924" t="n">
        <v>26923</v>
      </c>
      <c r="B26924" t="inlineStr">
        <is>
          <t>x̄x̄V̅MCMXXIII</t>
        </is>
      </c>
      <c r="C26924">
        <f>ROMAN(26923)</f>
        <v/>
      </c>
      <c r="D26924">
        <f>IF(B26924=C26924, "YES", "WRONG")</f>
        <v/>
      </c>
    </row>
    <row r="26925">
      <c r="A26925" t="n">
        <v>26924</v>
      </c>
      <c r="B26925" t="inlineStr">
        <is>
          <t>x̄x̄V̅MCMXXIV</t>
        </is>
      </c>
      <c r="C26925">
        <f>ROMAN(26924)</f>
        <v/>
      </c>
      <c r="D26925">
        <f>IF(B26925=C26925, "YES", "WRONG")</f>
        <v/>
      </c>
    </row>
    <row r="26926">
      <c r="A26926" t="n">
        <v>26925</v>
      </c>
      <c r="B26926" t="inlineStr">
        <is>
          <t>x̄x̄V̅MCMXXV</t>
        </is>
      </c>
      <c r="C26926">
        <f>ROMAN(26925)</f>
        <v/>
      </c>
      <c r="D26926">
        <f>IF(B26926=C26926, "YES", "WRONG")</f>
        <v/>
      </c>
    </row>
    <row r="26927">
      <c r="A26927" t="n">
        <v>26926</v>
      </c>
      <c r="B26927" t="inlineStr">
        <is>
          <t>x̄x̄V̅MCMXXVI</t>
        </is>
      </c>
      <c r="C26927">
        <f>ROMAN(26926)</f>
        <v/>
      </c>
      <c r="D26927">
        <f>IF(B26927=C26927, "YES", "WRONG")</f>
        <v/>
      </c>
    </row>
    <row r="26928">
      <c r="A26928" t="n">
        <v>26927</v>
      </c>
      <c r="B26928" t="inlineStr">
        <is>
          <t>x̄x̄V̅MCMXXVII</t>
        </is>
      </c>
      <c r="C26928">
        <f>ROMAN(26927)</f>
        <v/>
      </c>
      <c r="D26928">
        <f>IF(B26928=C26928, "YES", "WRONG")</f>
        <v/>
      </c>
    </row>
    <row r="26929">
      <c r="A26929" t="n">
        <v>26928</v>
      </c>
      <c r="B26929" t="inlineStr">
        <is>
          <t>x̄x̄V̅MCMXXVIII</t>
        </is>
      </c>
      <c r="C26929">
        <f>ROMAN(26928)</f>
        <v/>
      </c>
      <c r="D26929">
        <f>IF(B26929=C26929, "YES", "WRONG")</f>
        <v/>
      </c>
    </row>
    <row r="26930">
      <c r="A26930" t="n">
        <v>26929</v>
      </c>
      <c r="B26930" t="inlineStr">
        <is>
          <t>x̄x̄V̅MCMXXIX</t>
        </is>
      </c>
      <c r="C26930">
        <f>ROMAN(26929)</f>
        <v/>
      </c>
      <c r="D26930">
        <f>IF(B26930=C26930, "YES", "WRONG")</f>
        <v/>
      </c>
    </row>
    <row r="26931">
      <c r="A26931" t="n">
        <v>26930</v>
      </c>
      <c r="B26931" t="inlineStr">
        <is>
          <t>x̄x̄V̅MCMXXX</t>
        </is>
      </c>
      <c r="C26931">
        <f>ROMAN(26930)</f>
        <v/>
      </c>
      <c r="D26931">
        <f>IF(B26931=C26931, "YES", "WRONG")</f>
        <v/>
      </c>
    </row>
    <row r="26932">
      <c r="A26932" t="n">
        <v>26931</v>
      </c>
      <c r="B26932" t="inlineStr">
        <is>
          <t>x̄x̄V̅MCMXXXI</t>
        </is>
      </c>
      <c r="C26932">
        <f>ROMAN(26931)</f>
        <v/>
      </c>
      <c r="D26932">
        <f>IF(B26932=C26932, "YES", "WRONG")</f>
        <v/>
      </c>
    </row>
    <row r="26933">
      <c r="A26933" t="n">
        <v>26932</v>
      </c>
      <c r="B26933" t="inlineStr">
        <is>
          <t>x̄x̄V̅MCMXXXII</t>
        </is>
      </c>
      <c r="C26933">
        <f>ROMAN(26932)</f>
        <v/>
      </c>
      <c r="D26933">
        <f>IF(B26933=C26933, "YES", "WRONG")</f>
        <v/>
      </c>
    </row>
    <row r="26934">
      <c r="A26934" t="n">
        <v>26933</v>
      </c>
      <c r="B26934" t="inlineStr">
        <is>
          <t>x̄x̄V̅MCMXXXIII</t>
        </is>
      </c>
      <c r="C26934">
        <f>ROMAN(26933)</f>
        <v/>
      </c>
      <c r="D26934">
        <f>IF(B26934=C26934, "YES", "WRONG")</f>
        <v/>
      </c>
    </row>
    <row r="26935">
      <c r="A26935" t="n">
        <v>26934</v>
      </c>
      <c r="B26935" t="inlineStr">
        <is>
          <t>x̄x̄V̅MCMXXXIV</t>
        </is>
      </c>
      <c r="C26935">
        <f>ROMAN(26934)</f>
        <v/>
      </c>
      <c r="D26935">
        <f>IF(B26935=C26935, "YES", "WRONG")</f>
        <v/>
      </c>
    </row>
    <row r="26936">
      <c r="A26936" t="n">
        <v>26935</v>
      </c>
      <c r="B26936" t="inlineStr">
        <is>
          <t>x̄x̄V̅MCMXXXV</t>
        </is>
      </c>
      <c r="C26936">
        <f>ROMAN(26935)</f>
        <v/>
      </c>
      <c r="D26936">
        <f>IF(B26936=C26936, "YES", "WRONG")</f>
        <v/>
      </c>
    </row>
    <row r="26937">
      <c r="A26937" t="n">
        <v>26936</v>
      </c>
      <c r="B26937" t="inlineStr">
        <is>
          <t>x̄x̄V̅MCMXXXVI</t>
        </is>
      </c>
      <c r="C26937">
        <f>ROMAN(26936)</f>
        <v/>
      </c>
      <c r="D26937">
        <f>IF(B26937=C26937, "YES", "WRONG")</f>
        <v/>
      </c>
    </row>
    <row r="26938">
      <c r="A26938" t="n">
        <v>26937</v>
      </c>
      <c r="B26938" t="inlineStr">
        <is>
          <t>x̄x̄V̅MCMXXXVII</t>
        </is>
      </c>
      <c r="C26938">
        <f>ROMAN(26937)</f>
        <v/>
      </c>
      <c r="D26938">
        <f>IF(B26938=C26938, "YES", "WRONG")</f>
        <v/>
      </c>
    </row>
    <row r="26939">
      <c r="A26939" t="n">
        <v>26938</v>
      </c>
      <c r="B26939" t="inlineStr">
        <is>
          <t>x̄x̄V̅MCMXXXVIII</t>
        </is>
      </c>
      <c r="C26939">
        <f>ROMAN(26938)</f>
        <v/>
      </c>
      <c r="D26939">
        <f>IF(B26939=C26939, "YES", "WRONG")</f>
        <v/>
      </c>
    </row>
    <row r="26940">
      <c r="A26940" t="n">
        <v>26939</v>
      </c>
      <c r="B26940" t="inlineStr">
        <is>
          <t>x̄x̄V̅MCMXXXIX</t>
        </is>
      </c>
      <c r="C26940">
        <f>ROMAN(26939)</f>
        <v/>
      </c>
      <c r="D26940">
        <f>IF(B26940=C26940, "YES", "WRONG")</f>
        <v/>
      </c>
    </row>
    <row r="26941">
      <c r="A26941" t="n">
        <v>26940</v>
      </c>
      <c r="B26941" t="inlineStr">
        <is>
          <t>x̄x̄V̅MCMXL</t>
        </is>
      </c>
      <c r="C26941">
        <f>ROMAN(26940)</f>
        <v/>
      </c>
      <c r="D26941">
        <f>IF(B26941=C26941, "YES", "WRONG")</f>
        <v/>
      </c>
    </row>
    <row r="26942">
      <c r="A26942" t="n">
        <v>26941</v>
      </c>
      <c r="B26942" t="inlineStr">
        <is>
          <t>x̄x̄V̅MCMXLI</t>
        </is>
      </c>
      <c r="C26942">
        <f>ROMAN(26941)</f>
        <v/>
      </c>
      <c r="D26942">
        <f>IF(B26942=C26942, "YES", "WRONG")</f>
        <v/>
      </c>
    </row>
    <row r="26943">
      <c r="A26943" t="n">
        <v>26942</v>
      </c>
      <c r="B26943" t="inlineStr">
        <is>
          <t>x̄x̄V̅MCMXLII</t>
        </is>
      </c>
      <c r="C26943">
        <f>ROMAN(26942)</f>
        <v/>
      </c>
      <c r="D26943">
        <f>IF(B26943=C26943, "YES", "WRONG")</f>
        <v/>
      </c>
    </row>
    <row r="26944">
      <c r="A26944" t="n">
        <v>26943</v>
      </c>
      <c r="B26944" t="inlineStr">
        <is>
          <t>x̄x̄V̅MCMXLIII</t>
        </is>
      </c>
      <c r="C26944">
        <f>ROMAN(26943)</f>
        <v/>
      </c>
      <c r="D26944">
        <f>IF(B26944=C26944, "YES", "WRONG")</f>
        <v/>
      </c>
    </row>
    <row r="26945">
      <c r="A26945" t="n">
        <v>26944</v>
      </c>
      <c r="B26945" t="inlineStr">
        <is>
          <t>x̄x̄V̅MCMXLIV</t>
        </is>
      </c>
      <c r="C26945">
        <f>ROMAN(26944)</f>
        <v/>
      </c>
      <c r="D26945">
        <f>IF(B26945=C26945, "YES", "WRONG")</f>
        <v/>
      </c>
    </row>
    <row r="26946">
      <c r="A26946" t="n">
        <v>26945</v>
      </c>
      <c r="B26946" t="inlineStr">
        <is>
          <t>x̄x̄V̅MCMXLV</t>
        </is>
      </c>
      <c r="C26946">
        <f>ROMAN(26945)</f>
        <v/>
      </c>
      <c r="D26946">
        <f>IF(B26946=C26946, "YES", "WRONG")</f>
        <v/>
      </c>
    </row>
    <row r="26947">
      <c r="A26947" t="n">
        <v>26946</v>
      </c>
      <c r="B26947" t="inlineStr">
        <is>
          <t>x̄x̄V̅MCMXLVI</t>
        </is>
      </c>
      <c r="C26947">
        <f>ROMAN(26946)</f>
        <v/>
      </c>
      <c r="D26947">
        <f>IF(B26947=C26947, "YES", "WRONG")</f>
        <v/>
      </c>
    </row>
    <row r="26948">
      <c r="A26948" t="n">
        <v>26947</v>
      </c>
      <c r="B26948" t="inlineStr">
        <is>
          <t>x̄x̄V̅MCMXLVII</t>
        </is>
      </c>
      <c r="C26948">
        <f>ROMAN(26947)</f>
        <v/>
      </c>
      <c r="D26948">
        <f>IF(B26948=C26948, "YES", "WRONG")</f>
        <v/>
      </c>
    </row>
    <row r="26949">
      <c r="A26949" t="n">
        <v>26948</v>
      </c>
      <c r="B26949" t="inlineStr">
        <is>
          <t>x̄x̄V̅MCMXLVIII</t>
        </is>
      </c>
      <c r="C26949">
        <f>ROMAN(26948)</f>
        <v/>
      </c>
      <c r="D26949">
        <f>IF(B26949=C26949, "YES", "WRONG")</f>
        <v/>
      </c>
    </row>
    <row r="26950">
      <c r="A26950" t="n">
        <v>26949</v>
      </c>
      <c r="B26950" t="inlineStr">
        <is>
          <t>x̄x̄V̅MCMXLIX</t>
        </is>
      </c>
      <c r="C26950">
        <f>ROMAN(26949)</f>
        <v/>
      </c>
      <c r="D26950">
        <f>IF(B26950=C26950, "YES", "WRONG")</f>
        <v/>
      </c>
    </row>
    <row r="26951">
      <c r="A26951" t="n">
        <v>26950</v>
      </c>
      <c r="B26951" t="inlineStr">
        <is>
          <t>x̄x̄V̅MCML</t>
        </is>
      </c>
      <c r="C26951">
        <f>ROMAN(26950)</f>
        <v/>
      </c>
      <c r="D26951">
        <f>IF(B26951=C26951, "YES", "WRONG")</f>
        <v/>
      </c>
    </row>
    <row r="26952">
      <c r="A26952" t="n">
        <v>26951</v>
      </c>
      <c r="B26952" t="inlineStr">
        <is>
          <t>x̄x̄V̅MCMLI</t>
        </is>
      </c>
      <c r="C26952">
        <f>ROMAN(26951)</f>
        <v/>
      </c>
      <c r="D26952">
        <f>IF(B26952=C26952, "YES", "WRONG")</f>
        <v/>
      </c>
    </row>
    <row r="26953">
      <c r="A26953" t="n">
        <v>26952</v>
      </c>
      <c r="B26953" t="inlineStr">
        <is>
          <t>x̄x̄V̅MCMLII</t>
        </is>
      </c>
      <c r="C26953">
        <f>ROMAN(26952)</f>
        <v/>
      </c>
      <c r="D26953">
        <f>IF(B26953=C26953, "YES", "WRONG")</f>
        <v/>
      </c>
    </row>
    <row r="26954">
      <c r="A26954" t="n">
        <v>26953</v>
      </c>
      <c r="B26954" t="inlineStr">
        <is>
          <t>x̄x̄V̅MCMLIII</t>
        </is>
      </c>
      <c r="C26954">
        <f>ROMAN(26953)</f>
        <v/>
      </c>
      <c r="D26954">
        <f>IF(B26954=C26954, "YES", "WRONG")</f>
        <v/>
      </c>
    </row>
    <row r="26955">
      <c r="A26955" t="n">
        <v>26954</v>
      </c>
      <c r="B26955" t="inlineStr">
        <is>
          <t>x̄x̄V̅MCMLIV</t>
        </is>
      </c>
      <c r="C26955">
        <f>ROMAN(26954)</f>
        <v/>
      </c>
      <c r="D26955">
        <f>IF(B26955=C26955, "YES", "WRONG")</f>
        <v/>
      </c>
    </row>
    <row r="26956">
      <c r="A26956" t="n">
        <v>26955</v>
      </c>
      <c r="B26956" t="inlineStr">
        <is>
          <t>x̄x̄V̅MCMLV</t>
        </is>
      </c>
      <c r="C26956">
        <f>ROMAN(26955)</f>
        <v/>
      </c>
      <c r="D26956">
        <f>IF(B26956=C26956, "YES", "WRONG")</f>
        <v/>
      </c>
    </row>
    <row r="26957">
      <c r="A26957" t="n">
        <v>26956</v>
      </c>
      <c r="B26957" t="inlineStr">
        <is>
          <t>x̄x̄V̅MCMLVI</t>
        </is>
      </c>
      <c r="C26957">
        <f>ROMAN(26956)</f>
        <v/>
      </c>
      <c r="D26957">
        <f>IF(B26957=C26957, "YES", "WRONG")</f>
        <v/>
      </c>
    </row>
    <row r="26958">
      <c r="A26958" t="n">
        <v>26957</v>
      </c>
      <c r="B26958" t="inlineStr">
        <is>
          <t>x̄x̄V̅MCMLVII</t>
        </is>
      </c>
      <c r="C26958">
        <f>ROMAN(26957)</f>
        <v/>
      </c>
      <c r="D26958">
        <f>IF(B26958=C26958, "YES", "WRONG")</f>
        <v/>
      </c>
    </row>
    <row r="26959">
      <c r="A26959" t="n">
        <v>26958</v>
      </c>
      <c r="B26959" t="inlineStr">
        <is>
          <t>x̄x̄V̅MCMLVIII</t>
        </is>
      </c>
      <c r="C26959">
        <f>ROMAN(26958)</f>
        <v/>
      </c>
      <c r="D26959">
        <f>IF(B26959=C26959, "YES", "WRONG")</f>
        <v/>
      </c>
    </row>
    <row r="26960">
      <c r="A26960" t="n">
        <v>26959</v>
      </c>
      <c r="B26960" t="inlineStr">
        <is>
          <t>x̄x̄V̅MCMLIX</t>
        </is>
      </c>
      <c r="C26960">
        <f>ROMAN(26959)</f>
        <v/>
      </c>
      <c r="D26960">
        <f>IF(B26960=C26960, "YES", "WRONG")</f>
        <v/>
      </c>
    </row>
    <row r="26961">
      <c r="A26961" t="n">
        <v>26960</v>
      </c>
      <c r="B26961" t="inlineStr">
        <is>
          <t>x̄x̄V̅MCMLX</t>
        </is>
      </c>
      <c r="C26961">
        <f>ROMAN(26960)</f>
        <v/>
      </c>
      <c r="D26961">
        <f>IF(B26961=C26961, "YES", "WRONG")</f>
        <v/>
      </c>
    </row>
    <row r="26962">
      <c r="A26962" t="n">
        <v>26961</v>
      </c>
      <c r="B26962" t="inlineStr">
        <is>
          <t>x̄x̄V̅MCMLXI</t>
        </is>
      </c>
      <c r="C26962">
        <f>ROMAN(26961)</f>
        <v/>
      </c>
      <c r="D26962">
        <f>IF(B26962=C26962, "YES", "WRONG")</f>
        <v/>
      </c>
    </row>
    <row r="26963">
      <c r="A26963" t="n">
        <v>26962</v>
      </c>
      <c r="B26963" t="inlineStr">
        <is>
          <t>x̄x̄V̅MCMLXII</t>
        </is>
      </c>
      <c r="C26963">
        <f>ROMAN(26962)</f>
        <v/>
      </c>
      <c r="D26963">
        <f>IF(B26963=C26963, "YES", "WRONG")</f>
        <v/>
      </c>
    </row>
    <row r="26964">
      <c r="A26964" t="n">
        <v>26963</v>
      </c>
      <c r="B26964" t="inlineStr">
        <is>
          <t>x̄x̄V̅MCMLXIII</t>
        </is>
      </c>
      <c r="C26964">
        <f>ROMAN(26963)</f>
        <v/>
      </c>
      <c r="D26964">
        <f>IF(B26964=C26964, "YES", "WRONG")</f>
        <v/>
      </c>
    </row>
    <row r="26965">
      <c r="A26965" t="n">
        <v>26964</v>
      </c>
      <c r="B26965" t="inlineStr">
        <is>
          <t>x̄x̄V̅MCMLXIV</t>
        </is>
      </c>
      <c r="C26965">
        <f>ROMAN(26964)</f>
        <v/>
      </c>
      <c r="D26965">
        <f>IF(B26965=C26965, "YES", "WRONG")</f>
        <v/>
      </c>
    </row>
    <row r="26966">
      <c r="A26966" t="n">
        <v>26965</v>
      </c>
      <c r="B26966" t="inlineStr">
        <is>
          <t>x̄x̄V̅MCMLXV</t>
        </is>
      </c>
      <c r="C26966">
        <f>ROMAN(26965)</f>
        <v/>
      </c>
      <c r="D26966">
        <f>IF(B26966=C26966, "YES", "WRONG")</f>
        <v/>
      </c>
    </row>
    <row r="26967">
      <c r="A26967" t="n">
        <v>26966</v>
      </c>
      <c r="B26967" t="inlineStr">
        <is>
          <t>x̄x̄V̅MCMLXVI</t>
        </is>
      </c>
      <c r="C26967">
        <f>ROMAN(26966)</f>
        <v/>
      </c>
      <c r="D26967">
        <f>IF(B26967=C26967, "YES", "WRONG")</f>
        <v/>
      </c>
    </row>
    <row r="26968">
      <c r="A26968" t="n">
        <v>26967</v>
      </c>
      <c r="B26968" t="inlineStr">
        <is>
          <t>x̄x̄V̅MCMLXVII</t>
        </is>
      </c>
      <c r="C26968">
        <f>ROMAN(26967)</f>
        <v/>
      </c>
      <c r="D26968">
        <f>IF(B26968=C26968, "YES", "WRONG")</f>
        <v/>
      </c>
    </row>
    <row r="26969">
      <c r="A26969" t="n">
        <v>26968</v>
      </c>
      <c r="B26969" t="inlineStr">
        <is>
          <t>x̄x̄V̅MCMLXVIII</t>
        </is>
      </c>
      <c r="C26969">
        <f>ROMAN(26968)</f>
        <v/>
      </c>
      <c r="D26969">
        <f>IF(B26969=C26969, "YES", "WRONG")</f>
        <v/>
      </c>
    </row>
    <row r="26970">
      <c r="A26970" t="n">
        <v>26969</v>
      </c>
      <c r="B26970" t="inlineStr">
        <is>
          <t>x̄x̄V̅MCMLXIX</t>
        </is>
      </c>
      <c r="C26970">
        <f>ROMAN(26969)</f>
        <v/>
      </c>
      <c r="D26970">
        <f>IF(B26970=C26970, "YES", "WRONG")</f>
        <v/>
      </c>
    </row>
    <row r="26971">
      <c r="A26971" t="n">
        <v>26970</v>
      </c>
      <c r="B26971" t="inlineStr">
        <is>
          <t>x̄x̄V̅MCMLXX</t>
        </is>
      </c>
      <c r="C26971">
        <f>ROMAN(26970)</f>
        <v/>
      </c>
      <c r="D26971">
        <f>IF(B26971=C26971, "YES", "WRONG")</f>
        <v/>
      </c>
    </row>
    <row r="26972">
      <c r="A26972" t="n">
        <v>26971</v>
      </c>
      <c r="B26972" t="inlineStr">
        <is>
          <t>x̄x̄V̅MCMLXXI</t>
        </is>
      </c>
      <c r="C26972">
        <f>ROMAN(26971)</f>
        <v/>
      </c>
      <c r="D26972">
        <f>IF(B26972=C26972, "YES", "WRONG")</f>
        <v/>
      </c>
    </row>
    <row r="26973">
      <c r="A26973" t="n">
        <v>26972</v>
      </c>
      <c r="B26973" t="inlineStr">
        <is>
          <t>x̄x̄V̅MCMLXXII</t>
        </is>
      </c>
      <c r="C26973">
        <f>ROMAN(26972)</f>
        <v/>
      </c>
      <c r="D26973">
        <f>IF(B26973=C26973, "YES", "WRONG")</f>
        <v/>
      </c>
    </row>
    <row r="26974">
      <c r="A26974" t="n">
        <v>26973</v>
      </c>
      <c r="B26974" t="inlineStr">
        <is>
          <t>x̄x̄V̅MCMLXXIII</t>
        </is>
      </c>
      <c r="C26974">
        <f>ROMAN(26973)</f>
        <v/>
      </c>
      <c r="D26974">
        <f>IF(B26974=C26974, "YES", "WRONG")</f>
        <v/>
      </c>
    </row>
    <row r="26975">
      <c r="A26975" t="n">
        <v>26974</v>
      </c>
      <c r="B26975" t="inlineStr">
        <is>
          <t>x̄x̄V̅MCMLXXIV</t>
        </is>
      </c>
      <c r="C26975">
        <f>ROMAN(26974)</f>
        <v/>
      </c>
      <c r="D26975">
        <f>IF(B26975=C26975, "YES", "WRONG")</f>
        <v/>
      </c>
    </row>
    <row r="26976">
      <c r="A26976" t="n">
        <v>26975</v>
      </c>
      <c r="B26976" t="inlineStr">
        <is>
          <t>x̄x̄V̅MCMLXXV</t>
        </is>
      </c>
      <c r="C26976">
        <f>ROMAN(26975)</f>
        <v/>
      </c>
      <c r="D26976">
        <f>IF(B26976=C26976, "YES", "WRONG")</f>
        <v/>
      </c>
    </row>
    <row r="26977">
      <c r="A26977" t="n">
        <v>26976</v>
      </c>
      <c r="B26977" t="inlineStr">
        <is>
          <t>x̄x̄V̅MCMLXXVI</t>
        </is>
      </c>
      <c r="C26977">
        <f>ROMAN(26976)</f>
        <v/>
      </c>
      <c r="D26977">
        <f>IF(B26977=C26977, "YES", "WRONG")</f>
        <v/>
      </c>
    </row>
    <row r="26978">
      <c r="A26978" t="n">
        <v>26977</v>
      </c>
      <c r="B26978" t="inlineStr">
        <is>
          <t>x̄x̄V̅MCMLXXVII</t>
        </is>
      </c>
      <c r="C26978">
        <f>ROMAN(26977)</f>
        <v/>
      </c>
      <c r="D26978">
        <f>IF(B26978=C26978, "YES", "WRONG")</f>
        <v/>
      </c>
    </row>
    <row r="26979">
      <c r="A26979" t="n">
        <v>26978</v>
      </c>
      <c r="B26979" t="inlineStr">
        <is>
          <t>x̄x̄V̅MCMLXXVIII</t>
        </is>
      </c>
      <c r="C26979">
        <f>ROMAN(26978)</f>
        <v/>
      </c>
      <c r="D26979">
        <f>IF(B26979=C26979, "YES", "WRONG")</f>
        <v/>
      </c>
    </row>
    <row r="26980">
      <c r="A26980" t="n">
        <v>26979</v>
      </c>
      <c r="B26980" t="inlineStr">
        <is>
          <t>x̄x̄V̅MCMLXXIX</t>
        </is>
      </c>
      <c r="C26980">
        <f>ROMAN(26979)</f>
        <v/>
      </c>
      <c r="D26980">
        <f>IF(B26980=C26980, "YES", "WRONG")</f>
        <v/>
      </c>
    </row>
    <row r="26981">
      <c r="A26981" t="n">
        <v>26980</v>
      </c>
      <c r="B26981" t="inlineStr">
        <is>
          <t>x̄x̄V̅MCMLXXX</t>
        </is>
      </c>
      <c r="C26981">
        <f>ROMAN(26980)</f>
        <v/>
      </c>
      <c r="D26981">
        <f>IF(B26981=C26981, "YES", "WRONG")</f>
        <v/>
      </c>
    </row>
    <row r="26982">
      <c r="A26982" t="n">
        <v>26981</v>
      </c>
      <c r="B26982" t="inlineStr">
        <is>
          <t>x̄x̄V̅MCMLXXXI</t>
        </is>
      </c>
      <c r="C26982">
        <f>ROMAN(26981)</f>
        <v/>
      </c>
      <c r="D26982">
        <f>IF(B26982=C26982, "YES", "WRONG")</f>
        <v/>
      </c>
    </row>
    <row r="26983">
      <c r="A26983" t="n">
        <v>26982</v>
      </c>
      <c r="B26983" t="inlineStr">
        <is>
          <t>x̄x̄V̅MCMLXXXII</t>
        </is>
      </c>
      <c r="C26983">
        <f>ROMAN(26982)</f>
        <v/>
      </c>
      <c r="D26983">
        <f>IF(B26983=C26983, "YES", "WRONG")</f>
        <v/>
      </c>
    </row>
    <row r="26984">
      <c r="A26984" t="n">
        <v>26983</v>
      </c>
      <c r="B26984" t="inlineStr">
        <is>
          <t>x̄x̄V̅MCMLXXXIII</t>
        </is>
      </c>
      <c r="C26984">
        <f>ROMAN(26983)</f>
        <v/>
      </c>
      <c r="D26984">
        <f>IF(B26984=C26984, "YES", "WRONG")</f>
        <v/>
      </c>
    </row>
    <row r="26985">
      <c r="A26985" t="n">
        <v>26984</v>
      </c>
      <c r="B26985" t="inlineStr">
        <is>
          <t>x̄x̄V̅MCMLXXXIV</t>
        </is>
      </c>
      <c r="C26985">
        <f>ROMAN(26984)</f>
        <v/>
      </c>
      <c r="D26985">
        <f>IF(B26985=C26985, "YES", "WRONG")</f>
        <v/>
      </c>
    </row>
    <row r="26986">
      <c r="A26986" t="n">
        <v>26985</v>
      </c>
      <c r="B26986" t="inlineStr">
        <is>
          <t>x̄x̄V̅MCMLXXXV</t>
        </is>
      </c>
      <c r="C26986">
        <f>ROMAN(26985)</f>
        <v/>
      </c>
      <c r="D26986">
        <f>IF(B26986=C26986, "YES", "WRONG")</f>
        <v/>
      </c>
    </row>
    <row r="26987">
      <c r="A26987" t="n">
        <v>26986</v>
      </c>
      <c r="B26987" t="inlineStr">
        <is>
          <t>x̄x̄V̅MCMLXXXVI</t>
        </is>
      </c>
      <c r="C26987">
        <f>ROMAN(26986)</f>
        <v/>
      </c>
      <c r="D26987">
        <f>IF(B26987=C26987, "YES", "WRONG")</f>
        <v/>
      </c>
    </row>
    <row r="26988">
      <c r="A26988" t="n">
        <v>26987</v>
      </c>
      <c r="B26988" t="inlineStr">
        <is>
          <t>x̄x̄V̅MCMLXXXVII</t>
        </is>
      </c>
      <c r="C26988">
        <f>ROMAN(26987)</f>
        <v/>
      </c>
      <c r="D26988">
        <f>IF(B26988=C26988, "YES", "WRONG")</f>
        <v/>
      </c>
    </row>
    <row r="26989">
      <c r="A26989" t="n">
        <v>26988</v>
      </c>
      <c r="B26989" t="inlineStr">
        <is>
          <t>x̄x̄V̅MCMLXXXVIII</t>
        </is>
      </c>
      <c r="C26989">
        <f>ROMAN(26988)</f>
        <v/>
      </c>
      <c r="D26989">
        <f>IF(B26989=C26989, "YES", "WRONG")</f>
        <v/>
      </c>
    </row>
    <row r="26990">
      <c r="A26990" t="n">
        <v>26989</v>
      </c>
      <c r="B26990" t="inlineStr">
        <is>
          <t>x̄x̄V̅MCMLXXXIX</t>
        </is>
      </c>
      <c r="C26990">
        <f>ROMAN(26989)</f>
        <v/>
      </c>
      <c r="D26990">
        <f>IF(B26990=C26990, "YES", "WRONG")</f>
        <v/>
      </c>
    </row>
    <row r="26991">
      <c r="A26991" t="n">
        <v>26990</v>
      </c>
      <c r="B26991" t="inlineStr">
        <is>
          <t>x̄x̄V̅MCMXC</t>
        </is>
      </c>
      <c r="C26991">
        <f>ROMAN(26990)</f>
        <v/>
      </c>
      <c r="D26991">
        <f>IF(B26991=C26991, "YES", "WRONG")</f>
        <v/>
      </c>
    </row>
    <row r="26992">
      <c r="A26992" t="n">
        <v>26991</v>
      </c>
      <c r="B26992" t="inlineStr">
        <is>
          <t>x̄x̄V̅MCMXCI</t>
        </is>
      </c>
      <c r="C26992">
        <f>ROMAN(26991)</f>
        <v/>
      </c>
      <c r="D26992">
        <f>IF(B26992=C26992, "YES", "WRONG")</f>
        <v/>
      </c>
    </row>
    <row r="26993">
      <c r="A26993" t="n">
        <v>26992</v>
      </c>
      <c r="B26993" t="inlineStr">
        <is>
          <t>x̄x̄V̅MCMXCII</t>
        </is>
      </c>
      <c r="C26993">
        <f>ROMAN(26992)</f>
        <v/>
      </c>
      <c r="D26993">
        <f>IF(B26993=C26993, "YES", "WRONG")</f>
        <v/>
      </c>
    </row>
    <row r="26994">
      <c r="A26994" t="n">
        <v>26993</v>
      </c>
      <c r="B26994" t="inlineStr">
        <is>
          <t>x̄x̄V̅MCMXCIII</t>
        </is>
      </c>
      <c r="C26994">
        <f>ROMAN(26993)</f>
        <v/>
      </c>
      <c r="D26994">
        <f>IF(B26994=C26994, "YES", "WRONG")</f>
        <v/>
      </c>
    </row>
    <row r="26995">
      <c r="A26995" t="n">
        <v>26994</v>
      </c>
      <c r="B26995" t="inlineStr">
        <is>
          <t>x̄x̄V̅MCMXCIV</t>
        </is>
      </c>
      <c r="C26995">
        <f>ROMAN(26994)</f>
        <v/>
      </c>
      <c r="D26995">
        <f>IF(B26995=C26995, "YES", "WRONG")</f>
        <v/>
      </c>
    </row>
    <row r="26996">
      <c r="A26996" t="n">
        <v>26995</v>
      </c>
      <c r="B26996" t="inlineStr">
        <is>
          <t>x̄x̄V̅MCMXCV</t>
        </is>
      </c>
      <c r="C26996">
        <f>ROMAN(26995)</f>
        <v/>
      </c>
      <c r="D26996">
        <f>IF(B26996=C26996, "YES", "WRONG")</f>
        <v/>
      </c>
    </row>
    <row r="26997">
      <c r="A26997" t="n">
        <v>26996</v>
      </c>
      <c r="B26997" t="inlineStr">
        <is>
          <t>x̄x̄V̅MCMXCVI</t>
        </is>
      </c>
      <c r="C26997">
        <f>ROMAN(26996)</f>
        <v/>
      </c>
      <c r="D26997">
        <f>IF(B26997=C26997, "YES", "WRONG")</f>
        <v/>
      </c>
    </row>
    <row r="26998">
      <c r="A26998" t="n">
        <v>26997</v>
      </c>
      <c r="B26998" t="inlineStr">
        <is>
          <t>x̄x̄V̅MCMXCVII</t>
        </is>
      </c>
      <c r="C26998">
        <f>ROMAN(26997)</f>
        <v/>
      </c>
      <c r="D26998">
        <f>IF(B26998=C26998, "YES", "WRONG")</f>
        <v/>
      </c>
    </row>
    <row r="26999">
      <c r="A26999" t="n">
        <v>26998</v>
      </c>
      <c r="B26999" t="inlineStr">
        <is>
          <t>x̄x̄V̅MCMXCVIII</t>
        </is>
      </c>
      <c r="C26999">
        <f>ROMAN(26998)</f>
        <v/>
      </c>
      <c r="D26999">
        <f>IF(B26999=C26999, "YES", "WRONG")</f>
        <v/>
      </c>
    </row>
    <row r="27000">
      <c r="A27000" t="n">
        <v>26999</v>
      </c>
      <c r="B27000" t="inlineStr">
        <is>
          <t>x̄x̄V̅MCMXCIX</t>
        </is>
      </c>
      <c r="C27000">
        <f>ROMAN(26999)</f>
        <v/>
      </c>
      <c r="D27000">
        <f>IF(B27000=C27000, "YES", "WRONG")</f>
        <v/>
      </c>
    </row>
    <row r="27001">
      <c r="A27001" t="n">
        <v>27000</v>
      </c>
      <c r="B27001" t="inlineStr">
        <is>
          <t>x̄x̄V̅MM</t>
        </is>
      </c>
      <c r="C27001">
        <f>ROMAN(27000)</f>
        <v/>
      </c>
      <c r="D27001">
        <f>IF(B27001=C27001, "YES", "WRONG")</f>
        <v/>
      </c>
    </row>
    <row r="27002">
      <c r="A27002" t="n">
        <v>27001</v>
      </c>
      <c r="B27002" t="inlineStr">
        <is>
          <t>x̄x̄V̅MMI</t>
        </is>
      </c>
      <c r="C27002">
        <f>ROMAN(27001)</f>
        <v/>
      </c>
      <c r="D27002">
        <f>IF(B27002=C27002, "YES", "WRONG")</f>
        <v/>
      </c>
    </row>
    <row r="27003">
      <c r="A27003" t="n">
        <v>27002</v>
      </c>
      <c r="B27003" t="inlineStr">
        <is>
          <t>x̄x̄V̅MMII</t>
        </is>
      </c>
      <c r="C27003">
        <f>ROMAN(27002)</f>
        <v/>
      </c>
      <c r="D27003">
        <f>IF(B27003=C27003, "YES", "WRONG")</f>
        <v/>
      </c>
    </row>
    <row r="27004">
      <c r="A27004" t="n">
        <v>27003</v>
      </c>
      <c r="B27004" t="inlineStr">
        <is>
          <t>x̄x̄V̅MMIII</t>
        </is>
      </c>
      <c r="C27004">
        <f>ROMAN(27003)</f>
        <v/>
      </c>
      <c r="D27004">
        <f>IF(B27004=C27004, "YES", "WRONG")</f>
        <v/>
      </c>
    </row>
    <row r="27005">
      <c r="A27005" t="n">
        <v>27004</v>
      </c>
      <c r="B27005" t="inlineStr">
        <is>
          <t>x̄x̄V̅MMIV</t>
        </is>
      </c>
      <c r="C27005">
        <f>ROMAN(27004)</f>
        <v/>
      </c>
      <c r="D27005">
        <f>IF(B27005=C27005, "YES", "WRONG")</f>
        <v/>
      </c>
    </row>
    <row r="27006">
      <c r="A27006" t="n">
        <v>27005</v>
      </c>
      <c r="B27006" t="inlineStr">
        <is>
          <t>x̄x̄V̅MMV</t>
        </is>
      </c>
      <c r="C27006">
        <f>ROMAN(27005)</f>
        <v/>
      </c>
      <c r="D27006">
        <f>IF(B27006=C27006, "YES", "WRONG")</f>
        <v/>
      </c>
    </row>
    <row r="27007">
      <c r="A27007" t="n">
        <v>27006</v>
      </c>
      <c r="B27007" t="inlineStr">
        <is>
          <t>x̄x̄V̅MMVI</t>
        </is>
      </c>
      <c r="C27007">
        <f>ROMAN(27006)</f>
        <v/>
      </c>
      <c r="D27007">
        <f>IF(B27007=C27007, "YES", "WRONG")</f>
        <v/>
      </c>
    </row>
    <row r="27008">
      <c r="A27008" t="n">
        <v>27007</v>
      </c>
      <c r="B27008" t="inlineStr">
        <is>
          <t>x̄x̄V̅MMVII</t>
        </is>
      </c>
      <c r="C27008">
        <f>ROMAN(27007)</f>
        <v/>
      </c>
      <c r="D27008">
        <f>IF(B27008=C27008, "YES", "WRONG")</f>
        <v/>
      </c>
    </row>
    <row r="27009">
      <c r="A27009" t="n">
        <v>27008</v>
      </c>
      <c r="B27009" t="inlineStr">
        <is>
          <t>x̄x̄V̅MMVIII</t>
        </is>
      </c>
      <c r="C27009">
        <f>ROMAN(27008)</f>
        <v/>
      </c>
      <c r="D27009">
        <f>IF(B27009=C27009, "YES", "WRONG")</f>
        <v/>
      </c>
    </row>
    <row r="27010">
      <c r="A27010" t="n">
        <v>27009</v>
      </c>
      <c r="B27010" t="inlineStr">
        <is>
          <t>x̄x̄V̅MMIX</t>
        </is>
      </c>
      <c r="C27010">
        <f>ROMAN(27009)</f>
        <v/>
      </c>
      <c r="D27010">
        <f>IF(B27010=C27010, "YES", "WRONG")</f>
        <v/>
      </c>
    </row>
    <row r="27011">
      <c r="A27011" t="n">
        <v>27010</v>
      </c>
      <c r="B27011" t="inlineStr">
        <is>
          <t>x̄x̄V̅MMX</t>
        </is>
      </c>
      <c r="C27011">
        <f>ROMAN(27010)</f>
        <v/>
      </c>
      <c r="D27011">
        <f>IF(B27011=C27011, "YES", "WRONG")</f>
        <v/>
      </c>
    </row>
    <row r="27012">
      <c r="A27012" t="n">
        <v>27011</v>
      </c>
      <c r="B27012" t="inlineStr">
        <is>
          <t>x̄x̄V̅MMXI</t>
        </is>
      </c>
      <c r="C27012">
        <f>ROMAN(27011)</f>
        <v/>
      </c>
      <c r="D27012">
        <f>IF(B27012=C27012, "YES", "WRONG")</f>
        <v/>
      </c>
    </row>
    <row r="27013">
      <c r="A27013" t="n">
        <v>27012</v>
      </c>
      <c r="B27013" t="inlineStr">
        <is>
          <t>x̄x̄V̅MMXII</t>
        </is>
      </c>
      <c r="C27013">
        <f>ROMAN(27012)</f>
        <v/>
      </c>
      <c r="D27013">
        <f>IF(B27013=C27013, "YES", "WRONG")</f>
        <v/>
      </c>
    </row>
    <row r="27014">
      <c r="A27014" t="n">
        <v>27013</v>
      </c>
      <c r="B27014" t="inlineStr">
        <is>
          <t>x̄x̄V̅MMXIII</t>
        </is>
      </c>
      <c r="C27014">
        <f>ROMAN(27013)</f>
        <v/>
      </c>
      <c r="D27014">
        <f>IF(B27014=C27014, "YES", "WRONG")</f>
        <v/>
      </c>
    </row>
    <row r="27015">
      <c r="A27015" t="n">
        <v>27014</v>
      </c>
      <c r="B27015" t="inlineStr">
        <is>
          <t>x̄x̄V̅MMXIV</t>
        </is>
      </c>
      <c r="C27015">
        <f>ROMAN(27014)</f>
        <v/>
      </c>
      <c r="D27015">
        <f>IF(B27015=C27015, "YES", "WRONG")</f>
        <v/>
      </c>
    </row>
    <row r="27016">
      <c r="A27016" t="n">
        <v>27015</v>
      </c>
      <c r="B27016" t="inlineStr">
        <is>
          <t>x̄x̄V̅MMXV</t>
        </is>
      </c>
      <c r="C27016">
        <f>ROMAN(27015)</f>
        <v/>
      </c>
      <c r="D27016">
        <f>IF(B27016=C27016, "YES", "WRONG")</f>
        <v/>
      </c>
    </row>
    <row r="27017">
      <c r="A27017" t="n">
        <v>27016</v>
      </c>
      <c r="B27017" t="inlineStr">
        <is>
          <t>x̄x̄V̅MMXVI</t>
        </is>
      </c>
      <c r="C27017">
        <f>ROMAN(27016)</f>
        <v/>
      </c>
      <c r="D27017">
        <f>IF(B27017=C27017, "YES", "WRONG")</f>
        <v/>
      </c>
    </row>
    <row r="27018">
      <c r="A27018" t="n">
        <v>27017</v>
      </c>
      <c r="B27018" t="inlineStr">
        <is>
          <t>x̄x̄V̅MMXVII</t>
        </is>
      </c>
      <c r="C27018">
        <f>ROMAN(27017)</f>
        <v/>
      </c>
      <c r="D27018">
        <f>IF(B27018=C27018, "YES", "WRONG")</f>
        <v/>
      </c>
    </row>
    <row r="27019">
      <c r="A27019" t="n">
        <v>27018</v>
      </c>
      <c r="B27019" t="inlineStr">
        <is>
          <t>x̄x̄V̅MMXVIII</t>
        </is>
      </c>
      <c r="C27019">
        <f>ROMAN(27018)</f>
        <v/>
      </c>
      <c r="D27019">
        <f>IF(B27019=C27019, "YES", "WRONG")</f>
        <v/>
      </c>
    </row>
    <row r="27020">
      <c r="A27020" t="n">
        <v>27019</v>
      </c>
      <c r="B27020" t="inlineStr">
        <is>
          <t>x̄x̄V̅MMXIX</t>
        </is>
      </c>
      <c r="C27020">
        <f>ROMAN(27019)</f>
        <v/>
      </c>
      <c r="D27020">
        <f>IF(B27020=C27020, "YES", "WRONG")</f>
        <v/>
      </c>
    </row>
    <row r="27021">
      <c r="A27021" t="n">
        <v>27020</v>
      </c>
      <c r="B27021" t="inlineStr">
        <is>
          <t>x̄x̄V̅MMXX</t>
        </is>
      </c>
      <c r="C27021">
        <f>ROMAN(27020)</f>
        <v/>
      </c>
      <c r="D27021">
        <f>IF(B27021=C27021, "YES", "WRONG")</f>
        <v/>
      </c>
    </row>
    <row r="27022">
      <c r="A27022" t="n">
        <v>27021</v>
      </c>
      <c r="B27022" t="inlineStr">
        <is>
          <t>x̄x̄V̅MMXXI</t>
        </is>
      </c>
      <c r="C27022">
        <f>ROMAN(27021)</f>
        <v/>
      </c>
      <c r="D27022">
        <f>IF(B27022=C27022, "YES", "WRONG")</f>
        <v/>
      </c>
    </row>
    <row r="27023">
      <c r="A27023" t="n">
        <v>27022</v>
      </c>
      <c r="B27023" t="inlineStr">
        <is>
          <t>x̄x̄V̅MMXXII</t>
        </is>
      </c>
      <c r="C27023">
        <f>ROMAN(27022)</f>
        <v/>
      </c>
      <c r="D27023">
        <f>IF(B27023=C27023, "YES", "WRONG")</f>
        <v/>
      </c>
    </row>
    <row r="27024">
      <c r="A27024" t="n">
        <v>27023</v>
      </c>
      <c r="B27024" t="inlineStr">
        <is>
          <t>x̄x̄V̅MMXXIII</t>
        </is>
      </c>
      <c r="C27024">
        <f>ROMAN(27023)</f>
        <v/>
      </c>
      <c r="D27024">
        <f>IF(B27024=C27024, "YES", "WRONG")</f>
        <v/>
      </c>
    </row>
    <row r="27025">
      <c r="A27025" t="n">
        <v>27024</v>
      </c>
      <c r="B27025" t="inlineStr">
        <is>
          <t>x̄x̄V̅MMXXIV</t>
        </is>
      </c>
      <c r="C27025">
        <f>ROMAN(27024)</f>
        <v/>
      </c>
      <c r="D27025">
        <f>IF(B27025=C27025, "YES", "WRONG")</f>
        <v/>
      </c>
    </row>
    <row r="27026">
      <c r="A27026" t="n">
        <v>27025</v>
      </c>
      <c r="B27026" t="inlineStr">
        <is>
          <t>x̄x̄V̅MMXXV</t>
        </is>
      </c>
      <c r="C27026">
        <f>ROMAN(27025)</f>
        <v/>
      </c>
      <c r="D27026">
        <f>IF(B27026=C27026, "YES", "WRONG")</f>
        <v/>
      </c>
    </row>
    <row r="27027">
      <c r="A27027" t="n">
        <v>27026</v>
      </c>
      <c r="B27027" t="inlineStr">
        <is>
          <t>x̄x̄V̅MMXXVI</t>
        </is>
      </c>
      <c r="C27027">
        <f>ROMAN(27026)</f>
        <v/>
      </c>
      <c r="D27027">
        <f>IF(B27027=C27027, "YES", "WRONG")</f>
        <v/>
      </c>
    </row>
    <row r="27028">
      <c r="A27028" t="n">
        <v>27027</v>
      </c>
      <c r="B27028" t="inlineStr">
        <is>
          <t>x̄x̄V̅MMXXVII</t>
        </is>
      </c>
      <c r="C27028">
        <f>ROMAN(27027)</f>
        <v/>
      </c>
      <c r="D27028">
        <f>IF(B27028=C27028, "YES", "WRONG")</f>
        <v/>
      </c>
    </row>
    <row r="27029">
      <c r="A27029" t="n">
        <v>27028</v>
      </c>
      <c r="B27029" t="inlineStr">
        <is>
          <t>x̄x̄V̅MMXXVIII</t>
        </is>
      </c>
      <c r="C27029">
        <f>ROMAN(27028)</f>
        <v/>
      </c>
      <c r="D27029">
        <f>IF(B27029=C27029, "YES", "WRONG")</f>
        <v/>
      </c>
    </row>
    <row r="27030">
      <c r="A27030" t="n">
        <v>27029</v>
      </c>
      <c r="B27030" t="inlineStr">
        <is>
          <t>x̄x̄V̅MMXXIX</t>
        </is>
      </c>
      <c r="C27030">
        <f>ROMAN(27029)</f>
        <v/>
      </c>
      <c r="D27030">
        <f>IF(B27030=C27030, "YES", "WRONG")</f>
        <v/>
      </c>
    </row>
    <row r="27031">
      <c r="A27031" t="n">
        <v>27030</v>
      </c>
      <c r="B27031" t="inlineStr">
        <is>
          <t>x̄x̄V̅MMXXX</t>
        </is>
      </c>
      <c r="C27031">
        <f>ROMAN(27030)</f>
        <v/>
      </c>
      <c r="D27031">
        <f>IF(B27031=C27031, "YES", "WRONG")</f>
        <v/>
      </c>
    </row>
    <row r="27032">
      <c r="A27032" t="n">
        <v>27031</v>
      </c>
      <c r="B27032" t="inlineStr">
        <is>
          <t>x̄x̄V̅MMXXXI</t>
        </is>
      </c>
      <c r="C27032">
        <f>ROMAN(27031)</f>
        <v/>
      </c>
      <c r="D27032">
        <f>IF(B27032=C27032, "YES", "WRONG")</f>
        <v/>
      </c>
    </row>
    <row r="27033">
      <c r="A27033" t="n">
        <v>27032</v>
      </c>
      <c r="B27033" t="inlineStr">
        <is>
          <t>x̄x̄V̅MMXXXII</t>
        </is>
      </c>
      <c r="C27033">
        <f>ROMAN(27032)</f>
        <v/>
      </c>
      <c r="D27033">
        <f>IF(B27033=C27033, "YES", "WRONG")</f>
        <v/>
      </c>
    </row>
    <row r="27034">
      <c r="A27034" t="n">
        <v>27033</v>
      </c>
      <c r="B27034" t="inlineStr">
        <is>
          <t>x̄x̄V̅MMXXXIII</t>
        </is>
      </c>
      <c r="C27034">
        <f>ROMAN(27033)</f>
        <v/>
      </c>
      <c r="D27034">
        <f>IF(B27034=C27034, "YES", "WRONG")</f>
        <v/>
      </c>
    </row>
    <row r="27035">
      <c r="A27035" t="n">
        <v>27034</v>
      </c>
      <c r="B27035" t="inlineStr">
        <is>
          <t>x̄x̄V̅MMXXXIV</t>
        </is>
      </c>
      <c r="C27035">
        <f>ROMAN(27034)</f>
        <v/>
      </c>
      <c r="D27035">
        <f>IF(B27035=C27035, "YES", "WRONG")</f>
        <v/>
      </c>
    </row>
    <row r="27036">
      <c r="A27036" t="n">
        <v>27035</v>
      </c>
      <c r="B27036" t="inlineStr">
        <is>
          <t>x̄x̄V̅MMXXXV</t>
        </is>
      </c>
      <c r="C27036">
        <f>ROMAN(27035)</f>
        <v/>
      </c>
      <c r="D27036">
        <f>IF(B27036=C27036, "YES", "WRONG")</f>
        <v/>
      </c>
    </row>
    <row r="27037">
      <c r="A27037" t="n">
        <v>27036</v>
      </c>
      <c r="B27037" t="inlineStr">
        <is>
          <t>x̄x̄V̅MMXXXVI</t>
        </is>
      </c>
      <c r="C27037">
        <f>ROMAN(27036)</f>
        <v/>
      </c>
      <c r="D27037">
        <f>IF(B27037=C27037, "YES", "WRONG")</f>
        <v/>
      </c>
    </row>
    <row r="27038">
      <c r="A27038" t="n">
        <v>27037</v>
      </c>
      <c r="B27038" t="inlineStr">
        <is>
          <t>x̄x̄V̅MMXXXVII</t>
        </is>
      </c>
      <c r="C27038">
        <f>ROMAN(27037)</f>
        <v/>
      </c>
      <c r="D27038">
        <f>IF(B27038=C27038, "YES", "WRONG")</f>
        <v/>
      </c>
    </row>
    <row r="27039">
      <c r="A27039" t="n">
        <v>27038</v>
      </c>
      <c r="B27039" t="inlineStr">
        <is>
          <t>x̄x̄V̅MMXXXVIII</t>
        </is>
      </c>
      <c r="C27039">
        <f>ROMAN(27038)</f>
        <v/>
      </c>
      <c r="D27039">
        <f>IF(B27039=C27039, "YES", "WRONG")</f>
        <v/>
      </c>
    </row>
    <row r="27040">
      <c r="A27040" t="n">
        <v>27039</v>
      </c>
      <c r="B27040" t="inlineStr">
        <is>
          <t>x̄x̄V̅MMXXXIX</t>
        </is>
      </c>
      <c r="C27040">
        <f>ROMAN(27039)</f>
        <v/>
      </c>
      <c r="D27040">
        <f>IF(B27040=C27040, "YES", "WRONG")</f>
        <v/>
      </c>
    </row>
    <row r="27041">
      <c r="A27041" t="n">
        <v>27040</v>
      </c>
      <c r="B27041" t="inlineStr">
        <is>
          <t>x̄x̄V̅MMXL</t>
        </is>
      </c>
      <c r="C27041">
        <f>ROMAN(27040)</f>
        <v/>
      </c>
      <c r="D27041">
        <f>IF(B27041=C27041, "YES", "WRONG")</f>
        <v/>
      </c>
    </row>
    <row r="27042">
      <c r="A27042" t="n">
        <v>27041</v>
      </c>
      <c r="B27042" t="inlineStr">
        <is>
          <t>x̄x̄V̅MMXLI</t>
        </is>
      </c>
      <c r="C27042">
        <f>ROMAN(27041)</f>
        <v/>
      </c>
      <c r="D27042">
        <f>IF(B27042=C27042, "YES", "WRONG")</f>
        <v/>
      </c>
    </row>
    <row r="27043">
      <c r="A27043" t="n">
        <v>27042</v>
      </c>
      <c r="B27043" t="inlineStr">
        <is>
          <t>x̄x̄V̅MMXLII</t>
        </is>
      </c>
      <c r="C27043">
        <f>ROMAN(27042)</f>
        <v/>
      </c>
      <c r="D27043">
        <f>IF(B27043=C27043, "YES", "WRONG")</f>
        <v/>
      </c>
    </row>
    <row r="27044">
      <c r="A27044" t="n">
        <v>27043</v>
      </c>
      <c r="B27044" t="inlineStr">
        <is>
          <t>x̄x̄V̅MMXLIII</t>
        </is>
      </c>
      <c r="C27044">
        <f>ROMAN(27043)</f>
        <v/>
      </c>
      <c r="D27044">
        <f>IF(B27044=C27044, "YES", "WRONG")</f>
        <v/>
      </c>
    </row>
    <row r="27045">
      <c r="A27045" t="n">
        <v>27044</v>
      </c>
      <c r="B27045" t="inlineStr">
        <is>
          <t>x̄x̄V̅MMXLIV</t>
        </is>
      </c>
      <c r="C27045">
        <f>ROMAN(27044)</f>
        <v/>
      </c>
      <c r="D27045">
        <f>IF(B27045=C27045, "YES", "WRONG")</f>
        <v/>
      </c>
    </row>
    <row r="27046">
      <c r="A27046" t="n">
        <v>27045</v>
      </c>
      <c r="B27046" t="inlineStr">
        <is>
          <t>x̄x̄V̅MMXLV</t>
        </is>
      </c>
      <c r="C27046">
        <f>ROMAN(27045)</f>
        <v/>
      </c>
      <c r="D27046">
        <f>IF(B27046=C27046, "YES", "WRONG")</f>
        <v/>
      </c>
    </row>
    <row r="27047">
      <c r="A27047" t="n">
        <v>27046</v>
      </c>
      <c r="B27047" t="inlineStr">
        <is>
          <t>x̄x̄V̅MMXLVI</t>
        </is>
      </c>
      <c r="C27047">
        <f>ROMAN(27046)</f>
        <v/>
      </c>
      <c r="D27047">
        <f>IF(B27047=C27047, "YES", "WRONG")</f>
        <v/>
      </c>
    </row>
    <row r="27048">
      <c r="A27048" t="n">
        <v>27047</v>
      </c>
      <c r="B27048" t="inlineStr">
        <is>
          <t>x̄x̄V̅MMXLVII</t>
        </is>
      </c>
      <c r="C27048">
        <f>ROMAN(27047)</f>
        <v/>
      </c>
      <c r="D27048">
        <f>IF(B27048=C27048, "YES", "WRONG")</f>
        <v/>
      </c>
    </row>
    <row r="27049">
      <c r="A27049" t="n">
        <v>27048</v>
      </c>
      <c r="B27049" t="inlineStr">
        <is>
          <t>x̄x̄V̅MMXLVIII</t>
        </is>
      </c>
      <c r="C27049">
        <f>ROMAN(27048)</f>
        <v/>
      </c>
      <c r="D27049">
        <f>IF(B27049=C27049, "YES", "WRONG")</f>
        <v/>
      </c>
    </row>
    <row r="27050">
      <c r="A27050" t="n">
        <v>27049</v>
      </c>
      <c r="B27050" t="inlineStr">
        <is>
          <t>x̄x̄V̅MMXLIX</t>
        </is>
      </c>
      <c r="C27050">
        <f>ROMAN(27049)</f>
        <v/>
      </c>
      <c r="D27050">
        <f>IF(B27050=C27050, "YES", "WRONG")</f>
        <v/>
      </c>
    </row>
    <row r="27051">
      <c r="A27051" t="n">
        <v>27050</v>
      </c>
      <c r="B27051" t="inlineStr">
        <is>
          <t>x̄x̄V̅MML</t>
        </is>
      </c>
      <c r="C27051">
        <f>ROMAN(27050)</f>
        <v/>
      </c>
      <c r="D27051">
        <f>IF(B27051=C27051, "YES", "WRONG")</f>
        <v/>
      </c>
    </row>
    <row r="27052">
      <c r="A27052" t="n">
        <v>27051</v>
      </c>
      <c r="B27052" t="inlineStr">
        <is>
          <t>x̄x̄V̅MMLI</t>
        </is>
      </c>
      <c r="C27052">
        <f>ROMAN(27051)</f>
        <v/>
      </c>
      <c r="D27052">
        <f>IF(B27052=C27052, "YES", "WRONG")</f>
        <v/>
      </c>
    </row>
    <row r="27053">
      <c r="A27053" t="n">
        <v>27052</v>
      </c>
      <c r="B27053" t="inlineStr">
        <is>
          <t>x̄x̄V̅MMLII</t>
        </is>
      </c>
      <c r="C27053">
        <f>ROMAN(27052)</f>
        <v/>
      </c>
      <c r="D27053">
        <f>IF(B27053=C27053, "YES", "WRONG")</f>
        <v/>
      </c>
    </row>
    <row r="27054">
      <c r="A27054" t="n">
        <v>27053</v>
      </c>
      <c r="B27054" t="inlineStr">
        <is>
          <t>x̄x̄V̅MMLIII</t>
        </is>
      </c>
      <c r="C27054">
        <f>ROMAN(27053)</f>
        <v/>
      </c>
      <c r="D27054">
        <f>IF(B27054=C27054, "YES", "WRONG")</f>
        <v/>
      </c>
    </row>
    <row r="27055">
      <c r="A27055" t="n">
        <v>27054</v>
      </c>
      <c r="B27055" t="inlineStr">
        <is>
          <t>x̄x̄V̅MMLIV</t>
        </is>
      </c>
      <c r="C27055">
        <f>ROMAN(27054)</f>
        <v/>
      </c>
      <c r="D27055">
        <f>IF(B27055=C27055, "YES", "WRONG")</f>
        <v/>
      </c>
    </row>
    <row r="27056">
      <c r="A27056" t="n">
        <v>27055</v>
      </c>
      <c r="B27056" t="inlineStr">
        <is>
          <t>x̄x̄V̅MMLV</t>
        </is>
      </c>
      <c r="C27056">
        <f>ROMAN(27055)</f>
        <v/>
      </c>
      <c r="D27056">
        <f>IF(B27056=C27056, "YES", "WRONG")</f>
        <v/>
      </c>
    </row>
    <row r="27057">
      <c r="A27057" t="n">
        <v>27056</v>
      </c>
      <c r="B27057" t="inlineStr">
        <is>
          <t>x̄x̄V̅MMLVI</t>
        </is>
      </c>
      <c r="C27057">
        <f>ROMAN(27056)</f>
        <v/>
      </c>
      <c r="D27057">
        <f>IF(B27057=C27057, "YES", "WRONG")</f>
        <v/>
      </c>
    </row>
    <row r="27058">
      <c r="A27058" t="n">
        <v>27057</v>
      </c>
      <c r="B27058" t="inlineStr">
        <is>
          <t>x̄x̄V̅MMLVII</t>
        </is>
      </c>
      <c r="C27058">
        <f>ROMAN(27057)</f>
        <v/>
      </c>
      <c r="D27058">
        <f>IF(B27058=C27058, "YES", "WRONG")</f>
        <v/>
      </c>
    </row>
    <row r="27059">
      <c r="A27059" t="n">
        <v>27058</v>
      </c>
      <c r="B27059" t="inlineStr">
        <is>
          <t>x̄x̄V̅MMLVIII</t>
        </is>
      </c>
      <c r="C27059">
        <f>ROMAN(27058)</f>
        <v/>
      </c>
      <c r="D27059">
        <f>IF(B27059=C27059, "YES", "WRONG")</f>
        <v/>
      </c>
    </row>
    <row r="27060">
      <c r="A27060" t="n">
        <v>27059</v>
      </c>
      <c r="B27060" t="inlineStr">
        <is>
          <t>x̄x̄V̅MMLIX</t>
        </is>
      </c>
      <c r="C27060">
        <f>ROMAN(27059)</f>
        <v/>
      </c>
      <c r="D27060">
        <f>IF(B27060=C27060, "YES", "WRONG")</f>
        <v/>
      </c>
    </row>
    <row r="27061">
      <c r="A27061" t="n">
        <v>27060</v>
      </c>
      <c r="B27061" t="inlineStr">
        <is>
          <t>x̄x̄V̅MMLX</t>
        </is>
      </c>
      <c r="C27061">
        <f>ROMAN(27060)</f>
        <v/>
      </c>
      <c r="D27061">
        <f>IF(B27061=C27061, "YES", "WRONG")</f>
        <v/>
      </c>
    </row>
    <row r="27062">
      <c r="A27062" t="n">
        <v>27061</v>
      </c>
      <c r="B27062" t="inlineStr">
        <is>
          <t>x̄x̄V̅MMLXI</t>
        </is>
      </c>
      <c r="C27062">
        <f>ROMAN(27061)</f>
        <v/>
      </c>
      <c r="D27062">
        <f>IF(B27062=C27062, "YES", "WRONG")</f>
        <v/>
      </c>
    </row>
    <row r="27063">
      <c r="A27063" t="n">
        <v>27062</v>
      </c>
      <c r="B27063" t="inlineStr">
        <is>
          <t>x̄x̄V̅MMLXII</t>
        </is>
      </c>
      <c r="C27063">
        <f>ROMAN(27062)</f>
        <v/>
      </c>
      <c r="D27063">
        <f>IF(B27063=C27063, "YES", "WRONG")</f>
        <v/>
      </c>
    </row>
    <row r="27064">
      <c r="A27064" t="n">
        <v>27063</v>
      </c>
      <c r="B27064" t="inlineStr">
        <is>
          <t>x̄x̄V̅MMLXIII</t>
        </is>
      </c>
      <c r="C27064">
        <f>ROMAN(27063)</f>
        <v/>
      </c>
      <c r="D27064">
        <f>IF(B27064=C27064, "YES", "WRONG")</f>
        <v/>
      </c>
    </row>
    <row r="27065">
      <c r="A27065" t="n">
        <v>27064</v>
      </c>
      <c r="B27065" t="inlineStr">
        <is>
          <t>x̄x̄V̅MMLXIV</t>
        </is>
      </c>
      <c r="C27065">
        <f>ROMAN(27064)</f>
        <v/>
      </c>
      <c r="D27065">
        <f>IF(B27065=C27065, "YES", "WRONG")</f>
        <v/>
      </c>
    </row>
    <row r="27066">
      <c r="A27066" t="n">
        <v>27065</v>
      </c>
      <c r="B27066" t="inlineStr">
        <is>
          <t>x̄x̄V̅MMLXV</t>
        </is>
      </c>
      <c r="C27066">
        <f>ROMAN(27065)</f>
        <v/>
      </c>
      <c r="D27066">
        <f>IF(B27066=C27066, "YES", "WRONG")</f>
        <v/>
      </c>
    </row>
    <row r="27067">
      <c r="A27067" t="n">
        <v>27066</v>
      </c>
      <c r="B27067" t="inlineStr">
        <is>
          <t>x̄x̄V̅MMLXVI</t>
        </is>
      </c>
      <c r="C27067">
        <f>ROMAN(27066)</f>
        <v/>
      </c>
      <c r="D27067">
        <f>IF(B27067=C27067, "YES", "WRONG")</f>
        <v/>
      </c>
    </row>
    <row r="27068">
      <c r="A27068" t="n">
        <v>27067</v>
      </c>
      <c r="B27068" t="inlineStr">
        <is>
          <t>x̄x̄V̅MMLXVII</t>
        </is>
      </c>
      <c r="C27068">
        <f>ROMAN(27067)</f>
        <v/>
      </c>
      <c r="D27068">
        <f>IF(B27068=C27068, "YES", "WRONG")</f>
        <v/>
      </c>
    </row>
    <row r="27069">
      <c r="A27069" t="n">
        <v>27068</v>
      </c>
      <c r="B27069" t="inlineStr">
        <is>
          <t>x̄x̄V̅MMLXVIII</t>
        </is>
      </c>
      <c r="C27069">
        <f>ROMAN(27068)</f>
        <v/>
      </c>
      <c r="D27069">
        <f>IF(B27069=C27069, "YES", "WRONG")</f>
        <v/>
      </c>
    </row>
    <row r="27070">
      <c r="A27070" t="n">
        <v>27069</v>
      </c>
      <c r="B27070" t="inlineStr">
        <is>
          <t>x̄x̄V̅MMLXIX</t>
        </is>
      </c>
      <c r="C27070">
        <f>ROMAN(27069)</f>
        <v/>
      </c>
      <c r="D27070">
        <f>IF(B27070=C27070, "YES", "WRONG")</f>
        <v/>
      </c>
    </row>
    <row r="27071">
      <c r="A27071" t="n">
        <v>27070</v>
      </c>
      <c r="B27071" t="inlineStr">
        <is>
          <t>x̄x̄V̅MMLXX</t>
        </is>
      </c>
      <c r="C27071">
        <f>ROMAN(27070)</f>
        <v/>
      </c>
      <c r="D27071">
        <f>IF(B27071=C27071, "YES", "WRONG")</f>
        <v/>
      </c>
    </row>
    <row r="27072">
      <c r="A27072" t="n">
        <v>27071</v>
      </c>
      <c r="B27072" t="inlineStr">
        <is>
          <t>x̄x̄V̅MMLXXI</t>
        </is>
      </c>
      <c r="C27072">
        <f>ROMAN(27071)</f>
        <v/>
      </c>
      <c r="D27072">
        <f>IF(B27072=C27072, "YES", "WRONG")</f>
        <v/>
      </c>
    </row>
    <row r="27073">
      <c r="A27073" t="n">
        <v>27072</v>
      </c>
      <c r="B27073" t="inlineStr">
        <is>
          <t>x̄x̄V̅MMLXXII</t>
        </is>
      </c>
      <c r="C27073">
        <f>ROMAN(27072)</f>
        <v/>
      </c>
      <c r="D27073">
        <f>IF(B27073=C27073, "YES", "WRONG")</f>
        <v/>
      </c>
    </row>
    <row r="27074">
      <c r="A27074" t="n">
        <v>27073</v>
      </c>
      <c r="B27074" t="inlineStr">
        <is>
          <t>x̄x̄V̅MMLXXIII</t>
        </is>
      </c>
      <c r="C27074">
        <f>ROMAN(27073)</f>
        <v/>
      </c>
      <c r="D27074">
        <f>IF(B27074=C27074, "YES", "WRONG")</f>
        <v/>
      </c>
    </row>
    <row r="27075">
      <c r="A27075" t="n">
        <v>27074</v>
      </c>
      <c r="B27075" t="inlineStr">
        <is>
          <t>x̄x̄V̅MMLXXIV</t>
        </is>
      </c>
      <c r="C27075">
        <f>ROMAN(27074)</f>
        <v/>
      </c>
      <c r="D27075">
        <f>IF(B27075=C27075, "YES", "WRONG")</f>
        <v/>
      </c>
    </row>
    <row r="27076">
      <c r="A27076" t="n">
        <v>27075</v>
      </c>
      <c r="B27076" t="inlineStr">
        <is>
          <t>x̄x̄V̅MMLXXV</t>
        </is>
      </c>
      <c r="C27076">
        <f>ROMAN(27075)</f>
        <v/>
      </c>
      <c r="D27076">
        <f>IF(B27076=C27076, "YES", "WRONG")</f>
        <v/>
      </c>
    </row>
    <row r="27077">
      <c r="A27077" t="n">
        <v>27076</v>
      </c>
      <c r="B27077" t="inlineStr">
        <is>
          <t>x̄x̄V̅MMLXXVI</t>
        </is>
      </c>
      <c r="C27077">
        <f>ROMAN(27076)</f>
        <v/>
      </c>
      <c r="D27077">
        <f>IF(B27077=C27077, "YES", "WRONG")</f>
        <v/>
      </c>
    </row>
    <row r="27078">
      <c r="A27078" t="n">
        <v>27077</v>
      </c>
      <c r="B27078" t="inlineStr">
        <is>
          <t>x̄x̄V̅MMLXXVII</t>
        </is>
      </c>
      <c r="C27078">
        <f>ROMAN(27077)</f>
        <v/>
      </c>
      <c r="D27078">
        <f>IF(B27078=C27078, "YES", "WRONG")</f>
        <v/>
      </c>
    </row>
    <row r="27079">
      <c r="A27079" t="n">
        <v>27078</v>
      </c>
      <c r="B27079" t="inlineStr">
        <is>
          <t>x̄x̄V̅MMLXXVIII</t>
        </is>
      </c>
      <c r="C27079">
        <f>ROMAN(27078)</f>
        <v/>
      </c>
      <c r="D27079">
        <f>IF(B27079=C27079, "YES", "WRONG")</f>
        <v/>
      </c>
    </row>
    <row r="27080">
      <c r="A27080" t="n">
        <v>27079</v>
      </c>
      <c r="B27080" t="inlineStr">
        <is>
          <t>x̄x̄V̅MMLXXIX</t>
        </is>
      </c>
      <c r="C27080">
        <f>ROMAN(27079)</f>
        <v/>
      </c>
      <c r="D27080">
        <f>IF(B27080=C27080, "YES", "WRONG")</f>
        <v/>
      </c>
    </row>
    <row r="27081">
      <c r="A27081" t="n">
        <v>27080</v>
      </c>
      <c r="B27081" t="inlineStr">
        <is>
          <t>x̄x̄V̅MMLXXX</t>
        </is>
      </c>
      <c r="C27081">
        <f>ROMAN(27080)</f>
        <v/>
      </c>
      <c r="D27081">
        <f>IF(B27081=C27081, "YES", "WRONG")</f>
        <v/>
      </c>
    </row>
    <row r="27082">
      <c r="A27082" t="n">
        <v>27081</v>
      </c>
      <c r="B27082" t="inlineStr">
        <is>
          <t>x̄x̄V̅MMLXXXI</t>
        </is>
      </c>
      <c r="C27082">
        <f>ROMAN(27081)</f>
        <v/>
      </c>
      <c r="D27082">
        <f>IF(B27082=C27082, "YES", "WRONG")</f>
        <v/>
      </c>
    </row>
    <row r="27083">
      <c r="A27083" t="n">
        <v>27082</v>
      </c>
      <c r="B27083" t="inlineStr">
        <is>
          <t>x̄x̄V̅MMLXXXII</t>
        </is>
      </c>
      <c r="C27083">
        <f>ROMAN(27082)</f>
        <v/>
      </c>
      <c r="D27083">
        <f>IF(B27083=C27083, "YES", "WRONG")</f>
        <v/>
      </c>
    </row>
    <row r="27084">
      <c r="A27084" t="n">
        <v>27083</v>
      </c>
      <c r="B27084" t="inlineStr">
        <is>
          <t>x̄x̄V̅MMLXXXIII</t>
        </is>
      </c>
      <c r="C27084">
        <f>ROMAN(27083)</f>
        <v/>
      </c>
      <c r="D27084">
        <f>IF(B27084=C27084, "YES", "WRONG")</f>
        <v/>
      </c>
    </row>
    <row r="27085">
      <c r="A27085" t="n">
        <v>27084</v>
      </c>
      <c r="B27085" t="inlineStr">
        <is>
          <t>x̄x̄V̅MMLXXXIV</t>
        </is>
      </c>
      <c r="C27085">
        <f>ROMAN(27084)</f>
        <v/>
      </c>
      <c r="D27085">
        <f>IF(B27085=C27085, "YES", "WRONG")</f>
        <v/>
      </c>
    </row>
    <row r="27086">
      <c r="A27086" t="n">
        <v>27085</v>
      </c>
      <c r="B27086" t="inlineStr">
        <is>
          <t>x̄x̄V̅MMLXXXV</t>
        </is>
      </c>
      <c r="C27086">
        <f>ROMAN(27085)</f>
        <v/>
      </c>
      <c r="D27086">
        <f>IF(B27086=C27086, "YES", "WRONG")</f>
        <v/>
      </c>
    </row>
    <row r="27087">
      <c r="A27087" t="n">
        <v>27086</v>
      </c>
      <c r="B27087" t="inlineStr">
        <is>
          <t>x̄x̄V̅MMLXXXVI</t>
        </is>
      </c>
      <c r="C27087">
        <f>ROMAN(27086)</f>
        <v/>
      </c>
      <c r="D27087">
        <f>IF(B27087=C27087, "YES", "WRONG")</f>
        <v/>
      </c>
    </row>
    <row r="27088">
      <c r="A27088" t="n">
        <v>27087</v>
      </c>
      <c r="B27088" t="inlineStr">
        <is>
          <t>x̄x̄V̅MMLXXXVII</t>
        </is>
      </c>
      <c r="C27088">
        <f>ROMAN(27087)</f>
        <v/>
      </c>
      <c r="D27088">
        <f>IF(B27088=C27088, "YES", "WRONG")</f>
        <v/>
      </c>
    </row>
    <row r="27089">
      <c r="A27089" t="n">
        <v>27088</v>
      </c>
      <c r="B27089" t="inlineStr">
        <is>
          <t>x̄x̄V̅MMLXXXVIII</t>
        </is>
      </c>
      <c r="C27089">
        <f>ROMAN(27088)</f>
        <v/>
      </c>
      <c r="D27089">
        <f>IF(B27089=C27089, "YES", "WRONG")</f>
        <v/>
      </c>
    </row>
    <row r="27090">
      <c r="A27090" t="n">
        <v>27089</v>
      </c>
      <c r="B27090" t="inlineStr">
        <is>
          <t>x̄x̄V̅MMLXXXIX</t>
        </is>
      </c>
      <c r="C27090">
        <f>ROMAN(27089)</f>
        <v/>
      </c>
      <c r="D27090">
        <f>IF(B27090=C27090, "YES", "WRONG")</f>
        <v/>
      </c>
    </row>
    <row r="27091">
      <c r="A27091" t="n">
        <v>27090</v>
      </c>
      <c r="B27091" t="inlineStr">
        <is>
          <t>x̄x̄V̅MMXC</t>
        </is>
      </c>
      <c r="C27091">
        <f>ROMAN(27090)</f>
        <v/>
      </c>
      <c r="D27091">
        <f>IF(B27091=C27091, "YES", "WRONG")</f>
        <v/>
      </c>
    </row>
    <row r="27092">
      <c r="A27092" t="n">
        <v>27091</v>
      </c>
      <c r="B27092" t="inlineStr">
        <is>
          <t>x̄x̄V̅MMXCI</t>
        </is>
      </c>
      <c r="C27092">
        <f>ROMAN(27091)</f>
        <v/>
      </c>
      <c r="D27092">
        <f>IF(B27092=C27092, "YES", "WRONG")</f>
        <v/>
      </c>
    </row>
    <row r="27093">
      <c r="A27093" t="n">
        <v>27092</v>
      </c>
      <c r="B27093" t="inlineStr">
        <is>
          <t>x̄x̄V̅MMXCII</t>
        </is>
      </c>
      <c r="C27093">
        <f>ROMAN(27092)</f>
        <v/>
      </c>
      <c r="D27093">
        <f>IF(B27093=C27093, "YES", "WRONG")</f>
        <v/>
      </c>
    </row>
    <row r="27094">
      <c r="A27094" t="n">
        <v>27093</v>
      </c>
      <c r="B27094" t="inlineStr">
        <is>
          <t>x̄x̄V̅MMXCIII</t>
        </is>
      </c>
      <c r="C27094">
        <f>ROMAN(27093)</f>
        <v/>
      </c>
      <c r="D27094">
        <f>IF(B27094=C27094, "YES", "WRONG")</f>
        <v/>
      </c>
    </row>
    <row r="27095">
      <c r="A27095" t="n">
        <v>27094</v>
      </c>
      <c r="B27095" t="inlineStr">
        <is>
          <t>x̄x̄V̅MMXCIV</t>
        </is>
      </c>
      <c r="C27095">
        <f>ROMAN(27094)</f>
        <v/>
      </c>
      <c r="D27095">
        <f>IF(B27095=C27095, "YES", "WRONG")</f>
        <v/>
      </c>
    </row>
    <row r="27096">
      <c r="A27096" t="n">
        <v>27095</v>
      </c>
      <c r="B27096" t="inlineStr">
        <is>
          <t>x̄x̄V̅MMXCV</t>
        </is>
      </c>
      <c r="C27096">
        <f>ROMAN(27095)</f>
        <v/>
      </c>
      <c r="D27096">
        <f>IF(B27096=C27096, "YES", "WRONG")</f>
        <v/>
      </c>
    </row>
    <row r="27097">
      <c r="A27097" t="n">
        <v>27096</v>
      </c>
      <c r="B27097" t="inlineStr">
        <is>
          <t>x̄x̄V̅MMXCVI</t>
        </is>
      </c>
      <c r="C27097">
        <f>ROMAN(27096)</f>
        <v/>
      </c>
      <c r="D27097">
        <f>IF(B27097=C27097, "YES", "WRONG")</f>
        <v/>
      </c>
    </row>
    <row r="27098">
      <c r="A27098" t="n">
        <v>27097</v>
      </c>
      <c r="B27098" t="inlineStr">
        <is>
          <t>x̄x̄V̅MMXCVII</t>
        </is>
      </c>
      <c r="C27098">
        <f>ROMAN(27097)</f>
        <v/>
      </c>
      <c r="D27098">
        <f>IF(B27098=C27098, "YES", "WRONG")</f>
        <v/>
      </c>
    </row>
    <row r="27099">
      <c r="A27099" t="n">
        <v>27098</v>
      </c>
      <c r="B27099" t="inlineStr">
        <is>
          <t>x̄x̄V̅MMXCVIII</t>
        </is>
      </c>
      <c r="C27099">
        <f>ROMAN(27098)</f>
        <v/>
      </c>
      <c r="D27099">
        <f>IF(B27099=C27099, "YES", "WRONG")</f>
        <v/>
      </c>
    </row>
    <row r="27100">
      <c r="A27100" t="n">
        <v>27099</v>
      </c>
      <c r="B27100" t="inlineStr">
        <is>
          <t>x̄x̄V̅MMXCIX</t>
        </is>
      </c>
      <c r="C27100">
        <f>ROMAN(27099)</f>
        <v/>
      </c>
      <c r="D27100">
        <f>IF(B27100=C27100, "YES", "WRONG")</f>
        <v/>
      </c>
    </row>
    <row r="27101">
      <c r="A27101" t="n">
        <v>27100</v>
      </c>
      <c r="B27101" t="inlineStr">
        <is>
          <t>x̄x̄V̅MMC</t>
        </is>
      </c>
      <c r="C27101">
        <f>ROMAN(27100)</f>
        <v/>
      </c>
      <c r="D27101">
        <f>IF(B27101=C27101, "YES", "WRONG")</f>
        <v/>
      </c>
    </row>
    <row r="27102">
      <c r="A27102" t="n">
        <v>27101</v>
      </c>
      <c r="B27102" t="inlineStr">
        <is>
          <t>x̄x̄V̅MMCI</t>
        </is>
      </c>
      <c r="C27102">
        <f>ROMAN(27101)</f>
        <v/>
      </c>
      <c r="D27102">
        <f>IF(B27102=C27102, "YES", "WRONG")</f>
        <v/>
      </c>
    </row>
    <row r="27103">
      <c r="A27103" t="n">
        <v>27102</v>
      </c>
      <c r="B27103" t="inlineStr">
        <is>
          <t>x̄x̄V̅MMCII</t>
        </is>
      </c>
      <c r="C27103">
        <f>ROMAN(27102)</f>
        <v/>
      </c>
      <c r="D27103">
        <f>IF(B27103=C27103, "YES", "WRONG")</f>
        <v/>
      </c>
    </row>
    <row r="27104">
      <c r="A27104" t="n">
        <v>27103</v>
      </c>
      <c r="B27104" t="inlineStr">
        <is>
          <t>x̄x̄V̅MMCIII</t>
        </is>
      </c>
      <c r="C27104">
        <f>ROMAN(27103)</f>
        <v/>
      </c>
      <c r="D27104">
        <f>IF(B27104=C27104, "YES", "WRONG")</f>
        <v/>
      </c>
    </row>
    <row r="27105">
      <c r="A27105" t="n">
        <v>27104</v>
      </c>
      <c r="B27105" t="inlineStr">
        <is>
          <t>x̄x̄V̅MMCIV</t>
        </is>
      </c>
      <c r="C27105">
        <f>ROMAN(27104)</f>
        <v/>
      </c>
      <c r="D27105">
        <f>IF(B27105=C27105, "YES", "WRONG")</f>
        <v/>
      </c>
    </row>
    <row r="27106">
      <c r="A27106" t="n">
        <v>27105</v>
      </c>
      <c r="B27106" t="inlineStr">
        <is>
          <t>x̄x̄V̅MMCV</t>
        </is>
      </c>
      <c r="C27106">
        <f>ROMAN(27105)</f>
        <v/>
      </c>
      <c r="D27106">
        <f>IF(B27106=C27106, "YES", "WRONG")</f>
        <v/>
      </c>
    </row>
    <row r="27107">
      <c r="A27107" t="n">
        <v>27106</v>
      </c>
      <c r="B27107" t="inlineStr">
        <is>
          <t>x̄x̄V̅MMCVI</t>
        </is>
      </c>
      <c r="C27107">
        <f>ROMAN(27106)</f>
        <v/>
      </c>
      <c r="D27107">
        <f>IF(B27107=C27107, "YES", "WRONG")</f>
        <v/>
      </c>
    </row>
    <row r="27108">
      <c r="A27108" t="n">
        <v>27107</v>
      </c>
      <c r="B27108" t="inlineStr">
        <is>
          <t>x̄x̄V̅MMCVII</t>
        </is>
      </c>
      <c r="C27108">
        <f>ROMAN(27107)</f>
        <v/>
      </c>
      <c r="D27108">
        <f>IF(B27108=C27108, "YES", "WRONG")</f>
        <v/>
      </c>
    </row>
    <row r="27109">
      <c r="A27109" t="n">
        <v>27108</v>
      </c>
      <c r="B27109" t="inlineStr">
        <is>
          <t>x̄x̄V̅MMCVIII</t>
        </is>
      </c>
      <c r="C27109">
        <f>ROMAN(27108)</f>
        <v/>
      </c>
      <c r="D27109">
        <f>IF(B27109=C27109, "YES", "WRONG")</f>
        <v/>
      </c>
    </row>
    <row r="27110">
      <c r="A27110" t="n">
        <v>27109</v>
      </c>
      <c r="B27110" t="inlineStr">
        <is>
          <t>x̄x̄V̅MMCIX</t>
        </is>
      </c>
      <c r="C27110">
        <f>ROMAN(27109)</f>
        <v/>
      </c>
      <c r="D27110">
        <f>IF(B27110=C27110, "YES", "WRONG")</f>
        <v/>
      </c>
    </row>
    <row r="27111">
      <c r="A27111" t="n">
        <v>27110</v>
      </c>
      <c r="B27111" t="inlineStr">
        <is>
          <t>x̄x̄V̅MMCX</t>
        </is>
      </c>
      <c r="C27111">
        <f>ROMAN(27110)</f>
        <v/>
      </c>
      <c r="D27111">
        <f>IF(B27111=C27111, "YES", "WRONG")</f>
        <v/>
      </c>
    </row>
    <row r="27112">
      <c r="A27112" t="n">
        <v>27111</v>
      </c>
      <c r="B27112" t="inlineStr">
        <is>
          <t>x̄x̄V̅MMCXI</t>
        </is>
      </c>
      <c r="C27112">
        <f>ROMAN(27111)</f>
        <v/>
      </c>
      <c r="D27112">
        <f>IF(B27112=C27112, "YES", "WRONG")</f>
        <v/>
      </c>
    </row>
    <row r="27113">
      <c r="A27113" t="n">
        <v>27112</v>
      </c>
      <c r="B27113" t="inlineStr">
        <is>
          <t>x̄x̄V̅MMCXII</t>
        </is>
      </c>
      <c r="C27113">
        <f>ROMAN(27112)</f>
        <v/>
      </c>
      <c r="D27113">
        <f>IF(B27113=C27113, "YES", "WRONG")</f>
        <v/>
      </c>
    </row>
    <row r="27114">
      <c r="A27114" t="n">
        <v>27113</v>
      </c>
      <c r="B27114" t="inlineStr">
        <is>
          <t>x̄x̄V̅MMCXIII</t>
        </is>
      </c>
      <c r="C27114">
        <f>ROMAN(27113)</f>
        <v/>
      </c>
      <c r="D27114">
        <f>IF(B27114=C27114, "YES", "WRONG")</f>
        <v/>
      </c>
    </row>
    <row r="27115">
      <c r="A27115" t="n">
        <v>27114</v>
      </c>
      <c r="B27115" t="inlineStr">
        <is>
          <t>x̄x̄V̅MMCXIV</t>
        </is>
      </c>
      <c r="C27115">
        <f>ROMAN(27114)</f>
        <v/>
      </c>
      <c r="D27115">
        <f>IF(B27115=C27115, "YES", "WRONG")</f>
        <v/>
      </c>
    </row>
    <row r="27116">
      <c r="A27116" t="n">
        <v>27115</v>
      </c>
      <c r="B27116" t="inlineStr">
        <is>
          <t>x̄x̄V̅MMCXV</t>
        </is>
      </c>
      <c r="C27116">
        <f>ROMAN(27115)</f>
        <v/>
      </c>
      <c r="D27116">
        <f>IF(B27116=C27116, "YES", "WRONG")</f>
        <v/>
      </c>
    </row>
    <row r="27117">
      <c r="A27117" t="n">
        <v>27116</v>
      </c>
      <c r="B27117" t="inlineStr">
        <is>
          <t>x̄x̄V̅MMCXVI</t>
        </is>
      </c>
      <c r="C27117">
        <f>ROMAN(27116)</f>
        <v/>
      </c>
      <c r="D27117">
        <f>IF(B27117=C27117, "YES", "WRONG")</f>
        <v/>
      </c>
    </row>
    <row r="27118">
      <c r="A27118" t="n">
        <v>27117</v>
      </c>
      <c r="B27118" t="inlineStr">
        <is>
          <t>x̄x̄V̅MMCXVII</t>
        </is>
      </c>
      <c r="C27118">
        <f>ROMAN(27117)</f>
        <v/>
      </c>
      <c r="D27118">
        <f>IF(B27118=C27118, "YES", "WRONG")</f>
        <v/>
      </c>
    </row>
    <row r="27119">
      <c r="A27119" t="n">
        <v>27118</v>
      </c>
      <c r="B27119" t="inlineStr">
        <is>
          <t>x̄x̄V̅MMCXVIII</t>
        </is>
      </c>
      <c r="C27119">
        <f>ROMAN(27118)</f>
        <v/>
      </c>
      <c r="D27119">
        <f>IF(B27119=C27119, "YES", "WRONG")</f>
        <v/>
      </c>
    </row>
    <row r="27120">
      <c r="A27120" t="n">
        <v>27119</v>
      </c>
      <c r="B27120" t="inlineStr">
        <is>
          <t>x̄x̄V̅MMCXIX</t>
        </is>
      </c>
      <c r="C27120">
        <f>ROMAN(27119)</f>
        <v/>
      </c>
      <c r="D27120">
        <f>IF(B27120=C27120, "YES", "WRONG")</f>
        <v/>
      </c>
    </row>
    <row r="27121">
      <c r="A27121" t="n">
        <v>27120</v>
      </c>
      <c r="B27121" t="inlineStr">
        <is>
          <t>x̄x̄V̅MMCXX</t>
        </is>
      </c>
      <c r="C27121">
        <f>ROMAN(27120)</f>
        <v/>
      </c>
      <c r="D27121">
        <f>IF(B27121=C27121, "YES", "WRONG")</f>
        <v/>
      </c>
    </row>
    <row r="27122">
      <c r="A27122" t="n">
        <v>27121</v>
      </c>
      <c r="B27122" t="inlineStr">
        <is>
          <t>x̄x̄V̅MMCXXI</t>
        </is>
      </c>
      <c r="C27122">
        <f>ROMAN(27121)</f>
        <v/>
      </c>
      <c r="D27122">
        <f>IF(B27122=C27122, "YES", "WRONG")</f>
        <v/>
      </c>
    </row>
    <row r="27123">
      <c r="A27123" t="n">
        <v>27122</v>
      </c>
      <c r="B27123" t="inlineStr">
        <is>
          <t>x̄x̄V̅MMCXXII</t>
        </is>
      </c>
      <c r="C27123">
        <f>ROMAN(27122)</f>
        <v/>
      </c>
      <c r="D27123">
        <f>IF(B27123=C27123, "YES", "WRONG")</f>
        <v/>
      </c>
    </row>
    <row r="27124">
      <c r="A27124" t="n">
        <v>27123</v>
      </c>
      <c r="B27124" t="inlineStr">
        <is>
          <t>x̄x̄V̅MMCXXIII</t>
        </is>
      </c>
      <c r="C27124">
        <f>ROMAN(27123)</f>
        <v/>
      </c>
      <c r="D27124">
        <f>IF(B27124=C27124, "YES", "WRONG")</f>
        <v/>
      </c>
    </row>
    <row r="27125">
      <c r="A27125" t="n">
        <v>27124</v>
      </c>
      <c r="B27125" t="inlineStr">
        <is>
          <t>x̄x̄V̅MMCXXIV</t>
        </is>
      </c>
      <c r="C27125">
        <f>ROMAN(27124)</f>
        <v/>
      </c>
      <c r="D27125">
        <f>IF(B27125=C27125, "YES", "WRONG")</f>
        <v/>
      </c>
    </row>
    <row r="27126">
      <c r="A27126" t="n">
        <v>27125</v>
      </c>
      <c r="B27126" t="inlineStr">
        <is>
          <t>x̄x̄V̅MMCXXV</t>
        </is>
      </c>
      <c r="C27126">
        <f>ROMAN(27125)</f>
        <v/>
      </c>
      <c r="D27126">
        <f>IF(B27126=C27126, "YES", "WRONG")</f>
        <v/>
      </c>
    </row>
    <row r="27127">
      <c r="A27127" t="n">
        <v>27126</v>
      </c>
      <c r="B27127" t="inlineStr">
        <is>
          <t>x̄x̄V̅MMCXXVI</t>
        </is>
      </c>
      <c r="C27127">
        <f>ROMAN(27126)</f>
        <v/>
      </c>
      <c r="D27127">
        <f>IF(B27127=C27127, "YES", "WRONG")</f>
        <v/>
      </c>
    </row>
    <row r="27128">
      <c r="A27128" t="n">
        <v>27127</v>
      </c>
      <c r="B27128" t="inlineStr">
        <is>
          <t>x̄x̄V̅MMCXXVII</t>
        </is>
      </c>
      <c r="C27128">
        <f>ROMAN(27127)</f>
        <v/>
      </c>
      <c r="D27128">
        <f>IF(B27128=C27128, "YES", "WRONG")</f>
        <v/>
      </c>
    </row>
    <row r="27129">
      <c r="A27129" t="n">
        <v>27128</v>
      </c>
      <c r="B27129" t="inlineStr">
        <is>
          <t>x̄x̄V̅MMCXXVIII</t>
        </is>
      </c>
      <c r="C27129">
        <f>ROMAN(27128)</f>
        <v/>
      </c>
      <c r="D27129">
        <f>IF(B27129=C27129, "YES", "WRONG")</f>
        <v/>
      </c>
    </row>
    <row r="27130">
      <c r="A27130" t="n">
        <v>27129</v>
      </c>
      <c r="B27130" t="inlineStr">
        <is>
          <t>x̄x̄V̅MMCXXIX</t>
        </is>
      </c>
      <c r="C27130">
        <f>ROMAN(27129)</f>
        <v/>
      </c>
      <c r="D27130">
        <f>IF(B27130=C27130, "YES", "WRONG")</f>
        <v/>
      </c>
    </row>
    <row r="27131">
      <c r="A27131" t="n">
        <v>27130</v>
      </c>
      <c r="B27131" t="inlineStr">
        <is>
          <t>x̄x̄V̅MMCXXX</t>
        </is>
      </c>
      <c r="C27131">
        <f>ROMAN(27130)</f>
        <v/>
      </c>
      <c r="D27131">
        <f>IF(B27131=C27131, "YES", "WRONG")</f>
        <v/>
      </c>
    </row>
    <row r="27132">
      <c r="A27132" t="n">
        <v>27131</v>
      </c>
      <c r="B27132" t="inlineStr">
        <is>
          <t>x̄x̄V̅MMCXXXI</t>
        </is>
      </c>
      <c r="C27132">
        <f>ROMAN(27131)</f>
        <v/>
      </c>
      <c r="D27132">
        <f>IF(B27132=C27132, "YES", "WRONG")</f>
        <v/>
      </c>
    </row>
    <row r="27133">
      <c r="A27133" t="n">
        <v>27132</v>
      </c>
      <c r="B27133" t="inlineStr">
        <is>
          <t>x̄x̄V̅MMCXXXII</t>
        </is>
      </c>
      <c r="C27133">
        <f>ROMAN(27132)</f>
        <v/>
      </c>
      <c r="D27133">
        <f>IF(B27133=C27133, "YES", "WRONG")</f>
        <v/>
      </c>
    </row>
    <row r="27134">
      <c r="A27134" t="n">
        <v>27133</v>
      </c>
      <c r="B27134" t="inlineStr">
        <is>
          <t>x̄x̄V̅MMCXXXIII</t>
        </is>
      </c>
      <c r="C27134">
        <f>ROMAN(27133)</f>
        <v/>
      </c>
      <c r="D27134">
        <f>IF(B27134=C27134, "YES", "WRONG")</f>
        <v/>
      </c>
    </row>
    <row r="27135">
      <c r="A27135" t="n">
        <v>27134</v>
      </c>
      <c r="B27135" t="inlineStr">
        <is>
          <t>x̄x̄V̅MMCXXXIV</t>
        </is>
      </c>
      <c r="C27135">
        <f>ROMAN(27134)</f>
        <v/>
      </c>
      <c r="D27135">
        <f>IF(B27135=C27135, "YES", "WRONG")</f>
        <v/>
      </c>
    </row>
    <row r="27136">
      <c r="A27136" t="n">
        <v>27135</v>
      </c>
      <c r="B27136" t="inlineStr">
        <is>
          <t>x̄x̄V̅MMCXXXV</t>
        </is>
      </c>
      <c r="C27136">
        <f>ROMAN(27135)</f>
        <v/>
      </c>
      <c r="D27136">
        <f>IF(B27136=C27136, "YES", "WRONG")</f>
        <v/>
      </c>
    </row>
    <row r="27137">
      <c r="A27137" t="n">
        <v>27136</v>
      </c>
      <c r="B27137" t="inlineStr">
        <is>
          <t>x̄x̄V̅MMCXXXVI</t>
        </is>
      </c>
      <c r="C27137">
        <f>ROMAN(27136)</f>
        <v/>
      </c>
      <c r="D27137">
        <f>IF(B27137=C27137, "YES", "WRONG")</f>
        <v/>
      </c>
    </row>
    <row r="27138">
      <c r="A27138" t="n">
        <v>27137</v>
      </c>
      <c r="B27138" t="inlineStr">
        <is>
          <t>x̄x̄V̅MMCXXXVII</t>
        </is>
      </c>
      <c r="C27138">
        <f>ROMAN(27137)</f>
        <v/>
      </c>
      <c r="D27138">
        <f>IF(B27138=C27138, "YES", "WRONG")</f>
        <v/>
      </c>
    </row>
    <row r="27139">
      <c r="A27139" t="n">
        <v>27138</v>
      </c>
      <c r="B27139" t="inlineStr">
        <is>
          <t>x̄x̄V̅MMCXXXVIII</t>
        </is>
      </c>
      <c r="C27139">
        <f>ROMAN(27138)</f>
        <v/>
      </c>
      <c r="D27139">
        <f>IF(B27139=C27139, "YES", "WRONG")</f>
        <v/>
      </c>
    </row>
    <row r="27140">
      <c r="A27140" t="n">
        <v>27139</v>
      </c>
      <c r="B27140" t="inlineStr">
        <is>
          <t>x̄x̄V̅MMCXXXIX</t>
        </is>
      </c>
      <c r="C27140">
        <f>ROMAN(27139)</f>
        <v/>
      </c>
      <c r="D27140">
        <f>IF(B27140=C27140, "YES", "WRONG")</f>
        <v/>
      </c>
    </row>
    <row r="27141">
      <c r="A27141" t="n">
        <v>27140</v>
      </c>
      <c r="B27141" t="inlineStr">
        <is>
          <t>x̄x̄V̅MMCXL</t>
        </is>
      </c>
      <c r="C27141">
        <f>ROMAN(27140)</f>
        <v/>
      </c>
      <c r="D27141">
        <f>IF(B27141=C27141, "YES", "WRONG")</f>
        <v/>
      </c>
    </row>
    <row r="27142">
      <c r="A27142" t="n">
        <v>27141</v>
      </c>
      <c r="B27142" t="inlineStr">
        <is>
          <t>x̄x̄V̅MMCXLI</t>
        </is>
      </c>
      <c r="C27142">
        <f>ROMAN(27141)</f>
        <v/>
      </c>
      <c r="D27142">
        <f>IF(B27142=C27142, "YES", "WRONG")</f>
        <v/>
      </c>
    </row>
    <row r="27143">
      <c r="A27143" t="n">
        <v>27142</v>
      </c>
      <c r="B27143" t="inlineStr">
        <is>
          <t>x̄x̄V̅MMCXLII</t>
        </is>
      </c>
      <c r="C27143">
        <f>ROMAN(27142)</f>
        <v/>
      </c>
      <c r="D27143">
        <f>IF(B27143=C27143, "YES", "WRONG")</f>
        <v/>
      </c>
    </row>
    <row r="27144">
      <c r="A27144" t="n">
        <v>27143</v>
      </c>
      <c r="B27144" t="inlineStr">
        <is>
          <t>x̄x̄V̅MMCXLIII</t>
        </is>
      </c>
      <c r="C27144">
        <f>ROMAN(27143)</f>
        <v/>
      </c>
      <c r="D27144">
        <f>IF(B27144=C27144, "YES", "WRONG")</f>
        <v/>
      </c>
    </row>
    <row r="27145">
      <c r="A27145" t="n">
        <v>27144</v>
      </c>
      <c r="B27145" t="inlineStr">
        <is>
          <t>x̄x̄V̅MMCXLIV</t>
        </is>
      </c>
      <c r="C27145">
        <f>ROMAN(27144)</f>
        <v/>
      </c>
      <c r="D27145">
        <f>IF(B27145=C27145, "YES", "WRONG")</f>
        <v/>
      </c>
    </row>
    <row r="27146">
      <c r="A27146" t="n">
        <v>27145</v>
      </c>
      <c r="B27146" t="inlineStr">
        <is>
          <t>x̄x̄V̅MMCXLV</t>
        </is>
      </c>
      <c r="C27146">
        <f>ROMAN(27145)</f>
        <v/>
      </c>
      <c r="D27146">
        <f>IF(B27146=C27146, "YES", "WRONG")</f>
        <v/>
      </c>
    </row>
    <row r="27147">
      <c r="A27147" t="n">
        <v>27146</v>
      </c>
      <c r="B27147" t="inlineStr">
        <is>
          <t>x̄x̄V̅MMCXLVI</t>
        </is>
      </c>
      <c r="C27147">
        <f>ROMAN(27146)</f>
        <v/>
      </c>
      <c r="D27147">
        <f>IF(B27147=C27147, "YES", "WRONG")</f>
        <v/>
      </c>
    </row>
    <row r="27148">
      <c r="A27148" t="n">
        <v>27147</v>
      </c>
      <c r="B27148" t="inlineStr">
        <is>
          <t>x̄x̄V̅MMCXLVII</t>
        </is>
      </c>
      <c r="C27148">
        <f>ROMAN(27147)</f>
        <v/>
      </c>
      <c r="D27148">
        <f>IF(B27148=C27148, "YES", "WRONG")</f>
        <v/>
      </c>
    </row>
    <row r="27149">
      <c r="A27149" t="n">
        <v>27148</v>
      </c>
      <c r="B27149" t="inlineStr">
        <is>
          <t>x̄x̄V̅MMCXLVIII</t>
        </is>
      </c>
      <c r="C27149">
        <f>ROMAN(27148)</f>
        <v/>
      </c>
      <c r="D27149">
        <f>IF(B27149=C27149, "YES", "WRONG")</f>
        <v/>
      </c>
    </row>
    <row r="27150">
      <c r="A27150" t="n">
        <v>27149</v>
      </c>
      <c r="B27150" t="inlineStr">
        <is>
          <t>x̄x̄V̅MMCXLIX</t>
        </is>
      </c>
      <c r="C27150">
        <f>ROMAN(27149)</f>
        <v/>
      </c>
      <c r="D27150">
        <f>IF(B27150=C27150, "YES", "WRONG")</f>
        <v/>
      </c>
    </row>
    <row r="27151">
      <c r="A27151" t="n">
        <v>27150</v>
      </c>
      <c r="B27151" t="inlineStr">
        <is>
          <t>x̄x̄V̅MMCL</t>
        </is>
      </c>
      <c r="C27151">
        <f>ROMAN(27150)</f>
        <v/>
      </c>
      <c r="D27151">
        <f>IF(B27151=C27151, "YES", "WRONG")</f>
        <v/>
      </c>
    </row>
    <row r="27152">
      <c r="A27152" t="n">
        <v>27151</v>
      </c>
      <c r="B27152" t="inlineStr">
        <is>
          <t>x̄x̄V̅MMCLI</t>
        </is>
      </c>
      <c r="C27152">
        <f>ROMAN(27151)</f>
        <v/>
      </c>
      <c r="D27152">
        <f>IF(B27152=C27152, "YES", "WRONG")</f>
        <v/>
      </c>
    </row>
    <row r="27153">
      <c r="A27153" t="n">
        <v>27152</v>
      </c>
      <c r="B27153" t="inlineStr">
        <is>
          <t>x̄x̄V̅MMCLII</t>
        </is>
      </c>
      <c r="C27153">
        <f>ROMAN(27152)</f>
        <v/>
      </c>
      <c r="D27153">
        <f>IF(B27153=C27153, "YES", "WRONG")</f>
        <v/>
      </c>
    </row>
    <row r="27154">
      <c r="A27154" t="n">
        <v>27153</v>
      </c>
      <c r="B27154" t="inlineStr">
        <is>
          <t>x̄x̄V̅MMCLIII</t>
        </is>
      </c>
      <c r="C27154">
        <f>ROMAN(27153)</f>
        <v/>
      </c>
      <c r="D27154">
        <f>IF(B27154=C27154, "YES", "WRONG")</f>
        <v/>
      </c>
    </row>
    <row r="27155">
      <c r="A27155" t="n">
        <v>27154</v>
      </c>
      <c r="B27155" t="inlineStr">
        <is>
          <t>x̄x̄V̅MMCLIV</t>
        </is>
      </c>
      <c r="C27155">
        <f>ROMAN(27154)</f>
        <v/>
      </c>
      <c r="D27155">
        <f>IF(B27155=C27155, "YES", "WRONG")</f>
        <v/>
      </c>
    </row>
    <row r="27156">
      <c r="A27156" t="n">
        <v>27155</v>
      </c>
      <c r="B27156" t="inlineStr">
        <is>
          <t>x̄x̄V̅MMCLV</t>
        </is>
      </c>
      <c r="C27156">
        <f>ROMAN(27155)</f>
        <v/>
      </c>
      <c r="D27156">
        <f>IF(B27156=C27156, "YES", "WRONG")</f>
        <v/>
      </c>
    </row>
    <row r="27157">
      <c r="A27157" t="n">
        <v>27156</v>
      </c>
      <c r="B27157" t="inlineStr">
        <is>
          <t>x̄x̄V̅MMCLVI</t>
        </is>
      </c>
      <c r="C27157">
        <f>ROMAN(27156)</f>
        <v/>
      </c>
      <c r="D27157">
        <f>IF(B27157=C27157, "YES", "WRONG")</f>
        <v/>
      </c>
    </row>
    <row r="27158">
      <c r="A27158" t="n">
        <v>27157</v>
      </c>
      <c r="B27158" t="inlineStr">
        <is>
          <t>x̄x̄V̅MMCLVII</t>
        </is>
      </c>
      <c r="C27158">
        <f>ROMAN(27157)</f>
        <v/>
      </c>
      <c r="D27158">
        <f>IF(B27158=C27158, "YES", "WRONG")</f>
        <v/>
      </c>
    </row>
    <row r="27159">
      <c r="A27159" t="n">
        <v>27158</v>
      </c>
      <c r="B27159" t="inlineStr">
        <is>
          <t>x̄x̄V̅MMCLVIII</t>
        </is>
      </c>
      <c r="C27159">
        <f>ROMAN(27158)</f>
        <v/>
      </c>
      <c r="D27159">
        <f>IF(B27159=C27159, "YES", "WRONG")</f>
        <v/>
      </c>
    </row>
    <row r="27160">
      <c r="A27160" t="n">
        <v>27159</v>
      </c>
      <c r="B27160" t="inlineStr">
        <is>
          <t>x̄x̄V̅MMCLIX</t>
        </is>
      </c>
      <c r="C27160">
        <f>ROMAN(27159)</f>
        <v/>
      </c>
      <c r="D27160">
        <f>IF(B27160=C27160, "YES", "WRONG")</f>
        <v/>
      </c>
    </row>
    <row r="27161">
      <c r="A27161" t="n">
        <v>27160</v>
      </c>
      <c r="B27161" t="inlineStr">
        <is>
          <t>x̄x̄V̅MMCLX</t>
        </is>
      </c>
      <c r="C27161">
        <f>ROMAN(27160)</f>
        <v/>
      </c>
      <c r="D27161">
        <f>IF(B27161=C27161, "YES", "WRONG")</f>
        <v/>
      </c>
    </row>
    <row r="27162">
      <c r="A27162" t="n">
        <v>27161</v>
      </c>
      <c r="B27162" t="inlineStr">
        <is>
          <t>x̄x̄V̅MMCLXI</t>
        </is>
      </c>
      <c r="C27162">
        <f>ROMAN(27161)</f>
        <v/>
      </c>
      <c r="D27162">
        <f>IF(B27162=C27162, "YES", "WRONG")</f>
        <v/>
      </c>
    </row>
    <row r="27163">
      <c r="A27163" t="n">
        <v>27162</v>
      </c>
      <c r="B27163" t="inlineStr">
        <is>
          <t>x̄x̄V̅MMCLXII</t>
        </is>
      </c>
      <c r="C27163">
        <f>ROMAN(27162)</f>
        <v/>
      </c>
      <c r="D27163">
        <f>IF(B27163=C27163, "YES", "WRONG")</f>
        <v/>
      </c>
    </row>
    <row r="27164">
      <c r="A27164" t="n">
        <v>27163</v>
      </c>
      <c r="B27164" t="inlineStr">
        <is>
          <t>x̄x̄V̅MMCLXIII</t>
        </is>
      </c>
      <c r="C27164">
        <f>ROMAN(27163)</f>
        <v/>
      </c>
      <c r="D27164">
        <f>IF(B27164=C27164, "YES", "WRONG")</f>
        <v/>
      </c>
    </row>
    <row r="27165">
      <c r="A27165" t="n">
        <v>27164</v>
      </c>
      <c r="B27165" t="inlineStr">
        <is>
          <t>x̄x̄V̅MMCLXIV</t>
        </is>
      </c>
      <c r="C27165">
        <f>ROMAN(27164)</f>
        <v/>
      </c>
      <c r="D27165">
        <f>IF(B27165=C27165, "YES", "WRONG")</f>
        <v/>
      </c>
    </row>
    <row r="27166">
      <c r="A27166" t="n">
        <v>27165</v>
      </c>
      <c r="B27166" t="inlineStr">
        <is>
          <t>x̄x̄V̅MMCLXV</t>
        </is>
      </c>
      <c r="C27166">
        <f>ROMAN(27165)</f>
        <v/>
      </c>
      <c r="D27166">
        <f>IF(B27166=C27166, "YES", "WRONG")</f>
        <v/>
      </c>
    </row>
    <row r="27167">
      <c r="A27167" t="n">
        <v>27166</v>
      </c>
      <c r="B27167" t="inlineStr">
        <is>
          <t>x̄x̄V̅MMCLXVI</t>
        </is>
      </c>
      <c r="C27167">
        <f>ROMAN(27166)</f>
        <v/>
      </c>
      <c r="D27167">
        <f>IF(B27167=C27167, "YES", "WRONG")</f>
        <v/>
      </c>
    </row>
    <row r="27168">
      <c r="A27168" t="n">
        <v>27167</v>
      </c>
      <c r="B27168" t="inlineStr">
        <is>
          <t>x̄x̄V̅MMCLXVII</t>
        </is>
      </c>
      <c r="C27168">
        <f>ROMAN(27167)</f>
        <v/>
      </c>
      <c r="D27168">
        <f>IF(B27168=C27168, "YES", "WRONG")</f>
        <v/>
      </c>
    </row>
    <row r="27169">
      <c r="A27169" t="n">
        <v>27168</v>
      </c>
      <c r="B27169" t="inlineStr">
        <is>
          <t>x̄x̄V̅MMCLXVIII</t>
        </is>
      </c>
      <c r="C27169">
        <f>ROMAN(27168)</f>
        <v/>
      </c>
      <c r="D27169">
        <f>IF(B27169=C27169, "YES", "WRONG")</f>
        <v/>
      </c>
    </row>
    <row r="27170">
      <c r="A27170" t="n">
        <v>27169</v>
      </c>
      <c r="B27170" t="inlineStr">
        <is>
          <t>x̄x̄V̅MMCLXIX</t>
        </is>
      </c>
      <c r="C27170">
        <f>ROMAN(27169)</f>
        <v/>
      </c>
      <c r="D27170">
        <f>IF(B27170=C27170, "YES", "WRONG")</f>
        <v/>
      </c>
    </row>
    <row r="27171">
      <c r="A27171" t="n">
        <v>27170</v>
      </c>
      <c r="B27171" t="inlineStr">
        <is>
          <t>x̄x̄V̅MMCLXX</t>
        </is>
      </c>
      <c r="C27171">
        <f>ROMAN(27170)</f>
        <v/>
      </c>
      <c r="D27171">
        <f>IF(B27171=C27171, "YES", "WRONG")</f>
        <v/>
      </c>
    </row>
    <row r="27172">
      <c r="A27172" t="n">
        <v>27171</v>
      </c>
      <c r="B27172" t="inlineStr">
        <is>
          <t>x̄x̄V̅MMCLXXI</t>
        </is>
      </c>
      <c r="C27172">
        <f>ROMAN(27171)</f>
        <v/>
      </c>
      <c r="D27172">
        <f>IF(B27172=C27172, "YES", "WRONG")</f>
        <v/>
      </c>
    </row>
    <row r="27173">
      <c r="A27173" t="n">
        <v>27172</v>
      </c>
      <c r="B27173" t="inlineStr">
        <is>
          <t>x̄x̄V̅MMCLXXII</t>
        </is>
      </c>
      <c r="C27173">
        <f>ROMAN(27172)</f>
        <v/>
      </c>
      <c r="D27173">
        <f>IF(B27173=C27173, "YES", "WRONG")</f>
        <v/>
      </c>
    </row>
    <row r="27174">
      <c r="A27174" t="n">
        <v>27173</v>
      </c>
      <c r="B27174" t="inlineStr">
        <is>
          <t>x̄x̄V̅MMCLXXIII</t>
        </is>
      </c>
      <c r="C27174">
        <f>ROMAN(27173)</f>
        <v/>
      </c>
      <c r="D27174">
        <f>IF(B27174=C27174, "YES", "WRONG")</f>
        <v/>
      </c>
    </row>
    <row r="27175">
      <c r="A27175" t="n">
        <v>27174</v>
      </c>
      <c r="B27175" t="inlineStr">
        <is>
          <t>x̄x̄V̅MMCLXXIV</t>
        </is>
      </c>
      <c r="C27175">
        <f>ROMAN(27174)</f>
        <v/>
      </c>
      <c r="D27175">
        <f>IF(B27175=C27175, "YES", "WRONG")</f>
        <v/>
      </c>
    </row>
    <row r="27176">
      <c r="A27176" t="n">
        <v>27175</v>
      </c>
      <c r="B27176" t="inlineStr">
        <is>
          <t>x̄x̄V̅MMCLXXV</t>
        </is>
      </c>
      <c r="C27176">
        <f>ROMAN(27175)</f>
        <v/>
      </c>
      <c r="D27176">
        <f>IF(B27176=C27176, "YES", "WRONG")</f>
        <v/>
      </c>
    </row>
    <row r="27177">
      <c r="A27177" t="n">
        <v>27176</v>
      </c>
      <c r="B27177" t="inlineStr">
        <is>
          <t>x̄x̄V̅MMCLXXVI</t>
        </is>
      </c>
      <c r="C27177">
        <f>ROMAN(27176)</f>
        <v/>
      </c>
      <c r="D27177">
        <f>IF(B27177=C27177, "YES", "WRONG")</f>
        <v/>
      </c>
    </row>
    <row r="27178">
      <c r="A27178" t="n">
        <v>27177</v>
      </c>
      <c r="B27178" t="inlineStr">
        <is>
          <t>x̄x̄V̅MMCLXXVII</t>
        </is>
      </c>
      <c r="C27178">
        <f>ROMAN(27177)</f>
        <v/>
      </c>
      <c r="D27178">
        <f>IF(B27178=C27178, "YES", "WRONG")</f>
        <v/>
      </c>
    </row>
    <row r="27179">
      <c r="A27179" t="n">
        <v>27178</v>
      </c>
      <c r="B27179" t="inlineStr">
        <is>
          <t>x̄x̄V̅MMCLXXVIII</t>
        </is>
      </c>
      <c r="C27179">
        <f>ROMAN(27178)</f>
        <v/>
      </c>
      <c r="D27179">
        <f>IF(B27179=C27179, "YES", "WRONG")</f>
        <v/>
      </c>
    </row>
    <row r="27180">
      <c r="A27180" t="n">
        <v>27179</v>
      </c>
      <c r="B27180" t="inlineStr">
        <is>
          <t>x̄x̄V̅MMCLXXIX</t>
        </is>
      </c>
      <c r="C27180">
        <f>ROMAN(27179)</f>
        <v/>
      </c>
      <c r="D27180">
        <f>IF(B27180=C27180, "YES", "WRONG")</f>
        <v/>
      </c>
    </row>
    <row r="27181">
      <c r="A27181" t="n">
        <v>27180</v>
      </c>
      <c r="B27181" t="inlineStr">
        <is>
          <t>x̄x̄V̅MMCLXXX</t>
        </is>
      </c>
      <c r="C27181">
        <f>ROMAN(27180)</f>
        <v/>
      </c>
      <c r="D27181">
        <f>IF(B27181=C27181, "YES", "WRONG")</f>
        <v/>
      </c>
    </row>
    <row r="27182">
      <c r="A27182" t="n">
        <v>27181</v>
      </c>
      <c r="B27182" t="inlineStr">
        <is>
          <t>x̄x̄V̅MMCLXXXI</t>
        </is>
      </c>
      <c r="C27182">
        <f>ROMAN(27181)</f>
        <v/>
      </c>
      <c r="D27182">
        <f>IF(B27182=C27182, "YES", "WRONG")</f>
        <v/>
      </c>
    </row>
    <row r="27183">
      <c r="A27183" t="n">
        <v>27182</v>
      </c>
      <c r="B27183" t="inlineStr">
        <is>
          <t>x̄x̄V̅MMCLXXXII</t>
        </is>
      </c>
      <c r="C27183">
        <f>ROMAN(27182)</f>
        <v/>
      </c>
      <c r="D27183">
        <f>IF(B27183=C27183, "YES", "WRONG")</f>
        <v/>
      </c>
    </row>
    <row r="27184">
      <c r="A27184" t="n">
        <v>27183</v>
      </c>
      <c r="B27184" t="inlineStr">
        <is>
          <t>x̄x̄V̅MMCLXXXIII</t>
        </is>
      </c>
      <c r="C27184">
        <f>ROMAN(27183)</f>
        <v/>
      </c>
      <c r="D27184">
        <f>IF(B27184=C27184, "YES", "WRONG")</f>
        <v/>
      </c>
    </row>
    <row r="27185">
      <c r="A27185" t="n">
        <v>27184</v>
      </c>
      <c r="B27185" t="inlineStr">
        <is>
          <t>x̄x̄V̅MMCLXXXIV</t>
        </is>
      </c>
      <c r="C27185">
        <f>ROMAN(27184)</f>
        <v/>
      </c>
      <c r="D27185">
        <f>IF(B27185=C27185, "YES", "WRONG")</f>
        <v/>
      </c>
    </row>
    <row r="27186">
      <c r="A27186" t="n">
        <v>27185</v>
      </c>
      <c r="B27186" t="inlineStr">
        <is>
          <t>x̄x̄V̅MMCLXXXV</t>
        </is>
      </c>
      <c r="C27186">
        <f>ROMAN(27185)</f>
        <v/>
      </c>
      <c r="D27186">
        <f>IF(B27186=C27186, "YES", "WRONG")</f>
        <v/>
      </c>
    </row>
    <row r="27187">
      <c r="A27187" t="n">
        <v>27186</v>
      </c>
      <c r="B27187" t="inlineStr">
        <is>
          <t>x̄x̄V̅MMCLXXXVI</t>
        </is>
      </c>
      <c r="C27187">
        <f>ROMAN(27186)</f>
        <v/>
      </c>
      <c r="D27187">
        <f>IF(B27187=C27187, "YES", "WRONG")</f>
        <v/>
      </c>
    </row>
    <row r="27188">
      <c r="A27188" t="n">
        <v>27187</v>
      </c>
      <c r="B27188" t="inlineStr">
        <is>
          <t>x̄x̄V̅MMCLXXXVII</t>
        </is>
      </c>
      <c r="C27188">
        <f>ROMAN(27187)</f>
        <v/>
      </c>
      <c r="D27188">
        <f>IF(B27188=C27188, "YES", "WRONG")</f>
        <v/>
      </c>
    </row>
    <row r="27189">
      <c r="A27189" t="n">
        <v>27188</v>
      </c>
      <c r="B27189" t="inlineStr">
        <is>
          <t>x̄x̄V̅MMCLXXXVIII</t>
        </is>
      </c>
      <c r="C27189">
        <f>ROMAN(27188)</f>
        <v/>
      </c>
      <c r="D27189">
        <f>IF(B27189=C27189, "YES", "WRONG")</f>
        <v/>
      </c>
    </row>
    <row r="27190">
      <c r="A27190" t="n">
        <v>27189</v>
      </c>
      <c r="B27190" t="inlineStr">
        <is>
          <t>x̄x̄V̅MMCLXXXIX</t>
        </is>
      </c>
      <c r="C27190">
        <f>ROMAN(27189)</f>
        <v/>
      </c>
      <c r="D27190">
        <f>IF(B27190=C27190, "YES", "WRONG")</f>
        <v/>
      </c>
    </row>
    <row r="27191">
      <c r="A27191" t="n">
        <v>27190</v>
      </c>
      <c r="B27191" t="inlineStr">
        <is>
          <t>x̄x̄V̅MMCXC</t>
        </is>
      </c>
      <c r="C27191">
        <f>ROMAN(27190)</f>
        <v/>
      </c>
      <c r="D27191">
        <f>IF(B27191=C27191, "YES", "WRONG")</f>
        <v/>
      </c>
    </row>
    <row r="27192">
      <c r="A27192" t="n">
        <v>27191</v>
      </c>
      <c r="B27192" t="inlineStr">
        <is>
          <t>x̄x̄V̅MMCXCI</t>
        </is>
      </c>
      <c r="C27192">
        <f>ROMAN(27191)</f>
        <v/>
      </c>
      <c r="D27192">
        <f>IF(B27192=C27192, "YES", "WRONG")</f>
        <v/>
      </c>
    </row>
    <row r="27193">
      <c r="A27193" t="n">
        <v>27192</v>
      </c>
      <c r="B27193" t="inlineStr">
        <is>
          <t>x̄x̄V̅MMCXCII</t>
        </is>
      </c>
      <c r="C27193">
        <f>ROMAN(27192)</f>
        <v/>
      </c>
      <c r="D27193">
        <f>IF(B27193=C27193, "YES", "WRONG")</f>
        <v/>
      </c>
    </row>
    <row r="27194">
      <c r="A27194" t="n">
        <v>27193</v>
      </c>
      <c r="B27194" t="inlineStr">
        <is>
          <t>x̄x̄V̅MMCXCIII</t>
        </is>
      </c>
      <c r="C27194">
        <f>ROMAN(27193)</f>
        <v/>
      </c>
      <c r="D27194">
        <f>IF(B27194=C27194, "YES", "WRONG")</f>
        <v/>
      </c>
    </row>
    <row r="27195">
      <c r="A27195" t="n">
        <v>27194</v>
      </c>
      <c r="B27195" t="inlineStr">
        <is>
          <t>x̄x̄V̅MMCXCIV</t>
        </is>
      </c>
      <c r="C27195">
        <f>ROMAN(27194)</f>
        <v/>
      </c>
      <c r="D27195">
        <f>IF(B27195=C27195, "YES", "WRONG")</f>
        <v/>
      </c>
    </row>
    <row r="27196">
      <c r="A27196" t="n">
        <v>27195</v>
      </c>
      <c r="B27196" t="inlineStr">
        <is>
          <t>x̄x̄V̅MMCXCV</t>
        </is>
      </c>
      <c r="C27196">
        <f>ROMAN(27195)</f>
        <v/>
      </c>
      <c r="D27196">
        <f>IF(B27196=C27196, "YES", "WRONG")</f>
        <v/>
      </c>
    </row>
    <row r="27197">
      <c r="A27197" t="n">
        <v>27196</v>
      </c>
      <c r="B27197" t="inlineStr">
        <is>
          <t>x̄x̄V̅MMCXCVI</t>
        </is>
      </c>
      <c r="C27197">
        <f>ROMAN(27196)</f>
        <v/>
      </c>
      <c r="D27197">
        <f>IF(B27197=C27197, "YES", "WRONG")</f>
        <v/>
      </c>
    </row>
    <row r="27198">
      <c r="A27198" t="n">
        <v>27197</v>
      </c>
      <c r="B27198" t="inlineStr">
        <is>
          <t>x̄x̄V̅MMCXCVII</t>
        </is>
      </c>
      <c r="C27198">
        <f>ROMAN(27197)</f>
        <v/>
      </c>
      <c r="D27198">
        <f>IF(B27198=C27198, "YES", "WRONG")</f>
        <v/>
      </c>
    </row>
    <row r="27199">
      <c r="A27199" t="n">
        <v>27198</v>
      </c>
      <c r="B27199" t="inlineStr">
        <is>
          <t>x̄x̄V̅MMCXCVIII</t>
        </is>
      </c>
      <c r="C27199">
        <f>ROMAN(27198)</f>
        <v/>
      </c>
      <c r="D27199">
        <f>IF(B27199=C27199, "YES", "WRONG")</f>
        <v/>
      </c>
    </row>
    <row r="27200">
      <c r="A27200" t="n">
        <v>27199</v>
      </c>
      <c r="B27200" t="inlineStr">
        <is>
          <t>x̄x̄V̅MMCXCIX</t>
        </is>
      </c>
      <c r="C27200">
        <f>ROMAN(27199)</f>
        <v/>
      </c>
      <c r="D27200">
        <f>IF(B27200=C27200, "YES", "WRONG")</f>
        <v/>
      </c>
    </row>
    <row r="27201">
      <c r="A27201" t="n">
        <v>27200</v>
      </c>
      <c r="B27201" t="inlineStr">
        <is>
          <t>x̄x̄V̅MMCC</t>
        </is>
      </c>
      <c r="C27201">
        <f>ROMAN(27200)</f>
        <v/>
      </c>
      <c r="D27201">
        <f>IF(B27201=C27201, "YES", "WRONG")</f>
        <v/>
      </c>
    </row>
    <row r="27202">
      <c r="A27202" t="n">
        <v>27201</v>
      </c>
      <c r="B27202" t="inlineStr">
        <is>
          <t>x̄x̄V̅MMCCI</t>
        </is>
      </c>
      <c r="C27202">
        <f>ROMAN(27201)</f>
        <v/>
      </c>
      <c r="D27202">
        <f>IF(B27202=C27202, "YES", "WRONG")</f>
        <v/>
      </c>
    </row>
    <row r="27203">
      <c r="A27203" t="n">
        <v>27202</v>
      </c>
      <c r="B27203" t="inlineStr">
        <is>
          <t>x̄x̄V̅MMCCII</t>
        </is>
      </c>
      <c r="C27203">
        <f>ROMAN(27202)</f>
        <v/>
      </c>
      <c r="D27203">
        <f>IF(B27203=C27203, "YES", "WRONG")</f>
        <v/>
      </c>
    </row>
    <row r="27204">
      <c r="A27204" t="n">
        <v>27203</v>
      </c>
      <c r="B27204" t="inlineStr">
        <is>
          <t>x̄x̄V̅MMCCIII</t>
        </is>
      </c>
      <c r="C27204">
        <f>ROMAN(27203)</f>
        <v/>
      </c>
      <c r="D27204">
        <f>IF(B27204=C27204, "YES", "WRONG")</f>
        <v/>
      </c>
    </row>
    <row r="27205">
      <c r="A27205" t="n">
        <v>27204</v>
      </c>
      <c r="B27205" t="inlineStr">
        <is>
          <t>x̄x̄V̅MMCCIV</t>
        </is>
      </c>
      <c r="C27205">
        <f>ROMAN(27204)</f>
        <v/>
      </c>
      <c r="D27205">
        <f>IF(B27205=C27205, "YES", "WRONG")</f>
        <v/>
      </c>
    </row>
    <row r="27206">
      <c r="A27206" t="n">
        <v>27205</v>
      </c>
      <c r="B27206" t="inlineStr">
        <is>
          <t>x̄x̄V̅MMCCV</t>
        </is>
      </c>
      <c r="C27206">
        <f>ROMAN(27205)</f>
        <v/>
      </c>
      <c r="D27206">
        <f>IF(B27206=C27206, "YES", "WRONG")</f>
        <v/>
      </c>
    </row>
    <row r="27207">
      <c r="A27207" t="n">
        <v>27206</v>
      </c>
      <c r="B27207" t="inlineStr">
        <is>
          <t>x̄x̄V̅MMCCVI</t>
        </is>
      </c>
      <c r="C27207">
        <f>ROMAN(27206)</f>
        <v/>
      </c>
      <c r="D27207">
        <f>IF(B27207=C27207, "YES", "WRONG")</f>
        <v/>
      </c>
    </row>
    <row r="27208">
      <c r="A27208" t="n">
        <v>27207</v>
      </c>
      <c r="B27208" t="inlineStr">
        <is>
          <t>x̄x̄V̅MMCCVII</t>
        </is>
      </c>
      <c r="C27208">
        <f>ROMAN(27207)</f>
        <v/>
      </c>
      <c r="D27208">
        <f>IF(B27208=C27208, "YES", "WRONG")</f>
        <v/>
      </c>
    </row>
    <row r="27209">
      <c r="A27209" t="n">
        <v>27208</v>
      </c>
      <c r="B27209" t="inlineStr">
        <is>
          <t>x̄x̄V̅MMCCVIII</t>
        </is>
      </c>
      <c r="C27209">
        <f>ROMAN(27208)</f>
        <v/>
      </c>
      <c r="D27209">
        <f>IF(B27209=C27209, "YES", "WRONG")</f>
        <v/>
      </c>
    </row>
    <row r="27210">
      <c r="A27210" t="n">
        <v>27209</v>
      </c>
      <c r="B27210" t="inlineStr">
        <is>
          <t>x̄x̄V̅MMCCIX</t>
        </is>
      </c>
      <c r="C27210">
        <f>ROMAN(27209)</f>
        <v/>
      </c>
      <c r="D27210">
        <f>IF(B27210=C27210, "YES", "WRONG")</f>
        <v/>
      </c>
    </row>
    <row r="27211">
      <c r="A27211" t="n">
        <v>27210</v>
      </c>
      <c r="B27211" t="inlineStr">
        <is>
          <t>x̄x̄V̅MMCCX</t>
        </is>
      </c>
      <c r="C27211">
        <f>ROMAN(27210)</f>
        <v/>
      </c>
      <c r="D27211">
        <f>IF(B27211=C27211, "YES", "WRONG")</f>
        <v/>
      </c>
    </row>
    <row r="27212">
      <c r="A27212" t="n">
        <v>27211</v>
      </c>
      <c r="B27212" t="inlineStr">
        <is>
          <t>x̄x̄V̅MMCCXI</t>
        </is>
      </c>
      <c r="C27212">
        <f>ROMAN(27211)</f>
        <v/>
      </c>
      <c r="D27212">
        <f>IF(B27212=C27212, "YES", "WRONG")</f>
        <v/>
      </c>
    </row>
    <row r="27213">
      <c r="A27213" t="n">
        <v>27212</v>
      </c>
      <c r="B27213" t="inlineStr">
        <is>
          <t>x̄x̄V̅MMCCXII</t>
        </is>
      </c>
      <c r="C27213">
        <f>ROMAN(27212)</f>
        <v/>
      </c>
      <c r="D27213">
        <f>IF(B27213=C27213, "YES", "WRONG")</f>
        <v/>
      </c>
    </row>
    <row r="27214">
      <c r="A27214" t="n">
        <v>27213</v>
      </c>
      <c r="B27214" t="inlineStr">
        <is>
          <t>x̄x̄V̅MMCCXIII</t>
        </is>
      </c>
      <c r="C27214">
        <f>ROMAN(27213)</f>
        <v/>
      </c>
      <c r="D27214">
        <f>IF(B27214=C27214, "YES", "WRONG")</f>
        <v/>
      </c>
    </row>
    <row r="27215">
      <c r="A27215" t="n">
        <v>27214</v>
      </c>
      <c r="B27215" t="inlineStr">
        <is>
          <t>x̄x̄V̅MMCCXIV</t>
        </is>
      </c>
      <c r="C27215">
        <f>ROMAN(27214)</f>
        <v/>
      </c>
      <c r="D27215">
        <f>IF(B27215=C27215, "YES", "WRONG")</f>
        <v/>
      </c>
    </row>
    <row r="27216">
      <c r="A27216" t="n">
        <v>27215</v>
      </c>
      <c r="B27216" t="inlineStr">
        <is>
          <t>x̄x̄V̅MMCCXV</t>
        </is>
      </c>
      <c r="C27216">
        <f>ROMAN(27215)</f>
        <v/>
      </c>
      <c r="D27216">
        <f>IF(B27216=C27216, "YES", "WRONG")</f>
        <v/>
      </c>
    </row>
    <row r="27217">
      <c r="A27217" t="n">
        <v>27216</v>
      </c>
      <c r="B27217" t="inlineStr">
        <is>
          <t>x̄x̄V̅MMCCXVI</t>
        </is>
      </c>
      <c r="C27217">
        <f>ROMAN(27216)</f>
        <v/>
      </c>
      <c r="D27217">
        <f>IF(B27217=C27217, "YES", "WRONG")</f>
        <v/>
      </c>
    </row>
    <row r="27218">
      <c r="A27218" t="n">
        <v>27217</v>
      </c>
      <c r="B27218" t="inlineStr">
        <is>
          <t>x̄x̄V̅MMCCXVII</t>
        </is>
      </c>
      <c r="C27218">
        <f>ROMAN(27217)</f>
        <v/>
      </c>
      <c r="D27218">
        <f>IF(B27218=C27218, "YES", "WRONG")</f>
        <v/>
      </c>
    </row>
    <row r="27219">
      <c r="A27219" t="n">
        <v>27218</v>
      </c>
      <c r="B27219" t="inlineStr">
        <is>
          <t>x̄x̄V̅MMCCXVIII</t>
        </is>
      </c>
      <c r="C27219">
        <f>ROMAN(27218)</f>
        <v/>
      </c>
      <c r="D27219">
        <f>IF(B27219=C27219, "YES", "WRONG")</f>
        <v/>
      </c>
    </row>
    <row r="27220">
      <c r="A27220" t="n">
        <v>27219</v>
      </c>
      <c r="B27220" t="inlineStr">
        <is>
          <t>x̄x̄V̅MMCCXIX</t>
        </is>
      </c>
      <c r="C27220">
        <f>ROMAN(27219)</f>
        <v/>
      </c>
      <c r="D27220">
        <f>IF(B27220=C27220, "YES", "WRONG")</f>
        <v/>
      </c>
    </row>
    <row r="27221">
      <c r="A27221" t="n">
        <v>27220</v>
      </c>
      <c r="B27221" t="inlineStr">
        <is>
          <t>x̄x̄V̅MMCCXX</t>
        </is>
      </c>
      <c r="C27221">
        <f>ROMAN(27220)</f>
        <v/>
      </c>
      <c r="D27221">
        <f>IF(B27221=C27221, "YES", "WRONG")</f>
        <v/>
      </c>
    </row>
    <row r="27222">
      <c r="A27222" t="n">
        <v>27221</v>
      </c>
      <c r="B27222" t="inlineStr">
        <is>
          <t>x̄x̄V̅MMCCXXI</t>
        </is>
      </c>
      <c r="C27222">
        <f>ROMAN(27221)</f>
        <v/>
      </c>
      <c r="D27222">
        <f>IF(B27222=C27222, "YES", "WRONG")</f>
        <v/>
      </c>
    </row>
    <row r="27223">
      <c r="A27223" t="n">
        <v>27222</v>
      </c>
      <c r="B27223" t="inlineStr">
        <is>
          <t>x̄x̄V̅MMCCXXII</t>
        </is>
      </c>
      <c r="C27223">
        <f>ROMAN(27222)</f>
        <v/>
      </c>
      <c r="D27223">
        <f>IF(B27223=C27223, "YES", "WRONG")</f>
        <v/>
      </c>
    </row>
    <row r="27224">
      <c r="A27224" t="n">
        <v>27223</v>
      </c>
      <c r="B27224" t="inlineStr">
        <is>
          <t>x̄x̄V̅MMCCXXIII</t>
        </is>
      </c>
      <c r="C27224">
        <f>ROMAN(27223)</f>
        <v/>
      </c>
      <c r="D27224">
        <f>IF(B27224=C27224, "YES", "WRONG")</f>
        <v/>
      </c>
    </row>
    <row r="27225">
      <c r="A27225" t="n">
        <v>27224</v>
      </c>
      <c r="B27225" t="inlineStr">
        <is>
          <t>x̄x̄V̅MMCCXXIV</t>
        </is>
      </c>
      <c r="C27225">
        <f>ROMAN(27224)</f>
        <v/>
      </c>
      <c r="D27225">
        <f>IF(B27225=C27225, "YES", "WRONG")</f>
        <v/>
      </c>
    </row>
    <row r="27226">
      <c r="A27226" t="n">
        <v>27225</v>
      </c>
      <c r="B27226" t="inlineStr">
        <is>
          <t>x̄x̄V̅MMCCXXV</t>
        </is>
      </c>
      <c r="C27226">
        <f>ROMAN(27225)</f>
        <v/>
      </c>
      <c r="D27226">
        <f>IF(B27226=C27226, "YES", "WRONG")</f>
        <v/>
      </c>
    </row>
    <row r="27227">
      <c r="A27227" t="n">
        <v>27226</v>
      </c>
      <c r="B27227" t="inlineStr">
        <is>
          <t>x̄x̄V̅MMCCXXVI</t>
        </is>
      </c>
      <c r="C27227">
        <f>ROMAN(27226)</f>
        <v/>
      </c>
      <c r="D27227">
        <f>IF(B27227=C27227, "YES", "WRONG")</f>
        <v/>
      </c>
    </row>
    <row r="27228">
      <c r="A27228" t="n">
        <v>27227</v>
      </c>
      <c r="B27228" t="inlineStr">
        <is>
          <t>x̄x̄V̅MMCCXXVII</t>
        </is>
      </c>
      <c r="C27228">
        <f>ROMAN(27227)</f>
        <v/>
      </c>
      <c r="D27228">
        <f>IF(B27228=C27228, "YES", "WRONG")</f>
        <v/>
      </c>
    </row>
    <row r="27229">
      <c r="A27229" t="n">
        <v>27228</v>
      </c>
      <c r="B27229" t="inlineStr">
        <is>
          <t>x̄x̄V̅MMCCXXVIII</t>
        </is>
      </c>
      <c r="C27229">
        <f>ROMAN(27228)</f>
        <v/>
      </c>
      <c r="D27229">
        <f>IF(B27229=C27229, "YES", "WRONG")</f>
        <v/>
      </c>
    </row>
    <row r="27230">
      <c r="A27230" t="n">
        <v>27229</v>
      </c>
      <c r="B27230" t="inlineStr">
        <is>
          <t>x̄x̄V̅MMCCXXIX</t>
        </is>
      </c>
      <c r="C27230">
        <f>ROMAN(27229)</f>
        <v/>
      </c>
      <c r="D27230">
        <f>IF(B27230=C27230, "YES", "WRONG")</f>
        <v/>
      </c>
    </row>
    <row r="27231">
      <c r="A27231" t="n">
        <v>27230</v>
      </c>
      <c r="B27231" t="inlineStr">
        <is>
          <t>x̄x̄V̅MMCCXXX</t>
        </is>
      </c>
      <c r="C27231">
        <f>ROMAN(27230)</f>
        <v/>
      </c>
      <c r="D27231">
        <f>IF(B27231=C27231, "YES", "WRONG")</f>
        <v/>
      </c>
    </row>
    <row r="27232">
      <c r="A27232" t="n">
        <v>27231</v>
      </c>
      <c r="B27232" t="inlineStr">
        <is>
          <t>x̄x̄V̅MMCCXXXI</t>
        </is>
      </c>
      <c r="C27232">
        <f>ROMAN(27231)</f>
        <v/>
      </c>
      <c r="D27232">
        <f>IF(B27232=C27232, "YES", "WRONG")</f>
        <v/>
      </c>
    </row>
    <row r="27233">
      <c r="A27233" t="n">
        <v>27232</v>
      </c>
      <c r="B27233" t="inlineStr">
        <is>
          <t>x̄x̄V̅MMCCXXXII</t>
        </is>
      </c>
      <c r="C27233">
        <f>ROMAN(27232)</f>
        <v/>
      </c>
      <c r="D27233">
        <f>IF(B27233=C27233, "YES", "WRONG")</f>
        <v/>
      </c>
    </row>
    <row r="27234">
      <c r="A27234" t="n">
        <v>27233</v>
      </c>
      <c r="B27234" t="inlineStr">
        <is>
          <t>x̄x̄V̅MMCCXXXIII</t>
        </is>
      </c>
      <c r="C27234">
        <f>ROMAN(27233)</f>
        <v/>
      </c>
      <c r="D27234">
        <f>IF(B27234=C27234, "YES", "WRONG")</f>
        <v/>
      </c>
    </row>
    <row r="27235">
      <c r="A27235" t="n">
        <v>27234</v>
      </c>
      <c r="B27235" t="inlineStr">
        <is>
          <t>x̄x̄V̅MMCCXXXIV</t>
        </is>
      </c>
      <c r="C27235">
        <f>ROMAN(27234)</f>
        <v/>
      </c>
      <c r="D27235">
        <f>IF(B27235=C27235, "YES", "WRONG")</f>
        <v/>
      </c>
    </row>
    <row r="27236">
      <c r="A27236" t="n">
        <v>27235</v>
      </c>
      <c r="B27236" t="inlineStr">
        <is>
          <t>x̄x̄V̅MMCCXXXV</t>
        </is>
      </c>
      <c r="C27236">
        <f>ROMAN(27235)</f>
        <v/>
      </c>
      <c r="D27236">
        <f>IF(B27236=C27236, "YES", "WRONG")</f>
        <v/>
      </c>
    </row>
    <row r="27237">
      <c r="A27237" t="n">
        <v>27236</v>
      </c>
      <c r="B27237" t="inlineStr">
        <is>
          <t>x̄x̄V̅MMCCXXXVI</t>
        </is>
      </c>
      <c r="C27237">
        <f>ROMAN(27236)</f>
        <v/>
      </c>
      <c r="D27237">
        <f>IF(B27237=C27237, "YES", "WRONG")</f>
        <v/>
      </c>
    </row>
    <row r="27238">
      <c r="A27238" t="n">
        <v>27237</v>
      </c>
      <c r="B27238" t="inlineStr">
        <is>
          <t>x̄x̄V̅MMCCXXXVII</t>
        </is>
      </c>
      <c r="C27238">
        <f>ROMAN(27237)</f>
        <v/>
      </c>
      <c r="D27238">
        <f>IF(B27238=C27238, "YES", "WRONG")</f>
        <v/>
      </c>
    </row>
    <row r="27239">
      <c r="A27239" t="n">
        <v>27238</v>
      </c>
      <c r="B27239" t="inlineStr">
        <is>
          <t>x̄x̄V̅MMCCXXXVIII</t>
        </is>
      </c>
      <c r="C27239">
        <f>ROMAN(27238)</f>
        <v/>
      </c>
      <c r="D27239">
        <f>IF(B27239=C27239, "YES", "WRONG")</f>
        <v/>
      </c>
    </row>
    <row r="27240">
      <c r="A27240" t="n">
        <v>27239</v>
      </c>
      <c r="B27240" t="inlineStr">
        <is>
          <t>x̄x̄V̅MMCCXXXIX</t>
        </is>
      </c>
      <c r="C27240">
        <f>ROMAN(27239)</f>
        <v/>
      </c>
      <c r="D27240">
        <f>IF(B27240=C27240, "YES", "WRONG")</f>
        <v/>
      </c>
    </row>
    <row r="27241">
      <c r="A27241" t="n">
        <v>27240</v>
      </c>
      <c r="B27241" t="inlineStr">
        <is>
          <t>x̄x̄V̅MMCCXL</t>
        </is>
      </c>
      <c r="C27241">
        <f>ROMAN(27240)</f>
        <v/>
      </c>
      <c r="D27241">
        <f>IF(B27241=C27241, "YES", "WRONG")</f>
        <v/>
      </c>
    </row>
    <row r="27242">
      <c r="A27242" t="n">
        <v>27241</v>
      </c>
      <c r="B27242" t="inlineStr">
        <is>
          <t>x̄x̄V̅MMCCXLI</t>
        </is>
      </c>
      <c r="C27242">
        <f>ROMAN(27241)</f>
        <v/>
      </c>
      <c r="D27242">
        <f>IF(B27242=C27242, "YES", "WRONG")</f>
        <v/>
      </c>
    </row>
    <row r="27243">
      <c r="A27243" t="n">
        <v>27242</v>
      </c>
      <c r="B27243" t="inlineStr">
        <is>
          <t>x̄x̄V̅MMCCXLII</t>
        </is>
      </c>
      <c r="C27243">
        <f>ROMAN(27242)</f>
        <v/>
      </c>
      <c r="D27243">
        <f>IF(B27243=C27243, "YES", "WRONG")</f>
        <v/>
      </c>
    </row>
    <row r="27244">
      <c r="A27244" t="n">
        <v>27243</v>
      </c>
      <c r="B27244" t="inlineStr">
        <is>
          <t>x̄x̄V̅MMCCXLIII</t>
        </is>
      </c>
      <c r="C27244">
        <f>ROMAN(27243)</f>
        <v/>
      </c>
      <c r="D27244">
        <f>IF(B27244=C27244, "YES", "WRONG")</f>
        <v/>
      </c>
    </row>
    <row r="27245">
      <c r="A27245" t="n">
        <v>27244</v>
      </c>
      <c r="B27245" t="inlineStr">
        <is>
          <t>x̄x̄V̅MMCCXLIV</t>
        </is>
      </c>
      <c r="C27245">
        <f>ROMAN(27244)</f>
        <v/>
      </c>
      <c r="D27245">
        <f>IF(B27245=C27245, "YES", "WRONG")</f>
        <v/>
      </c>
    </row>
    <row r="27246">
      <c r="A27246" t="n">
        <v>27245</v>
      </c>
      <c r="B27246" t="inlineStr">
        <is>
          <t>x̄x̄V̅MMCCXLV</t>
        </is>
      </c>
      <c r="C27246">
        <f>ROMAN(27245)</f>
        <v/>
      </c>
      <c r="D27246">
        <f>IF(B27246=C27246, "YES", "WRONG")</f>
        <v/>
      </c>
    </row>
    <row r="27247">
      <c r="A27247" t="n">
        <v>27246</v>
      </c>
      <c r="B27247" t="inlineStr">
        <is>
          <t>x̄x̄V̅MMCCXLVI</t>
        </is>
      </c>
      <c r="C27247">
        <f>ROMAN(27246)</f>
        <v/>
      </c>
      <c r="D27247">
        <f>IF(B27247=C27247, "YES", "WRONG")</f>
        <v/>
      </c>
    </row>
    <row r="27248">
      <c r="A27248" t="n">
        <v>27247</v>
      </c>
      <c r="B27248" t="inlineStr">
        <is>
          <t>x̄x̄V̅MMCCXLVII</t>
        </is>
      </c>
      <c r="C27248">
        <f>ROMAN(27247)</f>
        <v/>
      </c>
      <c r="D27248">
        <f>IF(B27248=C27248, "YES", "WRONG")</f>
        <v/>
      </c>
    </row>
    <row r="27249">
      <c r="A27249" t="n">
        <v>27248</v>
      </c>
      <c r="B27249" t="inlineStr">
        <is>
          <t>x̄x̄V̅MMCCXLVIII</t>
        </is>
      </c>
      <c r="C27249">
        <f>ROMAN(27248)</f>
        <v/>
      </c>
      <c r="D27249">
        <f>IF(B27249=C27249, "YES", "WRONG")</f>
        <v/>
      </c>
    </row>
    <row r="27250">
      <c r="A27250" t="n">
        <v>27249</v>
      </c>
      <c r="B27250" t="inlineStr">
        <is>
          <t>x̄x̄V̅MMCCXLIX</t>
        </is>
      </c>
      <c r="C27250">
        <f>ROMAN(27249)</f>
        <v/>
      </c>
      <c r="D27250">
        <f>IF(B27250=C27250, "YES", "WRONG")</f>
        <v/>
      </c>
    </row>
    <row r="27251">
      <c r="A27251" t="n">
        <v>27250</v>
      </c>
      <c r="B27251" t="inlineStr">
        <is>
          <t>x̄x̄V̅MMCCL</t>
        </is>
      </c>
      <c r="C27251">
        <f>ROMAN(27250)</f>
        <v/>
      </c>
      <c r="D27251">
        <f>IF(B27251=C27251, "YES", "WRONG")</f>
        <v/>
      </c>
    </row>
    <row r="27252">
      <c r="A27252" t="n">
        <v>27251</v>
      </c>
      <c r="B27252" t="inlineStr">
        <is>
          <t>x̄x̄V̅MMCCLI</t>
        </is>
      </c>
      <c r="C27252">
        <f>ROMAN(27251)</f>
        <v/>
      </c>
      <c r="D27252">
        <f>IF(B27252=C27252, "YES", "WRONG")</f>
        <v/>
      </c>
    </row>
    <row r="27253">
      <c r="A27253" t="n">
        <v>27252</v>
      </c>
      <c r="B27253" t="inlineStr">
        <is>
          <t>x̄x̄V̅MMCCLII</t>
        </is>
      </c>
      <c r="C27253">
        <f>ROMAN(27252)</f>
        <v/>
      </c>
      <c r="D27253">
        <f>IF(B27253=C27253, "YES", "WRONG")</f>
        <v/>
      </c>
    </row>
    <row r="27254">
      <c r="A27254" t="n">
        <v>27253</v>
      </c>
      <c r="B27254" t="inlineStr">
        <is>
          <t>x̄x̄V̅MMCCLIII</t>
        </is>
      </c>
      <c r="C27254">
        <f>ROMAN(27253)</f>
        <v/>
      </c>
      <c r="D27254">
        <f>IF(B27254=C27254, "YES", "WRONG")</f>
        <v/>
      </c>
    </row>
    <row r="27255">
      <c r="A27255" t="n">
        <v>27254</v>
      </c>
      <c r="B27255" t="inlineStr">
        <is>
          <t>x̄x̄V̅MMCCLIV</t>
        </is>
      </c>
      <c r="C27255">
        <f>ROMAN(27254)</f>
        <v/>
      </c>
      <c r="D27255">
        <f>IF(B27255=C27255, "YES", "WRONG")</f>
        <v/>
      </c>
    </row>
    <row r="27256">
      <c r="A27256" t="n">
        <v>27255</v>
      </c>
      <c r="B27256" t="inlineStr">
        <is>
          <t>x̄x̄V̅MMCCLV</t>
        </is>
      </c>
      <c r="C27256">
        <f>ROMAN(27255)</f>
        <v/>
      </c>
      <c r="D27256">
        <f>IF(B27256=C27256, "YES", "WRONG")</f>
        <v/>
      </c>
    </row>
    <row r="27257">
      <c r="A27257" t="n">
        <v>27256</v>
      </c>
      <c r="B27257" t="inlineStr">
        <is>
          <t>x̄x̄V̅MMCCLVI</t>
        </is>
      </c>
      <c r="C27257">
        <f>ROMAN(27256)</f>
        <v/>
      </c>
      <c r="D27257">
        <f>IF(B27257=C27257, "YES", "WRONG")</f>
        <v/>
      </c>
    </row>
    <row r="27258">
      <c r="A27258" t="n">
        <v>27257</v>
      </c>
      <c r="B27258" t="inlineStr">
        <is>
          <t>x̄x̄V̅MMCCLVII</t>
        </is>
      </c>
      <c r="C27258">
        <f>ROMAN(27257)</f>
        <v/>
      </c>
      <c r="D27258">
        <f>IF(B27258=C27258, "YES", "WRONG")</f>
        <v/>
      </c>
    </row>
    <row r="27259">
      <c r="A27259" t="n">
        <v>27258</v>
      </c>
      <c r="B27259" t="inlineStr">
        <is>
          <t>x̄x̄V̅MMCCLVIII</t>
        </is>
      </c>
      <c r="C27259">
        <f>ROMAN(27258)</f>
        <v/>
      </c>
      <c r="D27259">
        <f>IF(B27259=C27259, "YES", "WRONG")</f>
        <v/>
      </c>
    </row>
    <row r="27260">
      <c r="A27260" t="n">
        <v>27259</v>
      </c>
      <c r="B27260" t="inlineStr">
        <is>
          <t>x̄x̄V̅MMCCLIX</t>
        </is>
      </c>
      <c r="C27260">
        <f>ROMAN(27259)</f>
        <v/>
      </c>
      <c r="D27260">
        <f>IF(B27260=C27260, "YES", "WRONG")</f>
        <v/>
      </c>
    </row>
    <row r="27261">
      <c r="A27261" t="n">
        <v>27260</v>
      </c>
      <c r="B27261" t="inlineStr">
        <is>
          <t>x̄x̄V̅MMCCLX</t>
        </is>
      </c>
      <c r="C27261">
        <f>ROMAN(27260)</f>
        <v/>
      </c>
      <c r="D27261">
        <f>IF(B27261=C27261, "YES", "WRONG")</f>
        <v/>
      </c>
    </row>
    <row r="27262">
      <c r="A27262" t="n">
        <v>27261</v>
      </c>
      <c r="B27262" t="inlineStr">
        <is>
          <t>x̄x̄V̅MMCCLXI</t>
        </is>
      </c>
      <c r="C27262">
        <f>ROMAN(27261)</f>
        <v/>
      </c>
      <c r="D27262">
        <f>IF(B27262=C27262, "YES", "WRONG")</f>
        <v/>
      </c>
    </row>
    <row r="27263">
      <c r="A27263" t="n">
        <v>27262</v>
      </c>
      <c r="B27263" t="inlineStr">
        <is>
          <t>x̄x̄V̅MMCCLXII</t>
        </is>
      </c>
      <c r="C27263">
        <f>ROMAN(27262)</f>
        <v/>
      </c>
      <c r="D27263">
        <f>IF(B27263=C27263, "YES", "WRONG")</f>
        <v/>
      </c>
    </row>
    <row r="27264">
      <c r="A27264" t="n">
        <v>27263</v>
      </c>
      <c r="B27264" t="inlineStr">
        <is>
          <t>x̄x̄V̅MMCCLXIII</t>
        </is>
      </c>
      <c r="C27264">
        <f>ROMAN(27263)</f>
        <v/>
      </c>
      <c r="D27264">
        <f>IF(B27264=C27264, "YES", "WRONG")</f>
        <v/>
      </c>
    </row>
    <row r="27265">
      <c r="A27265" t="n">
        <v>27264</v>
      </c>
      <c r="B27265" t="inlineStr">
        <is>
          <t>x̄x̄V̅MMCCLXIV</t>
        </is>
      </c>
      <c r="C27265">
        <f>ROMAN(27264)</f>
        <v/>
      </c>
      <c r="D27265">
        <f>IF(B27265=C27265, "YES", "WRONG")</f>
        <v/>
      </c>
    </row>
    <row r="27266">
      <c r="A27266" t="n">
        <v>27265</v>
      </c>
      <c r="B27266" t="inlineStr">
        <is>
          <t>x̄x̄V̅MMCCLXV</t>
        </is>
      </c>
      <c r="C27266">
        <f>ROMAN(27265)</f>
        <v/>
      </c>
      <c r="D27266">
        <f>IF(B27266=C27266, "YES", "WRONG")</f>
        <v/>
      </c>
    </row>
    <row r="27267">
      <c r="A27267" t="n">
        <v>27266</v>
      </c>
      <c r="B27267" t="inlineStr">
        <is>
          <t>x̄x̄V̅MMCCLXVI</t>
        </is>
      </c>
      <c r="C27267">
        <f>ROMAN(27266)</f>
        <v/>
      </c>
      <c r="D27267">
        <f>IF(B27267=C27267, "YES", "WRONG")</f>
        <v/>
      </c>
    </row>
    <row r="27268">
      <c r="A27268" t="n">
        <v>27267</v>
      </c>
      <c r="B27268" t="inlineStr">
        <is>
          <t>x̄x̄V̅MMCCLXVII</t>
        </is>
      </c>
      <c r="C27268">
        <f>ROMAN(27267)</f>
        <v/>
      </c>
      <c r="D27268">
        <f>IF(B27268=C27268, "YES", "WRONG")</f>
        <v/>
      </c>
    </row>
    <row r="27269">
      <c r="A27269" t="n">
        <v>27268</v>
      </c>
      <c r="B27269" t="inlineStr">
        <is>
          <t>x̄x̄V̅MMCCLXVIII</t>
        </is>
      </c>
      <c r="C27269">
        <f>ROMAN(27268)</f>
        <v/>
      </c>
      <c r="D27269">
        <f>IF(B27269=C27269, "YES", "WRONG")</f>
        <v/>
      </c>
    </row>
    <row r="27270">
      <c r="A27270" t="n">
        <v>27269</v>
      </c>
      <c r="B27270" t="inlineStr">
        <is>
          <t>x̄x̄V̅MMCCLXIX</t>
        </is>
      </c>
      <c r="C27270">
        <f>ROMAN(27269)</f>
        <v/>
      </c>
      <c r="D27270">
        <f>IF(B27270=C27270, "YES", "WRONG")</f>
        <v/>
      </c>
    </row>
    <row r="27271">
      <c r="A27271" t="n">
        <v>27270</v>
      </c>
      <c r="B27271" t="inlineStr">
        <is>
          <t>x̄x̄V̅MMCCLXX</t>
        </is>
      </c>
      <c r="C27271">
        <f>ROMAN(27270)</f>
        <v/>
      </c>
      <c r="D27271">
        <f>IF(B27271=C27271, "YES", "WRONG")</f>
        <v/>
      </c>
    </row>
    <row r="27272">
      <c r="A27272" t="n">
        <v>27271</v>
      </c>
      <c r="B27272" t="inlineStr">
        <is>
          <t>x̄x̄V̅MMCCLXXI</t>
        </is>
      </c>
      <c r="C27272">
        <f>ROMAN(27271)</f>
        <v/>
      </c>
      <c r="D27272">
        <f>IF(B27272=C27272, "YES", "WRONG")</f>
        <v/>
      </c>
    </row>
    <row r="27273">
      <c r="A27273" t="n">
        <v>27272</v>
      </c>
      <c r="B27273" t="inlineStr">
        <is>
          <t>x̄x̄V̅MMCCLXXII</t>
        </is>
      </c>
      <c r="C27273">
        <f>ROMAN(27272)</f>
        <v/>
      </c>
      <c r="D27273">
        <f>IF(B27273=C27273, "YES", "WRONG")</f>
        <v/>
      </c>
    </row>
    <row r="27274">
      <c r="A27274" t="n">
        <v>27273</v>
      </c>
      <c r="B27274" t="inlineStr">
        <is>
          <t>x̄x̄V̅MMCCLXXIII</t>
        </is>
      </c>
      <c r="C27274">
        <f>ROMAN(27273)</f>
        <v/>
      </c>
      <c r="D27274">
        <f>IF(B27274=C27274, "YES", "WRONG")</f>
        <v/>
      </c>
    </row>
    <row r="27275">
      <c r="A27275" t="n">
        <v>27274</v>
      </c>
      <c r="B27275" t="inlineStr">
        <is>
          <t>x̄x̄V̅MMCCLXXIV</t>
        </is>
      </c>
      <c r="C27275">
        <f>ROMAN(27274)</f>
        <v/>
      </c>
      <c r="D27275">
        <f>IF(B27275=C27275, "YES", "WRONG")</f>
        <v/>
      </c>
    </row>
    <row r="27276">
      <c r="A27276" t="n">
        <v>27275</v>
      </c>
      <c r="B27276" t="inlineStr">
        <is>
          <t>x̄x̄V̅MMCCLXXV</t>
        </is>
      </c>
      <c r="C27276">
        <f>ROMAN(27275)</f>
        <v/>
      </c>
      <c r="D27276">
        <f>IF(B27276=C27276, "YES", "WRONG")</f>
        <v/>
      </c>
    </row>
    <row r="27277">
      <c r="A27277" t="n">
        <v>27276</v>
      </c>
      <c r="B27277" t="inlineStr">
        <is>
          <t>x̄x̄V̅MMCCLXXVI</t>
        </is>
      </c>
      <c r="C27277">
        <f>ROMAN(27276)</f>
        <v/>
      </c>
      <c r="D27277">
        <f>IF(B27277=C27277, "YES", "WRONG")</f>
        <v/>
      </c>
    </row>
    <row r="27278">
      <c r="A27278" t="n">
        <v>27277</v>
      </c>
      <c r="B27278" t="inlineStr">
        <is>
          <t>x̄x̄V̅MMCCLXXVII</t>
        </is>
      </c>
      <c r="C27278">
        <f>ROMAN(27277)</f>
        <v/>
      </c>
      <c r="D27278">
        <f>IF(B27278=C27278, "YES", "WRONG")</f>
        <v/>
      </c>
    </row>
    <row r="27279">
      <c r="A27279" t="n">
        <v>27278</v>
      </c>
      <c r="B27279" t="inlineStr">
        <is>
          <t>x̄x̄V̅MMCCLXXVIII</t>
        </is>
      </c>
      <c r="C27279">
        <f>ROMAN(27278)</f>
        <v/>
      </c>
      <c r="D27279">
        <f>IF(B27279=C27279, "YES", "WRONG")</f>
        <v/>
      </c>
    </row>
    <row r="27280">
      <c r="A27280" t="n">
        <v>27279</v>
      </c>
      <c r="B27280" t="inlineStr">
        <is>
          <t>x̄x̄V̅MMCCLXXIX</t>
        </is>
      </c>
      <c r="C27280">
        <f>ROMAN(27279)</f>
        <v/>
      </c>
      <c r="D27280">
        <f>IF(B27280=C27280, "YES", "WRONG")</f>
        <v/>
      </c>
    </row>
    <row r="27281">
      <c r="A27281" t="n">
        <v>27280</v>
      </c>
      <c r="B27281" t="inlineStr">
        <is>
          <t>x̄x̄V̅MMCCLXXX</t>
        </is>
      </c>
      <c r="C27281">
        <f>ROMAN(27280)</f>
        <v/>
      </c>
      <c r="D27281">
        <f>IF(B27281=C27281, "YES", "WRONG")</f>
        <v/>
      </c>
    </row>
    <row r="27282">
      <c r="A27282" t="n">
        <v>27281</v>
      </c>
      <c r="B27282" t="inlineStr">
        <is>
          <t>x̄x̄V̅MMCCLXXXI</t>
        </is>
      </c>
      <c r="C27282">
        <f>ROMAN(27281)</f>
        <v/>
      </c>
      <c r="D27282">
        <f>IF(B27282=C27282, "YES", "WRONG")</f>
        <v/>
      </c>
    </row>
    <row r="27283">
      <c r="A27283" t="n">
        <v>27282</v>
      </c>
      <c r="B27283" t="inlineStr">
        <is>
          <t>x̄x̄V̅MMCCLXXXII</t>
        </is>
      </c>
      <c r="C27283">
        <f>ROMAN(27282)</f>
        <v/>
      </c>
      <c r="D27283">
        <f>IF(B27283=C27283, "YES", "WRONG")</f>
        <v/>
      </c>
    </row>
    <row r="27284">
      <c r="A27284" t="n">
        <v>27283</v>
      </c>
      <c r="B27284" t="inlineStr">
        <is>
          <t>x̄x̄V̅MMCCLXXXIII</t>
        </is>
      </c>
      <c r="C27284">
        <f>ROMAN(27283)</f>
        <v/>
      </c>
      <c r="D27284">
        <f>IF(B27284=C27284, "YES", "WRONG")</f>
        <v/>
      </c>
    </row>
    <row r="27285">
      <c r="A27285" t="n">
        <v>27284</v>
      </c>
      <c r="B27285" t="inlineStr">
        <is>
          <t>x̄x̄V̅MMCCLXXXIV</t>
        </is>
      </c>
      <c r="C27285">
        <f>ROMAN(27284)</f>
        <v/>
      </c>
      <c r="D27285">
        <f>IF(B27285=C27285, "YES", "WRONG")</f>
        <v/>
      </c>
    </row>
    <row r="27286">
      <c r="A27286" t="n">
        <v>27285</v>
      </c>
      <c r="B27286" t="inlineStr">
        <is>
          <t>x̄x̄V̅MMCCLXXXV</t>
        </is>
      </c>
      <c r="C27286">
        <f>ROMAN(27285)</f>
        <v/>
      </c>
      <c r="D27286">
        <f>IF(B27286=C27286, "YES", "WRONG")</f>
        <v/>
      </c>
    </row>
    <row r="27287">
      <c r="A27287" t="n">
        <v>27286</v>
      </c>
      <c r="B27287" t="inlineStr">
        <is>
          <t>x̄x̄V̅MMCCLXXXVI</t>
        </is>
      </c>
      <c r="C27287">
        <f>ROMAN(27286)</f>
        <v/>
      </c>
      <c r="D27287">
        <f>IF(B27287=C27287, "YES", "WRONG")</f>
        <v/>
      </c>
    </row>
    <row r="27288">
      <c r="A27288" t="n">
        <v>27287</v>
      </c>
      <c r="B27288" t="inlineStr">
        <is>
          <t>x̄x̄V̅MMCCLXXXVII</t>
        </is>
      </c>
      <c r="C27288">
        <f>ROMAN(27287)</f>
        <v/>
      </c>
      <c r="D27288">
        <f>IF(B27288=C27288, "YES", "WRONG")</f>
        <v/>
      </c>
    </row>
    <row r="27289">
      <c r="A27289" t="n">
        <v>27288</v>
      </c>
      <c r="B27289" t="inlineStr">
        <is>
          <t>x̄x̄V̅MMCCLXXXVIII</t>
        </is>
      </c>
      <c r="C27289">
        <f>ROMAN(27288)</f>
        <v/>
      </c>
      <c r="D27289">
        <f>IF(B27289=C27289, "YES", "WRONG")</f>
        <v/>
      </c>
    </row>
    <row r="27290">
      <c r="A27290" t="n">
        <v>27289</v>
      </c>
      <c r="B27290" t="inlineStr">
        <is>
          <t>x̄x̄V̅MMCCLXXXIX</t>
        </is>
      </c>
      <c r="C27290">
        <f>ROMAN(27289)</f>
        <v/>
      </c>
      <c r="D27290">
        <f>IF(B27290=C27290, "YES", "WRONG")</f>
        <v/>
      </c>
    </row>
    <row r="27291">
      <c r="A27291" t="n">
        <v>27290</v>
      </c>
      <c r="B27291" t="inlineStr">
        <is>
          <t>x̄x̄V̅MMCCXC</t>
        </is>
      </c>
      <c r="C27291">
        <f>ROMAN(27290)</f>
        <v/>
      </c>
      <c r="D27291">
        <f>IF(B27291=C27291, "YES", "WRONG")</f>
        <v/>
      </c>
    </row>
    <row r="27292">
      <c r="A27292" t="n">
        <v>27291</v>
      </c>
      <c r="B27292" t="inlineStr">
        <is>
          <t>x̄x̄V̅MMCCXCI</t>
        </is>
      </c>
      <c r="C27292">
        <f>ROMAN(27291)</f>
        <v/>
      </c>
      <c r="D27292">
        <f>IF(B27292=C27292, "YES", "WRONG")</f>
        <v/>
      </c>
    </row>
    <row r="27293">
      <c r="A27293" t="n">
        <v>27292</v>
      </c>
      <c r="B27293" t="inlineStr">
        <is>
          <t>x̄x̄V̅MMCCXCII</t>
        </is>
      </c>
      <c r="C27293">
        <f>ROMAN(27292)</f>
        <v/>
      </c>
      <c r="D27293">
        <f>IF(B27293=C27293, "YES", "WRONG")</f>
        <v/>
      </c>
    </row>
    <row r="27294">
      <c r="A27294" t="n">
        <v>27293</v>
      </c>
      <c r="B27294" t="inlineStr">
        <is>
          <t>x̄x̄V̅MMCCXCIII</t>
        </is>
      </c>
      <c r="C27294">
        <f>ROMAN(27293)</f>
        <v/>
      </c>
      <c r="D27294">
        <f>IF(B27294=C27294, "YES", "WRONG")</f>
        <v/>
      </c>
    </row>
    <row r="27295">
      <c r="A27295" t="n">
        <v>27294</v>
      </c>
      <c r="B27295" t="inlineStr">
        <is>
          <t>x̄x̄V̅MMCCXCIV</t>
        </is>
      </c>
      <c r="C27295">
        <f>ROMAN(27294)</f>
        <v/>
      </c>
      <c r="D27295">
        <f>IF(B27295=C27295, "YES", "WRONG")</f>
        <v/>
      </c>
    </row>
    <row r="27296">
      <c r="A27296" t="n">
        <v>27295</v>
      </c>
      <c r="B27296" t="inlineStr">
        <is>
          <t>x̄x̄V̅MMCCXCV</t>
        </is>
      </c>
      <c r="C27296">
        <f>ROMAN(27295)</f>
        <v/>
      </c>
      <c r="D27296">
        <f>IF(B27296=C27296, "YES", "WRONG")</f>
        <v/>
      </c>
    </row>
    <row r="27297">
      <c r="A27297" t="n">
        <v>27296</v>
      </c>
      <c r="B27297" t="inlineStr">
        <is>
          <t>x̄x̄V̅MMCCXCVI</t>
        </is>
      </c>
      <c r="C27297">
        <f>ROMAN(27296)</f>
        <v/>
      </c>
      <c r="D27297">
        <f>IF(B27297=C27297, "YES", "WRONG")</f>
        <v/>
      </c>
    </row>
    <row r="27298">
      <c r="A27298" t="n">
        <v>27297</v>
      </c>
      <c r="B27298" t="inlineStr">
        <is>
          <t>x̄x̄V̅MMCCXCVII</t>
        </is>
      </c>
      <c r="C27298">
        <f>ROMAN(27297)</f>
        <v/>
      </c>
      <c r="D27298">
        <f>IF(B27298=C27298, "YES", "WRONG")</f>
        <v/>
      </c>
    </row>
    <row r="27299">
      <c r="A27299" t="n">
        <v>27298</v>
      </c>
      <c r="B27299" t="inlineStr">
        <is>
          <t>x̄x̄V̅MMCCXCVIII</t>
        </is>
      </c>
      <c r="C27299">
        <f>ROMAN(27298)</f>
        <v/>
      </c>
      <c r="D27299">
        <f>IF(B27299=C27299, "YES", "WRONG")</f>
        <v/>
      </c>
    </row>
    <row r="27300">
      <c r="A27300" t="n">
        <v>27299</v>
      </c>
      <c r="B27300" t="inlineStr">
        <is>
          <t>x̄x̄V̅MMCCXCIX</t>
        </is>
      </c>
      <c r="C27300">
        <f>ROMAN(27299)</f>
        <v/>
      </c>
      <c r="D27300">
        <f>IF(B27300=C27300, "YES", "WRONG")</f>
        <v/>
      </c>
    </row>
    <row r="27301">
      <c r="A27301" t="n">
        <v>27300</v>
      </c>
      <c r="B27301" t="inlineStr">
        <is>
          <t>x̄x̄V̅MMCCC</t>
        </is>
      </c>
      <c r="C27301">
        <f>ROMAN(27300)</f>
        <v/>
      </c>
      <c r="D27301">
        <f>IF(B27301=C27301, "YES", "WRONG")</f>
        <v/>
      </c>
    </row>
    <row r="27302">
      <c r="A27302" t="n">
        <v>27301</v>
      </c>
      <c r="B27302" t="inlineStr">
        <is>
          <t>x̄x̄V̅MMCCCI</t>
        </is>
      </c>
      <c r="C27302">
        <f>ROMAN(27301)</f>
        <v/>
      </c>
      <c r="D27302">
        <f>IF(B27302=C27302, "YES", "WRONG")</f>
        <v/>
      </c>
    </row>
    <row r="27303">
      <c r="A27303" t="n">
        <v>27302</v>
      </c>
      <c r="B27303" t="inlineStr">
        <is>
          <t>x̄x̄V̅MMCCCII</t>
        </is>
      </c>
      <c r="C27303">
        <f>ROMAN(27302)</f>
        <v/>
      </c>
      <c r="D27303">
        <f>IF(B27303=C27303, "YES", "WRONG")</f>
        <v/>
      </c>
    </row>
    <row r="27304">
      <c r="A27304" t="n">
        <v>27303</v>
      </c>
      <c r="B27304" t="inlineStr">
        <is>
          <t>x̄x̄V̅MMCCCIII</t>
        </is>
      </c>
      <c r="C27304">
        <f>ROMAN(27303)</f>
        <v/>
      </c>
      <c r="D27304">
        <f>IF(B27304=C27304, "YES", "WRONG")</f>
        <v/>
      </c>
    </row>
    <row r="27305">
      <c r="A27305" t="n">
        <v>27304</v>
      </c>
      <c r="B27305" t="inlineStr">
        <is>
          <t>x̄x̄V̅MMCCCIV</t>
        </is>
      </c>
      <c r="C27305">
        <f>ROMAN(27304)</f>
        <v/>
      </c>
      <c r="D27305">
        <f>IF(B27305=C27305, "YES", "WRONG")</f>
        <v/>
      </c>
    </row>
    <row r="27306">
      <c r="A27306" t="n">
        <v>27305</v>
      </c>
      <c r="B27306" t="inlineStr">
        <is>
          <t>x̄x̄V̅MMCCCV</t>
        </is>
      </c>
      <c r="C27306">
        <f>ROMAN(27305)</f>
        <v/>
      </c>
      <c r="D27306">
        <f>IF(B27306=C27306, "YES", "WRONG")</f>
        <v/>
      </c>
    </row>
    <row r="27307">
      <c r="A27307" t="n">
        <v>27306</v>
      </c>
      <c r="B27307" t="inlineStr">
        <is>
          <t>x̄x̄V̅MMCCCVI</t>
        </is>
      </c>
      <c r="C27307">
        <f>ROMAN(27306)</f>
        <v/>
      </c>
      <c r="D27307">
        <f>IF(B27307=C27307, "YES", "WRONG")</f>
        <v/>
      </c>
    </row>
    <row r="27308">
      <c r="A27308" t="n">
        <v>27307</v>
      </c>
      <c r="B27308" t="inlineStr">
        <is>
          <t>x̄x̄V̅MMCCCVII</t>
        </is>
      </c>
      <c r="C27308">
        <f>ROMAN(27307)</f>
        <v/>
      </c>
      <c r="D27308">
        <f>IF(B27308=C27308, "YES", "WRONG")</f>
        <v/>
      </c>
    </row>
    <row r="27309">
      <c r="A27309" t="n">
        <v>27308</v>
      </c>
      <c r="B27309" t="inlineStr">
        <is>
          <t>x̄x̄V̅MMCCCVIII</t>
        </is>
      </c>
      <c r="C27309">
        <f>ROMAN(27308)</f>
        <v/>
      </c>
      <c r="D27309">
        <f>IF(B27309=C27309, "YES", "WRONG")</f>
        <v/>
      </c>
    </row>
    <row r="27310">
      <c r="A27310" t="n">
        <v>27309</v>
      </c>
      <c r="B27310" t="inlineStr">
        <is>
          <t>x̄x̄V̅MMCCCIX</t>
        </is>
      </c>
      <c r="C27310">
        <f>ROMAN(27309)</f>
        <v/>
      </c>
      <c r="D27310">
        <f>IF(B27310=C27310, "YES", "WRONG")</f>
        <v/>
      </c>
    </row>
    <row r="27311">
      <c r="A27311" t="n">
        <v>27310</v>
      </c>
      <c r="B27311" t="inlineStr">
        <is>
          <t>x̄x̄V̅MMCCCX</t>
        </is>
      </c>
      <c r="C27311">
        <f>ROMAN(27310)</f>
        <v/>
      </c>
      <c r="D27311">
        <f>IF(B27311=C27311, "YES", "WRONG")</f>
        <v/>
      </c>
    </row>
    <row r="27312">
      <c r="A27312" t="n">
        <v>27311</v>
      </c>
      <c r="B27312" t="inlineStr">
        <is>
          <t>x̄x̄V̅MMCCCXI</t>
        </is>
      </c>
      <c r="C27312">
        <f>ROMAN(27311)</f>
        <v/>
      </c>
      <c r="D27312">
        <f>IF(B27312=C27312, "YES", "WRONG")</f>
        <v/>
      </c>
    </row>
    <row r="27313">
      <c r="A27313" t="n">
        <v>27312</v>
      </c>
      <c r="B27313" t="inlineStr">
        <is>
          <t>x̄x̄V̅MMCCCXII</t>
        </is>
      </c>
      <c r="C27313">
        <f>ROMAN(27312)</f>
        <v/>
      </c>
      <c r="D27313">
        <f>IF(B27313=C27313, "YES", "WRONG")</f>
        <v/>
      </c>
    </row>
    <row r="27314">
      <c r="A27314" t="n">
        <v>27313</v>
      </c>
      <c r="B27314" t="inlineStr">
        <is>
          <t>x̄x̄V̅MMCCCXIII</t>
        </is>
      </c>
      <c r="C27314">
        <f>ROMAN(27313)</f>
        <v/>
      </c>
      <c r="D27314">
        <f>IF(B27314=C27314, "YES", "WRONG")</f>
        <v/>
      </c>
    </row>
    <row r="27315">
      <c r="A27315" t="n">
        <v>27314</v>
      </c>
      <c r="B27315" t="inlineStr">
        <is>
          <t>x̄x̄V̅MMCCCXIV</t>
        </is>
      </c>
      <c r="C27315">
        <f>ROMAN(27314)</f>
        <v/>
      </c>
      <c r="D27315">
        <f>IF(B27315=C27315, "YES", "WRONG")</f>
        <v/>
      </c>
    </row>
    <row r="27316">
      <c r="A27316" t="n">
        <v>27315</v>
      </c>
      <c r="B27316" t="inlineStr">
        <is>
          <t>x̄x̄V̅MMCCCXV</t>
        </is>
      </c>
      <c r="C27316">
        <f>ROMAN(27315)</f>
        <v/>
      </c>
      <c r="D27316">
        <f>IF(B27316=C27316, "YES", "WRONG")</f>
        <v/>
      </c>
    </row>
    <row r="27317">
      <c r="A27317" t="n">
        <v>27316</v>
      </c>
      <c r="B27317" t="inlineStr">
        <is>
          <t>x̄x̄V̅MMCCCXVI</t>
        </is>
      </c>
      <c r="C27317">
        <f>ROMAN(27316)</f>
        <v/>
      </c>
      <c r="D27317">
        <f>IF(B27317=C27317, "YES", "WRONG")</f>
        <v/>
      </c>
    </row>
    <row r="27318">
      <c r="A27318" t="n">
        <v>27317</v>
      </c>
      <c r="B27318" t="inlineStr">
        <is>
          <t>x̄x̄V̅MMCCCXVII</t>
        </is>
      </c>
      <c r="C27318">
        <f>ROMAN(27317)</f>
        <v/>
      </c>
      <c r="D27318">
        <f>IF(B27318=C27318, "YES", "WRONG")</f>
        <v/>
      </c>
    </row>
    <row r="27319">
      <c r="A27319" t="n">
        <v>27318</v>
      </c>
      <c r="B27319" t="inlineStr">
        <is>
          <t>x̄x̄V̅MMCCCXVIII</t>
        </is>
      </c>
      <c r="C27319">
        <f>ROMAN(27318)</f>
        <v/>
      </c>
      <c r="D27319">
        <f>IF(B27319=C27319, "YES", "WRONG")</f>
        <v/>
      </c>
    </row>
    <row r="27320">
      <c r="A27320" t="n">
        <v>27319</v>
      </c>
      <c r="B27320" t="inlineStr">
        <is>
          <t>x̄x̄V̅MMCCCXIX</t>
        </is>
      </c>
      <c r="C27320">
        <f>ROMAN(27319)</f>
        <v/>
      </c>
      <c r="D27320">
        <f>IF(B27320=C27320, "YES", "WRONG")</f>
        <v/>
      </c>
    </row>
    <row r="27321">
      <c r="A27321" t="n">
        <v>27320</v>
      </c>
      <c r="B27321" t="inlineStr">
        <is>
          <t>x̄x̄V̅MMCCCXX</t>
        </is>
      </c>
      <c r="C27321">
        <f>ROMAN(27320)</f>
        <v/>
      </c>
      <c r="D27321">
        <f>IF(B27321=C27321, "YES", "WRONG")</f>
        <v/>
      </c>
    </row>
    <row r="27322">
      <c r="A27322" t="n">
        <v>27321</v>
      </c>
      <c r="B27322" t="inlineStr">
        <is>
          <t>x̄x̄V̅MMCCCXXI</t>
        </is>
      </c>
      <c r="C27322">
        <f>ROMAN(27321)</f>
        <v/>
      </c>
      <c r="D27322">
        <f>IF(B27322=C27322, "YES", "WRONG")</f>
        <v/>
      </c>
    </row>
    <row r="27323">
      <c r="A27323" t="n">
        <v>27322</v>
      </c>
      <c r="B27323" t="inlineStr">
        <is>
          <t>x̄x̄V̅MMCCCXXII</t>
        </is>
      </c>
      <c r="C27323">
        <f>ROMAN(27322)</f>
        <v/>
      </c>
      <c r="D27323">
        <f>IF(B27323=C27323, "YES", "WRONG")</f>
        <v/>
      </c>
    </row>
    <row r="27324">
      <c r="A27324" t="n">
        <v>27323</v>
      </c>
      <c r="B27324" t="inlineStr">
        <is>
          <t>x̄x̄V̅MMCCCXXIII</t>
        </is>
      </c>
      <c r="C27324">
        <f>ROMAN(27323)</f>
        <v/>
      </c>
      <c r="D27324">
        <f>IF(B27324=C27324, "YES", "WRONG")</f>
        <v/>
      </c>
    </row>
    <row r="27325">
      <c r="A27325" t="n">
        <v>27324</v>
      </c>
      <c r="B27325" t="inlineStr">
        <is>
          <t>x̄x̄V̅MMCCCXXIV</t>
        </is>
      </c>
      <c r="C27325">
        <f>ROMAN(27324)</f>
        <v/>
      </c>
      <c r="D27325">
        <f>IF(B27325=C27325, "YES", "WRONG")</f>
        <v/>
      </c>
    </row>
    <row r="27326">
      <c r="A27326" t="n">
        <v>27325</v>
      </c>
      <c r="B27326" t="inlineStr">
        <is>
          <t>x̄x̄V̅MMCCCXXV</t>
        </is>
      </c>
      <c r="C27326">
        <f>ROMAN(27325)</f>
        <v/>
      </c>
      <c r="D27326">
        <f>IF(B27326=C27326, "YES", "WRONG")</f>
        <v/>
      </c>
    </row>
    <row r="27327">
      <c r="A27327" t="n">
        <v>27326</v>
      </c>
      <c r="B27327" t="inlineStr">
        <is>
          <t>x̄x̄V̅MMCCCXXVI</t>
        </is>
      </c>
      <c r="C27327">
        <f>ROMAN(27326)</f>
        <v/>
      </c>
      <c r="D27327">
        <f>IF(B27327=C27327, "YES", "WRONG")</f>
        <v/>
      </c>
    </row>
    <row r="27328">
      <c r="A27328" t="n">
        <v>27327</v>
      </c>
      <c r="B27328" t="inlineStr">
        <is>
          <t>x̄x̄V̅MMCCCXXVII</t>
        </is>
      </c>
      <c r="C27328">
        <f>ROMAN(27327)</f>
        <v/>
      </c>
      <c r="D27328">
        <f>IF(B27328=C27328, "YES", "WRONG")</f>
        <v/>
      </c>
    </row>
    <row r="27329">
      <c r="A27329" t="n">
        <v>27328</v>
      </c>
      <c r="B27329" t="inlineStr">
        <is>
          <t>x̄x̄V̅MMCCCXXVIII</t>
        </is>
      </c>
      <c r="C27329">
        <f>ROMAN(27328)</f>
        <v/>
      </c>
      <c r="D27329">
        <f>IF(B27329=C27329, "YES", "WRONG")</f>
        <v/>
      </c>
    </row>
    <row r="27330">
      <c r="A27330" t="n">
        <v>27329</v>
      </c>
      <c r="B27330" t="inlineStr">
        <is>
          <t>x̄x̄V̅MMCCCXXIX</t>
        </is>
      </c>
      <c r="C27330">
        <f>ROMAN(27329)</f>
        <v/>
      </c>
      <c r="D27330">
        <f>IF(B27330=C27330, "YES", "WRONG")</f>
        <v/>
      </c>
    </row>
    <row r="27331">
      <c r="A27331" t="n">
        <v>27330</v>
      </c>
      <c r="B27331" t="inlineStr">
        <is>
          <t>x̄x̄V̅MMCCCXXX</t>
        </is>
      </c>
      <c r="C27331">
        <f>ROMAN(27330)</f>
        <v/>
      </c>
      <c r="D27331">
        <f>IF(B27331=C27331, "YES", "WRONG")</f>
        <v/>
      </c>
    </row>
    <row r="27332">
      <c r="A27332" t="n">
        <v>27331</v>
      </c>
      <c r="B27332" t="inlineStr">
        <is>
          <t>x̄x̄V̅MMCCCXXXI</t>
        </is>
      </c>
      <c r="C27332">
        <f>ROMAN(27331)</f>
        <v/>
      </c>
      <c r="D27332">
        <f>IF(B27332=C27332, "YES", "WRONG")</f>
        <v/>
      </c>
    </row>
    <row r="27333">
      <c r="A27333" t="n">
        <v>27332</v>
      </c>
      <c r="B27333" t="inlineStr">
        <is>
          <t>x̄x̄V̅MMCCCXXXII</t>
        </is>
      </c>
      <c r="C27333">
        <f>ROMAN(27332)</f>
        <v/>
      </c>
      <c r="D27333">
        <f>IF(B27333=C27333, "YES", "WRONG")</f>
        <v/>
      </c>
    </row>
    <row r="27334">
      <c r="A27334" t="n">
        <v>27333</v>
      </c>
      <c r="B27334" t="inlineStr">
        <is>
          <t>x̄x̄V̅MMCCCXXXIII</t>
        </is>
      </c>
      <c r="C27334">
        <f>ROMAN(27333)</f>
        <v/>
      </c>
      <c r="D27334">
        <f>IF(B27334=C27334, "YES", "WRONG")</f>
        <v/>
      </c>
    </row>
    <row r="27335">
      <c r="A27335" t="n">
        <v>27334</v>
      </c>
      <c r="B27335" t="inlineStr">
        <is>
          <t>x̄x̄V̅MMCCCXXXIV</t>
        </is>
      </c>
      <c r="C27335">
        <f>ROMAN(27334)</f>
        <v/>
      </c>
      <c r="D27335">
        <f>IF(B27335=C27335, "YES", "WRONG")</f>
        <v/>
      </c>
    </row>
    <row r="27336">
      <c r="A27336" t="n">
        <v>27335</v>
      </c>
      <c r="B27336" t="inlineStr">
        <is>
          <t>x̄x̄V̅MMCCCXXXV</t>
        </is>
      </c>
      <c r="C27336">
        <f>ROMAN(27335)</f>
        <v/>
      </c>
      <c r="D27336">
        <f>IF(B27336=C27336, "YES", "WRONG")</f>
        <v/>
      </c>
    </row>
    <row r="27337">
      <c r="A27337" t="n">
        <v>27336</v>
      </c>
      <c r="B27337" t="inlineStr">
        <is>
          <t>x̄x̄V̅MMCCCXXXVI</t>
        </is>
      </c>
      <c r="C27337">
        <f>ROMAN(27336)</f>
        <v/>
      </c>
      <c r="D27337">
        <f>IF(B27337=C27337, "YES", "WRONG")</f>
        <v/>
      </c>
    </row>
    <row r="27338">
      <c r="A27338" t="n">
        <v>27337</v>
      </c>
      <c r="B27338" t="inlineStr">
        <is>
          <t>x̄x̄V̅MMCCCXXXVII</t>
        </is>
      </c>
      <c r="C27338">
        <f>ROMAN(27337)</f>
        <v/>
      </c>
      <c r="D27338">
        <f>IF(B27338=C27338, "YES", "WRONG")</f>
        <v/>
      </c>
    </row>
    <row r="27339">
      <c r="A27339" t="n">
        <v>27338</v>
      </c>
      <c r="B27339" t="inlineStr">
        <is>
          <t>x̄x̄V̅MMCCCXXXVIII</t>
        </is>
      </c>
      <c r="C27339">
        <f>ROMAN(27338)</f>
        <v/>
      </c>
      <c r="D27339">
        <f>IF(B27339=C27339, "YES", "WRONG")</f>
        <v/>
      </c>
    </row>
    <row r="27340">
      <c r="A27340" t="n">
        <v>27339</v>
      </c>
      <c r="B27340" t="inlineStr">
        <is>
          <t>x̄x̄V̅MMCCCXXXIX</t>
        </is>
      </c>
      <c r="C27340">
        <f>ROMAN(27339)</f>
        <v/>
      </c>
      <c r="D27340">
        <f>IF(B27340=C27340, "YES", "WRONG")</f>
        <v/>
      </c>
    </row>
    <row r="27341">
      <c r="A27341" t="n">
        <v>27340</v>
      </c>
      <c r="B27341" t="inlineStr">
        <is>
          <t>x̄x̄V̅MMCCCXL</t>
        </is>
      </c>
      <c r="C27341">
        <f>ROMAN(27340)</f>
        <v/>
      </c>
      <c r="D27341">
        <f>IF(B27341=C27341, "YES", "WRONG")</f>
        <v/>
      </c>
    </row>
    <row r="27342">
      <c r="A27342" t="n">
        <v>27341</v>
      </c>
      <c r="B27342" t="inlineStr">
        <is>
          <t>x̄x̄V̅MMCCCXLI</t>
        </is>
      </c>
      <c r="C27342">
        <f>ROMAN(27341)</f>
        <v/>
      </c>
      <c r="D27342">
        <f>IF(B27342=C27342, "YES", "WRONG")</f>
        <v/>
      </c>
    </row>
    <row r="27343">
      <c r="A27343" t="n">
        <v>27342</v>
      </c>
      <c r="B27343" t="inlineStr">
        <is>
          <t>x̄x̄V̅MMCCCXLII</t>
        </is>
      </c>
      <c r="C27343">
        <f>ROMAN(27342)</f>
        <v/>
      </c>
      <c r="D27343">
        <f>IF(B27343=C27343, "YES", "WRONG")</f>
        <v/>
      </c>
    </row>
    <row r="27344">
      <c r="A27344" t="n">
        <v>27343</v>
      </c>
      <c r="B27344" t="inlineStr">
        <is>
          <t>x̄x̄V̅MMCCCXLIII</t>
        </is>
      </c>
      <c r="C27344">
        <f>ROMAN(27343)</f>
        <v/>
      </c>
      <c r="D27344">
        <f>IF(B27344=C27344, "YES", "WRONG")</f>
        <v/>
      </c>
    </row>
    <row r="27345">
      <c r="A27345" t="n">
        <v>27344</v>
      </c>
      <c r="B27345" t="inlineStr">
        <is>
          <t>x̄x̄V̅MMCCCXLIV</t>
        </is>
      </c>
      <c r="C27345">
        <f>ROMAN(27344)</f>
        <v/>
      </c>
      <c r="D27345">
        <f>IF(B27345=C27345, "YES", "WRONG")</f>
        <v/>
      </c>
    </row>
    <row r="27346">
      <c r="A27346" t="n">
        <v>27345</v>
      </c>
      <c r="B27346" t="inlineStr">
        <is>
          <t>x̄x̄V̅MMCCCXLV</t>
        </is>
      </c>
      <c r="C27346">
        <f>ROMAN(27345)</f>
        <v/>
      </c>
      <c r="D27346">
        <f>IF(B27346=C27346, "YES", "WRONG")</f>
        <v/>
      </c>
    </row>
    <row r="27347">
      <c r="A27347" t="n">
        <v>27346</v>
      </c>
      <c r="B27347" t="inlineStr">
        <is>
          <t>x̄x̄V̅MMCCCXLVI</t>
        </is>
      </c>
      <c r="C27347">
        <f>ROMAN(27346)</f>
        <v/>
      </c>
      <c r="D27347">
        <f>IF(B27347=C27347, "YES", "WRONG")</f>
        <v/>
      </c>
    </row>
    <row r="27348">
      <c r="A27348" t="n">
        <v>27347</v>
      </c>
      <c r="B27348" t="inlineStr">
        <is>
          <t>x̄x̄V̅MMCCCXLVII</t>
        </is>
      </c>
      <c r="C27348">
        <f>ROMAN(27347)</f>
        <v/>
      </c>
      <c r="D27348">
        <f>IF(B27348=C27348, "YES", "WRONG")</f>
        <v/>
      </c>
    </row>
    <row r="27349">
      <c r="A27349" t="n">
        <v>27348</v>
      </c>
      <c r="B27349" t="inlineStr">
        <is>
          <t>x̄x̄V̅MMCCCXLVIII</t>
        </is>
      </c>
      <c r="C27349">
        <f>ROMAN(27348)</f>
        <v/>
      </c>
      <c r="D27349">
        <f>IF(B27349=C27349, "YES", "WRONG")</f>
        <v/>
      </c>
    </row>
    <row r="27350">
      <c r="A27350" t="n">
        <v>27349</v>
      </c>
      <c r="B27350" t="inlineStr">
        <is>
          <t>x̄x̄V̅MMCCCXLIX</t>
        </is>
      </c>
      <c r="C27350">
        <f>ROMAN(27349)</f>
        <v/>
      </c>
      <c r="D27350">
        <f>IF(B27350=C27350, "YES", "WRONG")</f>
        <v/>
      </c>
    </row>
    <row r="27351">
      <c r="A27351" t="n">
        <v>27350</v>
      </c>
      <c r="B27351" t="inlineStr">
        <is>
          <t>x̄x̄V̅MMCCCL</t>
        </is>
      </c>
      <c r="C27351">
        <f>ROMAN(27350)</f>
        <v/>
      </c>
      <c r="D27351">
        <f>IF(B27351=C27351, "YES", "WRONG")</f>
        <v/>
      </c>
    </row>
    <row r="27352">
      <c r="A27352" t="n">
        <v>27351</v>
      </c>
      <c r="B27352" t="inlineStr">
        <is>
          <t>x̄x̄V̅MMCCCLI</t>
        </is>
      </c>
      <c r="C27352">
        <f>ROMAN(27351)</f>
        <v/>
      </c>
      <c r="D27352">
        <f>IF(B27352=C27352, "YES", "WRONG")</f>
        <v/>
      </c>
    </row>
    <row r="27353">
      <c r="A27353" t="n">
        <v>27352</v>
      </c>
      <c r="B27353" t="inlineStr">
        <is>
          <t>x̄x̄V̅MMCCCLII</t>
        </is>
      </c>
      <c r="C27353">
        <f>ROMAN(27352)</f>
        <v/>
      </c>
      <c r="D27353">
        <f>IF(B27353=C27353, "YES", "WRONG")</f>
        <v/>
      </c>
    </row>
    <row r="27354">
      <c r="A27354" t="n">
        <v>27353</v>
      </c>
      <c r="B27354" t="inlineStr">
        <is>
          <t>x̄x̄V̅MMCCCLIII</t>
        </is>
      </c>
      <c r="C27354">
        <f>ROMAN(27353)</f>
        <v/>
      </c>
      <c r="D27354">
        <f>IF(B27354=C27354, "YES", "WRONG")</f>
        <v/>
      </c>
    </row>
    <row r="27355">
      <c r="A27355" t="n">
        <v>27354</v>
      </c>
      <c r="B27355" t="inlineStr">
        <is>
          <t>x̄x̄V̅MMCCCLIV</t>
        </is>
      </c>
      <c r="C27355">
        <f>ROMAN(27354)</f>
        <v/>
      </c>
      <c r="D27355">
        <f>IF(B27355=C27355, "YES", "WRONG")</f>
        <v/>
      </c>
    </row>
    <row r="27356">
      <c r="A27356" t="n">
        <v>27355</v>
      </c>
      <c r="B27356" t="inlineStr">
        <is>
          <t>x̄x̄V̅MMCCCLV</t>
        </is>
      </c>
      <c r="C27356">
        <f>ROMAN(27355)</f>
        <v/>
      </c>
      <c r="D27356">
        <f>IF(B27356=C27356, "YES", "WRONG")</f>
        <v/>
      </c>
    </row>
    <row r="27357">
      <c r="A27357" t="n">
        <v>27356</v>
      </c>
      <c r="B27357" t="inlineStr">
        <is>
          <t>x̄x̄V̅MMCCCLVI</t>
        </is>
      </c>
      <c r="C27357">
        <f>ROMAN(27356)</f>
        <v/>
      </c>
      <c r="D27357">
        <f>IF(B27357=C27357, "YES", "WRONG")</f>
        <v/>
      </c>
    </row>
    <row r="27358">
      <c r="A27358" t="n">
        <v>27357</v>
      </c>
      <c r="B27358" t="inlineStr">
        <is>
          <t>x̄x̄V̅MMCCCLVII</t>
        </is>
      </c>
      <c r="C27358">
        <f>ROMAN(27357)</f>
        <v/>
      </c>
      <c r="D27358">
        <f>IF(B27358=C27358, "YES", "WRONG")</f>
        <v/>
      </c>
    </row>
    <row r="27359">
      <c r="A27359" t="n">
        <v>27358</v>
      </c>
      <c r="B27359" t="inlineStr">
        <is>
          <t>x̄x̄V̅MMCCCLVIII</t>
        </is>
      </c>
      <c r="C27359">
        <f>ROMAN(27358)</f>
        <v/>
      </c>
      <c r="D27359">
        <f>IF(B27359=C27359, "YES", "WRONG")</f>
        <v/>
      </c>
    </row>
    <row r="27360">
      <c r="A27360" t="n">
        <v>27359</v>
      </c>
      <c r="B27360" t="inlineStr">
        <is>
          <t>x̄x̄V̅MMCCCLIX</t>
        </is>
      </c>
      <c r="C27360">
        <f>ROMAN(27359)</f>
        <v/>
      </c>
      <c r="D27360">
        <f>IF(B27360=C27360, "YES", "WRONG")</f>
        <v/>
      </c>
    </row>
    <row r="27361">
      <c r="A27361" t="n">
        <v>27360</v>
      </c>
      <c r="B27361" t="inlineStr">
        <is>
          <t>x̄x̄V̅MMCCCLX</t>
        </is>
      </c>
      <c r="C27361">
        <f>ROMAN(27360)</f>
        <v/>
      </c>
      <c r="D27361">
        <f>IF(B27361=C27361, "YES", "WRONG")</f>
        <v/>
      </c>
    </row>
    <row r="27362">
      <c r="A27362" t="n">
        <v>27361</v>
      </c>
      <c r="B27362" t="inlineStr">
        <is>
          <t>x̄x̄V̅MMCCCLXI</t>
        </is>
      </c>
      <c r="C27362">
        <f>ROMAN(27361)</f>
        <v/>
      </c>
      <c r="D27362">
        <f>IF(B27362=C27362, "YES", "WRONG")</f>
        <v/>
      </c>
    </row>
    <row r="27363">
      <c r="A27363" t="n">
        <v>27362</v>
      </c>
      <c r="B27363" t="inlineStr">
        <is>
          <t>x̄x̄V̅MMCCCLXII</t>
        </is>
      </c>
      <c r="C27363">
        <f>ROMAN(27362)</f>
        <v/>
      </c>
      <c r="D27363">
        <f>IF(B27363=C27363, "YES", "WRONG")</f>
        <v/>
      </c>
    </row>
    <row r="27364">
      <c r="A27364" t="n">
        <v>27363</v>
      </c>
      <c r="B27364" t="inlineStr">
        <is>
          <t>x̄x̄V̅MMCCCLXIII</t>
        </is>
      </c>
      <c r="C27364">
        <f>ROMAN(27363)</f>
        <v/>
      </c>
      <c r="D27364">
        <f>IF(B27364=C27364, "YES", "WRONG")</f>
        <v/>
      </c>
    </row>
    <row r="27365">
      <c r="A27365" t="n">
        <v>27364</v>
      </c>
      <c r="B27365" t="inlineStr">
        <is>
          <t>x̄x̄V̅MMCCCLXIV</t>
        </is>
      </c>
      <c r="C27365">
        <f>ROMAN(27364)</f>
        <v/>
      </c>
      <c r="D27365">
        <f>IF(B27365=C27365, "YES", "WRONG")</f>
        <v/>
      </c>
    </row>
    <row r="27366">
      <c r="A27366" t="n">
        <v>27365</v>
      </c>
      <c r="B27366" t="inlineStr">
        <is>
          <t>x̄x̄V̅MMCCCLXV</t>
        </is>
      </c>
      <c r="C27366">
        <f>ROMAN(27365)</f>
        <v/>
      </c>
      <c r="D27366">
        <f>IF(B27366=C27366, "YES", "WRONG")</f>
        <v/>
      </c>
    </row>
    <row r="27367">
      <c r="A27367" t="n">
        <v>27366</v>
      </c>
      <c r="B27367" t="inlineStr">
        <is>
          <t>x̄x̄V̅MMCCCLXVI</t>
        </is>
      </c>
      <c r="C27367">
        <f>ROMAN(27366)</f>
        <v/>
      </c>
      <c r="D27367">
        <f>IF(B27367=C27367, "YES", "WRONG")</f>
        <v/>
      </c>
    </row>
    <row r="27368">
      <c r="A27368" t="n">
        <v>27367</v>
      </c>
      <c r="B27368" t="inlineStr">
        <is>
          <t>x̄x̄V̅MMCCCLXVII</t>
        </is>
      </c>
      <c r="C27368">
        <f>ROMAN(27367)</f>
        <v/>
      </c>
      <c r="D27368">
        <f>IF(B27368=C27368, "YES", "WRONG")</f>
        <v/>
      </c>
    </row>
    <row r="27369">
      <c r="A27369" t="n">
        <v>27368</v>
      </c>
      <c r="B27369" t="inlineStr">
        <is>
          <t>x̄x̄V̅MMCCCLXVIII</t>
        </is>
      </c>
      <c r="C27369">
        <f>ROMAN(27368)</f>
        <v/>
      </c>
      <c r="D27369">
        <f>IF(B27369=C27369, "YES", "WRONG")</f>
        <v/>
      </c>
    </row>
    <row r="27370">
      <c r="A27370" t="n">
        <v>27369</v>
      </c>
      <c r="B27370" t="inlineStr">
        <is>
          <t>x̄x̄V̅MMCCCLXIX</t>
        </is>
      </c>
      <c r="C27370">
        <f>ROMAN(27369)</f>
        <v/>
      </c>
      <c r="D27370">
        <f>IF(B27370=C27370, "YES", "WRONG")</f>
        <v/>
      </c>
    </row>
    <row r="27371">
      <c r="A27371" t="n">
        <v>27370</v>
      </c>
      <c r="B27371" t="inlineStr">
        <is>
          <t>x̄x̄V̅MMCCCLXX</t>
        </is>
      </c>
      <c r="C27371">
        <f>ROMAN(27370)</f>
        <v/>
      </c>
      <c r="D27371">
        <f>IF(B27371=C27371, "YES", "WRONG")</f>
        <v/>
      </c>
    </row>
    <row r="27372">
      <c r="A27372" t="n">
        <v>27371</v>
      </c>
      <c r="B27372" t="inlineStr">
        <is>
          <t>x̄x̄V̅MMCCCLXXI</t>
        </is>
      </c>
      <c r="C27372">
        <f>ROMAN(27371)</f>
        <v/>
      </c>
      <c r="D27372">
        <f>IF(B27372=C27372, "YES", "WRONG")</f>
        <v/>
      </c>
    </row>
    <row r="27373">
      <c r="A27373" t="n">
        <v>27372</v>
      </c>
      <c r="B27373" t="inlineStr">
        <is>
          <t>x̄x̄V̅MMCCCLXXII</t>
        </is>
      </c>
      <c r="C27373">
        <f>ROMAN(27372)</f>
        <v/>
      </c>
      <c r="D27373">
        <f>IF(B27373=C27373, "YES", "WRONG")</f>
        <v/>
      </c>
    </row>
    <row r="27374">
      <c r="A27374" t="n">
        <v>27373</v>
      </c>
      <c r="B27374" t="inlineStr">
        <is>
          <t>x̄x̄V̅MMCCCLXXIII</t>
        </is>
      </c>
      <c r="C27374">
        <f>ROMAN(27373)</f>
        <v/>
      </c>
      <c r="D27374">
        <f>IF(B27374=C27374, "YES", "WRONG")</f>
        <v/>
      </c>
    </row>
    <row r="27375">
      <c r="A27375" t="n">
        <v>27374</v>
      </c>
      <c r="B27375" t="inlineStr">
        <is>
          <t>x̄x̄V̅MMCCCLXXIV</t>
        </is>
      </c>
      <c r="C27375">
        <f>ROMAN(27374)</f>
        <v/>
      </c>
      <c r="D27375">
        <f>IF(B27375=C27375, "YES", "WRONG")</f>
        <v/>
      </c>
    </row>
    <row r="27376">
      <c r="A27376" t="n">
        <v>27375</v>
      </c>
      <c r="B27376" t="inlineStr">
        <is>
          <t>x̄x̄V̅MMCCCLXXV</t>
        </is>
      </c>
      <c r="C27376">
        <f>ROMAN(27375)</f>
        <v/>
      </c>
      <c r="D27376">
        <f>IF(B27376=C27376, "YES", "WRONG")</f>
        <v/>
      </c>
    </row>
    <row r="27377">
      <c r="A27377" t="n">
        <v>27376</v>
      </c>
      <c r="B27377" t="inlineStr">
        <is>
          <t>x̄x̄V̅MMCCCLXXVI</t>
        </is>
      </c>
      <c r="C27377">
        <f>ROMAN(27376)</f>
        <v/>
      </c>
      <c r="D27377">
        <f>IF(B27377=C27377, "YES", "WRONG")</f>
        <v/>
      </c>
    </row>
    <row r="27378">
      <c r="A27378" t="n">
        <v>27377</v>
      </c>
      <c r="B27378" t="inlineStr">
        <is>
          <t>x̄x̄V̅MMCCCLXXVII</t>
        </is>
      </c>
      <c r="C27378">
        <f>ROMAN(27377)</f>
        <v/>
      </c>
      <c r="D27378">
        <f>IF(B27378=C27378, "YES", "WRONG")</f>
        <v/>
      </c>
    </row>
    <row r="27379">
      <c r="A27379" t="n">
        <v>27378</v>
      </c>
      <c r="B27379" t="inlineStr">
        <is>
          <t>x̄x̄V̅MMCCCLXXVIII</t>
        </is>
      </c>
      <c r="C27379">
        <f>ROMAN(27378)</f>
        <v/>
      </c>
      <c r="D27379">
        <f>IF(B27379=C27379, "YES", "WRONG")</f>
        <v/>
      </c>
    </row>
    <row r="27380">
      <c r="A27380" t="n">
        <v>27379</v>
      </c>
      <c r="B27380" t="inlineStr">
        <is>
          <t>x̄x̄V̅MMCCCLXXIX</t>
        </is>
      </c>
      <c r="C27380">
        <f>ROMAN(27379)</f>
        <v/>
      </c>
      <c r="D27380">
        <f>IF(B27380=C27380, "YES", "WRONG")</f>
        <v/>
      </c>
    </row>
    <row r="27381">
      <c r="A27381" t="n">
        <v>27380</v>
      </c>
      <c r="B27381" t="inlineStr">
        <is>
          <t>x̄x̄V̅MMCCCLXXX</t>
        </is>
      </c>
      <c r="C27381">
        <f>ROMAN(27380)</f>
        <v/>
      </c>
      <c r="D27381">
        <f>IF(B27381=C27381, "YES", "WRONG")</f>
        <v/>
      </c>
    </row>
    <row r="27382">
      <c r="A27382" t="n">
        <v>27381</v>
      </c>
      <c r="B27382" t="inlineStr">
        <is>
          <t>x̄x̄V̅MMCCCLXXXI</t>
        </is>
      </c>
      <c r="C27382">
        <f>ROMAN(27381)</f>
        <v/>
      </c>
      <c r="D27382">
        <f>IF(B27382=C27382, "YES", "WRONG")</f>
        <v/>
      </c>
    </row>
    <row r="27383">
      <c r="A27383" t="n">
        <v>27382</v>
      </c>
      <c r="B27383" t="inlineStr">
        <is>
          <t>x̄x̄V̅MMCCCLXXXII</t>
        </is>
      </c>
      <c r="C27383">
        <f>ROMAN(27382)</f>
        <v/>
      </c>
      <c r="D27383">
        <f>IF(B27383=C27383, "YES", "WRONG")</f>
        <v/>
      </c>
    </row>
    <row r="27384">
      <c r="A27384" t="n">
        <v>27383</v>
      </c>
      <c r="B27384" t="inlineStr">
        <is>
          <t>x̄x̄V̅MMCCCLXXXIII</t>
        </is>
      </c>
      <c r="C27384">
        <f>ROMAN(27383)</f>
        <v/>
      </c>
      <c r="D27384">
        <f>IF(B27384=C27384, "YES", "WRONG")</f>
        <v/>
      </c>
    </row>
    <row r="27385">
      <c r="A27385" t="n">
        <v>27384</v>
      </c>
      <c r="B27385" t="inlineStr">
        <is>
          <t>x̄x̄V̅MMCCCLXXXIV</t>
        </is>
      </c>
      <c r="C27385">
        <f>ROMAN(27384)</f>
        <v/>
      </c>
      <c r="D27385">
        <f>IF(B27385=C27385, "YES", "WRONG")</f>
        <v/>
      </c>
    </row>
    <row r="27386">
      <c r="A27386" t="n">
        <v>27385</v>
      </c>
      <c r="B27386" t="inlineStr">
        <is>
          <t>x̄x̄V̅MMCCCLXXXV</t>
        </is>
      </c>
      <c r="C27386">
        <f>ROMAN(27385)</f>
        <v/>
      </c>
      <c r="D27386">
        <f>IF(B27386=C27386, "YES", "WRONG")</f>
        <v/>
      </c>
    </row>
    <row r="27387">
      <c r="A27387" t="n">
        <v>27386</v>
      </c>
      <c r="B27387" t="inlineStr">
        <is>
          <t>x̄x̄V̅MMCCCLXXXVI</t>
        </is>
      </c>
      <c r="C27387">
        <f>ROMAN(27386)</f>
        <v/>
      </c>
      <c r="D27387">
        <f>IF(B27387=C27387, "YES", "WRONG")</f>
        <v/>
      </c>
    </row>
    <row r="27388">
      <c r="A27388" t="n">
        <v>27387</v>
      </c>
      <c r="B27388" t="inlineStr">
        <is>
          <t>x̄x̄V̅MMCCCLXXXVII</t>
        </is>
      </c>
      <c r="C27388">
        <f>ROMAN(27387)</f>
        <v/>
      </c>
      <c r="D27388">
        <f>IF(B27388=C27388, "YES", "WRONG")</f>
        <v/>
      </c>
    </row>
    <row r="27389">
      <c r="A27389" t="n">
        <v>27388</v>
      </c>
      <c r="B27389" t="inlineStr">
        <is>
          <t>x̄x̄V̅MMCCCLXXXVIII</t>
        </is>
      </c>
      <c r="C27389">
        <f>ROMAN(27388)</f>
        <v/>
      </c>
      <c r="D27389">
        <f>IF(B27389=C27389, "YES", "WRONG")</f>
        <v/>
      </c>
    </row>
    <row r="27390">
      <c r="A27390" t="n">
        <v>27389</v>
      </c>
      <c r="B27390" t="inlineStr">
        <is>
          <t>x̄x̄V̅MMCCCLXXXIX</t>
        </is>
      </c>
      <c r="C27390">
        <f>ROMAN(27389)</f>
        <v/>
      </c>
      <c r="D27390">
        <f>IF(B27390=C27390, "YES", "WRONG")</f>
        <v/>
      </c>
    </row>
    <row r="27391">
      <c r="A27391" t="n">
        <v>27390</v>
      </c>
      <c r="B27391" t="inlineStr">
        <is>
          <t>x̄x̄V̅MMCCCXC</t>
        </is>
      </c>
      <c r="C27391">
        <f>ROMAN(27390)</f>
        <v/>
      </c>
      <c r="D27391">
        <f>IF(B27391=C27391, "YES", "WRONG")</f>
        <v/>
      </c>
    </row>
    <row r="27392">
      <c r="A27392" t="n">
        <v>27391</v>
      </c>
      <c r="B27392" t="inlineStr">
        <is>
          <t>x̄x̄V̅MMCCCXCI</t>
        </is>
      </c>
      <c r="C27392">
        <f>ROMAN(27391)</f>
        <v/>
      </c>
      <c r="D27392">
        <f>IF(B27392=C27392, "YES", "WRONG")</f>
        <v/>
      </c>
    </row>
    <row r="27393">
      <c r="A27393" t="n">
        <v>27392</v>
      </c>
      <c r="B27393" t="inlineStr">
        <is>
          <t>x̄x̄V̅MMCCCXCII</t>
        </is>
      </c>
      <c r="C27393">
        <f>ROMAN(27392)</f>
        <v/>
      </c>
      <c r="D27393">
        <f>IF(B27393=C27393, "YES", "WRONG")</f>
        <v/>
      </c>
    </row>
    <row r="27394">
      <c r="A27394" t="n">
        <v>27393</v>
      </c>
      <c r="B27394" t="inlineStr">
        <is>
          <t>x̄x̄V̅MMCCCXCIII</t>
        </is>
      </c>
      <c r="C27394">
        <f>ROMAN(27393)</f>
        <v/>
      </c>
      <c r="D27394">
        <f>IF(B27394=C27394, "YES", "WRONG")</f>
        <v/>
      </c>
    </row>
    <row r="27395">
      <c r="A27395" t="n">
        <v>27394</v>
      </c>
      <c r="B27395" t="inlineStr">
        <is>
          <t>x̄x̄V̅MMCCCXCIV</t>
        </is>
      </c>
      <c r="C27395">
        <f>ROMAN(27394)</f>
        <v/>
      </c>
      <c r="D27395">
        <f>IF(B27395=C27395, "YES", "WRONG")</f>
        <v/>
      </c>
    </row>
    <row r="27396">
      <c r="A27396" t="n">
        <v>27395</v>
      </c>
      <c r="B27396" t="inlineStr">
        <is>
          <t>x̄x̄V̅MMCCCXCV</t>
        </is>
      </c>
      <c r="C27396">
        <f>ROMAN(27395)</f>
        <v/>
      </c>
      <c r="D27396">
        <f>IF(B27396=C27396, "YES", "WRONG")</f>
        <v/>
      </c>
    </row>
    <row r="27397">
      <c r="A27397" t="n">
        <v>27396</v>
      </c>
      <c r="B27397" t="inlineStr">
        <is>
          <t>x̄x̄V̅MMCCCXCVI</t>
        </is>
      </c>
      <c r="C27397">
        <f>ROMAN(27396)</f>
        <v/>
      </c>
      <c r="D27397">
        <f>IF(B27397=C27397, "YES", "WRONG")</f>
        <v/>
      </c>
    </row>
    <row r="27398">
      <c r="A27398" t="n">
        <v>27397</v>
      </c>
      <c r="B27398" t="inlineStr">
        <is>
          <t>x̄x̄V̅MMCCCXCVII</t>
        </is>
      </c>
      <c r="C27398">
        <f>ROMAN(27397)</f>
        <v/>
      </c>
      <c r="D27398">
        <f>IF(B27398=C27398, "YES", "WRONG")</f>
        <v/>
      </c>
    </row>
    <row r="27399">
      <c r="A27399" t="n">
        <v>27398</v>
      </c>
      <c r="B27399" t="inlineStr">
        <is>
          <t>x̄x̄V̅MMCCCXCVIII</t>
        </is>
      </c>
      <c r="C27399">
        <f>ROMAN(27398)</f>
        <v/>
      </c>
      <c r="D27399">
        <f>IF(B27399=C27399, "YES", "WRONG")</f>
        <v/>
      </c>
    </row>
    <row r="27400">
      <c r="A27400" t="n">
        <v>27399</v>
      </c>
      <c r="B27400" t="inlineStr">
        <is>
          <t>x̄x̄V̅MMCCCXCIX</t>
        </is>
      </c>
      <c r="C27400">
        <f>ROMAN(27399)</f>
        <v/>
      </c>
      <c r="D27400">
        <f>IF(B27400=C27400, "YES", "WRONG")</f>
        <v/>
      </c>
    </row>
    <row r="27401">
      <c r="A27401" t="n">
        <v>27400</v>
      </c>
      <c r="B27401" t="inlineStr">
        <is>
          <t>x̄x̄V̅MMCD</t>
        </is>
      </c>
      <c r="C27401">
        <f>ROMAN(27400)</f>
        <v/>
      </c>
      <c r="D27401">
        <f>IF(B27401=C27401, "YES", "WRONG")</f>
        <v/>
      </c>
    </row>
    <row r="27402">
      <c r="A27402" t="n">
        <v>27401</v>
      </c>
      <c r="B27402" t="inlineStr">
        <is>
          <t>x̄x̄V̅MMCDI</t>
        </is>
      </c>
      <c r="C27402">
        <f>ROMAN(27401)</f>
        <v/>
      </c>
      <c r="D27402">
        <f>IF(B27402=C27402, "YES", "WRONG")</f>
        <v/>
      </c>
    </row>
    <row r="27403">
      <c r="A27403" t="n">
        <v>27402</v>
      </c>
      <c r="B27403" t="inlineStr">
        <is>
          <t>x̄x̄V̅MMCDII</t>
        </is>
      </c>
      <c r="C27403">
        <f>ROMAN(27402)</f>
        <v/>
      </c>
      <c r="D27403">
        <f>IF(B27403=C27403, "YES", "WRONG")</f>
        <v/>
      </c>
    </row>
    <row r="27404">
      <c r="A27404" t="n">
        <v>27403</v>
      </c>
      <c r="B27404" t="inlineStr">
        <is>
          <t>x̄x̄V̅MMCDIII</t>
        </is>
      </c>
      <c r="C27404">
        <f>ROMAN(27403)</f>
        <v/>
      </c>
      <c r="D27404">
        <f>IF(B27404=C27404, "YES", "WRONG")</f>
        <v/>
      </c>
    </row>
    <row r="27405">
      <c r="A27405" t="n">
        <v>27404</v>
      </c>
      <c r="B27405" t="inlineStr">
        <is>
          <t>x̄x̄V̅MMCDIV</t>
        </is>
      </c>
      <c r="C27405">
        <f>ROMAN(27404)</f>
        <v/>
      </c>
      <c r="D27405">
        <f>IF(B27405=C27405, "YES", "WRONG")</f>
        <v/>
      </c>
    </row>
    <row r="27406">
      <c r="A27406" t="n">
        <v>27405</v>
      </c>
      <c r="B27406" t="inlineStr">
        <is>
          <t>x̄x̄V̅MMCDV</t>
        </is>
      </c>
      <c r="C27406">
        <f>ROMAN(27405)</f>
        <v/>
      </c>
      <c r="D27406">
        <f>IF(B27406=C27406, "YES", "WRONG")</f>
        <v/>
      </c>
    </row>
    <row r="27407">
      <c r="A27407" t="n">
        <v>27406</v>
      </c>
      <c r="B27407" t="inlineStr">
        <is>
          <t>x̄x̄V̅MMCDVI</t>
        </is>
      </c>
      <c r="C27407">
        <f>ROMAN(27406)</f>
        <v/>
      </c>
      <c r="D27407">
        <f>IF(B27407=C27407, "YES", "WRONG")</f>
        <v/>
      </c>
    </row>
    <row r="27408">
      <c r="A27408" t="n">
        <v>27407</v>
      </c>
      <c r="B27408" t="inlineStr">
        <is>
          <t>x̄x̄V̅MMCDVII</t>
        </is>
      </c>
      <c r="C27408">
        <f>ROMAN(27407)</f>
        <v/>
      </c>
      <c r="D27408">
        <f>IF(B27408=C27408, "YES", "WRONG")</f>
        <v/>
      </c>
    </row>
    <row r="27409">
      <c r="A27409" t="n">
        <v>27408</v>
      </c>
      <c r="B27409" t="inlineStr">
        <is>
          <t>x̄x̄V̅MMCDVIII</t>
        </is>
      </c>
      <c r="C27409">
        <f>ROMAN(27408)</f>
        <v/>
      </c>
      <c r="D27409">
        <f>IF(B27409=C27409, "YES", "WRONG")</f>
        <v/>
      </c>
    </row>
    <row r="27410">
      <c r="A27410" t="n">
        <v>27409</v>
      </c>
      <c r="B27410" t="inlineStr">
        <is>
          <t>x̄x̄V̅MMCDIX</t>
        </is>
      </c>
      <c r="C27410">
        <f>ROMAN(27409)</f>
        <v/>
      </c>
      <c r="D27410">
        <f>IF(B27410=C27410, "YES", "WRONG")</f>
        <v/>
      </c>
    </row>
    <row r="27411">
      <c r="A27411" t="n">
        <v>27410</v>
      </c>
      <c r="B27411" t="inlineStr">
        <is>
          <t>x̄x̄V̅MMCDX</t>
        </is>
      </c>
      <c r="C27411">
        <f>ROMAN(27410)</f>
        <v/>
      </c>
      <c r="D27411">
        <f>IF(B27411=C27411, "YES", "WRONG")</f>
        <v/>
      </c>
    </row>
    <row r="27412">
      <c r="A27412" t="n">
        <v>27411</v>
      </c>
      <c r="B27412" t="inlineStr">
        <is>
          <t>x̄x̄V̅MMCDXI</t>
        </is>
      </c>
      <c r="C27412">
        <f>ROMAN(27411)</f>
        <v/>
      </c>
      <c r="D27412">
        <f>IF(B27412=C27412, "YES", "WRONG")</f>
        <v/>
      </c>
    </row>
    <row r="27413">
      <c r="A27413" t="n">
        <v>27412</v>
      </c>
      <c r="B27413" t="inlineStr">
        <is>
          <t>x̄x̄V̅MMCDXII</t>
        </is>
      </c>
      <c r="C27413">
        <f>ROMAN(27412)</f>
        <v/>
      </c>
      <c r="D27413">
        <f>IF(B27413=C27413, "YES", "WRONG")</f>
        <v/>
      </c>
    </row>
    <row r="27414">
      <c r="A27414" t="n">
        <v>27413</v>
      </c>
      <c r="B27414" t="inlineStr">
        <is>
          <t>x̄x̄V̅MMCDXIII</t>
        </is>
      </c>
      <c r="C27414">
        <f>ROMAN(27413)</f>
        <v/>
      </c>
      <c r="D27414">
        <f>IF(B27414=C27414, "YES", "WRONG")</f>
        <v/>
      </c>
    </row>
    <row r="27415">
      <c r="A27415" t="n">
        <v>27414</v>
      </c>
      <c r="B27415" t="inlineStr">
        <is>
          <t>x̄x̄V̅MMCDXIV</t>
        </is>
      </c>
      <c r="C27415">
        <f>ROMAN(27414)</f>
        <v/>
      </c>
      <c r="D27415">
        <f>IF(B27415=C27415, "YES", "WRONG")</f>
        <v/>
      </c>
    </row>
    <row r="27416">
      <c r="A27416" t="n">
        <v>27415</v>
      </c>
      <c r="B27416" t="inlineStr">
        <is>
          <t>x̄x̄V̅MMCDXV</t>
        </is>
      </c>
      <c r="C27416">
        <f>ROMAN(27415)</f>
        <v/>
      </c>
      <c r="D27416">
        <f>IF(B27416=C27416, "YES", "WRONG")</f>
        <v/>
      </c>
    </row>
    <row r="27417">
      <c r="A27417" t="n">
        <v>27416</v>
      </c>
      <c r="B27417" t="inlineStr">
        <is>
          <t>x̄x̄V̅MMCDXVI</t>
        </is>
      </c>
      <c r="C27417">
        <f>ROMAN(27416)</f>
        <v/>
      </c>
      <c r="D27417">
        <f>IF(B27417=C27417, "YES", "WRONG")</f>
        <v/>
      </c>
    </row>
    <row r="27418">
      <c r="A27418" t="n">
        <v>27417</v>
      </c>
      <c r="B27418" t="inlineStr">
        <is>
          <t>x̄x̄V̅MMCDXVII</t>
        </is>
      </c>
      <c r="C27418">
        <f>ROMAN(27417)</f>
        <v/>
      </c>
      <c r="D27418">
        <f>IF(B27418=C27418, "YES", "WRONG")</f>
        <v/>
      </c>
    </row>
    <row r="27419">
      <c r="A27419" t="n">
        <v>27418</v>
      </c>
      <c r="B27419" t="inlineStr">
        <is>
          <t>x̄x̄V̅MMCDXVIII</t>
        </is>
      </c>
      <c r="C27419">
        <f>ROMAN(27418)</f>
        <v/>
      </c>
      <c r="D27419">
        <f>IF(B27419=C27419, "YES", "WRONG")</f>
        <v/>
      </c>
    </row>
    <row r="27420">
      <c r="A27420" t="n">
        <v>27419</v>
      </c>
      <c r="B27420" t="inlineStr">
        <is>
          <t>x̄x̄V̅MMCDXIX</t>
        </is>
      </c>
      <c r="C27420">
        <f>ROMAN(27419)</f>
        <v/>
      </c>
      <c r="D27420">
        <f>IF(B27420=C27420, "YES", "WRONG")</f>
        <v/>
      </c>
    </row>
    <row r="27421">
      <c r="A27421" t="n">
        <v>27420</v>
      </c>
      <c r="B27421" t="inlineStr">
        <is>
          <t>x̄x̄V̅MMCDXX</t>
        </is>
      </c>
      <c r="C27421">
        <f>ROMAN(27420)</f>
        <v/>
      </c>
      <c r="D27421">
        <f>IF(B27421=C27421, "YES", "WRONG")</f>
        <v/>
      </c>
    </row>
    <row r="27422">
      <c r="A27422" t="n">
        <v>27421</v>
      </c>
      <c r="B27422" t="inlineStr">
        <is>
          <t>x̄x̄V̅MMCDXXI</t>
        </is>
      </c>
      <c r="C27422">
        <f>ROMAN(27421)</f>
        <v/>
      </c>
      <c r="D27422">
        <f>IF(B27422=C27422, "YES", "WRONG")</f>
        <v/>
      </c>
    </row>
    <row r="27423">
      <c r="A27423" t="n">
        <v>27422</v>
      </c>
      <c r="B27423" t="inlineStr">
        <is>
          <t>x̄x̄V̅MMCDXXII</t>
        </is>
      </c>
      <c r="C27423">
        <f>ROMAN(27422)</f>
        <v/>
      </c>
      <c r="D27423">
        <f>IF(B27423=C27423, "YES", "WRONG")</f>
        <v/>
      </c>
    </row>
    <row r="27424">
      <c r="A27424" t="n">
        <v>27423</v>
      </c>
      <c r="B27424" t="inlineStr">
        <is>
          <t>x̄x̄V̅MMCDXXIII</t>
        </is>
      </c>
      <c r="C27424">
        <f>ROMAN(27423)</f>
        <v/>
      </c>
      <c r="D27424">
        <f>IF(B27424=C27424, "YES", "WRONG")</f>
        <v/>
      </c>
    </row>
    <row r="27425">
      <c r="A27425" t="n">
        <v>27424</v>
      </c>
      <c r="B27425" t="inlineStr">
        <is>
          <t>x̄x̄V̅MMCDXXIV</t>
        </is>
      </c>
      <c r="C27425">
        <f>ROMAN(27424)</f>
        <v/>
      </c>
      <c r="D27425">
        <f>IF(B27425=C27425, "YES", "WRONG")</f>
        <v/>
      </c>
    </row>
    <row r="27426">
      <c r="A27426" t="n">
        <v>27425</v>
      </c>
      <c r="B27426" t="inlineStr">
        <is>
          <t>x̄x̄V̅MMCDXXV</t>
        </is>
      </c>
      <c r="C27426">
        <f>ROMAN(27425)</f>
        <v/>
      </c>
      <c r="D27426">
        <f>IF(B27426=C27426, "YES", "WRONG")</f>
        <v/>
      </c>
    </row>
    <row r="27427">
      <c r="A27427" t="n">
        <v>27426</v>
      </c>
      <c r="B27427" t="inlineStr">
        <is>
          <t>x̄x̄V̅MMCDXXVI</t>
        </is>
      </c>
      <c r="C27427">
        <f>ROMAN(27426)</f>
        <v/>
      </c>
      <c r="D27427">
        <f>IF(B27427=C27427, "YES", "WRONG")</f>
        <v/>
      </c>
    </row>
    <row r="27428">
      <c r="A27428" t="n">
        <v>27427</v>
      </c>
      <c r="B27428" t="inlineStr">
        <is>
          <t>x̄x̄V̅MMCDXXVII</t>
        </is>
      </c>
      <c r="C27428">
        <f>ROMAN(27427)</f>
        <v/>
      </c>
      <c r="D27428">
        <f>IF(B27428=C27428, "YES", "WRONG")</f>
        <v/>
      </c>
    </row>
    <row r="27429">
      <c r="A27429" t="n">
        <v>27428</v>
      </c>
      <c r="B27429" t="inlineStr">
        <is>
          <t>x̄x̄V̅MMCDXXVIII</t>
        </is>
      </c>
      <c r="C27429">
        <f>ROMAN(27428)</f>
        <v/>
      </c>
      <c r="D27429">
        <f>IF(B27429=C27429, "YES", "WRONG")</f>
        <v/>
      </c>
    </row>
    <row r="27430">
      <c r="A27430" t="n">
        <v>27429</v>
      </c>
      <c r="B27430" t="inlineStr">
        <is>
          <t>x̄x̄V̅MMCDXXIX</t>
        </is>
      </c>
      <c r="C27430">
        <f>ROMAN(27429)</f>
        <v/>
      </c>
      <c r="D27430">
        <f>IF(B27430=C27430, "YES", "WRONG")</f>
        <v/>
      </c>
    </row>
    <row r="27431">
      <c r="A27431" t="n">
        <v>27430</v>
      </c>
      <c r="B27431" t="inlineStr">
        <is>
          <t>x̄x̄V̅MMCDXXX</t>
        </is>
      </c>
      <c r="C27431">
        <f>ROMAN(27430)</f>
        <v/>
      </c>
      <c r="D27431">
        <f>IF(B27431=C27431, "YES", "WRONG")</f>
        <v/>
      </c>
    </row>
    <row r="27432">
      <c r="A27432" t="n">
        <v>27431</v>
      </c>
      <c r="B27432" t="inlineStr">
        <is>
          <t>x̄x̄V̅MMCDXXXI</t>
        </is>
      </c>
      <c r="C27432">
        <f>ROMAN(27431)</f>
        <v/>
      </c>
      <c r="D27432">
        <f>IF(B27432=C27432, "YES", "WRONG")</f>
        <v/>
      </c>
    </row>
    <row r="27433">
      <c r="A27433" t="n">
        <v>27432</v>
      </c>
      <c r="B27433" t="inlineStr">
        <is>
          <t>x̄x̄V̅MMCDXXXII</t>
        </is>
      </c>
      <c r="C27433">
        <f>ROMAN(27432)</f>
        <v/>
      </c>
      <c r="D27433">
        <f>IF(B27433=C27433, "YES", "WRONG")</f>
        <v/>
      </c>
    </row>
    <row r="27434">
      <c r="A27434" t="n">
        <v>27433</v>
      </c>
      <c r="B27434" t="inlineStr">
        <is>
          <t>x̄x̄V̅MMCDXXXIII</t>
        </is>
      </c>
      <c r="C27434">
        <f>ROMAN(27433)</f>
        <v/>
      </c>
      <c r="D27434">
        <f>IF(B27434=C27434, "YES", "WRONG")</f>
        <v/>
      </c>
    </row>
    <row r="27435">
      <c r="A27435" t="n">
        <v>27434</v>
      </c>
      <c r="B27435" t="inlineStr">
        <is>
          <t>x̄x̄V̅MMCDXXXIV</t>
        </is>
      </c>
      <c r="C27435">
        <f>ROMAN(27434)</f>
        <v/>
      </c>
      <c r="D27435">
        <f>IF(B27435=C27435, "YES", "WRONG")</f>
        <v/>
      </c>
    </row>
    <row r="27436">
      <c r="A27436" t="n">
        <v>27435</v>
      </c>
      <c r="B27436" t="inlineStr">
        <is>
          <t>x̄x̄V̅MMCDXXXV</t>
        </is>
      </c>
      <c r="C27436">
        <f>ROMAN(27435)</f>
        <v/>
      </c>
      <c r="D27436">
        <f>IF(B27436=C27436, "YES", "WRONG")</f>
        <v/>
      </c>
    </row>
    <row r="27437">
      <c r="A27437" t="n">
        <v>27436</v>
      </c>
      <c r="B27437" t="inlineStr">
        <is>
          <t>x̄x̄V̅MMCDXXXVI</t>
        </is>
      </c>
      <c r="C27437">
        <f>ROMAN(27436)</f>
        <v/>
      </c>
      <c r="D27437">
        <f>IF(B27437=C27437, "YES", "WRONG")</f>
        <v/>
      </c>
    </row>
    <row r="27438">
      <c r="A27438" t="n">
        <v>27437</v>
      </c>
      <c r="B27438" t="inlineStr">
        <is>
          <t>x̄x̄V̅MMCDXXXVII</t>
        </is>
      </c>
      <c r="C27438">
        <f>ROMAN(27437)</f>
        <v/>
      </c>
      <c r="D27438">
        <f>IF(B27438=C27438, "YES", "WRONG")</f>
        <v/>
      </c>
    </row>
    <row r="27439">
      <c r="A27439" t="n">
        <v>27438</v>
      </c>
      <c r="B27439" t="inlineStr">
        <is>
          <t>x̄x̄V̅MMCDXXXVIII</t>
        </is>
      </c>
      <c r="C27439">
        <f>ROMAN(27438)</f>
        <v/>
      </c>
      <c r="D27439">
        <f>IF(B27439=C27439, "YES", "WRONG")</f>
        <v/>
      </c>
    </row>
    <row r="27440">
      <c r="A27440" t="n">
        <v>27439</v>
      </c>
      <c r="B27440" t="inlineStr">
        <is>
          <t>x̄x̄V̅MMCDXXXIX</t>
        </is>
      </c>
      <c r="C27440">
        <f>ROMAN(27439)</f>
        <v/>
      </c>
      <c r="D27440">
        <f>IF(B27440=C27440, "YES", "WRONG")</f>
        <v/>
      </c>
    </row>
    <row r="27441">
      <c r="A27441" t="n">
        <v>27440</v>
      </c>
      <c r="B27441" t="inlineStr">
        <is>
          <t>x̄x̄V̅MMCDXL</t>
        </is>
      </c>
      <c r="C27441">
        <f>ROMAN(27440)</f>
        <v/>
      </c>
      <c r="D27441">
        <f>IF(B27441=C27441, "YES", "WRONG")</f>
        <v/>
      </c>
    </row>
    <row r="27442">
      <c r="A27442" t="n">
        <v>27441</v>
      </c>
      <c r="B27442" t="inlineStr">
        <is>
          <t>x̄x̄V̅MMCDXLI</t>
        </is>
      </c>
      <c r="C27442">
        <f>ROMAN(27441)</f>
        <v/>
      </c>
      <c r="D27442">
        <f>IF(B27442=C27442, "YES", "WRONG")</f>
        <v/>
      </c>
    </row>
    <row r="27443">
      <c r="A27443" t="n">
        <v>27442</v>
      </c>
      <c r="B27443" t="inlineStr">
        <is>
          <t>x̄x̄V̅MMCDXLII</t>
        </is>
      </c>
      <c r="C27443">
        <f>ROMAN(27442)</f>
        <v/>
      </c>
      <c r="D27443">
        <f>IF(B27443=C27443, "YES", "WRONG")</f>
        <v/>
      </c>
    </row>
    <row r="27444">
      <c r="A27444" t="n">
        <v>27443</v>
      </c>
      <c r="B27444" t="inlineStr">
        <is>
          <t>x̄x̄V̅MMCDXLIII</t>
        </is>
      </c>
      <c r="C27444">
        <f>ROMAN(27443)</f>
        <v/>
      </c>
      <c r="D27444">
        <f>IF(B27444=C27444, "YES", "WRONG")</f>
        <v/>
      </c>
    </row>
    <row r="27445">
      <c r="A27445" t="n">
        <v>27444</v>
      </c>
      <c r="B27445" t="inlineStr">
        <is>
          <t>x̄x̄V̅MMCDXLIV</t>
        </is>
      </c>
      <c r="C27445">
        <f>ROMAN(27444)</f>
        <v/>
      </c>
      <c r="D27445">
        <f>IF(B27445=C27445, "YES", "WRONG")</f>
        <v/>
      </c>
    </row>
    <row r="27446">
      <c r="A27446" t="n">
        <v>27445</v>
      </c>
      <c r="B27446" t="inlineStr">
        <is>
          <t>x̄x̄V̅MMCDXLV</t>
        </is>
      </c>
      <c r="C27446">
        <f>ROMAN(27445)</f>
        <v/>
      </c>
      <c r="D27446">
        <f>IF(B27446=C27446, "YES", "WRONG")</f>
        <v/>
      </c>
    </row>
    <row r="27447">
      <c r="A27447" t="n">
        <v>27446</v>
      </c>
      <c r="B27447" t="inlineStr">
        <is>
          <t>x̄x̄V̅MMCDXLVI</t>
        </is>
      </c>
      <c r="C27447">
        <f>ROMAN(27446)</f>
        <v/>
      </c>
      <c r="D27447">
        <f>IF(B27447=C27447, "YES", "WRONG")</f>
        <v/>
      </c>
    </row>
    <row r="27448">
      <c r="A27448" t="n">
        <v>27447</v>
      </c>
      <c r="B27448" t="inlineStr">
        <is>
          <t>x̄x̄V̅MMCDXLVII</t>
        </is>
      </c>
      <c r="C27448">
        <f>ROMAN(27447)</f>
        <v/>
      </c>
      <c r="D27448">
        <f>IF(B27448=C27448, "YES", "WRONG")</f>
        <v/>
      </c>
    </row>
    <row r="27449">
      <c r="A27449" t="n">
        <v>27448</v>
      </c>
      <c r="B27449" t="inlineStr">
        <is>
          <t>x̄x̄V̅MMCDXLVIII</t>
        </is>
      </c>
      <c r="C27449">
        <f>ROMAN(27448)</f>
        <v/>
      </c>
      <c r="D27449">
        <f>IF(B27449=C27449, "YES", "WRONG")</f>
        <v/>
      </c>
    </row>
    <row r="27450">
      <c r="A27450" t="n">
        <v>27449</v>
      </c>
      <c r="B27450" t="inlineStr">
        <is>
          <t>x̄x̄V̅MMCDXLIX</t>
        </is>
      </c>
      <c r="C27450">
        <f>ROMAN(27449)</f>
        <v/>
      </c>
      <c r="D27450">
        <f>IF(B27450=C27450, "YES", "WRONG")</f>
        <v/>
      </c>
    </row>
    <row r="27451">
      <c r="A27451" t="n">
        <v>27450</v>
      </c>
      <c r="B27451" t="inlineStr">
        <is>
          <t>x̄x̄V̅MMCDL</t>
        </is>
      </c>
      <c r="C27451">
        <f>ROMAN(27450)</f>
        <v/>
      </c>
      <c r="D27451">
        <f>IF(B27451=C27451, "YES", "WRONG")</f>
        <v/>
      </c>
    </row>
    <row r="27452">
      <c r="A27452" t="n">
        <v>27451</v>
      </c>
      <c r="B27452" t="inlineStr">
        <is>
          <t>x̄x̄V̅MMCDLI</t>
        </is>
      </c>
      <c r="C27452">
        <f>ROMAN(27451)</f>
        <v/>
      </c>
      <c r="D27452">
        <f>IF(B27452=C27452, "YES", "WRONG")</f>
        <v/>
      </c>
    </row>
    <row r="27453">
      <c r="A27453" t="n">
        <v>27452</v>
      </c>
      <c r="B27453" t="inlineStr">
        <is>
          <t>x̄x̄V̅MMCDLII</t>
        </is>
      </c>
      <c r="C27453">
        <f>ROMAN(27452)</f>
        <v/>
      </c>
      <c r="D27453">
        <f>IF(B27453=C27453, "YES", "WRONG")</f>
        <v/>
      </c>
    </row>
    <row r="27454">
      <c r="A27454" t="n">
        <v>27453</v>
      </c>
      <c r="B27454" t="inlineStr">
        <is>
          <t>x̄x̄V̅MMCDLIII</t>
        </is>
      </c>
      <c r="C27454">
        <f>ROMAN(27453)</f>
        <v/>
      </c>
      <c r="D27454">
        <f>IF(B27454=C27454, "YES", "WRONG")</f>
        <v/>
      </c>
    </row>
    <row r="27455">
      <c r="A27455" t="n">
        <v>27454</v>
      </c>
      <c r="B27455" t="inlineStr">
        <is>
          <t>x̄x̄V̅MMCDLIV</t>
        </is>
      </c>
      <c r="C27455">
        <f>ROMAN(27454)</f>
        <v/>
      </c>
      <c r="D27455">
        <f>IF(B27455=C27455, "YES", "WRONG")</f>
        <v/>
      </c>
    </row>
    <row r="27456">
      <c r="A27456" t="n">
        <v>27455</v>
      </c>
      <c r="B27456" t="inlineStr">
        <is>
          <t>x̄x̄V̅MMCDLV</t>
        </is>
      </c>
      <c r="C27456">
        <f>ROMAN(27455)</f>
        <v/>
      </c>
      <c r="D27456">
        <f>IF(B27456=C27456, "YES", "WRONG")</f>
        <v/>
      </c>
    </row>
    <row r="27457">
      <c r="A27457" t="n">
        <v>27456</v>
      </c>
      <c r="B27457" t="inlineStr">
        <is>
          <t>x̄x̄V̅MMCDLVI</t>
        </is>
      </c>
      <c r="C27457">
        <f>ROMAN(27456)</f>
        <v/>
      </c>
      <c r="D27457">
        <f>IF(B27457=C27457, "YES", "WRONG")</f>
        <v/>
      </c>
    </row>
    <row r="27458">
      <c r="A27458" t="n">
        <v>27457</v>
      </c>
      <c r="B27458" t="inlineStr">
        <is>
          <t>x̄x̄V̅MMCDLVII</t>
        </is>
      </c>
      <c r="C27458">
        <f>ROMAN(27457)</f>
        <v/>
      </c>
      <c r="D27458">
        <f>IF(B27458=C27458, "YES", "WRONG")</f>
        <v/>
      </c>
    </row>
    <row r="27459">
      <c r="A27459" t="n">
        <v>27458</v>
      </c>
      <c r="B27459" t="inlineStr">
        <is>
          <t>x̄x̄V̅MMCDLVIII</t>
        </is>
      </c>
      <c r="C27459">
        <f>ROMAN(27458)</f>
        <v/>
      </c>
      <c r="D27459">
        <f>IF(B27459=C27459, "YES", "WRONG")</f>
        <v/>
      </c>
    </row>
    <row r="27460">
      <c r="A27460" t="n">
        <v>27459</v>
      </c>
      <c r="B27460" t="inlineStr">
        <is>
          <t>x̄x̄V̅MMCDLIX</t>
        </is>
      </c>
      <c r="C27460">
        <f>ROMAN(27459)</f>
        <v/>
      </c>
      <c r="D27460">
        <f>IF(B27460=C27460, "YES", "WRONG")</f>
        <v/>
      </c>
    </row>
    <row r="27461">
      <c r="A27461" t="n">
        <v>27460</v>
      </c>
      <c r="B27461" t="inlineStr">
        <is>
          <t>x̄x̄V̅MMCDLX</t>
        </is>
      </c>
      <c r="C27461">
        <f>ROMAN(27460)</f>
        <v/>
      </c>
      <c r="D27461">
        <f>IF(B27461=C27461, "YES", "WRONG")</f>
        <v/>
      </c>
    </row>
    <row r="27462">
      <c r="A27462" t="n">
        <v>27461</v>
      </c>
      <c r="B27462" t="inlineStr">
        <is>
          <t>x̄x̄V̅MMCDLXI</t>
        </is>
      </c>
      <c r="C27462">
        <f>ROMAN(27461)</f>
        <v/>
      </c>
      <c r="D27462">
        <f>IF(B27462=C27462, "YES", "WRONG")</f>
        <v/>
      </c>
    </row>
    <row r="27463">
      <c r="A27463" t="n">
        <v>27462</v>
      </c>
      <c r="B27463" t="inlineStr">
        <is>
          <t>x̄x̄V̅MMCDLXII</t>
        </is>
      </c>
      <c r="C27463">
        <f>ROMAN(27462)</f>
        <v/>
      </c>
      <c r="D27463">
        <f>IF(B27463=C27463, "YES", "WRONG")</f>
        <v/>
      </c>
    </row>
    <row r="27464">
      <c r="A27464" t="n">
        <v>27463</v>
      </c>
      <c r="B27464" t="inlineStr">
        <is>
          <t>x̄x̄V̅MMCDLXIII</t>
        </is>
      </c>
      <c r="C27464">
        <f>ROMAN(27463)</f>
        <v/>
      </c>
      <c r="D27464">
        <f>IF(B27464=C27464, "YES", "WRONG")</f>
        <v/>
      </c>
    </row>
    <row r="27465">
      <c r="A27465" t="n">
        <v>27464</v>
      </c>
      <c r="B27465" t="inlineStr">
        <is>
          <t>x̄x̄V̅MMCDLXIV</t>
        </is>
      </c>
      <c r="C27465">
        <f>ROMAN(27464)</f>
        <v/>
      </c>
      <c r="D27465">
        <f>IF(B27465=C27465, "YES", "WRONG")</f>
        <v/>
      </c>
    </row>
    <row r="27466">
      <c r="A27466" t="n">
        <v>27465</v>
      </c>
      <c r="B27466" t="inlineStr">
        <is>
          <t>x̄x̄V̅MMCDLXV</t>
        </is>
      </c>
      <c r="C27466">
        <f>ROMAN(27465)</f>
        <v/>
      </c>
      <c r="D27466">
        <f>IF(B27466=C27466, "YES", "WRONG")</f>
        <v/>
      </c>
    </row>
    <row r="27467">
      <c r="A27467" t="n">
        <v>27466</v>
      </c>
      <c r="B27467" t="inlineStr">
        <is>
          <t>x̄x̄V̅MMCDLXVI</t>
        </is>
      </c>
      <c r="C27467">
        <f>ROMAN(27466)</f>
        <v/>
      </c>
      <c r="D27467">
        <f>IF(B27467=C27467, "YES", "WRONG")</f>
        <v/>
      </c>
    </row>
    <row r="27468">
      <c r="A27468" t="n">
        <v>27467</v>
      </c>
      <c r="B27468" t="inlineStr">
        <is>
          <t>x̄x̄V̅MMCDLXVII</t>
        </is>
      </c>
      <c r="C27468">
        <f>ROMAN(27467)</f>
        <v/>
      </c>
      <c r="D27468">
        <f>IF(B27468=C27468, "YES", "WRONG")</f>
        <v/>
      </c>
    </row>
    <row r="27469">
      <c r="A27469" t="n">
        <v>27468</v>
      </c>
      <c r="B27469" t="inlineStr">
        <is>
          <t>x̄x̄V̅MMCDLXVIII</t>
        </is>
      </c>
      <c r="C27469">
        <f>ROMAN(27468)</f>
        <v/>
      </c>
      <c r="D27469">
        <f>IF(B27469=C27469, "YES", "WRONG")</f>
        <v/>
      </c>
    </row>
    <row r="27470">
      <c r="A27470" t="n">
        <v>27469</v>
      </c>
      <c r="B27470" t="inlineStr">
        <is>
          <t>x̄x̄V̅MMCDLXIX</t>
        </is>
      </c>
      <c r="C27470">
        <f>ROMAN(27469)</f>
        <v/>
      </c>
      <c r="D27470">
        <f>IF(B27470=C27470, "YES", "WRONG")</f>
        <v/>
      </c>
    </row>
    <row r="27471">
      <c r="A27471" t="n">
        <v>27470</v>
      </c>
      <c r="B27471" t="inlineStr">
        <is>
          <t>x̄x̄V̅MMCDLXX</t>
        </is>
      </c>
      <c r="C27471">
        <f>ROMAN(27470)</f>
        <v/>
      </c>
      <c r="D27471">
        <f>IF(B27471=C27471, "YES", "WRONG")</f>
        <v/>
      </c>
    </row>
    <row r="27472">
      <c r="A27472" t="n">
        <v>27471</v>
      </c>
      <c r="B27472" t="inlineStr">
        <is>
          <t>x̄x̄V̅MMCDLXXI</t>
        </is>
      </c>
      <c r="C27472">
        <f>ROMAN(27471)</f>
        <v/>
      </c>
      <c r="D27472">
        <f>IF(B27472=C27472, "YES", "WRONG")</f>
        <v/>
      </c>
    </row>
    <row r="27473">
      <c r="A27473" t="n">
        <v>27472</v>
      </c>
      <c r="B27473" t="inlineStr">
        <is>
          <t>x̄x̄V̅MMCDLXXII</t>
        </is>
      </c>
      <c r="C27473">
        <f>ROMAN(27472)</f>
        <v/>
      </c>
      <c r="D27473">
        <f>IF(B27473=C27473, "YES", "WRONG")</f>
        <v/>
      </c>
    </row>
    <row r="27474">
      <c r="A27474" t="n">
        <v>27473</v>
      </c>
      <c r="B27474" t="inlineStr">
        <is>
          <t>x̄x̄V̅MMCDLXXIII</t>
        </is>
      </c>
      <c r="C27474">
        <f>ROMAN(27473)</f>
        <v/>
      </c>
      <c r="D27474">
        <f>IF(B27474=C27474, "YES", "WRONG")</f>
        <v/>
      </c>
    </row>
    <row r="27475">
      <c r="A27475" t="n">
        <v>27474</v>
      </c>
      <c r="B27475" t="inlineStr">
        <is>
          <t>x̄x̄V̅MMCDLXXIV</t>
        </is>
      </c>
      <c r="C27475">
        <f>ROMAN(27474)</f>
        <v/>
      </c>
      <c r="D27475">
        <f>IF(B27475=C27475, "YES", "WRONG")</f>
        <v/>
      </c>
    </row>
    <row r="27476">
      <c r="A27476" t="n">
        <v>27475</v>
      </c>
      <c r="B27476" t="inlineStr">
        <is>
          <t>x̄x̄V̅MMCDLXXV</t>
        </is>
      </c>
      <c r="C27476">
        <f>ROMAN(27475)</f>
        <v/>
      </c>
      <c r="D27476">
        <f>IF(B27476=C27476, "YES", "WRONG")</f>
        <v/>
      </c>
    </row>
    <row r="27477">
      <c r="A27477" t="n">
        <v>27476</v>
      </c>
      <c r="B27477" t="inlineStr">
        <is>
          <t>x̄x̄V̅MMCDLXXVI</t>
        </is>
      </c>
      <c r="C27477">
        <f>ROMAN(27476)</f>
        <v/>
      </c>
      <c r="D27477">
        <f>IF(B27477=C27477, "YES", "WRONG")</f>
        <v/>
      </c>
    </row>
    <row r="27478">
      <c r="A27478" t="n">
        <v>27477</v>
      </c>
      <c r="B27478" t="inlineStr">
        <is>
          <t>x̄x̄V̅MMCDLXXVII</t>
        </is>
      </c>
      <c r="C27478">
        <f>ROMAN(27477)</f>
        <v/>
      </c>
      <c r="D27478">
        <f>IF(B27478=C27478, "YES", "WRONG")</f>
        <v/>
      </c>
    </row>
    <row r="27479">
      <c r="A27479" t="n">
        <v>27478</v>
      </c>
      <c r="B27479" t="inlineStr">
        <is>
          <t>x̄x̄V̅MMCDLXXVIII</t>
        </is>
      </c>
      <c r="C27479">
        <f>ROMAN(27478)</f>
        <v/>
      </c>
      <c r="D27479">
        <f>IF(B27479=C27479, "YES", "WRONG")</f>
        <v/>
      </c>
    </row>
    <row r="27480">
      <c r="A27480" t="n">
        <v>27479</v>
      </c>
      <c r="B27480" t="inlineStr">
        <is>
          <t>x̄x̄V̅MMCDLXXIX</t>
        </is>
      </c>
      <c r="C27480">
        <f>ROMAN(27479)</f>
        <v/>
      </c>
      <c r="D27480">
        <f>IF(B27480=C27480, "YES", "WRONG")</f>
        <v/>
      </c>
    </row>
    <row r="27481">
      <c r="A27481" t="n">
        <v>27480</v>
      </c>
      <c r="B27481" t="inlineStr">
        <is>
          <t>x̄x̄V̅MMCDLXXX</t>
        </is>
      </c>
      <c r="C27481">
        <f>ROMAN(27480)</f>
        <v/>
      </c>
      <c r="D27481">
        <f>IF(B27481=C27481, "YES", "WRONG")</f>
        <v/>
      </c>
    </row>
    <row r="27482">
      <c r="A27482" t="n">
        <v>27481</v>
      </c>
      <c r="B27482" t="inlineStr">
        <is>
          <t>x̄x̄V̅MMCDLXXXI</t>
        </is>
      </c>
      <c r="C27482">
        <f>ROMAN(27481)</f>
        <v/>
      </c>
      <c r="D27482">
        <f>IF(B27482=C27482, "YES", "WRONG")</f>
        <v/>
      </c>
    </row>
    <row r="27483">
      <c r="A27483" t="n">
        <v>27482</v>
      </c>
      <c r="B27483" t="inlineStr">
        <is>
          <t>x̄x̄V̅MMCDLXXXII</t>
        </is>
      </c>
      <c r="C27483">
        <f>ROMAN(27482)</f>
        <v/>
      </c>
      <c r="D27483">
        <f>IF(B27483=C27483, "YES", "WRONG")</f>
        <v/>
      </c>
    </row>
    <row r="27484">
      <c r="A27484" t="n">
        <v>27483</v>
      </c>
      <c r="B27484" t="inlineStr">
        <is>
          <t>x̄x̄V̅MMCDLXXXIII</t>
        </is>
      </c>
      <c r="C27484">
        <f>ROMAN(27483)</f>
        <v/>
      </c>
      <c r="D27484">
        <f>IF(B27484=C27484, "YES", "WRONG")</f>
        <v/>
      </c>
    </row>
    <row r="27485">
      <c r="A27485" t="n">
        <v>27484</v>
      </c>
      <c r="B27485" t="inlineStr">
        <is>
          <t>x̄x̄V̅MMCDLXXXIV</t>
        </is>
      </c>
      <c r="C27485">
        <f>ROMAN(27484)</f>
        <v/>
      </c>
      <c r="D27485">
        <f>IF(B27485=C27485, "YES", "WRONG")</f>
        <v/>
      </c>
    </row>
    <row r="27486">
      <c r="A27486" t="n">
        <v>27485</v>
      </c>
      <c r="B27486" t="inlineStr">
        <is>
          <t>x̄x̄V̅MMCDLXXXV</t>
        </is>
      </c>
      <c r="C27486">
        <f>ROMAN(27485)</f>
        <v/>
      </c>
      <c r="D27486">
        <f>IF(B27486=C27486, "YES", "WRONG")</f>
        <v/>
      </c>
    </row>
    <row r="27487">
      <c r="A27487" t="n">
        <v>27486</v>
      </c>
      <c r="B27487" t="inlineStr">
        <is>
          <t>x̄x̄V̅MMCDLXXXVI</t>
        </is>
      </c>
      <c r="C27487">
        <f>ROMAN(27486)</f>
        <v/>
      </c>
      <c r="D27487">
        <f>IF(B27487=C27487, "YES", "WRONG")</f>
        <v/>
      </c>
    </row>
    <row r="27488">
      <c r="A27488" t="n">
        <v>27487</v>
      </c>
      <c r="B27488" t="inlineStr">
        <is>
          <t>x̄x̄V̅MMCDLXXXVII</t>
        </is>
      </c>
      <c r="C27488">
        <f>ROMAN(27487)</f>
        <v/>
      </c>
      <c r="D27488">
        <f>IF(B27488=C27488, "YES", "WRONG")</f>
        <v/>
      </c>
    </row>
    <row r="27489">
      <c r="A27489" t="n">
        <v>27488</v>
      </c>
      <c r="B27489" t="inlineStr">
        <is>
          <t>x̄x̄V̅MMCDLXXXVIII</t>
        </is>
      </c>
      <c r="C27489">
        <f>ROMAN(27488)</f>
        <v/>
      </c>
      <c r="D27489">
        <f>IF(B27489=C27489, "YES", "WRONG")</f>
        <v/>
      </c>
    </row>
    <row r="27490">
      <c r="A27490" t="n">
        <v>27489</v>
      </c>
      <c r="B27490" t="inlineStr">
        <is>
          <t>x̄x̄V̅MMCDLXXXIX</t>
        </is>
      </c>
      <c r="C27490">
        <f>ROMAN(27489)</f>
        <v/>
      </c>
      <c r="D27490">
        <f>IF(B27490=C27490, "YES", "WRONG")</f>
        <v/>
      </c>
    </row>
    <row r="27491">
      <c r="A27491" t="n">
        <v>27490</v>
      </c>
      <c r="B27491" t="inlineStr">
        <is>
          <t>x̄x̄V̅MMCDXC</t>
        </is>
      </c>
      <c r="C27491">
        <f>ROMAN(27490)</f>
        <v/>
      </c>
      <c r="D27491">
        <f>IF(B27491=C27491, "YES", "WRONG")</f>
        <v/>
      </c>
    </row>
    <row r="27492">
      <c r="A27492" t="n">
        <v>27491</v>
      </c>
      <c r="B27492" t="inlineStr">
        <is>
          <t>x̄x̄V̅MMCDXCI</t>
        </is>
      </c>
      <c r="C27492">
        <f>ROMAN(27491)</f>
        <v/>
      </c>
      <c r="D27492">
        <f>IF(B27492=C27492, "YES", "WRONG")</f>
        <v/>
      </c>
    </row>
    <row r="27493">
      <c r="A27493" t="n">
        <v>27492</v>
      </c>
      <c r="B27493" t="inlineStr">
        <is>
          <t>x̄x̄V̅MMCDXCII</t>
        </is>
      </c>
      <c r="C27493">
        <f>ROMAN(27492)</f>
        <v/>
      </c>
      <c r="D27493">
        <f>IF(B27493=C27493, "YES", "WRONG")</f>
        <v/>
      </c>
    </row>
    <row r="27494">
      <c r="A27494" t="n">
        <v>27493</v>
      </c>
      <c r="B27494" t="inlineStr">
        <is>
          <t>x̄x̄V̅MMCDXCIII</t>
        </is>
      </c>
      <c r="C27494">
        <f>ROMAN(27493)</f>
        <v/>
      </c>
      <c r="D27494">
        <f>IF(B27494=C27494, "YES", "WRONG")</f>
        <v/>
      </c>
    </row>
    <row r="27495">
      <c r="A27495" t="n">
        <v>27494</v>
      </c>
      <c r="B27495" t="inlineStr">
        <is>
          <t>x̄x̄V̅MMCDXCIV</t>
        </is>
      </c>
      <c r="C27495">
        <f>ROMAN(27494)</f>
        <v/>
      </c>
      <c r="D27495">
        <f>IF(B27495=C27495, "YES", "WRONG")</f>
        <v/>
      </c>
    </row>
    <row r="27496">
      <c r="A27496" t="n">
        <v>27495</v>
      </c>
      <c r="B27496" t="inlineStr">
        <is>
          <t>x̄x̄V̅MMCDXCV</t>
        </is>
      </c>
      <c r="C27496">
        <f>ROMAN(27495)</f>
        <v/>
      </c>
      <c r="D27496">
        <f>IF(B27496=C27496, "YES", "WRONG")</f>
        <v/>
      </c>
    </row>
    <row r="27497">
      <c r="A27497" t="n">
        <v>27496</v>
      </c>
      <c r="B27497" t="inlineStr">
        <is>
          <t>x̄x̄V̅MMCDXCVI</t>
        </is>
      </c>
      <c r="C27497">
        <f>ROMAN(27496)</f>
        <v/>
      </c>
      <c r="D27497">
        <f>IF(B27497=C27497, "YES", "WRONG")</f>
        <v/>
      </c>
    </row>
    <row r="27498">
      <c r="A27498" t="n">
        <v>27497</v>
      </c>
      <c r="B27498" t="inlineStr">
        <is>
          <t>x̄x̄V̅MMCDXCVII</t>
        </is>
      </c>
      <c r="C27498">
        <f>ROMAN(27497)</f>
        <v/>
      </c>
      <c r="D27498">
        <f>IF(B27498=C27498, "YES", "WRONG")</f>
        <v/>
      </c>
    </row>
    <row r="27499">
      <c r="A27499" t="n">
        <v>27498</v>
      </c>
      <c r="B27499" t="inlineStr">
        <is>
          <t>x̄x̄V̅MMCDXCVIII</t>
        </is>
      </c>
      <c r="C27499">
        <f>ROMAN(27498)</f>
        <v/>
      </c>
      <c r="D27499">
        <f>IF(B27499=C27499, "YES", "WRONG")</f>
        <v/>
      </c>
    </row>
    <row r="27500">
      <c r="A27500" t="n">
        <v>27499</v>
      </c>
      <c r="B27500" t="inlineStr">
        <is>
          <t>x̄x̄V̅MMCDXCIX</t>
        </is>
      </c>
      <c r="C27500">
        <f>ROMAN(27499)</f>
        <v/>
      </c>
      <c r="D27500">
        <f>IF(B27500=C27500, "YES", "WRONG")</f>
        <v/>
      </c>
    </row>
    <row r="27501">
      <c r="A27501" t="n">
        <v>27500</v>
      </c>
      <c r="B27501" t="inlineStr">
        <is>
          <t>x̄x̄V̅MMD</t>
        </is>
      </c>
      <c r="C27501">
        <f>ROMAN(27500)</f>
        <v/>
      </c>
      <c r="D27501">
        <f>IF(B27501=C27501, "YES", "WRONG")</f>
        <v/>
      </c>
    </row>
    <row r="27502">
      <c r="A27502" t="n">
        <v>27501</v>
      </c>
      <c r="B27502" t="inlineStr">
        <is>
          <t>x̄x̄V̅MMDI</t>
        </is>
      </c>
      <c r="C27502">
        <f>ROMAN(27501)</f>
        <v/>
      </c>
      <c r="D27502">
        <f>IF(B27502=C27502, "YES", "WRONG")</f>
        <v/>
      </c>
    </row>
    <row r="27503">
      <c r="A27503" t="n">
        <v>27502</v>
      </c>
      <c r="B27503" t="inlineStr">
        <is>
          <t>x̄x̄V̅MMDII</t>
        </is>
      </c>
      <c r="C27503">
        <f>ROMAN(27502)</f>
        <v/>
      </c>
      <c r="D27503">
        <f>IF(B27503=C27503, "YES", "WRONG")</f>
        <v/>
      </c>
    </row>
    <row r="27504">
      <c r="A27504" t="n">
        <v>27503</v>
      </c>
      <c r="B27504" t="inlineStr">
        <is>
          <t>x̄x̄V̅MMDIII</t>
        </is>
      </c>
      <c r="C27504">
        <f>ROMAN(27503)</f>
        <v/>
      </c>
      <c r="D27504">
        <f>IF(B27504=C27504, "YES", "WRONG")</f>
        <v/>
      </c>
    </row>
    <row r="27505">
      <c r="A27505" t="n">
        <v>27504</v>
      </c>
      <c r="B27505" t="inlineStr">
        <is>
          <t>x̄x̄V̅MMDIV</t>
        </is>
      </c>
      <c r="C27505">
        <f>ROMAN(27504)</f>
        <v/>
      </c>
      <c r="D27505">
        <f>IF(B27505=C27505, "YES", "WRONG")</f>
        <v/>
      </c>
    </row>
    <row r="27506">
      <c r="A27506" t="n">
        <v>27505</v>
      </c>
      <c r="B27506" t="inlineStr">
        <is>
          <t>x̄x̄V̅MMDV</t>
        </is>
      </c>
      <c r="C27506">
        <f>ROMAN(27505)</f>
        <v/>
      </c>
      <c r="D27506">
        <f>IF(B27506=C27506, "YES", "WRONG")</f>
        <v/>
      </c>
    </row>
    <row r="27507">
      <c r="A27507" t="n">
        <v>27506</v>
      </c>
      <c r="B27507" t="inlineStr">
        <is>
          <t>x̄x̄V̅MMDVI</t>
        </is>
      </c>
      <c r="C27507">
        <f>ROMAN(27506)</f>
        <v/>
      </c>
      <c r="D27507">
        <f>IF(B27507=C27507, "YES", "WRONG")</f>
        <v/>
      </c>
    </row>
    <row r="27508">
      <c r="A27508" t="n">
        <v>27507</v>
      </c>
      <c r="B27508" t="inlineStr">
        <is>
          <t>x̄x̄V̅MMDVII</t>
        </is>
      </c>
      <c r="C27508">
        <f>ROMAN(27507)</f>
        <v/>
      </c>
      <c r="D27508">
        <f>IF(B27508=C27508, "YES", "WRONG")</f>
        <v/>
      </c>
    </row>
    <row r="27509">
      <c r="A27509" t="n">
        <v>27508</v>
      </c>
      <c r="B27509" t="inlineStr">
        <is>
          <t>x̄x̄V̅MMDVIII</t>
        </is>
      </c>
      <c r="C27509">
        <f>ROMAN(27508)</f>
        <v/>
      </c>
      <c r="D27509">
        <f>IF(B27509=C27509, "YES", "WRONG")</f>
        <v/>
      </c>
    </row>
    <row r="27510">
      <c r="A27510" t="n">
        <v>27509</v>
      </c>
      <c r="B27510" t="inlineStr">
        <is>
          <t>x̄x̄V̅MMDIX</t>
        </is>
      </c>
      <c r="C27510">
        <f>ROMAN(27509)</f>
        <v/>
      </c>
      <c r="D27510">
        <f>IF(B27510=C27510, "YES", "WRONG")</f>
        <v/>
      </c>
    </row>
    <row r="27511">
      <c r="A27511" t="n">
        <v>27510</v>
      </c>
      <c r="B27511" t="inlineStr">
        <is>
          <t>x̄x̄V̅MMDX</t>
        </is>
      </c>
      <c r="C27511">
        <f>ROMAN(27510)</f>
        <v/>
      </c>
      <c r="D27511">
        <f>IF(B27511=C27511, "YES", "WRONG")</f>
        <v/>
      </c>
    </row>
    <row r="27512">
      <c r="A27512" t="n">
        <v>27511</v>
      </c>
      <c r="B27512" t="inlineStr">
        <is>
          <t>x̄x̄V̅MMDXI</t>
        </is>
      </c>
      <c r="C27512">
        <f>ROMAN(27511)</f>
        <v/>
      </c>
      <c r="D27512">
        <f>IF(B27512=C27512, "YES", "WRONG")</f>
        <v/>
      </c>
    </row>
    <row r="27513">
      <c r="A27513" t="n">
        <v>27512</v>
      </c>
      <c r="B27513" t="inlineStr">
        <is>
          <t>x̄x̄V̅MMDXII</t>
        </is>
      </c>
      <c r="C27513">
        <f>ROMAN(27512)</f>
        <v/>
      </c>
      <c r="D27513">
        <f>IF(B27513=C27513, "YES", "WRONG")</f>
        <v/>
      </c>
    </row>
    <row r="27514">
      <c r="A27514" t="n">
        <v>27513</v>
      </c>
      <c r="B27514" t="inlineStr">
        <is>
          <t>x̄x̄V̅MMDXIII</t>
        </is>
      </c>
      <c r="C27514">
        <f>ROMAN(27513)</f>
        <v/>
      </c>
      <c r="D27514">
        <f>IF(B27514=C27514, "YES", "WRONG")</f>
        <v/>
      </c>
    </row>
    <row r="27515">
      <c r="A27515" t="n">
        <v>27514</v>
      </c>
      <c r="B27515" t="inlineStr">
        <is>
          <t>x̄x̄V̅MMDXIV</t>
        </is>
      </c>
      <c r="C27515">
        <f>ROMAN(27514)</f>
        <v/>
      </c>
      <c r="D27515">
        <f>IF(B27515=C27515, "YES", "WRONG")</f>
        <v/>
      </c>
    </row>
    <row r="27516">
      <c r="A27516" t="n">
        <v>27515</v>
      </c>
      <c r="B27516" t="inlineStr">
        <is>
          <t>x̄x̄V̅MMDXV</t>
        </is>
      </c>
      <c r="C27516">
        <f>ROMAN(27515)</f>
        <v/>
      </c>
      <c r="D27516">
        <f>IF(B27516=C27516, "YES", "WRONG")</f>
        <v/>
      </c>
    </row>
    <row r="27517">
      <c r="A27517" t="n">
        <v>27516</v>
      </c>
      <c r="B27517" t="inlineStr">
        <is>
          <t>x̄x̄V̅MMDXVI</t>
        </is>
      </c>
      <c r="C27517">
        <f>ROMAN(27516)</f>
        <v/>
      </c>
      <c r="D27517">
        <f>IF(B27517=C27517, "YES", "WRONG")</f>
        <v/>
      </c>
    </row>
    <row r="27518">
      <c r="A27518" t="n">
        <v>27517</v>
      </c>
      <c r="B27518" t="inlineStr">
        <is>
          <t>x̄x̄V̅MMDXVII</t>
        </is>
      </c>
      <c r="C27518">
        <f>ROMAN(27517)</f>
        <v/>
      </c>
      <c r="D27518">
        <f>IF(B27518=C27518, "YES", "WRONG")</f>
        <v/>
      </c>
    </row>
    <row r="27519">
      <c r="A27519" t="n">
        <v>27518</v>
      </c>
      <c r="B27519" t="inlineStr">
        <is>
          <t>x̄x̄V̅MMDXVIII</t>
        </is>
      </c>
      <c r="C27519">
        <f>ROMAN(27518)</f>
        <v/>
      </c>
      <c r="D27519">
        <f>IF(B27519=C27519, "YES", "WRONG")</f>
        <v/>
      </c>
    </row>
    <row r="27520">
      <c r="A27520" t="n">
        <v>27519</v>
      </c>
      <c r="B27520" t="inlineStr">
        <is>
          <t>x̄x̄V̅MMDXIX</t>
        </is>
      </c>
      <c r="C27520">
        <f>ROMAN(27519)</f>
        <v/>
      </c>
      <c r="D27520">
        <f>IF(B27520=C27520, "YES", "WRONG")</f>
        <v/>
      </c>
    </row>
    <row r="27521">
      <c r="A27521" t="n">
        <v>27520</v>
      </c>
      <c r="B27521" t="inlineStr">
        <is>
          <t>x̄x̄V̅MMDXX</t>
        </is>
      </c>
      <c r="C27521">
        <f>ROMAN(27520)</f>
        <v/>
      </c>
      <c r="D27521">
        <f>IF(B27521=C27521, "YES", "WRONG")</f>
        <v/>
      </c>
    </row>
    <row r="27522">
      <c r="A27522" t="n">
        <v>27521</v>
      </c>
      <c r="B27522" t="inlineStr">
        <is>
          <t>x̄x̄V̅MMDXXI</t>
        </is>
      </c>
      <c r="C27522">
        <f>ROMAN(27521)</f>
        <v/>
      </c>
      <c r="D27522">
        <f>IF(B27522=C27522, "YES", "WRONG")</f>
        <v/>
      </c>
    </row>
    <row r="27523">
      <c r="A27523" t="n">
        <v>27522</v>
      </c>
      <c r="B27523" t="inlineStr">
        <is>
          <t>x̄x̄V̅MMDXXII</t>
        </is>
      </c>
      <c r="C27523">
        <f>ROMAN(27522)</f>
        <v/>
      </c>
      <c r="D27523">
        <f>IF(B27523=C27523, "YES", "WRONG")</f>
        <v/>
      </c>
    </row>
    <row r="27524">
      <c r="A27524" t="n">
        <v>27523</v>
      </c>
      <c r="B27524" t="inlineStr">
        <is>
          <t>x̄x̄V̅MMDXXIII</t>
        </is>
      </c>
      <c r="C27524">
        <f>ROMAN(27523)</f>
        <v/>
      </c>
      <c r="D27524">
        <f>IF(B27524=C27524, "YES", "WRONG")</f>
        <v/>
      </c>
    </row>
    <row r="27525">
      <c r="A27525" t="n">
        <v>27524</v>
      </c>
      <c r="B27525" t="inlineStr">
        <is>
          <t>x̄x̄V̅MMDXXIV</t>
        </is>
      </c>
      <c r="C27525">
        <f>ROMAN(27524)</f>
        <v/>
      </c>
      <c r="D27525">
        <f>IF(B27525=C27525, "YES", "WRONG")</f>
        <v/>
      </c>
    </row>
    <row r="27526">
      <c r="A27526" t="n">
        <v>27525</v>
      </c>
      <c r="B27526" t="inlineStr">
        <is>
          <t>x̄x̄V̅MMDXXV</t>
        </is>
      </c>
      <c r="C27526">
        <f>ROMAN(27525)</f>
        <v/>
      </c>
      <c r="D27526">
        <f>IF(B27526=C27526, "YES", "WRONG")</f>
        <v/>
      </c>
    </row>
    <row r="27527">
      <c r="A27527" t="n">
        <v>27526</v>
      </c>
      <c r="B27527" t="inlineStr">
        <is>
          <t>x̄x̄V̅MMDXXVI</t>
        </is>
      </c>
      <c r="C27527">
        <f>ROMAN(27526)</f>
        <v/>
      </c>
      <c r="D27527">
        <f>IF(B27527=C27527, "YES", "WRONG")</f>
        <v/>
      </c>
    </row>
    <row r="27528">
      <c r="A27528" t="n">
        <v>27527</v>
      </c>
      <c r="B27528" t="inlineStr">
        <is>
          <t>x̄x̄V̅MMDXXVII</t>
        </is>
      </c>
      <c r="C27528">
        <f>ROMAN(27527)</f>
        <v/>
      </c>
      <c r="D27528">
        <f>IF(B27528=C27528, "YES", "WRONG")</f>
        <v/>
      </c>
    </row>
    <row r="27529">
      <c r="A27529" t="n">
        <v>27528</v>
      </c>
      <c r="B27529" t="inlineStr">
        <is>
          <t>x̄x̄V̅MMDXXVIII</t>
        </is>
      </c>
      <c r="C27529">
        <f>ROMAN(27528)</f>
        <v/>
      </c>
      <c r="D27529">
        <f>IF(B27529=C27529, "YES", "WRONG")</f>
        <v/>
      </c>
    </row>
    <row r="27530">
      <c r="A27530" t="n">
        <v>27529</v>
      </c>
      <c r="B27530" t="inlineStr">
        <is>
          <t>x̄x̄V̅MMDXXIX</t>
        </is>
      </c>
      <c r="C27530">
        <f>ROMAN(27529)</f>
        <v/>
      </c>
      <c r="D27530">
        <f>IF(B27530=C27530, "YES", "WRONG")</f>
        <v/>
      </c>
    </row>
    <row r="27531">
      <c r="A27531" t="n">
        <v>27530</v>
      </c>
      <c r="B27531" t="inlineStr">
        <is>
          <t>x̄x̄V̅MMDXXX</t>
        </is>
      </c>
      <c r="C27531">
        <f>ROMAN(27530)</f>
        <v/>
      </c>
      <c r="D27531">
        <f>IF(B27531=C27531, "YES", "WRONG")</f>
        <v/>
      </c>
    </row>
    <row r="27532">
      <c r="A27532" t="n">
        <v>27531</v>
      </c>
      <c r="B27532" t="inlineStr">
        <is>
          <t>x̄x̄V̅MMDXXXI</t>
        </is>
      </c>
      <c r="C27532">
        <f>ROMAN(27531)</f>
        <v/>
      </c>
      <c r="D27532">
        <f>IF(B27532=C27532, "YES", "WRONG")</f>
        <v/>
      </c>
    </row>
    <row r="27533">
      <c r="A27533" t="n">
        <v>27532</v>
      </c>
      <c r="B27533" t="inlineStr">
        <is>
          <t>x̄x̄V̅MMDXXXII</t>
        </is>
      </c>
      <c r="C27533">
        <f>ROMAN(27532)</f>
        <v/>
      </c>
      <c r="D27533">
        <f>IF(B27533=C27533, "YES", "WRONG")</f>
        <v/>
      </c>
    </row>
    <row r="27534">
      <c r="A27534" t="n">
        <v>27533</v>
      </c>
      <c r="B27534" t="inlineStr">
        <is>
          <t>x̄x̄V̅MMDXXXIII</t>
        </is>
      </c>
      <c r="C27534">
        <f>ROMAN(27533)</f>
        <v/>
      </c>
      <c r="D27534">
        <f>IF(B27534=C27534, "YES", "WRONG")</f>
        <v/>
      </c>
    </row>
    <row r="27535">
      <c r="A27535" t="n">
        <v>27534</v>
      </c>
      <c r="B27535" t="inlineStr">
        <is>
          <t>x̄x̄V̅MMDXXXIV</t>
        </is>
      </c>
      <c r="C27535">
        <f>ROMAN(27534)</f>
        <v/>
      </c>
      <c r="D27535">
        <f>IF(B27535=C27535, "YES", "WRONG")</f>
        <v/>
      </c>
    </row>
    <row r="27536">
      <c r="A27536" t="n">
        <v>27535</v>
      </c>
      <c r="B27536" t="inlineStr">
        <is>
          <t>x̄x̄V̅MMDXXXV</t>
        </is>
      </c>
      <c r="C27536">
        <f>ROMAN(27535)</f>
        <v/>
      </c>
      <c r="D27536">
        <f>IF(B27536=C27536, "YES", "WRONG")</f>
        <v/>
      </c>
    </row>
    <row r="27537">
      <c r="A27537" t="n">
        <v>27536</v>
      </c>
      <c r="B27537" t="inlineStr">
        <is>
          <t>x̄x̄V̅MMDXXXVI</t>
        </is>
      </c>
      <c r="C27537">
        <f>ROMAN(27536)</f>
        <v/>
      </c>
      <c r="D27537">
        <f>IF(B27537=C27537, "YES", "WRONG")</f>
        <v/>
      </c>
    </row>
    <row r="27538">
      <c r="A27538" t="n">
        <v>27537</v>
      </c>
      <c r="B27538" t="inlineStr">
        <is>
          <t>x̄x̄V̅MMDXXXVII</t>
        </is>
      </c>
      <c r="C27538">
        <f>ROMAN(27537)</f>
        <v/>
      </c>
      <c r="D27538">
        <f>IF(B27538=C27538, "YES", "WRONG")</f>
        <v/>
      </c>
    </row>
    <row r="27539">
      <c r="A27539" t="n">
        <v>27538</v>
      </c>
      <c r="B27539" t="inlineStr">
        <is>
          <t>x̄x̄V̅MMDXXXVIII</t>
        </is>
      </c>
      <c r="C27539">
        <f>ROMAN(27538)</f>
        <v/>
      </c>
      <c r="D27539">
        <f>IF(B27539=C27539, "YES", "WRONG")</f>
        <v/>
      </c>
    </row>
    <row r="27540">
      <c r="A27540" t="n">
        <v>27539</v>
      </c>
      <c r="B27540" t="inlineStr">
        <is>
          <t>x̄x̄V̅MMDXXXIX</t>
        </is>
      </c>
      <c r="C27540">
        <f>ROMAN(27539)</f>
        <v/>
      </c>
      <c r="D27540">
        <f>IF(B27540=C27540, "YES", "WRONG")</f>
        <v/>
      </c>
    </row>
    <row r="27541">
      <c r="A27541" t="n">
        <v>27540</v>
      </c>
      <c r="B27541" t="inlineStr">
        <is>
          <t>x̄x̄V̅MMDXL</t>
        </is>
      </c>
      <c r="C27541">
        <f>ROMAN(27540)</f>
        <v/>
      </c>
      <c r="D27541">
        <f>IF(B27541=C27541, "YES", "WRONG")</f>
        <v/>
      </c>
    </row>
    <row r="27542">
      <c r="A27542" t="n">
        <v>27541</v>
      </c>
      <c r="B27542" t="inlineStr">
        <is>
          <t>x̄x̄V̅MMDXLI</t>
        </is>
      </c>
      <c r="C27542">
        <f>ROMAN(27541)</f>
        <v/>
      </c>
      <c r="D27542">
        <f>IF(B27542=C27542, "YES", "WRONG")</f>
        <v/>
      </c>
    </row>
    <row r="27543">
      <c r="A27543" t="n">
        <v>27542</v>
      </c>
      <c r="B27543" t="inlineStr">
        <is>
          <t>x̄x̄V̅MMDXLII</t>
        </is>
      </c>
      <c r="C27543">
        <f>ROMAN(27542)</f>
        <v/>
      </c>
      <c r="D27543">
        <f>IF(B27543=C27543, "YES", "WRONG")</f>
        <v/>
      </c>
    </row>
    <row r="27544">
      <c r="A27544" t="n">
        <v>27543</v>
      </c>
      <c r="B27544" t="inlineStr">
        <is>
          <t>x̄x̄V̅MMDXLIII</t>
        </is>
      </c>
      <c r="C27544">
        <f>ROMAN(27543)</f>
        <v/>
      </c>
      <c r="D27544">
        <f>IF(B27544=C27544, "YES", "WRONG")</f>
        <v/>
      </c>
    </row>
    <row r="27545">
      <c r="A27545" t="n">
        <v>27544</v>
      </c>
      <c r="B27545" t="inlineStr">
        <is>
          <t>x̄x̄V̅MMDXLIV</t>
        </is>
      </c>
      <c r="C27545">
        <f>ROMAN(27544)</f>
        <v/>
      </c>
      <c r="D27545">
        <f>IF(B27545=C27545, "YES", "WRONG")</f>
        <v/>
      </c>
    </row>
    <row r="27546">
      <c r="A27546" t="n">
        <v>27545</v>
      </c>
      <c r="B27546" t="inlineStr">
        <is>
          <t>x̄x̄V̅MMDXLV</t>
        </is>
      </c>
      <c r="C27546">
        <f>ROMAN(27545)</f>
        <v/>
      </c>
      <c r="D27546">
        <f>IF(B27546=C27546, "YES", "WRONG")</f>
        <v/>
      </c>
    </row>
    <row r="27547">
      <c r="A27547" t="n">
        <v>27546</v>
      </c>
      <c r="B27547" t="inlineStr">
        <is>
          <t>x̄x̄V̅MMDXLVI</t>
        </is>
      </c>
      <c r="C27547">
        <f>ROMAN(27546)</f>
        <v/>
      </c>
      <c r="D27547">
        <f>IF(B27547=C27547, "YES", "WRONG")</f>
        <v/>
      </c>
    </row>
    <row r="27548">
      <c r="A27548" t="n">
        <v>27547</v>
      </c>
      <c r="B27548" t="inlineStr">
        <is>
          <t>x̄x̄V̅MMDXLVII</t>
        </is>
      </c>
      <c r="C27548">
        <f>ROMAN(27547)</f>
        <v/>
      </c>
      <c r="D27548">
        <f>IF(B27548=C27548, "YES", "WRONG")</f>
        <v/>
      </c>
    </row>
    <row r="27549">
      <c r="A27549" t="n">
        <v>27548</v>
      </c>
      <c r="B27549" t="inlineStr">
        <is>
          <t>x̄x̄V̅MMDXLVIII</t>
        </is>
      </c>
      <c r="C27549">
        <f>ROMAN(27548)</f>
        <v/>
      </c>
      <c r="D27549">
        <f>IF(B27549=C27549, "YES", "WRONG")</f>
        <v/>
      </c>
    </row>
    <row r="27550">
      <c r="A27550" t="n">
        <v>27549</v>
      </c>
      <c r="B27550" t="inlineStr">
        <is>
          <t>x̄x̄V̅MMDXLIX</t>
        </is>
      </c>
      <c r="C27550">
        <f>ROMAN(27549)</f>
        <v/>
      </c>
      <c r="D27550">
        <f>IF(B27550=C27550, "YES", "WRONG")</f>
        <v/>
      </c>
    </row>
    <row r="27551">
      <c r="A27551" t="n">
        <v>27550</v>
      </c>
      <c r="B27551" t="inlineStr">
        <is>
          <t>x̄x̄V̅MMDL</t>
        </is>
      </c>
      <c r="C27551">
        <f>ROMAN(27550)</f>
        <v/>
      </c>
      <c r="D27551">
        <f>IF(B27551=C27551, "YES", "WRONG")</f>
        <v/>
      </c>
    </row>
    <row r="27552">
      <c r="A27552" t="n">
        <v>27551</v>
      </c>
      <c r="B27552" t="inlineStr">
        <is>
          <t>x̄x̄V̅MMDLI</t>
        </is>
      </c>
      <c r="C27552">
        <f>ROMAN(27551)</f>
        <v/>
      </c>
      <c r="D27552">
        <f>IF(B27552=C27552, "YES", "WRONG")</f>
        <v/>
      </c>
    </row>
    <row r="27553">
      <c r="A27553" t="n">
        <v>27552</v>
      </c>
      <c r="B27553" t="inlineStr">
        <is>
          <t>x̄x̄V̅MMDLII</t>
        </is>
      </c>
      <c r="C27553">
        <f>ROMAN(27552)</f>
        <v/>
      </c>
      <c r="D27553">
        <f>IF(B27553=C27553, "YES", "WRONG")</f>
        <v/>
      </c>
    </row>
    <row r="27554">
      <c r="A27554" t="n">
        <v>27553</v>
      </c>
      <c r="B27554" t="inlineStr">
        <is>
          <t>x̄x̄V̅MMDLIII</t>
        </is>
      </c>
      <c r="C27554">
        <f>ROMAN(27553)</f>
        <v/>
      </c>
      <c r="D27554">
        <f>IF(B27554=C27554, "YES", "WRONG")</f>
        <v/>
      </c>
    </row>
    <row r="27555">
      <c r="A27555" t="n">
        <v>27554</v>
      </c>
      <c r="B27555" t="inlineStr">
        <is>
          <t>x̄x̄V̅MMDLIV</t>
        </is>
      </c>
      <c r="C27555">
        <f>ROMAN(27554)</f>
        <v/>
      </c>
      <c r="D27555">
        <f>IF(B27555=C27555, "YES", "WRONG")</f>
        <v/>
      </c>
    </row>
    <row r="27556">
      <c r="A27556" t="n">
        <v>27555</v>
      </c>
      <c r="B27556" t="inlineStr">
        <is>
          <t>x̄x̄V̅MMDLV</t>
        </is>
      </c>
      <c r="C27556">
        <f>ROMAN(27555)</f>
        <v/>
      </c>
      <c r="D27556">
        <f>IF(B27556=C27556, "YES", "WRONG")</f>
        <v/>
      </c>
    </row>
    <row r="27557">
      <c r="A27557" t="n">
        <v>27556</v>
      </c>
      <c r="B27557" t="inlineStr">
        <is>
          <t>x̄x̄V̅MMDLVI</t>
        </is>
      </c>
      <c r="C27557">
        <f>ROMAN(27556)</f>
        <v/>
      </c>
      <c r="D27557">
        <f>IF(B27557=C27557, "YES", "WRONG")</f>
        <v/>
      </c>
    </row>
    <row r="27558">
      <c r="A27558" t="n">
        <v>27557</v>
      </c>
      <c r="B27558" t="inlineStr">
        <is>
          <t>x̄x̄V̅MMDLVII</t>
        </is>
      </c>
      <c r="C27558">
        <f>ROMAN(27557)</f>
        <v/>
      </c>
      <c r="D27558">
        <f>IF(B27558=C27558, "YES", "WRONG")</f>
        <v/>
      </c>
    </row>
    <row r="27559">
      <c r="A27559" t="n">
        <v>27558</v>
      </c>
      <c r="B27559" t="inlineStr">
        <is>
          <t>x̄x̄V̅MMDLVIII</t>
        </is>
      </c>
      <c r="C27559">
        <f>ROMAN(27558)</f>
        <v/>
      </c>
      <c r="D27559">
        <f>IF(B27559=C27559, "YES", "WRONG")</f>
        <v/>
      </c>
    </row>
    <row r="27560">
      <c r="A27560" t="n">
        <v>27559</v>
      </c>
      <c r="B27560" t="inlineStr">
        <is>
          <t>x̄x̄V̅MMDLIX</t>
        </is>
      </c>
      <c r="C27560">
        <f>ROMAN(27559)</f>
        <v/>
      </c>
      <c r="D27560">
        <f>IF(B27560=C27560, "YES", "WRONG")</f>
        <v/>
      </c>
    </row>
    <row r="27561">
      <c r="A27561" t="n">
        <v>27560</v>
      </c>
      <c r="B27561" t="inlineStr">
        <is>
          <t>x̄x̄V̅MMDLX</t>
        </is>
      </c>
      <c r="C27561">
        <f>ROMAN(27560)</f>
        <v/>
      </c>
      <c r="D27561">
        <f>IF(B27561=C27561, "YES", "WRONG")</f>
        <v/>
      </c>
    </row>
    <row r="27562">
      <c r="A27562" t="n">
        <v>27561</v>
      </c>
      <c r="B27562" t="inlineStr">
        <is>
          <t>x̄x̄V̅MMDLXI</t>
        </is>
      </c>
      <c r="C27562">
        <f>ROMAN(27561)</f>
        <v/>
      </c>
      <c r="D27562">
        <f>IF(B27562=C27562, "YES", "WRONG")</f>
        <v/>
      </c>
    </row>
    <row r="27563">
      <c r="A27563" t="n">
        <v>27562</v>
      </c>
      <c r="B27563" t="inlineStr">
        <is>
          <t>x̄x̄V̅MMDLXII</t>
        </is>
      </c>
      <c r="C27563">
        <f>ROMAN(27562)</f>
        <v/>
      </c>
      <c r="D27563">
        <f>IF(B27563=C27563, "YES", "WRONG")</f>
        <v/>
      </c>
    </row>
    <row r="27564">
      <c r="A27564" t="n">
        <v>27563</v>
      </c>
      <c r="B27564" t="inlineStr">
        <is>
          <t>x̄x̄V̅MMDLXIII</t>
        </is>
      </c>
      <c r="C27564">
        <f>ROMAN(27563)</f>
        <v/>
      </c>
      <c r="D27564">
        <f>IF(B27564=C27564, "YES", "WRONG")</f>
        <v/>
      </c>
    </row>
    <row r="27565">
      <c r="A27565" t="n">
        <v>27564</v>
      </c>
      <c r="B27565" t="inlineStr">
        <is>
          <t>x̄x̄V̅MMDLXIV</t>
        </is>
      </c>
      <c r="C27565">
        <f>ROMAN(27564)</f>
        <v/>
      </c>
      <c r="D27565">
        <f>IF(B27565=C27565, "YES", "WRONG")</f>
        <v/>
      </c>
    </row>
    <row r="27566">
      <c r="A27566" t="n">
        <v>27565</v>
      </c>
      <c r="B27566" t="inlineStr">
        <is>
          <t>x̄x̄V̅MMDLXV</t>
        </is>
      </c>
      <c r="C27566">
        <f>ROMAN(27565)</f>
        <v/>
      </c>
      <c r="D27566">
        <f>IF(B27566=C27566, "YES", "WRONG")</f>
        <v/>
      </c>
    </row>
    <row r="27567">
      <c r="A27567" t="n">
        <v>27566</v>
      </c>
      <c r="B27567" t="inlineStr">
        <is>
          <t>x̄x̄V̅MMDLXVI</t>
        </is>
      </c>
      <c r="C27567">
        <f>ROMAN(27566)</f>
        <v/>
      </c>
      <c r="D27567">
        <f>IF(B27567=C27567, "YES", "WRONG")</f>
        <v/>
      </c>
    </row>
    <row r="27568">
      <c r="A27568" t="n">
        <v>27567</v>
      </c>
      <c r="B27568" t="inlineStr">
        <is>
          <t>x̄x̄V̅MMDLXVII</t>
        </is>
      </c>
      <c r="C27568">
        <f>ROMAN(27567)</f>
        <v/>
      </c>
      <c r="D27568">
        <f>IF(B27568=C27568, "YES", "WRONG")</f>
        <v/>
      </c>
    </row>
    <row r="27569">
      <c r="A27569" t="n">
        <v>27568</v>
      </c>
      <c r="B27569" t="inlineStr">
        <is>
          <t>x̄x̄V̅MMDLXVIII</t>
        </is>
      </c>
      <c r="C27569">
        <f>ROMAN(27568)</f>
        <v/>
      </c>
      <c r="D27569">
        <f>IF(B27569=C27569, "YES", "WRONG")</f>
        <v/>
      </c>
    </row>
    <row r="27570">
      <c r="A27570" t="n">
        <v>27569</v>
      </c>
      <c r="B27570" t="inlineStr">
        <is>
          <t>x̄x̄V̅MMDLXIX</t>
        </is>
      </c>
      <c r="C27570">
        <f>ROMAN(27569)</f>
        <v/>
      </c>
      <c r="D27570">
        <f>IF(B27570=C27570, "YES", "WRONG")</f>
        <v/>
      </c>
    </row>
    <row r="27571">
      <c r="A27571" t="n">
        <v>27570</v>
      </c>
      <c r="B27571" t="inlineStr">
        <is>
          <t>x̄x̄V̅MMDLXX</t>
        </is>
      </c>
      <c r="C27571">
        <f>ROMAN(27570)</f>
        <v/>
      </c>
      <c r="D27571">
        <f>IF(B27571=C27571, "YES", "WRONG")</f>
        <v/>
      </c>
    </row>
    <row r="27572">
      <c r="A27572" t="n">
        <v>27571</v>
      </c>
      <c r="B27572" t="inlineStr">
        <is>
          <t>x̄x̄V̅MMDLXXI</t>
        </is>
      </c>
      <c r="C27572">
        <f>ROMAN(27571)</f>
        <v/>
      </c>
      <c r="D27572">
        <f>IF(B27572=C27572, "YES", "WRONG")</f>
        <v/>
      </c>
    </row>
    <row r="27573">
      <c r="A27573" t="n">
        <v>27572</v>
      </c>
      <c r="B27573" t="inlineStr">
        <is>
          <t>x̄x̄V̅MMDLXXII</t>
        </is>
      </c>
      <c r="C27573">
        <f>ROMAN(27572)</f>
        <v/>
      </c>
      <c r="D27573">
        <f>IF(B27573=C27573, "YES", "WRONG")</f>
        <v/>
      </c>
    </row>
    <row r="27574">
      <c r="A27574" t="n">
        <v>27573</v>
      </c>
      <c r="B27574" t="inlineStr">
        <is>
          <t>x̄x̄V̅MMDLXXIII</t>
        </is>
      </c>
      <c r="C27574">
        <f>ROMAN(27573)</f>
        <v/>
      </c>
      <c r="D27574">
        <f>IF(B27574=C27574, "YES", "WRONG")</f>
        <v/>
      </c>
    </row>
    <row r="27575">
      <c r="A27575" t="n">
        <v>27574</v>
      </c>
      <c r="B27575" t="inlineStr">
        <is>
          <t>x̄x̄V̅MMDLXXIV</t>
        </is>
      </c>
      <c r="C27575">
        <f>ROMAN(27574)</f>
        <v/>
      </c>
      <c r="D27575">
        <f>IF(B27575=C27575, "YES", "WRONG")</f>
        <v/>
      </c>
    </row>
    <row r="27576">
      <c r="A27576" t="n">
        <v>27575</v>
      </c>
      <c r="B27576" t="inlineStr">
        <is>
          <t>x̄x̄V̅MMDLXXV</t>
        </is>
      </c>
      <c r="C27576">
        <f>ROMAN(27575)</f>
        <v/>
      </c>
      <c r="D27576">
        <f>IF(B27576=C27576, "YES", "WRONG")</f>
        <v/>
      </c>
    </row>
    <row r="27577">
      <c r="A27577" t="n">
        <v>27576</v>
      </c>
      <c r="B27577" t="inlineStr">
        <is>
          <t>x̄x̄V̅MMDLXXVI</t>
        </is>
      </c>
      <c r="C27577">
        <f>ROMAN(27576)</f>
        <v/>
      </c>
      <c r="D27577">
        <f>IF(B27577=C27577, "YES", "WRONG")</f>
        <v/>
      </c>
    </row>
    <row r="27578">
      <c r="A27578" t="n">
        <v>27577</v>
      </c>
      <c r="B27578" t="inlineStr">
        <is>
          <t>x̄x̄V̅MMDLXXVII</t>
        </is>
      </c>
      <c r="C27578">
        <f>ROMAN(27577)</f>
        <v/>
      </c>
      <c r="D27578">
        <f>IF(B27578=C27578, "YES", "WRONG")</f>
        <v/>
      </c>
    </row>
    <row r="27579">
      <c r="A27579" t="n">
        <v>27578</v>
      </c>
      <c r="B27579" t="inlineStr">
        <is>
          <t>x̄x̄V̅MMDLXXVIII</t>
        </is>
      </c>
      <c r="C27579">
        <f>ROMAN(27578)</f>
        <v/>
      </c>
      <c r="D27579">
        <f>IF(B27579=C27579, "YES", "WRONG")</f>
        <v/>
      </c>
    </row>
    <row r="27580">
      <c r="A27580" t="n">
        <v>27579</v>
      </c>
      <c r="B27580" t="inlineStr">
        <is>
          <t>x̄x̄V̅MMDLXXIX</t>
        </is>
      </c>
      <c r="C27580">
        <f>ROMAN(27579)</f>
        <v/>
      </c>
      <c r="D27580">
        <f>IF(B27580=C27580, "YES", "WRONG")</f>
        <v/>
      </c>
    </row>
    <row r="27581">
      <c r="A27581" t="n">
        <v>27580</v>
      </c>
      <c r="B27581" t="inlineStr">
        <is>
          <t>x̄x̄V̅MMDLXXX</t>
        </is>
      </c>
      <c r="C27581">
        <f>ROMAN(27580)</f>
        <v/>
      </c>
      <c r="D27581">
        <f>IF(B27581=C27581, "YES", "WRONG")</f>
        <v/>
      </c>
    </row>
    <row r="27582">
      <c r="A27582" t="n">
        <v>27581</v>
      </c>
      <c r="B27582" t="inlineStr">
        <is>
          <t>x̄x̄V̅MMDLXXXI</t>
        </is>
      </c>
      <c r="C27582">
        <f>ROMAN(27581)</f>
        <v/>
      </c>
      <c r="D27582">
        <f>IF(B27582=C27582, "YES", "WRONG")</f>
        <v/>
      </c>
    </row>
    <row r="27583">
      <c r="A27583" t="n">
        <v>27582</v>
      </c>
      <c r="B27583" t="inlineStr">
        <is>
          <t>x̄x̄V̅MMDLXXXII</t>
        </is>
      </c>
      <c r="C27583">
        <f>ROMAN(27582)</f>
        <v/>
      </c>
      <c r="D27583">
        <f>IF(B27583=C27583, "YES", "WRONG")</f>
        <v/>
      </c>
    </row>
    <row r="27584">
      <c r="A27584" t="n">
        <v>27583</v>
      </c>
      <c r="B27584" t="inlineStr">
        <is>
          <t>x̄x̄V̅MMDLXXXIII</t>
        </is>
      </c>
      <c r="C27584">
        <f>ROMAN(27583)</f>
        <v/>
      </c>
      <c r="D27584">
        <f>IF(B27584=C27584, "YES", "WRONG")</f>
        <v/>
      </c>
    </row>
    <row r="27585">
      <c r="A27585" t="n">
        <v>27584</v>
      </c>
      <c r="B27585" t="inlineStr">
        <is>
          <t>x̄x̄V̅MMDLXXXIV</t>
        </is>
      </c>
      <c r="C27585">
        <f>ROMAN(27584)</f>
        <v/>
      </c>
      <c r="D27585">
        <f>IF(B27585=C27585, "YES", "WRONG")</f>
        <v/>
      </c>
    </row>
    <row r="27586">
      <c r="A27586" t="n">
        <v>27585</v>
      </c>
      <c r="B27586" t="inlineStr">
        <is>
          <t>x̄x̄V̅MMDLXXXV</t>
        </is>
      </c>
      <c r="C27586">
        <f>ROMAN(27585)</f>
        <v/>
      </c>
      <c r="D27586">
        <f>IF(B27586=C27586, "YES", "WRONG")</f>
        <v/>
      </c>
    </row>
    <row r="27587">
      <c r="A27587" t="n">
        <v>27586</v>
      </c>
      <c r="B27587" t="inlineStr">
        <is>
          <t>x̄x̄V̅MMDLXXXVI</t>
        </is>
      </c>
      <c r="C27587">
        <f>ROMAN(27586)</f>
        <v/>
      </c>
      <c r="D27587">
        <f>IF(B27587=C27587, "YES", "WRONG")</f>
        <v/>
      </c>
    </row>
    <row r="27588">
      <c r="A27588" t="n">
        <v>27587</v>
      </c>
      <c r="B27588" t="inlineStr">
        <is>
          <t>x̄x̄V̅MMDLXXXVII</t>
        </is>
      </c>
      <c r="C27588">
        <f>ROMAN(27587)</f>
        <v/>
      </c>
      <c r="D27588">
        <f>IF(B27588=C27588, "YES", "WRONG")</f>
        <v/>
      </c>
    </row>
    <row r="27589">
      <c r="A27589" t="n">
        <v>27588</v>
      </c>
      <c r="B27589" t="inlineStr">
        <is>
          <t>x̄x̄V̅MMDLXXXVIII</t>
        </is>
      </c>
      <c r="C27589">
        <f>ROMAN(27588)</f>
        <v/>
      </c>
      <c r="D27589">
        <f>IF(B27589=C27589, "YES", "WRONG")</f>
        <v/>
      </c>
    </row>
    <row r="27590">
      <c r="A27590" t="n">
        <v>27589</v>
      </c>
      <c r="B27590" t="inlineStr">
        <is>
          <t>x̄x̄V̅MMDLXXXIX</t>
        </is>
      </c>
      <c r="C27590">
        <f>ROMAN(27589)</f>
        <v/>
      </c>
      <c r="D27590">
        <f>IF(B27590=C27590, "YES", "WRONG")</f>
        <v/>
      </c>
    </row>
    <row r="27591">
      <c r="A27591" t="n">
        <v>27590</v>
      </c>
      <c r="B27591" t="inlineStr">
        <is>
          <t>x̄x̄V̅MMDXC</t>
        </is>
      </c>
      <c r="C27591">
        <f>ROMAN(27590)</f>
        <v/>
      </c>
      <c r="D27591">
        <f>IF(B27591=C27591, "YES", "WRONG")</f>
        <v/>
      </c>
    </row>
    <row r="27592">
      <c r="A27592" t="n">
        <v>27591</v>
      </c>
      <c r="B27592" t="inlineStr">
        <is>
          <t>x̄x̄V̅MMDXCI</t>
        </is>
      </c>
      <c r="C27592">
        <f>ROMAN(27591)</f>
        <v/>
      </c>
      <c r="D27592">
        <f>IF(B27592=C27592, "YES", "WRONG")</f>
        <v/>
      </c>
    </row>
    <row r="27593">
      <c r="A27593" t="n">
        <v>27592</v>
      </c>
      <c r="B27593" t="inlineStr">
        <is>
          <t>x̄x̄V̅MMDXCII</t>
        </is>
      </c>
      <c r="C27593">
        <f>ROMAN(27592)</f>
        <v/>
      </c>
      <c r="D27593">
        <f>IF(B27593=C27593, "YES", "WRONG")</f>
        <v/>
      </c>
    </row>
    <row r="27594">
      <c r="A27594" t="n">
        <v>27593</v>
      </c>
      <c r="B27594" t="inlineStr">
        <is>
          <t>x̄x̄V̅MMDXCIII</t>
        </is>
      </c>
      <c r="C27594">
        <f>ROMAN(27593)</f>
        <v/>
      </c>
      <c r="D27594">
        <f>IF(B27594=C27594, "YES", "WRONG")</f>
        <v/>
      </c>
    </row>
    <row r="27595">
      <c r="A27595" t="n">
        <v>27594</v>
      </c>
      <c r="B27595" t="inlineStr">
        <is>
          <t>x̄x̄V̅MMDXCIV</t>
        </is>
      </c>
      <c r="C27595">
        <f>ROMAN(27594)</f>
        <v/>
      </c>
      <c r="D27595">
        <f>IF(B27595=C27595, "YES", "WRONG")</f>
        <v/>
      </c>
    </row>
    <row r="27596">
      <c r="A27596" t="n">
        <v>27595</v>
      </c>
      <c r="B27596" t="inlineStr">
        <is>
          <t>x̄x̄V̅MMDXCV</t>
        </is>
      </c>
      <c r="C27596">
        <f>ROMAN(27595)</f>
        <v/>
      </c>
      <c r="D27596">
        <f>IF(B27596=C27596, "YES", "WRONG")</f>
        <v/>
      </c>
    </row>
    <row r="27597">
      <c r="A27597" t="n">
        <v>27596</v>
      </c>
      <c r="B27597" t="inlineStr">
        <is>
          <t>x̄x̄V̅MMDXCVI</t>
        </is>
      </c>
      <c r="C27597">
        <f>ROMAN(27596)</f>
        <v/>
      </c>
      <c r="D27597">
        <f>IF(B27597=C27597, "YES", "WRONG")</f>
        <v/>
      </c>
    </row>
    <row r="27598">
      <c r="A27598" t="n">
        <v>27597</v>
      </c>
      <c r="B27598" t="inlineStr">
        <is>
          <t>x̄x̄V̅MMDXCVII</t>
        </is>
      </c>
      <c r="C27598">
        <f>ROMAN(27597)</f>
        <v/>
      </c>
      <c r="D27598">
        <f>IF(B27598=C27598, "YES", "WRONG")</f>
        <v/>
      </c>
    </row>
    <row r="27599">
      <c r="A27599" t="n">
        <v>27598</v>
      </c>
      <c r="B27599" t="inlineStr">
        <is>
          <t>x̄x̄V̅MMDXCVIII</t>
        </is>
      </c>
      <c r="C27599">
        <f>ROMAN(27598)</f>
        <v/>
      </c>
      <c r="D27599">
        <f>IF(B27599=C27599, "YES", "WRONG")</f>
        <v/>
      </c>
    </row>
    <row r="27600">
      <c r="A27600" t="n">
        <v>27599</v>
      </c>
      <c r="B27600" t="inlineStr">
        <is>
          <t>x̄x̄V̅MMDXCIX</t>
        </is>
      </c>
      <c r="C27600">
        <f>ROMAN(27599)</f>
        <v/>
      </c>
      <c r="D27600">
        <f>IF(B27600=C27600, "YES", "WRONG")</f>
        <v/>
      </c>
    </row>
    <row r="27601">
      <c r="A27601" t="n">
        <v>27600</v>
      </c>
      <c r="B27601" t="inlineStr">
        <is>
          <t>x̄x̄V̅MMDC</t>
        </is>
      </c>
      <c r="C27601">
        <f>ROMAN(27600)</f>
        <v/>
      </c>
      <c r="D27601">
        <f>IF(B27601=C27601, "YES", "WRONG")</f>
        <v/>
      </c>
    </row>
    <row r="27602">
      <c r="A27602" t="n">
        <v>27601</v>
      </c>
      <c r="B27602" t="inlineStr">
        <is>
          <t>x̄x̄V̅MMDCI</t>
        </is>
      </c>
      <c r="C27602">
        <f>ROMAN(27601)</f>
        <v/>
      </c>
      <c r="D27602">
        <f>IF(B27602=C27602, "YES", "WRONG")</f>
        <v/>
      </c>
    </row>
    <row r="27603">
      <c r="A27603" t="n">
        <v>27602</v>
      </c>
      <c r="B27603" t="inlineStr">
        <is>
          <t>x̄x̄V̅MMDCII</t>
        </is>
      </c>
      <c r="C27603">
        <f>ROMAN(27602)</f>
        <v/>
      </c>
      <c r="D27603">
        <f>IF(B27603=C27603, "YES", "WRONG")</f>
        <v/>
      </c>
    </row>
    <row r="27604">
      <c r="A27604" t="n">
        <v>27603</v>
      </c>
      <c r="B27604" t="inlineStr">
        <is>
          <t>x̄x̄V̅MMDCIII</t>
        </is>
      </c>
      <c r="C27604">
        <f>ROMAN(27603)</f>
        <v/>
      </c>
      <c r="D27604">
        <f>IF(B27604=C27604, "YES", "WRONG")</f>
        <v/>
      </c>
    </row>
    <row r="27605">
      <c r="A27605" t="n">
        <v>27604</v>
      </c>
      <c r="B27605" t="inlineStr">
        <is>
          <t>x̄x̄V̅MMDCIV</t>
        </is>
      </c>
      <c r="C27605">
        <f>ROMAN(27604)</f>
        <v/>
      </c>
      <c r="D27605">
        <f>IF(B27605=C27605, "YES", "WRONG")</f>
        <v/>
      </c>
    </row>
    <row r="27606">
      <c r="A27606" t="n">
        <v>27605</v>
      </c>
      <c r="B27606" t="inlineStr">
        <is>
          <t>x̄x̄V̅MMDCV</t>
        </is>
      </c>
      <c r="C27606">
        <f>ROMAN(27605)</f>
        <v/>
      </c>
      <c r="D27606">
        <f>IF(B27606=C27606, "YES", "WRONG")</f>
        <v/>
      </c>
    </row>
    <row r="27607">
      <c r="A27607" t="n">
        <v>27606</v>
      </c>
      <c r="B27607" t="inlineStr">
        <is>
          <t>x̄x̄V̅MMDCVI</t>
        </is>
      </c>
      <c r="C27607">
        <f>ROMAN(27606)</f>
        <v/>
      </c>
      <c r="D27607">
        <f>IF(B27607=C27607, "YES", "WRONG")</f>
        <v/>
      </c>
    </row>
    <row r="27608">
      <c r="A27608" t="n">
        <v>27607</v>
      </c>
      <c r="B27608" t="inlineStr">
        <is>
          <t>x̄x̄V̅MMDCVII</t>
        </is>
      </c>
      <c r="C27608">
        <f>ROMAN(27607)</f>
        <v/>
      </c>
      <c r="D27608">
        <f>IF(B27608=C27608, "YES", "WRONG")</f>
        <v/>
      </c>
    </row>
    <row r="27609">
      <c r="A27609" t="n">
        <v>27608</v>
      </c>
      <c r="B27609" t="inlineStr">
        <is>
          <t>x̄x̄V̅MMDCVIII</t>
        </is>
      </c>
      <c r="C27609">
        <f>ROMAN(27608)</f>
        <v/>
      </c>
      <c r="D27609">
        <f>IF(B27609=C27609, "YES", "WRONG")</f>
        <v/>
      </c>
    </row>
    <row r="27610">
      <c r="A27610" t="n">
        <v>27609</v>
      </c>
      <c r="B27610" t="inlineStr">
        <is>
          <t>x̄x̄V̅MMDCIX</t>
        </is>
      </c>
      <c r="C27610">
        <f>ROMAN(27609)</f>
        <v/>
      </c>
      <c r="D27610">
        <f>IF(B27610=C27610, "YES", "WRONG")</f>
        <v/>
      </c>
    </row>
    <row r="27611">
      <c r="A27611" t="n">
        <v>27610</v>
      </c>
      <c r="B27611" t="inlineStr">
        <is>
          <t>x̄x̄V̅MMDCX</t>
        </is>
      </c>
      <c r="C27611">
        <f>ROMAN(27610)</f>
        <v/>
      </c>
      <c r="D27611">
        <f>IF(B27611=C27611, "YES", "WRONG")</f>
        <v/>
      </c>
    </row>
    <row r="27612">
      <c r="A27612" t="n">
        <v>27611</v>
      </c>
      <c r="B27612" t="inlineStr">
        <is>
          <t>x̄x̄V̅MMDCXI</t>
        </is>
      </c>
      <c r="C27612">
        <f>ROMAN(27611)</f>
        <v/>
      </c>
      <c r="D27612">
        <f>IF(B27612=C27612, "YES", "WRONG")</f>
        <v/>
      </c>
    </row>
    <row r="27613">
      <c r="A27613" t="n">
        <v>27612</v>
      </c>
      <c r="B27613" t="inlineStr">
        <is>
          <t>x̄x̄V̅MMDCXII</t>
        </is>
      </c>
      <c r="C27613">
        <f>ROMAN(27612)</f>
        <v/>
      </c>
      <c r="D27613">
        <f>IF(B27613=C27613, "YES", "WRONG")</f>
        <v/>
      </c>
    </row>
    <row r="27614">
      <c r="A27614" t="n">
        <v>27613</v>
      </c>
      <c r="B27614" t="inlineStr">
        <is>
          <t>x̄x̄V̅MMDCXIII</t>
        </is>
      </c>
      <c r="C27614">
        <f>ROMAN(27613)</f>
        <v/>
      </c>
      <c r="D27614">
        <f>IF(B27614=C27614, "YES", "WRONG")</f>
        <v/>
      </c>
    </row>
    <row r="27615">
      <c r="A27615" t="n">
        <v>27614</v>
      </c>
      <c r="B27615" t="inlineStr">
        <is>
          <t>x̄x̄V̅MMDCXIV</t>
        </is>
      </c>
      <c r="C27615">
        <f>ROMAN(27614)</f>
        <v/>
      </c>
      <c r="D27615">
        <f>IF(B27615=C27615, "YES", "WRONG")</f>
        <v/>
      </c>
    </row>
    <row r="27616">
      <c r="A27616" t="n">
        <v>27615</v>
      </c>
      <c r="B27616" t="inlineStr">
        <is>
          <t>x̄x̄V̅MMDCXV</t>
        </is>
      </c>
      <c r="C27616">
        <f>ROMAN(27615)</f>
        <v/>
      </c>
      <c r="D27616">
        <f>IF(B27616=C27616, "YES", "WRONG")</f>
        <v/>
      </c>
    </row>
    <row r="27617">
      <c r="A27617" t="n">
        <v>27616</v>
      </c>
      <c r="B27617" t="inlineStr">
        <is>
          <t>x̄x̄V̅MMDCXVI</t>
        </is>
      </c>
      <c r="C27617">
        <f>ROMAN(27616)</f>
        <v/>
      </c>
      <c r="D27617">
        <f>IF(B27617=C27617, "YES", "WRONG")</f>
        <v/>
      </c>
    </row>
    <row r="27618">
      <c r="A27618" t="n">
        <v>27617</v>
      </c>
      <c r="B27618" t="inlineStr">
        <is>
          <t>x̄x̄V̅MMDCXVII</t>
        </is>
      </c>
      <c r="C27618">
        <f>ROMAN(27617)</f>
        <v/>
      </c>
      <c r="D27618">
        <f>IF(B27618=C27618, "YES", "WRONG")</f>
        <v/>
      </c>
    </row>
    <row r="27619">
      <c r="A27619" t="n">
        <v>27618</v>
      </c>
      <c r="B27619" t="inlineStr">
        <is>
          <t>x̄x̄V̅MMDCXVIII</t>
        </is>
      </c>
      <c r="C27619">
        <f>ROMAN(27618)</f>
        <v/>
      </c>
      <c r="D27619">
        <f>IF(B27619=C27619, "YES", "WRONG")</f>
        <v/>
      </c>
    </row>
    <row r="27620">
      <c r="A27620" t="n">
        <v>27619</v>
      </c>
      <c r="B27620" t="inlineStr">
        <is>
          <t>x̄x̄V̅MMDCXIX</t>
        </is>
      </c>
      <c r="C27620">
        <f>ROMAN(27619)</f>
        <v/>
      </c>
      <c r="D27620">
        <f>IF(B27620=C27620, "YES", "WRONG")</f>
        <v/>
      </c>
    </row>
    <row r="27621">
      <c r="A27621" t="n">
        <v>27620</v>
      </c>
      <c r="B27621" t="inlineStr">
        <is>
          <t>x̄x̄V̅MMDCXX</t>
        </is>
      </c>
      <c r="C27621">
        <f>ROMAN(27620)</f>
        <v/>
      </c>
      <c r="D27621">
        <f>IF(B27621=C27621, "YES", "WRONG")</f>
        <v/>
      </c>
    </row>
    <row r="27622">
      <c r="A27622" t="n">
        <v>27621</v>
      </c>
      <c r="B27622" t="inlineStr">
        <is>
          <t>x̄x̄V̅MMDCXXI</t>
        </is>
      </c>
      <c r="C27622">
        <f>ROMAN(27621)</f>
        <v/>
      </c>
      <c r="D27622">
        <f>IF(B27622=C27622, "YES", "WRONG")</f>
        <v/>
      </c>
    </row>
    <row r="27623">
      <c r="A27623" t="n">
        <v>27622</v>
      </c>
      <c r="B27623" t="inlineStr">
        <is>
          <t>x̄x̄V̅MMDCXXII</t>
        </is>
      </c>
      <c r="C27623">
        <f>ROMAN(27622)</f>
        <v/>
      </c>
      <c r="D27623">
        <f>IF(B27623=C27623, "YES", "WRONG")</f>
        <v/>
      </c>
    </row>
    <row r="27624">
      <c r="A27624" t="n">
        <v>27623</v>
      </c>
      <c r="B27624" t="inlineStr">
        <is>
          <t>x̄x̄V̅MMDCXXIII</t>
        </is>
      </c>
      <c r="C27624">
        <f>ROMAN(27623)</f>
        <v/>
      </c>
      <c r="D27624">
        <f>IF(B27624=C27624, "YES", "WRONG")</f>
        <v/>
      </c>
    </row>
    <row r="27625">
      <c r="A27625" t="n">
        <v>27624</v>
      </c>
      <c r="B27625" t="inlineStr">
        <is>
          <t>x̄x̄V̅MMDCXXIV</t>
        </is>
      </c>
      <c r="C27625">
        <f>ROMAN(27624)</f>
        <v/>
      </c>
      <c r="D27625">
        <f>IF(B27625=C27625, "YES", "WRONG")</f>
        <v/>
      </c>
    </row>
    <row r="27626">
      <c r="A27626" t="n">
        <v>27625</v>
      </c>
      <c r="B27626" t="inlineStr">
        <is>
          <t>x̄x̄V̅MMDCXXV</t>
        </is>
      </c>
      <c r="C27626">
        <f>ROMAN(27625)</f>
        <v/>
      </c>
      <c r="D27626">
        <f>IF(B27626=C27626, "YES", "WRONG")</f>
        <v/>
      </c>
    </row>
    <row r="27627">
      <c r="A27627" t="n">
        <v>27626</v>
      </c>
      <c r="B27627" t="inlineStr">
        <is>
          <t>x̄x̄V̅MMDCXXVI</t>
        </is>
      </c>
      <c r="C27627">
        <f>ROMAN(27626)</f>
        <v/>
      </c>
      <c r="D27627">
        <f>IF(B27627=C27627, "YES", "WRONG")</f>
        <v/>
      </c>
    </row>
    <row r="27628">
      <c r="A27628" t="n">
        <v>27627</v>
      </c>
      <c r="B27628" t="inlineStr">
        <is>
          <t>x̄x̄V̅MMDCXXVII</t>
        </is>
      </c>
      <c r="C27628">
        <f>ROMAN(27627)</f>
        <v/>
      </c>
      <c r="D27628">
        <f>IF(B27628=C27628, "YES", "WRONG")</f>
        <v/>
      </c>
    </row>
    <row r="27629">
      <c r="A27629" t="n">
        <v>27628</v>
      </c>
      <c r="B27629" t="inlineStr">
        <is>
          <t>x̄x̄V̅MMDCXXVIII</t>
        </is>
      </c>
      <c r="C27629">
        <f>ROMAN(27628)</f>
        <v/>
      </c>
      <c r="D27629">
        <f>IF(B27629=C27629, "YES", "WRONG")</f>
        <v/>
      </c>
    </row>
    <row r="27630">
      <c r="A27630" t="n">
        <v>27629</v>
      </c>
      <c r="B27630" t="inlineStr">
        <is>
          <t>x̄x̄V̅MMDCXXIX</t>
        </is>
      </c>
      <c r="C27630">
        <f>ROMAN(27629)</f>
        <v/>
      </c>
      <c r="D27630">
        <f>IF(B27630=C27630, "YES", "WRONG")</f>
        <v/>
      </c>
    </row>
    <row r="27631">
      <c r="A27631" t="n">
        <v>27630</v>
      </c>
      <c r="B27631" t="inlineStr">
        <is>
          <t>x̄x̄V̅MMDCXXX</t>
        </is>
      </c>
      <c r="C27631">
        <f>ROMAN(27630)</f>
        <v/>
      </c>
      <c r="D27631">
        <f>IF(B27631=C27631, "YES", "WRONG")</f>
        <v/>
      </c>
    </row>
    <row r="27632">
      <c r="A27632" t="n">
        <v>27631</v>
      </c>
      <c r="B27632" t="inlineStr">
        <is>
          <t>x̄x̄V̅MMDCXXXI</t>
        </is>
      </c>
      <c r="C27632">
        <f>ROMAN(27631)</f>
        <v/>
      </c>
      <c r="D27632">
        <f>IF(B27632=C27632, "YES", "WRONG")</f>
        <v/>
      </c>
    </row>
    <row r="27633">
      <c r="A27633" t="n">
        <v>27632</v>
      </c>
      <c r="B27633" t="inlineStr">
        <is>
          <t>x̄x̄V̅MMDCXXXII</t>
        </is>
      </c>
      <c r="C27633">
        <f>ROMAN(27632)</f>
        <v/>
      </c>
      <c r="D27633">
        <f>IF(B27633=C27633, "YES", "WRONG")</f>
        <v/>
      </c>
    </row>
    <row r="27634">
      <c r="A27634" t="n">
        <v>27633</v>
      </c>
      <c r="B27634" t="inlineStr">
        <is>
          <t>x̄x̄V̅MMDCXXXIII</t>
        </is>
      </c>
      <c r="C27634">
        <f>ROMAN(27633)</f>
        <v/>
      </c>
      <c r="D27634">
        <f>IF(B27634=C27634, "YES", "WRONG")</f>
        <v/>
      </c>
    </row>
    <row r="27635">
      <c r="A27635" t="n">
        <v>27634</v>
      </c>
      <c r="B27635" t="inlineStr">
        <is>
          <t>x̄x̄V̅MMDCXXXIV</t>
        </is>
      </c>
      <c r="C27635">
        <f>ROMAN(27634)</f>
        <v/>
      </c>
      <c r="D27635">
        <f>IF(B27635=C27635, "YES", "WRONG")</f>
        <v/>
      </c>
    </row>
    <row r="27636">
      <c r="A27636" t="n">
        <v>27635</v>
      </c>
      <c r="B27636" t="inlineStr">
        <is>
          <t>x̄x̄V̅MMDCXXXV</t>
        </is>
      </c>
      <c r="C27636">
        <f>ROMAN(27635)</f>
        <v/>
      </c>
      <c r="D27636">
        <f>IF(B27636=C27636, "YES", "WRONG")</f>
        <v/>
      </c>
    </row>
    <row r="27637">
      <c r="A27637" t="n">
        <v>27636</v>
      </c>
      <c r="B27637" t="inlineStr">
        <is>
          <t>x̄x̄V̅MMDCXXXVI</t>
        </is>
      </c>
      <c r="C27637">
        <f>ROMAN(27636)</f>
        <v/>
      </c>
      <c r="D27637">
        <f>IF(B27637=C27637, "YES", "WRONG")</f>
        <v/>
      </c>
    </row>
    <row r="27638">
      <c r="A27638" t="n">
        <v>27637</v>
      </c>
      <c r="B27638" t="inlineStr">
        <is>
          <t>x̄x̄V̅MMDCXXXVII</t>
        </is>
      </c>
      <c r="C27638">
        <f>ROMAN(27637)</f>
        <v/>
      </c>
      <c r="D27638">
        <f>IF(B27638=C27638, "YES", "WRONG")</f>
        <v/>
      </c>
    </row>
    <row r="27639">
      <c r="A27639" t="n">
        <v>27638</v>
      </c>
      <c r="B27639" t="inlineStr">
        <is>
          <t>x̄x̄V̅MMDCXXXVIII</t>
        </is>
      </c>
      <c r="C27639">
        <f>ROMAN(27638)</f>
        <v/>
      </c>
      <c r="D27639">
        <f>IF(B27639=C27639, "YES", "WRONG")</f>
        <v/>
      </c>
    </row>
    <row r="27640">
      <c r="A27640" t="n">
        <v>27639</v>
      </c>
      <c r="B27640" t="inlineStr">
        <is>
          <t>x̄x̄V̅MMDCXXXIX</t>
        </is>
      </c>
      <c r="C27640">
        <f>ROMAN(27639)</f>
        <v/>
      </c>
      <c r="D27640">
        <f>IF(B27640=C27640, "YES", "WRONG")</f>
        <v/>
      </c>
    </row>
    <row r="27641">
      <c r="A27641" t="n">
        <v>27640</v>
      </c>
      <c r="B27641" t="inlineStr">
        <is>
          <t>x̄x̄V̅MMDCXL</t>
        </is>
      </c>
      <c r="C27641">
        <f>ROMAN(27640)</f>
        <v/>
      </c>
      <c r="D27641">
        <f>IF(B27641=C27641, "YES", "WRONG")</f>
        <v/>
      </c>
    </row>
    <row r="27642">
      <c r="A27642" t="n">
        <v>27641</v>
      </c>
      <c r="B27642" t="inlineStr">
        <is>
          <t>x̄x̄V̅MMDCXLI</t>
        </is>
      </c>
      <c r="C27642">
        <f>ROMAN(27641)</f>
        <v/>
      </c>
      <c r="D27642">
        <f>IF(B27642=C27642, "YES", "WRONG")</f>
        <v/>
      </c>
    </row>
    <row r="27643">
      <c r="A27643" t="n">
        <v>27642</v>
      </c>
      <c r="B27643" t="inlineStr">
        <is>
          <t>x̄x̄V̅MMDCXLII</t>
        </is>
      </c>
      <c r="C27643">
        <f>ROMAN(27642)</f>
        <v/>
      </c>
      <c r="D27643">
        <f>IF(B27643=C27643, "YES", "WRONG")</f>
        <v/>
      </c>
    </row>
    <row r="27644">
      <c r="A27644" t="n">
        <v>27643</v>
      </c>
      <c r="B27644" t="inlineStr">
        <is>
          <t>x̄x̄V̅MMDCXLIII</t>
        </is>
      </c>
      <c r="C27644">
        <f>ROMAN(27643)</f>
        <v/>
      </c>
      <c r="D27644">
        <f>IF(B27644=C27644, "YES", "WRONG")</f>
        <v/>
      </c>
    </row>
    <row r="27645">
      <c r="A27645" t="n">
        <v>27644</v>
      </c>
      <c r="B27645" t="inlineStr">
        <is>
          <t>x̄x̄V̅MMDCXLIV</t>
        </is>
      </c>
      <c r="C27645">
        <f>ROMAN(27644)</f>
        <v/>
      </c>
      <c r="D27645">
        <f>IF(B27645=C27645, "YES", "WRONG")</f>
        <v/>
      </c>
    </row>
    <row r="27646">
      <c r="A27646" t="n">
        <v>27645</v>
      </c>
      <c r="B27646" t="inlineStr">
        <is>
          <t>x̄x̄V̅MMDCXLV</t>
        </is>
      </c>
      <c r="C27646">
        <f>ROMAN(27645)</f>
        <v/>
      </c>
      <c r="D27646">
        <f>IF(B27646=C27646, "YES", "WRONG")</f>
        <v/>
      </c>
    </row>
    <row r="27647">
      <c r="A27647" t="n">
        <v>27646</v>
      </c>
      <c r="B27647" t="inlineStr">
        <is>
          <t>x̄x̄V̅MMDCXLVI</t>
        </is>
      </c>
      <c r="C27647">
        <f>ROMAN(27646)</f>
        <v/>
      </c>
      <c r="D27647">
        <f>IF(B27647=C27647, "YES", "WRONG")</f>
        <v/>
      </c>
    </row>
    <row r="27648">
      <c r="A27648" t="n">
        <v>27647</v>
      </c>
      <c r="B27648" t="inlineStr">
        <is>
          <t>x̄x̄V̅MMDCXLVII</t>
        </is>
      </c>
      <c r="C27648">
        <f>ROMAN(27647)</f>
        <v/>
      </c>
      <c r="D27648">
        <f>IF(B27648=C27648, "YES", "WRONG")</f>
        <v/>
      </c>
    </row>
    <row r="27649">
      <c r="A27649" t="n">
        <v>27648</v>
      </c>
      <c r="B27649" t="inlineStr">
        <is>
          <t>x̄x̄V̅MMDCXLVIII</t>
        </is>
      </c>
      <c r="C27649">
        <f>ROMAN(27648)</f>
        <v/>
      </c>
      <c r="D27649">
        <f>IF(B27649=C27649, "YES", "WRONG")</f>
        <v/>
      </c>
    </row>
    <row r="27650">
      <c r="A27650" t="n">
        <v>27649</v>
      </c>
      <c r="B27650" t="inlineStr">
        <is>
          <t>x̄x̄V̅MMDCXLIX</t>
        </is>
      </c>
      <c r="C27650">
        <f>ROMAN(27649)</f>
        <v/>
      </c>
      <c r="D27650">
        <f>IF(B27650=C27650, "YES", "WRONG")</f>
        <v/>
      </c>
    </row>
    <row r="27651">
      <c r="A27651" t="n">
        <v>27650</v>
      </c>
      <c r="B27651" t="inlineStr">
        <is>
          <t>x̄x̄V̅MMDCL</t>
        </is>
      </c>
      <c r="C27651">
        <f>ROMAN(27650)</f>
        <v/>
      </c>
      <c r="D27651">
        <f>IF(B27651=C27651, "YES", "WRONG")</f>
        <v/>
      </c>
    </row>
    <row r="27652">
      <c r="A27652" t="n">
        <v>27651</v>
      </c>
      <c r="B27652" t="inlineStr">
        <is>
          <t>x̄x̄V̅MMDCLI</t>
        </is>
      </c>
      <c r="C27652">
        <f>ROMAN(27651)</f>
        <v/>
      </c>
      <c r="D27652">
        <f>IF(B27652=C27652, "YES", "WRONG")</f>
        <v/>
      </c>
    </row>
    <row r="27653">
      <c r="A27653" t="n">
        <v>27652</v>
      </c>
      <c r="B27653" t="inlineStr">
        <is>
          <t>x̄x̄V̅MMDCLII</t>
        </is>
      </c>
      <c r="C27653">
        <f>ROMAN(27652)</f>
        <v/>
      </c>
      <c r="D27653">
        <f>IF(B27653=C27653, "YES", "WRONG")</f>
        <v/>
      </c>
    </row>
    <row r="27654">
      <c r="A27654" t="n">
        <v>27653</v>
      </c>
      <c r="B27654" t="inlineStr">
        <is>
          <t>x̄x̄V̅MMDCLIII</t>
        </is>
      </c>
      <c r="C27654">
        <f>ROMAN(27653)</f>
        <v/>
      </c>
      <c r="D27654">
        <f>IF(B27654=C27654, "YES", "WRONG")</f>
        <v/>
      </c>
    </row>
    <row r="27655">
      <c r="A27655" t="n">
        <v>27654</v>
      </c>
      <c r="B27655" t="inlineStr">
        <is>
          <t>x̄x̄V̅MMDCLIV</t>
        </is>
      </c>
      <c r="C27655">
        <f>ROMAN(27654)</f>
        <v/>
      </c>
      <c r="D27655">
        <f>IF(B27655=C27655, "YES", "WRONG")</f>
        <v/>
      </c>
    </row>
    <row r="27656">
      <c r="A27656" t="n">
        <v>27655</v>
      </c>
      <c r="B27656" t="inlineStr">
        <is>
          <t>x̄x̄V̅MMDCLV</t>
        </is>
      </c>
      <c r="C27656">
        <f>ROMAN(27655)</f>
        <v/>
      </c>
      <c r="D27656">
        <f>IF(B27656=C27656, "YES", "WRONG")</f>
        <v/>
      </c>
    </row>
    <row r="27657">
      <c r="A27657" t="n">
        <v>27656</v>
      </c>
      <c r="B27657" t="inlineStr">
        <is>
          <t>x̄x̄V̅MMDCLVI</t>
        </is>
      </c>
      <c r="C27657">
        <f>ROMAN(27656)</f>
        <v/>
      </c>
      <c r="D27657">
        <f>IF(B27657=C27657, "YES", "WRONG")</f>
        <v/>
      </c>
    </row>
    <row r="27658">
      <c r="A27658" t="n">
        <v>27657</v>
      </c>
      <c r="B27658" t="inlineStr">
        <is>
          <t>x̄x̄V̅MMDCLVII</t>
        </is>
      </c>
      <c r="C27658">
        <f>ROMAN(27657)</f>
        <v/>
      </c>
      <c r="D27658">
        <f>IF(B27658=C27658, "YES", "WRONG")</f>
        <v/>
      </c>
    </row>
    <row r="27659">
      <c r="A27659" t="n">
        <v>27658</v>
      </c>
      <c r="B27659" t="inlineStr">
        <is>
          <t>x̄x̄V̅MMDCLVIII</t>
        </is>
      </c>
      <c r="C27659">
        <f>ROMAN(27658)</f>
        <v/>
      </c>
      <c r="D27659">
        <f>IF(B27659=C27659, "YES", "WRONG")</f>
        <v/>
      </c>
    </row>
    <row r="27660">
      <c r="A27660" t="n">
        <v>27659</v>
      </c>
      <c r="B27660" t="inlineStr">
        <is>
          <t>x̄x̄V̅MMDCLIX</t>
        </is>
      </c>
      <c r="C27660">
        <f>ROMAN(27659)</f>
        <v/>
      </c>
      <c r="D27660">
        <f>IF(B27660=C27660, "YES", "WRONG")</f>
        <v/>
      </c>
    </row>
    <row r="27661">
      <c r="A27661" t="n">
        <v>27660</v>
      </c>
      <c r="B27661" t="inlineStr">
        <is>
          <t>x̄x̄V̅MMDCLX</t>
        </is>
      </c>
      <c r="C27661">
        <f>ROMAN(27660)</f>
        <v/>
      </c>
      <c r="D27661">
        <f>IF(B27661=C27661, "YES", "WRONG")</f>
        <v/>
      </c>
    </row>
    <row r="27662">
      <c r="A27662" t="n">
        <v>27661</v>
      </c>
      <c r="B27662" t="inlineStr">
        <is>
          <t>x̄x̄V̅MMDCLXI</t>
        </is>
      </c>
      <c r="C27662">
        <f>ROMAN(27661)</f>
        <v/>
      </c>
      <c r="D27662">
        <f>IF(B27662=C27662, "YES", "WRONG")</f>
        <v/>
      </c>
    </row>
    <row r="27663">
      <c r="A27663" t="n">
        <v>27662</v>
      </c>
      <c r="B27663" t="inlineStr">
        <is>
          <t>x̄x̄V̅MMDCLXII</t>
        </is>
      </c>
      <c r="C27663">
        <f>ROMAN(27662)</f>
        <v/>
      </c>
      <c r="D27663">
        <f>IF(B27663=C27663, "YES", "WRONG")</f>
        <v/>
      </c>
    </row>
    <row r="27664">
      <c r="A27664" t="n">
        <v>27663</v>
      </c>
      <c r="B27664" t="inlineStr">
        <is>
          <t>x̄x̄V̅MMDCLXIII</t>
        </is>
      </c>
      <c r="C27664">
        <f>ROMAN(27663)</f>
        <v/>
      </c>
      <c r="D27664">
        <f>IF(B27664=C27664, "YES", "WRONG")</f>
        <v/>
      </c>
    </row>
    <row r="27665">
      <c r="A27665" t="n">
        <v>27664</v>
      </c>
      <c r="B27665" t="inlineStr">
        <is>
          <t>x̄x̄V̅MMDCLXIV</t>
        </is>
      </c>
      <c r="C27665">
        <f>ROMAN(27664)</f>
        <v/>
      </c>
      <c r="D27665">
        <f>IF(B27665=C27665, "YES", "WRONG")</f>
        <v/>
      </c>
    </row>
    <row r="27666">
      <c r="A27666" t="n">
        <v>27665</v>
      </c>
      <c r="B27666" t="inlineStr">
        <is>
          <t>x̄x̄V̅MMDCLXV</t>
        </is>
      </c>
      <c r="C27666">
        <f>ROMAN(27665)</f>
        <v/>
      </c>
      <c r="D27666">
        <f>IF(B27666=C27666, "YES", "WRONG")</f>
        <v/>
      </c>
    </row>
    <row r="27667">
      <c r="A27667" t="n">
        <v>27666</v>
      </c>
      <c r="B27667" t="inlineStr">
        <is>
          <t>x̄x̄V̅MMDCLXVI</t>
        </is>
      </c>
      <c r="C27667">
        <f>ROMAN(27666)</f>
        <v/>
      </c>
      <c r="D27667">
        <f>IF(B27667=C27667, "YES", "WRONG")</f>
        <v/>
      </c>
    </row>
    <row r="27668">
      <c r="A27668" t="n">
        <v>27667</v>
      </c>
      <c r="B27668" t="inlineStr">
        <is>
          <t>x̄x̄V̅MMDCLXVII</t>
        </is>
      </c>
      <c r="C27668">
        <f>ROMAN(27667)</f>
        <v/>
      </c>
      <c r="D27668">
        <f>IF(B27668=C27668, "YES", "WRONG")</f>
        <v/>
      </c>
    </row>
    <row r="27669">
      <c r="A27669" t="n">
        <v>27668</v>
      </c>
      <c r="B27669" t="inlineStr">
        <is>
          <t>x̄x̄V̅MMDCLXVIII</t>
        </is>
      </c>
      <c r="C27669">
        <f>ROMAN(27668)</f>
        <v/>
      </c>
      <c r="D27669">
        <f>IF(B27669=C27669, "YES", "WRONG")</f>
        <v/>
      </c>
    </row>
    <row r="27670">
      <c r="A27670" t="n">
        <v>27669</v>
      </c>
      <c r="B27670" t="inlineStr">
        <is>
          <t>x̄x̄V̅MMDCLXIX</t>
        </is>
      </c>
      <c r="C27670">
        <f>ROMAN(27669)</f>
        <v/>
      </c>
      <c r="D27670">
        <f>IF(B27670=C27670, "YES", "WRONG")</f>
        <v/>
      </c>
    </row>
    <row r="27671">
      <c r="A27671" t="n">
        <v>27670</v>
      </c>
      <c r="B27671" t="inlineStr">
        <is>
          <t>x̄x̄V̅MMDCLXX</t>
        </is>
      </c>
      <c r="C27671">
        <f>ROMAN(27670)</f>
        <v/>
      </c>
      <c r="D27671">
        <f>IF(B27671=C27671, "YES", "WRONG")</f>
        <v/>
      </c>
    </row>
    <row r="27672">
      <c r="A27672" t="n">
        <v>27671</v>
      </c>
      <c r="B27672" t="inlineStr">
        <is>
          <t>x̄x̄V̅MMDCLXXI</t>
        </is>
      </c>
      <c r="C27672">
        <f>ROMAN(27671)</f>
        <v/>
      </c>
      <c r="D27672">
        <f>IF(B27672=C27672, "YES", "WRONG")</f>
        <v/>
      </c>
    </row>
    <row r="27673">
      <c r="A27673" t="n">
        <v>27672</v>
      </c>
      <c r="B27673" t="inlineStr">
        <is>
          <t>x̄x̄V̅MMDCLXXII</t>
        </is>
      </c>
      <c r="C27673">
        <f>ROMAN(27672)</f>
        <v/>
      </c>
      <c r="D27673">
        <f>IF(B27673=C27673, "YES", "WRONG")</f>
        <v/>
      </c>
    </row>
    <row r="27674">
      <c r="A27674" t="n">
        <v>27673</v>
      </c>
      <c r="B27674" t="inlineStr">
        <is>
          <t>x̄x̄V̅MMDCLXXIII</t>
        </is>
      </c>
      <c r="C27674">
        <f>ROMAN(27673)</f>
        <v/>
      </c>
      <c r="D27674">
        <f>IF(B27674=C27674, "YES", "WRONG")</f>
        <v/>
      </c>
    </row>
    <row r="27675">
      <c r="A27675" t="n">
        <v>27674</v>
      </c>
      <c r="B27675" t="inlineStr">
        <is>
          <t>x̄x̄V̅MMDCLXXIV</t>
        </is>
      </c>
      <c r="C27675">
        <f>ROMAN(27674)</f>
        <v/>
      </c>
      <c r="D27675">
        <f>IF(B27675=C27675, "YES", "WRONG")</f>
        <v/>
      </c>
    </row>
    <row r="27676">
      <c r="A27676" t="n">
        <v>27675</v>
      </c>
      <c r="B27676" t="inlineStr">
        <is>
          <t>x̄x̄V̅MMDCLXXV</t>
        </is>
      </c>
      <c r="C27676">
        <f>ROMAN(27675)</f>
        <v/>
      </c>
      <c r="D27676">
        <f>IF(B27676=C27676, "YES", "WRONG")</f>
        <v/>
      </c>
    </row>
    <row r="27677">
      <c r="A27677" t="n">
        <v>27676</v>
      </c>
      <c r="B27677" t="inlineStr">
        <is>
          <t>x̄x̄V̅MMDCLXXVI</t>
        </is>
      </c>
      <c r="C27677">
        <f>ROMAN(27676)</f>
        <v/>
      </c>
      <c r="D27677">
        <f>IF(B27677=C27677, "YES", "WRONG")</f>
        <v/>
      </c>
    </row>
    <row r="27678">
      <c r="A27678" t="n">
        <v>27677</v>
      </c>
      <c r="B27678" t="inlineStr">
        <is>
          <t>x̄x̄V̅MMDCLXXVII</t>
        </is>
      </c>
      <c r="C27678">
        <f>ROMAN(27677)</f>
        <v/>
      </c>
      <c r="D27678">
        <f>IF(B27678=C27678, "YES", "WRONG")</f>
        <v/>
      </c>
    </row>
    <row r="27679">
      <c r="A27679" t="n">
        <v>27678</v>
      </c>
      <c r="B27679" t="inlineStr">
        <is>
          <t>x̄x̄V̅MMDCLXXVIII</t>
        </is>
      </c>
      <c r="C27679">
        <f>ROMAN(27678)</f>
        <v/>
      </c>
      <c r="D27679">
        <f>IF(B27679=C27679, "YES", "WRONG")</f>
        <v/>
      </c>
    </row>
    <row r="27680">
      <c r="A27680" t="n">
        <v>27679</v>
      </c>
      <c r="B27680" t="inlineStr">
        <is>
          <t>x̄x̄V̅MMDCLXXIX</t>
        </is>
      </c>
      <c r="C27680">
        <f>ROMAN(27679)</f>
        <v/>
      </c>
      <c r="D27680">
        <f>IF(B27680=C27680, "YES", "WRONG")</f>
        <v/>
      </c>
    </row>
    <row r="27681">
      <c r="A27681" t="n">
        <v>27680</v>
      </c>
      <c r="B27681" t="inlineStr">
        <is>
          <t>x̄x̄V̅MMDCLXXX</t>
        </is>
      </c>
      <c r="C27681">
        <f>ROMAN(27680)</f>
        <v/>
      </c>
      <c r="D27681">
        <f>IF(B27681=C27681, "YES", "WRONG")</f>
        <v/>
      </c>
    </row>
    <row r="27682">
      <c r="A27682" t="n">
        <v>27681</v>
      </c>
      <c r="B27682" t="inlineStr">
        <is>
          <t>x̄x̄V̅MMDCLXXXI</t>
        </is>
      </c>
      <c r="C27682">
        <f>ROMAN(27681)</f>
        <v/>
      </c>
      <c r="D27682">
        <f>IF(B27682=C27682, "YES", "WRONG")</f>
        <v/>
      </c>
    </row>
    <row r="27683">
      <c r="A27683" t="n">
        <v>27682</v>
      </c>
      <c r="B27683" t="inlineStr">
        <is>
          <t>x̄x̄V̅MMDCLXXXII</t>
        </is>
      </c>
      <c r="C27683">
        <f>ROMAN(27682)</f>
        <v/>
      </c>
      <c r="D27683">
        <f>IF(B27683=C27683, "YES", "WRONG")</f>
        <v/>
      </c>
    </row>
    <row r="27684">
      <c r="A27684" t="n">
        <v>27683</v>
      </c>
      <c r="B27684" t="inlineStr">
        <is>
          <t>x̄x̄V̅MMDCLXXXIII</t>
        </is>
      </c>
      <c r="C27684">
        <f>ROMAN(27683)</f>
        <v/>
      </c>
      <c r="D27684">
        <f>IF(B27684=C27684, "YES", "WRONG")</f>
        <v/>
      </c>
    </row>
    <row r="27685">
      <c r="A27685" t="n">
        <v>27684</v>
      </c>
      <c r="B27685" t="inlineStr">
        <is>
          <t>x̄x̄V̅MMDCLXXXIV</t>
        </is>
      </c>
      <c r="C27685">
        <f>ROMAN(27684)</f>
        <v/>
      </c>
      <c r="D27685">
        <f>IF(B27685=C27685, "YES", "WRONG")</f>
        <v/>
      </c>
    </row>
    <row r="27686">
      <c r="A27686" t="n">
        <v>27685</v>
      </c>
      <c r="B27686" t="inlineStr">
        <is>
          <t>x̄x̄V̅MMDCLXXXV</t>
        </is>
      </c>
      <c r="C27686">
        <f>ROMAN(27685)</f>
        <v/>
      </c>
      <c r="D27686">
        <f>IF(B27686=C27686, "YES", "WRONG")</f>
        <v/>
      </c>
    </row>
    <row r="27687">
      <c r="A27687" t="n">
        <v>27686</v>
      </c>
      <c r="B27687" t="inlineStr">
        <is>
          <t>x̄x̄V̅MMDCLXXXVI</t>
        </is>
      </c>
      <c r="C27687">
        <f>ROMAN(27686)</f>
        <v/>
      </c>
      <c r="D27687">
        <f>IF(B27687=C27687, "YES", "WRONG")</f>
        <v/>
      </c>
    </row>
    <row r="27688">
      <c r="A27688" t="n">
        <v>27687</v>
      </c>
      <c r="B27688" t="inlineStr">
        <is>
          <t>x̄x̄V̅MMDCLXXXVII</t>
        </is>
      </c>
      <c r="C27688">
        <f>ROMAN(27687)</f>
        <v/>
      </c>
      <c r="D27688">
        <f>IF(B27688=C27688, "YES", "WRONG")</f>
        <v/>
      </c>
    </row>
    <row r="27689">
      <c r="A27689" t="n">
        <v>27688</v>
      </c>
      <c r="B27689" t="inlineStr">
        <is>
          <t>x̄x̄V̅MMDCLXXXVIII</t>
        </is>
      </c>
      <c r="C27689">
        <f>ROMAN(27688)</f>
        <v/>
      </c>
      <c r="D27689">
        <f>IF(B27689=C27689, "YES", "WRONG")</f>
        <v/>
      </c>
    </row>
    <row r="27690">
      <c r="A27690" t="n">
        <v>27689</v>
      </c>
      <c r="B27690" t="inlineStr">
        <is>
          <t>x̄x̄V̅MMDCLXXXIX</t>
        </is>
      </c>
      <c r="C27690">
        <f>ROMAN(27689)</f>
        <v/>
      </c>
      <c r="D27690">
        <f>IF(B27690=C27690, "YES", "WRONG")</f>
        <v/>
      </c>
    </row>
    <row r="27691">
      <c r="A27691" t="n">
        <v>27690</v>
      </c>
      <c r="B27691" t="inlineStr">
        <is>
          <t>x̄x̄V̅MMDCXC</t>
        </is>
      </c>
      <c r="C27691">
        <f>ROMAN(27690)</f>
        <v/>
      </c>
      <c r="D27691">
        <f>IF(B27691=C27691, "YES", "WRONG")</f>
        <v/>
      </c>
    </row>
    <row r="27692">
      <c r="A27692" t="n">
        <v>27691</v>
      </c>
      <c r="B27692" t="inlineStr">
        <is>
          <t>x̄x̄V̅MMDCXCI</t>
        </is>
      </c>
      <c r="C27692">
        <f>ROMAN(27691)</f>
        <v/>
      </c>
      <c r="D27692">
        <f>IF(B27692=C27692, "YES", "WRONG")</f>
        <v/>
      </c>
    </row>
    <row r="27693">
      <c r="A27693" t="n">
        <v>27692</v>
      </c>
      <c r="B27693" t="inlineStr">
        <is>
          <t>x̄x̄V̅MMDCXCII</t>
        </is>
      </c>
      <c r="C27693">
        <f>ROMAN(27692)</f>
        <v/>
      </c>
      <c r="D27693">
        <f>IF(B27693=C27693, "YES", "WRONG")</f>
        <v/>
      </c>
    </row>
    <row r="27694">
      <c r="A27694" t="n">
        <v>27693</v>
      </c>
      <c r="B27694" t="inlineStr">
        <is>
          <t>x̄x̄V̅MMDCXCIII</t>
        </is>
      </c>
      <c r="C27694">
        <f>ROMAN(27693)</f>
        <v/>
      </c>
      <c r="D27694">
        <f>IF(B27694=C27694, "YES", "WRONG")</f>
        <v/>
      </c>
    </row>
    <row r="27695">
      <c r="A27695" t="n">
        <v>27694</v>
      </c>
      <c r="B27695" t="inlineStr">
        <is>
          <t>x̄x̄V̅MMDCXCIV</t>
        </is>
      </c>
      <c r="C27695">
        <f>ROMAN(27694)</f>
        <v/>
      </c>
      <c r="D27695">
        <f>IF(B27695=C27695, "YES", "WRONG")</f>
        <v/>
      </c>
    </row>
    <row r="27696">
      <c r="A27696" t="n">
        <v>27695</v>
      </c>
      <c r="B27696" t="inlineStr">
        <is>
          <t>x̄x̄V̅MMDCXCV</t>
        </is>
      </c>
      <c r="C27696">
        <f>ROMAN(27695)</f>
        <v/>
      </c>
      <c r="D27696">
        <f>IF(B27696=C27696, "YES", "WRONG")</f>
        <v/>
      </c>
    </row>
    <row r="27697">
      <c r="A27697" t="n">
        <v>27696</v>
      </c>
      <c r="B27697" t="inlineStr">
        <is>
          <t>x̄x̄V̅MMDCXCVI</t>
        </is>
      </c>
      <c r="C27697">
        <f>ROMAN(27696)</f>
        <v/>
      </c>
      <c r="D27697">
        <f>IF(B27697=C27697, "YES", "WRONG")</f>
        <v/>
      </c>
    </row>
    <row r="27698">
      <c r="A27698" t="n">
        <v>27697</v>
      </c>
      <c r="B27698" t="inlineStr">
        <is>
          <t>x̄x̄V̅MMDCXCVII</t>
        </is>
      </c>
      <c r="C27698">
        <f>ROMAN(27697)</f>
        <v/>
      </c>
      <c r="D27698">
        <f>IF(B27698=C27698, "YES", "WRONG")</f>
        <v/>
      </c>
    </row>
    <row r="27699">
      <c r="A27699" t="n">
        <v>27698</v>
      </c>
      <c r="B27699" t="inlineStr">
        <is>
          <t>x̄x̄V̅MMDCXCVIII</t>
        </is>
      </c>
      <c r="C27699">
        <f>ROMAN(27698)</f>
        <v/>
      </c>
      <c r="D27699">
        <f>IF(B27699=C27699, "YES", "WRONG")</f>
        <v/>
      </c>
    </row>
    <row r="27700">
      <c r="A27700" t="n">
        <v>27699</v>
      </c>
      <c r="B27700" t="inlineStr">
        <is>
          <t>x̄x̄V̅MMDCXCIX</t>
        </is>
      </c>
      <c r="C27700">
        <f>ROMAN(27699)</f>
        <v/>
      </c>
      <c r="D27700">
        <f>IF(B27700=C27700, "YES", "WRONG")</f>
        <v/>
      </c>
    </row>
    <row r="27701">
      <c r="A27701" t="n">
        <v>27700</v>
      </c>
      <c r="B27701" t="inlineStr">
        <is>
          <t>x̄x̄V̅MMDCC</t>
        </is>
      </c>
      <c r="C27701">
        <f>ROMAN(27700)</f>
        <v/>
      </c>
      <c r="D27701">
        <f>IF(B27701=C27701, "YES", "WRONG")</f>
        <v/>
      </c>
    </row>
    <row r="27702">
      <c r="A27702" t="n">
        <v>27701</v>
      </c>
      <c r="B27702" t="inlineStr">
        <is>
          <t>x̄x̄V̅MMDCCI</t>
        </is>
      </c>
      <c r="C27702">
        <f>ROMAN(27701)</f>
        <v/>
      </c>
      <c r="D27702">
        <f>IF(B27702=C27702, "YES", "WRONG")</f>
        <v/>
      </c>
    </row>
    <row r="27703">
      <c r="A27703" t="n">
        <v>27702</v>
      </c>
      <c r="B27703" t="inlineStr">
        <is>
          <t>x̄x̄V̅MMDCCII</t>
        </is>
      </c>
      <c r="C27703">
        <f>ROMAN(27702)</f>
        <v/>
      </c>
      <c r="D27703">
        <f>IF(B27703=C27703, "YES", "WRONG")</f>
        <v/>
      </c>
    </row>
    <row r="27704">
      <c r="A27704" t="n">
        <v>27703</v>
      </c>
      <c r="B27704" t="inlineStr">
        <is>
          <t>x̄x̄V̅MMDCCIII</t>
        </is>
      </c>
      <c r="C27704">
        <f>ROMAN(27703)</f>
        <v/>
      </c>
      <c r="D27704">
        <f>IF(B27704=C27704, "YES", "WRONG")</f>
        <v/>
      </c>
    </row>
    <row r="27705">
      <c r="A27705" t="n">
        <v>27704</v>
      </c>
      <c r="B27705" t="inlineStr">
        <is>
          <t>x̄x̄V̅MMDCCIV</t>
        </is>
      </c>
      <c r="C27705">
        <f>ROMAN(27704)</f>
        <v/>
      </c>
      <c r="D27705">
        <f>IF(B27705=C27705, "YES", "WRONG")</f>
        <v/>
      </c>
    </row>
    <row r="27706">
      <c r="A27706" t="n">
        <v>27705</v>
      </c>
      <c r="B27706" t="inlineStr">
        <is>
          <t>x̄x̄V̅MMDCCV</t>
        </is>
      </c>
      <c r="C27706">
        <f>ROMAN(27705)</f>
        <v/>
      </c>
      <c r="D27706">
        <f>IF(B27706=C27706, "YES", "WRONG")</f>
        <v/>
      </c>
    </row>
    <row r="27707">
      <c r="A27707" t="n">
        <v>27706</v>
      </c>
      <c r="B27707" t="inlineStr">
        <is>
          <t>x̄x̄V̅MMDCCVI</t>
        </is>
      </c>
      <c r="C27707">
        <f>ROMAN(27706)</f>
        <v/>
      </c>
      <c r="D27707">
        <f>IF(B27707=C27707, "YES", "WRONG")</f>
        <v/>
      </c>
    </row>
    <row r="27708">
      <c r="A27708" t="n">
        <v>27707</v>
      </c>
      <c r="B27708" t="inlineStr">
        <is>
          <t>x̄x̄V̅MMDCCVII</t>
        </is>
      </c>
      <c r="C27708">
        <f>ROMAN(27707)</f>
        <v/>
      </c>
      <c r="D27708">
        <f>IF(B27708=C27708, "YES", "WRONG")</f>
        <v/>
      </c>
    </row>
    <row r="27709">
      <c r="A27709" t="n">
        <v>27708</v>
      </c>
      <c r="B27709" t="inlineStr">
        <is>
          <t>x̄x̄V̅MMDCCVIII</t>
        </is>
      </c>
      <c r="C27709">
        <f>ROMAN(27708)</f>
        <v/>
      </c>
      <c r="D27709">
        <f>IF(B27709=C27709, "YES", "WRONG")</f>
        <v/>
      </c>
    </row>
    <row r="27710">
      <c r="A27710" t="n">
        <v>27709</v>
      </c>
      <c r="B27710" t="inlineStr">
        <is>
          <t>x̄x̄V̅MMDCCIX</t>
        </is>
      </c>
      <c r="C27710">
        <f>ROMAN(27709)</f>
        <v/>
      </c>
      <c r="D27710">
        <f>IF(B27710=C27710, "YES", "WRONG")</f>
        <v/>
      </c>
    </row>
    <row r="27711">
      <c r="A27711" t="n">
        <v>27710</v>
      </c>
      <c r="B27711" t="inlineStr">
        <is>
          <t>x̄x̄V̅MMDCCX</t>
        </is>
      </c>
      <c r="C27711">
        <f>ROMAN(27710)</f>
        <v/>
      </c>
      <c r="D27711">
        <f>IF(B27711=C27711, "YES", "WRONG")</f>
        <v/>
      </c>
    </row>
    <row r="27712">
      <c r="A27712" t="n">
        <v>27711</v>
      </c>
      <c r="B27712" t="inlineStr">
        <is>
          <t>x̄x̄V̅MMDCCXI</t>
        </is>
      </c>
      <c r="C27712">
        <f>ROMAN(27711)</f>
        <v/>
      </c>
      <c r="D27712">
        <f>IF(B27712=C27712, "YES", "WRONG")</f>
        <v/>
      </c>
    </row>
    <row r="27713">
      <c r="A27713" t="n">
        <v>27712</v>
      </c>
      <c r="B27713" t="inlineStr">
        <is>
          <t>x̄x̄V̅MMDCCXII</t>
        </is>
      </c>
      <c r="C27713">
        <f>ROMAN(27712)</f>
        <v/>
      </c>
      <c r="D27713">
        <f>IF(B27713=C27713, "YES", "WRONG")</f>
        <v/>
      </c>
    </row>
    <row r="27714">
      <c r="A27714" t="n">
        <v>27713</v>
      </c>
      <c r="B27714" t="inlineStr">
        <is>
          <t>x̄x̄V̅MMDCCXIII</t>
        </is>
      </c>
      <c r="C27714">
        <f>ROMAN(27713)</f>
        <v/>
      </c>
      <c r="D27714">
        <f>IF(B27714=C27714, "YES", "WRONG")</f>
        <v/>
      </c>
    </row>
    <row r="27715">
      <c r="A27715" t="n">
        <v>27714</v>
      </c>
      <c r="B27715" t="inlineStr">
        <is>
          <t>x̄x̄V̅MMDCCXIV</t>
        </is>
      </c>
      <c r="C27715">
        <f>ROMAN(27714)</f>
        <v/>
      </c>
      <c r="D27715">
        <f>IF(B27715=C27715, "YES", "WRONG")</f>
        <v/>
      </c>
    </row>
    <row r="27716">
      <c r="A27716" t="n">
        <v>27715</v>
      </c>
      <c r="B27716" t="inlineStr">
        <is>
          <t>x̄x̄V̅MMDCCXV</t>
        </is>
      </c>
      <c r="C27716">
        <f>ROMAN(27715)</f>
        <v/>
      </c>
      <c r="D27716">
        <f>IF(B27716=C27716, "YES", "WRONG")</f>
        <v/>
      </c>
    </row>
    <row r="27717">
      <c r="A27717" t="n">
        <v>27716</v>
      </c>
      <c r="B27717" t="inlineStr">
        <is>
          <t>x̄x̄V̅MMDCCXVI</t>
        </is>
      </c>
      <c r="C27717">
        <f>ROMAN(27716)</f>
        <v/>
      </c>
      <c r="D27717">
        <f>IF(B27717=C27717, "YES", "WRONG")</f>
        <v/>
      </c>
    </row>
    <row r="27718">
      <c r="A27718" t="n">
        <v>27717</v>
      </c>
      <c r="B27718" t="inlineStr">
        <is>
          <t>x̄x̄V̅MMDCCXVII</t>
        </is>
      </c>
      <c r="C27718">
        <f>ROMAN(27717)</f>
        <v/>
      </c>
      <c r="D27718">
        <f>IF(B27718=C27718, "YES", "WRONG")</f>
        <v/>
      </c>
    </row>
    <row r="27719">
      <c r="A27719" t="n">
        <v>27718</v>
      </c>
      <c r="B27719" t="inlineStr">
        <is>
          <t>x̄x̄V̅MMDCCXVIII</t>
        </is>
      </c>
      <c r="C27719">
        <f>ROMAN(27718)</f>
        <v/>
      </c>
      <c r="D27719">
        <f>IF(B27719=C27719, "YES", "WRONG")</f>
        <v/>
      </c>
    </row>
    <row r="27720">
      <c r="A27720" t="n">
        <v>27719</v>
      </c>
      <c r="B27720" t="inlineStr">
        <is>
          <t>x̄x̄V̅MMDCCXIX</t>
        </is>
      </c>
      <c r="C27720">
        <f>ROMAN(27719)</f>
        <v/>
      </c>
      <c r="D27720">
        <f>IF(B27720=C27720, "YES", "WRONG")</f>
        <v/>
      </c>
    </row>
    <row r="27721">
      <c r="A27721" t="n">
        <v>27720</v>
      </c>
      <c r="B27721" t="inlineStr">
        <is>
          <t>x̄x̄V̅MMDCCXX</t>
        </is>
      </c>
      <c r="C27721">
        <f>ROMAN(27720)</f>
        <v/>
      </c>
      <c r="D27721">
        <f>IF(B27721=C27721, "YES", "WRONG")</f>
        <v/>
      </c>
    </row>
    <row r="27722">
      <c r="A27722" t="n">
        <v>27721</v>
      </c>
      <c r="B27722" t="inlineStr">
        <is>
          <t>x̄x̄V̅MMDCCXXI</t>
        </is>
      </c>
      <c r="C27722">
        <f>ROMAN(27721)</f>
        <v/>
      </c>
      <c r="D27722">
        <f>IF(B27722=C27722, "YES", "WRONG")</f>
        <v/>
      </c>
    </row>
    <row r="27723">
      <c r="A27723" t="n">
        <v>27722</v>
      </c>
      <c r="B27723" t="inlineStr">
        <is>
          <t>x̄x̄V̅MMDCCXXII</t>
        </is>
      </c>
      <c r="C27723">
        <f>ROMAN(27722)</f>
        <v/>
      </c>
      <c r="D27723">
        <f>IF(B27723=C27723, "YES", "WRONG")</f>
        <v/>
      </c>
    </row>
    <row r="27724">
      <c r="A27724" t="n">
        <v>27723</v>
      </c>
      <c r="B27724" t="inlineStr">
        <is>
          <t>x̄x̄V̅MMDCCXXIII</t>
        </is>
      </c>
      <c r="C27724">
        <f>ROMAN(27723)</f>
        <v/>
      </c>
      <c r="D27724">
        <f>IF(B27724=C27724, "YES", "WRONG")</f>
        <v/>
      </c>
    </row>
    <row r="27725">
      <c r="A27725" t="n">
        <v>27724</v>
      </c>
      <c r="B27725" t="inlineStr">
        <is>
          <t>x̄x̄V̅MMDCCXXIV</t>
        </is>
      </c>
      <c r="C27725">
        <f>ROMAN(27724)</f>
        <v/>
      </c>
      <c r="D27725">
        <f>IF(B27725=C27725, "YES", "WRONG")</f>
        <v/>
      </c>
    </row>
    <row r="27726">
      <c r="A27726" t="n">
        <v>27725</v>
      </c>
      <c r="B27726" t="inlineStr">
        <is>
          <t>x̄x̄V̅MMDCCXXV</t>
        </is>
      </c>
      <c r="C27726">
        <f>ROMAN(27725)</f>
        <v/>
      </c>
      <c r="D27726">
        <f>IF(B27726=C27726, "YES", "WRONG")</f>
        <v/>
      </c>
    </row>
    <row r="27727">
      <c r="A27727" t="n">
        <v>27726</v>
      </c>
      <c r="B27727" t="inlineStr">
        <is>
          <t>x̄x̄V̅MMDCCXXVI</t>
        </is>
      </c>
      <c r="C27727">
        <f>ROMAN(27726)</f>
        <v/>
      </c>
      <c r="D27727">
        <f>IF(B27727=C27727, "YES", "WRONG")</f>
        <v/>
      </c>
    </row>
    <row r="27728">
      <c r="A27728" t="n">
        <v>27727</v>
      </c>
      <c r="B27728" t="inlineStr">
        <is>
          <t>x̄x̄V̅MMDCCXXVII</t>
        </is>
      </c>
      <c r="C27728">
        <f>ROMAN(27727)</f>
        <v/>
      </c>
      <c r="D27728">
        <f>IF(B27728=C27728, "YES", "WRONG")</f>
        <v/>
      </c>
    </row>
    <row r="27729">
      <c r="A27729" t="n">
        <v>27728</v>
      </c>
      <c r="B27729" t="inlineStr">
        <is>
          <t>x̄x̄V̅MMDCCXXVIII</t>
        </is>
      </c>
      <c r="C27729">
        <f>ROMAN(27728)</f>
        <v/>
      </c>
      <c r="D27729">
        <f>IF(B27729=C27729, "YES", "WRONG")</f>
        <v/>
      </c>
    </row>
    <row r="27730">
      <c r="A27730" t="n">
        <v>27729</v>
      </c>
      <c r="B27730" t="inlineStr">
        <is>
          <t>x̄x̄V̅MMDCCXXIX</t>
        </is>
      </c>
      <c r="C27730">
        <f>ROMAN(27729)</f>
        <v/>
      </c>
      <c r="D27730">
        <f>IF(B27730=C27730, "YES", "WRONG")</f>
        <v/>
      </c>
    </row>
    <row r="27731">
      <c r="A27731" t="n">
        <v>27730</v>
      </c>
      <c r="B27731" t="inlineStr">
        <is>
          <t>x̄x̄V̅MMDCCXXX</t>
        </is>
      </c>
      <c r="C27731">
        <f>ROMAN(27730)</f>
        <v/>
      </c>
      <c r="D27731">
        <f>IF(B27731=C27731, "YES", "WRONG")</f>
        <v/>
      </c>
    </row>
    <row r="27732">
      <c r="A27732" t="n">
        <v>27731</v>
      </c>
      <c r="B27732" t="inlineStr">
        <is>
          <t>x̄x̄V̅MMDCCXXXI</t>
        </is>
      </c>
      <c r="C27732">
        <f>ROMAN(27731)</f>
        <v/>
      </c>
      <c r="D27732">
        <f>IF(B27732=C27732, "YES", "WRONG")</f>
        <v/>
      </c>
    </row>
    <row r="27733">
      <c r="A27733" t="n">
        <v>27732</v>
      </c>
      <c r="B27733" t="inlineStr">
        <is>
          <t>x̄x̄V̅MMDCCXXXII</t>
        </is>
      </c>
      <c r="C27733">
        <f>ROMAN(27732)</f>
        <v/>
      </c>
      <c r="D27733">
        <f>IF(B27733=C27733, "YES", "WRONG")</f>
        <v/>
      </c>
    </row>
    <row r="27734">
      <c r="A27734" t="n">
        <v>27733</v>
      </c>
      <c r="B27734" t="inlineStr">
        <is>
          <t>x̄x̄V̅MMDCCXXXIII</t>
        </is>
      </c>
      <c r="C27734">
        <f>ROMAN(27733)</f>
        <v/>
      </c>
      <c r="D27734">
        <f>IF(B27734=C27734, "YES", "WRONG")</f>
        <v/>
      </c>
    </row>
    <row r="27735">
      <c r="A27735" t="n">
        <v>27734</v>
      </c>
      <c r="B27735" t="inlineStr">
        <is>
          <t>x̄x̄V̅MMDCCXXXIV</t>
        </is>
      </c>
      <c r="C27735">
        <f>ROMAN(27734)</f>
        <v/>
      </c>
      <c r="D27735">
        <f>IF(B27735=C27735, "YES", "WRONG")</f>
        <v/>
      </c>
    </row>
    <row r="27736">
      <c r="A27736" t="n">
        <v>27735</v>
      </c>
      <c r="B27736" t="inlineStr">
        <is>
          <t>x̄x̄V̅MMDCCXXXV</t>
        </is>
      </c>
      <c r="C27736">
        <f>ROMAN(27735)</f>
        <v/>
      </c>
      <c r="D27736">
        <f>IF(B27736=C27736, "YES", "WRONG")</f>
        <v/>
      </c>
    </row>
    <row r="27737">
      <c r="A27737" t="n">
        <v>27736</v>
      </c>
      <c r="B27737" t="inlineStr">
        <is>
          <t>x̄x̄V̅MMDCCXXXVI</t>
        </is>
      </c>
      <c r="C27737">
        <f>ROMAN(27736)</f>
        <v/>
      </c>
      <c r="D27737">
        <f>IF(B27737=C27737, "YES", "WRONG")</f>
        <v/>
      </c>
    </row>
    <row r="27738">
      <c r="A27738" t="n">
        <v>27737</v>
      </c>
      <c r="B27738" t="inlineStr">
        <is>
          <t>x̄x̄V̅MMDCCXXXVII</t>
        </is>
      </c>
      <c r="C27738">
        <f>ROMAN(27737)</f>
        <v/>
      </c>
      <c r="D27738">
        <f>IF(B27738=C27738, "YES", "WRONG")</f>
        <v/>
      </c>
    </row>
    <row r="27739">
      <c r="A27739" t="n">
        <v>27738</v>
      </c>
      <c r="B27739" t="inlineStr">
        <is>
          <t>x̄x̄V̅MMDCCXXXVIII</t>
        </is>
      </c>
      <c r="C27739">
        <f>ROMAN(27738)</f>
        <v/>
      </c>
      <c r="D27739">
        <f>IF(B27739=C27739, "YES", "WRONG")</f>
        <v/>
      </c>
    </row>
    <row r="27740">
      <c r="A27740" t="n">
        <v>27739</v>
      </c>
      <c r="B27740" t="inlineStr">
        <is>
          <t>x̄x̄V̅MMDCCXXXIX</t>
        </is>
      </c>
      <c r="C27740">
        <f>ROMAN(27739)</f>
        <v/>
      </c>
      <c r="D27740">
        <f>IF(B27740=C27740, "YES", "WRONG")</f>
        <v/>
      </c>
    </row>
    <row r="27741">
      <c r="A27741" t="n">
        <v>27740</v>
      </c>
      <c r="B27741" t="inlineStr">
        <is>
          <t>x̄x̄V̅MMDCCXL</t>
        </is>
      </c>
      <c r="C27741">
        <f>ROMAN(27740)</f>
        <v/>
      </c>
      <c r="D27741">
        <f>IF(B27741=C27741, "YES", "WRONG")</f>
        <v/>
      </c>
    </row>
    <row r="27742">
      <c r="A27742" t="n">
        <v>27741</v>
      </c>
      <c r="B27742" t="inlineStr">
        <is>
          <t>x̄x̄V̅MMDCCXLI</t>
        </is>
      </c>
      <c r="C27742">
        <f>ROMAN(27741)</f>
        <v/>
      </c>
      <c r="D27742">
        <f>IF(B27742=C27742, "YES", "WRONG")</f>
        <v/>
      </c>
    </row>
    <row r="27743">
      <c r="A27743" t="n">
        <v>27742</v>
      </c>
      <c r="B27743" t="inlineStr">
        <is>
          <t>x̄x̄V̅MMDCCXLII</t>
        </is>
      </c>
      <c r="C27743">
        <f>ROMAN(27742)</f>
        <v/>
      </c>
      <c r="D27743">
        <f>IF(B27743=C27743, "YES", "WRONG")</f>
        <v/>
      </c>
    </row>
    <row r="27744">
      <c r="A27744" t="n">
        <v>27743</v>
      </c>
      <c r="B27744" t="inlineStr">
        <is>
          <t>x̄x̄V̅MMDCCXLIII</t>
        </is>
      </c>
      <c r="C27744">
        <f>ROMAN(27743)</f>
        <v/>
      </c>
      <c r="D27744">
        <f>IF(B27744=C27744, "YES", "WRONG")</f>
        <v/>
      </c>
    </row>
    <row r="27745">
      <c r="A27745" t="n">
        <v>27744</v>
      </c>
      <c r="B27745" t="inlineStr">
        <is>
          <t>x̄x̄V̅MMDCCXLIV</t>
        </is>
      </c>
      <c r="C27745">
        <f>ROMAN(27744)</f>
        <v/>
      </c>
      <c r="D27745">
        <f>IF(B27745=C27745, "YES", "WRONG")</f>
        <v/>
      </c>
    </row>
    <row r="27746">
      <c r="A27746" t="n">
        <v>27745</v>
      </c>
      <c r="B27746" t="inlineStr">
        <is>
          <t>x̄x̄V̅MMDCCXLV</t>
        </is>
      </c>
      <c r="C27746">
        <f>ROMAN(27745)</f>
        <v/>
      </c>
      <c r="D27746">
        <f>IF(B27746=C27746, "YES", "WRONG")</f>
        <v/>
      </c>
    </row>
    <row r="27747">
      <c r="A27747" t="n">
        <v>27746</v>
      </c>
      <c r="B27747" t="inlineStr">
        <is>
          <t>x̄x̄V̅MMDCCXLVI</t>
        </is>
      </c>
      <c r="C27747">
        <f>ROMAN(27746)</f>
        <v/>
      </c>
      <c r="D27747">
        <f>IF(B27747=C27747, "YES", "WRONG")</f>
        <v/>
      </c>
    </row>
    <row r="27748">
      <c r="A27748" t="n">
        <v>27747</v>
      </c>
      <c r="B27748" t="inlineStr">
        <is>
          <t>x̄x̄V̅MMDCCXLVII</t>
        </is>
      </c>
      <c r="C27748">
        <f>ROMAN(27747)</f>
        <v/>
      </c>
      <c r="D27748">
        <f>IF(B27748=C27748, "YES", "WRONG")</f>
        <v/>
      </c>
    </row>
    <row r="27749">
      <c r="A27749" t="n">
        <v>27748</v>
      </c>
      <c r="B27749" t="inlineStr">
        <is>
          <t>x̄x̄V̅MMDCCXLVIII</t>
        </is>
      </c>
      <c r="C27749">
        <f>ROMAN(27748)</f>
        <v/>
      </c>
      <c r="D27749">
        <f>IF(B27749=C27749, "YES", "WRONG")</f>
        <v/>
      </c>
    </row>
    <row r="27750">
      <c r="A27750" t="n">
        <v>27749</v>
      </c>
      <c r="B27750" t="inlineStr">
        <is>
          <t>x̄x̄V̅MMDCCXLIX</t>
        </is>
      </c>
      <c r="C27750">
        <f>ROMAN(27749)</f>
        <v/>
      </c>
      <c r="D27750">
        <f>IF(B27750=C27750, "YES", "WRONG")</f>
        <v/>
      </c>
    </row>
    <row r="27751">
      <c r="A27751" t="n">
        <v>27750</v>
      </c>
      <c r="B27751" t="inlineStr">
        <is>
          <t>x̄x̄V̅MMDCCL</t>
        </is>
      </c>
      <c r="C27751">
        <f>ROMAN(27750)</f>
        <v/>
      </c>
      <c r="D27751">
        <f>IF(B27751=C27751, "YES", "WRONG")</f>
        <v/>
      </c>
    </row>
    <row r="27752">
      <c r="A27752" t="n">
        <v>27751</v>
      </c>
      <c r="B27752" t="inlineStr">
        <is>
          <t>x̄x̄V̅MMDCCLI</t>
        </is>
      </c>
      <c r="C27752">
        <f>ROMAN(27751)</f>
        <v/>
      </c>
      <c r="D27752">
        <f>IF(B27752=C27752, "YES", "WRONG")</f>
        <v/>
      </c>
    </row>
    <row r="27753">
      <c r="A27753" t="n">
        <v>27752</v>
      </c>
      <c r="B27753" t="inlineStr">
        <is>
          <t>x̄x̄V̅MMDCCLII</t>
        </is>
      </c>
      <c r="C27753">
        <f>ROMAN(27752)</f>
        <v/>
      </c>
      <c r="D27753">
        <f>IF(B27753=C27753, "YES", "WRONG")</f>
        <v/>
      </c>
    </row>
    <row r="27754">
      <c r="A27754" t="n">
        <v>27753</v>
      </c>
      <c r="B27754" t="inlineStr">
        <is>
          <t>x̄x̄V̅MMDCCLIII</t>
        </is>
      </c>
      <c r="C27754">
        <f>ROMAN(27753)</f>
        <v/>
      </c>
      <c r="D27754">
        <f>IF(B27754=C27754, "YES", "WRONG")</f>
        <v/>
      </c>
    </row>
    <row r="27755">
      <c r="A27755" t="n">
        <v>27754</v>
      </c>
      <c r="B27755" t="inlineStr">
        <is>
          <t>x̄x̄V̅MMDCCLIV</t>
        </is>
      </c>
      <c r="C27755">
        <f>ROMAN(27754)</f>
        <v/>
      </c>
      <c r="D27755">
        <f>IF(B27755=C27755, "YES", "WRONG")</f>
        <v/>
      </c>
    </row>
    <row r="27756">
      <c r="A27756" t="n">
        <v>27755</v>
      </c>
      <c r="B27756" t="inlineStr">
        <is>
          <t>x̄x̄V̅MMDCCLV</t>
        </is>
      </c>
      <c r="C27756">
        <f>ROMAN(27755)</f>
        <v/>
      </c>
      <c r="D27756">
        <f>IF(B27756=C27756, "YES", "WRONG")</f>
        <v/>
      </c>
    </row>
    <row r="27757">
      <c r="A27757" t="n">
        <v>27756</v>
      </c>
      <c r="B27757" t="inlineStr">
        <is>
          <t>x̄x̄V̅MMDCCLVI</t>
        </is>
      </c>
      <c r="C27757">
        <f>ROMAN(27756)</f>
        <v/>
      </c>
      <c r="D27757">
        <f>IF(B27757=C27757, "YES", "WRONG")</f>
        <v/>
      </c>
    </row>
    <row r="27758">
      <c r="A27758" t="n">
        <v>27757</v>
      </c>
      <c r="B27758" t="inlineStr">
        <is>
          <t>x̄x̄V̅MMDCCLVII</t>
        </is>
      </c>
      <c r="C27758">
        <f>ROMAN(27757)</f>
        <v/>
      </c>
      <c r="D27758">
        <f>IF(B27758=C27758, "YES", "WRONG")</f>
        <v/>
      </c>
    </row>
    <row r="27759">
      <c r="A27759" t="n">
        <v>27758</v>
      </c>
      <c r="B27759" t="inlineStr">
        <is>
          <t>x̄x̄V̅MMDCCLVIII</t>
        </is>
      </c>
      <c r="C27759">
        <f>ROMAN(27758)</f>
        <v/>
      </c>
      <c r="D27759">
        <f>IF(B27759=C27759, "YES", "WRONG")</f>
        <v/>
      </c>
    </row>
    <row r="27760">
      <c r="A27760" t="n">
        <v>27759</v>
      </c>
      <c r="B27760" t="inlineStr">
        <is>
          <t>x̄x̄V̅MMDCCLIX</t>
        </is>
      </c>
      <c r="C27760">
        <f>ROMAN(27759)</f>
        <v/>
      </c>
      <c r="D27760">
        <f>IF(B27760=C27760, "YES", "WRONG")</f>
        <v/>
      </c>
    </row>
    <row r="27761">
      <c r="A27761" t="n">
        <v>27760</v>
      </c>
      <c r="B27761" t="inlineStr">
        <is>
          <t>x̄x̄V̅MMDCCLX</t>
        </is>
      </c>
      <c r="C27761">
        <f>ROMAN(27760)</f>
        <v/>
      </c>
      <c r="D27761">
        <f>IF(B27761=C27761, "YES", "WRONG")</f>
        <v/>
      </c>
    </row>
    <row r="27762">
      <c r="A27762" t="n">
        <v>27761</v>
      </c>
      <c r="B27762" t="inlineStr">
        <is>
          <t>x̄x̄V̅MMDCCLXI</t>
        </is>
      </c>
      <c r="C27762">
        <f>ROMAN(27761)</f>
        <v/>
      </c>
      <c r="D27762">
        <f>IF(B27762=C27762, "YES", "WRONG")</f>
        <v/>
      </c>
    </row>
    <row r="27763">
      <c r="A27763" t="n">
        <v>27762</v>
      </c>
      <c r="B27763" t="inlineStr">
        <is>
          <t>x̄x̄V̅MMDCCLXII</t>
        </is>
      </c>
      <c r="C27763">
        <f>ROMAN(27762)</f>
        <v/>
      </c>
      <c r="D27763">
        <f>IF(B27763=C27763, "YES", "WRONG")</f>
        <v/>
      </c>
    </row>
    <row r="27764">
      <c r="A27764" t="n">
        <v>27763</v>
      </c>
      <c r="B27764" t="inlineStr">
        <is>
          <t>x̄x̄V̅MMDCCLXIII</t>
        </is>
      </c>
      <c r="C27764">
        <f>ROMAN(27763)</f>
        <v/>
      </c>
      <c r="D27764">
        <f>IF(B27764=C27764, "YES", "WRONG")</f>
        <v/>
      </c>
    </row>
    <row r="27765">
      <c r="A27765" t="n">
        <v>27764</v>
      </c>
      <c r="B27765" t="inlineStr">
        <is>
          <t>x̄x̄V̅MMDCCLXIV</t>
        </is>
      </c>
      <c r="C27765">
        <f>ROMAN(27764)</f>
        <v/>
      </c>
      <c r="D27765">
        <f>IF(B27765=C27765, "YES", "WRONG")</f>
        <v/>
      </c>
    </row>
    <row r="27766">
      <c r="A27766" t="n">
        <v>27765</v>
      </c>
      <c r="B27766" t="inlineStr">
        <is>
          <t>x̄x̄V̅MMDCCLXV</t>
        </is>
      </c>
      <c r="C27766">
        <f>ROMAN(27765)</f>
        <v/>
      </c>
      <c r="D27766">
        <f>IF(B27766=C27766, "YES", "WRONG")</f>
        <v/>
      </c>
    </row>
    <row r="27767">
      <c r="A27767" t="n">
        <v>27766</v>
      </c>
      <c r="B27767" t="inlineStr">
        <is>
          <t>x̄x̄V̅MMDCCLXVI</t>
        </is>
      </c>
      <c r="C27767">
        <f>ROMAN(27766)</f>
        <v/>
      </c>
      <c r="D27767">
        <f>IF(B27767=C27767, "YES", "WRONG")</f>
        <v/>
      </c>
    </row>
    <row r="27768">
      <c r="A27768" t="n">
        <v>27767</v>
      </c>
      <c r="B27768" t="inlineStr">
        <is>
          <t>x̄x̄V̅MMDCCLXVII</t>
        </is>
      </c>
      <c r="C27768">
        <f>ROMAN(27767)</f>
        <v/>
      </c>
      <c r="D27768">
        <f>IF(B27768=C27768, "YES", "WRONG")</f>
        <v/>
      </c>
    </row>
    <row r="27769">
      <c r="A27769" t="n">
        <v>27768</v>
      </c>
      <c r="B27769" t="inlineStr">
        <is>
          <t>x̄x̄V̅MMDCCLXVIII</t>
        </is>
      </c>
      <c r="C27769">
        <f>ROMAN(27768)</f>
        <v/>
      </c>
      <c r="D27769">
        <f>IF(B27769=C27769, "YES", "WRONG")</f>
        <v/>
      </c>
    </row>
    <row r="27770">
      <c r="A27770" t="n">
        <v>27769</v>
      </c>
      <c r="B27770" t="inlineStr">
        <is>
          <t>x̄x̄V̅MMDCCLXIX</t>
        </is>
      </c>
      <c r="C27770">
        <f>ROMAN(27769)</f>
        <v/>
      </c>
      <c r="D27770">
        <f>IF(B27770=C27770, "YES", "WRONG")</f>
        <v/>
      </c>
    </row>
    <row r="27771">
      <c r="A27771" t="n">
        <v>27770</v>
      </c>
      <c r="B27771" t="inlineStr">
        <is>
          <t>x̄x̄V̅MMDCCLXX</t>
        </is>
      </c>
      <c r="C27771">
        <f>ROMAN(27770)</f>
        <v/>
      </c>
      <c r="D27771">
        <f>IF(B27771=C27771, "YES", "WRONG")</f>
        <v/>
      </c>
    </row>
    <row r="27772">
      <c r="A27772" t="n">
        <v>27771</v>
      </c>
      <c r="B27772" t="inlineStr">
        <is>
          <t>x̄x̄V̅MMDCCLXXI</t>
        </is>
      </c>
      <c r="C27772">
        <f>ROMAN(27771)</f>
        <v/>
      </c>
      <c r="D27772">
        <f>IF(B27772=C27772, "YES", "WRONG")</f>
        <v/>
      </c>
    </row>
    <row r="27773">
      <c r="A27773" t="n">
        <v>27772</v>
      </c>
      <c r="B27773" t="inlineStr">
        <is>
          <t>x̄x̄V̅MMDCCLXXII</t>
        </is>
      </c>
      <c r="C27773">
        <f>ROMAN(27772)</f>
        <v/>
      </c>
      <c r="D27773">
        <f>IF(B27773=C27773, "YES", "WRONG")</f>
        <v/>
      </c>
    </row>
    <row r="27774">
      <c r="A27774" t="n">
        <v>27773</v>
      </c>
      <c r="B27774" t="inlineStr">
        <is>
          <t>x̄x̄V̅MMDCCLXXIII</t>
        </is>
      </c>
      <c r="C27774">
        <f>ROMAN(27773)</f>
        <v/>
      </c>
      <c r="D27774">
        <f>IF(B27774=C27774, "YES", "WRONG")</f>
        <v/>
      </c>
    </row>
    <row r="27775">
      <c r="A27775" t="n">
        <v>27774</v>
      </c>
      <c r="B27775" t="inlineStr">
        <is>
          <t>x̄x̄V̅MMDCCLXXIV</t>
        </is>
      </c>
      <c r="C27775">
        <f>ROMAN(27774)</f>
        <v/>
      </c>
      <c r="D27775">
        <f>IF(B27775=C27775, "YES", "WRONG")</f>
        <v/>
      </c>
    </row>
    <row r="27776">
      <c r="A27776" t="n">
        <v>27775</v>
      </c>
      <c r="B27776" t="inlineStr">
        <is>
          <t>x̄x̄V̅MMDCCLXXV</t>
        </is>
      </c>
      <c r="C27776">
        <f>ROMAN(27775)</f>
        <v/>
      </c>
      <c r="D27776">
        <f>IF(B27776=C27776, "YES", "WRONG")</f>
        <v/>
      </c>
    </row>
    <row r="27777">
      <c r="A27777" t="n">
        <v>27776</v>
      </c>
      <c r="B27777" t="inlineStr">
        <is>
          <t>x̄x̄V̅MMDCCLXXVI</t>
        </is>
      </c>
      <c r="C27777">
        <f>ROMAN(27776)</f>
        <v/>
      </c>
      <c r="D27777">
        <f>IF(B27777=C27777, "YES", "WRONG")</f>
        <v/>
      </c>
    </row>
    <row r="27778">
      <c r="A27778" t="n">
        <v>27777</v>
      </c>
      <c r="B27778" t="inlineStr">
        <is>
          <t>x̄x̄V̅MMDCCLXXVII</t>
        </is>
      </c>
      <c r="C27778">
        <f>ROMAN(27777)</f>
        <v/>
      </c>
      <c r="D27778">
        <f>IF(B27778=C27778, "YES", "WRONG")</f>
        <v/>
      </c>
    </row>
    <row r="27779">
      <c r="A27779" t="n">
        <v>27778</v>
      </c>
      <c r="B27779" t="inlineStr">
        <is>
          <t>x̄x̄V̅MMDCCLXXVIII</t>
        </is>
      </c>
      <c r="C27779">
        <f>ROMAN(27778)</f>
        <v/>
      </c>
      <c r="D27779">
        <f>IF(B27779=C27779, "YES", "WRONG")</f>
        <v/>
      </c>
    </row>
    <row r="27780">
      <c r="A27780" t="n">
        <v>27779</v>
      </c>
      <c r="B27780" t="inlineStr">
        <is>
          <t>x̄x̄V̅MMDCCLXXIX</t>
        </is>
      </c>
      <c r="C27780">
        <f>ROMAN(27779)</f>
        <v/>
      </c>
      <c r="D27780">
        <f>IF(B27780=C27780, "YES", "WRONG")</f>
        <v/>
      </c>
    </row>
    <row r="27781">
      <c r="A27781" t="n">
        <v>27780</v>
      </c>
      <c r="B27781" t="inlineStr">
        <is>
          <t>x̄x̄V̅MMDCCLXXX</t>
        </is>
      </c>
      <c r="C27781">
        <f>ROMAN(27780)</f>
        <v/>
      </c>
      <c r="D27781">
        <f>IF(B27781=C27781, "YES", "WRONG")</f>
        <v/>
      </c>
    </row>
    <row r="27782">
      <c r="A27782" t="n">
        <v>27781</v>
      </c>
      <c r="B27782" t="inlineStr">
        <is>
          <t>x̄x̄V̅MMDCCLXXXI</t>
        </is>
      </c>
      <c r="C27782">
        <f>ROMAN(27781)</f>
        <v/>
      </c>
      <c r="D27782">
        <f>IF(B27782=C27782, "YES", "WRONG")</f>
        <v/>
      </c>
    </row>
    <row r="27783">
      <c r="A27783" t="n">
        <v>27782</v>
      </c>
      <c r="B27783" t="inlineStr">
        <is>
          <t>x̄x̄V̅MMDCCLXXXII</t>
        </is>
      </c>
      <c r="C27783">
        <f>ROMAN(27782)</f>
        <v/>
      </c>
      <c r="D27783">
        <f>IF(B27783=C27783, "YES", "WRONG")</f>
        <v/>
      </c>
    </row>
    <row r="27784">
      <c r="A27784" t="n">
        <v>27783</v>
      </c>
      <c r="B27784" t="inlineStr">
        <is>
          <t>x̄x̄V̅MMDCCLXXXIII</t>
        </is>
      </c>
      <c r="C27784">
        <f>ROMAN(27783)</f>
        <v/>
      </c>
      <c r="D27784">
        <f>IF(B27784=C27784, "YES", "WRONG")</f>
        <v/>
      </c>
    </row>
    <row r="27785">
      <c r="A27785" t="n">
        <v>27784</v>
      </c>
      <c r="B27785" t="inlineStr">
        <is>
          <t>x̄x̄V̅MMDCCLXXXIV</t>
        </is>
      </c>
      <c r="C27785">
        <f>ROMAN(27784)</f>
        <v/>
      </c>
      <c r="D27785">
        <f>IF(B27785=C27785, "YES", "WRONG")</f>
        <v/>
      </c>
    </row>
    <row r="27786">
      <c r="A27786" t="n">
        <v>27785</v>
      </c>
      <c r="B27786" t="inlineStr">
        <is>
          <t>x̄x̄V̅MMDCCLXXXV</t>
        </is>
      </c>
      <c r="C27786">
        <f>ROMAN(27785)</f>
        <v/>
      </c>
      <c r="D27786">
        <f>IF(B27786=C27786, "YES", "WRONG")</f>
        <v/>
      </c>
    </row>
    <row r="27787">
      <c r="A27787" t="n">
        <v>27786</v>
      </c>
      <c r="B27787" t="inlineStr">
        <is>
          <t>x̄x̄V̅MMDCCLXXXVI</t>
        </is>
      </c>
      <c r="C27787">
        <f>ROMAN(27786)</f>
        <v/>
      </c>
      <c r="D27787">
        <f>IF(B27787=C27787, "YES", "WRONG")</f>
        <v/>
      </c>
    </row>
    <row r="27788">
      <c r="A27788" t="n">
        <v>27787</v>
      </c>
      <c r="B27788" t="inlineStr">
        <is>
          <t>x̄x̄V̅MMDCCLXXXVII</t>
        </is>
      </c>
      <c r="C27788">
        <f>ROMAN(27787)</f>
        <v/>
      </c>
      <c r="D27788">
        <f>IF(B27788=C27788, "YES", "WRONG")</f>
        <v/>
      </c>
    </row>
    <row r="27789">
      <c r="A27789" t="n">
        <v>27788</v>
      </c>
      <c r="B27789" t="inlineStr">
        <is>
          <t>x̄x̄V̅MMDCCLXXXVIII</t>
        </is>
      </c>
      <c r="C27789">
        <f>ROMAN(27788)</f>
        <v/>
      </c>
      <c r="D27789">
        <f>IF(B27789=C27789, "YES", "WRONG")</f>
        <v/>
      </c>
    </row>
    <row r="27790">
      <c r="A27790" t="n">
        <v>27789</v>
      </c>
      <c r="B27790" t="inlineStr">
        <is>
          <t>x̄x̄V̅MMDCCLXXXIX</t>
        </is>
      </c>
      <c r="C27790">
        <f>ROMAN(27789)</f>
        <v/>
      </c>
      <c r="D27790">
        <f>IF(B27790=C27790, "YES", "WRONG")</f>
        <v/>
      </c>
    </row>
    <row r="27791">
      <c r="A27791" t="n">
        <v>27790</v>
      </c>
      <c r="B27791" t="inlineStr">
        <is>
          <t>x̄x̄V̅MMDCCXC</t>
        </is>
      </c>
      <c r="C27791">
        <f>ROMAN(27790)</f>
        <v/>
      </c>
      <c r="D27791">
        <f>IF(B27791=C27791, "YES", "WRONG")</f>
        <v/>
      </c>
    </row>
    <row r="27792">
      <c r="A27792" t="n">
        <v>27791</v>
      </c>
      <c r="B27792" t="inlineStr">
        <is>
          <t>x̄x̄V̅MMDCCXCI</t>
        </is>
      </c>
      <c r="C27792">
        <f>ROMAN(27791)</f>
        <v/>
      </c>
      <c r="D27792">
        <f>IF(B27792=C27792, "YES", "WRONG")</f>
        <v/>
      </c>
    </row>
    <row r="27793">
      <c r="A27793" t="n">
        <v>27792</v>
      </c>
      <c r="B27793" t="inlineStr">
        <is>
          <t>x̄x̄V̅MMDCCXCII</t>
        </is>
      </c>
      <c r="C27793">
        <f>ROMAN(27792)</f>
        <v/>
      </c>
      <c r="D27793">
        <f>IF(B27793=C27793, "YES", "WRONG")</f>
        <v/>
      </c>
    </row>
    <row r="27794">
      <c r="A27794" t="n">
        <v>27793</v>
      </c>
      <c r="B27794" t="inlineStr">
        <is>
          <t>x̄x̄V̅MMDCCXCIII</t>
        </is>
      </c>
      <c r="C27794">
        <f>ROMAN(27793)</f>
        <v/>
      </c>
      <c r="D27794">
        <f>IF(B27794=C27794, "YES", "WRONG")</f>
        <v/>
      </c>
    </row>
    <row r="27795">
      <c r="A27795" t="n">
        <v>27794</v>
      </c>
      <c r="B27795" t="inlineStr">
        <is>
          <t>x̄x̄V̅MMDCCXCIV</t>
        </is>
      </c>
      <c r="C27795">
        <f>ROMAN(27794)</f>
        <v/>
      </c>
      <c r="D27795">
        <f>IF(B27795=C27795, "YES", "WRONG")</f>
        <v/>
      </c>
    </row>
    <row r="27796">
      <c r="A27796" t="n">
        <v>27795</v>
      </c>
      <c r="B27796" t="inlineStr">
        <is>
          <t>x̄x̄V̅MMDCCXCV</t>
        </is>
      </c>
      <c r="C27796">
        <f>ROMAN(27795)</f>
        <v/>
      </c>
      <c r="D27796">
        <f>IF(B27796=C27796, "YES", "WRONG")</f>
        <v/>
      </c>
    </row>
    <row r="27797">
      <c r="A27797" t="n">
        <v>27796</v>
      </c>
      <c r="B27797" t="inlineStr">
        <is>
          <t>x̄x̄V̅MMDCCXCVI</t>
        </is>
      </c>
      <c r="C27797">
        <f>ROMAN(27796)</f>
        <v/>
      </c>
      <c r="D27797">
        <f>IF(B27797=C27797, "YES", "WRONG")</f>
        <v/>
      </c>
    </row>
    <row r="27798">
      <c r="A27798" t="n">
        <v>27797</v>
      </c>
      <c r="B27798" t="inlineStr">
        <is>
          <t>x̄x̄V̅MMDCCXCVII</t>
        </is>
      </c>
      <c r="C27798">
        <f>ROMAN(27797)</f>
        <v/>
      </c>
      <c r="D27798">
        <f>IF(B27798=C27798, "YES", "WRONG")</f>
        <v/>
      </c>
    </row>
    <row r="27799">
      <c r="A27799" t="n">
        <v>27798</v>
      </c>
      <c r="B27799" t="inlineStr">
        <is>
          <t>x̄x̄V̅MMDCCXCVIII</t>
        </is>
      </c>
      <c r="C27799">
        <f>ROMAN(27798)</f>
        <v/>
      </c>
      <c r="D27799">
        <f>IF(B27799=C27799, "YES", "WRONG")</f>
        <v/>
      </c>
    </row>
    <row r="27800">
      <c r="A27800" t="n">
        <v>27799</v>
      </c>
      <c r="B27800" t="inlineStr">
        <is>
          <t>x̄x̄V̅MMDCCXCIX</t>
        </is>
      </c>
      <c r="C27800">
        <f>ROMAN(27799)</f>
        <v/>
      </c>
      <c r="D27800">
        <f>IF(B27800=C27800, "YES", "WRONG")</f>
        <v/>
      </c>
    </row>
    <row r="27801">
      <c r="A27801" t="n">
        <v>27800</v>
      </c>
      <c r="B27801" t="inlineStr">
        <is>
          <t>x̄x̄V̅MMDCCC</t>
        </is>
      </c>
      <c r="C27801">
        <f>ROMAN(27800)</f>
        <v/>
      </c>
      <c r="D27801">
        <f>IF(B27801=C27801, "YES", "WRONG")</f>
        <v/>
      </c>
    </row>
    <row r="27802">
      <c r="A27802" t="n">
        <v>27801</v>
      </c>
      <c r="B27802" t="inlineStr">
        <is>
          <t>x̄x̄V̅MMDCCCI</t>
        </is>
      </c>
      <c r="C27802">
        <f>ROMAN(27801)</f>
        <v/>
      </c>
      <c r="D27802">
        <f>IF(B27802=C27802, "YES", "WRONG")</f>
        <v/>
      </c>
    </row>
    <row r="27803">
      <c r="A27803" t="n">
        <v>27802</v>
      </c>
      <c r="B27803" t="inlineStr">
        <is>
          <t>x̄x̄V̅MMDCCCII</t>
        </is>
      </c>
      <c r="C27803">
        <f>ROMAN(27802)</f>
        <v/>
      </c>
      <c r="D27803">
        <f>IF(B27803=C27803, "YES", "WRONG")</f>
        <v/>
      </c>
    </row>
    <row r="27804">
      <c r="A27804" t="n">
        <v>27803</v>
      </c>
      <c r="B27804" t="inlineStr">
        <is>
          <t>x̄x̄V̅MMDCCCIII</t>
        </is>
      </c>
      <c r="C27804">
        <f>ROMAN(27803)</f>
        <v/>
      </c>
      <c r="D27804">
        <f>IF(B27804=C27804, "YES", "WRONG")</f>
        <v/>
      </c>
    </row>
    <row r="27805">
      <c r="A27805" t="n">
        <v>27804</v>
      </c>
      <c r="B27805" t="inlineStr">
        <is>
          <t>x̄x̄V̅MMDCCCIV</t>
        </is>
      </c>
      <c r="C27805">
        <f>ROMAN(27804)</f>
        <v/>
      </c>
      <c r="D27805">
        <f>IF(B27805=C27805, "YES", "WRONG")</f>
        <v/>
      </c>
    </row>
    <row r="27806">
      <c r="A27806" t="n">
        <v>27805</v>
      </c>
      <c r="B27806" t="inlineStr">
        <is>
          <t>x̄x̄V̅MMDCCCV</t>
        </is>
      </c>
      <c r="C27806">
        <f>ROMAN(27805)</f>
        <v/>
      </c>
      <c r="D27806">
        <f>IF(B27806=C27806, "YES", "WRONG")</f>
        <v/>
      </c>
    </row>
    <row r="27807">
      <c r="A27807" t="n">
        <v>27806</v>
      </c>
      <c r="B27807" t="inlineStr">
        <is>
          <t>x̄x̄V̅MMDCCCVI</t>
        </is>
      </c>
      <c r="C27807">
        <f>ROMAN(27806)</f>
        <v/>
      </c>
      <c r="D27807">
        <f>IF(B27807=C27807, "YES", "WRONG")</f>
        <v/>
      </c>
    </row>
    <row r="27808">
      <c r="A27808" t="n">
        <v>27807</v>
      </c>
      <c r="B27808" t="inlineStr">
        <is>
          <t>x̄x̄V̅MMDCCCVII</t>
        </is>
      </c>
      <c r="C27808">
        <f>ROMAN(27807)</f>
        <v/>
      </c>
      <c r="D27808">
        <f>IF(B27808=C27808, "YES", "WRONG")</f>
        <v/>
      </c>
    </row>
    <row r="27809">
      <c r="A27809" t="n">
        <v>27808</v>
      </c>
      <c r="B27809" t="inlineStr">
        <is>
          <t>x̄x̄V̅MMDCCCVIII</t>
        </is>
      </c>
      <c r="C27809">
        <f>ROMAN(27808)</f>
        <v/>
      </c>
      <c r="D27809">
        <f>IF(B27809=C27809, "YES", "WRONG")</f>
        <v/>
      </c>
    </row>
    <row r="27810">
      <c r="A27810" t="n">
        <v>27809</v>
      </c>
      <c r="B27810" t="inlineStr">
        <is>
          <t>x̄x̄V̅MMDCCCIX</t>
        </is>
      </c>
      <c r="C27810">
        <f>ROMAN(27809)</f>
        <v/>
      </c>
      <c r="D27810">
        <f>IF(B27810=C27810, "YES", "WRONG")</f>
        <v/>
      </c>
    </row>
    <row r="27811">
      <c r="A27811" t="n">
        <v>27810</v>
      </c>
      <c r="B27811" t="inlineStr">
        <is>
          <t>x̄x̄V̅MMDCCCX</t>
        </is>
      </c>
      <c r="C27811">
        <f>ROMAN(27810)</f>
        <v/>
      </c>
      <c r="D27811">
        <f>IF(B27811=C27811, "YES", "WRONG")</f>
        <v/>
      </c>
    </row>
    <row r="27812">
      <c r="A27812" t="n">
        <v>27811</v>
      </c>
      <c r="B27812" t="inlineStr">
        <is>
          <t>x̄x̄V̅MMDCCCXI</t>
        </is>
      </c>
      <c r="C27812">
        <f>ROMAN(27811)</f>
        <v/>
      </c>
      <c r="D27812">
        <f>IF(B27812=C27812, "YES", "WRONG")</f>
        <v/>
      </c>
    </row>
    <row r="27813">
      <c r="A27813" t="n">
        <v>27812</v>
      </c>
      <c r="B27813" t="inlineStr">
        <is>
          <t>x̄x̄V̅MMDCCCXII</t>
        </is>
      </c>
      <c r="C27813">
        <f>ROMAN(27812)</f>
        <v/>
      </c>
      <c r="D27813">
        <f>IF(B27813=C27813, "YES", "WRONG")</f>
        <v/>
      </c>
    </row>
    <row r="27814">
      <c r="A27814" t="n">
        <v>27813</v>
      </c>
      <c r="B27814" t="inlineStr">
        <is>
          <t>x̄x̄V̅MMDCCCXIII</t>
        </is>
      </c>
      <c r="C27814">
        <f>ROMAN(27813)</f>
        <v/>
      </c>
      <c r="D27814">
        <f>IF(B27814=C27814, "YES", "WRONG")</f>
        <v/>
      </c>
    </row>
    <row r="27815">
      <c r="A27815" t="n">
        <v>27814</v>
      </c>
      <c r="B27815" t="inlineStr">
        <is>
          <t>x̄x̄V̅MMDCCCXIV</t>
        </is>
      </c>
      <c r="C27815">
        <f>ROMAN(27814)</f>
        <v/>
      </c>
      <c r="D27815">
        <f>IF(B27815=C27815, "YES", "WRONG")</f>
        <v/>
      </c>
    </row>
    <row r="27816">
      <c r="A27816" t="n">
        <v>27815</v>
      </c>
      <c r="B27816" t="inlineStr">
        <is>
          <t>x̄x̄V̅MMDCCCXV</t>
        </is>
      </c>
      <c r="C27816">
        <f>ROMAN(27815)</f>
        <v/>
      </c>
      <c r="D27816">
        <f>IF(B27816=C27816, "YES", "WRONG")</f>
        <v/>
      </c>
    </row>
    <row r="27817">
      <c r="A27817" t="n">
        <v>27816</v>
      </c>
      <c r="B27817" t="inlineStr">
        <is>
          <t>x̄x̄V̅MMDCCCXVI</t>
        </is>
      </c>
      <c r="C27817">
        <f>ROMAN(27816)</f>
        <v/>
      </c>
      <c r="D27817">
        <f>IF(B27817=C27817, "YES", "WRONG")</f>
        <v/>
      </c>
    </row>
    <row r="27818">
      <c r="A27818" t="n">
        <v>27817</v>
      </c>
      <c r="B27818" t="inlineStr">
        <is>
          <t>x̄x̄V̅MMDCCCXVII</t>
        </is>
      </c>
      <c r="C27818">
        <f>ROMAN(27817)</f>
        <v/>
      </c>
      <c r="D27818">
        <f>IF(B27818=C27818, "YES", "WRONG")</f>
        <v/>
      </c>
    </row>
    <row r="27819">
      <c r="A27819" t="n">
        <v>27818</v>
      </c>
      <c r="B27819" t="inlineStr">
        <is>
          <t>x̄x̄V̅MMDCCCXVIII</t>
        </is>
      </c>
      <c r="C27819">
        <f>ROMAN(27818)</f>
        <v/>
      </c>
      <c r="D27819">
        <f>IF(B27819=C27819, "YES", "WRONG")</f>
        <v/>
      </c>
    </row>
    <row r="27820">
      <c r="A27820" t="n">
        <v>27819</v>
      </c>
      <c r="B27820" t="inlineStr">
        <is>
          <t>x̄x̄V̅MMDCCCXIX</t>
        </is>
      </c>
      <c r="C27820">
        <f>ROMAN(27819)</f>
        <v/>
      </c>
      <c r="D27820">
        <f>IF(B27820=C27820, "YES", "WRONG")</f>
        <v/>
      </c>
    </row>
    <row r="27821">
      <c r="A27821" t="n">
        <v>27820</v>
      </c>
      <c r="B27821" t="inlineStr">
        <is>
          <t>x̄x̄V̅MMDCCCXX</t>
        </is>
      </c>
      <c r="C27821">
        <f>ROMAN(27820)</f>
        <v/>
      </c>
      <c r="D27821">
        <f>IF(B27821=C27821, "YES", "WRONG")</f>
        <v/>
      </c>
    </row>
    <row r="27822">
      <c r="A27822" t="n">
        <v>27821</v>
      </c>
      <c r="B27822" t="inlineStr">
        <is>
          <t>x̄x̄V̅MMDCCCXXI</t>
        </is>
      </c>
      <c r="C27822">
        <f>ROMAN(27821)</f>
        <v/>
      </c>
      <c r="D27822">
        <f>IF(B27822=C27822, "YES", "WRONG")</f>
        <v/>
      </c>
    </row>
    <row r="27823">
      <c r="A27823" t="n">
        <v>27822</v>
      </c>
      <c r="B27823" t="inlineStr">
        <is>
          <t>x̄x̄V̅MMDCCCXXII</t>
        </is>
      </c>
      <c r="C27823">
        <f>ROMAN(27822)</f>
        <v/>
      </c>
      <c r="D27823">
        <f>IF(B27823=C27823, "YES", "WRONG")</f>
        <v/>
      </c>
    </row>
    <row r="27824">
      <c r="A27824" t="n">
        <v>27823</v>
      </c>
      <c r="B27824" t="inlineStr">
        <is>
          <t>x̄x̄V̅MMDCCCXXIII</t>
        </is>
      </c>
      <c r="C27824">
        <f>ROMAN(27823)</f>
        <v/>
      </c>
      <c r="D27824">
        <f>IF(B27824=C27824, "YES", "WRONG")</f>
        <v/>
      </c>
    </row>
    <row r="27825">
      <c r="A27825" t="n">
        <v>27824</v>
      </c>
      <c r="B27825" t="inlineStr">
        <is>
          <t>x̄x̄V̅MMDCCCXXIV</t>
        </is>
      </c>
      <c r="C27825">
        <f>ROMAN(27824)</f>
        <v/>
      </c>
      <c r="D27825">
        <f>IF(B27825=C27825, "YES", "WRONG")</f>
        <v/>
      </c>
    </row>
    <row r="27826">
      <c r="A27826" t="n">
        <v>27825</v>
      </c>
      <c r="B27826" t="inlineStr">
        <is>
          <t>x̄x̄V̅MMDCCCXXV</t>
        </is>
      </c>
      <c r="C27826">
        <f>ROMAN(27825)</f>
        <v/>
      </c>
      <c r="D27826">
        <f>IF(B27826=C27826, "YES", "WRONG")</f>
        <v/>
      </c>
    </row>
    <row r="27827">
      <c r="A27827" t="n">
        <v>27826</v>
      </c>
      <c r="B27827" t="inlineStr">
        <is>
          <t>x̄x̄V̅MMDCCCXXVI</t>
        </is>
      </c>
      <c r="C27827">
        <f>ROMAN(27826)</f>
        <v/>
      </c>
      <c r="D27827">
        <f>IF(B27827=C27827, "YES", "WRONG")</f>
        <v/>
      </c>
    </row>
    <row r="27828">
      <c r="A27828" t="n">
        <v>27827</v>
      </c>
      <c r="B27828" t="inlineStr">
        <is>
          <t>x̄x̄V̅MMDCCCXXVII</t>
        </is>
      </c>
      <c r="C27828">
        <f>ROMAN(27827)</f>
        <v/>
      </c>
      <c r="D27828">
        <f>IF(B27828=C27828, "YES", "WRONG")</f>
        <v/>
      </c>
    </row>
    <row r="27829">
      <c r="A27829" t="n">
        <v>27828</v>
      </c>
      <c r="B27829" t="inlineStr">
        <is>
          <t>x̄x̄V̅MMDCCCXXVIII</t>
        </is>
      </c>
      <c r="C27829">
        <f>ROMAN(27828)</f>
        <v/>
      </c>
      <c r="D27829">
        <f>IF(B27829=C27829, "YES", "WRONG")</f>
        <v/>
      </c>
    </row>
    <row r="27830">
      <c r="A27830" t="n">
        <v>27829</v>
      </c>
      <c r="B27830" t="inlineStr">
        <is>
          <t>x̄x̄V̅MMDCCCXXIX</t>
        </is>
      </c>
      <c r="C27830">
        <f>ROMAN(27829)</f>
        <v/>
      </c>
      <c r="D27830">
        <f>IF(B27830=C27830, "YES", "WRONG")</f>
        <v/>
      </c>
    </row>
    <row r="27831">
      <c r="A27831" t="n">
        <v>27830</v>
      </c>
      <c r="B27831" t="inlineStr">
        <is>
          <t>x̄x̄V̅MMDCCCXXX</t>
        </is>
      </c>
      <c r="C27831">
        <f>ROMAN(27830)</f>
        <v/>
      </c>
      <c r="D27831">
        <f>IF(B27831=C27831, "YES", "WRONG")</f>
        <v/>
      </c>
    </row>
    <row r="27832">
      <c r="A27832" t="n">
        <v>27831</v>
      </c>
      <c r="B27832" t="inlineStr">
        <is>
          <t>x̄x̄V̅MMDCCCXXXI</t>
        </is>
      </c>
      <c r="C27832">
        <f>ROMAN(27831)</f>
        <v/>
      </c>
      <c r="D27832">
        <f>IF(B27832=C27832, "YES", "WRONG")</f>
        <v/>
      </c>
    </row>
    <row r="27833">
      <c r="A27833" t="n">
        <v>27832</v>
      </c>
      <c r="B27833" t="inlineStr">
        <is>
          <t>x̄x̄V̅MMDCCCXXXII</t>
        </is>
      </c>
      <c r="C27833">
        <f>ROMAN(27832)</f>
        <v/>
      </c>
      <c r="D27833">
        <f>IF(B27833=C27833, "YES", "WRONG")</f>
        <v/>
      </c>
    </row>
    <row r="27834">
      <c r="A27834" t="n">
        <v>27833</v>
      </c>
      <c r="B27834" t="inlineStr">
        <is>
          <t>x̄x̄V̅MMDCCCXXXIII</t>
        </is>
      </c>
      <c r="C27834">
        <f>ROMAN(27833)</f>
        <v/>
      </c>
      <c r="D27834">
        <f>IF(B27834=C27834, "YES", "WRONG")</f>
        <v/>
      </c>
    </row>
    <row r="27835">
      <c r="A27835" t="n">
        <v>27834</v>
      </c>
      <c r="B27835" t="inlineStr">
        <is>
          <t>x̄x̄V̅MMDCCCXXXIV</t>
        </is>
      </c>
      <c r="C27835">
        <f>ROMAN(27834)</f>
        <v/>
      </c>
      <c r="D27835">
        <f>IF(B27835=C27835, "YES", "WRONG")</f>
        <v/>
      </c>
    </row>
    <row r="27836">
      <c r="A27836" t="n">
        <v>27835</v>
      </c>
      <c r="B27836" t="inlineStr">
        <is>
          <t>x̄x̄V̅MMDCCCXXXV</t>
        </is>
      </c>
      <c r="C27836">
        <f>ROMAN(27835)</f>
        <v/>
      </c>
      <c r="D27836">
        <f>IF(B27836=C27836, "YES", "WRONG")</f>
        <v/>
      </c>
    </row>
    <row r="27837">
      <c r="A27837" t="n">
        <v>27836</v>
      </c>
      <c r="B27837" t="inlineStr">
        <is>
          <t>x̄x̄V̅MMDCCCXXXVI</t>
        </is>
      </c>
      <c r="C27837">
        <f>ROMAN(27836)</f>
        <v/>
      </c>
      <c r="D27837">
        <f>IF(B27837=C27837, "YES", "WRONG")</f>
        <v/>
      </c>
    </row>
    <row r="27838">
      <c r="A27838" t="n">
        <v>27837</v>
      </c>
      <c r="B27838" t="inlineStr">
        <is>
          <t>x̄x̄V̅MMDCCCXXXVII</t>
        </is>
      </c>
      <c r="C27838">
        <f>ROMAN(27837)</f>
        <v/>
      </c>
      <c r="D27838">
        <f>IF(B27838=C27838, "YES", "WRONG")</f>
        <v/>
      </c>
    </row>
    <row r="27839">
      <c r="A27839" t="n">
        <v>27838</v>
      </c>
      <c r="B27839" t="inlineStr">
        <is>
          <t>x̄x̄V̅MMDCCCXXXVIII</t>
        </is>
      </c>
      <c r="C27839">
        <f>ROMAN(27838)</f>
        <v/>
      </c>
      <c r="D27839">
        <f>IF(B27839=C27839, "YES", "WRONG")</f>
        <v/>
      </c>
    </row>
    <row r="27840">
      <c r="A27840" t="n">
        <v>27839</v>
      </c>
      <c r="B27840" t="inlineStr">
        <is>
          <t>x̄x̄V̅MMDCCCXXXIX</t>
        </is>
      </c>
      <c r="C27840">
        <f>ROMAN(27839)</f>
        <v/>
      </c>
      <c r="D27840">
        <f>IF(B27840=C27840, "YES", "WRONG")</f>
        <v/>
      </c>
    </row>
    <row r="27841">
      <c r="A27841" t="n">
        <v>27840</v>
      </c>
      <c r="B27841" t="inlineStr">
        <is>
          <t>x̄x̄V̅MMDCCCXL</t>
        </is>
      </c>
      <c r="C27841">
        <f>ROMAN(27840)</f>
        <v/>
      </c>
      <c r="D27841">
        <f>IF(B27841=C27841, "YES", "WRONG")</f>
        <v/>
      </c>
    </row>
    <row r="27842">
      <c r="A27842" t="n">
        <v>27841</v>
      </c>
      <c r="B27842" t="inlineStr">
        <is>
          <t>x̄x̄V̅MMDCCCXLI</t>
        </is>
      </c>
      <c r="C27842">
        <f>ROMAN(27841)</f>
        <v/>
      </c>
      <c r="D27842">
        <f>IF(B27842=C27842, "YES", "WRONG")</f>
        <v/>
      </c>
    </row>
    <row r="27843">
      <c r="A27843" t="n">
        <v>27842</v>
      </c>
      <c r="B27843" t="inlineStr">
        <is>
          <t>x̄x̄V̅MMDCCCXLII</t>
        </is>
      </c>
      <c r="C27843">
        <f>ROMAN(27842)</f>
        <v/>
      </c>
      <c r="D27843">
        <f>IF(B27843=C27843, "YES", "WRONG")</f>
        <v/>
      </c>
    </row>
    <row r="27844">
      <c r="A27844" t="n">
        <v>27843</v>
      </c>
      <c r="B27844" t="inlineStr">
        <is>
          <t>x̄x̄V̅MMDCCCXLIII</t>
        </is>
      </c>
      <c r="C27844">
        <f>ROMAN(27843)</f>
        <v/>
      </c>
      <c r="D27844">
        <f>IF(B27844=C27844, "YES", "WRONG")</f>
        <v/>
      </c>
    </row>
    <row r="27845">
      <c r="A27845" t="n">
        <v>27844</v>
      </c>
      <c r="B27845" t="inlineStr">
        <is>
          <t>x̄x̄V̅MMDCCCXLIV</t>
        </is>
      </c>
      <c r="C27845">
        <f>ROMAN(27844)</f>
        <v/>
      </c>
      <c r="D27845">
        <f>IF(B27845=C27845, "YES", "WRONG")</f>
        <v/>
      </c>
    </row>
    <row r="27846">
      <c r="A27846" t="n">
        <v>27845</v>
      </c>
      <c r="B27846" t="inlineStr">
        <is>
          <t>x̄x̄V̅MMDCCCXLV</t>
        </is>
      </c>
      <c r="C27846">
        <f>ROMAN(27845)</f>
        <v/>
      </c>
      <c r="D27846">
        <f>IF(B27846=C27846, "YES", "WRONG")</f>
        <v/>
      </c>
    </row>
    <row r="27847">
      <c r="A27847" t="n">
        <v>27846</v>
      </c>
      <c r="B27847" t="inlineStr">
        <is>
          <t>x̄x̄V̅MMDCCCXLVI</t>
        </is>
      </c>
      <c r="C27847">
        <f>ROMAN(27846)</f>
        <v/>
      </c>
      <c r="D27847">
        <f>IF(B27847=C27847, "YES", "WRONG")</f>
        <v/>
      </c>
    </row>
    <row r="27848">
      <c r="A27848" t="n">
        <v>27847</v>
      </c>
      <c r="B27848" t="inlineStr">
        <is>
          <t>x̄x̄V̅MMDCCCXLVII</t>
        </is>
      </c>
      <c r="C27848">
        <f>ROMAN(27847)</f>
        <v/>
      </c>
      <c r="D27848">
        <f>IF(B27848=C27848, "YES", "WRONG")</f>
        <v/>
      </c>
    </row>
    <row r="27849">
      <c r="A27849" t="n">
        <v>27848</v>
      </c>
      <c r="B27849" t="inlineStr">
        <is>
          <t>x̄x̄V̅MMDCCCXLVIII</t>
        </is>
      </c>
      <c r="C27849">
        <f>ROMAN(27848)</f>
        <v/>
      </c>
      <c r="D27849">
        <f>IF(B27849=C27849, "YES", "WRONG")</f>
        <v/>
      </c>
    </row>
    <row r="27850">
      <c r="A27850" t="n">
        <v>27849</v>
      </c>
      <c r="B27850" t="inlineStr">
        <is>
          <t>x̄x̄V̅MMDCCCXLIX</t>
        </is>
      </c>
      <c r="C27850">
        <f>ROMAN(27849)</f>
        <v/>
      </c>
      <c r="D27850">
        <f>IF(B27850=C27850, "YES", "WRONG")</f>
        <v/>
      </c>
    </row>
    <row r="27851">
      <c r="A27851" t="n">
        <v>27850</v>
      </c>
      <c r="B27851" t="inlineStr">
        <is>
          <t>x̄x̄V̅MMDCCCL</t>
        </is>
      </c>
      <c r="C27851">
        <f>ROMAN(27850)</f>
        <v/>
      </c>
      <c r="D27851">
        <f>IF(B27851=C27851, "YES", "WRONG")</f>
        <v/>
      </c>
    </row>
    <row r="27852">
      <c r="A27852" t="n">
        <v>27851</v>
      </c>
      <c r="B27852" t="inlineStr">
        <is>
          <t>x̄x̄V̅MMDCCCLI</t>
        </is>
      </c>
      <c r="C27852">
        <f>ROMAN(27851)</f>
        <v/>
      </c>
      <c r="D27852">
        <f>IF(B27852=C27852, "YES", "WRONG")</f>
        <v/>
      </c>
    </row>
    <row r="27853">
      <c r="A27853" t="n">
        <v>27852</v>
      </c>
      <c r="B27853" t="inlineStr">
        <is>
          <t>x̄x̄V̅MMDCCCLII</t>
        </is>
      </c>
      <c r="C27853">
        <f>ROMAN(27852)</f>
        <v/>
      </c>
      <c r="D27853">
        <f>IF(B27853=C27853, "YES", "WRONG")</f>
        <v/>
      </c>
    </row>
    <row r="27854">
      <c r="A27854" t="n">
        <v>27853</v>
      </c>
      <c r="B27854" t="inlineStr">
        <is>
          <t>x̄x̄V̅MMDCCCLIII</t>
        </is>
      </c>
      <c r="C27854">
        <f>ROMAN(27853)</f>
        <v/>
      </c>
      <c r="D27854">
        <f>IF(B27854=C27854, "YES", "WRONG")</f>
        <v/>
      </c>
    </row>
    <row r="27855">
      <c r="A27855" t="n">
        <v>27854</v>
      </c>
      <c r="B27855" t="inlineStr">
        <is>
          <t>x̄x̄V̅MMDCCCLIV</t>
        </is>
      </c>
      <c r="C27855">
        <f>ROMAN(27854)</f>
        <v/>
      </c>
      <c r="D27855">
        <f>IF(B27855=C27855, "YES", "WRONG")</f>
        <v/>
      </c>
    </row>
    <row r="27856">
      <c r="A27856" t="n">
        <v>27855</v>
      </c>
      <c r="B27856" t="inlineStr">
        <is>
          <t>x̄x̄V̅MMDCCCLV</t>
        </is>
      </c>
      <c r="C27856">
        <f>ROMAN(27855)</f>
        <v/>
      </c>
      <c r="D27856">
        <f>IF(B27856=C27856, "YES", "WRONG")</f>
        <v/>
      </c>
    </row>
    <row r="27857">
      <c r="A27857" t="n">
        <v>27856</v>
      </c>
      <c r="B27857" t="inlineStr">
        <is>
          <t>x̄x̄V̅MMDCCCLVI</t>
        </is>
      </c>
      <c r="C27857">
        <f>ROMAN(27856)</f>
        <v/>
      </c>
      <c r="D27857">
        <f>IF(B27857=C27857, "YES", "WRONG")</f>
        <v/>
      </c>
    </row>
    <row r="27858">
      <c r="A27858" t="n">
        <v>27857</v>
      </c>
      <c r="B27858" t="inlineStr">
        <is>
          <t>x̄x̄V̅MMDCCCLVII</t>
        </is>
      </c>
      <c r="C27858">
        <f>ROMAN(27857)</f>
        <v/>
      </c>
      <c r="D27858">
        <f>IF(B27858=C27858, "YES", "WRONG")</f>
        <v/>
      </c>
    </row>
    <row r="27859">
      <c r="A27859" t="n">
        <v>27858</v>
      </c>
      <c r="B27859" t="inlineStr">
        <is>
          <t>x̄x̄V̅MMDCCCLVIII</t>
        </is>
      </c>
      <c r="C27859">
        <f>ROMAN(27858)</f>
        <v/>
      </c>
      <c r="D27859">
        <f>IF(B27859=C27859, "YES", "WRONG")</f>
        <v/>
      </c>
    </row>
    <row r="27860">
      <c r="A27860" t="n">
        <v>27859</v>
      </c>
      <c r="B27860" t="inlineStr">
        <is>
          <t>x̄x̄V̅MMDCCCLIX</t>
        </is>
      </c>
      <c r="C27860">
        <f>ROMAN(27859)</f>
        <v/>
      </c>
      <c r="D27860">
        <f>IF(B27860=C27860, "YES", "WRONG")</f>
        <v/>
      </c>
    </row>
    <row r="27861">
      <c r="A27861" t="n">
        <v>27860</v>
      </c>
      <c r="B27861" t="inlineStr">
        <is>
          <t>x̄x̄V̅MMDCCCLX</t>
        </is>
      </c>
      <c r="C27861">
        <f>ROMAN(27860)</f>
        <v/>
      </c>
      <c r="D27861">
        <f>IF(B27861=C27861, "YES", "WRONG")</f>
        <v/>
      </c>
    </row>
    <row r="27862">
      <c r="A27862" t="n">
        <v>27861</v>
      </c>
      <c r="B27862" t="inlineStr">
        <is>
          <t>x̄x̄V̅MMDCCCLXI</t>
        </is>
      </c>
      <c r="C27862">
        <f>ROMAN(27861)</f>
        <v/>
      </c>
      <c r="D27862">
        <f>IF(B27862=C27862, "YES", "WRONG")</f>
        <v/>
      </c>
    </row>
    <row r="27863">
      <c r="A27863" t="n">
        <v>27862</v>
      </c>
      <c r="B27863" t="inlineStr">
        <is>
          <t>x̄x̄V̅MMDCCCLXII</t>
        </is>
      </c>
      <c r="C27863">
        <f>ROMAN(27862)</f>
        <v/>
      </c>
      <c r="D27863">
        <f>IF(B27863=C27863, "YES", "WRONG")</f>
        <v/>
      </c>
    </row>
    <row r="27864">
      <c r="A27864" t="n">
        <v>27863</v>
      </c>
      <c r="B27864" t="inlineStr">
        <is>
          <t>x̄x̄V̅MMDCCCLXIII</t>
        </is>
      </c>
      <c r="C27864">
        <f>ROMAN(27863)</f>
        <v/>
      </c>
      <c r="D27864">
        <f>IF(B27864=C27864, "YES", "WRONG")</f>
        <v/>
      </c>
    </row>
    <row r="27865">
      <c r="A27865" t="n">
        <v>27864</v>
      </c>
      <c r="B27865" t="inlineStr">
        <is>
          <t>x̄x̄V̅MMDCCCLXIV</t>
        </is>
      </c>
      <c r="C27865">
        <f>ROMAN(27864)</f>
        <v/>
      </c>
      <c r="D27865">
        <f>IF(B27865=C27865, "YES", "WRONG")</f>
        <v/>
      </c>
    </row>
    <row r="27866">
      <c r="A27866" t="n">
        <v>27865</v>
      </c>
      <c r="B27866" t="inlineStr">
        <is>
          <t>x̄x̄V̅MMDCCCLXV</t>
        </is>
      </c>
      <c r="C27866">
        <f>ROMAN(27865)</f>
        <v/>
      </c>
      <c r="D27866">
        <f>IF(B27866=C27866, "YES", "WRONG")</f>
        <v/>
      </c>
    </row>
    <row r="27867">
      <c r="A27867" t="n">
        <v>27866</v>
      </c>
      <c r="B27867" t="inlineStr">
        <is>
          <t>x̄x̄V̅MMDCCCLXVI</t>
        </is>
      </c>
      <c r="C27867">
        <f>ROMAN(27866)</f>
        <v/>
      </c>
      <c r="D27867">
        <f>IF(B27867=C27867, "YES", "WRONG")</f>
        <v/>
      </c>
    </row>
    <row r="27868">
      <c r="A27868" t="n">
        <v>27867</v>
      </c>
      <c r="B27868" t="inlineStr">
        <is>
          <t>x̄x̄V̅MMDCCCLXVII</t>
        </is>
      </c>
      <c r="C27868">
        <f>ROMAN(27867)</f>
        <v/>
      </c>
      <c r="D27868">
        <f>IF(B27868=C27868, "YES", "WRONG")</f>
        <v/>
      </c>
    </row>
    <row r="27869">
      <c r="A27869" t="n">
        <v>27868</v>
      </c>
      <c r="B27869" t="inlineStr">
        <is>
          <t>x̄x̄V̅MMDCCCLXVIII</t>
        </is>
      </c>
      <c r="C27869">
        <f>ROMAN(27868)</f>
        <v/>
      </c>
      <c r="D27869">
        <f>IF(B27869=C27869, "YES", "WRONG")</f>
        <v/>
      </c>
    </row>
    <row r="27870">
      <c r="A27870" t="n">
        <v>27869</v>
      </c>
      <c r="B27870" t="inlineStr">
        <is>
          <t>x̄x̄V̅MMDCCCLXIX</t>
        </is>
      </c>
      <c r="C27870">
        <f>ROMAN(27869)</f>
        <v/>
      </c>
      <c r="D27870">
        <f>IF(B27870=C27870, "YES", "WRONG")</f>
        <v/>
      </c>
    </row>
    <row r="27871">
      <c r="A27871" t="n">
        <v>27870</v>
      </c>
      <c r="B27871" t="inlineStr">
        <is>
          <t>x̄x̄V̅MMDCCCLXX</t>
        </is>
      </c>
      <c r="C27871">
        <f>ROMAN(27870)</f>
        <v/>
      </c>
      <c r="D27871">
        <f>IF(B27871=C27871, "YES", "WRONG")</f>
        <v/>
      </c>
    </row>
    <row r="27872">
      <c r="A27872" t="n">
        <v>27871</v>
      </c>
      <c r="B27872" t="inlineStr">
        <is>
          <t>x̄x̄V̅MMDCCCLXXI</t>
        </is>
      </c>
      <c r="C27872">
        <f>ROMAN(27871)</f>
        <v/>
      </c>
      <c r="D27872">
        <f>IF(B27872=C27872, "YES", "WRONG")</f>
        <v/>
      </c>
    </row>
    <row r="27873">
      <c r="A27873" t="n">
        <v>27872</v>
      </c>
      <c r="B27873" t="inlineStr">
        <is>
          <t>x̄x̄V̅MMDCCCLXXII</t>
        </is>
      </c>
      <c r="C27873">
        <f>ROMAN(27872)</f>
        <v/>
      </c>
      <c r="D27873">
        <f>IF(B27873=C27873, "YES", "WRONG")</f>
        <v/>
      </c>
    </row>
    <row r="27874">
      <c r="A27874" t="n">
        <v>27873</v>
      </c>
      <c r="B27874" t="inlineStr">
        <is>
          <t>x̄x̄V̅MMDCCCLXXIII</t>
        </is>
      </c>
      <c r="C27874">
        <f>ROMAN(27873)</f>
        <v/>
      </c>
      <c r="D27874">
        <f>IF(B27874=C27874, "YES", "WRONG")</f>
        <v/>
      </c>
    </row>
    <row r="27875">
      <c r="A27875" t="n">
        <v>27874</v>
      </c>
      <c r="B27875" t="inlineStr">
        <is>
          <t>x̄x̄V̅MMDCCCLXXIV</t>
        </is>
      </c>
      <c r="C27875">
        <f>ROMAN(27874)</f>
        <v/>
      </c>
      <c r="D27875">
        <f>IF(B27875=C27875, "YES", "WRONG")</f>
        <v/>
      </c>
    </row>
    <row r="27876">
      <c r="A27876" t="n">
        <v>27875</v>
      </c>
      <c r="B27876" t="inlineStr">
        <is>
          <t>x̄x̄V̅MMDCCCLXXV</t>
        </is>
      </c>
      <c r="C27876">
        <f>ROMAN(27875)</f>
        <v/>
      </c>
      <c r="D27876">
        <f>IF(B27876=C27876, "YES", "WRONG")</f>
        <v/>
      </c>
    </row>
    <row r="27877">
      <c r="A27877" t="n">
        <v>27876</v>
      </c>
      <c r="B27877" t="inlineStr">
        <is>
          <t>x̄x̄V̅MMDCCCLXXVI</t>
        </is>
      </c>
      <c r="C27877">
        <f>ROMAN(27876)</f>
        <v/>
      </c>
      <c r="D27877">
        <f>IF(B27877=C27877, "YES", "WRONG")</f>
        <v/>
      </c>
    </row>
    <row r="27878">
      <c r="A27878" t="n">
        <v>27877</v>
      </c>
      <c r="B27878" t="inlineStr">
        <is>
          <t>x̄x̄V̅MMDCCCLXXVII</t>
        </is>
      </c>
      <c r="C27878">
        <f>ROMAN(27877)</f>
        <v/>
      </c>
      <c r="D27878">
        <f>IF(B27878=C27878, "YES", "WRONG")</f>
        <v/>
      </c>
    </row>
    <row r="27879">
      <c r="A27879" t="n">
        <v>27878</v>
      </c>
      <c r="B27879" t="inlineStr">
        <is>
          <t>x̄x̄V̅MMDCCCLXXVIII</t>
        </is>
      </c>
      <c r="C27879">
        <f>ROMAN(27878)</f>
        <v/>
      </c>
      <c r="D27879">
        <f>IF(B27879=C27879, "YES", "WRONG")</f>
        <v/>
      </c>
    </row>
    <row r="27880">
      <c r="A27880" t="n">
        <v>27879</v>
      </c>
      <c r="B27880" t="inlineStr">
        <is>
          <t>x̄x̄V̅MMDCCCLXXIX</t>
        </is>
      </c>
      <c r="C27880">
        <f>ROMAN(27879)</f>
        <v/>
      </c>
      <c r="D27880">
        <f>IF(B27880=C27880, "YES", "WRONG")</f>
        <v/>
      </c>
    </row>
    <row r="27881">
      <c r="A27881" t="n">
        <v>27880</v>
      </c>
      <c r="B27881" t="inlineStr">
        <is>
          <t>x̄x̄V̅MMDCCCLXXX</t>
        </is>
      </c>
      <c r="C27881">
        <f>ROMAN(27880)</f>
        <v/>
      </c>
      <c r="D27881">
        <f>IF(B27881=C27881, "YES", "WRONG")</f>
        <v/>
      </c>
    </row>
    <row r="27882">
      <c r="A27882" t="n">
        <v>27881</v>
      </c>
      <c r="B27882" t="inlineStr">
        <is>
          <t>x̄x̄V̅MMDCCCLXXXI</t>
        </is>
      </c>
      <c r="C27882">
        <f>ROMAN(27881)</f>
        <v/>
      </c>
      <c r="D27882">
        <f>IF(B27882=C27882, "YES", "WRONG")</f>
        <v/>
      </c>
    </row>
    <row r="27883">
      <c r="A27883" t="n">
        <v>27882</v>
      </c>
      <c r="B27883" t="inlineStr">
        <is>
          <t>x̄x̄V̅MMDCCCLXXXII</t>
        </is>
      </c>
      <c r="C27883">
        <f>ROMAN(27882)</f>
        <v/>
      </c>
      <c r="D27883">
        <f>IF(B27883=C27883, "YES", "WRONG")</f>
        <v/>
      </c>
    </row>
    <row r="27884">
      <c r="A27884" t="n">
        <v>27883</v>
      </c>
      <c r="B27884" t="inlineStr">
        <is>
          <t>x̄x̄V̅MMDCCCLXXXIII</t>
        </is>
      </c>
      <c r="C27884">
        <f>ROMAN(27883)</f>
        <v/>
      </c>
      <c r="D27884">
        <f>IF(B27884=C27884, "YES", "WRONG")</f>
        <v/>
      </c>
    </row>
    <row r="27885">
      <c r="A27885" t="n">
        <v>27884</v>
      </c>
      <c r="B27885" t="inlineStr">
        <is>
          <t>x̄x̄V̅MMDCCCLXXXIV</t>
        </is>
      </c>
      <c r="C27885">
        <f>ROMAN(27884)</f>
        <v/>
      </c>
      <c r="D27885">
        <f>IF(B27885=C27885, "YES", "WRONG")</f>
        <v/>
      </c>
    </row>
    <row r="27886">
      <c r="A27886" t="n">
        <v>27885</v>
      </c>
      <c r="B27886" t="inlineStr">
        <is>
          <t>x̄x̄V̅MMDCCCLXXXV</t>
        </is>
      </c>
      <c r="C27886">
        <f>ROMAN(27885)</f>
        <v/>
      </c>
      <c r="D27886">
        <f>IF(B27886=C27886, "YES", "WRONG")</f>
        <v/>
      </c>
    </row>
    <row r="27887">
      <c r="A27887" t="n">
        <v>27886</v>
      </c>
      <c r="B27887" t="inlineStr">
        <is>
          <t>x̄x̄V̅MMDCCCLXXXVI</t>
        </is>
      </c>
      <c r="C27887">
        <f>ROMAN(27886)</f>
        <v/>
      </c>
      <c r="D27887">
        <f>IF(B27887=C27887, "YES", "WRONG")</f>
        <v/>
      </c>
    </row>
    <row r="27888">
      <c r="A27888" t="n">
        <v>27887</v>
      </c>
      <c r="B27888" t="inlineStr">
        <is>
          <t>x̄x̄V̅MMDCCCLXXXVII</t>
        </is>
      </c>
      <c r="C27888">
        <f>ROMAN(27887)</f>
        <v/>
      </c>
      <c r="D27888">
        <f>IF(B27888=C27888, "YES", "WRONG")</f>
        <v/>
      </c>
    </row>
    <row r="27889">
      <c r="A27889" t="n">
        <v>27888</v>
      </c>
      <c r="B27889" t="inlineStr">
        <is>
          <t>x̄x̄V̅MMDCCCLXXXVIII</t>
        </is>
      </c>
      <c r="C27889">
        <f>ROMAN(27888)</f>
        <v/>
      </c>
      <c r="D27889">
        <f>IF(B27889=C27889, "YES", "WRONG")</f>
        <v/>
      </c>
    </row>
    <row r="27890">
      <c r="A27890" t="n">
        <v>27889</v>
      </c>
      <c r="B27890" t="inlineStr">
        <is>
          <t>x̄x̄V̅MMDCCCLXXXIX</t>
        </is>
      </c>
      <c r="C27890">
        <f>ROMAN(27889)</f>
        <v/>
      </c>
      <c r="D27890">
        <f>IF(B27890=C27890, "YES", "WRONG")</f>
        <v/>
      </c>
    </row>
    <row r="27891">
      <c r="A27891" t="n">
        <v>27890</v>
      </c>
      <c r="B27891" t="inlineStr">
        <is>
          <t>x̄x̄V̅MMDCCCXC</t>
        </is>
      </c>
      <c r="C27891">
        <f>ROMAN(27890)</f>
        <v/>
      </c>
      <c r="D27891">
        <f>IF(B27891=C27891, "YES", "WRONG")</f>
        <v/>
      </c>
    </row>
    <row r="27892">
      <c r="A27892" t="n">
        <v>27891</v>
      </c>
      <c r="B27892" t="inlineStr">
        <is>
          <t>x̄x̄V̅MMDCCCXCI</t>
        </is>
      </c>
      <c r="C27892">
        <f>ROMAN(27891)</f>
        <v/>
      </c>
      <c r="D27892">
        <f>IF(B27892=C27892, "YES", "WRONG")</f>
        <v/>
      </c>
    </row>
    <row r="27893">
      <c r="A27893" t="n">
        <v>27892</v>
      </c>
      <c r="B27893" t="inlineStr">
        <is>
          <t>x̄x̄V̅MMDCCCXCII</t>
        </is>
      </c>
      <c r="C27893">
        <f>ROMAN(27892)</f>
        <v/>
      </c>
      <c r="D27893">
        <f>IF(B27893=C27893, "YES", "WRONG")</f>
        <v/>
      </c>
    </row>
    <row r="27894">
      <c r="A27894" t="n">
        <v>27893</v>
      </c>
      <c r="B27894" t="inlineStr">
        <is>
          <t>x̄x̄V̅MMDCCCXCIII</t>
        </is>
      </c>
      <c r="C27894">
        <f>ROMAN(27893)</f>
        <v/>
      </c>
      <c r="D27894">
        <f>IF(B27894=C27894, "YES", "WRONG")</f>
        <v/>
      </c>
    </row>
    <row r="27895">
      <c r="A27895" t="n">
        <v>27894</v>
      </c>
      <c r="B27895" t="inlineStr">
        <is>
          <t>x̄x̄V̅MMDCCCXCIV</t>
        </is>
      </c>
      <c r="C27895">
        <f>ROMAN(27894)</f>
        <v/>
      </c>
      <c r="D27895">
        <f>IF(B27895=C27895, "YES", "WRONG")</f>
        <v/>
      </c>
    </row>
    <row r="27896">
      <c r="A27896" t="n">
        <v>27895</v>
      </c>
      <c r="B27896" t="inlineStr">
        <is>
          <t>x̄x̄V̅MMDCCCXCV</t>
        </is>
      </c>
      <c r="C27896">
        <f>ROMAN(27895)</f>
        <v/>
      </c>
      <c r="D27896">
        <f>IF(B27896=C27896, "YES", "WRONG")</f>
        <v/>
      </c>
    </row>
    <row r="27897">
      <c r="A27897" t="n">
        <v>27896</v>
      </c>
      <c r="B27897" t="inlineStr">
        <is>
          <t>x̄x̄V̅MMDCCCXCVI</t>
        </is>
      </c>
      <c r="C27897">
        <f>ROMAN(27896)</f>
        <v/>
      </c>
      <c r="D27897">
        <f>IF(B27897=C27897, "YES", "WRONG")</f>
        <v/>
      </c>
    </row>
    <row r="27898">
      <c r="A27898" t="n">
        <v>27897</v>
      </c>
      <c r="B27898" t="inlineStr">
        <is>
          <t>x̄x̄V̅MMDCCCXCVII</t>
        </is>
      </c>
      <c r="C27898">
        <f>ROMAN(27897)</f>
        <v/>
      </c>
      <c r="D27898">
        <f>IF(B27898=C27898, "YES", "WRONG")</f>
        <v/>
      </c>
    </row>
    <row r="27899">
      <c r="A27899" t="n">
        <v>27898</v>
      </c>
      <c r="B27899" t="inlineStr">
        <is>
          <t>x̄x̄V̅MMDCCCXCVIII</t>
        </is>
      </c>
      <c r="C27899">
        <f>ROMAN(27898)</f>
        <v/>
      </c>
      <c r="D27899">
        <f>IF(B27899=C27899, "YES", "WRONG")</f>
        <v/>
      </c>
    </row>
    <row r="27900">
      <c r="A27900" t="n">
        <v>27899</v>
      </c>
      <c r="B27900" t="inlineStr">
        <is>
          <t>x̄x̄V̅MMDCCCXCIX</t>
        </is>
      </c>
      <c r="C27900">
        <f>ROMAN(27899)</f>
        <v/>
      </c>
      <c r="D27900">
        <f>IF(B27900=C27900, "YES", "WRONG")</f>
        <v/>
      </c>
    </row>
    <row r="27901">
      <c r="A27901" t="n">
        <v>27900</v>
      </c>
      <c r="B27901" t="inlineStr">
        <is>
          <t>x̄x̄V̅MMCM</t>
        </is>
      </c>
      <c r="C27901">
        <f>ROMAN(27900)</f>
        <v/>
      </c>
      <c r="D27901">
        <f>IF(B27901=C27901, "YES", "WRONG")</f>
        <v/>
      </c>
    </row>
    <row r="27902">
      <c r="A27902" t="n">
        <v>27901</v>
      </c>
      <c r="B27902" t="inlineStr">
        <is>
          <t>x̄x̄V̅MMCMI</t>
        </is>
      </c>
      <c r="C27902">
        <f>ROMAN(27901)</f>
        <v/>
      </c>
      <c r="D27902">
        <f>IF(B27902=C27902, "YES", "WRONG")</f>
        <v/>
      </c>
    </row>
    <row r="27903">
      <c r="A27903" t="n">
        <v>27902</v>
      </c>
      <c r="B27903" t="inlineStr">
        <is>
          <t>x̄x̄V̅MMCMII</t>
        </is>
      </c>
      <c r="C27903">
        <f>ROMAN(27902)</f>
        <v/>
      </c>
      <c r="D27903">
        <f>IF(B27903=C27903, "YES", "WRONG")</f>
        <v/>
      </c>
    </row>
    <row r="27904">
      <c r="A27904" t="n">
        <v>27903</v>
      </c>
      <c r="B27904" t="inlineStr">
        <is>
          <t>x̄x̄V̅MMCMIII</t>
        </is>
      </c>
      <c r="C27904">
        <f>ROMAN(27903)</f>
        <v/>
      </c>
      <c r="D27904">
        <f>IF(B27904=C27904, "YES", "WRONG")</f>
        <v/>
      </c>
    </row>
    <row r="27905">
      <c r="A27905" t="n">
        <v>27904</v>
      </c>
      <c r="B27905" t="inlineStr">
        <is>
          <t>x̄x̄V̅MMCMIV</t>
        </is>
      </c>
      <c r="C27905">
        <f>ROMAN(27904)</f>
        <v/>
      </c>
      <c r="D27905">
        <f>IF(B27905=C27905, "YES", "WRONG")</f>
        <v/>
      </c>
    </row>
    <row r="27906">
      <c r="A27906" t="n">
        <v>27905</v>
      </c>
      <c r="B27906" t="inlineStr">
        <is>
          <t>x̄x̄V̅MMCMV</t>
        </is>
      </c>
      <c r="C27906">
        <f>ROMAN(27905)</f>
        <v/>
      </c>
      <c r="D27906">
        <f>IF(B27906=C27906, "YES", "WRONG")</f>
        <v/>
      </c>
    </row>
    <row r="27907">
      <c r="A27907" t="n">
        <v>27906</v>
      </c>
      <c r="B27907" t="inlineStr">
        <is>
          <t>x̄x̄V̅MMCMVI</t>
        </is>
      </c>
      <c r="C27907">
        <f>ROMAN(27906)</f>
        <v/>
      </c>
      <c r="D27907">
        <f>IF(B27907=C27907, "YES", "WRONG")</f>
        <v/>
      </c>
    </row>
    <row r="27908">
      <c r="A27908" t="n">
        <v>27907</v>
      </c>
      <c r="B27908" t="inlineStr">
        <is>
          <t>x̄x̄V̅MMCMVII</t>
        </is>
      </c>
      <c r="C27908">
        <f>ROMAN(27907)</f>
        <v/>
      </c>
      <c r="D27908">
        <f>IF(B27908=C27908, "YES", "WRONG")</f>
        <v/>
      </c>
    </row>
    <row r="27909">
      <c r="A27909" t="n">
        <v>27908</v>
      </c>
      <c r="B27909" t="inlineStr">
        <is>
          <t>x̄x̄V̅MMCMVIII</t>
        </is>
      </c>
      <c r="C27909">
        <f>ROMAN(27908)</f>
        <v/>
      </c>
      <c r="D27909">
        <f>IF(B27909=C27909, "YES", "WRONG")</f>
        <v/>
      </c>
    </row>
    <row r="27910">
      <c r="A27910" t="n">
        <v>27909</v>
      </c>
      <c r="B27910" t="inlineStr">
        <is>
          <t>x̄x̄V̅MMCMIX</t>
        </is>
      </c>
      <c r="C27910">
        <f>ROMAN(27909)</f>
        <v/>
      </c>
      <c r="D27910">
        <f>IF(B27910=C27910, "YES", "WRONG")</f>
        <v/>
      </c>
    </row>
    <row r="27911">
      <c r="A27911" t="n">
        <v>27910</v>
      </c>
      <c r="B27911" t="inlineStr">
        <is>
          <t>x̄x̄V̅MMCMX</t>
        </is>
      </c>
      <c r="C27911">
        <f>ROMAN(27910)</f>
        <v/>
      </c>
      <c r="D27911">
        <f>IF(B27911=C27911, "YES", "WRONG")</f>
        <v/>
      </c>
    </row>
    <row r="27912">
      <c r="A27912" t="n">
        <v>27911</v>
      </c>
      <c r="B27912" t="inlineStr">
        <is>
          <t>x̄x̄V̅MMCMXI</t>
        </is>
      </c>
      <c r="C27912">
        <f>ROMAN(27911)</f>
        <v/>
      </c>
      <c r="D27912">
        <f>IF(B27912=C27912, "YES", "WRONG")</f>
        <v/>
      </c>
    </row>
    <row r="27913">
      <c r="A27913" t="n">
        <v>27912</v>
      </c>
      <c r="B27913" t="inlineStr">
        <is>
          <t>x̄x̄V̅MMCMXII</t>
        </is>
      </c>
      <c r="C27913">
        <f>ROMAN(27912)</f>
        <v/>
      </c>
      <c r="D27913">
        <f>IF(B27913=C27913, "YES", "WRONG")</f>
        <v/>
      </c>
    </row>
    <row r="27914">
      <c r="A27914" t="n">
        <v>27913</v>
      </c>
      <c r="B27914" t="inlineStr">
        <is>
          <t>x̄x̄V̅MMCMXIII</t>
        </is>
      </c>
      <c r="C27914">
        <f>ROMAN(27913)</f>
        <v/>
      </c>
      <c r="D27914">
        <f>IF(B27914=C27914, "YES", "WRONG")</f>
        <v/>
      </c>
    </row>
    <row r="27915">
      <c r="A27915" t="n">
        <v>27914</v>
      </c>
      <c r="B27915" t="inlineStr">
        <is>
          <t>x̄x̄V̅MMCMXIV</t>
        </is>
      </c>
      <c r="C27915">
        <f>ROMAN(27914)</f>
        <v/>
      </c>
      <c r="D27915">
        <f>IF(B27915=C27915, "YES", "WRONG")</f>
        <v/>
      </c>
    </row>
    <row r="27916">
      <c r="A27916" t="n">
        <v>27915</v>
      </c>
      <c r="B27916" t="inlineStr">
        <is>
          <t>x̄x̄V̅MMCMXV</t>
        </is>
      </c>
      <c r="C27916">
        <f>ROMAN(27915)</f>
        <v/>
      </c>
      <c r="D27916">
        <f>IF(B27916=C27916, "YES", "WRONG")</f>
        <v/>
      </c>
    </row>
    <row r="27917">
      <c r="A27917" t="n">
        <v>27916</v>
      </c>
      <c r="B27917" t="inlineStr">
        <is>
          <t>x̄x̄V̅MMCMXVI</t>
        </is>
      </c>
      <c r="C27917">
        <f>ROMAN(27916)</f>
        <v/>
      </c>
      <c r="D27917">
        <f>IF(B27917=C27917, "YES", "WRONG")</f>
        <v/>
      </c>
    </row>
    <row r="27918">
      <c r="A27918" t="n">
        <v>27917</v>
      </c>
      <c r="B27918" t="inlineStr">
        <is>
          <t>x̄x̄V̅MMCMXVII</t>
        </is>
      </c>
      <c r="C27918">
        <f>ROMAN(27917)</f>
        <v/>
      </c>
      <c r="D27918">
        <f>IF(B27918=C27918, "YES", "WRONG")</f>
        <v/>
      </c>
    </row>
    <row r="27919">
      <c r="A27919" t="n">
        <v>27918</v>
      </c>
      <c r="B27919" t="inlineStr">
        <is>
          <t>x̄x̄V̅MMCMXVIII</t>
        </is>
      </c>
      <c r="C27919">
        <f>ROMAN(27918)</f>
        <v/>
      </c>
      <c r="D27919">
        <f>IF(B27919=C27919, "YES", "WRONG")</f>
        <v/>
      </c>
    </row>
    <row r="27920">
      <c r="A27920" t="n">
        <v>27919</v>
      </c>
      <c r="B27920" t="inlineStr">
        <is>
          <t>x̄x̄V̅MMCMXIX</t>
        </is>
      </c>
      <c r="C27920">
        <f>ROMAN(27919)</f>
        <v/>
      </c>
      <c r="D27920">
        <f>IF(B27920=C27920, "YES", "WRONG")</f>
        <v/>
      </c>
    </row>
    <row r="27921">
      <c r="A27921" t="n">
        <v>27920</v>
      </c>
      <c r="B27921" t="inlineStr">
        <is>
          <t>x̄x̄V̅MMCMXX</t>
        </is>
      </c>
      <c r="C27921">
        <f>ROMAN(27920)</f>
        <v/>
      </c>
      <c r="D27921">
        <f>IF(B27921=C27921, "YES", "WRONG")</f>
        <v/>
      </c>
    </row>
    <row r="27922">
      <c r="A27922" t="n">
        <v>27921</v>
      </c>
      <c r="B27922" t="inlineStr">
        <is>
          <t>x̄x̄V̅MMCMXXI</t>
        </is>
      </c>
      <c r="C27922">
        <f>ROMAN(27921)</f>
        <v/>
      </c>
      <c r="D27922">
        <f>IF(B27922=C27922, "YES", "WRONG")</f>
        <v/>
      </c>
    </row>
    <row r="27923">
      <c r="A27923" t="n">
        <v>27922</v>
      </c>
      <c r="B27923" t="inlineStr">
        <is>
          <t>x̄x̄V̅MMCMXXII</t>
        </is>
      </c>
      <c r="C27923">
        <f>ROMAN(27922)</f>
        <v/>
      </c>
      <c r="D27923">
        <f>IF(B27923=C27923, "YES", "WRONG")</f>
        <v/>
      </c>
    </row>
    <row r="27924">
      <c r="A27924" t="n">
        <v>27923</v>
      </c>
      <c r="B27924" t="inlineStr">
        <is>
          <t>x̄x̄V̅MMCMXXIII</t>
        </is>
      </c>
      <c r="C27924">
        <f>ROMAN(27923)</f>
        <v/>
      </c>
      <c r="D27924">
        <f>IF(B27924=C27924, "YES", "WRONG")</f>
        <v/>
      </c>
    </row>
    <row r="27925">
      <c r="A27925" t="n">
        <v>27924</v>
      </c>
      <c r="B27925" t="inlineStr">
        <is>
          <t>x̄x̄V̅MMCMXXIV</t>
        </is>
      </c>
      <c r="C27925">
        <f>ROMAN(27924)</f>
        <v/>
      </c>
      <c r="D27925">
        <f>IF(B27925=C27925, "YES", "WRONG")</f>
        <v/>
      </c>
    </row>
    <row r="27926">
      <c r="A27926" t="n">
        <v>27925</v>
      </c>
      <c r="B27926" t="inlineStr">
        <is>
          <t>x̄x̄V̅MMCMXXV</t>
        </is>
      </c>
      <c r="C27926">
        <f>ROMAN(27925)</f>
        <v/>
      </c>
      <c r="D27926">
        <f>IF(B27926=C27926, "YES", "WRONG")</f>
        <v/>
      </c>
    </row>
    <row r="27927">
      <c r="A27927" t="n">
        <v>27926</v>
      </c>
      <c r="B27927" t="inlineStr">
        <is>
          <t>x̄x̄V̅MMCMXXVI</t>
        </is>
      </c>
      <c r="C27927">
        <f>ROMAN(27926)</f>
        <v/>
      </c>
      <c r="D27927">
        <f>IF(B27927=C27927, "YES", "WRONG")</f>
        <v/>
      </c>
    </row>
    <row r="27928">
      <c r="A27928" t="n">
        <v>27927</v>
      </c>
      <c r="B27928" t="inlineStr">
        <is>
          <t>x̄x̄V̅MMCMXXVII</t>
        </is>
      </c>
      <c r="C27928">
        <f>ROMAN(27927)</f>
        <v/>
      </c>
      <c r="D27928">
        <f>IF(B27928=C27928, "YES", "WRONG")</f>
        <v/>
      </c>
    </row>
    <row r="27929">
      <c r="A27929" t="n">
        <v>27928</v>
      </c>
      <c r="B27929" t="inlineStr">
        <is>
          <t>x̄x̄V̅MMCMXXVIII</t>
        </is>
      </c>
      <c r="C27929">
        <f>ROMAN(27928)</f>
        <v/>
      </c>
      <c r="D27929">
        <f>IF(B27929=C27929, "YES", "WRONG")</f>
        <v/>
      </c>
    </row>
    <row r="27930">
      <c r="A27930" t="n">
        <v>27929</v>
      </c>
      <c r="B27930" t="inlineStr">
        <is>
          <t>x̄x̄V̅MMCMXXIX</t>
        </is>
      </c>
      <c r="C27930">
        <f>ROMAN(27929)</f>
        <v/>
      </c>
      <c r="D27930">
        <f>IF(B27930=C27930, "YES", "WRONG")</f>
        <v/>
      </c>
    </row>
    <row r="27931">
      <c r="A27931" t="n">
        <v>27930</v>
      </c>
      <c r="B27931" t="inlineStr">
        <is>
          <t>x̄x̄V̅MMCMXXX</t>
        </is>
      </c>
      <c r="C27931">
        <f>ROMAN(27930)</f>
        <v/>
      </c>
      <c r="D27931">
        <f>IF(B27931=C27931, "YES", "WRONG")</f>
        <v/>
      </c>
    </row>
    <row r="27932">
      <c r="A27932" t="n">
        <v>27931</v>
      </c>
      <c r="B27932" t="inlineStr">
        <is>
          <t>x̄x̄V̅MMCMXXXI</t>
        </is>
      </c>
      <c r="C27932">
        <f>ROMAN(27931)</f>
        <v/>
      </c>
      <c r="D27932">
        <f>IF(B27932=C27932, "YES", "WRONG")</f>
        <v/>
      </c>
    </row>
    <row r="27933">
      <c r="A27933" t="n">
        <v>27932</v>
      </c>
      <c r="B27933" t="inlineStr">
        <is>
          <t>x̄x̄V̅MMCMXXXII</t>
        </is>
      </c>
      <c r="C27933">
        <f>ROMAN(27932)</f>
        <v/>
      </c>
      <c r="D27933">
        <f>IF(B27933=C27933, "YES", "WRONG")</f>
        <v/>
      </c>
    </row>
    <row r="27934">
      <c r="A27934" t="n">
        <v>27933</v>
      </c>
      <c r="B27934" t="inlineStr">
        <is>
          <t>x̄x̄V̅MMCMXXXIII</t>
        </is>
      </c>
      <c r="C27934">
        <f>ROMAN(27933)</f>
        <v/>
      </c>
      <c r="D27934">
        <f>IF(B27934=C27934, "YES", "WRONG")</f>
        <v/>
      </c>
    </row>
    <row r="27935">
      <c r="A27935" t="n">
        <v>27934</v>
      </c>
      <c r="B27935" t="inlineStr">
        <is>
          <t>x̄x̄V̅MMCMXXXIV</t>
        </is>
      </c>
      <c r="C27935">
        <f>ROMAN(27934)</f>
        <v/>
      </c>
      <c r="D27935">
        <f>IF(B27935=C27935, "YES", "WRONG")</f>
        <v/>
      </c>
    </row>
    <row r="27936">
      <c r="A27936" t="n">
        <v>27935</v>
      </c>
      <c r="B27936" t="inlineStr">
        <is>
          <t>x̄x̄V̅MMCMXXXV</t>
        </is>
      </c>
      <c r="C27936">
        <f>ROMAN(27935)</f>
        <v/>
      </c>
      <c r="D27936">
        <f>IF(B27936=C27936, "YES", "WRONG")</f>
        <v/>
      </c>
    </row>
    <row r="27937">
      <c r="A27937" t="n">
        <v>27936</v>
      </c>
      <c r="B27937" t="inlineStr">
        <is>
          <t>x̄x̄V̅MMCMXXXVI</t>
        </is>
      </c>
      <c r="C27937">
        <f>ROMAN(27936)</f>
        <v/>
      </c>
      <c r="D27937">
        <f>IF(B27937=C27937, "YES", "WRONG")</f>
        <v/>
      </c>
    </row>
    <row r="27938">
      <c r="A27938" t="n">
        <v>27937</v>
      </c>
      <c r="B27938" t="inlineStr">
        <is>
          <t>x̄x̄V̅MMCMXXXVII</t>
        </is>
      </c>
      <c r="C27938">
        <f>ROMAN(27937)</f>
        <v/>
      </c>
      <c r="D27938">
        <f>IF(B27938=C27938, "YES", "WRONG")</f>
        <v/>
      </c>
    </row>
    <row r="27939">
      <c r="A27939" t="n">
        <v>27938</v>
      </c>
      <c r="B27939" t="inlineStr">
        <is>
          <t>x̄x̄V̅MMCMXXXVIII</t>
        </is>
      </c>
      <c r="C27939">
        <f>ROMAN(27938)</f>
        <v/>
      </c>
      <c r="D27939">
        <f>IF(B27939=C27939, "YES", "WRONG")</f>
        <v/>
      </c>
    </row>
    <row r="27940">
      <c r="A27940" t="n">
        <v>27939</v>
      </c>
      <c r="B27940" t="inlineStr">
        <is>
          <t>x̄x̄V̅MMCMXXXIX</t>
        </is>
      </c>
      <c r="C27940">
        <f>ROMAN(27939)</f>
        <v/>
      </c>
      <c r="D27940">
        <f>IF(B27940=C27940, "YES", "WRONG")</f>
        <v/>
      </c>
    </row>
    <row r="27941">
      <c r="A27941" t="n">
        <v>27940</v>
      </c>
      <c r="B27941" t="inlineStr">
        <is>
          <t>x̄x̄V̅MMCMXL</t>
        </is>
      </c>
      <c r="C27941">
        <f>ROMAN(27940)</f>
        <v/>
      </c>
      <c r="D27941">
        <f>IF(B27941=C27941, "YES", "WRONG")</f>
        <v/>
      </c>
    </row>
    <row r="27942">
      <c r="A27942" t="n">
        <v>27941</v>
      </c>
      <c r="B27942" t="inlineStr">
        <is>
          <t>x̄x̄V̅MMCMXLI</t>
        </is>
      </c>
      <c r="C27942">
        <f>ROMAN(27941)</f>
        <v/>
      </c>
      <c r="D27942">
        <f>IF(B27942=C27942, "YES", "WRONG")</f>
        <v/>
      </c>
    </row>
    <row r="27943">
      <c r="A27943" t="n">
        <v>27942</v>
      </c>
      <c r="B27943" t="inlineStr">
        <is>
          <t>x̄x̄V̅MMCMXLII</t>
        </is>
      </c>
      <c r="C27943">
        <f>ROMAN(27942)</f>
        <v/>
      </c>
      <c r="D27943">
        <f>IF(B27943=C27943, "YES", "WRONG")</f>
        <v/>
      </c>
    </row>
    <row r="27944">
      <c r="A27944" t="n">
        <v>27943</v>
      </c>
      <c r="B27944" t="inlineStr">
        <is>
          <t>x̄x̄V̅MMCMXLIII</t>
        </is>
      </c>
      <c r="C27944">
        <f>ROMAN(27943)</f>
        <v/>
      </c>
      <c r="D27944">
        <f>IF(B27944=C27944, "YES", "WRONG")</f>
        <v/>
      </c>
    </row>
    <row r="27945">
      <c r="A27945" t="n">
        <v>27944</v>
      </c>
      <c r="B27945" t="inlineStr">
        <is>
          <t>x̄x̄V̅MMCMXLIV</t>
        </is>
      </c>
      <c r="C27945">
        <f>ROMAN(27944)</f>
        <v/>
      </c>
      <c r="D27945">
        <f>IF(B27945=C27945, "YES", "WRONG")</f>
        <v/>
      </c>
    </row>
    <row r="27946">
      <c r="A27946" t="n">
        <v>27945</v>
      </c>
      <c r="B27946" t="inlineStr">
        <is>
          <t>x̄x̄V̅MMCMXLV</t>
        </is>
      </c>
      <c r="C27946">
        <f>ROMAN(27945)</f>
        <v/>
      </c>
      <c r="D27946">
        <f>IF(B27946=C27946, "YES", "WRONG")</f>
        <v/>
      </c>
    </row>
    <row r="27947">
      <c r="A27947" t="n">
        <v>27946</v>
      </c>
      <c r="B27947" t="inlineStr">
        <is>
          <t>x̄x̄V̅MMCMXLVI</t>
        </is>
      </c>
      <c r="C27947">
        <f>ROMAN(27946)</f>
        <v/>
      </c>
      <c r="D27947">
        <f>IF(B27947=C27947, "YES", "WRONG")</f>
        <v/>
      </c>
    </row>
    <row r="27948">
      <c r="A27948" t="n">
        <v>27947</v>
      </c>
      <c r="B27948" t="inlineStr">
        <is>
          <t>x̄x̄V̅MMCMXLVII</t>
        </is>
      </c>
      <c r="C27948">
        <f>ROMAN(27947)</f>
        <v/>
      </c>
      <c r="D27948">
        <f>IF(B27948=C27948, "YES", "WRONG")</f>
        <v/>
      </c>
    </row>
    <row r="27949">
      <c r="A27949" t="n">
        <v>27948</v>
      </c>
      <c r="B27949" t="inlineStr">
        <is>
          <t>x̄x̄V̅MMCMXLVIII</t>
        </is>
      </c>
      <c r="C27949">
        <f>ROMAN(27948)</f>
        <v/>
      </c>
      <c r="D27949">
        <f>IF(B27949=C27949, "YES", "WRONG")</f>
        <v/>
      </c>
    </row>
    <row r="27950">
      <c r="A27950" t="n">
        <v>27949</v>
      </c>
      <c r="B27950" t="inlineStr">
        <is>
          <t>x̄x̄V̅MMCMXLIX</t>
        </is>
      </c>
      <c r="C27950">
        <f>ROMAN(27949)</f>
        <v/>
      </c>
      <c r="D27950">
        <f>IF(B27950=C27950, "YES", "WRONG")</f>
        <v/>
      </c>
    </row>
    <row r="27951">
      <c r="A27951" t="n">
        <v>27950</v>
      </c>
      <c r="B27951" t="inlineStr">
        <is>
          <t>x̄x̄V̅MMCML</t>
        </is>
      </c>
      <c r="C27951">
        <f>ROMAN(27950)</f>
        <v/>
      </c>
      <c r="D27951">
        <f>IF(B27951=C27951, "YES", "WRONG")</f>
        <v/>
      </c>
    </row>
    <row r="27952">
      <c r="A27952" t="n">
        <v>27951</v>
      </c>
      <c r="B27952" t="inlineStr">
        <is>
          <t>x̄x̄V̅MMCMLI</t>
        </is>
      </c>
      <c r="C27952">
        <f>ROMAN(27951)</f>
        <v/>
      </c>
      <c r="D27952">
        <f>IF(B27952=C27952, "YES", "WRONG")</f>
        <v/>
      </c>
    </row>
    <row r="27953">
      <c r="A27953" t="n">
        <v>27952</v>
      </c>
      <c r="B27953" t="inlineStr">
        <is>
          <t>x̄x̄V̅MMCMLII</t>
        </is>
      </c>
      <c r="C27953">
        <f>ROMAN(27952)</f>
        <v/>
      </c>
      <c r="D27953">
        <f>IF(B27953=C27953, "YES", "WRONG")</f>
        <v/>
      </c>
    </row>
    <row r="27954">
      <c r="A27954" t="n">
        <v>27953</v>
      </c>
      <c r="B27954" t="inlineStr">
        <is>
          <t>x̄x̄V̅MMCMLIII</t>
        </is>
      </c>
      <c r="C27954">
        <f>ROMAN(27953)</f>
        <v/>
      </c>
      <c r="D27954">
        <f>IF(B27954=C27954, "YES", "WRONG")</f>
        <v/>
      </c>
    </row>
    <row r="27955">
      <c r="A27955" t="n">
        <v>27954</v>
      </c>
      <c r="B27955" t="inlineStr">
        <is>
          <t>x̄x̄V̅MMCMLIV</t>
        </is>
      </c>
      <c r="C27955">
        <f>ROMAN(27954)</f>
        <v/>
      </c>
      <c r="D27955">
        <f>IF(B27955=C27955, "YES", "WRONG")</f>
        <v/>
      </c>
    </row>
    <row r="27956">
      <c r="A27956" t="n">
        <v>27955</v>
      </c>
      <c r="B27956" t="inlineStr">
        <is>
          <t>x̄x̄V̅MMCMLV</t>
        </is>
      </c>
      <c r="C27956">
        <f>ROMAN(27955)</f>
        <v/>
      </c>
      <c r="D27956">
        <f>IF(B27956=C27956, "YES", "WRONG")</f>
        <v/>
      </c>
    </row>
    <row r="27957">
      <c r="A27957" t="n">
        <v>27956</v>
      </c>
      <c r="B27957" t="inlineStr">
        <is>
          <t>x̄x̄V̅MMCMLVI</t>
        </is>
      </c>
      <c r="C27957">
        <f>ROMAN(27956)</f>
        <v/>
      </c>
      <c r="D27957">
        <f>IF(B27957=C27957, "YES", "WRONG")</f>
        <v/>
      </c>
    </row>
    <row r="27958">
      <c r="A27958" t="n">
        <v>27957</v>
      </c>
      <c r="B27958" t="inlineStr">
        <is>
          <t>x̄x̄V̅MMCMLVII</t>
        </is>
      </c>
      <c r="C27958">
        <f>ROMAN(27957)</f>
        <v/>
      </c>
      <c r="D27958">
        <f>IF(B27958=C27958, "YES", "WRONG")</f>
        <v/>
      </c>
    </row>
    <row r="27959">
      <c r="A27959" t="n">
        <v>27958</v>
      </c>
      <c r="B27959" t="inlineStr">
        <is>
          <t>x̄x̄V̅MMCMLVIII</t>
        </is>
      </c>
      <c r="C27959">
        <f>ROMAN(27958)</f>
        <v/>
      </c>
      <c r="D27959">
        <f>IF(B27959=C27959, "YES", "WRONG")</f>
        <v/>
      </c>
    </row>
    <row r="27960">
      <c r="A27960" t="n">
        <v>27959</v>
      </c>
      <c r="B27960" t="inlineStr">
        <is>
          <t>x̄x̄V̅MMCMLIX</t>
        </is>
      </c>
      <c r="C27960">
        <f>ROMAN(27959)</f>
        <v/>
      </c>
      <c r="D27960">
        <f>IF(B27960=C27960, "YES", "WRONG")</f>
        <v/>
      </c>
    </row>
    <row r="27961">
      <c r="A27961" t="n">
        <v>27960</v>
      </c>
      <c r="B27961" t="inlineStr">
        <is>
          <t>x̄x̄V̅MMCMLX</t>
        </is>
      </c>
      <c r="C27961">
        <f>ROMAN(27960)</f>
        <v/>
      </c>
      <c r="D27961">
        <f>IF(B27961=C27961, "YES", "WRONG")</f>
        <v/>
      </c>
    </row>
    <row r="27962">
      <c r="A27962" t="n">
        <v>27961</v>
      </c>
      <c r="B27962" t="inlineStr">
        <is>
          <t>x̄x̄V̅MMCMLXI</t>
        </is>
      </c>
      <c r="C27962">
        <f>ROMAN(27961)</f>
        <v/>
      </c>
      <c r="D27962">
        <f>IF(B27962=C27962, "YES", "WRONG")</f>
        <v/>
      </c>
    </row>
    <row r="27963">
      <c r="A27963" t="n">
        <v>27962</v>
      </c>
      <c r="B27963" t="inlineStr">
        <is>
          <t>x̄x̄V̅MMCMLXII</t>
        </is>
      </c>
      <c r="C27963">
        <f>ROMAN(27962)</f>
        <v/>
      </c>
      <c r="D27963">
        <f>IF(B27963=C27963, "YES", "WRONG")</f>
        <v/>
      </c>
    </row>
    <row r="27964">
      <c r="A27964" t="n">
        <v>27963</v>
      </c>
      <c r="B27964" t="inlineStr">
        <is>
          <t>x̄x̄V̅MMCMLXIII</t>
        </is>
      </c>
      <c r="C27964">
        <f>ROMAN(27963)</f>
        <v/>
      </c>
      <c r="D27964">
        <f>IF(B27964=C27964, "YES", "WRONG")</f>
        <v/>
      </c>
    </row>
    <row r="27965">
      <c r="A27965" t="n">
        <v>27964</v>
      </c>
      <c r="B27965" t="inlineStr">
        <is>
          <t>x̄x̄V̅MMCMLXIV</t>
        </is>
      </c>
      <c r="C27965">
        <f>ROMAN(27964)</f>
        <v/>
      </c>
      <c r="D27965">
        <f>IF(B27965=C27965, "YES", "WRONG")</f>
        <v/>
      </c>
    </row>
    <row r="27966">
      <c r="A27966" t="n">
        <v>27965</v>
      </c>
      <c r="B27966" t="inlineStr">
        <is>
          <t>x̄x̄V̅MMCMLXV</t>
        </is>
      </c>
      <c r="C27966">
        <f>ROMAN(27965)</f>
        <v/>
      </c>
      <c r="D27966">
        <f>IF(B27966=C27966, "YES", "WRONG")</f>
        <v/>
      </c>
    </row>
    <row r="27967">
      <c r="A27967" t="n">
        <v>27966</v>
      </c>
      <c r="B27967" t="inlineStr">
        <is>
          <t>x̄x̄V̅MMCMLXVI</t>
        </is>
      </c>
      <c r="C27967">
        <f>ROMAN(27966)</f>
        <v/>
      </c>
      <c r="D27967">
        <f>IF(B27967=C27967, "YES", "WRONG")</f>
        <v/>
      </c>
    </row>
    <row r="27968">
      <c r="A27968" t="n">
        <v>27967</v>
      </c>
      <c r="B27968" t="inlineStr">
        <is>
          <t>x̄x̄V̅MMCMLXVII</t>
        </is>
      </c>
      <c r="C27968">
        <f>ROMAN(27967)</f>
        <v/>
      </c>
      <c r="D27968">
        <f>IF(B27968=C27968, "YES", "WRONG")</f>
        <v/>
      </c>
    </row>
    <row r="27969">
      <c r="A27969" t="n">
        <v>27968</v>
      </c>
      <c r="B27969" t="inlineStr">
        <is>
          <t>x̄x̄V̅MMCMLXVIII</t>
        </is>
      </c>
      <c r="C27969">
        <f>ROMAN(27968)</f>
        <v/>
      </c>
      <c r="D27969">
        <f>IF(B27969=C27969, "YES", "WRONG")</f>
        <v/>
      </c>
    </row>
    <row r="27970">
      <c r="A27970" t="n">
        <v>27969</v>
      </c>
      <c r="B27970" t="inlineStr">
        <is>
          <t>x̄x̄V̅MMCMLXIX</t>
        </is>
      </c>
      <c r="C27970">
        <f>ROMAN(27969)</f>
        <v/>
      </c>
      <c r="D27970">
        <f>IF(B27970=C27970, "YES", "WRONG")</f>
        <v/>
      </c>
    </row>
    <row r="27971">
      <c r="A27971" t="n">
        <v>27970</v>
      </c>
      <c r="B27971" t="inlineStr">
        <is>
          <t>x̄x̄V̅MMCMLXX</t>
        </is>
      </c>
      <c r="C27971">
        <f>ROMAN(27970)</f>
        <v/>
      </c>
      <c r="D27971">
        <f>IF(B27971=C27971, "YES", "WRONG")</f>
        <v/>
      </c>
    </row>
    <row r="27972">
      <c r="A27972" t="n">
        <v>27971</v>
      </c>
      <c r="B27972" t="inlineStr">
        <is>
          <t>x̄x̄V̅MMCMLXXI</t>
        </is>
      </c>
      <c r="C27972">
        <f>ROMAN(27971)</f>
        <v/>
      </c>
      <c r="D27972">
        <f>IF(B27972=C27972, "YES", "WRONG")</f>
        <v/>
      </c>
    </row>
    <row r="27973">
      <c r="A27973" t="n">
        <v>27972</v>
      </c>
      <c r="B27973" t="inlineStr">
        <is>
          <t>x̄x̄V̅MMCMLXXII</t>
        </is>
      </c>
      <c r="C27973">
        <f>ROMAN(27972)</f>
        <v/>
      </c>
      <c r="D27973">
        <f>IF(B27973=C27973, "YES", "WRONG")</f>
        <v/>
      </c>
    </row>
    <row r="27974">
      <c r="A27974" t="n">
        <v>27973</v>
      </c>
      <c r="B27974" t="inlineStr">
        <is>
          <t>x̄x̄V̅MMCMLXXIII</t>
        </is>
      </c>
      <c r="C27974">
        <f>ROMAN(27973)</f>
        <v/>
      </c>
      <c r="D27974">
        <f>IF(B27974=C27974, "YES", "WRONG")</f>
        <v/>
      </c>
    </row>
    <row r="27975">
      <c r="A27975" t="n">
        <v>27974</v>
      </c>
      <c r="B27975" t="inlineStr">
        <is>
          <t>x̄x̄V̅MMCMLXXIV</t>
        </is>
      </c>
      <c r="C27975">
        <f>ROMAN(27974)</f>
        <v/>
      </c>
      <c r="D27975">
        <f>IF(B27975=C27975, "YES", "WRONG")</f>
        <v/>
      </c>
    </row>
    <row r="27976">
      <c r="A27976" t="n">
        <v>27975</v>
      </c>
      <c r="B27976" t="inlineStr">
        <is>
          <t>x̄x̄V̅MMCMLXXV</t>
        </is>
      </c>
      <c r="C27976">
        <f>ROMAN(27975)</f>
        <v/>
      </c>
      <c r="D27976">
        <f>IF(B27976=C27976, "YES", "WRONG")</f>
        <v/>
      </c>
    </row>
    <row r="27977">
      <c r="A27977" t="n">
        <v>27976</v>
      </c>
      <c r="B27977" t="inlineStr">
        <is>
          <t>x̄x̄V̅MMCMLXXVI</t>
        </is>
      </c>
      <c r="C27977">
        <f>ROMAN(27976)</f>
        <v/>
      </c>
      <c r="D27977">
        <f>IF(B27977=C27977, "YES", "WRONG")</f>
        <v/>
      </c>
    </row>
    <row r="27978">
      <c r="A27978" t="n">
        <v>27977</v>
      </c>
      <c r="B27978" t="inlineStr">
        <is>
          <t>x̄x̄V̅MMCMLXXVII</t>
        </is>
      </c>
      <c r="C27978">
        <f>ROMAN(27977)</f>
        <v/>
      </c>
      <c r="D27978">
        <f>IF(B27978=C27978, "YES", "WRONG")</f>
        <v/>
      </c>
    </row>
    <row r="27979">
      <c r="A27979" t="n">
        <v>27978</v>
      </c>
      <c r="B27979" t="inlineStr">
        <is>
          <t>x̄x̄V̅MMCMLXXVIII</t>
        </is>
      </c>
      <c r="C27979">
        <f>ROMAN(27978)</f>
        <v/>
      </c>
      <c r="D27979">
        <f>IF(B27979=C27979, "YES", "WRONG")</f>
        <v/>
      </c>
    </row>
    <row r="27980">
      <c r="A27980" t="n">
        <v>27979</v>
      </c>
      <c r="B27980" t="inlineStr">
        <is>
          <t>x̄x̄V̅MMCMLXXIX</t>
        </is>
      </c>
      <c r="C27980">
        <f>ROMAN(27979)</f>
        <v/>
      </c>
      <c r="D27980">
        <f>IF(B27980=C27980, "YES", "WRONG")</f>
        <v/>
      </c>
    </row>
    <row r="27981">
      <c r="A27981" t="n">
        <v>27980</v>
      </c>
      <c r="B27981" t="inlineStr">
        <is>
          <t>x̄x̄V̅MMCMLXXX</t>
        </is>
      </c>
      <c r="C27981">
        <f>ROMAN(27980)</f>
        <v/>
      </c>
      <c r="D27981">
        <f>IF(B27981=C27981, "YES", "WRONG")</f>
        <v/>
      </c>
    </row>
    <row r="27982">
      <c r="A27982" t="n">
        <v>27981</v>
      </c>
      <c r="B27982" t="inlineStr">
        <is>
          <t>x̄x̄V̅MMCMLXXXI</t>
        </is>
      </c>
      <c r="C27982">
        <f>ROMAN(27981)</f>
        <v/>
      </c>
      <c r="D27982">
        <f>IF(B27982=C27982, "YES", "WRONG")</f>
        <v/>
      </c>
    </row>
    <row r="27983">
      <c r="A27983" t="n">
        <v>27982</v>
      </c>
      <c r="B27983" t="inlineStr">
        <is>
          <t>x̄x̄V̅MMCMLXXXII</t>
        </is>
      </c>
      <c r="C27983">
        <f>ROMAN(27982)</f>
        <v/>
      </c>
      <c r="D27983">
        <f>IF(B27983=C27983, "YES", "WRONG")</f>
        <v/>
      </c>
    </row>
    <row r="27984">
      <c r="A27984" t="n">
        <v>27983</v>
      </c>
      <c r="B27984" t="inlineStr">
        <is>
          <t>x̄x̄V̅MMCMLXXXIII</t>
        </is>
      </c>
      <c r="C27984">
        <f>ROMAN(27983)</f>
        <v/>
      </c>
      <c r="D27984">
        <f>IF(B27984=C27984, "YES", "WRONG")</f>
        <v/>
      </c>
    </row>
    <row r="27985">
      <c r="A27985" t="n">
        <v>27984</v>
      </c>
      <c r="B27985" t="inlineStr">
        <is>
          <t>x̄x̄V̅MMCMLXXXIV</t>
        </is>
      </c>
      <c r="C27985">
        <f>ROMAN(27984)</f>
        <v/>
      </c>
      <c r="D27985">
        <f>IF(B27985=C27985, "YES", "WRONG")</f>
        <v/>
      </c>
    </row>
    <row r="27986">
      <c r="A27986" t="n">
        <v>27985</v>
      </c>
      <c r="B27986" t="inlineStr">
        <is>
          <t>x̄x̄V̅MMCMLXXXV</t>
        </is>
      </c>
      <c r="C27986">
        <f>ROMAN(27985)</f>
        <v/>
      </c>
      <c r="D27986">
        <f>IF(B27986=C27986, "YES", "WRONG")</f>
        <v/>
      </c>
    </row>
    <row r="27987">
      <c r="A27987" t="n">
        <v>27986</v>
      </c>
      <c r="B27987" t="inlineStr">
        <is>
          <t>x̄x̄V̅MMCMLXXXVI</t>
        </is>
      </c>
      <c r="C27987">
        <f>ROMAN(27986)</f>
        <v/>
      </c>
      <c r="D27987">
        <f>IF(B27987=C27987, "YES", "WRONG")</f>
        <v/>
      </c>
    </row>
    <row r="27988">
      <c r="A27988" t="n">
        <v>27987</v>
      </c>
      <c r="B27988" t="inlineStr">
        <is>
          <t>x̄x̄V̅MMCMLXXXVII</t>
        </is>
      </c>
      <c r="C27988">
        <f>ROMAN(27987)</f>
        <v/>
      </c>
      <c r="D27988">
        <f>IF(B27988=C27988, "YES", "WRONG")</f>
        <v/>
      </c>
    </row>
    <row r="27989">
      <c r="A27989" t="n">
        <v>27988</v>
      </c>
      <c r="B27989" t="inlineStr">
        <is>
          <t>x̄x̄V̅MMCMLXXXVIII</t>
        </is>
      </c>
      <c r="C27989">
        <f>ROMAN(27988)</f>
        <v/>
      </c>
      <c r="D27989">
        <f>IF(B27989=C27989, "YES", "WRONG")</f>
        <v/>
      </c>
    </row>
    <row r="27990">
      <c r="A27990" t="n">
        <v>27989</v>
      </c>
      <c r="B27990" t="inlineStr">
        <is>
          <t>x̄x̄V̅MMCMLXXXIX</t>
        </is>
      </c>
      <c r="C27990">
        <f>ROMAN(27989)</f>
        <v/>
      </c>
      <c r="D27990">
        <f>IF(B27990=C27990, "YES", "WRONG")</f>
        <v/>
      </c>
    </row>
    <row r="27991">
      <c r="A27991" t="n">
        <v>27990</v>
      </c>
      <c r="B27991" t="inlineStr">
        <is>
          <t>x̄x̄V̅MMCMXC</t>
        </is>
      </c>
      <c r="C27991">
        <f>ROMAN(27990)</f>
        <v/>
      </c>
      <c r="D27991">
        <f>IF(B27991=C27991, "YES", "WRONG")</f>
        <v/>
      </c>
    </row>
    <row r="27992">
      <c r="A27992" t="n">
        <v>27991</v>
      </c>
      <c r="B27992" t="inlineStr">
        <is>
          <t>x̄x̄V̅MMCMXCI</t>
        </is>
      </c>
      <c r="C27992">
        <f>ROMAN(27991)</f>
        <v/>
      </c>
      <c r="D27992">
        <f>IF(B27992=C27992, "YES", "WRONG")</f>
        <v/>
      </c>
    </row>
    <row r="27993">
      <c r="A27993" t="n">
        <v>27992</v>
      </c>
      <c r="B27993" t="inlineStr">
        <is>
          <t>x̄x̄V̅MMCMXCII</t>
        </is>
      </c>
      <c r="C27993">
        <f>ROMAN(27992)</f>
        <v/>
      </c>
      <c r="D27993">
        <f>IF(B27993=C27993, "YES", "WRONG")</f>
        <v/>
      </c>
    </row>
    <row r="27994">
      <c r="A27994" t="n">
        <v>27993</v>
      </c>
      <c r="B27994" t="inlineStr">
        <is>
          <t>x̄x̄V̅MMCMXCIII</t>
        </is>
      </c>
      <c r="C27994">
        <f>ROMAN(27993)</f>
        <v/>
      </c>
      <c r="D27994">
        <f>IF(B27994=C27994, "YES", "WRONG")</f>
        <v/>
      </c>
    </row>
    <row r="27995">
      <c r="A27995" t="n">
        <v>27994</v>
      </c>
      <c r="B27995" t="inlineStr">
        <is>
          <t>x̄x̄V̅MMCMXCIV</t>
        </is>
      </c>
      <c r="C27995">
        <f>ROMAN(27994)</f>
        <v/>
      </c>
      <c r="D27995">
        <f>IF(B27995=C27995, "YES", "WRONG")</f>
        <v/>
      </c>
    </row>
    <row r="27996">
      <c r="A27996" t="n">
        <v>27995</v>
      </c>
      <c r="B27996" t="inlineStr">
        <is>
          <t>x̄x̄V̅MMCMXCV</t>
        </is>
      </c>
      <c r="C27996">
        <f>ROMAN(27995)</f>
        <v/>
      </c>
      <c r="D27996">
        <f>IF(B27996=C27996, "YES", "WRONG")</f>
        <v/>
      </c>
    </row>
    <row r="27997">
      <c r="A27997" t="n">
        <v>27996</v>
      </c>
      <c r="B27997" t="inlineStr">
        <is>
          <t>x̄x̄V̅MMCMXCVI</t>
        </is>
      </c>
      <c r="C27997">
        <f>ROMAN(27996)</f>
        <v/>
      </c>
      <c r="D27997">
        <f>IF(B27997=C27997, "YES", "WRONG")</f>
        <v/>
      </c>
    </row>
    <row r="27998">
      <c r="A27998" t="n">
        <v>27997</v>
      </c>
      <c r="B27998" t="inlineStr">
        <is>
          <t>x̄x̄V̅MMCMXCVII</t>
        </is>
      </c>
      <c r="C27998">
        <f>ROMAN(27997)</f>
        <v/>
      </c>
      <c r="D27998">
        <f>IF(B27998=C27998, "YES", "WRONG")</f>
        <v/>
      </c>
    </row>
    <row r="27999">
      <c r="A27999" t="n">
        <v>27998</v>
      </c>
      <c r="B27999" t="inlineStr">
        <is>
          <t>x̄x̄V̅MMCMXCVIII</t>
        </is>
      </c>
      <c r="C27999">
        <f>ROMAN(27998)</f>
        <v/>
      </c>
      <c r="D27999">
        <f>IF(B27999=C27999, "YES", "WRONG")</f>
        <v/>
      </c>
    </row>
    <row r="28000">
      <c r="A28000" t="n">
        <v>27999</v>
      </c>
      <c r="B28000" t="inlineStr">
        <is>
          <t>x̄x̄V̅MMCMXCIX</t>
        </is>
      </c>
      <c r="C28000">
        <f>ROMAN(27999)</f>
        <v/>
      </c>
      <c r="D28000">
        <f>IF(B28000=C28000, "YES", "WRONG")</f>
        <v/>
      </c>
    </row>
    <row r="28001">
      <c r="A28001" t="n">
        <v>28000</v>
      </c>
      <c r="B28001" t="inlineStr">
        <is>
          <t>x̄x̄V̅MMM</t>
        </is>
      </c>
      <c r="C28001">
        <f>ROMAN(28000)</f>
        <v/>
      </c>
      <c r="D28001">
        <f>IF(B28001=C28001, "YES", "WRONG")</f>
        <v/>
      </c>
    </row>
    <row r="28002">
      <c r="A28002" t="n">
        <v>28001</v>
      </c>
      <c r="B28002" t="inlineStr">
        <is>
          <t>x̄x̄V̅MMMI</t>
        </is>
      </c>
      <c r="C28002">
        <f>ROMAN(28001)</f>
        <v/>
      </c>
      <c r="D28002">
        <f>IF(B28002=C28002, "YES", "WRONG")</f>
        <v/>
      </c>
    </row>
    <row r="28003">
      <c r="A28003" t="n">
        <v>28002</v>
      </c>
      <c r="B28003" t="inlineStr">
        <is>
          <t>x̄x̄V̅MMMII</t>
        </is>
      </c>
      <c r="C28003">
        <f>ROMAN(28002)</f>
        <v/>
      </c>
      <c r="D28003">
        <f>IF(B28003=C28003, "YES", "WRONG")</f>
        <v/>
      </c>
    </row>
    <row r="28004">
      <c r="A28004" t="n">
        <v>28003</v>
      </c>
      <c r="B28004" t="inlineStr">
        <is>
          <t>x̄x̄V̅MMMIII</t>
        </is>
      </c>
      <c r="C28004">
        <f>ROMAN(28003)</f>
        <v/>
      </c>
      <c r="D28004">
        <f>IF(B28004=C28004, "YES", "WRONG")</f>
        <v/>
      </c>
    </row>
    <row r="28005">
      <c r="A28005" t="n">
        <v>28004</v>
      </c>
      <c r="B28005" t="inlineStr">
        <is>
          <t>x̄x̄V̅MMMIV</t>
        </is>
      </c>
      <c r="C28005">
        <f>ROMAN(28004)</f>
        <v/>
      </c>
      <c r="D28005">
        <f>IF(B28005=C28005, "YES", "WRONG")</f>
        <v/>
      </c>
    </row>
    <row r="28006">
      <c r="A28006" t="n">
        <v>28005</v>
      </c>
      <c r="B28006" t="inlineStr">
        <is>
          <t>x̄x̄V̅MMMV</t>
        </is>
      </c>
      <c r="C28006">
        <f>ROMAN(28005)</f>
        <v/>
      </c>
      <c r="D28006">
        <f>IF(B28006=C28006, "YES", "WRONG")</f>
        <v/>
      </c>
    </row>
    <row r="28007">
      <c r="A28007" t="n">
        <v>28006</v>
      </c>
      <c r="B28007" t="inlineStr">
        <is>
          <t>x̄x̄V̅MMMVI</t>
        </is>
      </c>
      <c r="C28007">
        <f>ROMAN(28006)</f>
        <v/>
      </c>
      <c r="D28007">
        <f>IF(B28007=C28007, "YES", "WRONG")</f>
        <v/>
      </c>
    </row>
    <row r="28008">
      <c r="A28008" t="n">
        <v>28007</v>
      </c>
      <c r="B28008" t="inlineStr">
        <is>
          <t>x̄x̄V̅MMMVII</t>
        </is>
      </c>
      <c r="C28008">
        <f>ROMAN(28007)</f>
        <v/>
      </c>
      <c r="D28008">
        <f>IF(B28008=C28008, "YES", "WRONG")</f>
        <v/>
      </c>
    </row>
    <row r="28009">
      <c r="A28009" t="n">
        <v>28008</v>
      </c>
      <c r="B28009" t="inlineStr">
        <is>
          <t>x̄x̄V̅MMMVIII</t>
        </is>
      </c>
      <c r="C28009">
        <f>ROMAN(28008)</f>
        <v/>
      </c>
      <c r="D28009">
        <f>IF(B28009=C28009, "YES", "WRONG")</f>
        <v/>
      </c>
    </row>
    <row r="28010">
      <c r="A28010" t="n">
        <v>28009</v>
      </c>
      <c r="B28010" t="inlineStr">
        <is>
          <t>x̄x̄V̅MMMIX</t>
        </is>
      </c>
      <c r="C28010">
        <f>ROMAN(28009)</f>
        <v/>
      </c>
      <c r="D28010">
        <f>IF(B28010=C28010, "YES", "WRONG")</f>
        <v/>
      </c>
    </row>
    <row r="28011">
      <c r="A28011" t="n">
        <v>28010</v>
      </c>
      <c r="B28011" t="inlineStr">
        <is>
          <t>x̄x̄V̅MMMX</t>
        </is>
      </c>
      <c r="C28011">
        <f>ROMAN(28010)</f>
        <v/>
      </c>
      <c r="D28011">
        <f>IF(B28011=C28011, "YES", "WRONG")</f>
        <v/>
      </c>
    </row>
    <row r="28012">
      <c r="A28012" t="n">
        <v>28011</v>
      </c>
      <c r="B28012" t="inlineStr">
        <is>
          <t>x̄x̄V̅MMMXI</t>
        </is>
      </c>
      <c r="C28012">
        <f>ROMAN(28011)</f>
        <v/>
      </c>
      <c r="D28012">
        <f>IF(B28012=C28012, "YES", "WRONG")</f>
        <v/>
      </c>
    </row>
    <row r="28013">
      <c r="A28013" t="n">
        <v>28012</v>
      </c>
      <c r="B28013" t="inlineStr">
        <is>
          <t>x̄x̄V̅MMMXII</t>
        </is>
      </c>
      <c r="C28013">
        <f>ROMAN(28012)</f>
        <v/>
      </c>
      <c r="D28013">
        <f>IF(B28013=C28013, "YES", "WRONG")</f>
        <v/>
      </c>
    </row>
    <row r="28014">
      <c r="A28014" t="n">
        <v>28013</v>
      </c>
      <c r="B28014" t="inlineStr">
        <is>
          <t>x̄x̄V̅MMMXIII</t>
        </is>
      </c>
      <c r="C28014">
        <f>ROMAN(28013)</f>
        <v/>
      </c>
      <c r="D28014">
        <f>IF(B28014=C28014, "YES", "WRONG")</f>
        <v/>
      </c>
    </row>
    <row r="28015">
      <c r="A28015" t="n">
        <v>28014</v>
      </c>
      <c r="B28015" t="inlineStr">
        <is>
          <t>x̄x̄V̅MMMXIV</t>
        </is>
      </c>
      <c r="C28015">
        <f>ROMAN(28014)</f>
        <v/>
      </c>
      <c r="D28015">
        <f>IF(B28015=C28015, "YES", "WRONG")</f>
        <v/>
      </c>
    </row>
    <row r="28016">
      <c r="A28016" t="n">
        <v>28015</v>
      </c>
      <c r="B28016" t="inlineStr">
        <is>
          <t>x̄x̄V̅MMMXV</t>
        </is>
      </c>
      <c r="C28016">
        <f>ROMAN(28015)</f>
        <v/>
      </c>
      <c r="D28016">
        <f>IF(B28016=C28016, "YES", "WRONG")</f>
        <v/>
      </c>
    </row>
    <row r="28017">
      <c r="A28017" t="n">
        <v>28016</v>
      </c>
      <c r="B28017" t="inlineStr">
        <is>
          <t>x̄x̄V̅MMMXVI</t>
        </is>
      </c>
      <c r="C28017">
        <f>ROMAN(28016)</f>
        <v/>
      </c>
      <c r="D28017">
        <f>IF(B28017=C28017, "YES", "WRONG")</f>
        <v/>
      </c>
    </row>
    <row r="28018">
      <c r="A28018" t="n">
        <v>28017</v>
      </c>
      <c r="B28018" t="inlineStr">
        <is>
          <t>x̄x̄V̅MMMXVII</t>
        </is>
      </c>
      <c r="C28018">
        <f>ROMAN(28017)</f>
        <v/>
      </c>
      <c r="D28018">
        <f>IF(B28018=C28018, "YES", "WRONG")</f>
        <v/>
      </c>
    </row>
    <row r="28019">
      <c r="A28019" t="n">
        <v>28018</v>
      </c>
      <c r="B28019" t="inlineStr">
        <is>
          <t>x̄x̄V̅MMMXVIII</t>
        </is>
      </c>
      <c r="C28019">
        <f>ROMAN(28018)</f>
        <v/>
      </c>
      <c r="D28019">
        <f>IF(B28019=C28019, "YES", "WRONG")</f>
        <v/>
      </c>
    </row>
    <row r="28020">
      <c r="A28020" t="n">
        <v>28019</v>
      </c>
      <c r="B28020" t="inlineStr">
        <is>
          <t>x̄x̄V̅MMMXIX</t>
        </is>
      </c>
      <c r="C28020">
        <f>ROMAN(28019)</f>
        <v/>
      </c>
      <c r="D28020">
        <f>IF(B28020=C28020, "YES", "WRONG")</f>
        <v/>
      </c>
    </row>
    <row r="28021">
      <c r="A28021" t="n">
        <v>28020</v>
      </c>
      <c r="B28021" t="inlineStr">
        <is>
          <t>x̄x̄V̅MMMXX</t>
        </is>
      </c>
      <c r="C28021">
        <f>ROMAN(28020)</f>
        <v/>
      </c>
      <c r="D28021">
        <f>IF(B28021=C28021, "YES", "WRONG")</f>
        <v/>
      </c>
    </row>
    <row r="28022">
      <c r="A28022" t="n">
        <v>28021</v>
      </c>
      <c r="B28022" t="inlineStr">
        <is>
          <t>x̄x̄V̅MMMXXI</t>
        </is>
      </c>
      <c r="C28022">
        <f>ROMAN(28021)</f>
        <v/>
      </c>
      <c r="D28022">
        <f>IF(B28022=C28022, "YES", "WRONG")</f>
        <v/>
      </c>
    </row>
    <row r="28023">
      <c r="A28023" t="n">
        <v>28022</v>
      </c>
      <c r="B28023" t="inlineStr">
        <is>
          <t>x̄x̄V̅MMMXXII</t>
        </is>
      </c>
      <c r="C28023">
        <f>ROMAN(28022)</f>
        <v/>
      </c>
      <c r="D28023">
        <f>IF(B28023=C28023, "YES", "WRONG")</f>
        <v/>
      </c>
    </row>
    <row r="28024">
      <c r="A28024" t="n">
        <v>28023</v>
      </c>
      <c r="B28024" t="inlineStr">
        <is>
          <t>x̄x̄V̅MMMXXIII</t>
        </is>
      </c>
      <c r="C28024">
        <f>ROMAN(28023)</f>
        <v/>
      </c>
      <c r="D28024">
        <f>IF(B28024=C28024, "YES", "WRONG")</f>
        <v/>
      </c>
    </row>
    <row r="28025">
      <c r="A28025" t="n">
        <v>28024</v>
      </c>
      <c r="B28025" t="inlineStr">
        <is>
          <t>x̄x̄V̅MMMXXIV</t>
        </is>
      </c>
      <c r="C28025">
        <f>ROMAN(28024)</f>
        <v/>
      </c>
      <c r="D28025">
        <f>IF(B28025=C28025, "YES", "WRONG")</f>
        <v/>
      </c>
    </row>
    <row r="28026">
      <c r="A28026" t="n">
        <v>28025</v>
      </c>
      <c r="B28026" t="inlineStr">
        <is>
          <t>x̄x̄V̅MMMXXV</t>
        </is>
      </c>
      <c r="C28026">
        <f>ROMAN(28025)</f>
        <v/>
      </c>
      <c r="D28026">
        <f>IF(B28026=C28026, "YES", "WRONG")</f>
        <v/>
      </c>
    </row>
    <row r="28027">
      <c r="A28027" t="n">
        <v>28026</v>
      </c>
      <c r="B28027" t="inlineStr">
        <is>
          <t>x̄x̄V̅MMMXXVI</t>
        </is>
      </c>
      <c r="C28027">
        <f>ROMAN(28026)</f>
        <v/>
      </c>
      <c r="D28027">
        <f>IF(B28027=C28027, "YES", "WRONG")</f>
        <v/>
      </c>
    </row>
    <row r="28028">
      <c r="A28028" t="n">
        <v>28027</v>
      </c>
      <c r="B28028" t="inlineStr">
        <is>
          <t>x̄x̄V̅MMMXXVII</t>
        </is>
      </c>
      <c r="C28028">
        <f>ROMAN(28027)</f>
        <v/>
      </c>
      <c r="D28028">
        <f>IF(B28028=C28028, "YES", "WRONG")</f>
        <v/>
      </c>
    </row>
    <row r="28029">
      <c r="A28029" t="n">
        <v>28028</v>
      </c>
      <c r="B28029" t="inlineStr">
        <is>
          <t>x̄x̄V̅MMMXXVIII</t>
        </is>
      </c>
      <c r="C28029">
        <f>ROMAN(28028)</f>
        <v/>
      </c>
      <c r="D28029">
        <f>IF(B28029=C28029, "YES", "WRONG")</f>
        <v/>
      </c>
    </row>
    <row r="28030">
      <c r="A28030" t="n">
        <v>28029</v>
      </c>
      <c r="B28030" t="inlineStr">
        <is>
          <t>x̄x̄V̅MMMXXIX</t>
        </is>
      </c>
      <c r="C28030">
        <f>ROMAN(28029)</f>
        <v/>
      </c>
      <c r="D28030">
        <f>IF(B28030=C28030, "YES", "WRONG")</f>
        <v/>
      </c>
    </row>
    <row r="28031">
      <c r="A28031" t="n">
        <v>28030</v>
      </c>
      <c r="B28031" t="inlineStr">
        <is>
          <t>x̄x̄V̅MMMXXX</t>
        </is>
      </c>
      <c r="C28031">
        <f>ROMAN(28030)</f>
        <v/>
      </c>
      <c r="D28031">
        <f>IF(B28031=C28031, "YES", "WRONG")</f>
        <v/>
      </c>
    </row>
    <row r="28032">
      <c r="A28032" t="n">
        <v>28031</v>
      </c>
      <c r="B28032" t="inlineStr">
        <is>
          <t>x̄x̄V̅MMMXXXI</t>
        </is>
      </c>
      <c r="C28032">
        <f>ROMAN(28031)</f>
        <v/>
      </c>
      <c r="D28032">
        <f>IF(B28032=C28032, "YES", "WRONG")</f>
        <v/>
      </c>
    </row>
    <row r="28033">
      <c r="A28033" t="n">
        <v>28032</v>
      </c>
      <c r="B28033" t="inlineStr">
        <is>
          <t>x̄x̄V̅MMMXXXII</t>
        </is>
      </c>
      <c r="C28033">
        <f>ROMAN(28032)</f>
        <v/>
      </c>
      <c r="D28033">
        <f>IF(B28033=C28033, "YES", "WRONG")</f>
        <v/>
      </c>
    </row>
    <row r="28034">
      <c r="A28034" t="n">
        <v>28033</v>
      </c>
      <c r="B28034" t="inlineStr">
        <is>
          <t>x̄x̄V̅MMMXXXIII</t>
        </is>
      </c>
      <c r="C28034">
        <f>ROMAN(28033)</f>
        <v/>
      </c>
      <c r="D28034">
        <f>IF(B28034=C28034, "YES", "WRONG")</f>
        <v/>
      </c>
    </row>
    <row r="28035">
      <c r="A28035" t="n">
        <v>28034</v>
      </c>
      <c r="B28035" t="inlineStr">
        <is>
          <t>x̄x̄V̅MMMXXXIV</t>
        </is>
      </c>
      <c r="C28035">
        <f>ROMAN(28034)</f>
        <v/>
      </c>
      <c r="D28035">
        <f>IF(B28035=C28035, "YES", "WRONG")</f>
        <v/>
      </c>
    </row>
    <row r="28036">
      <c r="A28036" t="n">
        <v>28035</v>
      </c>
      <c r="B28036" t="inlineStr">
        <is>
          <t>x̄x̄V̅MMMXXXV</t>
        </is>
      </c>
      <c r="C28036">
        <f>ROMAN(28035)</f>
        <v/>
      </c>
      <c r="D28036">
        <f>IF(B28036=C28036, "YES", "WRONG")</f>
        <v/>
      </c>
    </row>
    <row r="28037">
      <c r="A28037" t="n">
        <v>28036</v>
      </c>
      <c r="B28037" t="inlineStr">
        <is>
          <t>x̄x̄V̅MMMXXXVI</t>
        </is>
      </c>
      <c r="C28037">
        <f>ROMAN(28036)</f>
        <v/>
      </c>
      <c r="D28037">
        <f>IF(B28037=C28037, "YES", "WRONG")</f>
        <v/>
      </c>
    </row>
    <row r="28038">
      <c r="A28038" t="n">
        <v>28037</v>
      </c>
      <c r="B28038" t="inlineStr">
        <is>
          <t>x̄x̄V̅MMMXXXVII</t>
        </is>
      </c>
      <c r="C28038">
        <f>ROMAN(28037)</f>
        <v/>
      </c>
      <c r="D28038">
        <f>IF(B28038=C28038, "YES", "WRONG")</f>
        <v/>
      </c>
    </row>
    <row r="28039">
      <c r="A28039" t="n">
        <v>28038</v>
      </c>
      <c r="B28039" t="inlineStr">
        <is>
          <t>x̄x̄V̅MMMXXXVIII</t>
        </is>
      </c>
      <c r="C28039">
        <f>ROMAN(28038)</f>
        <v/>
      </c>
      <c r="D28039">
        <f>IF(B28039=C28039, "YES", "WRONG")</f>
        <v/>
      </c>
    </row>
    <row r="28040">
      <c r="A28040" t="n">
        <v>28039</v>
      </c>
      <c r="B28040" t="inlineStr">
        <is>
          <t>x̄x̄V̅MMMXXXIX</t>
        </is>
      </c>
      <c r="C28040">
        <f>ROMAN(28039)</f>
        <v/>
      </c>
      <c r="D28040">
        <f>IF(B28040=C28040, "YES", "WRONG")</f>
        <v/>
      </c>
    </row>
    <row r="28041">
      <c r="A28041" t="n">
        <v>28040</v>
      </c>
      <c r="B28041" t="inlineStr">
        <is>
          <t>x̄x̄V̅MMMXL</t>
        </is>
      </c>
      <c r="C28041">
        <f>ROMAN(28040)</f>
        <v/>
      </c>
      <c r="D28041">
        <f>IF(B28041=C28041, "YES", "WRONG")</f>
        <v/>
      </c>
    </row>
    <row r="28042">
      <c r="A28042" t="n">
        <v>28041</v>
      </c>
      <c r="B28042" t="inlineStr">
        <is>
          <t>x̄x̄V̅MMMXLI</t>
        </is>
      </c>
      <c r="C28042">
        <f>ROMAN(28041)</f>
        <v/>
      </c>
      <c r="D28042">
        <f>IF(B28042=C28042, "YES", "WRONG")</f>
        <v/>
      </c>
    </row>
    <row r="28043">
      <c r="A28043" t="n">
        <v>28042</v>
      </c>
      <c r="B28043" t="inlineStr">
        <is>
          <t>x̄x̄V̅MMMXLII</t>
        </is>
      </c>
      <c r="C28043">
        <f>ROMAN(28042)</f>
        <v/>
      </c>
      <c r="D28043">
        <f>IF(B28043=C28043, "YES", "WRONG")</f>
        <v/>
      </c>
    </row>
    <row r="28044">
      <c r="A28044" t="n">
        <v>28043</v>
      </c>
      <c r="B28044" t="inlineStr">
        <is>
          <t>x̄x̄V̅MMMXLIII</t>
        </is>
      </c>
      <c r="C28044">
        <f>ROMAN(28043)</f>
        <v/>
      </c>
      <c r="D28044">
        <f>IF(B28044=C28044, "YES", "WRONG")</f>
        <v/>
      </c>
    </row>
    <row r="28045">
      <c r="A28045" t="n">
        <v>28044</v>
      </c>
      <c r="B28045" t="inlineStr">
        <is>
          <t>x̄x̄V̅MMMXLIV</t>
        </is>
      </c>
      <c r="C28045">
        <f>ROMAN(28044)</f>
        <v/>
      </c>
      <c r="D28045">
        <f>IF(B28045=C28045, "YES", "WRONG")</f>
        <v/>
      </c>
    </row>
    <row r="28046">
      <c r="A28046" t="n">
        <v>28045</v>
      </c>
      <c r="B28046" t="inlineStr">
        <is>
          <t>x̄x̄V̅MMMXLV</t>
        </is>
      </c>
      <c r="C28046">
        <f>ROMAN(28045)</f>
        <v/>
      </c>
      <c r="D28046">
        <f>IF(B28046=C28046, "YES", "WRONG")</f>
        <v/>
      </c>
    </row>
    <row r="28047">
      <c r="A28047" t="n">
        <v>28046</v>
      </c>
      <c r="B28047" t="inlineStr">
        <is>
          <t>x̄x̄V̅MMMXLVI</t>
        </is>
      </c>
      <c r="C28047">
        <f>ROMAN(28046)</f>
        <v/>
      </c>
      <c r="D28047">
        <f>IF(B28047=C28047, "YES", "WRONG")</f>
        <v/>
      </c>
    </row>
    <row r="28048">
      <c r="A28048" t="n">
        <v>28047</v>
      </c>
      <c r="B28048" t="inlineStr">
        <is>
          <t>x̄x̄V̅MMMXLVII</t>
        </is>
      </c>
      <c r="C28048">
        <f>ROMAN(28047)</f>
        <v/>
      </c>
      <c r="D28048">
        <f>IF(B28048=C28048, "YES", "WRONG")</f>
        <v/>
      </c>
    </row>
    <row r="28049">
      <c r="A28049" t="n">
        <v>28048</v>
      </c>
      <c r="B28049" t="inlineStr">
        <is>
          <t>x̄x̄V̅MMMXLVIII</t>
        </is>
      </c>
      <c r="C28049">
        <f>ROMAN(28048)</f>
        <v/>
      </c>
      <c r="D28049">
        <f>IF(B28049=C28049, "YES", "WRONG")</f>
        <v/>
      </c>
    </row>
    <row r="28050">
      <c r="A28050" t="n">
        <v>28049</v>
      </c>
      <c r="B28050" t="inlineStr">
        <is>
          <t>x̄x̄V̅MMMXLIX</t>
        </is>
      </c>
      <c r="C28050">
        <f>ROMAN(28049)</f>
        <v/>
      </c>
      <c r="D28050">
        <f>IF(B28050=C28050, "YES", "WRONG")</f>
        <v/>
      </c>
    </row>
    <row r="28051">
      <c r="A28051" t="n">
        <v>28050</v>
      </c>
      <c r="B28051" t="inlineStr">
        <is>
          <t>x̄x̄V̅MMML</t>
        </is>
      </c>
      <c r="C28051">
        <f>ROMAN(28050)</f>
        <v/>
      </c>
      <c r="D28051">
        <f>IF(B28051=C28051, "YES", "WRONG")</f>
        <v/>
      </c>
    </row>
    <row r="28052">
      <c r="A28052" t="n">
        <v>28051</v>
      </c>
      <c r="B28052" t="inlineStr">
        <is>
          <t>x̄x̄V̅MMMLI</t>
        </is>
      </c>
      <c r="C28052">
        <f>ROMAN(28051)</f>
        <v/>
      </c>
      <c r="D28052">
        <f>IF(B28052=C28052, "YES", "WRONG")</f>
        <v/>
      </c>
    </row>
    <row r="28053">
      <c r="A28053" t="n">
        <v>28052</v>
      </c>
      <c r="B28053" t="inlineStr">
        <is>
          <t>x̄x̄V̅MMMLII</t>
        </is>
      </c>
      <c r="C28053">
        <f>ROMAN(28052)</f>
        <v/>
      </c>
      <c r="D28053">
        <f>IF(B28053=C28053, "YES", "WRONG")</f>
        <v/>
      </c>
    </row>
    <row r="28054">
      <c r="A28054" t="n">
        <v>28053</v>
      </c>
      <c r="B28054" t="inlineStr">
        <is>
          <t>x̄x̄V̅MMMLIII</t>
        </is>
      </c>
      <c r="C28054">
        <f>ROMAN(28053)</f>
        <v/>
      </c>
      <c r="D28054">
        <f>IF(B28054=C28054, "YES", "WRONG")</f>
        <v/>
      </c>
    </row>
    <row r="28055">
      <c r="A28055" t="n">
        <v>28054</v>
      </c>
      <c r="B28055" t="inlineStr">
        <is>
          <t>x̄x̄V̅MMMLIV</t>
        </is>
      </c>
      <c r="C28055">
        <f>ROMAN(28054)</f>
        <v/>
      </c>
      <c r="D28055">
        <f>IF(B28055=C28055, "YES", "WRONG")</f>
        <v/>
      </c>
    </row>
    <row r="28056">
      <c r="A28056" t="n">
        <v>28055</v>
      </c>
      <c r="B28056" t="inlineStr">
        <is>
          <t>x̄x̄V̅MMMLV</t>
        </is>
      </c>
      <c r="C28056">
        <f>ROMAN(28055)</f>
        <v/>
      </c>
      <c r="D28056">
        <f>IF(B28056=C28056, "YES", "WRONG")</f>
        <v/>
      </c>
    </row>
    <row r="28057">
      <c r="A28057" t="n">
        <v>28056</v>
      </c>
      <c r="B28057" t="inlineStr">
        <is>
          <t>x̄x̄V̅MMMLVI</t>
        </is>
      </c>
      <c r="C28057">
        <f>ROMAN(28056)</f>
        <v/>
      </c>
      <c r="D28057">
        <f>IF(B28057=C28057, "YES", "WRONG")</f>
        <v/>
      </c>
    </row>
    <row r="28058">
      <c r="A28058" t="n">
        <v>28057</v>
      </c>
      <c r="B28058" t="inlineStr">
        <is>
          <t>x̄x̄V̅MMMLVII</t>
        </is>
      </c>
      <c r="C28058">
        <f>ROMAN(28057)</f>
        <v/>
      </c>
      <c r="D28058">
        <f>IF(B28058=C28058, "YES", "WRONG")</f>
        <v/>
      </c>
    </row>
    <row r="28059">
      <c r="A28059" t="n">
        <v>28058</v>
      </c>
      <c r="B28059" t="inlineStr">
        <is>
          <t>x̄x̄V̅MMMLVIII</t>
        </is>
      </c>
      <c r="C28059">
        <f>ROMAN(28058)</f>
        <v/>
      </c>
      <c r="D28059">
        <f>IF(B28059=C28059, "YES", "WRONG")</f>
        <v/>
      </c>
    </row>
    <row r="28060">
      <c r="A28060" t="n">
        <v>28059</v>
      </c>
      <c r="B28060" t="inlineStr">
        <is>
          <t>x̄x̄V̅MMMLIX</t>
        </is>
      </c>
      <c r="C28060">
        <f>ROMAN(28059)</f>
        <v/>
      </c>
      <c r="D28060">
        <f>IF(B28060=C28060, "YES", "WRONG")</f>
        <v/>
      </c>
    </row>
    <row r="28061">
      <c r="A28061" t="n">
        <v>28060</v>
      </c>
      <c r="B28061" t="inlineStr">
        <is>
          <t>x̄x̄V̅MMMLX</t>
        </is>
      </c>
      <c r="C28061">
        <f>ROMAN(28060)</f>
        <v/>
      </c>
      <c r="D28061">
        <f>IF(B28061=C28061, "YES", "WRONG")</f>
        <v/>
      </c>
    </row>
    <row r="28062">
      <c r="A28062" t="n">
        <v>28061</v>
      </c>
      <c r="B28062" t="inlineStr">
        <is>
          <t>x̄x̄V̅MMMLXI</t>
        </is>
      </c>
      <c r="C28062">
        <f>ROMAN(28061)</f>
        <v/>
      </c>
      <c r="D28062">
        <f>IF(B28062=C28062, "YES", "WRONG")</f>
        <v/>
      </c>
    </row>
    <row r="28063">
      <c r="A28063" t="n">
        <v>28062</v>
      </c>
      <c r="B28063" t="inlineStr">
        <is>
          <t>x̄x̄V̅MMMLXII</t>
        </is>
      </c>
      <c r="C28063">
        <f>ROMAN(28062)</f>
        <v/>
      </c>
      <c r="D28063">
        <f>IF(B28063=C28063, "YES", "WRONG")</f>
        <v/>
      </c>
    </row>
    <row r="28064">
      <c r="A28064" t="n">
        <v>28063</v>
      </c>
      <c r="B28064" t="inlineStr">
        <is>
          <t>x̄x̄V̅MMMLXIII</t>
        </is>
      </c>
      <c r="C28064">
        <f>ROMAN(28063)</f>
        <v/>
      </c>
      <c r="D28064">
        <f>IF(B28064=C28064, "YES", "WRONG")</f>
        <v/>
      </c>
    </row>
    <row r="28065">
      <c r="A28065" t="n">
        <v>28064</v>
      </c>
      <c r="B28065" t="inlineStr">
        <is>
          <t>x̄x̄V̅MMMLXIV</t>
        </is>
      </c>
      <c r="C28065">
        <f>ROMAN(28064)</f>
        <v/>
      </c>
      <c r="D28065">
        <f>IF(B28065=C28065, "YES", "WRONG")</f>
        <v/>
      </c>
    </row>
    <row r="28066">
      <c r="A28066" t="n">
        <v>28065</v>
      </c>
      <c r="B28066" t="inlineStr">
        <is>
          <t>x̄x̄V̅MMMLXV</t>
        </is>
      </c>
      <c r="C28066">
        <f>ROMAN(28065)</f>
        <v/>
      </c>
      <c r="D28066">
        <f>IF(B28066=C28066, "YES", "WRONG")</f>
        <v/>
      </c>
    </row>
    <row r="28067">
      <c r="A28067" t="n">
        <v>28066</v>
      </c>
      <c r="B28067" t="inlineStr">
        <is>
          <t>x̄x̄V̅MMMLXVI</t>
        </is>
      </c>
      <c r="C28067">
        <f>ROMAN(28066)</f>
        <v/>
      </c>
      <c r="D28067">
        <f>IF(B28067=C28067, "YES", "WRONG")</f>
        <v/>
      </c>
    </row>
    <row r="28068">
      <c r="A28068" t="n">
        <v>28067</v>
      </c>
      <c r="B28068" t="inlineStr">
        <is>
          <t>x̄x̄V̅MMMLXVII</t>
        </is>
      </c>
      <c r="C28068">
        <f>ROMAN(28067)</f>
        <v/>
      </c>
      <c r="D28068">
        <f>IF(B28068=C28068, "YES", "WRONG")</f>
        <v/>
      </c>
    </row>
    <row r="28069">
      <c r="A28069" t="n">
        <v>28068</v>
      </c>
      <c r="B28069" t="inlineStr">
        <is>
          <t>x̄x̄V̅MMMLXVIII</t>
        </is>
      </c>
      <c r="C28069">
        <f>ROMAN(28068)</f>
        <v/>
      </c>
      <c r="D28069">
        <f>IF(B28069=C28069, "YES", "WRONG")</f>
        <v/>
      </c>
    </row>
    <row r="28070">
      <c r="A28070" t="n">
        <v>28069</v>
      </c>
      <c r="B28070" t="inlineStr">
        <is>
          <t>x̄x̄V̅MMMLXIX</t>
        </is>
      </c>
      <c r="C28070">
        <f>ROMAN(28069)</f>
        <v/>
      </c>
      <c r="D28070">
        <f>IF(B28070=C28070, "YES", "WRONG")</f>
        <v/>
      </c>
    </row>
    <row r="28071">
      <c r="A28071" t="n">
        <v>28070</v>
      </c>
      <c r="B28071" t="inlineStr">
        <is>
          <t>x̄x̄V̅MMMLXX</t>
        </is>
      </c>
      <c r="C28071">
        <f>ROMAN(28070)</f>
        <v/>
      </c>
      <c r="D28071">
        <f>IF(B28071=C28071, "YES", "WRONG")</f>
        <v/>
      </c>
    </row>
    <row r="28072">
      <c r="A28072" t="n">
        <v>28071</v>
      </c>
      <c r="B28072" t="inlineStr">
        <is>
          <t>x̄x̄V̅MMMLXXI</t>
        </is>
      </c>
      <c r="C28072">
        <f>ROMAN(28071)</f>
        <v/>
      </c>
      <c r="D28072">
        <f>IF(B28072=C28072, "YES", "WRONG")</f>
        <v/>
      </c>
    </row>
    <row r="28073">
      <c r="A28073" t="n">
        <v>28072</v>
      </c>
      <c r="B28073" t="inlineStr">
        <is>
          <t>x̄x̄V̅MMMLXXII</t>
        </is>
      </c>
      <c r="C28073">
        <f>ROMAN(28072)</f>
        <v/>
      </c>
      <c r="D28073">
        <f>IF(B28073=C28073, "YES", "WRONG")</f>
        <v/>
      </c>
    </row>
    <row r="28074">
      <c r="A28074" t="n">
        <v>28073</v>
      </c>
      <c r="B28074" t="inlineStr">
        <is>
          <t>x̄x̄V̅MMMLXXIII</t>
        </is>
      </c>
      <c r="C28074">
        <f>ROMAN(28073)</f>
        <v/>
      </c>
      <c r="D28074">
        <f>IF(B28074=C28074, "YES", "WRONG")</f>
        <v/>
      </c>
    </row>
    <row r="28075">
      <c r="A28075" t="n">
        <v>28074</v>
      </c>
      <c r="B28075" t="inlineStr">
        <is>
          <t>x̄x̄V̅MMMLXXIV</t>
        </is>
      </c>
      <c r="C28075">
        <f>ROMAN(28074)</f>
        <v/>
      </c>
      <c r="D28075">
        <f>IF(B28075=C28075, "YES", "WRONG")</f>
        <v/>
      </c>
    </row>
    <row r="28076">
      <c r="A28076" t="n">
        <v>28075</v>
      </c>
      <c r="B28076" t="inlineStr">
        <is>
          <t>x̄x̄V̅MMMLXXV</t>
        </is>
      </c>
      <c r="C28076">
        <f>ROMAN(28075)</f>
        <v/>
      </c>
      <c r="D28076">
        <f>IF(B28076=C28076, "YES", "WRONG")</f>
        <v/>
      </c>
    </row>
    <row r="28077">
      <c r="A28077" t="n">
        <v>28076</v>
      </c>
      <c r="B28077" t="inlineStr">
        <is>
          <t>x̄x̄V̅MMMLXXVI</t>
        </is>
      </c>
      <c r="C28077">
        <f>ROMAN(28076)</f>
        <v/>
      </c>
      <c r="D28077">
        <f>IF(B28077=C28077, "YES", "WRONG")</f>
        <v/>
      </c>
    </row>
    <row r="28078">
      <c r="A28078" t="n">
        <v>28077</v>
      </c>
      <c r="B28078" t="inlineStr">
        <is>
          <t>x̄x̄V̅MMMLXXVII</t>
        </is>
      </c>
      <c r="C28078">
        <f>ROMAN(28077)</f>
        <v/>
      </c>
      <c r="D28078">
        <f>IF(B28078=C28078, "YES", "WRONG")</f>
        <v/>
      </c>
    </row>
    <row r="28079">
      <c r="A28079" t="n">
        <v>28078</v>
      </c>
      <c r="B28079" t="inlineStr">
        <is>
          <t>x̄x̄V̅MMMLXXVIII</t>
        </is>
      </c>
      <c r="C28079">
        <f>ROMAN(28078)</f>
        <v/>
      </c>
      <c r="D28079">
        <f>IF(B28079=C28079, "YES", "WRONG")</f>
        <v/>
      </c>
    </row>
    <row r="28080">
      <c r="A28080" t="n">
        <v>28079</v>
      </c>
      <c r="B28080" t="inlineStr">
        <is>
          <t>x̄x̄V̅MMMLXXIX</t>
        </is>
      </c>
      <c r="C28080">
        <f>ROMAN(28079)</f>
        <v/>
      </c>
      <c r="D28080">
        <f>IF(B28080=C28080, "YES", "WRONG")</f>
        <v/>
      </c>
    </row>
    <row r="28081">
      <c r="A28081" t="n">
        <v>28080</v>
      </c>
      <c r="B28081" t="inlineStr">
        <is>
          <t>x̄x̄V̅MMMLXXX</t>
        </is>
      </c>
      <c r="C28081">
        <f>ROMAN(28080)</f>
        <v/>
      </c>
      <c r="D28081">
        <f>IF(B28081=C28081, "YES", "WRONG")</f>
        <v/>
      </c>
    </row>
    <row r="28082">
      <c r="A28082" t="n">
        <v>28081</v>
      </c>
      <c r="B28082" t="inlineStr">
        <is>
          <t>x̄x̄V̅MMMLXXXI</t>
        </is>
      </c>
      <c r="C28082">
        <f>ROMAN(28081)</f>
        <v/>
      </c>
      <c r="D28082">
        <f>IF(B28082=C28082, "YES", "WRONG")</f>
        <v/>
      </c>
    </row>
    <row r="28083">
      <c r="A28083" t="n">
        <v>28082</v>
      </c>
      <c r="B28083" t="inlineStr">
        <is>
          <t>x̄x̄V̅MMMLXXXII</t>
        </is>
      </c>
      <c r="C28083">
        <f>ROMAN(28082)</f>
        <v/>
      </c>
      <c r="D28083">
        <f>IF(B28083=C28083, "YES", "WRONG")</f>
        <v/>
      </c>
    </row>
    <row r="28084">
      <c r="A28084" t="n">
        <v>28083</v>
      </c>
      <c r="B28084" t="inlineStr">
        <is>
          <t>x̄x̄V̅MMMLXXXIII</t>
        </is>
      </c>
      <c r="C28084">
        <f>ROMAN(28083)</f>
        <v/>
      </c>
      <c r="D28084">
        <f>IF(B28084=C28084, "YES", "WRONG")</f>
        <v/>
      </c>
    </row>
    <row r="28085">
      <c r="A28085" t="n">
        <v>28084</v>
      </c>
      <c r="B28085" t="inlineStr">
        <is>
          <t>x̄x̄V̅MMMLXXXIV</t>
        </is>
      </c>
      <c r="C28085">
        <f>ROMAN(28084)</f>
        <v/>
      </c>
      <c r="D28085">
        <f>IF(B28085=C28085, "YES", "WRONG")</f>
        <v/>
      </c>
    </row>
    <row r="28086">
      <c r="A28086" t="n">
        <v>28085</v>
      </c>
      <c r="B28086" t="inlineStr">
        <is>
          <t>x̄x̄V̅MMMLXXXV</t>
        </is>
      </c>
      <c r="C28086">
        <f>ROMAN(28085)</f>
        <v/>
      </c>
      <c r="D28086">
        <f>IF(B28086=C28086, "YES", "WRONG")</f>
        <v/>
      </c>
    </row>
    <row r="28087">
      <c r="A28087" t="n">
        <v>28086</v>
      </c>
      <c r="B28087" t="inlineStr">
        <is>
          <t>x̄x̄V̅MMMLXXXVI</t>
        </is>
      </c>
      <c r="C28087">
        <f>ROMAN(28086)</f>
        <v/>
      </c>
      <c r="D28087">
        <f>IF(B28087=C28087, "YES", "WRONG")</f>
        <v/>
      </c>
    </row>
    <row r="28088">
      <c r="A28088" t="n">
        <v>28087</v>
      </c>
      <c r="B28088" t="inlineStr">
        <is>
          <t>x̄x̄V̅MMMLXXXVII</t>
        </is>
      </c>
      <c r="C28088">
        <f>ROMAN(28087)</f>
        <v/>
      </c>
      <c r="D28088">
        <f>IF(B28088=C28088, "YES", "WRONG")</f>
        <v/>
      </c>
    </row>
    <row r="28089">
      <c r="A28089" t="n">
        <v>28088</v>
      </c>
      <c r="B28089" t="inlineStr">
        <is>
          <t>x̄x̄V̅MMMLXXXVIII</t>
        </is>
      </c>
      <c r="C28089">
        <f>ROMAN(28088)</f>
        <v/>
      </c>
      <c r="D28089">
        <f>IF(B28089=C28089, "YES", "WRONG")</f>
        <v/>
      </c>
    </row>
    <row r="28090">
      <c r="A28090" t="n">
        <v>28089</v>
      </c>
      <c r="B28090" t="inlineStr">
        <is>
          <t>x̄x̄V̅MMMLXXXIX</t>
        </is>
      </c>
      <c r="C28090">
        <f>ROMAN(28089)</f>
        <v/>
      </c>
      <c r="D28090">
        <f>IF(B28090=C28090, "YES", "WRONG")</f>
        <v/>
      </c>
    </row>
    <row r="28091">
      <c r="A28091" t="n">
        <v>28090</v>
      </c>
      <c r="B28091" t="inlineStr">
        <is>
          <t>x̄x̄V̅MMMXC</t>
        </is>
      </c>
      <c r="C28091">
        <f>ROMAN(28090)</f>
        <v/>
      </c>
      <c r="D28091">
        <f>IF(B28091=C28091, "YES", "WRONG")</f>
        <v/>
      </c>
    </row>
    <row r="28092">
      <c r="A28092" t="n">
        <v>28091</v>
      </c>
      <c r="B28092" t="inlineStr">
        <is>
          <t>x̄x̄V̅MMMXCI</t>
        </is>
      </c>
      <c r="C28092">
        <f>ROMAN(28091)</f>
        <v/>
      </c>
      <c r="D28092">
        <f>IF(B28092=C28092, "YES", "WRONG")</f>
        <v/>
      </c>
    </row>
    <row r="28093">
      <c r="A28093" t="n">
        <v>28092</v>
      </c>
      <c r="B28093" t="inlineStr">
        <is>
          <t>x̄x̄V̅MMMXCII</t>
        </is>
      </c>
      <c r="C28093">
        <f>ROMAN(28092)</f>
        <v/>
      </c>
      <c r="D28093">
        <f>IF(B28093=C28093, "YES", "WRONG")</f>
        <v/>
      </c>
    </row>
    <row r="28094">
      <c r="A28094" t="n">
        <v>28093</v>
      </c>
      <c r="B28094" t="inlineStr">
        <is>
          <t>x̄x̄V̅MMMXCIII</t>
        </is>
      </c>
      <c r="C28094">
        <f>ROMAN(28093)</f>
        <v/>
      </c>
      <c r="D28094">
        <f>IF(B28094=C28094, "YES", "WRONG")</f>
        <v/>
      </c>
    </row>
    <row r="28095">
      <c r="A28095" t="n">
        <v>28094</v>
      </c>
      <c r="B28095" t="inlineStr">
        <is>
          <t>x̄x̄V̅MMMXCIV</t>
        </is>
      </c>
      <c r="C28095">
        <f>ROMAN(28094)</f>
        <v/>
      </c>
      <c r="D28095">
        <f>IF(B28095=C28095, "YES", "WRONG")</f>
        <v/>
      </c>
    </row>
    <row r="28096">
      <c r="A28096" t="n">
        <v>28095</v>
      </c>
      <c r="B28096" t="inlineStr">
        <is>
          <t>x̄x̄V̅MMMXCV</t>
        </is>
      </c>
      <c r="C28096">
        <f>ROMAN(28095)</f>
        <v/>
      </c>
      <c r="D28096">
        <f>IF(B28096=C28096, "YES", "WRONG")</f>
        <v/>
      </c>
    </row>
    <row r="28097">
      <c r="A28097" t="n">
        <v>28096</v>
      </c>
      <c r="B28097" t="inlineStr">
        <is>
          <t>x̄x̄V̅MMMXCVI</t>
        </is>
      </c>
      <c r="C28097">
        <f>ROMAN(28096)</f>
        <v/>
      </c>
      <c r="D28097">
        <f>IF(B28097=C28097, "YES", "WRONG")</f>
        <v/>
      </c>
    </row>
    <row r="28098">
      <c r="A28098" t="n">
        <v>28097</v>
      </c>
      <c r="B28098" t="inlineStr">
        <is>
          <t>x̄x̄V̅MMMXCVII</t>
        </is>
      </c>
      <c r="C28098">
        <f>ROMAN(28097)</f>
        <v/>
      </c>
      <c r="D28098">
        <f>IF(B28098=C28098, "YES", "WRONG")</f>
        <v/>
      </c>
    </row>
    <row r="28099">
      <c r="A28099" t="n">
        <v>28098</v>
      </c>
      <c r="B28099" t="inlineStr">
        <is>
          <t>x̄x̄V̅MMMXCVIII</t>
        </is>
      </c>
      <c r="C28099">
        <f>ROMAN(28098)</f>
        <v/>
      </c>
      <c r="D28099">
        <f>IF(B28099=C28099, "YES", "WRONG")</f>
        <v/>
      </c>
    </row>
    <row r="28100">
      <c r="A28100" t="n">
        <v>28099</v>
      </c>
      <c r="B28100" t="inlineStr">
        <is>
          <t>x̄x̄V̅MMMXCIX</t>
        </is>
      </c>
      <c r="C28100">
        <f>ROMAN(28099)</f>
        <v/>
      </c>
      <c r="D28100">
        <f>IF(B28100=C28100, "YES", "WRONG")</f>
        <v/>
      </c>
    </row>
    <row r="28101">
      <c r="A28101" t="n">
        <v>28100</v>
      </c>
      <c r="B28101" t="inlineStr">
        <is>
          <t>x̄x̄V̅MMMC</t>
        </is>
      </c>
      <c r="C28101">
        <f>ROMAN(28100)</f>
        <v/>
      </c>
      <c r="D28101">
        <f>IF(B28101=C28101, "YES", "WRONG")</f>
        <v/>
      </c>
    </row>
    <row r="28102">
      <c r="A28102" t="n">
        <v>28101</v>
      </c>
      <c r="B28102" t="inlineStr">
        <is>
          <t>x̄x̄V̅MMMCI</t>
        </is>
      </c>
      <c r="C28102">
        <f>ROMAN(28101)</f>
        <v/>
      </c>
      <c r="D28102">
        <f>IF(B28102=C28102, "YES", "WRONG")</f>
        <v/>
      </c>
    </row>
    <row r="28103">
      <c r="A28103" t="n">
        <v>28102</v>
      </c>
      <c r="B28103" t="inlineStr">
        <is>
          <t>x̄x̄V̅MMMCII</t>
        </is>
      </c>
      <c r="C28103">
        <f>ROMAN(28102)</f>
        <v/>
      </c>
      <c r="D28103">
        <f>IF(B28103=C28103, "YES", "WRONG")</f>
        <v/>
      </c>
    </row>
    <row r="28104">
      <c r="A28104" t="n">
        <v>28103</v>
      </c>
      <c r="B28104" t="inlineStr">
        <is>
          <t>x̄x̄V̅MMMCIII</t>
        </is>
      </c>
      <c r="C28104">
        <f>ROMAN(28103)</f>
        <v/>
      </c>
      <c r="D28104">
        <f>IF(B28104=C28104, "YES", "WRONG")</f>
        <v/>
      </c>
    </row>
    <row r="28105">
      <c r="A28105" t="n">
        <v>28104</v>
      </c>
      <c r="B28105" t="inlineStr">
        <is>
          <t>x̄x̄V̅MMMCIV</t>
        </is>
      </c>
      <c r="C28105">
        <f>ROMAN(28104)</f>
        <v/>
      </c>
      <c r="D28105">
        <f>IF(B28105=C28105, "YES", "WRONG")</f>
        <v/>
      </c>
    </row>
    <row r="28106">
      <c r="A28106" t="n">
        <v>28105</v>
      </c>
      <c r="B28106" t="inlineStr">
        <is>
          <t>x̄x̄V̅MMMCV</t>
        </is>
      </c>
      <c r="C28106">
        <f>ROMAN(28105)</f>
        <v/>
      </c>
      <c r="D28106">
        <f>IF(B28106=C28106, "YES", "WRONG")</f>
        <v/>
      </c>
    </row>
    <row r="28107">
      <c r="A28107" t="n">
        <v>28106</v>
      </c>
      <c r="B28107" t="inlineStr">
        <is>
          <t>x̄x̄V̅MMMCVI</t>
        </is>
      </c>
      <c r="C28107">
        <f>ROMAN(28106)</f>
        <v/>
      </c>
      <c r="D28107">
        <f>IF(B28107=C28107, "YES", "WRONG")</f>
        <v/>
      </c>
    </row>
    <row r="28108">
      <c r="A28108" t="n">
        <v>28107</v>
      </c>
      <c r="B28108" t="inlineStr">
        <is>
          <t>x̄x̄V̅MMMCVII</t>
        </is>
      </c>
      <c r="C28108">
        <f>ROMAN(28107)</f>
        <v/>
      </c>
      <c r="D28108">
        <f>IF(B28108=C28108, "YES", "WRONG")</f>
        <v/>
      </c>
    </row>
    <row r="28109">
      <c r="A28109" t="n">
        <v>28108</v>
      </c>
      <c r="B28109" t="inlineStr">
        <is>
          <t>x̄x̄V̅MMMCVIII</t>
        </is>
      </c>
      <c r="C28109">
        <f>ROMAN(28108)</f>
        <v/>
      </c>
      <c r="D28109">
        <f>IF(B28109=C28109, "YES", "WRONG")</f>
        <v/>
      </c>
    </row>
    <row r="28110">
      <c r="A28110" t="n">
        <v>28109</v>
      </c>
      <c r="B28110" t="inlineStr">
        <is>
          <t>x̄x̄V̅MMMCIX</t>
        </is>
      </c>
      <c r="C28110">
        <f>ROMAN(28109)</f>
        <v/>
      </c>
      <c r="D28110">
        <f>IF(B28110=C28110, "YES", "WRONG")</f>
        <v/>
      </c>
    </row>
    <row r="28111">
      <c r="A28111" t="n">
        <v>28110</v>
      </c>
      <c r="B28111" t="inlineStr">
        <is>
          <t>x̄x̄V̅MMMCX</t>
        </is>
      </c>
      <c r="C28111">
        <f>ROMAN(28110)</f>
        <v/>
      </c>
      <c r="D28111">
        <f>IF(B28111=C28111, "YES", "WRONG")</f>
        <v/>
      </c>
    </row>
    <row r="28112">
      <c r="A28112" t="n">
        <v>28111</v>
      </c>
      <c r="B28112" t="inlineStr">
        <is>
          <t>x̄x̄V̅MMMCXI</t>
        </is>
      </c>
      <c r="C28112">
        <f>ROMAN(28111)</f>
        <v/>
      </c>
      <c r="D28112">
        <f>IF(B28112=C28112, "YES", "WRONG")</f>
        <v/>
      </c>
    </row>
    <row r="28113">
      <c r="A28113" t="n">
        <v>28112</v>
      </c>
      <c r="B28113" t="inlineStr">
        <is>
          <t>x̄x̄V̅MMMCXII</t>
        </is>
      </c>
      <c r="C28113">
        <f>ROMAN(28112)</f>
        <v/>
      </c>
      <c r="D28113">
        <f>IF(B28113=C28113, "YES", "WRONG")</f>
        <v/>
      </c>
    </row>
    <row r="28114">
      <c r="A28114" t="n">
        <v>28113</v>
      </c>
      <c r="B28114" t="inlineStr">
        <is>
          <t>x̄x̄V̅MMMCXIII</t>
        </is>
      </c>
      <c r="C28114">
        <f>ROMAN(28113)</f>
        <v/>
      </c>
      <c r="D28114">
        <f>IF(B28114=C28114, "YES", "WRONG")</f>
        <v/>
      </c>
    </row>
    <row r="28115">
      <c r="A28115" t="n">
        <v>28114</v>
      </c>
      <c r="B28115" t="inlineStr">
        <is>
          <t>x̄x̄V̅MMMCXIV</t>
        </is>
      </c>
      <c r="C28115">
        <f>ROMAN(28114)</f>
        <v/>
      </c>
      <c r="D28115">
        <f>IF(B28115=C28115, "YES", "WRONG")</f>
        <v/>
      </c>
    </row>
    <row r="28116">
      <c r="A28116" t="n">
        <v>28115</v>
      </c>
      <c r="B28116" t="inlineStr">
        <is>
          <t>x̄x̄V̅MMMCXV</t>
        </is>
      </c>
      <c r="C28116">
        <f>ROMAN(28115)</f>
        <v/>
      </c>
      <c r="D28116">
        <f>IF(B28116=C28116, "YES", "WRONG")</f>
        <v/>
      </c>
    </row>
    <row r="28117">
      <c r="A28117" t="n">
        <v>28116</v>
      </c>
      <c r="B28117" t="inlineStr">
        <is>
          <t>x̄x̄V̅MMMCXVI</t>
        </is>
      </c>
      <c r="C28117">
        <f>ROMAN(28116)</f>
        <v/>
      </c>
      <c r="D28117">
        <f>IF(B28117=C28117, "YES", "WRONG")</f>
        <v/>
      </c>
    </row>
    <row r="28118">
      <c r="A28118" t="n">
        <v>28117</v>
      </c>
      <c r="B28118" t="inlineStr">
        <is>
          <t>x̄x̄V̅MMMCXVII</t>
        </is>
      </c>
      <c r="C28118">
        <f>ROMAN(28117)</f>
        <v/>
      </c>
      <c r="D28118">
        <f>IF(B28118=C28118, "YES", "WRONG")</f>
        <v/>
      </c>
    </row>
    <row r="28119">
      <c r="A28119" t="n">
        <v>28118</v>
      </c>
      <c r="B28119" t="inlineStr">
        <is>
          <t>x̄x̄V̅MMMCXVIII</t>
        </is>
      </c>
      <c r="C28119">
        <f>ROMAN(28118)</f>
        <v/>
      </c>
      <c r="D28119">
        <f>IF(B28119=C28119, "YES", "WRONG")</f>
        <v/>
      </c>
    </row>
    <row r="28120">
      <c r="A28120" t="n">
        <v>28119</v>
      </c>
      <c r="B28120" t="inlineStr">
        <is>
          <t>x̄x̄V̅MMMCXIX</t>
        </is>
      </c>
      <c r="C28120">
        <f>ROMAN(28119)</f>
        <v/>
      </c>
      <c r="D28120">
        <f>IF(B28120=C28120, "YES", "WRONG")</f>
        <v/>
      </c>
    </row>
    <row r="28121">
      <c r="A28121" t="n">
        <v>28120</v>
      </c>
      <c r="B28121" t="inlineStr">
        <is>
          <t>x̄x̄V̅MMMCXX</t>
        </is>
      </c>
      <c r="C28121">
        <f>ROMAN(28120)</f>
        <v/>
      </c>
      <c r="D28121">
        <f>IF(B28121=C28121, "YES", "WRONG")</f>
        <v/>
      </c>
    </row>
    <row r="28122">
      <c r="A28122" t="n">
        <v>28121</v>
      </c>
      <c r="B28122" t="inlineStr">
        <is>
          <t>x̄x̄V̅MMMCXXI</t>
        </is>
      </c>
      <c r="C28122">
        <f>ROMAN(28121)</f>
        <v/>
      </c>
      <c r="D28122">
        <f>IF(B28122=C28122, "YES", "WRONG")</f>
        <v/>
      </c>
    </row>
    <row r="28123">
      <c r="A28123" t="n">
        <v>28122</v>
      </c>
      <c r="B28123" t="inlineStr">
        <is>
          <t>x̄x̄V̅MMMCXXII</t>
        </is>
      </c>
      <c r="C28123">
        <f>ROMAN(28122)</f>
        <v/>
      </c>
      <c r="D28123">
        <f>IF(B28123=C28123, "YES", "WRONG")</f>
        <v/>
      </c>
    </row>
    <row r="28124">
      <c r="A28124" t="n">
        <v>28123</v>
      </c>
      <c r="B28124" t="inlineStr">
        <is>
          <t>x̄x̄V̅MMMCXXIII</t>
        </is>
      </c>
      <c r="C28124">
        <f>ROMAN(28123)</f>
        <v/>
      </c>
      <c r="D28124">
        <f>IF(B28124=C28124, "YES", "WRONG")</f>
        <v/>
      </c>
    </row>
    <row r="28125">
      <c r="A28125" t="n">
        <v>28124</v>
      </c>
      <c r="B28125" t="inlineStr">
        <is>
          <t>x̄x̄V̅MMMCXXIV</t>
        </is>
      </c>
      <c r="C28125">
        <f>ROMAN(28124)</f>
        <v/>
      </c>
      <c r="D28125">
        <f>IF(B28125=C28125, "YES", "WRONG")</f>
        <v/>
      </c>
    </row>
    <row r="28126">
      <c r="A28126" t="n">
        <v>28125</v>
      </c>
      <c r="B28126" t="inlineStr">
        <is>
          <t>x̄x̄V̅MMMCXXV</t>
        </is>
      </c>
      <c r="C28126">
        <f>ROMAN(28125)</f>
        <v/>
      </c>
      <c r="D28126">
        <f>IF(B28126=C28126, "YES", "WRONG")</f>
        <v/>
      </c>
    </row>
    <row r="28127">
      <c r="A28127" t="n">
        <v>28126</v>
      </c>
      <c r="B28127" t="inlineStr">
        <is>
          <t>x̄x̄V̅MMMCXXVI</t>
        </is>
      </c>
      <c r="C28127">
        <f>ROMAN(28126)</f>
        <v/>
      </c>
      <c r="D28127">
        <f>IF(B28127=C28127, "YES", "WRONG")</f>
        <v/>
      </c>
    </row>
    <row r="28128">
      <c r="A28128" t="n">
        <v>28127</v>
      </c>
      <c r="B28128" t="inlineStr">
        <is>
          <t>x̄x̄V̅MMMCXXVII</t>
        </is>
      </c>
      <c r="C28128">
        <f>ROMAN(28127)</f>
        <v/>
      </c>
      <c r="D28128">
        <f>IF(B28128=C28128, "YES", "WRONG")</f>
        <v/>
      </c>
    </row>
    <row r="28129">
      <c r="A28129" t="n">
        <v>28128</v>
      </c>
      <c r="B28129" t="inlineStr">
        <is>
          <t>x̄x̄V̅MMMCXXVIII</t>
        </is>
      </c>
      <c r="C28129">
        <f>ROMAN(28128)</f>
        <v/>
      </c>
      <c r="D28129">
        <f>IF(B28129=C28129, "YES", "WRONG")</f>
        <v/>
      </c>
    </row>
    <row r="28130">
      <c r="A28130" t="n">
        <v>28129</v>
      </c>
      <c r="B28130" t="inlineStr">
        <is>
          <t>x̄x̄V̅MMMCXXIX</t>
        </is>
      </c>
      <c r="C28130">
        <f>ROMAN(28129)</f>
        <v/>
      </c>
      <c r="D28130">
        <f>IF(B28130=C28130, "YES", "WRONG")</f>
        <v/>
      </c>
    </row>
    <row r="28131">
      <c r="A28131" t="n">
        <v>28130</v>
      </c>
      <c r="B28131" t="inlineStr">
        <is>
          <t>x̄x̄V̅MMMCXXX</t>
        </is>
      </c>
      <c r="C28131">
        <f>ROMAN(28130)</f>
        <v/>
      </c>
      <c r="D28131">
        <f>IF(B28131=C28131, "YES", "WRONG")</f>
        <v/>
      </c>
    </row>
    <row r="28132">
      <c r="A28132" t="n">
        <v>28131</v>
      </c>
      <c r="B28132" t="inlineStr">
        <is>
          <t>x̄x̄V̅MMMCXXXI</t>
        </is>
      </c>
      <c r="C28132">
        <f>ROMAN(28131)</f>
        <v/>
      </c>
      <c r="D28132">
        <f>IF(B28132=C28132, "YES", "WRONG")</f>
        <v/>
      </c>
    </row>
    <row r="28133">
      <c r="A28133" t="n">
        <v>28132</v>
      </c>
      <c r="B28133" t="inlineStr">
        <is>
          <t>x̄x̄V̅MMMCXXXII</t>
        </is>
      </c>
      <c r="C28133">
        <f>ROMAN(28132)</f>
        <v/>
      </c>
      <c r="D28133">
        <f>IF(B28133=C28133, "YES", "WRONG")</f>
        <v/>
      </c>
    </row>
    <row r="28134">
      <c r="A28134" t="n">
        <v>28133</v>
      </c>
      <c r="B28134" t="inlineStr">
        <is>
          <t>x̄x̄V̅MMMCXXXIII</t>
        </is>
      </c>
      <c r="C28134">
        <f>ROMAN(28133)</f>
        <v/>
      </c>
      <c r="D28134">
        <f>IF(B28134=C28134, "YES", "WRONG")</f>
        <v/>
      </c>
    </row>
    <row r="28135">
      <c r="A28135" t="n">
        <v>28134</v>
      </c>
      <c r="B28135" t="inlineStr">
        <is>
          <t>x̄x̄V̅MMMCXXXIV</t>
        </is>
      </c>
      <c r="C28135">
        <f>ROMAN(28134)</f>
        <v/>
      </c>
      <c r="D28135">
        <f>IF(B28135=C28135, "YES", "WRONG")</f>
        <v/>
      </c>
    </row>
    <row r="28136">
      <c r="A28136" t="n">
        <v>28135</v>
      </c>
      <c r="B28136" t="inlineStr">
        <is>
          <t>x̄x̄V̅MMMCXXXV</t>
        </is>
      </c>
      <c r="C28136">
        <f>ROMAN(28135)</f>
        <v/>
      </c>
      <c r="D28136">
        <f>IF(B28136=C28136, "YES", "WRONG")</f>
        <v/>
      </c>
    </row>
    <row r="28137">
      <c r="A28137" t="n">
        <v>28136</v>
      </c>
      <c r="B28137" t="inlineStr">
        <is>
          <t>x̄x̄V̅MMMCXXXVI</t>
        </is>
      </c>
      <c r="C28137">
        <f>ROMAN(28136)</f>
        <v/>
      </c>
      <c r="D28137">
        <f>IF(B28137=C28137, "YES", "WRONG")</f>
        <v/>
      </c>
    </row>
    <row r="28138">
      <c r="A28138" t="n">
        <v>28137</v>
      </c>
      <c r="B28138" t="inlineStr">
        <is>
          <t>x̄x̄V̅MMMCXXXVII</t>
        </is>
      </c>
      <c r="C28138">
        <f>ROMAN(28137)</f>
        <v/>
      </c>
      <c r="D28138">
        <f>IF(B28138=C28138, "YES", "WRONG")</f>
        <v/>
      </c>
    </row>
    <row r="28139">
      <c r="A28139" t="n">
        <v>28138</v>
      </c>
      <c r="B28139" t="inlineStr">
        <is>
          <t>x̄x̄V̅MMMCXXXVIII</t>
        </is>
      </c>
      <c r="C28139">
        <f>ROMAN(28138)</f>
        <v/>
      </c>
      <c r="D28139">
        <f>IF(B28139=C28139, "YES", "WRONG")</f>
        <v/>
      </c>
    </row>
    <row r="28140">
      <c r="A28140" t="n">
        <v>28139</v>
      </c>
      <c r="B28140" t="inlineStr">
        <is>
          <t>x̄x̄V̅MMMCXXXIX</t>
        </is>
      </c>
      <c r="C28140">
        <f>ROMAN(28139)</f>
        <v/>
      </c>
      <c r="D28140">
        <f>IF(B28140=C28140, "YES", "WRONG")</f>
        <v/>
      </c>
    </row>
    <row r="28141">
      <c r="A28141" t="n">
        <v>28140</v>
      </c>
      <c r="B28141" t="inlineStr">
        <is>
          <t>x̄x̄V̅MMMCXL</t>
        </is>
      </c>
      <c r="C28141">
        <f>ROMAN(28140)</f>
        <v/>
      </c>
      <c r="D28141">
        <f>IF(B28141=C28141, "YES", "WRONG")</f>
        <v/>
      </c>
    </row>
    <row r="28142">
      <c r="A28142" t="n">
        <v>28141</v>
      </c>
      <c r="B28142" t="inlineStr">
        <is>
          <t>x̄x̄V̅MMMCXLI</t>
        </is>
      </c>
      <c r="C28142">
        <f>ROMAN(28141)</f>
        <v/>
      </c>
      <c r="D28142">
        <f>IF(B28142=C28142, "YES", "WRONG")</f>
        <v/>
      </c>
    </row>
    <row r="28143">
      <c r="A28143" t="n">
        <v>28142</v>
      </c>
      <c r="B28143" t="inlineStr">
        <is>
          <t>x̄x̄V̅MMMCXLII</t>
        </is>
      </c>
      <c r="C28143">
        <f>ROMAN(28142)</f>
        <v/>
      </c>
      <c r="D28143">
        <f>IF(B28143=C28143, "YES", "WRONG")</f>
        <v/>
      </c>
    </row>
    <row r="28144">
      <c r="A28144" t="n">
        <v>28143</v>
      </c>
      <c r="B28144" t="inlineStr">
        <is>
          <t>x̄x̄V̅MMMCXLIII</t>
        </is>
      </c>
      <c r="C28144">
        <f>ROMAN(28143)</f>
        <v/>
      </c>
      <c r="D28144">
        <f>IF(B28144=C28144, "YES", "WRONG")</f>
        <v/>
      </c>
    </row>
    <row r="28145">
      <c r="A28145" t="n">
        <v>28144</v>
      </c>
      <c r="B28145" t="inlineStr">
        <is>
          <t>x̄x̄V̅MMMCXLIV</t>
        </is>
      </c>
      <c r="C28145">
        <f>ROMAN(28144)</f>
        <v/>
      </c>
      <c r="D28145">
        <f>IF(B28145=C28145, "YES", "WRONG")</f>
        <v/>
      </c>
    </row>
    <row r="28146">
      <c r="A28146" t="n">
        <v>28145</v>
      </c>
      <c r="B28146" t="inlineStr">
        <is>
          <t>x̄x̄V̅MMMCXLV</t>
        </is>
      </c>
      <c r="C28146">
        <f>ROMAN(28145)</f>
        <v/>
      </c>
      <c r="D28146">
        <f>IF(B28146=C28146, "YES", "WRONG")</f>
        <v/>
      </c>
    </row>
    <row r="28147">
      <c r="A28147" t="n">
        <v>28146</v>
      </c>
      <c r="B28147" t="inlineStr">
        <is>
          <t>x̄x̄V̅MMMCXLVI</t>
        </is>
      </c>
      <c r="C28147">
        <f>ROMAN(28146)</f>
        <v/>
      </c>
      <c r="D28147">
        <f>IF(B28147=C28147, "YES", "WRONG")</f>
        <v/>
      </c>
    </row>
    <row r="28148">
      <c r="A28148" t="n">
        <v>28147</v>
      </c>
      <c r="B28148" t="inlineStr">
        <is>
          <t>x̄x̄V̅MMMCXLVII</t>
        </is>
      </c>
      <c r="C28148">
        <f>ROMAN(28147)</f>
        <v/>
      </c>
      <c r="D28148">
        <f>IF(B28148=C28148, "YES", "WRONG")</f>
        <v/>
      </c>
    </row>
    <row r="28149">
      <c r="A28149" t="n">
        <v>28148</v>
      </c>
      <c r="B28149" t="inlineStr">
        <is>
          <t>x̄x̄V̅MMMCXLVIII</t>
        </is>
      </c>
      <c r="C28149">
        <f>ROMAN(28148)</f>
        <v/>
      </c>
      <c r="D28149">
        <f>IF(B28149=C28149, "YES", "WRONG")</f>
        <v/>
      </c>
    </row>
    <row r="28150">
      <c r="A28150" t="n">
        <v>28149</v>
      </c>
      <c r="B28150" t="inlineStr">
        <is>
          <t>x̄x̄V̅MMMCXLIX</t>
        </is>
      </c>
      <c r="C28150">
        <f>ROMAN(28149)</f>
        <v/>
      </c>
      <c r="D28150">
        <f>IF(B28150=C28150, "YES", "WRONG")</f>
        <v/>
      </c>
    </row>
    <row r="28151">
      <c r="A28151" t="n">
        <v>28150</v>
      </c>
      <c r="B28151" t="inlineStr">
        <is>
          <t>x̄x̄V̅MMMCL</t>
        </is>
      </c>
      <c r="C28151">
        <f>ROMAN(28150)</f>
        <v/>
      </c>
      <c r="D28151">
        <f>IF(B28151=C28151, "YES", "WRONG")</f>
        <v/>
      </c>
    </row>
    <row r="28152">
      <c r="A28152" t="n">
        <v>28151</v>
      </c>
      <c r="B28152" t="inlineStr">
        <is>
          <t>x̄x̄V̅MMMCLI</t>
        </is>
      </c>
      <c r="C28152">
        <f>ROMAN(28151)</f>
        <v/>
      </c>
      <c r="D28152">
        <f>IF(B28152=C28152, "YES", "WRONG")</f>
        <v/>
      </c>
    </row>
    <row r="28153">
      <c r="A28153" t="n">
        <v>28152</v>
      </c>
      <c r="B28153" t="inlineStr">
        <is>
          <t>x̄x̄V̅MMMCLII</t>
        </is>
      </c>
      <c r="C28153">
        <f>ROMAN(28152)</f>
        <v/>
      </c>
      <c r="D28153">
        <f>IF(B28153=C28153, "YES", "WRONG")</f>
        <v/>
      </c>
    </row>
    <row r="28154">
      <c r="A28154" t="n">
        <v>28153</v>
      </c>
      <c r="B28154" t="inlineStr">
        <is>
          <t>x̄x̄V̅MMMCLIII</t>
        </is>
      </c>
      <c r="C28154">
        <f>ROMAN(28153)</f>
        <v/>
      </c>
      <c r="D28154">
        <f>IF(B28154=C28154, "YES", "WRONG")</f>
        <v/>
      </c>
    </row>
    <row r="28155">
      <c r="A28155" t="n">
        <v>28154</v>
      </c>
      <c r="B28155" t="inlineStr">
        <is>
          <t>x̄x̄V̅MMMCLIV</t>
        </is>
      </c>
      <c r="C28155">
        <f>ROMAN(28154)</f>
        <v/>
      </c>
      <c r="D28155">
        <f>IF(B28155=C28155, "YES", "WRONG")</f>
        <v/>
      </c>
    </row>
    <row r="28156">
      <c r="A28156" t="n">
        <v>28155</v>
      </c>
      <c r="B28156" t="inlineStr">
        <is>
          <t>x̄x̄V̅MMMCLV</t>
        </is>
      </c>
      <c r="C28156">
        <f>ROMAN(28155)</f>
        <v/>
      </c>
      <c r="D28156">
        <f>IF(B28156=C28156, "YES", "WRONG")</f>
        <v/>
      </c>
    </row>
    <row r="28157">
      <c r="A28157" t="n">
        <v>28156</v>
      </c>
      <c r="B28157" t="inlineStr">
        <is>
          <t>x̄x̄V̅MMMCLVI</t>
        </is>
      </c>
      <c r="C28157">
        <f>ROMAN(28156)</f>
        <v/>
      </c>
      <c r="D28157">
        <f>IF(B28157=C28157, "YES", "WRONG")</f>
        <v/>
      </c>
    </row>
    <row r="28158">
      <c r="A28158" t="n">
        <v>28157</v>
      </c>
      <c r="B28158" t="inlineStr">
        <is>
          <t>x̄x̄V̅MMMCLVII</t>
        </is>
      </c>
      <c r="C28158">
        <f>ROMAN(28157)</f>
        <v/>
      </c>
      <c r="D28158">
        <f>IF(B28158=C28158, "YES", "WRONG")</f>
        <v/>
      </c>
    </row>
    <row r="28159">
      <c r="A28159" t="n">
        <v>28158</v>
      </c>
      <c r="B28159" t="inlineStr">
        <is>
          <t>x̄x̄V̅MMMCLVIII</t>
        </is>
      </c>
      <c r="C28159">
        <f>ROMAN(28158)</f>
        <v/>
      </c>
      <c r="D28159">
        <f>IF(B28159=C28159, "YES", "WRONG")</f>
        <v/>
      </c>
    </row>
    <row r="28160">
      <c r="A28160" t="n">
        <v>28159</v>
      </c>
      <c r="B28160" t="inlineStr">
        <is>
          <t>x̄x̄V̅MMMCLIX</t>
        </is>
      </c>
      <c r="C28160">
        <f>ROMAN(28159)</f>
        <v/>
      </c>
      <c r="D28160">
        <f>IF(B28160=C28160, "YES", "WRONG")</f>
        <v/>
      </c>
    </row>
    <row r="28161">
      <c r="A28161" t="n">
        <v>28160</v>
      </c>
      <c r="B28161" t="inlineStr">
        <is>
          <t>x̄x̄V̅MMMCLX</t>
        </is>
      </c>
      <c r="C28161">
        <f>ROMAN(28160)</f>
        <v/>
      </c>
      <c r="D28161">
        <f>IF(B28161=C28161, "YES", "WRONG")</f>
        <v/>
      </c>
    </row>
    <row r="28162">
      <c r="A28162" t="n">
        <v>28161</v>
      </c>
      <c r="B28162" t="inlineStr">
        <is>
          <t>x̄x̄V̅MMMCLXI</t>
        </is>
      </c>
      <c r="C28162">
        <f>ROMAN(28161)</f>
        <v/>
      </c>
      <c r="D28162">
        <f>IF(B28162=C28162, "YES", "WRONG")</f>
        <v/>
      </c>
    </row>
    <row r="28163">
      <c r="A28163" t="n">
        <v>28162</v>
      </c>
      <c r="B28163" t="inlineStr">
        <is>
          <t>x̄x̄V̅MMMCLXII</t>
        </is>
      </c>
      <c r="C28163">
        <f>ROMAN(28162)</f>
        <v/>
      </c>
      <c r="D28163">
        <f>IF(B28163=C28163, "YES", "WRONG")</f>
        <v/>
      </c>
    </row>
    <row r="28164">
      <c r="A28164" t="n">
        <v>28163</v>
      </c>
      <c r="B28164" t="inlineStr">
        <is>
          <t>x̄x̄V̅MMMCLXIII</t>
        </is>
      </c>
      <c r="C28164">
        <f>ROMAN(28163)</f>
        <v/>
      </c>
      <c r="D28164">
        <f>IF(B28164=C28164, "YES", "WRONG")</f>
        <v/>
      </c>
    </row>
    <row r="28165">
      <c r="A28165" t="n">
        <v>28164</v>
      </c>
      <c r="B28165" t="inlineStr">
        <is>
          <t>x̄x̄V̅MMMCLXIV</t>
        </is>
      </c>
      <c r="C28165">
        <f>ROMAN(28164)</f>
        <v/>
      </c>
      <c r="D28165">
        <f>IF(B28165=C28165, "YES", "WRONG")</f>
        <v/>
      </c>
    </row>
    <row r="28166">
      <c r="A28166" t="n">
        <v>28165</v>
      </c>
      <c r="B28166" t="inlineStr">
        <is>
          <t>x̄x̄V̅MMMCLXV</t>
        </is>
      </c>
      <c r="C28166">
        <f>ROMAN(28165)</f>
        <v/>
      </c>
      <c r="D28166">
        <f>IF(B28166=C28166, "YES", "WRONG")</f>
        <v/>
      </c>
    </row>
    <row r="28167">
      <c r="A28167" t="n">
        <v>28166</v>
      </c>
      <c r="B28167" t="inlineStr">
        <is>
          <t>x̄x̄V̅MMMCLXVI</t>
        </is>
      </c>
      <c r="C28167">
        <f>ROMAN(28166)</f>
        <v/>
      </c>
      <c r="D28167">
        <f>IF(B28167=C28167, "YES", "WRONG")</f>
        <v/>
      </c>
    </row>
    <row r="28168">
      <c r="A28168" t="n">
        <v>28167</v>
      </c>
      <c r="B28168" t="inlineStr">
        <is>
          <t>x̄x̄V̅MMMCLXVII</t>
        </is>
      </c>
      <c r="C28168">
        <f>ROMAN(28167)</f>
        <v/>
      </c>
      <c r="D28168">
        <f>IF(B28168=C28168, "YES", "WRONG")</f>
        <v/>
      </c>
    </row>
    <row r="28169">
      <c r="A28169" t="n">
        <v>28168</v>
      </c>
      <c r="B28169" t="inlineStr">
        <is>
          <t>x̄x̄V̅MMMCLXVIII</t>
        </is>
      </c>
      <c r="C28169">
        <f>ROMAN(28168)</f>
        <v/>
      </c>
      <c r="D28169">
        <f>IF(B28169=C28169, "YES", "WRONG")</f>
        <v/>
      </c>
    </row>
    <row r="28170">
      <c r="A28170" t="n">
        <v>28169</v>
      </c>
      <c r="B28170" t="inlineStr">
        <is>
          <t>x̄x̄V̅MMMCLXIX</t>
        </is>
      </c>
      <c r="C28170">
        <f>ROMAN(28169)</f>
        <v/>
      </c>
      <c r="D28170">
        <f>IF(B28170=C28170, "YES", "WRONG")</f>
        <v/>
      </c>
    </row>
    <row r="28171">
      <c r="A28171" t="n">
        <v>28170</v>
      </c>
      <c r="B28171" t="inlineStr">
        <is>
          <t>x̄x̄V̅MMMCLXX</t>
        </is>
      </c>
      <c r="C28171">
        <f>ROMAN(28170)</f>
        <v/>
      </c>
      <c r="D28171">
        <f>IF(B28171=C28171, "YES", "WRONG")</f>
        <v/>
      </c>
    </row>
    <row r="28172">
      <c r="A28172" t="n">
        <v>28171</v>
      </c>
      <c r="B28172" t="inlineStr">
        <is>
          <t>x̄x̄V̅MMMCLXXI</t>
        </is>
      </c>
      <c r="C28172">
        <f>ROMAN(28171)</f>
        <v/>
      </c>
      <c r="D28172">
        <f>IF(B28172=C28172, "YES", "WRONG")</f>
        <v/>
      </c>
    </row>
    <row r="28173">
      <c r="A28173" t="n">
        <v>28172</v>
      </c>
      <c r="B28173" t="inlineStr">
        <is>
          <t>x̄x̄V̅MMMCLXXII</t>
        </is>
      </c>
      <c r="C28173">
        <f>ROMAN(28172)</f>
        <v/>
      </c>
      <c r="D28173">
        <f>IF(B28173=C28173, "YES", "WRONG")</f>
        <v/>
      </c>
    </row>
    <row r="28174">
      <c r="A28174" t="n">
        <v>28173</v>
      </c>
      <c r="B28174" t="inlineStr">
        <is>
          <t>x̄x̄V̅MMMCLXXIII</t>
        </is>
      </c>
      <c r="C28174">
        <f>ROMAN(28173)</f>
        <v/>
      </c>
      <c r="D28174">
        <f>IF(B28174=C28174, "YES", "WRONG")</f>
        <v/>
      </c>
    </row>
    <row r="28175">
      <c r="A28175" t="n">
        <v>28174</v>
      </c>
      <c r="B28175" t="inlineStr">
        <is>
          <t>x̄x̄V̅MMMCLXXIV</t>
        </is>
      </c>
      <c r="C28175">
        <f>ROMAN(28174)</f>
        <v/>
      </c>
      <c r="D28175">
        <f>IF(B28175=C28175, "YES", "WRONG")</f>
        <v/>
      </c>
    </row>
    <row r="28176">
      <c r="A28176" t="n">
        <v>28175</v>
      </c>
      <c r="B28176" t="inlineStr">
        <is>
          <t>x̄x̄V̅MMMCLXXV</t>
        </is>
      </c>
      <c r="C28176">
        <f>ROMAN(28175)</f>
        <v/>
      </c>
      <c r="D28176">
        <f>IF(B28176=C28176, "YES", "WRONG")</f>
        <v/>
      </c>
    </row>
    <row r="28177">
      <c r="A28177" t="n">
        <v>28176</v>
      </c>
      <c r="B28177" t="inlineStr">
        <is>
          <t>x̄x̄V̅MMMCLXXVI</t>
        </is>
      </c>
      <c r="C28177">
        <f>ROMAN(28176)</f>
        <v/>
      </c>
      <c r="D28177">
        <f>IF(B28177=C28177, "YES", "WRONG")</f>
        <v/>
      </c>
    </row>
    <row r="28178">
      <c r="A28178" t="n">
        <v>28177</v>
      </c>
      <c r="B28178" t="inlineStr">
        <is>
          <t>x̄x̄V̅MMMCLXXVII</t>
        </is>
      </c>
      <c r="C28178">
        <f>ROMAN(28177)</f>
        <v/>
      </c>
      <c r="D28178">
        <f>IF(B28178=C28178, "YES", "WRONG")</f>
        <v/>
      </c>
    </row>
    <row r="28179">
      <c r="A28179" t="n">
        <v>28178</v>
      </c>
      <c r="B28179" t="inlineStr">
        <is>
          <t>x̄x̄V̅MMMCLXXVIII</t>
        </is>
      </c>
      <c r="C28179">
        <f>ROMAN(28178)</f>
        <v/>
      </c>
      <c r="D28179">
        <f>IF(B28179=C28179, "YES", "WRONG")</f>
        <v/>
      </c>
    </row>
    <row r="28180">
      <c r="A28180" t="n">
        <v>28179</v>
      </c>
      <c r="B28180" t="inlineStr">
        <is>
          <t>x̄x̄V̅MMMCLXXIX</t>
        </is>
      </c>
      <c r="C28180">
        <f>ROMAN(28179)</f>
        <v/>
      </c>
      <c r="D28180">
        <f>IF(B28180=C28180, "YES", "WRONG")</f>
        <v/>
      </c>
    </row>
    <row r="28181">
      <c r="A28181" t="n">
        <v>28180</v>
      </c>
      <c r="B28181" t="inlineStr">
        <is>
          <t>x̄x̄V̅MMMCLXXX</t>
        </is>
      </c>
      <c r="C28181">
        <f>ROMAN(28180)</f>
        <v/>
      </c>
      <c r="D28181">
        <f>IF(B28181=C28181, "YES", "WRONG")</f>
        <v/>
      </c>
    </row>
    <row r="28182">
      <c r="A28182" t="n">
        <v>28181</v>
      </c>
      <c r="B28182" t="inlineStr">
        <is>
          <t>x̄x̄V̅MMMCLXXXI</t>
        </is>
      </c>
      <c r="C28182">
        <f>ROMAN(28181)</f>
        <v/>
      </c>
      <c r="D28182">
        <f>IF(B28182=C28182, "YES", "WRONG")</f>
        <v/>
      </c>
    </row>
    <row r="28183">
      <c r="A28183" t="n">
        <v>28182</v>
      </c>
      <c r="B28183" t="inlineStr">
        <is>
          <t>x̄x̄V̅MMMCLXXXII</t>
        </is>
      </c>
      <c r="C28183">
        <f>ROMAN(28182)</f>
        <v/>
      </c>
      <c r="D28183">
        <f>IF(B28183=C28183, "YES", "WRONG")</f>
        <v/>
      </c>
    </row>
    <row r="28184">
      <c r="A28184" t="n">
        <v>28183</v>
      </c>
      <c r="B28184" t="inlineStr">
        <is>
          <t>x̄x̄V̅MMMCLXXXIII</t>
        </is>
      </c>
      <c r="C28184">
        <f>ROMAN(28183)</f>
        <v/>
      </c>
      <c r="D28184">
        <f>IF(B28184=C28184, "YES", "WRONG")</f>
        <v/>
      </c>
    </row>
    <row r="28185">
      <c r="A28185" t="n">
        <v>28184</v>
      </c>
      <c r="B28185" t="inlineStr">
        <is>
          <t>x̄x̄V̅MMMCLXXXIV</t>
        </is>
      </c>
      <c r="C28185">
        <f>ROMAN(28184)</f>
        <v/>
      </c>
      <c r="D28185">
        <f>IF(B28185=C28185, "YES", "WRONG")</f>
        <v/>
      </c>
    </row>
    <row r="28186">
      <c r="A28186" t="n">
        <v>28185</v>
      </c>
      <c r="B28186" t="inlineStr">
        <is>
          <t>x̄x̄V̅MMMCLXXXV</t>
        </is>
      </c>
      <c r="C28186">
        <f>ROMAN(28185)</f>
        <v/>
      </c>
      <c r="D28186">
        <f>IF(B28186=C28186, "YES", "WRONG")</f>
        <v/>
      </c>
    </row>
    <row r="28187">
      <c r="A28187" t="n">
        <v>28186</v>
      </c>
      <c r="B28187" t="inlineStr">
        <is>
          <t>x̄x̄V̅MMMCLXXXVI</t>
        </is>
      </c>
      <c r="C28187">
        <f>ROMAN(28186)</f>
        <v/>
      </c>
      <c r="D28187">
        <f>IF(B28187=C28187, "YES", "WRONG")</f>
        <v/>
      </c>
    </row>
    <row r="28188">
      <c r="A28188" t="n">
        <v>28187</v>
      </c>
      <c r="B28188" t="inlineStr">
        <is>
          <t>x̄x̄V̅MMMCLXXXVII</t>
        </is>
      </c>
      <c r="C28188">
        <f>ROMAN(28187)</f>
        <v/>
      </c>
      <c r="D28188">
        <f>IF(B28188=C28188, "YES", "WRONG")</f>
        <v/>
      </c>
    </row>
    <row r="28189">
      <c r="A28189" t="n">
        <v>28188</v>
      </c>
      <c r="B28189" t="inlineStr">
        <is>
          <t>x̄x̄V̅MMMCLXXXVIII</t>
        </is>
      </c>
      <c r="C28189">
        <f>ROMAN(28188)</f>
        <v/>
      </c>
      <c r="D28189">
        <f>IF(B28189=C28189, "YES", "WRONG")</f>
        <v/>
      </c>
    </row>
    <row r="28190">
      <c r="A28190" t="n">
        <v>28189</v>
      </c>
      <c r="B28190" t="inlineStr">
        <is>
          <t>x̄x̄V̅MMMCLXXXIX</t>
        </is>
      </c>
      <c r="C28190">
        <f>ROMAN(28189)</f>
        <v/>
      </c>
      <c r="D28190">
        <f>IF(B28190=C28190, "YES", "WRONG")</f>
        <v/>
      </c>
    </row>
    <row r="28191">
      <c r="A28191" t="n">
        <v>28190</v>
      </c>
      <c r="B28191" t="inlineStr">
        <is>
          <t>x̄x̄V̅MMMCXC</t>
        </is>
      </c>
      <c r="C28191">
        <f>ROMAN(28190)</f>
        <v/>
      </c>
      <c r="D28191">
        <f>IF(B28191=C28191, "YES", "WRONG")</f>
        <v/>
      </c>
    </row>
    <row r="28192">
      <c r="A28192" t="n">
        <v>28191</v>
      </c>
      <c r="B28192" t="inlineStr">
        <is>
          <t>x̄x̄V̅MMMCXCI</t>
        </is>
      </c>
      <c r="C28192">
        <f>ROMAN(28191)</f>
        <v/>
      </c>
      <c r="D28192">
        <f>IF(B28192=C28192, "YES", "WRONG")</f>
        <v/>
      </c>
    </row>
    <row r="28193">
      <c r="A28193" t="n">
        <v>28192</v>
      </c>
      <c r="B28193" t="inlineStr">
        <is>
          <t>x̄x̄V̅MMMCXCII</t>
        </is>
      </c>
      <c r="C28193">
        <f>ROMAN(28192)</f>
        <v/>
      </c>
      <c r="D28193">
        <f>IF(B28193=C28193, "YES", "WRONG")</f>
        <v/>
      </c>
    </row>
    <row r="28194">
      <c r="A28194" t="n">
        <v>28193</v>
      </c>
      <c r="B28194" t="inlineStr">
        <is>
          <t>x̄x̄V̅MMMCXCIII</t>
        </is>
      </c>
      <c r="C28194">
        <f>ROMAN(28193)</f>
        <v/>
      </c>
      <c r="D28194">
        <f>IF(B28194=C28194, "YES", "WRONG")</f>
        <v/>
      </c>
    </row>
    <row r="28195">
      <c r="A28195" t="n">
        <v>28194</v>
      </c>
      <c r="B28195" t="inlineStr">
        <is>
          <t>x̄x̄V̅MMMCXCIV</t>
        </is>
      </c>
      <c r="C28195">
        <f>ROMAN(28194)</f>
        <v/>
      </c>
      <c r="D28195">
        <f>IF(B28195=C28195, "YES", "WRONG")</f>
        <v/>
      </c>
    </row>
    <row r="28196">
      <c r="A28196" t="n">
        <v>28195</v>
      </c>
      <c r="B28196" t="inlineStr">
        <is>
          <t>x̄x̄V̅MMMCXCV</t>
        </is>
      </c>
      <c r="C28196">
        <f>ROMAN(28195)</f>
        <v/>
      </c>
      <c r="D28196">
        <f>IF(B28196=C28196, "YES", "WRONG")</f>
        <v/>
      </c>
    </row>
    <row r="28197">
      <c r="A28197" t="n">
        <v>28196</v>
      </c>
      <c r="B28197" t="inlineStr">
        <is>
          <t>x̄x̄V̅MMMCXCVI</t>
        </is>
      </c>
      <c r="C28197">
        <f>ROMAN(28196)</f>
        <v/>
      </c>
      <c r="D28197">
        <f>IF(B28197=C28197, "YES", "WRONG")</f>
        <v/>
      </c>
    </row>
    <row r="28198">
      <c r="A28198" t="n">
        <v>28197</v>
      </c>
      <c r="B28198" t="inlineStr">
        <is>
          <t>x̄x̄V̅MMMCXCVII</t>
        </is>
      </c>
      <c r="C28198">
        <f>ROMAN(28197)</f>
        <v/>
      </c>
      <c r="D28198">
        <f>IF(B28198=C28198, "YES", "WRONG")</f>
        <v/>
      </c>
    </row>
    <row r="28199">
      <c r="A28199" t="n">
        <v>28198</v>
      </c>
      <c r="B28199" t="inlineStr">
        <is>
          <t>x̄x̄V̅MMMCXCVIII</t>
        </is>
      </c>
      <c r="C28199">
        <f>ROMAN(28198)</f>
        <v/>
      </c>
      <c r="D28199">
        <f>IF(B28199=C28199, "YES", "WRONG")</f>
        <v/>
      </c>
    </row>
    <row r="28200">
      <c r="A28200" t="n">
        <v>28199</v>
      </c>
      <c r="B28200" t="inlineStr">
        <is>
          <t>x̄x̄V̅MMMCXCIX</t>
        </is>
      </c>
      <c r="C28200">
        <f>ROMAN(28199)</f>
        <v/>
      </c>
      <c r="D28200">
        <f>IF(B28200=C28200, "YES", "WRONG")</f>
        <v/>
      </c>
    </row>
    <row r="28201">
      <c r="A28201" t="n">
        <v>28200</v>
      </c>
      <c r="B28201" t="inlineStr">
        <is>
          <t>x̄x̄V̅MMMCC</t>
        </is>
      </c>
      <c r="C28201">
        <f>ROMAN(28200)</f>
        <v/>
      </c>
      <c r="D28201">
        <f>IF(B28201=C28201, "YES", "WRONG")</f>
        <v/>
      </c>
    </row>
    <row r="28202">
      <c r="A28202" t="n">
        <v>28201</v>
      </c>
      <c r="B28202" t="inlineStr">
        <is>
          <t>x̄x̄V̅MMMCCI</t>
        </is>
      </c>
      <c r="C28202">
        <f>ROMAN(28201)</f>
        <v/>
      </c>
      <c r="D28202">
        <f>IF(B28202=C28202, "YES", "WRONG")</f>
        <v/>
      </c>
    </row>
    <row r="28203">
      <c r="A28203" t="n">
        <v>28202</v>
      </c>
      <c r="B28203" t="inlineStr">
        <is>
          <t>x̄x̄V̅MMMCCII</t>
        </is>
      </c>
      <c r="C28203">
        <f>ROMAN(28202)</f>
        <v/>
      </c>
      <c r="D28203">
        <f>IF(B28203=C28203, "YES", "WRONG")</f>
        <v/>
      </c>
    </row>
    <row r="28204">
      <c r="A28204" t="n">
        <v>28203</v>
      </c>
      <c r="B28204" t="inlineStr">
        <is>
          <t>x̄x̄V̅MMMCCIII</t>
        </is>
      </c>
      <c r="C28204">
        <f>ROMAN(28203)</f>
        <v/>
      </c>
      <c r="D28204">
        <f>IF(B28204=C28204, "YES", "WRONG")</f>
        <v/>
      </c>
    </row>
    <row r="28205">
      <c r="A28205" t="n">
        <v>28204</v>
      </c>
      <c r="B28205" t="inlineStr">
        <is>
          <t>x̄x̄V̅MMMCCIV</t>
        </is>
      </c>
      <c r="C28205">
        <f>ROMAN(28204)</f>
        <v/>
      </c>
      <c r="D28205">
        <f>IF(B28205=C28205, "YES", "WRONG")</f>
        <v/>
      </c>
    </row>
    <row r="28206">
      <c r="A28206" t="n">
        <v>28205</v>
      </c>
      <c r="B28206" t="inlineStr">
        <is>
          <t>x̄x̄V̅MMMCCV</t>
        </is>
      </c>
      <c r="C28206">
        <f>ROMAN(28205)</f>
        <v/>
      </c>
      <c r="D28206">
        <f>IF(B28206=C28206, "YES", "WRONG")</f>
        <v/>
      </c>
    </row>
    <row r="28207">
      <c r="A28207" t="n">
        <v>28206</v>
      </c>
      <c r="B28207" t="inlineStr">
        <is>
          <t>x̄x̄V̅MMMCCVI</t>
        </is>
      </c>
      <c r="C28207">
        <f>ROMAN(28206)</f>
        <v/>
      </c>
      <c r="D28207">
        <f>IF(B28207=C28207, "YES", "WRONG")</f>
        <v/>
      </c>
    </row>
    <row r="28208">
      <c r="A28208" t="n">
        <v>28207</v>
      </c>
      <c r="B28208" t="inlineStr">
        <is>
          <t>x̄x̄V̅MMMCCVII</t>
        </is>
      </c>
      <c r="C28208">
        <f>ROMAN(28207)</f>
        <v/>
      </c>
      <c r="D28208">
        <f>IF(B28208=C28208, "YES", "WRONG")</f>
        <v/>
      </c>
    </row>
    <row r="28209">
      <c r="A28209" t="n">
        <v>28208</v>
      </c>
      <c r="B28209" t="inlineStr">
        <is>
          <t>x̄x̄V̅MMMCCVIII</t>
        </is>
      </c>
      <c r="C28209">
        <f>ROMAN(28208)</f>
        <v/>
      </c>
      <c r="D28209">
        <f>IF(B28209=C28209, "YES", "WRONG")</f>
        <v/>
      </c>
    </row>
    <row r="28210">
      <c r="A28210" t="n">
        <v>28209</v>
      </c>
      <c r="B28210" t="inlineStr">
        <is>
          <t>x̄x̄V̅MMMCCIX</t>
        </is>
      </c>
      <c r="C28210">
        <f>ROMAN(28209)</f>
        <v/>
      </c>
      <c r="D28210">
        <f>IF(B28210=C28210, "YES", "WRONG")</f>
        <v/>
      </c>
    </row>
    <row r="28211">
      <c r="A28211" t="n">
        <v>28210</v>
      </c>
      <c r="B28211" t="inlineStr">
        <is>
          <t>x̄x̄V̅MMMCCX</t>
        </is>
      </c>
      <c r="C28211">
        <f>ROMAN(28210)</f>
        <v/>
      </c>
      <c r="D28211">
        <f>IF(B28211=C28211, "YES", "WRONG")</f>
        <v/>
      </c>
    </row>
    <row r="28212">
      <c r="A28212" t="n">
        <v>28211</v>
      </c>
      <c r="B28212" t="inlineStr">
        <is>
          <t>x̄x̄V̅MMMCCXI</t>
        </is>
      </c>
      <c r="C28212">
        <f>ROMAN(28211)</f>
        <v/>
      </c>
      <c r="D28212">
        <f>IF(B28212=C28212, "YES", "WRONG")</f>
        <v/>
      </c>
    </row>
    <row r="28213">
      <c r="A28213" t="n">
        <v>28212</v>
      </c>
      <c r="B28213" t="inlineStr">
        <is>
          <t>x̄x̄V̅MMMCCXII</t>
        </is>
      </c>
      <c r="C28213">
        <f>ROMAN(28212)</f>
        <v/>
      </c>
      <c r="D28213">
        <f>IF(B28213=C28213, "YES", "WRONG")</f>
        <v/>
      </c>
    </row>
    <row r="28214">
      <c r="A28214" t="n">
        <v>28213</v>
      </c>
      <c r="B28214" t="inlineStr">
        <is>
          <t>x̄x̄V̅MMMCCXIII</t>
        </is>
      </c>
      <c r="C28214">
        <f>ROMAN(28213)</f>
        <v/>
      </c>
      <c r="D28214">
        <f>IF(B28214=C28214, "YES", "WRONG")</f>
        <v/>
      </c>
    </row>
    <row r="28215">
      <c r="A28215" t="n">
        <v>28214</v>
      </c>
      <c r="B28215" t="inlineStr">
        <is>
          <t>x̄x̄V̅MMMCCXIV</t>
        </is>
      </c>
      <c r="C28215">
        <f>ROMAN(28214)</f>
        <v/>
      </c>
      <c r="D28215">
        <f>IF(B28215=C28215, "YES", "WRONG")</f>
        <v/>
      </c>
    </row>
    <row r="28216">
      <c r="A28216" t="n">
        <v>28215</v>
      </c>
      <c r="B28216" t="inlineStr">
        <is>
          <t>x̄x̄V̅MMMCCXV</t>
        </is>
      </c>
      <c r="C28216">
        <f>ROMAN(28215)</f>
        <v/>
      </c>
      <c r="D28216">
        <f>IF(B28216=C28216, "YES", "WRONG")</f>
        <v/>
      </c>
    </row>
    <row r="28217">
      <c r="A28217" t="n">
        <v>28216</v>
      </c>
      <c r="B28217" t="inlineStr">
        <is>
          <t>x̄x̄V̅MMMCCXVI</t>
        </is>
      </c>
      <c r="C28217">
        <f>ROMAN(28216)</f>
        <v/>
      </c>
      <c r="D28217">
        <f>IF(B28217=C28217, "YES", "WRONG")</f>
        <v/>
      </c>
    </row>
    <row r="28218">
      <c r="A28218" t="n">
        <v>28217</v>
      </c>
      <c r="B28218" t="inlineStr">
        <is>
          <t>x̄x̄V̅MMMCCXVII</t>
        </is>
      </c>
      <c r="C28218">
        <f>ROMAN(28217)</f>
        <v/>
      </c>
      <c r="D28218">
        <f>IF(B28218=C28218, "YES", "WRONG")</f>
        <v/>
      </c>
    </row>
    <row r="28219">
      <c r="A28219" t="n">
        <v>28218</v>
      </c>
      <c r="B28219" t="inlineStr">
        <is>
          <t>x̄x̄V̅MMMCCXVIII</t>
        </is>
      </c>
      <c r="C28219">
        <f>ROMAN(28218)</f>
        <v/>
      </c>
      <c r="D28219">
        <f>IF(B28219=C28219, "YES", "WRONG")</f>
        <v/>
      </c>
    </row>
    <row r="28220">
      <c r="A28220" t="n">
        <v>28219</v>
      </c>
      <c r="B28220" t="inlineStr">
        <is>
          <t>x̄x̄V̅MMMCCXIX</t>
        </is>
      </c>
      <c r="C28220">
        <f>ROMAN(28219)</f>
        <v/>
      </c>
      <c r="D28220">
        <f>IF(B28220=C28220, "YES", "WRONG")</f>
        <v/>
      </c>
    </row>
    <row r="28221">
      <c r="A28221" t="n">
        <v>28220</v>
      </c>
      <c r="B28221" t="inlineStr">
        <is>
          <t>x̄x̄V̅MMMCCXX</t>
        </is>
      </c>
      <c r="C28221">
        <f>ROMAN(28220)</f>
        <v/>
      </c>
      <c r="D28221">
        <f>IF(B28221=C28221, "YES", "WRONG")</f>
        <v/>
      </c>
    </row>
    <row r="28222">
      <c r="A28222" t="n">
        <v>28221</v>
      </c>
      <c r="B28222" t="inlineStr">
        <is>
          <t>x̄x̄V̅MMMCCXXI</t>
        </is>
      </c>
      <c r="C28222">
        <f>ROMAN(28221)</f>
        <v/>
      </c>
      <c r="D28222">
        <f>IF(B28222=C28222, "YES", "WRONG")</f>
        <v/>
      </c>
    </row>
    <row r="28223">
      <c r="A28223" t="n">
        <v>28222</v>
      </c>
      <c r="B28223" t="inlineStr">
        <is>
          <t>x̄x̄V̅MMMCCXXII</t>
        </is>
      </c>
      <c r="C28223">
        <f>ROMAN(28222)</f>
        <v/>
      </c>
      <c r="D28223">
        <f>IF(B28223=C28223, "YES", "WRONG")</f>
        <v/>
      </c>
    </row>
    <row r="28224">
      <c r="A28224" t="n">
        <v>28223</v>
      </c>
      <c r="B28224" t="inlineStr">
        <is>
          <t>x̄x̄V̅MMMCCXXIII</t>
        </is>
      </c>
      <c r="C28224">
        <f>ROMAN(28223)</f>
        <v/>
      </c>
      <c r="D28224">
        <f>IF(B28224=C28224, "YES", "WRONG")</f>
        <v/>
      </c>
    </row>
    <row r="28225">
      <c r="A28225" t="n">
        <v>28224</v>
      </c>
      <c r="B28225" t="inlineStr">
        <is>
          <t>x̄x̄V̅MMMCCXXIV</t>
        </is>
      </c>
      <c r="C28225">
        <f>ROMAN(28224)</f>
        <v/>
      </c>
      <c r="D28225">
        <f>IF(B28225=C28225, "YES", "WRONG")</f>
        <v/>
      </c>
    </row>
    <row r="28226">
      <c r="A28226" t="n">
        <v>28225</v>
      </c>
      <c r="B28226" t="inlineStr">
        <is>
          <t>x̄x̄V̅MMMCCXXV</t>
        </is>
      </c>
      <c r="C28226">
        <f>ROMAN(28225)</f>
        <v/>
      </c>
      <c r="D28226">
        <f>IF(B28226=C28226, "YES", "WRONG")</f>
        <v/>
      </c>
    </row>
    <row r="28227">
      <c r="A28227" t="n">
        <v>28226</v>
      </c>
      <c r="B28227" t="inlineStr">
        <is>
          <t>x̄x̄V̅MMMCCXXVI</t>
        </is>
      </c>
      <c r="C28227">
        <f>ROMAN(28226)</f>
        <v/>
      </c>
      <c r="D28227">
        <f>IF(B28227=C28227, "YES", "WRONG")</f>
        <v/>
      </c>
    </row>
    <row r="28228">
      <c r="A28228" t="n">
        <v>28227</v>
      </c>
      <c r="B28228" t="inlineStr">
        <is>
          <t>x̄x̄V̅MMMCCXXVII</t>
        </is>
      </c>
      <c r="C28228">
        <f>ROMAN(28227)</f>
        <v/>
      </c>
      <c r="D28228">
        <f>IF(B28228=C28228, "YES", "WRONG")</f>
        <v/>
      </c>
    </row>
    <row r="28229">
      <c r="A28229" t="n">
        <v>28228</v>
      </c>
      <c r="B28229" t="inlineStr">
        <is>
          <t>x̄x̄V̅MMMCCXXVIII</t>
        </is>
      </c>
      <c r="C28229">
        <f>ROMAN(28228)</f>
        <v/>
      </c>
      <c r="D28229">
        <f>IF(B28229=C28229, "YES", "WRONG")</f>
        <v/>
      </c>
    </row>
    <row r="28230">
      <c r="A28230" t="n">
        <v>28229</v>
      </c>
      <c r="B28230" t="inlineStr">
        <is>
          <t>x̄x̄V̅MMMCCXXIX</t>
        </is>
      </c>
      <c r="C28230">
        <f>ROMAN(28229)</f>
        <v/>
      </c>
      <c r="D28230">
        <f>IF(B28230=C28230, "YES", "WRONG")</f>
        <v/>
      </c>
    </row>
    <row r="28231">
      <c r="A28231" t="n">
        <v>28230</v>
      </c>
      <c r="B28231" t="inlineStr">
        <is>
          <t>x̄x̄V̅MMMCCXXX</t>
        </is>
      </c>
      <c r="C28231">
        <f>ROMAN(28230)</f>
        <v/>
      </c>
      <c r="D28231">
        <f>IF(B28231=C28231, "YES", "WRONG")</f>
        <v/>
      </c>
    </row>
    <row r="28232">
      <c r="A28232" t="n">
        <v>28231</v>
      </c>
      <c r="B28232" t="inlineStr">
        <is>
          <t>x̄x̄V̅MMMCCXXXI</t>
        </is>
      </c>
      <c r="C28232">
        <f>ROMAN(28231)</f>
        <v/>
      </c>
      <c r="D28232">
        <f>IF(B28232=C28232, "YES", "WRONG")</f>
        <v/>
      </c>
    </row>
    <row r="28233">
      <c r="A28233" t="n">
        <v>28232</v>
      </c>
      <c r="B28233" t="inlineStr">
        <is>
          <t>x̄x̄V̅MMMCCXXXII</t>
        </is>
      </c>
      <c r="C28233">
        <f>ROMAN(28232)</f>
        <v/>
      </c>
      <c r="D28233">
        <f>IF(B28233=C28233, "YES", "WRONG")</f>
        <v/>
      </c>
    </row>
    <row r="28234">
      <c r="A28234" t="n">
        <v>28233</v>
      </c>
      <c r="B28234" t="inlineStr">
        <is>
          <t>x̄x̄V̅MMMCCXXXIII</t>
        </is>
      </c>
      <c r="C28234">
        <f>ROMAN(28233)</f>
        <v/>
      </c>
      <c r="D28234">
        <f>IF(B28234=C28234, "YES", "WRONG")</f>
        <v/>
      </c>
    </row>
    <row r="28235">
      <c r="A28235" t="n">
        <v>28234</v>
      </c>
      <c r="B28235" t="inlineStr">
        <is>
          <t>x̄x̄V̅MMMCCXXXIV</t>
        </is>
      </c>
      <c r="C28235">
        <f>ROMAN(28234)</f>
        <v/>
      </c>
      <c r="D28235">
        <f>IF(B28235=C28235, "YES", "WRONG")</f>
        <v/>
      </c>
    </row>
    <row r="28236">
      <c r="A28236" t="n">
        <v>28235</v>
      </c>
      <c r="B28236" t="inlineStr">
        <is>
          <t>x̄x̄V̅MMMCCXXXV</t>
        </is>
      </c>
      <c r="C28236">
        <f>ROMAN(28235)</f>
        <v/>
      </c>
      <c r="D28236">
        <f>IF(B28236=C28236, "YES", "WRONG")</f>
        <v/>
      </c>
    </row>
    <row r="28237">
      <c r="A28237" t="n">
        <v>28236</v>
      </c>
      <c r="B28237" t="inlineStr">
        <is>
          <t>x̄x̄V̅MMMCCXXXVI</t>
        </is>
      </c>
      <c r="C28237">
        <f>ROMAN(28236)</f>
        <v/>
      </c>
      <c r="D28237">
        <f>IF(B28237=C28237, "YES", "WRONG")</f>
        <v/>
      </c>
    </row>
    <row r="28238">
      <c r="A28238" t="n">
        <v>28237</v>
      </c>
      <c r="B28238" t="inlineStr">
        <is>
          <t>x̄x̄V̅MMMCCXXXVII</t>
        </is>
      </c>
      <c r="C28238">
        <f>ROMAN(28237)</f>
        <v/>
      </c>
      <c r="D28238">
        <f>IF(B28238=C28238, "YES", "WRONG")</f>
        <v/>
      </c>
    </row>
    <row r="28239">
      <c r="A28239" t="n">
        <v>28238</v>
      </c>
      <c r="B28239" t="inlineStr">
        <is>
          <t>x̄x̄V̅MMMCCXXXVIII</t>
        </is>
      </c>
      <c r="C28239">
        <f>ROMAN(28238)</f>
        <v/>
      </c>
      <c r="D28239">
        <f>IF(B28239=C28239, "YES", "WRONG")</f>
        <v/>
      </c>
    </row>
    <row r="28240">
      <c r="A28240" t="n">
        <v>28239</v>
      </c>
      <c r="B28240" t="inlineStr">
        <is>
          <t>x̄x̄V̅MMMCCXXXIX</t>
        </is>
      </c>
      <c r="C28240">
        <f>ROMAN(28239)</f>
        <v/>
      </c>
      <c r="D28240">
        <f>IF(B28240=C28240, "YES", "WRONG")</f>
        <v/>
      </c>
    </row>
    <row r="28241">
      <c r="A28241" t="n">
        <v>28240</v>
      </c>
      <c r="B28241" t="inlineStr">
        <is>
          <t>x̄x̄V̅MMMCCXL</t>
        </is>
      </c>
      <c r="C28241">
        <f>ROMAN(28240)</f>
        <v/>
      </c>
      <c r="D28241">
        <f>IF(B28241=C28241, "YES", "WRONG")</f>
        <v/>
      </c>
    </row>
    <row r="28242">
      <c r="A28242" t="n">
        <v>28241</v>
      </c>
      <c r="B28242" t="inlineStr">
        <is>
          <t>x̄x̄V̅MMMCCXLI</t>
        </is>
      </c>
      <c r="C28242">
        <f>ROMAN(28241)</f>
        <v/>
      </c>
      <c r="D28242">
        <f>IF(B28242=C28242, "YES", "WRONG")</f>
        <v/>
      </c>
    </row>
    <row r="28243">
      <c r="A28243" t="n">
        <v>28242</v>
      </c>
      <c r="B28243" t="inlineStr">
        <is>
          <t>x̄x̄V̅MMMCCXLII</t>
        </is>
      </c>
      <c r="C28243">
        <f>ROMAN(28242)</f>
        <v/>
      </c>
      <c r="D28243">
        <f>IF(B28243=C28243, "YES", "WRONG")</f>
        <v/>
      </c>
    </row>
    <row r="28244">
      <c r="A28244" t="n">
        <v>28243</v>
      </c>
      <c r="B28244" t="inlineStr">
        <is>
          <t>x̄x̄V̅MMMCCXLIII</t>
        </is>
      </c>
      <c r="C28244">
        <f>ROMAN(28243)</f>
        <v/>
      </c>
      <c r="D28244">
        <f>IF(B28244=C28244, "YES", "WRONG")</f>
        <v/>
      </c>
    </row>
    <row r="28245">
      <c r="A28245" t="n">
        <v>28244</v>
      </c>
      <c r="B28245" t="inlineStr">
        <is>
          <t>x̄x̄V̅MMMCCXLIV</t>
        </is>
      </c>
      <c r="C28245">
        <f>ROMAN(28244)</f>
        <v/>
      </c>
      <c r="D28245">
        <f>IF(B28245=C28245, "YES", "WRONG")</f>
        <v/>
      </c>
    </row>
    <row r="28246">
      <c r="A28246" t="n">
        <v>28245</v>
      </c>
      <c r="B28246" t="inlineStr">
        <is>
          <t>x̄x̄V̅MMMCCXLV</t>
        </is>
      </c>
      <c r="C28246">
        <f>ROMAN(28245)</f>
        <v/>
      </c>
      <c r="D28246">
        <f>IF(B28246=C28246, "YES", "WRONG")</f>
        <v/>
      </c>
    </row>
    <row r="28247">
      <c r="A28247" t="n">
        <v>28246</v>
      </c>
      <c r="B28247" t="inlineStr">
        <is>
          <t>x̄x̄V̅MMMCCXLVI</t>
        </is>
      </c>
      <c r="C28247">
        <f>ROMAN(28246)</f>
        <v/>
      </c>
      <c r="D28247">
        <f>IF(B28247=C28247, "YES", "WRONG")</f>
        <v/>
      </c>
    </row>
    <row r="28248">
      <c r="A28248" t="n">
        <v>28247</v>
      </c>
      <c r="B28248" t="inlineStr">
        <is>
          <t>x̄x̄V̅MMMCCXLVII</t>
        </is>
      </c>
      <c r="C28248">
        <f>ROMAN(28247)</f>
        <v/>
      </c>
      <c r="D28248">
        <f>IF(B28248=C28248, "YES", "WRONG")</f>
        <v/>
      </c>
    </row>
    <row r="28249">
      <c r="A28249" t="n">
        <v>28248</v>
      </c>
      <c r="B28249" t="inlineStr">
        <is>
          <t>x̄x̄V̅MMMCCXLVIII</t>
        </is>
      </c>
      <c r="C28249">
        <f>ROMAN(28248)</f>
        <v/>
      </c>
      <c r="D28249">
        <f>IF(B28249=C28249, "YES", "WRONG")</f>
        <v/>
      </c>
    </row>
    <row r="28250">
      <c r="A28250" t="n">
        <v>28249</v>
      </c>
      <c r="B28250" t="inlineStr">
        <is>
          <t>x̄x̄V̅MMMCCXLIX</t>
        </is>
      </c>
      <c r="C28250">
        <f>ROMAN(28249)</f>
        <v/>
      </c>
      <c r="D28250">
        <f>IF(B28250=C28250, "YES", "WRONG")</f>
        <v/>
      </c>
    </row>
    <row r="28251">
      <c r="A28251" t="n">
        <v>28250</v>
      </c>
      <c r="B28251" t="inlineStr">
        <is>
          <t>x̄x̄V̅MMMCCL</t>
        </is>
      </c>
      <c r="C28251">
        <f>ROMAN(28250)</f>
        <v/>
      </c>
      <c r="D28251">
        <f>IF(B28251=C28251, "YES", "WRONG")</f>
        <v/>
      </c>
    </row>
    <row r="28252">
      <c r="A28252" t="n">
        <v>28251</v>
      </c>
      <c r="B28252" t="inlineStr">
        <is>
          <t>x̄x̄V̅MMMCCLI</t>
        </is>
      </c>
      <c r="C28252">
        <f>ROMAN(28251)</f>
        <v/>
      </c>
      <c r="D28252">
        <f>IF(B28252=C28252, "YES", "WRONG")</f>
        <v/>
      </c>
    </row>
    <row r="28253">
      <c r="A28253" t="n">
        <v>28252</v>
      </c>
      <c r="B28253" t="inlineStr">
        <is>
          <t>x̄x̄V̅MMMCCLII</t>
        </is>
      </c>
      <c r="C28253">
        <f>ROMAN(28252)</f>
        <v/>
      </c>
      <c r="D28253">
        <f>IF(B28253=C28253, "YES", "WRONG")</f>
        <v/>
      </c>
    </row>
    <row r="28254">
      <c r="A28254" t="n">
        <v>28253</v>
      </c>
      <c r="B28254" t="inlineStr">
        <is>
          <t>x̄x̄V̅MMMCCLIII</t>
        </is>
      </c>
      <c r="C28254">
        <f>ROMAN(28253)</f>
        <v/>
      </c>
      <c r="D28254">
        <f>IF(B28254=C28254, "YES", "WRONG")</f>
        <v/>
      </c>
    </row>
    <row r="28255">
      <c r="A28255" t="n">
        <v>28254</v>
      </c>
      <c r="B28255" t="inlineStr">
        <is>
          <t>x̄x̄V̅MMMCCLIV</t>
        </is>
      </c>
      <c r="C28255">
        <f>ROMAN(28254)</f>
        <v/>
      </c>
      <c r="D28255">
        <f>IF(B28255=C28255, "YES", "WRONG")</f>
        <v/>
      </c>
    </row>
    <row r="28256">
      <c r="A28256" t="n">
        <v>28255</v>
      </c>
      <c r="B28256" t="inlineStr">
        <is>
          <t>x̄x̄V̅MMMCCLV</t>
        </is>
      </c>
      <c r="C28256">
        <f>ROMAN(28255)</f>
        <v/>
      </c>
      <c r="D28256">
        <f>IF(B28256=C28256, "YES", "WRONG")</f>
        <v/>
      </c>
    </row>
    <row r="28257">
      <c r="A28257" t="n">
        <v>28256</v>
      </c>
      <c r="B28257" t="inlineStr">
        <is>
          <t>x̄x̄V̅MMMCCLVI</t>
        </is>
      </c>
      <c r="C28257">
        <f>ROMAN(28256)</f>
        <v/>
      </c>
      <c r="D28257">
        <f>IF(B28257=C28257, "YES", "WRONG")</f>
        <v/>
      </c>
    </row>
    <row r="28258">
      <c r="A28258" t="n">
        <v>28257</v>
      </c>
      <c r="B28258" t="inlineStr">
        <is>
          <t>x̄x̄V̅MMMCCLVII</t>
        </is>
      </c>
      <c r="C28258">
        <f>ROMAN(28257)</f>
        <v/>
      </c>
      <c r="D28258">
        <f>IF(B28258=C28258, "YES", "WRONG")</f>
        <v/>
      </c>
    </row>
    <row r="28259">
      <c r="A28259" t="n">
        <v>28258</v>
      </c>
      <c r="B28259" t="inlineStr">
        <is>
          <t>x̄x̄V̅MMMCCLVIII</t>
        </is>
      </c>
      <c r="C28259">
        <f>ROMAN(28258)</f>
        <v/>
      </c>
      <c r="D28259">
        <f>IF(B28259=C28259, "YES", "WRONG")</f>
        <v/>
      </c>
    </row>
    <row r="28260">
      <c r="A28260" t="n">
        <v>28259</v>
      </c>
      <c r="B28260" t="inlineStr">
        <is>
          <t>x̄x̄V̅MMMCCLIX</t>
        </is>
      </c>
      <c r="C28260">
        <f>ROMAN(28259)</f>
        <v/>
      </c>
      <c r="D28260">
        <f>IF(B28260=C28260, "YES", "WRONG")</f>
        <v/>
      </c>
    </row>
    <row r="28261">
      <c r="A28261" t="n">
        <v>28260</v>
      </c>
      <c r="B28261" t="inlineStr">
        <is>
          <t>x̄x̄V̅MMMCCLX</t>
        </is>
      </c>
      <c r="C28261">
        <f>ROMAN(28260)</f>
        <v/>
      </c>
      <c r="D28261">
        <f>IF(B28261=C28261, "YES", "WRONG")</f>
        <v/>
      </c>
    </row>
    <row r="28262">
      <c r="A28262" t="n">
        <v>28261</v>
      </c>
      <c r="B28262" t="inlineStr">
        <is>
          <t>x̄x̄V̅MMMCCLXI</t>
        </is>
      </c>
      <c r="C28262">
        <f>ROMAN(28261)</f>
        <v/>
      </c>
      <c r="D28262">
        <f>IF(B28262=C28262, "YES", "WRONG")</f>
        <v/>
      </c>
    </row>
    <row r="28263">
      <c r="A28263" t="n">
        <v>28262</v>
      </c>
      <c r="B28263" t="inlineStr">
        <is>
          <t>x̄x̄V̅MMMCCLXII</t>
        </is>
      </c>
      <c r="C28263">
        <f>ROMAN(28262)</f>
        <v/>
      </c>
      <c r="D28263">
        <f>IF(B28263=C28263, "YES", "WRONG")</f>
        <v/>
      </c>
    </row>
    <row r="28264">
      <c r="A28264" t="n">
        <v>28263</v>
      </c>
      <c r="B28264" t="inlineStr">
        <is>
          <t>x̄x̄V̅MMMCCLXIII</t>
        </is>
      </c>
      <c r="C28264">
        <f>ROMAN(28263)</f>
        <v/>
      </c>
      <c r="D28264">
        <f>IF(B28264=C28264, "YES", "WRONG")</f>
        <v/>
      </c>
    </row>
    <row r="28265">
      <c r="A28265" t="n">
        <v>28264</v>
      </c>
      <c r="B28265" t="inlineStr">
        <is>
          <t>x̄x̄V̅MMMCCLXIV</t>
        </is>
      </c>
      <c r="C28265">
        <f>ROMAN(28264)</f>
        <v/>
      </c>
      <c r="D28265">
        <f>IF(B28265=C28265, "YES", "WRONG")</f>
        <v/>
      </c>
    </row>
    <row r="28266">
      <c r="A28266" t="n">
        <v>28265</v>
      </c>
      <c r="B28266" t="inlineStr">
        <is>
          <t>x̄x̄V̅MMMCCLXV</t>
        </is>
      </c>
      <c r="C28266">
        <f>ROMAN(28265)</f>
        <v/>
      </c>
      <c r="D28266">
        <f>IF(B28266=C28266, "YES", "WRONG")</f>
        <v/>
      </c>
    </row>
    <row r="28267">
      <c r="A28267" t="n">
        <v>28266</v>
      </c>
      <c r="B28267" t="inlineStr">
        <is>
          <t>x̄x̄V̅MMMCCLXVI</t>
        </is>
      </c>
      <c r="C28267">
        <f>ROMAN(28266)</f>
        <v/>
      </c>
      <c r="D28267">
        <f>IF(B28267=C28267, "YES", "WRONG")</f>
        <v/>
      </c>
    </row>
    <row r="28268">
      <c r="A28268" t="n">
        <v>28267</v>
      </c>
      <c r="B28268" t="inlineStr">
        <is>
          <t>x̄x̄V̅MMMCCLXVII</t>
        </is>
      </c>
      <c r="C28268">
        <f>ROMAN(28267)</f>
        <v/>
      </c>
      <c r="D28268">
        <f>IF(B28268=C28268, "YES", "WRONG")</f>
        <v/>
      </c>
    </row>
    <row r="28269">
      <c r="A28269" t="n">
        <v>28268</v>
      </c>
      <c r="B28269" t="inlineStr">
        <is>
          <t>x̄x̄V̅MMMCCLXVIII</t>
        </is>
      </c>
      <c r="C28269">
        <f>ROMAN(28268)</f>
        <v/>
      </c>
      <c r="D28269">
        <f>IF(B28269=C28269, "YES", "WRONG")</f>
        <v/>
      </c>
    </row>
    <row r="28270">
      <c r="A28270" t="n">
        <v>28269</v>
      </c>
      <c r="B28270" t="inlineStr">
        <is>
          <t>x̄x̄V̅MMMCCLXIX</t>
        </is>
      </c>
      <c r="C28270">
        <f>ROMAN(28269)</f>
        <v/>
      </c>
      <c r="D28270">
        <f>IF(B28270=C28270, "YES", "WRONG")</f>
        <v/>
      </c>
    </row>
    <row r="28271">
      <c r="A28271" t="n">
        <v>28270</v>
      </c>
      <c r="B28271" t="inlineStr">
        <is>
          <t>x̄x̄V̅MMMCCLXX</t>
        </is>
      </c>
      <c r="C28271">
        <f>ROMAN(28270)</f>
        <v/>
      </c>
      <c r="D28271">
        <f>IF(B28271=C28271, "YES", "WRONG")</f>
        <v/>
      </c>
    </row>
    <row r="28272">
      <c r="A28272" t="n">
        <v>28271</v>
      </c>
      <c r="B28272" t="inlineStr">
        <is>
          <t>x̄x̄V̅MMMCCLXXI</t>
        </is>
      </c>
      <c r="C28272">
        <f>ROMAN(28271)</f>
        <v/>
      </c>
      <c r="D28272">
        <f>IF(B28272=C28272, "YES", "WRONG")</f>
        <v/>
      </c>
    </row>
    <row r="28273">
      <c r="A28273" t="n">
        <v>28272</v>
      </c>
      <c r="B28273" t="inlineStr">
        <is>
          <t>x̄x̄V̅MMMCCLXXII</t>
        </is>
      </c>
      <c r="C28273">
        <f>ROMAN(28272)</f>
        <v/>
      </c>
      <c r="D28273">
        <f>IF(B28273=C28273, "YES", "WRONG")</f>
        <v/>
      </c>
    </row>
    <row r="28274">
      <c r="A28274" t="n">
        <v>28273</v>
      </c>
      <c r="B28274" t="inlineStr">
        <is>
          <t>x̄x̄V̅MMMCCLXXIII</t>
        </is>
      </c>
      <c r="C28274">
        <f>ROMAN(28273)</f>
        <v/>
      </c>
      <c r="D28274">
        <f>IF(B28274=C28274, "YES", "WRONG")</f>
        <v/>
      </c>
    </row>
    <row r="28275">
      <c r="A28275" t="n">
        <v>28274</v>
      </c>
      <c r="B28275" t="inlineStr">
        <is>
          <t>x̄x̄V̅MMMCCLXXIV</t>
        </is>
      </c>
      <c r="C28275">
        <f>ROMAN(28274)</f>
        <v/>
      </c>
      <c r="D28275">
        <f>IF(B28275=C28275, "YES", "WRONG")</f>
        <v/>
      </c>
    </row>
    <row r="28276">
      <c r="A28276" t="n">
        <v>28275</v>
      </c>
      <c r="B28276" t="inlineStr">
        <is>
          <t>x̄x̄V̅MMMCCLXXV</t>
        </is>
      </c>
      <c r="C28276">
        <f>ROMAN(28275)</f>
        <v/>
      </c>
      <c r="D28276">
        <f>IF(B28276=C28276, "YES", "WRONG")</f>
        <v/>
      </c>
    </row>
    <row r="28277">
      <c r="A28277" t="n">
        <v>28276</v>
      </c>
      <c r="B28277" t="inlineStr">
        <is>
          <t>x̄x̄V̅MMMCCLXXVI</t>
        </is>
      </c>
      <c r="C28277">
        <f>ROMAN(28276)</f>
        <v/>
      </c>
      <c r="D28277">
        <f>IF(B28277=C28277, "YES", "WRONG")</f>
        <v/>
      </c>
    </row>
    <row r="28278">
      <c r="A28278" t="n">
        <v>28277</v>
      </c>
      <c r="B28278" t="inlineStr">
        <is>
          <t>x̄x̄V̅MMMCCLXXVII</t>
        </is>
      </c>
      <c r="C28278">
        <f>ROMAN(28277)</f>
        <v/>
      </c>
      <c r="D28278">
        <f>IF(B28278=C28278, "YES", "WRONG")</f>
        <v/>
      </c>
    </row>
    <row r="28279">
      <c r="A28279" t="n">
        <v>28278</v>
      </c>
      <c r="B28279" t="inlineStr">
        <is>
          <t>x̄x̄V̅MMMCCLXXVIII</t>
        </is>
      </c>
      <c r="C28279">
        <f>ROMAN(28278)</f>
        <v/>
      </c>
      <c r="D28279">
        <f>IF(B28279=C28279, "YES", "WRONG")</f>
        <v/>
      </c>
    </row>
    <row r="28280">
      <c r="A28280" t="n">
        <v>28279</v>
      </c>
      <c r="B28280" t="inlineStr">
        <is>
          <t>x̄x̄V̅MMMCCLXXIX</t>
        </is>
      </c>
      <c r="C28280">
        <f>ROMAN(28279)</f>
        <v/>
      </c>
      <c r="D28280">
        <f>IF(B28280=C28280, "YES", "WRONG")</f>
        <v/>
      </c>
    </row>
    <row r="28281">
      <c r="A28281" t="n">
        <v>28280</v>
      </c>
      <c r="B28281" t="inlineStr">
        <is>
          <t>x̄x̄V̅MMMCCLXXX</t>
        </is>
      </c>
      <c r="C28281">
        <f>ROMAN(28280)</f>
        <v/>
      </c>
      <c r="D28281">
        <f>IF(B28281=C28281, "YES", "WRONG")</f>
        <v/>
      </c>
    </row>
    <row r="28282">
      <c r="A28282" t="n">
        <v>28281</v>
      </c>
      <c r="B28282" t="inlineStr">
        <is>
          <t>x̄x̄V̅MMMCCLXXXI</t>
        </is>
      </c>
      <c r="C28282">
        <f>ROMAN(28281)</f>
        <v/>
      </c>
      <c r="D28282">
        <f>IF(B28282=C28282, "YES", "WRONG")</f>
        <v/>
      </c>
    </row>
    <row r="28283">
      <c r="A28283" t="n">
        <v>28282</v>
      </c>
      <c r="B28283" t="inlineStr">
        <is>
          <t>x̄x̄V̅MMMCCLXXXII</t>
        </is>
      </c>
      <c r="C28283">
        <f>ROMAN(28282)</f>
        <v/>
      </c>
      <c r="D28283">
        <f>IF(B28283=C28283, "YES", "WRONG")</f>
        <v/>
      </c>
    </row>
    <row r="28284">
      <c r="A28284" t="n">
        <v>28283</v>
      </c>
      <c r="B28284" t="inlineStr">
        <is>
          <t>x̄x̄V̅MMMCCLXXXIII</t>
        </is>
      </c>
      <c r="C28284">
        <f>ROMAN(28283)</f>
        <v/>
      </c>
      <c r="D28284">
        <f>IF(B28284=C28284, "YES", "WRONG")</f>
        <v/>
      </c>
    </row>
    <row r="28285">
      <c r="A28285" t="n">
        <v>28284</v>
      </c>
      <c r="B28285" t="inlineStr">
        <is>
          <t>x̄x̄V̅MMMCCLXXXIV</t>
        </is>
      </c>
      <c r="C28285">
        <f>ROMAN(28284)</f>
        <v/>
      </c>
      <c r="D28285">
        <f>IF(B28285=C28285, "YES", "WRONG")</f>
        <v/>
      </c>
    </row>
    <row r="28286">
      <c r="A28286" t="n">
        <v>28285</v>
      </c>
      <c r="B28286" t="inlineStr">
        <is>
          <t>x̄x̄V̅MMMCCLXXXV</t>
        </is>
      </c>
      <c r="C28286">
        <f>ROMAN(28285)</f>
        <v/>
      </c>
      <c r="D28286">
        <f>IF(B28286=C28286, "YES", "WRONG")</f>
        <v/>
      </c>
    </row>
    <row r="28287">
      <c r="A28287" t="n">
        <v>28286</v>
      </c>
      <c r="B28287" t="inlineStr">
        <is>
          <t>x̄x̄V̅MMMCCLXXXVI</t>
        </is>
      </c>
      <c r="C28287">
        <f>ROMAN(28286)</f>
        <v/>
      </c>
      <c r="D28287">
        <f>IF(B28287=C28287, "YES", "WRONG")</f>
        <v/>
      </c>
    </row>
    <row r="28288">
      <c r="A28288" t="n">
        <v>28287</v>
      </c>
      <c r="B28288" t="inlineStr">
        <is>
          <t>x̄x̄V̅MMMCCLXXXVII</t>
        </is>
      </c>
      <c r="C28288">
        <f>ROMAN(28287)</f>
        <v/>
      </c>
      <c r="D28288">
        <f>IF(B28288=C28288, "YES", "WRONG")</f>
        <v/>
      </c>
    </row>
    <row r="28289">
      <c r="A28289" t="n">
        <v>28288</v>
      </c>
      <c r="B28289" t="inlineStr">
        <is>
          <t>x̄x̄V̅MMMCCLXXXVIII</t>
        </is>
      </c>
      <c r="C28289">
        <f>ROMAN(28288)</f>
        <v/>
      </c>
      <c r="D28289">
        <f>IF(B28289=C28289, "YES", "WRONG")</f>
        <v/>
      </c>
    </row>
    <row r="28290">
      <c r="A28290" t="n">
        <v>28289</v>
      </c>
      <c r="B28290" t="inlineStr">
        <is>
          <t>x̄x̄V̅MMMCCLXXXIX</t>
        </is>
      </c>
      <c r="C28290">
        <f>ROMAN(28289)</f>
        <v/>
      </c>
      <c r="D28290">
        <f>IF(B28290=C28290, "YES", "WRONG")</f>
        <v/>
      </c>
    </row>
    <row r="28291">
      <c r="A28291" t="n">
        <v>28290</v>
      </c>
      <c r="B28291" t="inlineStr">
        <is>
          <t>x̄x̄V̅MMMCCXC</t>
        </is>
      </c>
      <c r="C28291">
        <f>ROMAN(28290)</f>
        <v/>
      </c>
      <c r="D28291">
        <f>IF(B28291=C28291, "YES", "WRONG")</f>
        <v/>
      </c>
    </row>
    <row r="28292">
      <c r="A28292" t="n">
        <v>28291</v>
      </c>
      <c r="B28292" t="inlineStr">
        <is>
          <t>x̄x̄V̅MMMCCXCI</t>
        </is>
      </c>
      <c r="C28292">
        <f>ROMAN(28291)</f>
        <v/>
      </c>
      <c r="D28292">
        <f>IF(B28292=C28292, "YES", "WRONG")</f>
        <v/>
      </c>
    </row>
    <row r="28293">
      <c r="A28293" t="n">
        <v>28292</v>
      </c>
      <c r="B28293" t="inlineStr">
        <is>
          <t>x̄x̄V̅MMMCCXCII</t>
        </is>
      </c>
      <c r="C28293">
        <f>ROMAN(28292)</f>
        <v/>
      </c>
      <c r="D28293">
        <f>IF(B28293=C28293, "YES", "WRONG")</f>
        <v/>
      </c>
    </row>
    <row r="28294">
      <c r="A28294" t="n">
        <v>28293</v>
      </c>
      <c r="B28294" t="inlineStr">
        <is>
          <t>x̄x̄V̅MMMCCXCIII</t>
        </is>
      </c>
      <c r="C28294">
        <f>ROMAN(28293)</f>
        <v/>
      </c>
      <c r="D28294">
        <f>IF(B28294=C28294, "YES", "WRONG")</f>
        <v/>
      </c>
    </row>
    <row r="28295">
      <c r="A28295" t="n">
        <v>28294</v>
      </c>
      <c r="B28295" t="inlineStr">
        <is>
          <t>x̄x̄V̅MMMCCXCIV</t>
        </is>
      </c>
      <c r="C28295">
        <f>ROMAN(28294)</f>
        <v/>
      </c>
      <c r="D28295">
        <f>IF(B28295=C28295, "YES", "WRONG")</f>
        <v/>
      </c>
    </row>
    <row r="28296">
      <c r="A28296" t="n">
        <v>28295</v>
      </c>
      <c r="B28296" t="inlineStr">
        <is>
          <t>x̄x̄V̅MMMCCXCV</t>
        </is>
      </c>
      <c r="C28296">
        <f>ROMAN(28295)</f>
        <v/>
      </c>
      <c r="D28296">
        <f>IF(B28296=C28296, "YES", "WRONG")</f>
        <v/>
      </c>
    </row>
    <row r="28297">
      <c r="A28297" t="n">
        <v>28296</v>
      </c>
      <c r="B28297" t="inlineStr">
        <is>
          <t>x̄x̄V̅MMMCCXCVI</t>
        </is>
      </c>
      <c r="C28297">
        <f>ROMAN(28296)</f>
        <v/>
      </c>
      <c r="D28297">
        <f>IF(B28297=C28297, "YES", "WRONG")</f>
        <v/>
      </c>
    </row>
    <row r="28298">
      <c r="A28298" t="n">
        <v>28297</v>
      </c>
      <c r="B28298" t="inlineStr">
        <is>
          <t>x̄x̄V̅MMMCCXCVII</t>
        </is>
      </c>
      <c r="C28298">
        <f>ROMAN(28297)</f>
        <v/>
      </c>
      <c r="D28298">
        <f>IF(B28298=C28298, "YES", "WRONG")</f>
        <v/>
      </c>
    </row>
    <row r="28299">
      <c r="A28299" t="n">
        <v>28298</v>
      </c>
      <c r="B28299" t="inlineStr">
        <is>
          <t>x̄x̄V̅MMMCCXCVIII</t>
        </is>
      </c>
      <c r="C28299">
        <f>ROMAN(28298)</f>
        <v/>
      </c>
      <c r="D28299">
        <f>IF(B28299=C28299, "YES", "WRONG")</f>
        <v/>
      </c>
    </row>
    <row r="28300">
      <c r="A28300" t="n">
        <v>28299</v>
      </c>
      <c r="B28300" t="inlineStr">
        <is>
          <t>x̄x̄V̅MMMCCXCIX</t>
        </is>
      </c>
      <c r="C28300">
        <f>ROMAN(28299)</f>
        <v/>
      </c>
      <c r="D28300">
        <f>IF(B28300=C28300, "YES", "WRONG")</f>
        <v/>
      </c>
    </row>
    <row r="28301">
      <c r="A28301" t="n">
        <v>28300</v>
      </c>
      <c r="B28301" t="inlineStr">
        <is>
          <t>x̄x̄V̅MMMCCC</t>
        </is>
      </c>
      <c r="C28301">
        <f>ROMAN(28300)</f>
        <v/>
      </c>
      <c r="D28301">
        <f>IF(B28301=C28301, "YES", "WRONG")</f>
        <v/>
      </c>
    </row>
    <row r="28302">
      <c r="A28302" t="n">
        <v>28301</v>
      </c>
      <c r="B28302" t="inlineStr">
        <is>
          <t>x̄x̄V̅MMMCCCI</t>
        </is>
      </c>
      <c r="C28302">
        <f>ROMAN(28301)</f>
        <v/>
      </c>
      <c r="D28302">
        <f>IF(B28302=C28302, "YES", "WRONG")</f>
        <v/>
      </c>
    </row>
    <row r="28303">
      <c r="A28303" t="n">
        <v>28302</v>
      </c>
      <c r="B28303" t="inlineStr">
        <is>
          <t>x̄x̄V̅MMMCCCII</t>
        </is>
      </c>
      <c r="C28303">
        <f>ROMAN(28302)</f>
        <v/>
      </c>
      <c r="D28303">
        <f>IF(B28303=C28303, "YES", "WRONG")</f>
        <v/>
      </c>
    </row>
    <row r="28304">
      <c r="A28304" t="n">
        <v>28303</v>
      </c>
      <c r="B28304" t="inlineStr">
        <is>
          <t>x̄x̄V̅MMMCCCIII</t>
        </is>
      </c>
      <c r="C28304">
        <f>ROMAN(28303)</f>
        <v/>
      </c>
      <c r="D28304">
        <f>IF(B28304=C28304, "YES", "WRONG")</f>
        <v/>
      </c>
    </row>
    <row r="28305">
      <c r="A28305" t="n">
        <v>28304</v>
      </c>
      <c r="B28305" t="inlineStr">
        <is>
          <t>x̄x̄V̅MMMCCCIV</t>
        </is>
      </c>
      <c r="C28305">
        <f>ROMAN(28304)</f>
        <v/>
      </c>
      <c r="D28305">
        <f>IF(B28305=C28305, "YES", "WRONG")</f>
        <v/>
      </c>
    </row>
    <row r="28306">
      <c r="A28306" t="n">
        <v>28305</v>
      </c>
      <c r="B28306" t="inlineStr">
        <is>
          <t>x̄x̄V̅MMMCCCV</t>
        </is>
      </c>
      <c r="C28306">
        <f>ROMAN(28305)</f>
        <v/>
      </c>
      <c r="D28306">
        <f>IF(B28306=C28306, "YES", "WRONG")</f>
        <v/>
      </c>
    </row>
    <row r="28307">
      <c r="A28307" t="n">
        <v>28306</v>
      </c>
      <c r="B28307" t="inlineStr">
        <is>
          <t>x̄x̄V̅MMMCCCVI</t>
        </is>
      </c>
      <c r="C28307">
        <f>ROMAN(28306)</f>
        <v/>
      </c>
      <c r="D28307">
        <f>IF(B28307=C28307, "YES", "WRONG")</f>
        <v/>
      </c>
    </row>
    <row r="28308">
      <c r="A28308" t="n">
        <v>28307</v>
      </c>
      <c r="B28308" t="inlineStr">
        <is>
          <t>x̄x̄V̅MMMCCCVII</t>
        </is>
      </c>
      <c r="C28308">
        <f>ROMAN(28307)</f>
        <v/>
      </c>
      <c r="D28308">
        <f>IF(B28308=C28308, "YES", "WRONG")</f>
        <v/>
      </c>
    </row>
    <row r="28309">
      <c r="A28309" t="n">
        <v>28308</v>
      </c>
      <c r="B28309" t="inlineStr">
        <is>
          <t>x̄x̄V̅MMMCCCVIII</t>
        </is>
      </c>
      <c r="C28309">
        <f>ROMAN(28308)</f>
        <v/>
      </c>
      <c r="D28309">
        <f>IF(B28309=C28309, "YES", "WRONG")</f>
        <v/>
      </c>
    </row>
    <row r="28310">
      <c r="A28310" t="n">
        <v>28309</v>
      </c>
      <c r="B28310" t="inlineStr">
        <is>
          <t>x̄x̄V̅MMMCCCIX</t>
        </is>
      </c>
      <c r="C28310">
        <f>ROMAN(28309)</f>
        <v/>
      </c>
      <c r="D28310">
        <f>IF(B28310=C28310, "YES", "WRONG")</f>
        <v/>
      </c>
    </row>
    <row r="28311">
      <c r="A28311" t="n">
        <v>28310</v>
      </c>
      <c r="B28311" t="inlineStr">
        <is>
          <t>x̄x̄V̅MMMCCCX</t>
        </is>
      </c>
      <c r="C28311">
        <f>ROMAN(28310)</f>
        <v/>
      </c>
      <c r="D28311">
        <f>IF(B28311=C28311, "YES", "WRONG")</f>
        <v/>
      </c>
    </row>
    <row r="28312">
      <c r="A28312" t="n">
        <v>28311</v>
      </c>
      <c r="B28312" t="inlineStr">
        <is>
          <t>x̄x̄V̅MMMCCCXI</t>
        </is>
      </c>
      <c r="C28312">
        <f>ROMAN(28311)</f>
        <v/>
      </c>
      <c r="D28312">
        <f>IF(B28312=C28312, "YES", "WRONG")</f>
        <v/>
      </c>
    </row>
    <row r="28313">
      <c r="A28313" t="n">
        <v>28312</v>
      </c>
      <c r="B28313" t="inlineStr">
        <is>
          <t>x̄x̄V̅MMMCCCXII</t>
        </is>
      </c>
      <c r="C28313">
        <f>ROMAN(28312)</f>
        <v/>
      </c>
      <c r="D28313">
        <f>IF(B28313=C28313, "YES", "WRONG")</f>
        <v/>
      </c>
    </row>
    <row r="28314">
      <c r="A28314" t="n">
        <v>28313</v>
      </c>
      <c r="B28314" t="inlineStr">
        <is>
          <t>x̄x̄V̅MMMCCCXIII</t>
        </is>
      </c>
      <c r="C28314">
        <f>ROMAN(28313)</f>
        <v/>
      </c>
      <c r="D28314">
        <f>IF(B28314=C28314, "YES", "WRONG")</f>
        <v/>
      </c>
    </row>
    <row r="28315">
      <c r="A28315" t="n">
        <v>28314</v>
      </c>
      <c r="B28315" t="inlineStr">
        <is>
          <t>x̄x̄V̅MMMCCCXIV</t>
        </is>
      </c>
      <c r="C28315">
        <f>ROMAN(28314)</f>
        <v/>
      </c>
      <c r="D28315">
        <f>IF(B28315=C28315, "YES", "WRONG")</f>
        <v/>
      </c>
    </row>
    <row r="28316">
      <c r="A28316" t="n">
        <v>28315</v>
      </c>
      <c r="B28316" t="inlineStr">
        <is>
          <t>x̄x̄V̅MMMCCCXV</t>
        </is>
      </c>
      <c r="C28316">
        <f>ROMAN(28315)</f>
        <v/>
      </c>
      <c r="D28316">
        <f>IF(B28316=C28316, "YES", "WRONG")</f>
        <v/>
      </c>
    </row>
    <row r="28317">
      <c r="A28317" t="n">
        <v>28316</v>
      </c>
      <c r="B28317" t="inlineStr">
        <is>
          <t>x̄x̄V̅MMMCCCXVI</t>
        </is>
      </c>
      <c r="C28317">
        <f>ROMAN(28316)</f>
        <v/>
      </c>
      <c r="D28317">
        <f>IF(B28317=C28317, "YES", "WRONG")</f>
        <v/>
      </c>
    </row>
    <row r="28318">
      <c r="A28318" t="n">
        <v>28317</v>
      </c>
      <c r="B28318" t="inlineStr">
        <is>
          <t>x̄x̄V̅MMMCCCXVII</t>
        </is>
      </c>
      <c r="C28318">
        <f>ROMAN(28317)</f>
        <v/>
      </c>
      <c r="D28318">
        <f>IF(B28318=C28318, "YES", "WRONG")</f>
        <v/>
      </c>
    </row>
    <row r="28319">
      <c r="A28319" t="n">
        <v>28318</v>
      </c>
      <c r="B28319" t="inlineStr">
        <is>
          <t>x̄x̄V̅MMMCCCXVIII</t>
        </is>
      </c>
      <c r="C28319">
        <f>ROMAN(28318)</f>
        <v/>
      </c>
      <c r="D28319">
        <f>IF(B28319=C28319, "YES", "WRONG")</f>
        <v/>
      </c>
    </row>
    <row r="28320">
      <c r="A28320" t="n">
        <v>28319</v>
      </c>
      <c r="B28320" t="inlineStr">
        <is>
          <t>x̄x̄V̅MMMCCCXIX</t>
        </is>
      </c>
      <c r="C28320">
        <f>ROMAN(28319)</f>
        <v/>
      </c>
      <c r="D28320">
        <f>IF(B28320=C28320, "YES", "WRONG")</f>
        <v/>
      </c>
    </row>
    <row r="28321">
      <c r="A28321" t="n">
        <v>28320</v>
      </c>
      <c r="B28321" t="inlineStr">
        <is>
          <t>x̄x̄V̅MMMCCCXX</t>
        </is>
      </c>
      <c r="C28321">
        <f>ROMAN(28320)</f>
        <v/>
      </c>
      <c r="D28321">
        <f>IF(B28321=C28321, "YES", "WRONG")</f>
        <v/>
      </c>
    </row>
    <row r="28322">
      <c r="A28322" t="n">
        <v>28321</v>
      </c>
      <c r="B28322" t="inlineStr">
        <is>
          <t>x̄x̄V̅MMMCCCXXI</t>
        </is>
      </c>
      <c r="C28322">
        <f>ROMAN(28321)</f>
        <v/>
      </c>
      <c r="D28322">
        <f>IF(B28322=C28322, "YES", "WRONG")</f>
        <v/>
      </c>
    </row>
    <row r="28323">
      <c r="A28323" t="n">
        <v>28322</v>
      </c>
      <c r="B28323" t="inlineStr">
        <is>
          <t>x̄x̄V̅MMMCCCXXII</t>
        </is>
      </c>
      <c r="C28323">
        <f>ROMAN(28322)</f>
        <v/>
      </c>
      <c r="D28323">
        <f>IF(B28323=C28323, "YES", "WRONG")</f>
        <v/>
      </c>
    </row>
    <row r="28324">
      <c r="A28324" t="n">
        <v>28323</v>
      </c>
      <c r="B28324" t="inlineStr">
        <is>
          <t>x̄x̄V̅MMMCCCXXIII</t>
        </is>
      </c>
      <c r="C28324">
        <f>ROMAN(28323)</f>
        <v/>
      </c>
      <c r="D28324">
        <f>IF(B28324=C28324, "YES", "WRONG")</f>
        <v/>
      </c>
    </row>
    <row r="28325">
      <c r="A28325" t="n">
        <v>28324</v>
      </c>
      <c r="B28325" t="inlineStr">
        <is>
          <t>x̄x̄V̅MMMCCCXXIV</t>
        </is>
      </c>
      <c r="C28325">
        <f>ROMAN(28324)</f>
        <v/>
      </c>
      <c r="D28325">
        <f>IF(B28325=C28325, "YES", "WRONG")</f>
        <v/>
      </c>
    </row>
    <row r="28326">
      <c r="A28326" t="n">
        <v>28325</v>
      </c>
      <c r="B28326" t="inlineStr">
        <is>
          <t>x̄x̄V̅MMMCCCXXV</t>
        </is>
      </c>
      <c r="C28326">
        <f>ROMAN(28325)</f>
        <v/>
      </c>
      <c r="D28326">
        <f>IF(B28326=C28326, "YES", "WRONG")</f>
        <v/>
      </c>
    </row>
    <row r="28327">
      <c r="A28327" t="n">
        <v>28326</v>
      </c>
      <c r="B28327" t="inlineStr">
        <is>
          <t>x̄x̄V̅MMMCCCXXVI</t>
        </is>
      </c>
      <c r="C28327">
        <f>ROMAN(28326)</f>
        <v/>
      </c>
      <c r="D28327">
        <f>IF(B28327=C28327, "YES", "WRONG")</f>
        <v/>
      </c>
    </row>
    <row r="28328">
      <c r="A28328" t="n">
        <v>28327</v>
      </c>
      <c r="B28328" t="inlineStr">
        <is>
          <t>x̄x̄V̅MMMCCCXXVII</t>
        </is>
      </c>
      <c r="C28328">
        <f>ROMAN(28327)</f>
        <v/>
      </c>
      <c r="D28328">
        <f>IF(B28328=C28328, "YES", "WRONG")</f>
        <v/>
      </c>
    </row>
    <row r="28329">
      <c r="A28329" t="n">
        <v>28328</v>
      </c>
      <c r="B28329" t="inlineStr">
        <is>
          <t>x̄x̄V̅MMMCCCXXVIII</t>
        </is>
      </c>
      <c r="C28329">
        <f>ROMAN(28328)</f>
        <v/>
      </c>
      <c r="D28329">
        <f>IF(B28329=C28329, "YES", "WRONG")</f>
        <v/>
      </c>
    </row>
    <row r="28330">
      <c r="A28330" t="n">
        <v>28329</v>
      </c>
      <c r="B28330" t="inlineStr">
        <is>
          <t>x̄x̄V̅MMMCCCXXIX</t>
        </is>
      </c>
      <c r="C28330">
        <f>ROMAN(28329)</f>
        <v/>
      </c>
      <c r="D28330">
        <f>IF(B28330=C28330, "YES", "WRONG")</f>
        <v/>
      </c>
    </row>
    <row r="28331">
      <c r="A28331" t="n">
        <v>28330</v>
      </c>
      <c r="B28331" t="inlineStr">
        <is>
          <t>x̄x̄V̅MMMCCCXXX</t>
        </is>
      </c>
      <c r="C28331">
        <f>ROMAN(28330)</f>
        <v/>
      </c>
      <c r="D28331">
        <f>IF(B28331=C28331, "YES", "WRONG")</f>
        <v/>
      </c>
    </row>
    <row r="28332">
      <c r="A28332" t="n">
        <v>28331</v>
      </c>
      <c r="B28332" t="inlineStr">
        <is>
          <t>x̄x̄V̅MMMCCCXXXI</t>
        </is>
      </c>
      <c r="C28332">
        <f>ROMAN(28331)</f>
        <v/>
      </c>
      <c r="D28332">
        <f>IF(B28332=C28332, "YES", "WRONG")</f>
        <v/>
      </c>
    </row>
    <row r="28333">
      <c r="A28333" t="n">
        <v>28332</v>
      </c>
      <c r="B28333" t="inlineStr">
        <is>
          <t>x̄x̄V̅MMMCCCXXXII</t>
        </is>
      </c>
      <c r="C28333">
        <f>ROMAN(28332)</f>
        <v/>
      </c>
      <c r="D28333">
        <f>IF(B28333=C28333, "YES", "WRONG")</f>
        <v/>
      </c>
    </row>
    <row r="28334">
      <c r="A28334" t="n">
        <v>28333</v>
      </c>
      <c r="B28334" t="inlineStr">
        <is>
          <t>x̄x̄V̅MMMCCCXXXIII</t>
        </is>
      </c>
      <c r="C28334">
        <f>ROMAN(28333)</f>
        <v/>
      </c>
      <c r="D28334">
        <f>IF(B28334=C28334, "YES", "WRONG")</f>
        <v/>
      </c>
    </row>
    <row r="28335">
      <c r="A28335" t="n">
        <v>28334</v>
      </c>
      <c r="B28335" t="inlineStr">
        <is>
          <t>x̄x̄V̅MMMCCCXXXIV</t>
        </is>
      </c>
      <c r="C28335">
        <f>ROMAN(28334)</f>
        <v/>
      </c>
      <c r="D28335">
        <f>IF(B28335=C28335, "YES", "WRONG")</f>
        <v/>
      </c>
    </row>
    <row r="28336">
      <c r="A28336" t="n">
        <v>28335</v>
      </c>
      <c r="B28336" t="inlineStr">
        <is>
          <t>x̄x̄V̅MMMCCCXXXV</t>
        </is>
      </c>
      <c r="C28336">
        <f>ROMAN(28335)</f>
        <v/>
      </c>
      <c r="D28336">
        <f>IF(B28336=C28336, "YES", "WRONG")</f>
        <v/>
      </c>
    </row>
    <row r="28337">
      <c r="A28337" t="n">
        <v>28336</v>
      </c>
      <c r="B28337" t="inlineStr">
        <is>
          <t>x̄x̄V̅MMMCCCXXXVI</t>
        </is>
      </c>
      <c r="C28337">
        <f>ROMAN(28336)</f>
        <v/>
      </c>
      <c r="D28337">
        <f>IF(B28337=C28337, "YES", "WRONG")</f>
        <v/>
      </c>
    </row>
    <row r="28338">
      <c r="A28338" t="n">
        <v>28337</v>
      </c>
      <c r="B28338" t="inlineStr">
        <is>
          <t>x̄x̄V̅MMMCCCXXXVII</t>
        </is>
      </c>
      <c r="C28338">
        <f>ROMAN(28337)</f>
        <v/>
      </c>
      <c r="D28338">
        <f>IF(B28338=C28338, "YES", "WRONG")</f>
        <v/>
      </c>
    </row>
    <row r="28339">
      <c r="A28339" t="n">
        <v>28338</v>
      </c>
      <c r="B28339" t="inlineStr">
        <is>
          <t>x̄x̄V̅MMMCCCXXXVIII</t>
        </is>
      </c>
      <c r="C28339">
        <f>ROMAN(28338)</f>
        <v/>
      </c>
      <c r="D28339">
        <f>IF(B28339=C28339, "YES", "WRONG")</f>
        <v/>
      </c>
    </row>
    <row r="28340">
      <c r="A28340" t="n">
        <v>28339</v>
      </c>
      <c r="B28340" t="inlineStr">
        <is>
          <t>x̄x̄V̅MMMCCCXXXIX</t>
        </is>
      </c>
      <c r="C28340">
        <f>ROMAN(28339)</f>
        <v/>
      </c>
      <c r="D28340">
        <f>IF(B28340=C28340, "YES", "WRONG")</f>
        <v/>
      </c>
    </row>
    <row r="28341">
      <c r="A28341" t="n">
        <v>28340</v>
      </c>
      <c r="B28341" t="inlineStr">
        <is>
          <t>x̄x̄V̅MMMCCCXL</t>
        </is>
      </c>
      <c r="C28341">
        <f>ROMAN(28340)</f>
        <v/>
      </c>
      <c r="D28341">
        <f>IF(B28341=C28341, "YES", "WRONG")</f>
        <v/>
      </c>
    </row>
    <row r="28342">
      <c r="A28342" t="n">
        <v>28341</v>
      </c>
      <c r="B28342" t="inlineStr">
        <is>
          <t>x̄x̄V̅MMMCCCXLI</t>
        </is>
      </c>
      <c r="C28342">
        <f>ROMAN(28341)</f>
        <v/>
      </c>
      <c r="D28342">
        <f>IF(B28342=C28342, "YES", "WRONG")</f>
        <v/>
      </c>
    </row>
    <row r="28343">
      <c r="A28343" t="n">
        <v>28342</v>
      </c>
      <c r="B28343" t="inlineStr">
        <is>
          <t>x̄x̄V̅MMMCCCXLII</t>
        </is>
      </c>
      <c r="C28343">
        <f>ROMAN(28342)</f>
        <v/>
      </c>
      <c r="D28343">
        <f>IF(B28343=C28343, "YES", "WRONG")</f>
        <v/>
      </c>
    </row>
    <row r="28344">
      <c r="A28344" t="n">
        <v>28343</v>
      </c>
      <c r="B28344" t="inlineStr">
        <is>
          <t>x̄x̄V̅MMMCCCXLIII</t>
        </is>
      </c>
      <c r="C28344">
        <f>ROMAN(28343)</f>
        <v/>
      </c>
      <c r="D28344">
        <f>IF(B28344=C28344, "YES", "WRONG")</f>
        <v/>
      </c>
    </row>
    <row r="28345">
      <c r="A28345" t="n">
        <v>28344</v>
      </c>
      <c r="B28345" t="inlineStr">
        <is>
          <t>x̄x̄V̅MMMCCCXLIV</t>
        </is>
      </c>
      <c r="C28345">
        <f>ROMAN(28344)</f>
        <v/>
      </c>
      <c r="D28345">
        <f>IF(B28345=C28345, "YES", "WRONG")</f>
        <v/>
      </c>
    </row>
    <row r="28346">
      <c r="A28346" t="n">
        <v>28345</v>
      </c>
      <c r="B28346" t="inlineStr">
        <is>
          <t>x̄x̄V̅MMMCCCXLV</t>
        </is>
      </c>
      <c r="C28346">
        <f>ROMAN(28345)</f>
        <v/>
      </c>
      <c r="D28346">
        <f>IF(B28346=C28346, "YES", "WRONG")</f>
        <v/>
      </c>
    </row>
    <row r="28347">
      <c r="A28347" t="n">
        <v>28346</v>
      </c>
      <c r="B28347" t="inlineStr">
        <is>
          <t>x̄x̄V̅MMMCCCXLVI</t>
        </is>
      </c>
      <c r="C28347">
        <f>ROMAN(28346)</f>
        <v/>
      </c>
      <c r="D28347">
        <f>IF(B28347=C28347, "YES", "WRONG")</f>
        <v/>
      </c>
    </row>
    <row r="28348">
      <c r="A28348" t="n">
        <v>28347</v>
      </c>
      <c r="B28348" t="inlineStr">
        <is>
          <t>x̄x̄V̅MMMCCCXLVII</t>
        </is>
      </c>
      <c r="C28348">
        <f>ROMAN(28347)</f>
        <v/>
      </c>
      <c r="D28348">
        <f>IF(B28348=C28348, "YES", "WRONG")</f>
        <v/>
      </c>
    </row>
    <row r="28349">
      <c r="A28349" t="n">
        <v>28348</v>
      </c>
      <c r="B28349" t="inlineStr">
        <is>
          <t>x̄x̄V̅MMMCCCXLVIII</t>
        </is>
      </c>
      <c r="C28349">
        <f>ROMAN(28348)</f>
        <v/>
      </c>
      <c r="D28349">
        <f>IF(B28349=C28349, "YES", "WRONG")</f>
        <v/>
      </c>
    </row>
    <row r="28350">
      <c r="A28350" t="n">
        <v>28349</v>
      </c>
      <c r="B28350" t="inlineStr">
        <is>
          <t>x̄x̄V̅MMMCCCXLIX</t>
        </is>
      </c>
      <c r="C28350">
        <f>ROMAN(28349)</f>
        <v/>
      </c>
      <c r="D28350">
        <f>IF(B28350=C28350, "YES", "WRONG")</f>
        <v/>
      </c>
    </row>
    <row r="28351">
      <c r="A28351" t="n">
        <v>28350</v>
      </c>
      <c r="B28351" t="inlineStr">
        <is>
          <t>x̄x̄V̅MMMCCCL</t>
        </is>
      </c>
      <c r="C28351">
        <f>ROMAN(28350)</f>
        <v/>
      </c>
      <c r="D28351">
        <f>IF(B28351=C28351, "YES", "WRONG")</f>
        <v/>
      </c>
    </row>
    <row r="28352">
      <c r="A28352" t="n">
        <v>28351</v>
      </c>
      <c r="B28352" t="inlineStr">
        <is>
          <t>x̄x̄V̅MMMCCCLI</t>
        </is>
      </c>
      <c r="C28352">
        <f>ROMAN(28351)</f>
        <v/>
      </c>
      <c r="D28352">
        <f>IF(B28352=C28352, "YES", "WRONG")</f>
        <v/>
      </c>
    </row>
    <row r="28353">
      <c r="A28353" t="n">
        <v>28352</v>
      </c>
      <c r="B28353" t="inlineStr">
        <is>
          <t>x̄x̄V̅MMMCCCLII</t>
        </is>
      </c>
      <c r="C28353">
        <f>ROMAN(28352)</f>
        <v/>
      </c>
      <c r="D28353">
        <f>IF(B28353=C28353, "YES", "WRONG")</f>
        <v/>
      </c>
    </row>
    <row r="28354">
      <c r="A28354" t="n">
        <v>28353</v>
      </c>
      <c r="B28354" t="inlineStr">
        <is>
          <t>x̄x̄V̅MMMCCCLIII</t>
        </is>
      </c>
      <c r="C28354">
        <f>ROMAN(28353)</f>
        <v/>
      </c>
      <c r="D28354">
        <f>IF(B28354=C28354, "YES", "WRONG")</f>
        <v/>
      </c>
    </row>
    <row r="28355">
      <c r="A28355" t="n">
        <v>28354</v>
      </c>
      <c r="B28355" t="inlineStr">
        <is>
          <t>x̄x̄V̅MMMCCCLIV</t>
        </is>
      </c>
      <c r="C28355">
        <f>ROMAN(28354)</f>
        <v/>
      </c>
      <c r="D28355">
        <f>IF(B28355=C28355, "YES", "WRONG")</f>
        <v/>
      </c>
    </row>
    <row r="28356">
      <c r="A28356" t="n">
        <v>28355</v>
      </c>
      <c r="B28356" t="inlineStr">
        <is>
          <t>x̄x̄V̅MMMCCCLV</t>
        </is>
      </c>
      <c r="C28356">
        <f>ROMAN(28355)</f>
        <v/>
      </c>
      <c r="D28356">
        <f>IF(B28356=C28356, "YES", "WRONG")</f>
        <v/>
      </c>
    </row>
    <row r="28357">
      <c r="A28357" t="n">
        <v>28356</v>
      </c>
      <c r="B28357" t="inlineStr">
        <is>
          <t>x̄x̄V̅MMMCCCLVI</t>
        </is>
      </c>
      <c r="C28357">
        <f>ROMAN(28356)</f>
        <v/>
      </c>
      <c r="D28357">
        <f>IF(B28357=C28357, "YES", "WRONG")</f>
        <v/>
      </c>
    </row>
    <row r="28358">
      <c r="A28358" t="n">
        <v>28357</v>
      </c>
      <c r="B28358" t="inlineStr">
        <is>
          <t>x̄x̄V̅MMMCCCLVII</t>
        </is>
      </c>
      <c r="C28358">
        <f>ROMAN(28357)</f>
        <v/>
      </c>
      <c r="D28358">
        <f>IF(B28358=C28358, "YES", "WRONG")</f>
        <v/>
      </c>
    </row>
    <row r="28359">
      <c r="A28359" t="n">
        <v>28358</v>
      </c>
      <c r="B28359" t="inlineStr">
        <is>
          <t>x̄x̄V̅MMMCCCLVIII</t>
        </is>
      </c>
      <c r="C28359">
        <f>ROMAN(28358)</f>
        <v/>
      </c>
      <c r="D28359">
        <f>IF(B28359=C28359, "YES", "WRONG")</f>
        <v/>
      </c>
    </row>
    <row r="28360">
      <c r="A28360" t="n">
        <v>28359</v>
      </c>
      <c r="B28360" t="inlineStr">
        <is>
          <t>x̄x̄V̅MMMCCCLIX</t>
        </is>
      </c>
      <c r="C28360">
        <f>ROMAN(28359)</f>
        <v/>
      </c>
      <c r="D28360">
        <f>IF(B28360=C28360, "YES", "WRONG")</f>
        <v/>
      </c>
    </row>
    <row r="28361">
      <c r="A28361" t="n">
        <v>28360</v>
      </c>
      <c r="B28361" t="inlineStr">
        <is>
          <t>x̄x̄V̅MMMCCCLX</t>
        </is>
      </c>
      <c r="C28361">
        <f>ROMAN(28360)</f>
        <v/>
      </c>
      <c r="D28361">
        <f>IF(B28361=C28361, "YES", "WRONG")</f>
        <v/>
      </c>
    </row>
    <row r="28362">
      <c r="A28362" t="n">
        <v>28361</v>
      </c>
      <c r="B28362" t="inlineStr">
        <is>
          <t>x̄x̄V̅MMMCCCLXI</t>
        </is>
      </c>
      <c r="C28362">
        <f>ROMAN(28361)</f>
        <v/>
      </c>
      <c r="D28362">
        <f>IF(B28362=C28362, "YES", "WRONG")</f>
        <v/>
      </c>
    </row>
    <row r="28363">
      <c r="A28363" t="n">
        <v>28362</v>
      </c>
      <c r="B28363" t="inlineStr">
        <is>
          <t>x̄x̄V̅MMMCCCLXII</t>
        </is>
      </c>
      <c r="C28363">
        <f>ROMAN(28362)</f>
        <v/>
      </c>
      <c r="D28363">
        <f>IF(B28363=C28363, "YES", "WRONG")</f>
        <v/>
      </c>
    </row>
    <row r="28364">
      <c r="A28364" t="n">
        <v>28363</v>
      </c>
      <c r="B28364" t="inlineStr">
        <is>
          <t>x̄x̄V̅MMMCCCLXIII</t>
        </is>
      </c>
      <c r="C28364">
        <f>ROMAN(28363)</f>
        <v/>
      </c>
      <c r="D28364">
        <f>IF(B28364=C28364, "YES", "WRONG")</f>
        <v/>
      </c>
    </row>
    <row r="28365">
      <c r="A28365" t="n">
        <v>28364</v>
      </c>
      <c r="B28365" t="inlineStr">
        <is>
          <t>x̄x̄V̅MMMCCCLXIV</t>
        </is>
      </c>
      <c r="C28365">
        <f>ROMAN(28364)</f>
        <v/>
      </c>
      <c r="D28365">
        <f>IF(B28365=C28365, "YES", "WRONG")</f>
        <v/>
      </c>
    </row>
    <row r="28366">
      <c r="A28366" t="n">
        <v>28365</v>
      </c>
      <c r="B28366" t="inlineStr">
        <is>
          <t>x̄x̄V̅MMMCCCLXV</t>
        </is>
      </c>
      <c r="C28366">
        <f>ROMAN(28365)</f>
        <v/>
      </c>
      <c r="D28366">
        <f>IF(B28366=C28366, "YES", "WRONG")</f>
        <v/>
      </c>
    </row>
    <row r="28367">
      <c r="A28367" t="n">
        <v>28366</v>
      </c>
      <c r="B28367" t="inlineStr">
        <is>
          <t>x̄x̄V̅MMMCCCLXVI</t>
        </is>
      </c>
      <c r="C28367">
        <f>ROMAN(28366)</f>
        <v/>
      </c>
      <c r="D28367">
        <f>IF(B28367=C28367, "YES", "WRONG")</f>
        <v/>
      </c>
    </row>
    <row r="28368">
      <c r="A28368" t="n">
        <v>28367</v>
      </c>
      <c r="B28368" t="inlineStr">
        <is>
          <t>x̄x̄V̅MMMCCCLXVII</t>
        </is>
      </c>
      <c r="C28368">
        <f>ROMAN(28367)</f>
        <v/>
      </c>
      <c r="D28368">
        <f>IF(B28368=C28368, "YES", "WRONG")</f>
        <v/>
      </c>
    </row>
    <row r="28369">
      <c r="A28369" t="n">
        <v>28368</v>
      </c>
      <c r="B28369" t="inlineStr">
        <is>
          <t>x̄x̄V̅MMMCCCLXVIII</t>
        </is>
      </c>
      <c r="C28369">
        <f>ROMAN(28368)</f>
        <v/>
      </c>
      <c r="D28369">
        <f>IF(B28369=C28369, "YES", "WRONG")</f>
        <v/>
      </c>
    </row>
    <row r="28370">
      <c r="A28370" t="n">
        <v>28369</v>
      </c>
      <c r="B28370" t="inlineStr">
        <is>
          <t>x̄x̄V̅MMMCCCLXIX</t>
        </is>
      </c>
      <c r="C28370">
        <f>ROMAN(28369)</f>
        <v/>
      </c>
      <c r="D28370">
        <f>IF(B28370=C28370, "YES", "WRONG")</f>
        <v/>
      </c>
    </row>
    <row r="28371">
      <c r="A28371" t="n">
        <v>28370</v>
      </c>
      <c r="B28371" t="inlineStr">
        <is>
          <t>x̄x̄V̅MMMCCCLXX</t>
        </is>
      </c>
      <c r="C28371">
        <f>ROMAN(28370)</f>
        <v/>
      </c>
      <c r="D28371">
        <f>IF(B28371=C28371, "YES", "WRONG")</f>
        <v/>
      </c>
    </row>
    <row r="28372">
      <c r="A28372" t="n">
        <v>28371</v>
      </c>
      <c r="B28372" t="inlineStr">
        <is>
          <t>x̄x̄V̅MMMCCCLXXI</t>
        </is>
      </c>
      <c r="C28372">
        <f>ROMAN(28371)</f>
        <v/>
      </c>
      <c r="D28372">
        <f>IF(B28372=C28372, "YES", "WRONG")</f>
        <v/>
      </c>
    </row>
    <row r="28373">
      <c r="A28373" t="n">
        <v>28372</v>
      </c>
      <c r="B28373" t="inlineStr">
        <is>
          <t>x̄x̄V̅MMMCCCLXXII</t>
        </is>
      </c>
      <c r="C28373">
        <f>ROMAN(28372)</f>
        <v/>
      </c>
      <c r="D28373">
        <f>IF(B28373=C28373, "YES", "WRONG")</f>
        <v/>
      </c>
    </row>
    <row r="28374">
      <c r="A28374" t="n">
        <v>28373</v>
      </c>
      <c r="B28374" t="inlineStr">
        <is>
          <t>x̄x̄V̅MMMCCCLXXIII</t>
        </is>
      </c>
      <c r="C28374">
        <f>ROMAN(28373)</f>
        <v/>
      </c>
      <c r="D28374">
        <f>IF(B28374=C28374, "YES", "WRONG")</f>
        <v/>
      </c>
    </row>
    <row r="28375">
      <c r="A28375" t="n">
        <v>28374</v>
      </c>
      <c r="B28375" t="inlineStr">
        <is>
          <t>x̄x̄V̅MMMCCCLXXIV</t>
        </is>
      </c>
      <c r="C28375">
        <f>ROMAN(28374)</f>
        <v/>
      </c>
      <c r="D28375">
        <f>IF(B28375=C28375, "YES", "WRONG")</f>
        <v/>
      </c>
    </row>
    <row r="28376">
      <c r="A28376" t="n">
        <v>28375</v>
      </c>
      <c r="B28376" t="inlineStr">
        <is>
          <t>x̄x̄V̅MMMCCCLXXV</t>
        </is>
      </c>
      <c r="C28376">
        <f>ROMAN(28375)</f>
        <v/>
      </c>
      <c r="D28376">
        <f>IF(B28376=C28376, "YES", "WRONG")</f>
        <v/>
      </c>
    </row>
    <row r="28377">
      <c r="A28377" t="n">
        <v>28376</v>
      </c>
      <c r="B28377" t="inlineStr">
        <is>
          <t>x̄x̄V̅MMMCCCLXXVI</t>
        </is>
      </c>
      <c r="C28377">
        <f>ROMAN(28376)</f>
        <v/>
      </c>
      <c r="D28377">
        <f>IF(B28377=C28377, "YES", "WRONG")</f>
        <v/>
      </c>
    </row>
    <row r="28378">
      <c r="A28378" t="n">
        <v>28377</v>
      </c>
      <c r="B28378" t="inlineStr">
        <is>
          <t>x̄x̄V̅MMMCCCLXXVII</t>
        </is>
      </c>
      <c r="C28378">
        <f>ROMAN(28377)</f>
        <v/>
      </c>
      <c r="D28378">
        <f>IF(B28378=C28378, "YES", "WRONG")</f>
        <v/>
      </c>
    </row>
    <row r="28379">
      <c r="A28379" t="n">
        <v>28378</v>
      </c>
      <c r="B28379" t="inlineStr">
        <is>
          <t>x̄x̄V̅MMMCCCLXXVIII</t>
        </is>
      </c>
      <c r="C28379">
        <f>ROMAN(28378)</f>
        <v/>
      </c>
      <c r="D28379">
        <f>IF(B28379=C28379, "YES", "WRONG")</f>
        <v/>
      </c>
    </row>
    <row r="28380">
      <c r="A28380" t="n">
        <v>28379</v>
      </c>
      <c r="B28380" t="inlineStr">
        <is>
          <t>x̄x̄V̅MMMCCCLXXIX</t>
        </is>
      </c>
      <c r="C28380">
        <f>ROMAN(28379)</f>
        <v/>
      </c>
      <c r="D28380">
        <f>IF(B28380=C28380, "YES", "WRONG")</f>
        <v/>
      </c>
    </row>
    <row r="28381">
      <c r="A28381" t="n">
        <v>28380</v>
      </c>
      <c r="B28381" t="inlineStr">
        <is>
          <t>x̄x̄V̅MMMCCCLXXX</t>
        </is>
      </c>
      <c r="C28381">
        <f>ROMAN(28380)</f>
        <v/>
      </c>
      <c r="D28381">
        <f>IF(B28381=C28381, "YES", "WRONG")</f>
        <v/>
      </c>
    </row>
    <row r="28382">
      <c r="A28382" t="n">
        <v>28381</v>
      </c>
      <c r="B28382" t="inlineStr">
        <is>
          <t>x̄x̄V̅MMMCCCLXXXI</t>
        </is>
      </c>
      <c r="C28382">
        <f>ROMAN(28381)</f>
        <v/>
      </c>
      <c r="D28382">
        <f>IF(B28382=C28382, "YES", "WRONG")</f>
        <v/>
      </c>
    </row>
    <row r="28383">
      <c r="A28383" t="n">
        <v>28382</v>
      </c>
      <c r="B28383" t="inlineStr">
        <is>
          <t>x̄x̄V̅MMMCCCLXXXII</t>
        </is>
      </c>
      <c r="C28383">
        <f>ROMAN(28382)</f>
        <v/>
      </c>
      <c r="D28383">
        <f>IF(B28383=C28383, "YES", "WRONG")</f>
        <v/>
      </c>
    </row>
    <row r="28384">
      <c r="A28384" t="n">
        <v>28383</v>
      </c>
      <c r="B28384" t="inlineStr">
        <is>
          <t>x̄x̄V̅MMMCCCLXXXIII</t>
        </is>
      </c>
      <c r="C28384">
        <f>ROMAN(28383)</f>
        <v/>
      </c>
      <c r="D28384">
        <f>IF(B28384=C28384, "YES", "WRONG")</f>
        <v/>
      </c>
    </row>
    <row r="28385">
      <c r="A28385" t="n">
        <v>28384</v>
      </c>
      <c r="B28385" t="inlineStr">
        <is>
          <t>x̄x̄V̅MMMCCCLXXXIV</t>
        </is>
      </c>
      <c r="C28385">
        <f>ROMAN(28384)</f>
        <v/>
      </c>
      <c r="D28385">
        <f>IF(B28385=C28385, "YES", "WRONG")</f>
        <v/>
      </c>
    </row>
    <row r="28386">
      <c r="A28386" t="n">
        <v>28385</v>
      </c>
      <c r="B28386" t="inlineStr">
        <is>
          <t>x̄x̄V̅MMMCCCLXXXV</t>
        </is>
      </c>
      <c r="C28386">
        <f>ROMAN(28385)</f>
        <v/>
      </c>
      <c r="D28386">
        <f>IF(B28386=C28386, "YES", "WRONG")</f>
        <v/>
      </c>
    </row>
    <row r="28387">
      <c r="A28387" t="n">
        <v>28386</v>
      </c>
      <c r="B28387" t="inlineStr">
        <is>
          <t>x̄x̄V̅MMMCCCLXXXVI</t>
        </is>
      </c>
      <c r="C28387">
        <f>ROMAN(28386)</f>
        <v/>
      </c>
      <c r="D28387">
        <f>IF(B28387=C28387, "YES", "WRONG")</f>
        <v/>
      </c>
    </row>
    <row r="28388">
      <c r="A28388" t="n">
        <v>28387</v>
      </c>
      <c r="B28388" t="inlineStr">
        <is>
          <t>x̄x̄V̅MMMCCCLXXXVII</t>
        </is>
      </c>
      <c r="C28388">
        <f>ROMAN(28387)</f>
        <v/>
      </c>
      <c r="D28388">
        <f>IF(B28388=C28388, "YES", "WRONG")</f>
        <v/>
      </c>
    </row>
    <row r="28389">
      <c r="A28389" t="n">
        <v>28388</v>
      </c>
      <c r="B28389" t="inlineStr">
        <is>
          <t>x̄x̄V̅MMMCCCLXXXVIII</t>
        </is>
      </c>
      <c r="C28389">
        <f>ROMAN(28388)</f>
        <v/>
      </c>
      <c r="D28389">
        <f>IF(B28389=C28389, "YES", "WRONG")</f>
        <v/>
      </c>
    </row>
    <row r="28390">
      <c r="A28390" t="n">
        <v>28389</v>
      </c>
      <c r="B28390" t="inlineStr">
        <is>
          <t>x̄x̄V̅MMMCCCLXXXIX</t>
        </is>
      </c>
      <c r="C28390">
        <f>ROMAN(28389)</f>
        <v/>
      </c>
      <c r="D28390">
        <f>IF(B28390=C28390, "YES", "WRONG")</f>
        <v/>
      </c>
    </row>
    <row r="28391">
      <c r="A28391" t="n">
        <v>28390</v>
      </c>
      <c r="B28391" t="inlineStr">
        <is>
          <t>x̄x̄V̅MMMCCCXC</t>
        </is>
      </c>
      <c r="C28391">
        <f>ROMAN(28390)</f>
        <v/>
      </c>
      <c r="D28391">
        <f>IF(B28391=C28391, "YES", "WRONG")</f>
        <v/>
      </c>
    </row>
    <row r="28392">
      <c r="A28392" t="n">
        <v>28391</v>
      </c>
      <c r="B28392" t="inlineStr">
        <is>
          <t>x̄x̄V̅MMMCCCXCI</t>
        </is>
      </c>
      <c r="C28392">
        <f>ROMAN(28391)</f>
        <v/>
      </c>
      <c r="D28392">
        <f>IF(B28392=C28392, "YES", "WRONG")</f>
        <v/>
      </c>
    </row>
    <row r="28393">
      <c r="A28393" t="n">
        <v>28392</v>
      </c>
      <c r="B28393" t="inlineStr">
        <is>
          <t>x̄x̄V̅MMMCCCXCII</t>
        </is>
      </c>
      <c r="C28393">
        <f>ROMAN(28392)</f>
        <v/>
      </c>
      <c r="D28393">
        <f>IF(B28393=C28393, "YES", "WRONG")</f>
        <v/>
      </c>
    </row>
    <row r="28394">
      <c r="A28394" t="n">
        <v>28393</v>
      </c>
      <c r="B28394" t="inlineStr">
        <is>
          <t>x̄x̄V̅MMMCCCXCIII</t>
        </is>
      </c>
      <c r="C28394">
        <f>ROMAN(28393)</f>
        <v/>
      </c>
      <c r="D28394">
        <f>IF(B28394=C28394, "YES", "WRONG")</f>
        <v/>
      </c>
    </row>
    <row r="28395">
      <c r="A28395" t="n">
        <v>28394</v>
      </c>
      <c r="B28395" t="inlineStr">
        <is>
          <t>x̄x̄V̅MMMCCCXCIV</t>
        </is>
      </c>
      <c r="C28395">
        <f>ROMAN(28394)</f>
        <v/>
      </c>
      <c r="D28395">
        <f>IF(B28395=C28395, "YES", "WRONG")</f>
        <v/>
      </c>
    </row>
    <row r="28396">
      <c r="A28396" t="n">
        <v>28395</v>
      </c>
      <c r="B28396" t="inlineStr">
        <is>
          <t>x̄x̄V̅MMMCCCXCV</t>
        </is>
      </c>
      <c r="C28396">
        <f>ROMAN(28395)</f>
        <v/>
      </c>
      <c r="D28396">
        <f>IF(B28396=C28396, "YES", "WRONG")</f>
        <v/>
      </c>
    </row>
    <row r="28397">
      <c r="A28397" t="n">
        <v>28396</v>
      </c>
      <c r="B28397" t="inlineStr">
        <is>
          <t>x̄x̄V̅MMMCCCXCVI</t>
        </is>
      </c>
      <c r="C28397">
        <f>ROMAN(28396)</f>
        <v/>
      </c>
      <c r="D28397">
        <f>IF(B28397=C28397, "YES", "WRONG")</f>
        <v/>
      </c>
    </row>
    <row r="28398">
      <c r="A28398" t="n">
        <v>28397</v>
      </c>
      <c r="B28398" t="inlineStr">
        <is>
          <t>x̄x̄V̅MMMCCCXCVII</t>
        </is>
      </c>
      <c r="C28398">
        <f>ROMAN(28397)</f>
        <v/>
      </c>
      <c r="D28398">
        <f>IF(B28398=C28398, "YES", "WRONG")</f>
        <v/>
      </c>
    </row>
    <row r="28399">
      <c r="A28399" t="n">
        <v>28398</v>
      </c>
      <c r="B28399" t="inlineStr">
        <is>
          <t>x̄x̄V̅MMMCCCXCVIII</t>
        </is>
      </c>
      <c r="C28399">
        <f>ROMAN(28398)</f>
        <v/>
      </c>
      <c r="D28399">
        <f>IF(B28399=C28399, "YES", "WRONG")</f>
        <v/>
      </c>
    </row>
    <row r="28400">
      <c r="A28400" t="n">
        <v>28399</v>
      </c>
      <c r="B28400" t="inlineStr">
        <is>
          <t>x̄x̄V̅MMMCCCXCIX</t>
        </is>
      </c>
      <c r="C28400">
        <f>ROMAN(28399)</f>
        <v/>
      </c>
      <c r="D28400">
        <f>IF(B28400=C28400, "YES", "WRONG")</f>
        <v/>
      </c>
    </row>
    <row r="28401">
      <c r="A28401" t="n">
        <v>28400</v>
      </c>
      <c r="B28401" t="inlineStr">
        <is>
          <t>x̄x̄V̅MMMCD</t>
        </is>
      </c>
      <c r="C28401">
        <f>ROMAN(28400)</f>
        <v/>
      </c>
      <c r="D28401">
        <f>IF(B28401=C28401, "YES", "WRONG")</f>
        <v/>
      </c>
    </row>
    <row r="28402">
      <c r="A28402" t="n">
        <v>28401</v>
      </c>
      <c r="B28402" t="inlineStr">
        <is>
          <t>x̄x̄V̅MMMCDI</t>
        </is>
      </c>
      <c r="C28402">
        <f>ROMAN(28401)</f>
        <v/>
      </c>
      <c r="D28402">
        <f>IF(B28402=C28402, "YES", "WRONG")</f>
        <v/>
      </c>
    </row>
    <row r="28403">
      <c r="A28403" t="n">
        <v>28402</v>
      </c>
      <c r="B28403" t="inlineStr">
        <is>
          <t>x̄x̄V̅MMMCDII</t>
        </is>
      </c>
      <c r="C28403">
        <f>ROMAN(28402)</f>
        <v/>
      </c>
      <c r="D28403">
        <f>IF(B28403=C28403, "YES", "WRONG")</f>
        <v/>
      </c>
    </row>
    <row r="28404">
      <c r="A28404" t="n">
        <v>28403</v>
      </c>
      <c r="B28404" t="inlineStr">
        <is>
          <t>x̄x̄V̅MMMCDIII</t>
        </is>
      </c>
      <c r="C28404">
        <f>ROMAN(28403)</f>
        <v/>
      </c>
      <c r="D28404">
        <f>IF(B28404=C28404, "YES", "WRONG")</f>
        <v/>
      </c>
    </row>
    <row r="28405">
      <c r="A28405" t="n">
        <v>28404</v>
      </c>
      <c r="B28405" t="inlineStr">
        <is>
          <t>x̄x̄V̅MMMCDIV</t>
        </is>
      </c>
      <c r="C28405">
        <f>ROMAN(28404)</f>
        <v/>
      </c>
      <c r="D28405">
        <f>IF(B28405=C28405, "YES", "WRONG")</f>
        <v/>
      </c>
    </row>
    <row r="28406">
      <c r="A28406" t="n">
        <v>28405</v>
      </c>
      <c r="B28406" t="inlineStr">
        <is>
          <t>x̄x̄V̅MMMCDV</t>
        </is>
      </c>
      <c r="C28406">
        <f>ROMAN(28405)</f>
        <v/>
      </c>
      <c r="D28406">
        <f>IF(B28406=C28406, "YES", "WRONG")</f>
        <v/>
      </c>
    </row>
    <row r="28407">
      <c r="A28407" t="n">
        <v>28406</v>
      </c>
      <c r="B28407" t="inlineStr">
        <is>
          <t>x̄x̄V̅MMMCDVI</t>
        </is>
      </c>
      <c r="C28407">
        <f>ROMAN(28406)</f>
        <v/>
      </c>
      <c r="D28407">
        <f>IF(B28407=C28407, "YES", "WRONG")</f>
        <v/>
      </c>
    </row>
    <row r="28408">
      <c r="A28408" t="n">
        <v>28407</v>
      </c>
      <c r="B28408" t="inlineStr">
        <is>
          <t>x̄x̄V̅MMMCDVII</t>
        </is>
      </c>
      <c r="C28408">
        <f>ROMAN(28407)</f>
        <v/>
      </c>
      <c r="D28408">
        <f>IF(B28408=C28408, "YES", "WRONG")</f>
        <v/>
      </c>
    </row>
    <row r="28409">
      <c r="A28409" t="n">
        <v>28408</v>
      </c>
      <c r="B28409" t="inlineStr">
        <is>
          <t>x̄x̄V̅MMMCDVIII</t>
        </is>
      </c>
      <c r="C28409">
        <f>ROMAN(28408)</f>
        <v/>
      </c>
      <c r="D28409">
        <f>IF(B28409=C28409, "YES", "WRONG")</f>
        <v/>
      </c>
    </row>
    <row r="28410">
      <c r="A28410" t="n">
        <v>28409</v>
      </c>
      <c r="B28410" t="inlineStr">
        <is>
          <t>x̄x̄V̅MMMCDIX</t>
        </is>
      </c>
      <c r="C28410">
        <f>ROMAN(28409)</f>
        <v/>
      </c>
      <c r="D28410">
        <f>IF(B28410=C28410, "YES", "WRONG")</f>
        <v/>
      </c>
    </row>
    <row r="28411">
      <c r="A28411" t="n">
        <v>28410</v>
      </c>
      <c r="B28411" t="inlineStr">
        <is>
          <t>x̄x̄V̅MMMCDX</t>
        </is>
      </c>
      <c r="C28411">
        <f>ROMAN(28410)</f>
        <v/>
      </c>
      <c r="D28411">
        <f>IF(B28411=C28411, "YES", "WRONG")</f>
        <v/>
      </c>
    </row>
    <row r="28412">
      <c r="A28412" t="n">
        <v>28411</v>
      </c>
      <c r="B28412" t="inlineStr">
        <is>
          <t>x̄x̄V̅MMMCDXI</t>
        </is>
      </c>
      <c r="C28412">
        <f>ROMAN(28411)</f>
        <v/>
      </c>
      <c r="D28412">
        <f>IF(B28412=C28412, "YES", "WRONG")</f>
        <v/>
      </c>
    </row>
    <row r="28413">
      <c r="A28413" t="n">
        <v>28412</v>
      </c>
      <c r="B28413" t="inlineStr">
        <is>
          <t>x̄x̄V̅MMMCDXII</t>
        </is>
      </c>
      <c r="C28413">
        <f>ROMAN(28412)</f>
        <v/>
      </c>
      <c r="D28413">
        <f>IF(B28413=C28413, "YES", "WRONG")</f>
        <v/>
      </c>
    </row>
    <row r="28414">
      <c r="A28414" t="n">
        <v>28413</v>
      </c>
      <c r="B28414" t="inlineStr">
        <is>
          <t>x̄x̄V̅MMMCDXIII</t>
        </is>
      </c>
      <c r="C28414">
        <f>ROMAN(28413)</f>
        <v/>
      </c>
      <c r="D28414">
        <f>IF(B28414=C28414, "YES", "WRONG")</f>
        <v/>
      </c>
    </row>
    <row r="28415">
      <c r="A28415" t="n">
        <v>28414</v>
      </c>
      <c r="B28415" t="inlineStr">
        <is>
          <t>x̄x̄V̅MMMCDXIV</t>
        </is>
      </c>
      <c r="C28415">
        <f>ROMAN(28414)</f>
        <v/>
      </c>
      <c r="D28415">
        <f>IF(B28415=C28415, "YES", "WRONG")</f>
        <v/>
      </c>
    </row>
    <row r="28416">
      <c r="A28416" t="n">
        <v>28415</v>
      </c>
      <c r="B28416" t="inlineStr">
        <is>
          <t>x̄x̄V̅MMMCDXV</t>
        </is>
      </c>
      <c r="C28416">
        <f>ROMAN(28415)</f>
        <v/>
      </c>
      <c r="D28416">
        <f>IF(B28416=C28416, "YES", "WRONG")</f>
        <v/>
      </c>
    </row>
    <row r="28417">
      <c r="A28417" t="n">
        <v>28416</v>
      </c>
      <c r="B28417" t="inlineStr">
        <is>
          <t>x̄x̄V̅MMMCDXVI</t>
        </is>
      </c>
      <c r="C28417">
        <f>ROMAN(28416)</f>
        <v/>
      </c>
      <c r="D28417">
        <f>IF(B28417=C28417, "YES", "WRONG")</f>
        <v/>
      </c>
    </row>
    <row r="28418">
      <c r="A28418" t="n">
        <v>28417</v>
      </c>
      <c r="B28418" t="inlineStr">
        <is>
          <t>x̄x̄V̅MMMCDXVII</t>
        </is>
      </c>
      <c r="C28418">
        <f>ROMAN(28417)</f>
        <v/>
      </c>
      <c r="D28418">
        <f>IF(B28418=C28418, "YES", "WRONG")</f>
        <v/>
      </c>
    </row>
    <row r="28419">
      <c r="A28419" t="n">
        <v>28418</v>
      </c>
      <c r="B28419" t="inlineStr">
        <is>
          <t>x̄x̄V̅MMMCDXVIII</t>
        </is>
      </c>
      <c r="C28419">
        <f>ROMAN(28418)</f>
        <v/>
      </c>
      <c r="D28419">
        <f>IF(B28419=C28419, "YES", "WRONG")</f>
        <v/>
      </c>
    </row>
    <row r="28420">
      <c r="A28420" t="n">
        <v>28419</v>
      </c>
      <c r="B28420" t="inlineStr">
        <is>
          <t>x̄x̄V̅MMMCDXIX</t>
        </is>
      </c>
      <c r="C28420">
        <f>ROMAN(28419)</f>
        <v/>
      </c>
      <c r="D28420">
        <f>IF(B28420=C28420, "YES", "WRONG")</f>
        <v/>
      </c>
    </row>
    <row r="28421">
      <c r="A28421" t="n">
        <v>28420</v>
      </c>
      <c r="B28421" t="inlineStr">
        <is>
          <t>x̄x̄V̅MMMCDXX</t>
        </is>
      </c>
      <c r="C28421">
        <f>ROMAN(28420)</f>
        <v/>
      </c>
      <c r="D28421">
        <f>IF(B28421=C28421, "YES", "WRONG")</f>
        <v/>
      </c>
    </row>
    <row r="28422">
      <c r="A28422" t="n">
        <v>28421</v>
      </c>
      <c r="B28422" t="inlineStr">
        <is>
          <t>x̄x̄V̅MMMCDXXI</t>
        </is>
      </c>
      <c r="C28422">
        <f>ROMAN(28421)</f>
        <v/>
      </c>
      <c r="D28422">
        <f>IF(B28422=C28422, "YES", "WRONG")</f>
        <v/>
      </c>
    </row>
    <row r="28423">
      <c r="A28423" t="n">
        <v>28422</v>
      </c>
      <c r="B28423" t="inlineStr">
        <is>
          <t>x̄x̄V̅MMMCDXXII</t>
        </is>
      </c>
      <c r="C28423">
        <f>ROMAN(28422)</f>
        <v/>
      </c>
      <c r="D28423">
        <f>IF(B28423=C28423, "YES", "WRONG")</f>
        <v/>
      </c>
    </row>
    <row r="28424">
      <c r="A28424" t="n">
        <v>28423</v>
      </c>
      <c r="B28424" t="inlineStr">
        <is>
          <t>x̄x̄V̅MMMCDXXIII</t>
        </is>
      </c>
      <c r="C28424">
        <f>ROMAN(28423)</f>
        <v/>
      </c>
      <c r="D28424">
        <f>IF(B28424=C28424, "YES", "WRONG")</f>
        <v/>
      </c>
    </row>
    <row r="28425">
      <c r="A28425" t="n">
        <v>28424</v>
      </c>
      <c r="B28425" t="inlineStr">
        <is>
          <t>x̄x̄V̅MMMCDXXIV</t>
        </is>
      </c>
      <c r="C28425">
        <f>ROMAN(28424)</f>
        <v/>
      </c>
      <c r="D28425">
        <f>IF(B28425=C28425, "YES", "WRONG")</f>
        <v/>
      </c>
    </row>
    <row r="28426">
      <c r="A28426" t="n">
        <v>28425</v>
      </c>
      <c r="B28426" t="inlineStr">
        <is>
          <t>x̄x̄V̅MMMCDXXV</t>
        </is>
      </c>
      <c r="C28426">
        <f>ROMAN(28425)</f>
        <v/>
      </c>
      <c r="D28426">
        <f>IF(B28426=C28426, "YES", "WRONG")</f>
        <v/>
      </c>
    </row>
    <row r="28427">
      <c r="A28427" t="n">
        <v>28426</v>
      </c>
      <c r="B28427" t="inlineStr">
        <is>
          <t>x̄x̄V̅MMMCDXXVI</t>
        </is>
      </c>
      <c r="C28427">
        <f>ROMAN(28426)</f>
        <v/>
      </c>
      <c r="D28427">
        <f>IF(B28427=C28427, "YES", "WRONG")</f>
        <v/>
      </c>
    </row>
    <row r="28428">
      <c r="A28428" t="n">
        <v>28427</v>
      </c>
      <c r="B28428" t="inlineStr">
        <is>
          <t>x̄x̄V̅MMMCDXXVII</t>
        </is>
      </c>
      <c r="C28428">
        <f>ROMAN(28427)</f>
        <v/>
      </c>
      <c r="D28428">
        <f>IF(B28428=C28428, "YES", "WRONG")</f>
        <v/>
      </c>
    </row>
    <row r="28429">
      <c r="A28429" t="n">
        <v>28428</v>
      </c>
      <c r="B28429" t="inlineStr">
        <is>
          <t>x̄x̄V̅MMMCDXXVIII</t>
        </is>
      </c>
      <c r="C28429">
        <f>ROMAN(28428)</f>
        <v/>
      </c>
      <c r="D28429">
        <f>IF(B28429=C28429, "YES", "WRONG")</f>
        <v/>
      </c>
    </row>
    <row r="28430">
      <c r="A28430" t="n">
        <v>28429</v>
      </c>
      <c r="B28430" t="inlineStr">
        <is>
          <t>x̄x̄V̅MMMCDXXIX</t>
        </is>
      </c>
      <c r="C28430">
        <f>ROMAN(28429)</f>
        <v/>
      </c>
      <c r="D28430">
        <f>IF(B28430=C28430, "YES", "WRONG")</f>
        <v/>
      </c>
    </row>
    <row r="28431">
      <c r="A28431" t="n">
        <v>28430</v>
      </c>
      <c r="B28431" t="inlineStr">
        <is>
          <t>x̄x̄V̅MMMCDXXX</t>
        </is>
      </c>
      <c r="C28431">
        <f>ROMAN(28430)</f>
        <v/>
      </c>
      <c r="D28431">
        <f>IF(B28431=C28431, "YES", "WRONG")</f>
        <v/>
      </c>
    </row>
    <row r="28432">
      <c r="A28432" t="n">
        <v>28431</v>
      </c>
      <c r="B28432" t="inlineStr">
        <is>
          <t>x̄x̄V̅MMMCDXXXI</t>
        </is>
      </c>
      <c r="C28432">
        <f>ROMAN(28431)</f>
        <v/>
      </c>
      <c r="D28432">
        <f>IF(B28432=C28432, "YES", "WRONG")</f>
        <v/>
      </c>
    </row>
    <row r="28433">
      <c r="A28433" t="n">
        <v>28432</v>
      </c>
      <c r="B28433" t="inlineStr">
        <is>
          <t>x̄x̄V̅MMMCDXXXII</t>
        </is>
      </c>
      <c r="C28433">
        <f>ROMAN(28432)</f>
        <v/>
      </c>
      <c r="D28433">
        <f>IF(B28433=C28433, "YES", "WRONG")</f>
        <v/>
      </c>
    </row>
    <row r="28434">
      <c r="A28434" t="n">
        <v>28433</v>
      </c>
      <c r="B28434" t="inlineStr">
        <is>
          <t>x̄x̄V̅MMMCDXXXIII</t>
        </is>
      </c>
      <c r="C28434">
        <f>ROMAN(28433)</f>
        <v/>
      </c>
      <c r="D28434">
        <f>IF(B28434=C28434, "YES", "WRONG")</f>
        <v/>
      </c>
    </row>
    <row r="28435">
      <c r="A28435" t="n">
        <v>28434</v>
      </c>
      <c r="B28435" t="inlineStr">
        <is>
          <t>x̄x̄V̅MMMCDXXXIV</t>
        </is>
      </c>
      <c r="C28435">
        <f>ROMAN(28434)</f>
        <v/>
      </c>
      <c r="D28435">
        <f>IF(B28435=C28435, "YES", "WRONG")</f>
        <v/>
      </c>
    </row>
    <row r="28436">
      <c r="A28436" t="n">
        <v>28435</v>
      </c>
      <c r="B28436" t="inlineStr">
        <is>
          <t>x̄x̄V̅MMMCDXXXV</t>
        </is>
      </c>
      <c r="C28436">
        <f>ROMAN(28435)</f>
        <v/>
      </c>
      <c r="D28436">
        <f>IF(B28436=C28436, "YES", "WRONG")</f>
        <v/>
      </c>
    </row>
    <row r="28437">
      <c r="A28437" t="n">
        <v>28436</v>
      </c>
      <c r="B28437" t="inlineStr">
        <is>
          <t>x̄x̄V̅MMMCDXXXVI</t>
        </is>
      </c>
      <c r="C28437">
        <f>ROMAN(28436)</f>
        <v/>
      </c>
      <c r="D28437">
        <f>IF(B28437=C28437, "YES", "WRONG")</f>
        <v/>
      </c>
    </row>
    <row r="28438">
      <c r="A28438" t="n">
        <v>28437</v>
      </c>
      <c r="B28438" t="inlineStr">
        <is>
          <t>x̄x̄V̅MMMCDXXXVII</t>
        </is>
      </c>
      <c r="C28438">
        <f>ROMAN(28437)</f>
        <v/>
      </c>
      <c r="D28438">
        <f>IF(B28438=C28438, "YES", "WRONG")</f>
        <v/>
      </c>
    </row>
    <row r="28439">
      <c r="A28439" t="n">
        <v>28438</v>
      </c>
      <c r="B28439" t="inlineStr">
        <is>
          <t>x̄x̄V̅MMMCDXXXVIII</t>
        </is>
      </c>
      <c r="C28439">
        <f>ROMAN(28438)</f>
        <v/>
      </c>
      <c r="D28439">
        <f>IF(B28439=C28439, "YES", "WRONG")</f>
        <v/>
      </c>
    </row>
    <row r="28440">
      <c r="A28440" t="n">
        <v>28439</v>
      </c>
      <c r="B28440" t="inlineStr">
        <is>
          <t>x̄x̄V̅MMMCDXXXIX</t>
        </is>
      </c>
      <c r="C28440">
        <f>ROMAN(28439)</f>
        <v/>
      </c>
      <c r="D28440">
        <f>IF(B28440=C28440, "YES", "WRONG")</f>
        <v/>
      </c>
    </row>
    <row r="28441">
      <c r="A28441" t="n">
        <v>28440</v>
      </c>
      <c r="B28441" t="inlineStr">
        <is>
          <t>x̄x̄V̅MMMCDXL</t>
        </is>
      </c>
      <c r="C28441">
        <f>ROMAN(28440)</f>
        <v/>
      </c>
      <c r="D28441">
        <f>IF(B28441=C28441, "YES", "WRONG")</f>
        <v/>
      </c>
    </row>
    <row r="28442">
      <c r="A28442" t="n">
        <v>28441</v>
      </c>
      <c r="B28442" t="inlineStr">
        <is>
          <t>x̄x̄V̅MMMCDXLI</t>
        </is>
      </c>
      <c r="C28442">
        <f>ROMAN(28441)</f>
        <v/>
      </c>
      <c r="D28442">
        <f>IF(B28442=C28442, "YES", "WRONG")</f>
        <v/>
      </c>
    </row>
    <row r="28443">
      <c r="A28443" t="n">
        <v>28442</v>
      </c>
      <c r="B28443" t="inlineStr">
        <is>
          <t>x̄x̄V̅MMMCDXLII</t>
        </is>
      </c>
      <c r="C28443">
        <f>ROMAN(28442)</f>
        <v/>
      </c>
      <c r="D28443">
        <f>IF(B28443=C28443, "YES", "WRONG")</f>
        <v/>
      </c>
    </row>
    <row r="28444">
      <c r="A28444" t="n">
        <v>28443</v>
      </c>
      <c r="B28444" t="inlineStr">
        <is>
          <t>x̄x̄V̅MMMCDXLIII</t>
        </is>
      </c>
      <c r="C28444">
        <f>ROMAN(28443)</f>
        <v/>
      </c>
      <c r="D28444">
        <f>IF(B28444=C28444, "YES", "WRONG")</f>
        <v/>
      </c>
    </row>
    <row r="28445">
      <c r="A28445" t="n">
        <v>28444</v>
      </c>
      <c r="B28445" t="inlineStr">
        <is>
          <t>x̄x̄V̅MMMCDXLIV</t>
        </is>
      </c>
      <c r="C28445">
        <f>ROMAN(28444)</f>
        <v/>
      </c>
      <c r="D28445">
        <f>IF(B28445=C28445, "YES", "WRONG")</f>
        <v/>
      </c>
    </row>
    <row r="28446">
      <c r="A28446" t="n">
        <v>28445</v>
      </c>
      <c r="B28446" t="inlineStr">
        <is>
          <t>x̄x̄V̅MMMCDXLV</t>
        </is>
      </c>
      <c r="C28446">
        <f>ROMAN(28445)</f>
        <v/>
      </c>
      <c r="D28446">
        <f>IF(B28446=C28446, "YES", "WRONG")</f>
        <v/>
      </c>
    </row>
    <row r="28447">
      <c r="A28447" t="n">
        <v>28446</v>
      </c>
      <c r="B28447" t="inlineStr">
        <is>
          <t>x̄x̄V̅MMMCDXLVI</t>
        </is>
      </c>
      <c r="C28447">
        <f>ROMAN(28446)</f>
        <v/>
      </c>
      <c r="D28447">
        <f>IF(B28447=C28447, "YES", "WRONG")</f>
        <v/>
      </c>
    </row>
    <row r="28448">
      <c r="A28448" t="n">
        <v>28447</v>
      </c>
      <c r="B28448" t="inlineStr">
        <is>
          <t>x̄x̄V̅MMMCDXLVII</t>
        </is>
      </c>
      <c r="C28448">
        <f>ROMAN(28447)</f>
        <v/>
      </c>
      <c r="D28448">
        <f>IF(B28448=C28448, "YES", "WRONG")</f>
        <v/>
      </c>
    </row>
    <row r="28449">
      <c r="A28449" t="n">
        <v>28448</v>
      </c>
      <c r="B28449" t="inlineStr">
        <is>
          <t>x̄x̄V̅MMMCDXLVIII</t>
        </is>
      </c>
      <c r="C28449">
        <f>ROMAN(28448)</f>
        <v/>
      </c>
      <c r="D28449">
        <f>IF(B28449=C28449, "YES", "WRONG")</f>
        <v/>
      </c>
    </row>
    <row r="28450">
      <c r="A28450" t="n">
        <v>28449</v>
      </c>
      <c r="B28450" t="inlineStr">
        <is>
          <t>x̄x̄V̅MMMCDXLIX</t>
        </is>
      </c>
      <c r="C28450">
        <f>ROMAN(28449)</f>
        <v/>
      </c>
      <c r="D28450">
        <f>IF(B28450=C28450, "YES", "WRONG")</f>
        <v/>
      </c>
    </row>
    <row r="28451">
      <c r="A28451" t="n">
        <v>28450</v>
      </c>
      <c r="B28451" t="inlineStr">
        <is>
          <t>x̄x̄V̅MMMCDL</t>
        </is>
      </c>
      <c r="C28451">
        <f>ROMAN(28450)</f>
        <v/>
      </c>
      <c r="D28451">
        <f>IF(B28451=C28451, "YES", "WRONG")</f>
        <v/>
      </c>
    </row>
    <row r="28452">
      <c r="A28452" t="n">
        <v>28451</v>
      </c>
      <c r="B28452" t="inlineStr">
        <is>
          <t>x̄x̄V̅MMMCDLI</t>
        </is>
      </c>
      <c r="C28452">
        <f>ROMAN(28451)</f>
        <v/>
      </c>
      <c r="D28452">
        <f>IF(B28452=C28452, "YES", "WRONG")</f>
        <v/>
      </c>
    </row>
    <row r="28453">
      <c r="A28453" t="n">
        <v>28452</v>
      </c>
      <c r="B28453" t="inlineStr">
        <is>
          <t>x̄x̄V̅MMMCDLII</t>
        </is>
      </c>
      <c r="C28453">
        <f>ROMAN(28452)</f>
        <v/>
      </c>
      <c r="D28453">
        <f>IF(B28453=C28453, "YES", "WRONG")</f>
        <v/>
      </c>
    </row>
    <row r="28454">
      <c r="A28454" t="n">
        <v>28453</v>
      </c>
      <c r="B28454" t="inlineStr">
        <is>
          <t>x̄x̄V̅MMMCDLIII</t>
        </is>
      </c>
      <c r="C28454">
        <f>ROMAN(28453)</f>
        <v/>
      </c>
      <c r="D28454">
        <f>IF(B28454=C28454, "YES", "WRONG")</f>
        <v/>
      </c>
    </row>
    <row r="28455">
      <c r="A28455" t="n">
        <v>28454</v>
      </c>
      <c r="B28455" t="inlineStr">
        <is>
          <t>x̄x̄V̅MMMCDLIV</t>
        </is>
      </c>
      <c r="C28455">
        <f>ROMAN(28454)</f>
        <v/>
      </c>
      <c r="D28455">
        <f>IF(B28455=C28455, "YES", "WRONG")</f>
        <v/>
      </c>
    </row>
    <row r="28456">
      <c r="A28456" t="n">
        <v>28455</v>
      </c>
      <c r="B28456" t="inlineStr">
        <is>
          <t>x̄x̄V̅MMMCDLV</t>
        </is>
      </c>
      <c r="C28456">
        <f>ROMAN(28455)</f>
        <v/>
      </c>
      <c r="D28456">
        <f>IF(B28456=C28456, "YES", "WRONG")</f>
        <v/>
      </c>
    </row>
    <row r="28457">
      <c r="A28457" t="n">
        <v>28456</v>
      </c>
      <c r="B28457" t="inlineStr">
        <is>
          <t>x̄x̄V̅MMMCDLVI</t>
        </is>
      </c>
      <c r="C28457">
        <f>ROMAN(28456)</f>
        <v/>
      </c>
      <c r="D28457">
        <f>IF(B28457=C28457, "YES", "WRONG")</f>
        <v/>
      </c>
    </row>
    <row r="28458">
      <c r="A28458" t="n">
        <v>28457</v>
      </c>
      <c r="B28458" t="inlineStr">
        <is>
          <t>x̄x̄V̅MMMCDLVII</t>
        </is>
      </c>
      <c r="C28458">
        <f>ROMAN(28457)</f>
        <v/>
      </c>
      <c r="D28458">
        <f>IF(B28458=C28458, "YES", "WRONG")</f>
        <v/>
      </c>
    </row>
    <row r="28459">
      <c r="A28459" t="n">
        <v>28458</v>
      </c>
      <c r="B28459" t="inlineStr">
        <is>
          <t>x̄x̄V̅MMMCDLVIII</t>
        </is>
      </c>
      <c r="C28459">
        <f>ROMAN(28458)</f>
        <v/>
      </c>
      <c r="D28459">
        <f>IF(B28459=C28459, "YES", "WRONG")</f>
        <v/>
      </c>
    </row>
    <row r="28460">
      <c r="A28460" t="n">
        <v>28459</v>
      </c>
      <c r="B28460" t="inlineStr">
        <is>
          <t>x̄x̄V̅MMMCDLIX</t>
        </is>
      </c>
      <c r="C28460">
        <f>ROMAN(28459)</f>
        <v/>
      </c>
      <c r="D28460">
        <f>IF(B28460=C28460, "YES", "WRONG")</f>
        <v/>
      </c>
    </row>
    <row r="28461">
      <c r="A28461" t="n">
        <v>28460</v>
      </c>
      <c r="B28461" t="inlineStr">
        <is>
          <t>x̄x̄V̅MMMCDLX</t>
        </is>
      </c>
      <c r="C28461">
        <f>ROMAN(28460)</f>
        <v/>
      </c>
      <c r="D28461">
        <f>IF(B28461=C28461, "YES", "WRONG")</f>
        <v/>
      </c>
    </row>
    <row r="28462">
      <c r="A28462" t="n">
        <v>28461</v>
      </c>
      <c r="B28462" t="inlineStr">
        <is>
          <t>x̄x̄V̅MMMCDLXI</t>
        </is>
      </c>
      <c r="C28462">
        <f>ROMAN(28461)</f>
        <v/>
      </c>
      <c r="D28462">
        <f>IF(B28462=C28462, "YES", "WRONG")</f>
        <v/>
      </c>
    </row>
    <row r="28463">
      <c r="A28463" t="n">
        <v>28462</v>
      </c>
      <c r="B28463" t="inlineStr">
        <is>
          <t>x̄x̄V̅MMMCDLXII</t>
        </is>
      </c>
      <c r="C28463">
        <f>ROMAN(28462)</f>
        <v/>
      </c>
      <c r="D28463">
        <f>IF(B28463=C28463, "YES", "WRONG")</f>
        <v/>
      </c>
    </row>
    <row r="28464">
      <c r="A28464" t="n">
        <v>28463</v>
      </c>
      <c r="B28464" t="inlineStr">
        <is>
          <t>x̄x̄V̅MMMCDLXIII</t>
        </is>
      </c>
      <c r="C28464">
        <f>ROMAN(28463)</f>
        <v/>
      </c>
      <c r="D28464">
        <f>IF(B28464=C28464, "YES", "WRONG")</f>
        <v/>
      </c>
    </row>
    <row r="28465">
      <c r="A28465" t="n">
        <v>28464</v>
      </c>
      <c r="B28465" t="inlineStr">
        <is>
          <t>x̄x̄V̅MMMCDLXIV</t>
        </is>
      </c>
      <c r="C28465">
        <f>ROMAN(28464)</f>
        <v/>
      </c>
      <c r="D28465">
        <f>IF(B28465=C28465, "YES", "WRONG")</f>
        <v/>
      </c>
    </row>
    <row r="28466">
      <c r="A28466" t="n">
        <v>28465</v>
      </c>
      <c r="B28466" t="inlineStr">
        <is>
          <t>x̄x̄V̅MMMCDLXV</t>
        </is>
      </c>
      <c r="C28466">
        <f>ROMAN(28465)</f>
        <v/>
      </c>
      <c r="D28466">
        <f>IF(B28466=C28466, "YES", "WRONG")</f>
        <v/>
      </c>
    </row>
    <row r="28467">
      <c r="A28467" t="n">
        <v>28466</v>
      </c>
      <c r="B28467" t="inlineStr">
        <is>
          <t>x̄x̄V̅MMMCDLXVI</t>
        </is>
      </c>
      <c r="C28467">
        <f>ROMAN(28466)</f>
        <v/>
      </c>
      <c r="D28467">
        <f>IF(B28467=C28467, "YES", "WRONG")</f>
        <v/>
      </c>
    </row>
    <row r="28468">
      <c r="A28468" t="n">
        <v>28467</v>
      </c>
      <c r="B28468" t="inlineStr">
        <is>
          <t>x̄x̄V̅MMMCDLXVII</t>
        </is>
      </c>
      <c r="C28468">
        <f>ROMAN(28467)</f>
        <v/>
      </c>
      <c r="D28468">
        <f>IF(B28468=C28468, "YES", "WRONG")</f>
        <v/>
      </c>
    </row>
    <row r="28469">
      <c r="A28469" t="n">
        <v>28468</v>
      </c>
      <c r="B28469" t="inlineStr">
        <is>
          <t>x̄x̄V̅MMMCDLXVIII</t>
        </is>
      </c>
      <c r="C28469">
        <f>ROMAN(28468)</f>
        <v/>
      </c>
      <c r="D28469">
        <f>IF(B28469=C28469, "YES", "WRONG")</f>
        <v/>
      </c>
    </row>
    <row r="28470">
      <c r="A28470" t="n">
        <v>28469</v>
      </c>
      <c r="B28470" t="inlineStr">
        <is>
          <t>x̄x̄V̅MMMCDLXIX</t>
        </is>
      </c>
      <c r="C28470">
        <f>ROMAN(28469)</f>
        <v/>
      </c>
      <c r="D28470">
        <f>IF(B28470=C28470, "YES", "WRONG")</f>
        <v/>
      </c>
    </row>
    <row r="28471">
      <c r="A28471" t="n">
        <v>28470</v>
      </c>
      <c r="B28471" t="inlineStr">
        <is>
          <t>x̄x̄V̅MMMCDLXX</t>
        </is>
      </c>
      <c r="C28471">
        <f>ROMAN(28470)</f>
        <v/>
      </c>
      <c r="D28471">
        <f>IF(B28471=C28471, "YES", "WRONG")</f>
        <v/>
      </c>
    </row>
    <row r="28472">
      <c r="A28472" t="n">
        <v>28471</v>
      </c>
      <c r="B28472" t="inlineStr">
        <is>
          <t>x̄x̄V̅MMMCDLXXI</t>
        </is>
      </c>
      <c r="C28472">
        <f>ROMAN(28471)</f>
        <v/>
      </c>
      <c r="D28472">
        <f>IF(B28472=C28472, "YES", "WRONG")</f>
        <v/>
      </c>
    </row>
    <row r="28473">
      <c r="A28473" t="n">
        <v>28472</v>
      </c>
      <c r="B28473" t="inlineStr">
        <is>
          <t>x̄x̄V̅MMMCDLXXII</t>
        </is>
      </c>
      <c r="C28473">
        <f>ROMAN(28472)</f>
        <v/>
      </c>
      <c r="D28473">
        <f>IF(B28473=C28473, "YES", "WRONG")</f>
        <v/>
      </c>
    </row>
    <row r="28474">
      <c r="A28474" t="n">
        <v>28473</v>
      </c>
      <c r="B28474" t="inlineStr">
        <is>
          <t>x̄x̄V̅MMMCDLXXIII</t>
        </is>
      </c>
      <c r="C28474">
        <f>ROMAN(28473)</f>
        <v/>
      </c>
      <c r="D28474">
        <f>IF(B28474=C28474, "YES", "WRONG")</f>
        <v/>
      </c>
    </row>
    <row r="28475">
      <c r="A28475" t="n">
        <v>28474</v>
      </c>
      <c r="B28475" t="inlineStr">
        <is>
          <t>x̄x̄V̅MMMCDLXXIV</t>
        </is>
      </c>
      <c r="C28475">
        <f>ROMAN(28474)</f>
        <v/>
      </c>
      <c r="D28475">
        <f>IF(B28475=C28475, "YES", "WRONG")</f>
        <v/>
      </c>
    </row>
    <row r="28476">
      <c r="A28476" t="n">
        <v>28475</v>
      </c>
      <c r="B28476" t="inlineStr">
        <is>
          <t>x̄x̄V̅MMMCDLXXV</t>
        </is>
      </c>
      <c r="C28476">
        <f>ROMAN(28475)</f>
        <v/>
      </c>
      <c r="D28476">
        <f>IF(B28476=C28476, "YES", "WRONG")</f>
        <v/>
      </c>
    </row>
    <row r="28477">
      <c r="A28477" t="n">
        <v>28476</v>
      </c>
      <c r="B28477" t="inlineStr">
        <is>
          <t>x̄x̄V̅MMMCDLXXVI</t>
        </is>
      </c>
      <c r="C28477">
        <f>ROMAN(28476)</f>
        <v/>
      </c>
      <c r="D28477">
        <f>IF(B28477=C28477, "YES", "WRONG")</f>
        <v/>
      </c>
    </row>
    <row r="28478">
      <c r="A28478" t="n">
        <v>28477</v>
      </c>
      <c r="B28478" t="inlineStr">
        <is>
          <t>x̄x̄V̅MMMCDLXXVII</t>
        </is>
      </c>
      <c r="C28478">
        <f>ROMAN(28477)</f>
        <v/>
      </c>
      <c r="D28478">
        <f>IF(B28478=C28478, "YES", "WRONG")</f>
        <v/>
      </c>
    </row>
    <row r="28479">
      <c r="A28479" t="n">
        <v>28478</v>
      </c>
      <c r="B28479" t="inlineStr">
        <is>
          <t>x̄x̄V̅MMMCDLXXVIII</t>
        </is>
      </c>
      <c r="C28479">
        <f>ROMAN(28478)</f>
        <v/>
      </c>
      <c r="D28479">
        <f>IF(B28479=C28479, "YES", "WRONG")</f>
        <v/>
      </c>
    </row>
    <row r="28480">
      <c r="A28480" t="n">
        <v>28479</v>
      </c>
      <c r="B28480" t="inlineStr">
        <is>
          <t>x̄x̄V̅MMMCDLXXIX</t>
        </is>
      </c>
      <c r="C28480">
        <f>ROMAN(28479)</f>
        <v/>
      </c>
      <c r="D28480">
        <f>IF(B28480=C28480, "YES", "WRONG")</f>
        <v/>
      </c>
    </row>
    <row r="28481">
      <c r="A28481" t="n">
        <v>28480</v>
      </c>
      <c r="B28481" t="inlineStr">
        <is>
          <t>x̄x̄V̅MMMCDLXXX</t>
        </is>
      </c>
      <c r="C28481">
        <f>ROMAN(28480)</f>
        <v/>
      </c>
      <c r="D28481">
        <f>IF(B28481=C28481, "YES", "WRONG")</f>
        <v/>
      </c>
    </row>
    <row r="28482">
      <c r="A28482" t="n">
        <v>28481</v>
      </c>
      <c r="B28482" t="inlineStr">
        <is>
          <t>x̄x̄V̅MMMCDLXXXI</t>
        </is>
      </c>
      <c r="C28482">
        <f>ROMAN(28481)</f>
        <v/>
      </c>
      <c r="D28482">
        <f>IF(B28482=C28482, "YES", "WRONG")</f>
        <v/>
      </c>
    </row>
    <row r="28483">
      <c r="A28483" t="n">
        <v>28482</v>
      </c>
      <c r="B28483" t="inlineStr">
        <is>
          <t>x̄x̄V̅MMMCDLXXXII</t>
        </is>
      </c>
      <c r="C28483">
        <f>ROMAN(28482)</f>
        <v/>
      </c>
      <c r="D28483">
        <f>IF(B28483=C28483, "YES", "WRONG")</f>
        <v/>
      </c>
    </row>
    <row r="28484">
      <c r="A28484" t="n">
        <v>28483</v>
      </c>
      <c r="B28484" t="inlineStr">
        <is>
          <t>x̄x̄V̅MMMCDLXXXIII</t>
        </is>
      </c>
      <c r="C28484">
        <f>ROMAN(28483)</f>
        <v/>
      </c>
      <c r="D28484">
        <f>IF(B28484=C28484, "YES", "WRONG")</f>
        <v/>
      </c>
    </row>
    <row r="28485">
      <c r="A28485" t="n">
        <v>28484</v>
      </c>
      <c r="B28485" t="inlineStr">
        <is>
          <t>x̄x̄V̅MMMCDLXXXIV</t>
        </is>
      </c>
      <c r="C28485">
        <f>ROMAN(28484)</f>
        <v/>
      </c>
      <c r="D28485">
        <f>IF(B28485=C28485, "YES", "WRONG")</f>
        <v/>
      </c>
    </row>
    <row r="28486">
      <c r="A28486" t="n">
        <v>28485</v>
      </c>
      <c r="B28486" t="inlineStr">
        <is>
          <t>x̄x̄V̅MMMCDLXXXV</t>
        </is>
      </c>
      <c r="C28486">
        <f>ROMAN(28485)</f>
        <v/>
      </c>
      <c r="D28486">
        <f>IF(B28486=C28486, "YES", "WRONG")</f>
        <v/>
      </c>
    </row>
    <row r="28487">
      <c r="A28487" t="n">
        <v>28486</v>
      </c>
      <c r="B28487" t="inlineStr">
        <is>
          <t>x̄x̄V̅MMMCDLXXXVI</t>
        </is>
      </c>
      <c r="C28487">
        <f>ROMAN(28486)</f>
        <v/>
      </c>
      <c r="D28487">
        <f>IF(B28487=C28487, "YES", "WRONG")</f>
        <v/>
      </c>
    </row>
    <row r="28488">
      <c r="A28488" t="n">
        <v>28487</v>
      </c>
      <c r="B28488" t="inlineStr">
        <is>
          <t>x̄x̄V̅MMMCDLXXXVII</t>
        </is>
      </c>
      <c r="C28488">
        <f>ROMAN(28487)</f>
        <v/>
      </c>
      <c r="D28488">
        <f>IF(B28488=C28488, "YES", "WRONG")</f>
        <v/>
      </c>
    </row>
    <row r="28489">
      <c r="A28489" t="n">
        <v>28488</v>
      </c>
      <c r="B28489" t="inlineStr">
        <is>
          <t>x̄x̄V̅MMMCDLXXXVIII</t>
        </is>
      </c>
      <c r="C28489">
        <f>ROMAN(28488)</f>
        <v/>
      </c>
      <c r="D28489">
        <f>IF(B28489=C28489, "YES", "WRONG")</f>
        <v/>
      </c>
    </row>
    <row r="28490">
      <c r="A28490" t="n">
        <v>28489</v>
      </c>
      <c r="B28490" t="inlineStr">
        <is>
          <t>x̄x̄V̅MMMCDLXXXIX</t>
        </is>
      </c>
      <c r="C28490">
        <f>ROMAN(28489)</f>
        <v/>
      </c>
      <c r="D28490">
        <f>IF(B28490=C28490, "YES", "WRONG")</f>
        <v/>
      </c>
    </row>
    <row r="28491">
      <c r="A28491" t="n">
        <v>28490</v>
      </c>
      <c r="B28491" t="inlineStr">
        <is>
          <t>x̄x̄V̅MMMCDXC</t>
        </is>
      </c>
      <c r="C28491">
        <f>ROMAN(28490)</f>
        <v/>
      </c>
      <c r="D28491">
        <f>IF(B28491=C28491, "YES", "WRONG")</f>
        <v/>
      </c>
    </row>
    <row r="28492">
      <c r="A28492" t="n">
        <v>28491</v>
      </c>
      <c r="B28492" t="inlineStr">
        <is>
          <t>x̄x̄V̅MMMCDXCI</t>
        </is>
      </c>
      <c r="C28492">
        <f>ROMAN(28491)</f>
        <v/>
      </c>
      <c r="D28492">
        <f>IF(B28492=C28492, "YES", "WRONG")</f>
        <v/>
      </c>
    </row>
    <row r="28493">
      <c r="A28493" t="n">
        <v>28492</v>
      </c>
      <c r="B28493" t="inlineStr">
        <is>
          <t>x̄x̄V̅MMMCDXCII</t>
        </is>
      </c>
      <c r="C28493">
        <f>ROMAN(28492)</f>
        <v/>
      </c>
      <c r="D28493">
        <f>IF(B28493=C28493, "YES", "WRONG")</f>
        <v/>
      </c>
    </row>
    <row r="28494">
      <c r="A28494" t="n">
        <v>28493</v>
      </c>
      <c r="B28494" t="inlineStr">
        <is>
          <t>x̄x̄V̅MMMCDXCIII</t>
        </is>
      </c>
      <c r="C28494">
        <f>ROMAN(28493)</f>
        <v/>
      </c>
      <c r="D28494">
        <f>IF(B28494=C28494, "YES", "WRONG")</f>
        <v/>
      </c>
    </row>
    <row r="28495">
      <c r="A28495" t="n">
        <v>28494</v>
      </c>
      <c r="B28495" t="inlineStr">
        <is>
          <t>x̄x̄V̅MMMCDXCIV</t>
        </is>
      </c>
      <c r="C28495">
        <f>ROMAN(28494)</f>
        <v/>
      </c>
      <c r="D28495">
        <f>IF(B28495=C28495, "YES", "WRONG")</f>
        <v/>
      </c>
    </row>
    <row r="28496">
      <c r="A28496" t="n">
        <v>28495</v>
      </c>
      <c r="B28496" t="inlineStr">
        <is>
          <t>x̄x̄V̅MMMCDXCV</t>
        </is>
      </c>
      <c r="C28496">
        <f>ROMAN(28495)</f>
        <v/>
      </c>
      <c r="D28496">
        <f>IF(B28496=C28496, "YES", "WRONG")</f>
        <v/>
      </c>
    </row>
    <row r="28497">
      <c r="A28497" t="n">
        <v>28496</v>
      </c>
      <c r="B28497" t="inlineStr">
        <is>
          <t>x̄x̄V̅MMMCDXCVI</t>
        </is>
      </c>
      <c r="C28497">
        <f>ROMAN(28496)</f>
        <v/>
      </c>
      <c r="D28497">
        <f>IF(B28497=C28497, "YES", "WRONG")</f>
        <v/>
      </c>
    </row>
    <row r="28498">
      <c r="A28498" t="n">
        <v>28497</v>
      </c>
      <c r="B28498" t="inlineStr">
        <is>
          <t>x̄x̄V̅MMMCDXCVII</t>
        </is>
      </c>
      <c r="C28498">
        <f>ROMAN(28497)</f>
        <v/>
      </c>
      <c r="D28498">
        <f>IF(B28498=C28498, "YES", "WRONG")</f>
        <v/>
      </c>
    </row>
    <row r="28499">
      <c r="A28499" t="n">
        <v>28498</v>
      </c>
      <c r="B28499" t="inlineStr">
        <is>
          <t>x̄x̄V̅MMMCDXCVIII</t>
        </is>
      </c>
      <c r="C28499">
        <f>ROMAN(28498)</f>
        <v/>
      </c>
      <c r="D28499">
        <f>IF(B28499=C28499, "YES", "WRONG")</f>
        <v/>
      </c>
    </row>
    <row r="28500">
      <c r="A28500" t="n">
        <v>28499</v>
      </c>
      <c r="B28500" t="inlineStr">
        <is>
          <t>x̄x̄V̅MMMCDXCIX</t>
        </is>
      </c>
      <c r="C28500">
        <f>ROMAN(28499)</f>
        <v/>
      </c>
      <c r="D28500">
        <f>IF(B28500=C28500, "YES", "WRONG")</f>
        <v/>
      </c>
    </row>
    <row r="28501">
      <c r="A28501" t="n">
        <v>28500</v>
      </c>
      <c r="B28501" t="inlineStr">
        <is>
          <t>x̄x̄V̅MMMD</t>
        </is>
      </c>
      <c r="C28501">
        <f>ROMAN(28500)</f>
        <v/>
      </c>
      <c r="D28501">
        <f>IF(B28501=C28501, "YES", "WRONG")</f>
        <v/>
      </c>
    </row>
    <row r="28502">
      <c r="A28502" t="n">
        <v>28501</v>
      </c>
      <c r="B28502" t="inlineStr">
        <is>
          <t>x̄x̄V̅MMMDI</t>
        </is>
      </c>
      <c r="C28502">
        <f>ROMAN(28501)</f>
        <v/>
      </c>
      <c r="D28502">
        <f>IF(B28502=C28502, "YES", "WRONG")</f>
        <v/>
      </c>
    </row>
    <row r="28503">
      <c r="A28503" t="n">
        <v>28502</v>
      </c>
      <c r="B28503" t="inlineStr">
        <is>
          <t>x̄x̄V̅MMMDII</t>
        </is>
      </c>
      <c r="C28503">
        <f>ROMAN(28502)</f>
        <v/>
      </c>
      <c r="D28503">
        <f>IF(B28503=C28503, "YES", "WRONG")</f>
        <v/>
      </c>
    </row>
    <row r="28504">
      <c r="A28504" t="n">
        <v>28503</v>
      </c>
      <c r="B28504" t="inlineStr">
        <is>
          <t>x̄x̄V̅MMMDIII</t>
        </is>
      </c>
      <c r="C28504">
        <f>ROMAN(28503)</f>
        <v/>
      </c>
      <c r="D28504">
        <f>IF(B28504=C28504, "YES", "WRONG")</f>
        <v/>
      </c>
    </row>
    <row r="28505">
      <c r="A28505" t="n">
        <v>28504</v>
      </c>
      <c r="B28505" t="inlineStr">
        <is>
          <t>x̄x̄V̅MMMDIV</t>
        </is>
      </c>
      <c r="C28505">
        <f>ROMAN(28504)</f>
        <v/>
      </c>
      <c r="D28505">
        <f>IF(B28505=C28505, "YES", "WRONG")</f>
        <v/>
      </c>
    </row>
    <row r="28506">
      <c r="A28506" t="n">
        <v>28505</v>
      </c>
      <c r="B28506" t="inlineStr">
        <is>
          <t>x̄x̄V̅MMMDV</t>
        </is>
      </c>
      <c r="C28506">
        <f>ROMAN(28505)</f>
        <v/>
      </c>
      <c r="D28506">
        <f>IF(B28506=C28506, "YES", "WRONG")</f>
        <v/>
      </c>
    </row>
    <row r="28507">
      <c r="A28507" t="n">
        <v>28506</v>
      </c>
      <c r="B28507" t="inlineStr">
        <is>
          <t>x̄x̄V̅MMMDVI</t>
        </is>
      </c>
      <c r="C28507">
        <f>ROMAN(28506)</f>
        <v/>
      </c>
      <c r="D28507">
        <f>IF(B28507=C28507, "YES", "WRONG")</f>
        <v/>
      </c>
    </row>
    <row r="28508">
      <c r="A28508" t="n">
        <v>28507</v>
      </c>
      <c r="B28508" t="inlineStr">
        <is>
          <t>x̄x̄V̅MMMDVII</t>
        </is>
      </c>
      <c r="C28508">
        <f>ROMAN(28507)</f>
        <v/>
      </c>
      <c r="D28508">
        <f>IF(B28508=C28508, "YES", "WRONG")</f>
        <v/>
      </c>
    </row>
    <row r="28509">
      <c r="A28509" t="n">
        <v>28508</v>
      </c>
      <c r="B28509" t="inlineStr">
        <is>
          <t>x̄x̄V̅MMMDVIII</t>
        </is>
      </c>
      <c r="C28509">
        <f>ROMAN(28508)</f>
        <v/>
      </c>
      <c r="D28509">
        <f>IF(B28509=C28509, "YES", "WRONG")</f>
        <v/>
      </c>
    </row>
    <row r="28510">
      <c r="A28510" t="n">
        <v>28509</v>
      </c>
      <c r="B28510" t="inlineStr">
        <is>
          <t>x̄x̄V̅MMMDIX</t>
        </is>
      </c>
      <c r="C28510">
        <f>ROMAN(28509)</f>
        <v/>
      </c>
      <c r="D28510">
        <f>IF(B28510=C28510, "YES", "WRONG")</f>
        <v/>
      </c>
    </row>
    <row r="28511">
      <c r="A28511" t="n">
        <v>28510</v>
      </c>
      <c r="B28511" t="inlineStr">
        <is>
          <t>x̄x̄V̅MMMDX</t>
        </is>
      </c>
      <c r="C28511">
        <f>ROMAN(28510)</f>
        <v/>
      </c>
      <c r="D28511">
        <f>IF(B28511=C28511, "YES", "WRONG")</f>
        <v/>
      </c>
    </row>
    <row r="28512">
      <c r="A28512" t="n">
        <v>28511</v>
      </c>
      <c r="B28512" t="inlineStr">
        <is>
          <t>x̄x̄V̅MMMDXI</t>
        </is>
      </c>
      <c r="C28512">
        <f>ROMAN(28511)</f>
        <v/>
      </c>
      <c r="D28512">
        <f>IF(B28512=C28512, "YES", "WRONG")</f>
        <v/>
      </c>
    </row>
    <row r="28513">
      <c r="A28513" t="n">
        <v>28512</v>
      </c>
      <c r="B28513" t="inlineStr">
        <is>
          <t>x̄x̄V̅MMMDXII</t>
        </is>
      </c>
      <c r="C28513">
        <f>ROMAN(28512)</f>
        <v/>
      </c>
      <c r="D28513">
        <f>IF(B28513=C28513, "YES", "WRONG")</f>
        <v/>
      </c>
    </row>
    <row r="28514">
      <c r="A28514" t="n">
        <v>28513</v>
      </c>
      <c r="B28514" t="inlineStr">
        <is>
          <t>x̄x̄V̅MMMDXIII</t>
        </is>
      </c>
      <c r="C28514">
        <f>ROMAN(28513)</f>
        <v/>
      </c>
      <c r="D28514">
        <f>IF(B28514=C28514, "YES", "WRONG")</f>
        <v/>
      </c>
    </row>
    <row r="28515">
      <c r="A28515" t="n">
        <v>28514</v>
      </c>
      <c r="B28515" t="inlineStr">
        <is>
          <t>x̄x̄V̅MMMDXIV</t>
        </is>
      </c>
      <c r="C28515">
        <f>ROMAN(28514)</f>
        <v/>
      </c>
      <c r="D28515">
        <f>IF(B28515=C28515, "YES", "WRONG")</f>
        <v/>
      </c>
    </row>
    <row r="28516">
      <c r="A28516" t="n">
        <v>28515</v>
      </c>
      <c r="B28516" t="inlineStr">
        <is>
          <t>x̄x̄V̅MMMDXV</t>
        </is>
      </c>
      <c r="C28516">
        <f>ROMAN(28515)</f>
        <v/>
      </c>
      <c r="D28516">
        <f>IF(B28516=C28516, "YES", "WRONG")</f>
        <v/>
      </c>
    </row>
    <row r="28517">
      <c r="A28517" t="n">
        <v>28516</v>
      </c>
      <c r="B28517" t="inlineStr">
        <is>
          <t>x̄x̄V̅MMMDXVI</t>
        </is>
      </c>
      <c r="C28517">
        <f>ROMAN(28516)</f>
        <v/>
      </c>
      <c r="D28517">
        <f>IF(B28517=C28517, "YES", "WRONG")</f>
        <v/>
      </c>
    </row>
    <row r="28518">
      <c r="A28518" t="n">
        <v>28517</v>
      </c>
      <c r="B28518" t="inlineStr">
        <is>
          <t>x̄x̄V̅MMMDXVII</t>
        </is>
      </c>
      <c r="C28518">
        <f>ROMAN(28517)</f>
        <v/>
      </c>
      <c r="D28518">
        <f>IF(B28518=C28518, "YES", "WRONG")</f>
        <v/>
      </c>
    </row>
    <row r="28519">
      <c r="A28519" t="n">
        <v>28518</v>
      </c>
      <c r="B28519" t="inlineStr">
        <is>
          <t>x̄x̄V̅MMMDXVIII</t>
        </is>
      </c>
      <c r="C28519">
        <f>ROMAN(28518)</f>
        <v/>
      </c>
      <c r="D28519">
        <f>IF(B28519=C28519, "YES", "WRONG")</f>
        <v/>
      </c>
    </row>
    <row r="28520">
      <c r="A28520" t="n">
        <v>28519</v>
      </c>
      <c r="B28520" t="inlineStr">
        <is>
          <t>x̄x̄V̅MMMDXIX</t>
        </is>
      </c>
      <c r="C28520">
        <f>ROMAN(28519)</f>
        <v/>
      </c>
      <c r="D28520">
        <f>IF(B28520=C28520, "YES", "WRONG")</f>
        <v/>
      </c>
    </row>
    <row r="28521">
      <c r="A28521" t="n">
        <v>28520</v>
      </c>
      <c r="B28521" t="inlineStr">
        <is>
          <t>x̄x̄V̅MMMDXX</t>
        </is>
      </c>
      <c r="C28521">
        <f>ROMAN(28520)</f>
        <v/>
      </c>
      <c r="D28521">
        <f>IF(B28521=C28521, "YES", "WRONG")</f>
        <v/>
      </c>
    </row>
    <row r="28522">
      <c r="A28522" t="n">
        <v>28521</v>
      </c>
      <c r="B28522" t="inlineStr">
        <is>
          <t>x̄x̄V̅MMMDXXI</t>
        </is>
      </c>
      <c r="C28522">
        <f>ROMAN(28521)</f>
        <v/>
      </c>
      <c r="D28522">
        <f>IF(B28522=C28522, "YES", "WRONG")</f>
        <v/>
      </c>
    </row>
    <row r="28523">
      <c r="A28523" t="n">
        <v>28522</v>
      </c>
      <c r="B28523" t="inlineStr">
        <is>
          <t>x̄x̄V̅MMMDXXII</t>
        </is>
      </c>
      <c r="C28523">
        <f>ROMAN(28522)</f>
        <v/>
      </c>
      <c r="D28523">
        <f>IF(B28523=C28523, "YES", "WRONG")</f>
        <v/>
      </c>
    </row>
    <row r="28524">
      <c r="A28524" t="n">
        <v>28523</v>
      </c>
      <c r="B28524" t="inlineStr">
        <is>
          <t>x̄x̄V̅MMMDXXIII</t>
        </is>
      </c>
      <c r="C28524">
        <f>ROMAN(28523)</f>
        <v/>
      </c>
      <c r="D28524">
        <f>IF(B28524=C28524, "YES", "WRONG")</f>
        <v/>
      </c>
    </row>
    <row r="28525">
      <c r="A28525" t="n">
        <v>28524</v>
      </c>
      <c r="B28525" t="inlineStr">
        <is>
          <t>x̄x̄V̅MMMDXXIV</t>
        </is>
      </c>
      <c r="C28525">
        <f>ROMAN(28524)</f>
        <v/>
      </c>
      <c r="D28525">
        <f>IF(B28525=C28525, "YES", "WRONG")</f>
        <v/>
      </c>
    </row>
    <row r="28526">
      <c r="A28526" t="n">
        <v>28525</v>
      </c>
      <c r="B28526" t="inlineStr">
        <is>
          <t>x̄x̄V̅MMMDXXV</t>
        </is>
      </c>
      <c r="C28526">
        <f>ROMAN(28525)</f>
        <v/>
      </c>
      <c r="D28526">
        <f>IF(B28526=C28526, "YES", "WRONG")</f>
        <v/>
      </c>
    </row>
    <row r="28527">
      <c r="A28527" t="n">
        <v>28526</v>
      </c>
      <c r="B28527" t="inlineStr">
        <is>
          <t>x̄x̄V̅MMMDXXVI</t>
        </is>
      </c>
      <c r="C28527">
        <f>ROMAN(28526)</f>
        <v/>
      </c>
      <c r="D28527">
        <f>IF(B28527=C28527, "YES", "WRONG")</f>
        <v/>
      </c>
    </row>
    <row r="28528">
      <c r="A28528" t="n">
        <v>28527</v>
      </c>
      <c r="B28528" t="inlineStr">
        <is>
          <t>x̄x̄V̅MMMDXXVII</t>
        </is>
      </c>
      <c r="C28528">
        <f>ROMAN(28527)</f>
        <v/>
      </c>
      <c r="D28528">
        <f>IF(B28528=C28528, "YES", "WRONG")</f>
        <v/>
      </c>
    </row>
    <row r="28529">
      <c r="A28529" t="n">
        <v>28528</v>
      </c>
      <c r="B28529" t="inlineStr">
        <is>
          <t>x̄x̄V̅MMMDXXVIII</t>
        </is>
      </c>
      <c r="C28529">
        <f>ROMAN(28528)</f>
        <v/>
      </c>
      <c r="D28529">
        <f>IF(B28529=C28529, "YES", "WRONG")</f>
        <v/>
      </c>
    </row>
    <row r="28530">
      <c r="A28530" t="n">
        <v>28529</v>
      </c>
      <c r="B28530" t="inlineStr">
        <is>
          <t>x̄x̄V̅MMMDXXIX</t>
        </is>
      </c>
      <c r="C28530">
        <f>ROMAN(28529)</f>
        <v/>
      </c>
      <c r="D28530">
        <f>IF(B28530=C28530, "YES", "WRONG")</f>
        <v/>
      </c>
    </row>
    <row r="28531">
      <c r="A28531" t="n">
        <v>28530</v>
      </c>
      <c r="B28531" t="inlineStr">
        <is>
          <t>x̄x̄V̅MMMDXXX</t>
        </is>
      </c>
      <c r="C28531">
        <f>ROMAN(28530)</f>
        <v/>
      </c>
      <c r="D28531">
        <f>IF(B28531=C28531, "YES", "WRONG")</f>
        <v/>
      </c>
    </row>
    <row r="28532">
      <c r="A28532" t="n">
        <v>28531</v>
      </c>
      <c r="B28532" t="inlineStr">
        <is>
          <t>x̄x̄V̅MMMDXXXI</t>
        </is>
      </c>
      <c r="C28532">
        <f>ROMAN(28531)</f>
        <v/>
      </c>
      <c r="D28532">
        <f>IF(B28532=C28532, "YES", "WRONG")</f>
        <v/>
      </c>
    </row>
    <row r="28533">
      <c r="A28533" t="n">
        <v>28532</v>
      </c>
      <c r="B28533" t="inlineStr">
        <is>
          <t>x̄x̄V̅MMMDXXXII</t>
        </is>
      </c>
      <c r="C28533">
        <f>ROMAN(28532)</f>
        <v/>
      </c>
      <c r="D28533">
        <f>IF(B28533=C28533, "YES", "WRONG")</f>
        <v/>
      </c>
    </row>
    <row r="28534">
      <c r="A28534" t="n">
        <v>28533</v>
      </c>
      <c r="B28534" t="inlineStr">
        <is>
          <t>x̄x̄V̅MMMDXXXIII</t>
        </is>
      </c>
      <c r="C28534">
        <f>ROMAN(28533)</f>
        <v/>
      </c>
      <c r="D28534">
        <f>IF(B28534=C28534, "YES", "WRONG")</f>
        <v/>
      </c>
    </row>
    <row r="28535">
      <c r="A28535" t="n">
        <v>28534</v>
      </c>
      <c r="B28535" t="inlineStr">
        <is>
          <t>x̄x̄V̅MMMDXXXIV</t>
        </is>
      </c>
      <c r="C28535">
        <f>ROMAN(28534)</f>
        <v/>
      </c>
      <c r="D28535">
        <f>IF(B28535=C28535, "YES", "WRONG")</f>
        <v/>
      </c>
    </row>
    <row r="28536">
      <c r="A28536" t="n">
        <v>28535</v>
      </c>
      <c r="B28536" t="inlineStr">
        <is>
          <t>x̄x̄V̅MMMDXXXV</t>
        </is>
      </c>
      <c r="C28536">
        <f>ROMAN(28535)</f>
        <v/>
      </c>
      <c r="D28536">
        <f>IF(B28536=C28536, "YES", "WRONG")</f>
        <v/>
      </c>
    </row>
    <row r="28537">
      <c r="A28537" t="n">
        <v>28536</v>
      </c>
      <c r="B28537" t="inlineStr">
        <is>
          <t>x̄x̄V̅MMMDXXXVI</t>
        </is>
      </c>
      <c r="C28537">
        <f>ROMAN(28536)</f>
        <v/>
      </c>
      <c r="D28537">
        <f>IF(B28537=C28537, "YES", "WRONG")</f>
        <v/>
      </c>
    </row>
    <row r="28538">
      <c r="A28538" t="n">
        <v>28537</v>
      </c>
      <c r="B28538" t="inlineStr">
        <is>
          <t>x̄x̄V̅MMMDXXXVII</t>
        </is>
      </c>
      <c r="C28538">
        <f>ROMAN(28537)</f>
        <v/>
      </c>
      <c r="D28538">
        <f>IF(B28538=C28538, "YES", "WRONG")</f>
        <v/>
      </c>
    </row>
    <row r="28539">
      <c r="A28539" t="n">
        <v>28538</v>
      </c>
      <c r="B28539" t="inlineStr">
        <is>
          <t>x̄x̄V̅MMMDXXXVIII</t>
        </is>
      </c>
      <c r="C28539">
        <f>ROMAN(28538)</f>
        <v/>
      </c>
      <c r="D28539">
        <f>IF(B28539=C28539, "YES", "WRONG")</f>
        <v/>
      </c>
    </row>
    <row r="28540">
      <c r="A28540" t="n">
        <v>28539</v>
      </c>
      <c r="B28540" t="inlineStr">
        <is>
          <t>x̄x̄V̅MMMDXXXIX</t>
        </is>
      </c>
      <c r="C28540">
        <f>ROMAN(28539)</f>
        <v/>
      </c>
      <c r="D28540">
        <f>IF(B28540=C28540, "YES", "WRONG")</f>
        <v/>
      </c>
    </row>
    <row r="28541">
      <c r="A28541" t="n">
        <v>28540</v>
      </c>
      <c r="B28541" t="inlineStr">
        <is>
          <t>x̄x̄V̅MMMDXL</t>
        </is>
      </c>
      <c r="C28541">
        <f>ROMAN(28540)</f>
        <v/>
      </c>
      <c r="D28541">
        <f>IF(B28541=C28541, "YES", "WRONG")</f>
        <v/>
      </c>
    </row>
    <row r="28542">
      <c r="A28542" t="n">
        <v>28541</v>
      </c>
      <c r="B28542" t="inlineStr">
        <is>
          <t>x̄x̄V̅MMMDXLI</t>
        </is>
      </c>
      <c r="C28542">
        <f>ROMAN(28541)</f>
        <v/>
      </c>
      <c r="D28542">
        <f>IF(B28542=C28542, "YES", "WRONG")</f>
        <v/>
      </c>
    </row>
    <row r="28543">
      <c r="A28543" t="n">
        <v>28542</v>
      </c>
      <c r="B28543" t="inlineStr">
        <is>
          <t>x̄x̄V̅MMMDXLII</t>
        </is>
      </c>
      <c r="C28543">
        <f>ROMAN(28542)</f>
        <v/>
      </c>
      <c r="D28543">
        <f>IF(B28543=C28543, "YES", "WRONG")</f>
        <v/>
      </c>
    </row>
    <row r="28544">
      <c r="A28544" t="n">
        <v>28543</v>
      </c>
      <c r="B28544" t="inlineStr">
        <is>
          <t>x̄x̄V̅MMMDXLIII</t>
        </is>
      </c>
      <c r="C28544">
        <f>ROMAN(28543)</f>
        <v/>
      </c>
      <c r="D28544">
        <f>IF(B28544=C28544, "YES", "WRONG")</f>
        <v/>
      </c>
    </row>
    <row r="28545">
      <c r="A28545" t="n">
        <v>28544</v>
      </c>
      <c r="B28545" t="inlineStr">
        <is>
          <t>x̄x̄V̅MMMDXLIV</t>
        </is>
      </c>
      <c r="C28545">
        <f>ROMAN(28544)</f>
        <v/>
      </c>
      <c r="D28545">
        <f>IF(B28545=C28545, "YES", "WRONG")</f>
        <v/>
      </c>
    </row>
    <row r="28546">
      <c r="A28546" t="n">
        <v>28545</v>
      </c>
      <c r="B28546" t="inlineStr">
        <is>
          <t>x̄x̄V̅MMMDXLV</t>
        </is>
      </c>
      <c r="C28546">
        <f>ROMAN(28545)</f>
        <v/>
      </c>
      <c r="D28546">
        <f>IF(B28546=C28546, "YES", "WRONG")</f>
        <v/>
      </c>
    </row>
    <row r="28547">
      <c r="A28547" t="n">
        <v>28546</v>
      </c>
      <c r="B28547" t="inlineStr">
        <is>
          <t>x̄x̄V̅MMMDXLVI</t>
        </is>
      </c>
      <c r="C28547">
        <f>ROMAN(28546)</f>
        <v/>
      </c>
      <c r="D28547">
        <f>IF(B28547=C28547, "YES", "WRONG")</f>
        <v/>
      </c>
    </row>
    <row r="28548">
      <c r="A28548" t="n">
        <v>28547</v>
      </c>
      <c r="B28548" t="inlineStr">
        <is>
          <t>x̄x̄V̅MMMDXLVII</t>
        </is>
      </c>
      <c r="C28548">
        <f>ROMAN(28547)</f>
        <v/>
      </c>
      <c r="D28548">
        <f>IF(B28548=C28548, "YES", "WRONG")</f>
        <v/>
      </c>
    </row>
    <row r="28549">
      <c r="A28549" t="n">
        <v>28548</v>
      </c>
      <c r="B28549" t="inlineStr">
        <is>
          <t>x̄x̄V̅MMMDXLVIII</t>
        </is>
      </c>
      <c r="C28549">
        <f>ROMAN(28548)</f>
        <v/>
      </c>
      <c r="D28549">
        <f>IF(B28549=C28549, "YES", "WRONG")</f>
        <v/>
      </c>
    </row>
    <row r="28550">
      <c r="A28550" t="n">
        <v>28549</v>
      </c>
      <c r="B28550" t="inlineStr">
        <is>
          <t>x̄x̄V̅MMMDXLIX</t>
        </is>
      </c>
      <c r="C28550">
        <f>ROMAN(28549)</f>
        <v/>
      </c>
      <c r="D28550">
        <f>IF(B28550=C28550, "YES", "WRONG")</f>
        <v/>
      </c>
    </row>
    <row r="28551">
      <c r="A28551" t="n">
        <v>28550</v>
      </c>
      <c r="B28551" t="inlineStr">
        <is>
          <t>x̄x̄V̅MMMDL</t>
        </is>
      </c>
      <c r="C28551">
        <f>ROMAN(28550)</f>
        <v/>
      </c>
      <c r="D28551">
        <f>IF(B28551=C28551, "YES", "WRONG")</f>
        <v/>
      </c>
    </row>
    <row r="28552">
      <c r="A28552" t="n">
        <v>28551</v>
      </c>
      <c r="B28552" t="inlineStr">
        <is>
          <t>x̄x̄V̅MMMDLI</t>
        </is>
      </c>
      <c r="C28552">
        <f>ROMAN(28551)</f>
        <v/>
      </c>
      <c r="D28552">
        <f>IF(B28552=C28552, "YES", "WRONG")</f>
        <v/>
      </c>
    </row>
    <row r="28553">
      <c r="A28553" t="n">
        <v>28552</v>
      </c>
      <c r="B28553" t="inlineStr">
        <is>
          <t>x̄x̄V̅MMMDLII</t>
        </is>
      </c>
      <c r="C28553">
        <f>ROMAN(28552)</f>
        <v/>
      </c>
      <c r="D28553">
        <f>IF(B28553=C28553, "YES", "WRONG")</f>
        <v/>
      </c>
    </row>
    <row r="28554">
      <c r="A28554" t="n">
        <v>28553</v>
      </c>
      <c r="B28554" t="inlineStr">
        <is>
          <t>x̄x̄V̅MMMDLIII</t>
        </is>
      </c>
      <c r="C28554">
        <f>ROMAN(28553)</f>
        <v/>
      </c>
      <c r="D28554">
        <f>IF(B28554=C28554, "YES", "WRONG")</f>
        <v/>
      </c>
    </row>
    <row r="28555">
      <c r="A28555" t="n">
        <v>28554</v>
      </c>
      <c r="B28555" t="inlineStr">
        <is>
          <t>x̄x̄V̅MMMDLIV</t>
        </is>
      </c>
      <c r="C28555">
        <f>ROMAN(28554)</f>
        <v/>
      </c>
      <c r="D28555">
        <f>IF(B28555=C28555, "YES", "WRONG")</f>
        <v/>
      </c>
    </row>
    <row r="28556">
      <c r="A28556" t="n">
        <v>28555</v>
      </c>
      <c r="B28556" t="inlineStr">
        <is>
          <t>x̄x̄V̅MMMDLV</t>
        </is>
      </c>
      <c r="C28556">
        <f>ROMAN(28555)</f>
        <v/>
      </c>
      <c r="D28556">
        <f>IF(B28556=C28556, "YES", "WRONG")</f>
        <v/>
      </c>
    </row>
    <row r="28557">
      <c r="A28557" t="n">
        <v>28556</v>
      </c>
      <c r="B28557" t="inlineStr">
        <is>
          <t>x̄x̄V̅MMMDLVI</t>
        </is>
      </c>
      <c r="C28557">
        <f>ROMAN(28556)</f>
        <v/>
      </c>
      <c r="D28557">
        <f>IF(B28557=C28557, "YES", "WRONG")</f>
        <v/>
      </c>
    </row>
    <row r="28558">
      <c r="A28558" t="n">
        <v>28557</v>
      </c>
      <c r="B28558" t="inlineStr">
        <is>
          <t>x̄x̄V̅MMMDLVII</t>
        </is>
      </c>
      <c r="C28558">
        <f>ROMAN(28557)</f>
        <v/>
      </c>
      <c r="D28558">
        <f>IF(B28558=C28558, "YES", "WRONG")</f>
        <v/>
      </c>
    </row>
    <row r="28559">
      <c r="A28559" t="n">
        <v>28558</v>
      </c>
      <c r="B28559" t="inlineStr">
        <is>
          <t>x̄x̄V̅MMMDLVIII</t>
        </is>
      </c>
      <c r="C28559">
        <f>ROMAN(28558)</f>
        <v/>
      </c>
      <c r="D28559">
        <f>IF(B28559=C28559, "YES", "WRONG")</f>
        <v/>
      </c>
    </row>
    <row r="28560">
      <c r="A28560" t="n">
        <v>28559</v>
      </c>
      <c r="B28560" t="inlineStr">
        <is>
          <t>x̄x̄V̅MMMDLIX</t>
        </is>
      </c>
      <c r="C28560">
        <f>ROMAN(28559)</f>
        <v/>
      </c>
      <c r="D28560">
        <f>IF(B28560=C28560, "YES", "WRONG")</f>
        <v/>
      </c>
    </row>
    <row r="28561">
      <c r="A28561" t="n">
        <v>28560</v>
      </c>
      <c r="B28561" t="inlineStr">
        <is>
          <t>x̄x̄V̅MMMDLX</t>
        </is>
      </c>
      <c r="C28561">
        <f>ROMAN(28560)</f>
        <v/>
      </c>
      <c r="D28561">
        <f>IF(B28561=C28561, "YES", "WRONG")</f>
        <v/>
      </c>
    </row>
    <row r="28562">
      <c r="A28562" t="n">
        <v>28561</v>
      </c>
      <c r="B28562" t="inlineStr">
        <is>
          <t>x̄x̄V̅MMMDLXI</t>
        </is>
      </c>
      <c r="C28562">
        <f>ROMAN(28561)</f>
        <v/>
      </c>
      <c r="D28562">
        <f>IF(B28562=C28562, "YES", "WRONG")</f>
        <v/>
      </c>
    </row>
    <row r="28563">
      <c r="A28563" t="n">
        <v>28562</v>
      </c>
      <c r="B28563" t="inlineStr">
        <is>
          <t>x̄x̄V̅MMMDLXII</t>
        </is>
      </c>
      <c r="C28563">
        <f>ROMAN(28562)</f>
        <v/>
      </c>
      <c r="D28563">
        <f>IF(B28563=C28563, "YES", "WRONG")</f>
        <v/>
      </c>
    </row>
    <row r="28564">
      <c r="A28564" t="n">
        <v>28563</v>
      </c>
      <c r="B28564" t="inlineStr">
        <is>
          <t>x̄x̄V̅MMMDLXIII</t>
        </is>
      </c>
      <c r="C28564">
        <f>ROMAN(28563)</f>
        <v/>
      </c>
      <c r="D28564">
        <f>IF(B28564=C28564, "YES", "WRONG")</f>
        <v/>
      </c>
    </row>
    <row r="28565">
      <c r="A28565" t="n">
        <v>28564</v>
      </c>
      <c r="B28565" t="inlineStr">
        <is>
          <t>x̄x̄V̅MMMDLXIV</t>
        </is>
      </c>
      <c r="C28565">
        <f>ROMAN(28564)</f>
        <v/>
      </c>
      <c r="D28565">
        <f>IF(B28565=C28565, "YES", "WRONG")</f>
        <v/>
      </c>
    </row>
    <row r="28566">
      <c r="A28566" t="n">
        <v>28565</v>
      </c>
      <c r="B28566" t="inlineStr">
        <is>
          <t>x̄x̄V̅MMMDLXV</t>
        </is>
      </c>
      <c r="C28566">
        <f>ROMAN(28565)</f>
        <v/>
      </c>
      <c r="D28566">
        <f>IF(B28566=C28566, "YES", "WRONG")</f>
        <v/>
      </c>
    </row>
    <row r="28567">
      <c r="A28567" t="n">
        <v>28566</v>
      </c>
      <c r="B28567" t="inlineStr">
        <is>
          <t>x̄x̄V̅MMMDLXVI</t>
        </is>
      </c>
      <c r="C28567">
        <f>ROMAN(28566)</f>
        <v/>
      </c>
      <c r="D28567">
        <f>IF(B28567=C28567, "YES", "WRONG")</f>
        <v/>
      </c>
    </row>
    <row r="28568">
      <c r="A28568" t="n">
        <v>28567</v>
      </c>
      <c r="B28568" t="inlineStr">
        <is>
          <t>x̄x̄V̅MMMDLXVII</t>
        </is>
      </c>
      <c r="C28568">
        <f>ROMAN(28567)</f>
        <v/>
      </c>
      <c r="D28568">
        <f>IF(B28568=C28568, "YES", "WRONG")</f>
        <v/>
      </c>
    </row>
    <row r="28569">
      <c r="A28569" t="n">
        <v>28568</v>
      </c>
      <c r="B28569" t="inlineStr">
        <is>
          <t>x̄x̄V̅MMMDLXVIII</t>
        </is>
      </c>
      <c r="C28569">
        <f>ROMAN(28568)</f>
        <v/>
      </c>
      <c r="D28569">
        <f>IF(B28569=C28569, "YES", "WRONG")</f>
        <v/>
      </c>
    </row>
    <row r="28570">
      <c r="A28570" t="n">
        <v>28569</v>
      </c>
      <c r="B28570" t="inlineStr">
        <is>
          <t>x̄x̄V̅MMMDLXIX</t>
        </is>
      </c>
      <c r="C28570">
        <f>ROMAN(28569)</f>
        <v/>
      </c>
      <c r="D28570">
        <f>IF(B28570=C28570, "YES", "WRONG")</f>
        <v/>
      </c>
    </row>
    <row r="28571">
      <c r="A28571" t="n">
        <v>28570</v>
      </c>
      <c r="B28571" t="inlineStr">
        <is>
          <t>x̄x̄V̅MMMDLXX</t>
        </is>
      </c>
      <c r="C28571">
        <f>ROMAN(28570)</f>
        <v/>
      </c>
      <c r="D28571">
        <f>IF(B28571=C28571, "YES", "WRONG")</f>
        <v/>
      </c>
    </row>
    <row r="28572">
      <c r="A28572" t="n">
        <v>28571</v>
      </c>
      <c r="B28572" t="inlineStr">
        <is>
          <t>x̄x̄V̅MMMDLXXI</t>
        </is>
      </c>
      <c r="C28572">
        <f>ROMAN(28571)</f>
        <v/>
      </c>
      <c r="D28572">
        <f>IF(B28572=C28572, "YES", "WRONG")</f>
        <v/>
      </c>
    </row>
    <row r="28573">
      <c r="A28573" t="n">
        <v>28572</v>
      </c>
      <c r="B28573" t="inlineStr">
        <is>
          <t>x̄x̄V̅MMMDLXXII</t>
        </is>
      </c>
      <c r="C28573">
        <f>ROMAN(28572)</f>
        <v/>
      </c>
      <c r="D28573">
        <f>IF(B28573=C28573, "YES", "WRONG")</f>
        <v/>
      </c>
    </row>
    <row r="28574">
      <c r="A28574" t="n">
        <v>28573</v>
      </c>
      <c r="B28574" t="inlineStr">
        <is>
          <t>x̄x̄V̅MMMDLXXIII</t>
        </is>
      </c>
      <c r="C28574">
        <f>ROMAN(28573)</f>
        <v/>
      </c>
      <c r="D28574">
        <f>IF(B28574=C28574, "YES", "WRONG")</f>
        <v/>
      </c>
    </row>
    <row r="28575">
      <c r="A28575" t="n">
        <v>28574</v>
      </c>
      <c r="B28575" t="inlineStr">
        <is>
          <t>x̄x̄V̅MMMDLXXIV</t>
        </is>
      </c>
      <c r="C28575">
        <f>ROMAN(28574)</f>
        <v/>
      </c>
      <c r="D28575">
        <f>IF(B28575=C28575, "YES", "WRONG")</f>
        <v/>
      </c>
    </row>
    <row r="28576">
      <c r="A28576" t="n">
        <v>28575</v>
      </c>
      <c r="B28576" t="inlineStr">
        <is>
          <t>x̄x̄V̅MMMDLXXV</t>
        </is>
      </c>
      <c r="C28576">
        <f>ROMAN(28575)</f>
        <v/>
      </c>
      <c r="D28576">
        <f>IF(B28576=C28576, "YES", "WRONG")</f>
        <v/>
      </c>
    </row>
    <row r="28577">
      <c r="A28577" t="n">
        <v>28576</v>
      </c>
      <c r="B28577" t="inlineStr">
        <is>
          <t>x̄x̄V̅MMMDLXXVI</t>
        </is>
      </c>
      <c r="C28577">
        <f>ROMAN(28576)</f>
        <v/>
      </c>
      <c r="D28577">
        <f>IF(B28577=C28577, "YES", "WRONG")</f>
        <v/>
      </c>
    </row>
    <row r="28578">
      <c r="A28578" t="n">
        <v>28577</v>
      </c>
      <c r="B28578" t="inlineStr">
        <is>
          <t>x̄x̄V̅MMMDLXXVII</t>
        </is>
      </c>
      <c r="C28578">
        <f>ROMAN(28577)</f>
        <v/>
      </c>
      <c r="D28578">
        <f>IF(B28578=C28578, "YES", "WRONG")</f>
        <v/>
      </c>
    </row>
    <row r="28579">
      <c r="A28579" t="n">
        <v>28578</v>
      </c>
      <c r="B28579" t="inlineStr">
        <is>
          <t>x̄x̄V̅MMMDLXXVIII</t>
        </is>
      </c>
      <c r="C28579">
        <f>ROMAN(28578)</f>
        <v/>
      </c>
      <c r="D28579">
        <f>IF(B28579=C28579, "YES", "WRONG")</f>
        <v/>
      </c>
    </row>
    <row r="28580">
      <c r="A28580" t="n">
        <v>28579</v>
      </c>
      <c r="B28580" t="inlineStr">
        <is>
          <t>x̄x̄V̅MMMDLXXIX</t>
        </is>
      </c>
      <c r="C28580">
        <f>ROMAN(28579)</f>
        <v/>
      </c>
      <c r="D28580">
        <f>IF(B28580=C28580, "YES", "WRONG")</f>
        <v/>
      </c>
    </row>
    <row r="28581">
      <c r="A28581" t="n">
        <v>28580</v>
      </c>
      <c r="B28581" t="inlineStr">
        <is>
          <t>x̄x̄V̅MMMDLXXX</t>
        </is>
      </c>
      <c r="C28581">
        <f>ROMAN(28580)</f>
        <v/>
      </c>
      <c r="D28581">
        <f>IF(B28581=C28581, "YES", "WRONG")</f>
        <v/>
      </c>
    </row>
    <row r="28582">
      <c r="A28582" t="n">
        <v>28581</v>
      </c>
      <c r="B28582" t="inlineStr">
        <is>
          <t>x̄x̄V̅MMMDLXXXI</t>
        </is>
      </c>
      <c r="C28582">
        <f>ROMAN(28581)</f>
        <v/>
      </c>
      <c r="D28582">
        <f>IF(B28582=C28582, "YES", "WRONG")</f>
        <v/>
      </c>
    </row>
    <row r="28583">
      <c r="A28583" t="n">
        <v>28582</v>
      </c>
      <c r="B28583" t="inlineStr">
        <is>
          <t>x̄x̄V̅MMMDLXXXII</t>
        </is>
      </c>
      <c r="C28583">
        <f>ROMAN(28582)</f>
        <v/>
      </c>
      <c r="D28583">
        <f>IF(B28583=C28583, "YES", "WRONG")</f>
        <v/>
      </c>
    </row>
    <row r="28584">
      <c r="A28584" t="n">
        <v>28583</v>
      </c>
      <c r="B28584" t="inlineStr">
        <is>
          <t>x̄x̄V̅MMMDLXXXIII</t>
        </is>
      </c>
      <c r="C28584">
        <f>ROMAN(28583)</f>
        <v/>
      </c>
      <c r="D28584">
        <f>IF(B28584=C28584, "YES", "WRONG")</f>
        <v/>
      </c>
    </row>
    <row r="28585">
      <c r="A28585" t="n">
        <v>28584</v>
      </c>
      <c r="B28585" t="inlineStr">
        <is>
          <t>x̄x̄V̅MMMDLXXXIV</t>
        </is>
      </c>
      <c r="C28585">
        <f>ROMAN(28584)</f>
        <v/>
      </c>
      <c r="D28585">
        <f>IF(B28585=C28585, "YES", "WRONG")</f>
        <v/>
      </c>
    </row>
    <row r="28586">
      <c r="A28586" t="n">
        <v>28585</v>
      </c>
      <c r="B28586" t="inlineStr">
        <is>
          <t>x̄x̄V̅MMMDLXXXV</t>
        </is>
      </c>
      <c r="C28586">
        <f>ROMAN(28585)</f>
        <v/>
      </c>
      <c r="D28586">
        <f>IF(B28586=C28586, "YES", "WRONG")</f>
        <v/>
      </c>
    </row>
    <row r="28587">
      <c r="A28587" t="n">
        <v>28586</v>
      </c>
      <c r="B28587" t="inlineStr">
        <is>
          <t>x̄x̄V̅MMMDLXXXVI</t>
        </is>
      </c>
      <c r="C28587">
        <f>ROMAN(28586)</f>
        <v/>
      </c>
      <c r="D28587">
        <f>IF(B28587=C28587, "YES", "WRONG")</f>
        <v/>
      </c>
    </row>
    <row r="28588">
      <c r="A28588" t="n">
        <v>28587</v>
      </c>
      <c r="B28588" t="inlineStr">
        <is>
          <t>x̄x̄V̅MMMDLXXXVII</t>
        </is>
      </c>
      <c r="C28588">
        <f>ROMAN(28587)</f>
        <v/>
      </c>
      <c r="D28588">
        <f>IF(B28588=C28588, "YES", "WRONG")</f>
        <v/>
      </c>
    </row>
    <row r="28589">
      <c r="A28589" t="n">
        <v>28588</v>
      </c>
      <c r="B28589" t="inlineStr">
        <is>
          <t>x̄x̄V̅MMMDLXXXVIII</t>
        </is>
      </c>
      <c r="C28589">
        <f>ROMAN(28588)</f>
        <v/>
      </c>
      <c r="D28589">
        <f>IF(B28589=C28589, "YES", "WRONG")</f>
        <v/>
      </c>
    </row>
    <row r="28590">
      <c r="A28590" t="n">
        <v>28589</v>
      </c>
      <c r="B28590" t="inlineStr">
        <is>
          <t>x̄x̄V̅MMMDLXXXIX</t>
        </is>
      </c>
      <c r="C28590">
        <f>ROMAN(28589)</f>
        <v/>
      </c>
      <c r="D28590">
        <f>IF(B28590=C28590, "YES", "WRONG")</f>
        <v/>
      </c>
    </row>
    <row r="28591">
      <c r="A28591" t="n">
        <v>28590</v>
      </c>
      <c r="B28591" t="inlineStr">
        <is>
          <t>x̄x̄V̅MMMDXC</t>
        </is>
      </c>
      <c r="C28591">
        <f>ROMAN(28590)</f>
        <v/>
      </c>
      <c r="D28591">
        <f>IF(B28591=C28591, "YES", "WRONG")</f>
        <v/>
      </c>
    </row>
    <row r="28592">
      <c r="A28592" t="n">
        <v>28591</v>
      </c>
      <c r="B28592" t="inlineStr">
        <is>
          <t>x̄x̄V̅MMMDXCI</t>
        </is>
      </c>
      <c r="C28592">
        <f>ROMAN(28591)</f>
        <v/>
      </c>
      <c r="D28592">
        <f>IF(B28592=C28592, "YES", "WRONG")</f>
        <v/>
      </c>
    </row>
    <row r="28593">
      <c r="A28593" t="n">
        <v>28592</v>
      </c>
      <c r="B28593" t="inlineStr">
        <is>
          <t>x̄x̄V̅MMMDXCII</t>
        </is>
      </c>
      <c r="C28593">
        <f>ROMAN(28592)</f>
        <v/>
      </c>
      <c r="D28593">
        <f>IF(B28593=C28593, "YES", "WRONG")</f>
        <v/>
      </c>
    </row>
    <row r="28594">
      <c r="A28594" t="n">
        <v>28593</v>
      </c>
      <c r="B28594" t="inlineStr">
        <is>
          <t>x̄x̄V̅MMMDXCIII</t>
        </is>
      </c>
      <c r="C28594">
        <f>ROMAN(28593)</f>
        <v/>
      </c>
      <c r="D28594">
        <f>IF(B28594=C28594, "YES", "WRONG")</f>
        <v/>
      </c>
    </row>
    <row r="28595">
      <c r="A28595" t="n">
        <v>28594</v>
      </c>
      <c r="B28595" t="inlineStr">
        <is>
          <t>x̄x̄V̅MMMDXCIV</t>
        </is>
      </c>
      <c r="C28595">
        <f>ROMAN(28594)</f>
        <v/>
      </c>
      <c r="D28595">
        <f>IF(B28595=C28595, "YES", "WRONG")</f>
        <v/>
      </c>
    </row>
    <row r="28596">
      <c r="A28596" t="n">
        <v>28595</v>
      </c>
      <c r="B28596" t="inlineStr">
        <is>
          <t>x̄x̄V̅MMMDXCV</t>
        </is>
      </c>
      <c r="C28596">
        <f>ROMAN(28595)</f>
        <v/>
      </c>
      <c r="D28596">
        <f>IF(B28596=C28596, "YES", "WRONG")</f>
        <v/>
      </c>
    </row>
    <row r="28597">
      <c r="A28597" t="n">
        <v>28596</v>
      </c>
      <c r="B28597" t="inlineStr">
        <is>
          <t>x̄x̄V̅MMMDXCVI</t>
        </is>
      </c>
      <c r="C28597">
        <f>ROMAN(28596)</f>
        <v/>
      </c>
      <c r="D28597">
        <f>IF(B28597=C28597, "YES", "WRONG")</f>
        <v/>
      </c>
    </row>
    <row r="28598">
      <c r="A28598" t="n">
        <v>28597</v>
      </c>
      <c r="B28598" t="inlineStr">
        <is>
          <t>x̄x̄V̅MMMDXCVII</t>
        </is>
      </c>
      <c r="C28598">
        <f>ROMAN(28597)</f>
        <v/>
      </c>
      <c r="D28598">
        <f>IF(B28598=C28598, "YES", "WRONG")</f>
        <v/>
      </c>
    </row>
    <row r="28599">
      <c r="A28599" t="n">
        <v>28598</v>
      </c>
      <c r="B28599" t="inlineStr">
        <is>
          <t>x̄x̄V̅MMMDXCVIII</t>
        </is>
      </c>
      <c r="C28599">
        <f>ROMAN(28598)</f>
        <v/>
      </c>
      <c r="D28599">
        <f>IF(B28599=C28599, "YES", "WRONG")</f>
        <v/>
      </c>
    </row>
    <row r="28600">
      <c r="A28600" t="n">
        <v>28599</v>
      </c>
      <c r="B28600" t="inlineStr">
        <is>
          <t>x̄x̄V̅MMMDXCIX</t>
        </is>
      </c>
      <c r="C28600">
        <f>ROMAN(28599)</f>
        <v/>
      </c>
      <c r="D28600">
        <f>IF(B28600=C28600, "YES", "WRONG")</f>
        <v/>
      </c>
    </row>
    <row r="28601">
      <c r="A28601" t="n">
        <v>28600</v>
      </c>
      <c r="B28601" t="inlineStr">
        <is>
          <t>x̄x̄V̅MMMDC</t>
        </is>
      </c>
      <c r="C28601">
        <f>ROMAN(28600)</f>
        <v/>
      </c>
      <c r="D28601">
        <f>IF(B28601=C28601, "YES", "WRONG")</f>
        <v/>
      </c>
    </row>
    <row r="28602">
      <c r="A28602" t="n">
        <v>28601</v>
      </c>
      <c r="B28602" t="inlineStr">
        <is>
          <t>x̄x̄V̅MMMDCI</t>
        </is>
      </c>
      <c r="C28602">
        <f>ROMAN(28601)</f>
        <v/>
      </c>
      <c r="D28602">
        <f>IF(B28602=C28602, "YES", "WRONG")</f>
        <v/>
      </c>
    </row>
    <row r="28603">
      <c r="A28603" t="n">
        <v>28602</v>
      </c>
      <c r="B28603" t="inlineStr">
        <is>
          <t>x̄x̄V̅MMMDCII</t>
        </is>
      </c>
      <c r="C28603">
        <f>ROMAN(28602)</f>
        <v/>
      </c>
      <c r="D28603">
        <f>IF(B28603=C28603, "YES", "WRONG")</f>
        <v/>
      </c>
    </row>
    <row r="28604">
      <c r="A28604" t="n">
        <v>28603</v>
      </c>
      <c r="B28604" t="inlineStr">
        <is>
          <t>x̄x̄V̅MMMDCIII</t>
        </is>
      </c>
      <c r="C28604">
        <f>ROMAN(28603)</f>
        <v/>
      </c>
      <c r="D28604">
        <f>IF(B28604=C28604, "YES", "WRONG")</f>
        <v/>
      </c>
    </row>
    <row r="28605">
      <c r="A28605" t="n">
        <v>28604</v>
      </c>
      <c r="B28605" t="inlineStr">
        <is>
          <t>x̄x̄V̅MMMDCIV</t>
        </is>
      </c>
      <c r="C28605">
        <f>ROMAN(28604)</f>
        <v/>
      </c>
      <c r="D28605">
        <f>IF(B28605=C28605, "YES", "WRONG")</f>
        <v/>
      </c>
    </row>
    <row r="28606">
      <c r="A28606" t="n">
        <v>28605</v>
      </c>
      <c r="B28606" t="inlineStr">
        <is>
          <t>x̄x̄V̅MMMDCV</t>
        </is>
      </c>
      <c r="C28606">
        <f>ROMAN(28605)</f>
        <v/>
      </c>
      <c r="D28606">
        <f>IF(B28606=C28606, "YES", "WRONG")</f>
        <v/>
      </c>
    </row>
    <row r="28607">
      <c r="A28607" t="n">
        <v>28606</v>
      </c>
      <c r="B28607" t="inlineStr">
        <is>
          <t>x̄x̄V̅MMMDCVI</t>
        </is>
      </c>
      <c r="C28607">
        <f>ROMAN(28606)</f>
        <v/>
      </c>
      <c r="D28607">
        <f>IF(B28607=C28607, "YES", "WRONG")</f>
        <v/>
      </c>
    </row>
    <row r="28608">
      <c r="A28608" t="n">
        <v>28607</v>
      </c>
      <c r="B28608" t="inlineStr">
        <is>
          <t>x̄x̄V̅MMMDCVII</t>
        </is>
      </c>
      <c r="C28608">
        <f>ROMAN(28607)</f>
        <v/>
      </c>
      <c r="D28608">
        <f>IF(B28608=C28608, "YES", "WRONG")</f>
        <v/>
      </c>
    </row>
    <row r="28609">
      <c r="A28609" t="n">
        <v>28608</v>
      </c>
      <c r="B28609" t="inlineStr">
        <is>
          <t>x̄x̄V̅MMMDCVIII</t>
        </is>
      </c>
      <c r="C28609">
        <f>ROMAN(28608)</f>
        <v/>
      </c>
      <c r="D28609">
        <f>IF(B28609=C28609, "YES", "WRONG")</f>
        <v/>
      </c>
    </row>
    <row r="28610">
      <c r="A28610" t="n">
        <v>28609</v>
      </c>
      <c r="B28610" t="inlineStr">
        <is>
          <t>x̄x̄V̅MMMDCIX</t>
        </is>
      </c>
      <c r="C28610">
        <f>ROMAN(28609)</f>
        <v/>
      </c>
      <c r="D28610">
        <f>IF(B28610=C28610, "YES", "WRONG")</f>
        <v/>
      </c>
    </row>
    <row r="28611">
      <c r="A28611" t="n">
        <v>28610</v>
      </c>
      <c r="B28611" t="inlineStr">
        <is>
          <t>x̄x̄V̅MMMDCX</t>
        </is>
      </c>
      <c r="C28611">
        <f>ROMAN(28610)</f>
        <v/>
      </c>
      <c r="D28611">
        <f>IF(B28611=C28611, "YES", "WRONG")</f>
        <v/>
      </c>
    </row>
    <row r="28612">
      <c r="A28612" t="n">
        <v>28611</v>
      </c>
      <c r="B28612" t="inlineStr">
        <is>
          <t>x̄x̄V̅MMMDCXI</t>
        </is>
      </c>
      <c r="C28612">
        <f>ROMAN(28611)</f>
        <v/>
      </c>
      <c r="D28612">
        <f>IF(B28612=C28612, "YES", "WRONG")</f>
        <v/>
      </c>
    </row>
    <row r="28613">
      <c r="A28613" t="n">
        <v>28612</v>
      </c>
      <c r="B28613" t="inlineStr">
        <is>
          <t>x̄x̄V̅MMMDCXII</t>
        </is>
      </c>
      <c r="C28613">
        <f>ROMAN(28612)</f>
        <v/>
      </c>
      <c r="D28613">
        <f>IF(B28613=C28613, "YES", "WRONG")</f>
        <v/>
      </c>
    </row>
    <row r="28614">
      <c r="A28614" t="n">
        <v>28613</v>
      </c>
      <c r="B28614" t="inlineStr">
        <is>
          <t>x̄x̄V̅MMMDCXIII</t>
        </is>
      </c>
      <c r="C28614">
        <f>ROMAN(28613)</f>
        <v/>
      </c>
      <c r="D28614">
        <f>IF(B28614=C28614, "YES", "WRONG")</f>
        <v/>
      </c>
    </row>
    <row r="28615">
      <c r="A28615" t="n">
        <v>28614</v>
      </c>
      <c r="B28615" t="inlineStr">
        <is>
          <t>x̄x̄V̅MMMDCXIV</t>
        </is>
      </c>
      <c r="C28615">
        <f>ROMAN(28614)</f>
        <v/>
      </c>
      <c r="D28615">
        <f>IF(B28615=C28615, "YES", "WRONG")</f>
        <v/>
      </c>
    </row>
    <row r="28616">
      <c r="A28616" t="n">
        <v>28615</v>
      </c>
      <c r="B28616" t="inlineStr">
        <is>
          <t>x̄x̄V̅MMMDCXV</t>
        </is>
      </c>
      <c r="C28616">
        <f>ROMAN(28615)</f>
        <v/>
      </c>
      <c r="D28616">
        <f>IF(B28616=C28616, "YES", "WRONG")</f>
        <v/>
      </c>
    </row>
    <row r="28617">
      <c r="A28617" t="n">
        <v>28616</v>
      </c>
      <c r="B28617" t="inlineStr">
        <is>
          <t>x̄x̄V̅MMMDCXVI</t>
        </is>
      </c>
      <c r="C28617">
        <f>ROMAN(28616)</f>
        <v/>
      </c>
      <c r="D28617">
        <f>IF(B28617=C28617, "YES", "WRONG")</f>
        <v/>
      </c>
    </row>
    <row r="28618">
      <c r="A28618" t="n">
        <v>28617</v>
      </c>
      <c r="B28618" t="inlineStr">
        <is>
          <t>x̄x̄V̅MMMDCXVII</t>
        </is>
      </c>
      <c r="C28618">
        <f>ROMAN(28617)</f>
        <v/>
      </c>
      <c r="D28618">
        <f>IF(B28618=C28618, "YES", "WRONG")</f>
        <v/>
      </c>
    </row>
    <row r="28619">
      <c r="A28619" t="n">
        <v>28618</v>
      </c>
      <c r="B28619" t="inlineStr">
        <is>
          <t>x̄x̄V̅MMMDCXVIII</t>
        </is>
      </c>
      <c r="C28619">
        <f>ROMAN(28618)</f>
        <v/>
      </c>
      <c r="D28619">
        <f>IF(B28619=C28619, "YES", "WRONG")</f>
        <v/>
      </c>
    </row>
    <row r="28620">
      <c r="A28620" t="n">
        <v>28619</v>
      </c>
      <c r="B28620" t="inlineStr">
        <is>
          <t>x̄x̄V̅MMMDCXIX</t>
        </is>
      </c>
      <c r="C28620">
        <f>ROMAN(28619)</f>
        <v/>
      </c>
      <c r="D28620">
        <f>IF(B28620=C28620, "YES", "WRONG")</f>
        <v/>
      </c>
    </row>
    <row r="28621">
      <c r="A28621" t="n">
        <v>28620</v>
      </c>
      <c r="B28621" t="inlineStr">
        <is>
          <t>x̄x̄V̅MMMDCXX</t>
        </is>
      </c>
      <c r="C28621">
        <f>ROMAN(28620)</f>
        <v/>
      </c>
      <c r="D28621">
        <f>IF(B28621=C28621, "YES", "WRONG")</f>
        <v/>
      </c>
    </row>
    <row r="28622">
      <c r="A28622" t="n">
        <v>28621</v>
      </c>
      <c r="B28622" t="inlineStr">
        <is>
          <t>x̄x̄V̅MMMDCXXI</t>
        </is>
      </c>
      <c r="C28622">
        <f>ROMAN(28621)</f>
        <v/>
      </c>
      <c r="D28622">
        <f>IF(B28622=C28622, "YES", "WRONG")</f>
        <v/>
      </c>
    </row>
    <row r="28623">
      <c r="A28623" t="n">
        <v>28622</v>
      </c>
      <c r="B28623" t="inlineStr">
        <is>
          <t>x̄x̄V̅MMMDCXXII</t>
        </is>
      </c>
      <c r="C28623">
        <f>ROMAN(28622)</f>
        <v/>
      </c>
      <c r="D28623">
        <f>IF(B28623=C28623, "YES", "WRONG")</f>
        <v/>
      </c>
    </row>
    <row r="28624">
      <c r="A28624" t="n">
        <v>28623</v>
      </c>
      <c r="B28624" t="inlineStr">
        <is>
          <t>x̄x̄V̅MMMDCXXIII</t>
        </is>
      </c>
      <c r="C28624">
        <f>ROMAN(28623)</f>
        <v/>
      </c>
      <c r="D28624">
        <f>IF(B28624=C28624, "YES", "WRONG")</f>
        <v/>
      </c>
    </row>
    <row r="28625">
      <c r="A28625" t="n">
        <v>28624</v>
      </c>
      <c r="B28625" t="inlineStr">
        <is>
          <t>x̄x̄V̅MMMDCXXIV</t>
        </is>
      </c>
      <c r="C28625">
        <f>ROMAN(28624)</f>
        <v/>
      </c>
      <c r="D28625">
        <f>IF(B28625=C28625, "YES", "WRONG")</f>
        <v/>
      </c>
    </row>
    <row r="28626">
      <c r="A28626" t="n">
        <v>28625</v>
      </c>
      <c r="B28626" t="inlineStr">
        <is>
          <t>x̄x̄V̅MMMDCXXV</t>
        </is>
      </c>
      <c r="C28626">
        <f>ROMAN(28625)</f>
        <v/>
      </c>
      <c r="D28626">
        <f>IF(B28626=C28626, "YES", "WRONG")</f>
        <v/>
      </c>
    </row>
    <row r="28627">
      <c r="A28627" t="n">
        <v>28626</v>
      </c>
      <c r="B28627" t="inlineStr">
        <is>
          <t>x̄x̄V̅MMMDCXXVI</t>
        </is>
      </c>
      <c r="C28627">
        <f>ROMAN(28626)</f>
        <v/>
      </c>
      <c r="D28627">
        <f>IF(B28627=C28627, "YES", "WRONG")</f>
        <v/>
      </c>
    </row>
    <row r="28628">
      <c r="A28628" t="n">
        <v>28627</v>
      </c>
      <c r="B28628" t="inlineStr">
        <is>
          <t>x̄x̄V̅MMMDCXXVII</t>
        </is>
      </c>
      <c r="C28628">
        <f>ROMAN(28627)</f>
        <v/>
      </c>
      <c r="D28628">
        <f>IF(B28628=C28628, "YES", "WRONG")</f>
        <v/>
      </c>
    </row>
    <row r="28629">
      <c r="A28629" t="n">
        <v>28628</v>
      </c>
      <c r="B28629" t="inlineStr">
        <is>
          <t>x̄x̄V̅MMMDCXXVIII</t>
        </is>
      </c>
      <c r="C28629">
        <f>ROMAN(28628)</f>
        <v/>
      </c>
      <c r="D28629">
        <f>IF(B28629=C28629, "YES", "WRONG")</f>
        <v/>
      </c>
    </row>
    <row r="28630">
      <c r="A28630" t="n">
        <v>28629</v>
      </c>
      <c r="B28630" t="inlineStr">
        <is>
          <t>x̄x̄V̅MMMDCXXIX</t>
        </is>
      </c>
      <c r="C28630">
        <f>ROMAN(28629)</f>
        <v/>
      </c>
      <c r="D28630">
        <f>IF(B28630=C28630, "YES", "WRONG")</f>
        <v/>
      </c>
    </row>
    <row r="28631">
      <c r="A28631" t="n">
        <v>28630</v>
      </c>
      <c r="B28631" t="inlineStr">
        <is>
          <t>x̄x̄V̅MMMDCXXX</t>
        </is>
      </c>
      <c r="C28631">
        <f>ROMAN(28630)</f>
        <v/>
      </c>
      <c r="D28631">
        <f>IF(B28631=C28631, "YES", "WRONG")</f>
        <v/>
      </c>
    </row>
    <row r="28632">
      <c r="A28632" t="n">
        <v>28631</v>
      </c>
      <c r="B28632" t="inlineStr">
        <is>
          <t>x̄x̄V̅MMMDCXXXI</t>
        </is>
      </c>
      <c r="C28632">
        <f>ROMAN(28631)</f>
        <v/>
      </c>
      <c r="D28632">
        <f>IF(B28632=C28632, "YES", "WRONG")</f>
        <v/>
      </c>
    </row>
    <row r="28633">
      <c r="A28633" t="n">
        <v>28632</v>
      </c>
      <c r="B28633" t="inlineStr">
        <is>
          <t>x̄x̄V̅MMMDCXXXII</t>
        </is>
      </c>
      <c r="C28633">
        <f>ROMAN(28632)</f>
        <v/>
      </c>
      <c r="D28633">
        <f>IF(B28633=C28633, "YES", "WRONG")</f>
        <v/>
      </c>
    </row>
    <row r="28634">
      <c r="A28634" t="n">
        <v>28633</v>
      </c>
      <c r="B28634" t="inlineStr">
        <is>
          <t>x̄x̄V̅MMMDCXXXIII</t>
        </is>
      </c>
      <c r="C28634">
        <f>ROMAN(28633)</f>
        <v/>
      </c>
      <c r="D28634">
        <f>IF(B28634=C28634, "YES", "WRONG")</f>
        <v/>
      </c>
    </row>
    <row r="28635">
      <c r="A28635" t="n">
        <v>28634</v>
      </c>
      <c r="B28635" t="inlineStr">
        <is>
          <t>x̄x̄V̅MMMDCXXXIV</t>
        </is>
      </c>
      <c r="C28635">
        <f>ROMAN(28634)</f>
        <v/>
      </c>
      <c r="D28635">
        <f>IF(B28635=C28635, "YES", "WRONG")</f>
        <v/>
      </c>
    </row>
    <row r="28636">
      <c r="A28636" t="n">
        <v>28635</v>
      </c>
      <c r="B28636" t="inlineStr">
        <is>
          <t>x̄x̄V̅MMMDCXXXV</t>
        </is>
      </c>
      <c r="C28636">
        <f>ROMAN(28635)</f>
        <v/>
      </c>
      <c r="D28636">
        <f>IF(B28636=C28636, "YES", "WRONG")</f>
        <v/>
      </c>
    </row>
    <row r="28637">
      <c r="A28637" t="n">
        <v>28636</v>
      </c>
      <c r="B28637" t="inlineStr">
        <is>
          <t>x̄x̄V̅MMMDCXXXVI</t>
        </is>
      </c>
      <c r="C28637">
        <f>ROMAN(28636)</f>
        <v/>
      </c>
      <c r="D28637">
        <f>IF(B28637=C28637, "YES", "WRONG")</f>
        <v/>
      </c>
    </row>
    <row r="28638">
      <c r="A28638" t="n">
        <v>28637</v>
      </c>
      <c r="B28638" t="inlineStr">
        <is>
          <t>x̄x̄V̅MMMDCXXXVII</t>
        </is>
      </c>
      <c r="C28638">
        <f>ROMAN(28637)</f>
        <v/>
      </c>
      <c r="D28638">
        <f>IF(B28638=C28638, "YES", "WRONG")</f>
        <v/>
      </c>
    </row>
    <row r="28639">
      <c r="A28639" t="n">
        <v>28638</v>
      </c>
      <c r="B28639" t="inlineStr">
        <is>
          <t>x̄x̄V̅MMMDCXXXVIII</t>
        </is>
      </c>
      <c r="C28639">
        <f>ROMAN(28638)</f>
        <v/>
      </c>
      <c r="D28639">
        <f>IF(B28639=C28639, "YES", "WRONG")</f>
        <v/>
      </c>
    </row>
    <row r="28640">
      <c r="A28640" t="n">
        <v>28639</v>
      </c>
      <c r="B28640" t="inlineStr">
        <is>
          <t>x̄x̄V̅MMMDCXXXIX</t>
        </is>
      </c>
      <c r="C28640">
        <f>ROMAN(28639)</f>
        <v/>
      </c>
      <c r="D28640">
        <f>IF(B28640=C28640, "YES", "WRONG")</f>
        <v/>
      </c>
    </row>
    <row r="28641">
      <c r="A28641" t="n">
        <v>28640</v>
      </c>
      <c r="B28641" t="inlineStr">
        <is>
          <t>x̄x̄V̅MMMDCXL</t>
        </is>
      </c>
      <c r="C28641">
        <f>ROMAN(28640)</f>
        <v/>
      </c>
      <c r="D28641">
        <f>IF(B28641=C28641, "YES", "WRONG")</f>
        <v/>
      </c>
    </row>
    <row r="28642">
      <c r="A28642" t="n">
        <v>28641</v>
      </c>
      <c r="B28642" t="inlineStr">
        <is>
          <t>x̄x̄V̅MMMDCXLI</t>
        </is>
      </c>
      <c r="C28642">
        <f>ROMAN(28641)</f>
        <v/>
      </c>
      <c r="D28642">
        <f>IF(B28642=C28642, "YES", "WRONG")</f>
        <v/>
      </c>
    </row>
    <row r="28643">
      <c r="A28643" t="n">
        <v>28642</v>
      </c>
      <c r="B28643" t="inlineStr">
        <is>
          <t>x̄x̄V̅MMMDCXLII</t>
        </is>
      </c>
      <c r="C28643">
        <f>ROMAN(28642)</f>
        <v/>
      </c>
      <c r="D28643">
        <f>IF(B28643=C28643, "YES", "WRONG")</f>
        <v/>
      </c>
    </row>
    <row r="28644">
      <c r="A28644" t="n">
        <v>28643</v>
      </c>
      <c r="B28644" t="inlineStr">
        <is>
          <t>x̄x̄V̅MMMDCXLIII</t>
        </is>
      </c>
      <c r="C28644">
        <f>ROMAN(28643)</f>
        <v/>
      </c>
      <c r="D28644">
        <f>IF(B28644=C28644, "YES", "WRONG")</f>
        <v/>
      </c>
    </row>
    <row r="28645">
      <c r="A28645" t="n">
        <v>28644</v>
      </c>
      <c r="B28645" t="inlineStr">
        <is>
          <t>x̄x̄V̅MMMDCXLIV</t>
        </is>
      </c>
      <c r="C28645">
        <f>ROMAN(28644)</f>
        <v/>
      </c>
      <c r="D28645">
        <f>IF(B28645=C28645, "YES", "WRONG")</f>
        <v/>
      </c>
    </row>
    <row r="28646">
      <c r="A28646" t="n">
        <v>28645</v>
      </c>
      <c r="B28646" t="inlineStr">
        <is>
          <t>x̄x̄V̅MMMDCXLV</t>
        </is>
      </c>
      <c r="C28646">
        <f>ROMAN(28645)</f>
        <v/>
      </c>
      <c r="D28646">
        <f>IF(B28646=C28646, "YES", "WRONG")</f>
        <v/>
      </c>
    </row>
    <row r="28647">
      <c r="A28647" t="n">
        <v>28646</v>
      </c>
      <c r="B28647" t="inlineStr">
        <is>
          <t>x̄x̄V̅MMMDCXLVI</t>
        </is>
      </c>
      <c r="C28647">
        <f>ROMAN(28646)</f>
        <v/>
      </c>
      <c r="D28647">
        <f>IF(B28647=C28647, "YES", "WRONG")</f>
        <v/>
      </c>
    </row>
    <row r="28648">
      <c r="A28648" t="n">
        <v>28647</v>
      </c>
      <c r="B28648" t="inlineStr">
        <is>
          <t>x̄x̄V̅MMMDCXLVII</t>
        </is>
      </c>
      <c r="C28648">
        <f>ROMAN(28647)</f>
        <v/>
      </c>
      <c r="D28648">
        <f>IF(B28648=C28648, "YES", "WRONG")</f>
        <v/>
      </c>
    </row>
    <row r="28649">
      <c r="A28649" t="n">
        <v>28648</v>
      </c>
      <c r="B28649" t="inlineStr">
        <is>
          <t>x̄x̄V̅MMMDCXLVIII</t>
        </is>
      </c>
      <c r="C28649">
        <f>ROMAN(28648)</f>
        <v/>
      </c>
      <c r="D28649">
        <f>IF(B28649=C28649, "YES", "WRONG")</f>
        <v/>
      </c>
    </row>
    <row r="28650">
      <c r="A28650" t="n">
        <v>28649</v>
      </c>
      <c r="B28650" t="inlineStr">
        <is>
          <t>x̄x̄V̅MMMDCXLIX</t>
        </is>
      </c>
      <c r="C28650">
        <f>ROMAN(28649)</f>
        <v/>
      </c>
      <c r="D28650">
        <f>IF(B28650=C28650, "YES", "WRONG")</f>
        <v/>
      </c>
    </row>
    <row r="28651">
      <c r="A28651" t="n">
        <v>28650</v>
      </c>
      <c r="B28651" t="inlineStr">
        <is>
          <t>x̄x̄V̅MMMDCL</t>
        </is>
      </c>
      <c r="C28651">
        <f>ROMAN(28650)</f>
        <v/>
      </c>
      <c r="D28651">
        <f>IF(B28651=C28651, "YES", "WRONG")</f>
        <v/>
      </c>
    </row>
    <row r="28652">
      <c r="A28652" t="n">
        <v>28651</v>
      </c>
      <c r="B28652" t="inlineStr">
        <is>
          <t>x̄x̄V̅MMMDCLI</t>
        </is>
      </c>
      <c r="C28652">
        <f>ROMAN(28651)</f>
        <v/>
      </c>
      <c r="D28652">
        <f>IF(B28652=C28652, "YES", "WRONG")</f>
        <v/>
      </c>
    </row>
    <row r="28653">
      <c r="A28653" t="n">
        <v>28652</v>
      </c>
      <c r="B28653" t="inlineStr">
        <is>
          <t>x̄x̄V̅MMMDCLII</t>
        </is>
      </c>
      <c r="C28653">
        <f>ROMAN(28652)</f>
        <v/>
      </c>
      <c r="D28653">
        <f>IF(B28653=C28653, "YES", "WRONG")</f>
        <v/>
      </c>
    </row>
    <row r="28654">
      <c r="A28654" t="n">
        <v>28653</v>
      </c>
      <c r="B28654" t="inlineStr">
        <is>
          <t>x̄x̄V̅MMMDCLIII</t>
        </is>
      </c>
      <c r="C28654">
        <f>ROMAN(28653)</f>
        <v/>
      </c>
      <c r="D28654">
        <f>IF(B28654=C28654, "YES", "WRONG")</f>
        <v/>
      </c>
    </row>
    <row r="28655">
      <c r="A28655" t="n">
        <v>28654</v>
      </c>
      <c r="B28655" t="inlineStr">
        <is>
          <t>x̄x̄V̅MMMDCLIV</t>
        </is>
      </c>
      <c r="C28655">
        <f>ROMAN(28654)</f>
        <v/>
      </c>
      <c r="D28655">
        <f>IF(B28655=C28655, "YES", "WRONG")</f>
        <v/>
      </c>
    </row>
    <row r="28656">
      <c r="A28656" t="n">
        <v>28655</v>
      </c>
      <c r="B28656" t="inlineStr">
        <is>
          <t>x̄x̄V̅MMMDCLV</t>
        </is>
      </c>
      <c r="C28656">
        <f>ROMAN(28655)</f>
        <v/>
      </c>
      <c r="D28656">
        <f>IF(B28656=C28656, "YES", "WRONG")</f>
        <v/>
      </c>
    </row>
    <row r="28657">
      <c r="A28657" t="n">
        <v>28656</v>
      </c>
      <c r="B28657" t="inlineStr">
        <is>
          <t>x̄x̄V̅MMMDCLVI</t>
        </is>
      </c>
      <c r="C28657">
        <f>ROMAN(28656)</f>
        <v/>
      </c>
      <c r="D28657">
        <f>IF(B28657=C28657, "YES", "WRONG")</f>
        <v/>
      </c>
    </row>
    <row r="28658">
      <c r="A28658" t="n">
        <v>28657</v>
      </c>
      <c r="B28658" t="inlineStr">
        <is>
          <t>x̄x̄V̅MMMDCLVII</t>
        </is>
      </c>
      <c r="C28658">
        <f>ROMAN(28657)</f>
        <v/>
      </c>
      <c r="D28658">
        <f>IF(B28658=C28658, "YES", "WRONG")</f>
        <v/>
      </c>
    </row>
    <row r="28659">
      <c r="A28659" t="n">
        <v>28658</v>
      </c>
      <c r="B28659" t="inlineStr">
        <is>
          <t>x̄x̄V̅MMMDCLVIII</t>
        </is>
      </c>
      <c r="C28659">
        <f>ROMAN(28658)</f>
        <v/>
      </c>
      <c r="D28659">
        <f>IF(B28659=C28659, "YES", "WRONG")</f>
        <v/>
      </c>
    </row>
    <row r="28660">
      <c r="A28660" t="n">
        <v>28659</v>
      </c>
      <c r="B28660" t="inlineStr">
        <is>
          <t>x̄x̄V̅MMMDCLIX</t>
        </is>
      </c>
      <c r="C28660">
        <f>ROMAN(28659)</f>
        <v/>
      </c>
      <c r="D28660">
        <f>IF(B28660=C28660, "YES", "WRONG")</f>
        <v/>
      </c>
    </row>
    <row r="28661">
      <c r="A28661" t="n">
        <v>28660</v>
      </c>
      <c r="B28661" t="inlineStr">
        <is>
          <t>x̄x̄V̅MMMDCLX</t>
        </is>
      </c>
      <c r="C28661">
        <f>ROMAN(28660)</f>
        <v/>
      </c>
      <c r="D28661">
        <f>IF(B28661=C28661, "YES", "WRONG")</f>
        <v/>
      </c>
    </row>
    <row r="28662">
      <c r="A28662" t="n">
        <v>28661</v>
      </c>
      <c r="B28662" t="inlineStr">
        <is>
          <t>x̄x̄V̅MMMDCLXI</t>
        </is>
      </c>
      <c r="C28662">
        <f>ROMAN(28661)</f>
        <v/>
      </c>
      <c r="D28662">
        <f>IF(B28662=C28662, "YES", "WRONG")</f>
        <v/>
      </c>
    </row>
    <row r="28663">
      <c r="A28663" t="n">
        <v>28662</v>
      </c>
      <c r="B28663" t="inlineStr">
        <is>
          <t>x̄x̄V̅MMMDCLXII</t>
        </is>
      </c>
      <c r="C28663">
        <f>ROMAN(28662)</f>
        <v/>
      </c>
      <c r="D28663">
        <f>IF(B28663=C28663, "YES", "WRONG")</f>
        <v/>
      </c>
    </row>
    <row r="28664">
      <c r="A28664" t="n">
        <v>28663</v>
      </c>
      <c r="B28664" t="inlineStr">
        <is>
          <t>x̄x̄V̅MMMDCLXIII</t>
        </is>
      </c>
      <c r="C28664">
        <f>ROMAN(28663)</f>
        <v/>
      </c>
      <c r="D28664">
        <f>IF(B28664=C28664, "YES", "WRONG")</f>
        <v/>
      </c>
    </row>
    <row r="28665">
      <c r="A28665" t="n">
        <v>28664</v>
      </c>
      <c r="B28665" t="inlineStr">
        <is>
          <t>x̄x̄V̅MMMDCLXIV</t>
        </is>
      </c>
      <c r="C28665">
        <f>ROMAN(28664)</f>
        <v/>
      </c>
      <c r="D28665">
        <f>IF(B28665=C28665, "YES", "WRONG")</f>
        <v/>
      </c>
    </row>
    <row r="28666">
      <c r="A28666" t="n">
        <v>28665</v>
      </c>
      <c r="B28666" t="inlineStr">
        <is>
          <t>x̄x̄V̅MMMDCLXV</t>
        </is>
      </c>
      <c r="C28666">
        <f>ROMAN(28665)</f>
        <v/>
      </c>
      <c r="D28666">
        <f>IF(B28666=C28666, "YES", "WRONG")</f>
        <v/>
      </c>
    </row>
    <row r="28667">
      <c r="A28667" t="n">
        <v>28666</v>
      </c>
      <c r="B28667" t="inlineStr">
        <is>
          <t>x̄x̄V̅MMMDCLXVI</t>
        </is>
      </c>
      <c r="C28667">
        <f>ROMAN(28666)</f>
        <v/>
      </c>
      <c r="D28667">
        <f>IF(B28667=C28667, "YES", "WRONG")</f>
        <v/>
      </c>
    </row>
    <row r="28668">
      <c r="A28668" t="n">
        <v>28667</v>
      </c>
      <c r="B28668" t="inlineStr">
        <is>
          <t>x̄x̄V̅MMMDCLXVII</t>
        </is>
      </c>
      <c r="C28668">
        <f>ROMAN(28667)</f>
        <v/>
      </c>
      <c r="D28668">
        <f>IF(B28668=C28668, "YES", "WRONG")</f>
        <v/>
      </c>
    </row>
    <row r="28669">
      <c r="A28669" t="n">
        <v>28668</v>
      </c>
      <c r="B28669" t="inlineStr">
        <is>
          <t>x̄x̄V̅MMMDCLXVIII</t>
        </is>
      </c>
      <c r="C28669">
        <f>ROMAN(28668)</f>
        <v/>
      </c>
      <c r="D28669">
        <f>IF(B28669=C28669, "YES", "WRONG")</f>
        <v/>
      </c>
    </row>
    <row r="28670">
      <c r="A28670" t="n">
        <v>28669</v>
      </c>
      <c r="B28670" t="inlineStr">
        <is>
          <t>x̄x̄V̅MMMDCLXIX</t>
        </is>
      </c>
      <c r="C28670">
        <f>ROMAN(28669)</f>
        <v/>
      </c>
      <c r="D28670">
        <f>IF(B28670=C28670, "YES", "WRONG")</f>
        <v/>
      </c>
    </row>
    <row r="28671">
      <c r="A28671" t="n">
        <v>28670</v>
      </c>
      <c r="B28671" t="inlineStr">
        <is>
          <t>x̄x̄V̅MMMDCLXX</t>
        </is>
      </c>
      <c r="C28671">
        <f>ROMAN(28670)</f>
        <v/>
      </c>
      <c r="D28671">
        <f>IF(B28671=C28671, "YES", "WRONG")</f>
        <v/>
      </c>
    </row>
    <row r="28672">
      <c r="A28672" t="n">
        <v>28671</v>
      </c>
      <c r="B28672" t="inlineStr">
        <is>
          <t>x̄x̄V̅MMMDCLXXI</t>
        </is>
      </c>
      <c r="C28672">
        <f>ROMAN(28671)</f>
        <v/>
      </c>
      <c r="D28672">
        <f>IF(B28672=C28672, "YES", "WRONG")</f>
        <v/>
      </c>
    </row>
    <row r="28673">
      <c r="A28673" t="n">
        <v>28672</v>
      </c>
      <c r="B28673" t="inlineStr">
        <is>
          <t>x̄x̄V̅MMMDCLXXII</t>
        </is>
      </c>
      <c r="C28673">
        <f>ROMAN(28672)</f>
        <v/>
      </c>
      <c r="D28673">
        <f>IF(B28673=C28673, "YES", "WRONG")</f>
        <v/>
      </c>
    </row>
    <row r="28674">
      <c r="A28674" t="n">
        <v>28673</v>
      </c>
      <c r="B28674" t="inlineStr">
        <is>
          <t>x̄x̄V̅MMMDCLXXIII</t>
        </is>
      </c>
      <c r="C28674">
        <f>ROMAN(28673)</f>
        <v/>
      </c>
      <c r="D28674">
        <f>IF(B28674=C28674, "YES", "WRONG")</f>
        <v/>
      </c>
    </row>
    <row r="28675">
      <c r="A28675" t="n">
        <v>28674</v>
      </c>
      <c r="B28675" t="inlineStr">
        <is>
          <t>x̄x̄V̅MMMDCLXXIV</t>
        </is>
      </c>
      <c r="C28675">
        <f>ROMAN(28674)</f>
        <v/>
      </c>
      <c r="D28675">
        <f>IF(B28675=C28675, "YES", "WRONG")</f>
        <v/>
      </c>
    </row>
    <row r="28676">
      <c r="A28676" t="n">
        <v>28675</v>
      </c>
      <c r="B28676" t="inlineStr">
        <is>
          <t>x̄x̄V̅MMMDCLXXV</t>
        </is>
      </c>
      <c r="C28676">
        <f>ROMAN(28675)</f>
        <v/>
      </c>
      <c r="D28676">
        <f>IF(B28676=C28676, "YES", "WRONG")</f>
        <v/>
      </c>
    </row>
    <row r="28677">
      <c r="A28677" t="n">
        <v>28676</v>
      </c>
      <c r="B28677" t="inlineStr">
        <is>
          <t>x̄x̄V̅MMMDCLXXVI</t>
        </is>
      </c>
      <c r="C28677">
        <f>ROMAN(28676)</f>
        <v/>
      </c>
      <c r="D28677">
        <f>IF(B28677=C28677, "YES", "WRONG")</f>
        <v/>
      </c>
    </row>
    <row r="28678">
      <c r="A28678" t="n">
        <v>28677</v>
      </c>
      <c r="B28678" t="inlineStr">
        <is>
          <t>x̄x̄V̅MMMDCLXXVII</t>
        </is>
      </c>
      <c r="C28678">
        <f>ROMAN(28677)</f>
        <v/>
      </c>
      <c r="D28678">
        <f>IF(B28678=C28678, "YES", "WRONG")</f>
        <v/>
      </c>
    </row>
    <row r="28679">
      <c r="A28679" t="n">
        <v>28678</v>
      </c>
      <c r="B28679" t="inlineStr">
        <is>
          <t>x̄x̄V̅MMMDCLXXVIII</t>
        </is>
      </c>
      <c r="C28679">
        <f>ROMAN(28678)</f>
        <v/>
      </c>
      <c r="D28679">
        <f>IF(B28679=C28679, "YES", "WRONG")</f>
        <v/>
      </c>
    </row>
    <row r="28680">
      <c r="A28680" t="n">
        <v>28679</v>
      </c>
      <c r="B28680" t="inlineStr">
        <is>
          <t>x̄x̄V̅MMMDCLXXIX</t>
        </is>
      </c>
      <c r="C28680">
        <f>ROMAN(28679)</f>
        <v/>
      </c>
      <c r="D28680">
        <f>IF(B28680=C28680, "YES", "WRONG")</f>
        <v/>
      </c>
    </row>
    <row r="28681">
      <c r="A28681" t="n">
        <v>28680</v>
      </c>
      <c r="B28681" t="inlineStr">
        <is>
          <t>x̄x̄V̅MMMDCLXXX</t>
        </is>
      </c>
      <c r="C28681">
        <f>ROMAN(28680)</f>
        <v/>
      </c>
      <c r="D28681">
        <f>IF(B28681=C28681, "YES", "WRONG")</f>
        <v/>
      </c>
    </row>
    <row r="28682">
      <c r="A28682" t="n">
        <v>28681</v>
      </c>
      <c r="B28682" t="inlineStr">
        <is>
          <t>x̄x̄V̅MMMDCLXXXI</t>
        </is>
      </c>
      <c r="C28682">
        <f>ROMAN(28681)</f>
        <v/>
      </c>
      <c r="D28682">
        <f>IF(B28682=C28682, "YES", "WRONG")</f>
        <v/>
      </c>
    </row>
    <row r="28683">
      <c r="A28683" t="n">
        <v>28682</v>
      </c>
      <c r="B28683" t="inlineStr">
        <is>
          <t>x̄x̄V̅MMMDCLXXXII</t>
        </is>
      </c>
      <c r="C28683">
        <f>ROMAN(28682)</f>
        <v/>
      </c>
      <c r="D28683">
        <f>IF(B28683=C28683, "YES", "WRONG")</f>
        <v/>
      </c>
    </row>
    <row r="28684">
      <c r="A28684" t="n">
        <v>28683</v>
      </c>
      <c r="B28684" t="inlineStr">
        <is>
          <t>x̄x̄V̅MMMDCLXXXIII</t>
        </is>
      </c>
      <c r="C28684">
        <f>ROMAN(28683)</f>
        <v/>
      </c>
      <c r="D28684">
        <f>IF(B28684=C28684, "YES", "WRONG")</f>
        <v/>
      </c>
    </row>
    <row r="28685">
      <c r="A28685" t="n">
        <v>28684</v>
      </c>
      <c r="B28685" t="inlineStr">
        <is>
          <t>x̄x̄V̅MMMDCLXXXIV</t>
        </is>
      </c>
      <c r="C28685">
        <f>ROMAN(28684)</f>
        <v/>
      </c>
      <c r="D28685">
        <f>IF(B28685=C28685, "YES", "WRONG")</f>
        <v/>
      </c>
    </row>
    <row r="28686">
      <c r="A28686" t="n">
        <v>28685</v>
      </c>
      <c r="B28686" t="inlineStr">
        <is>
          <t>x̄x̄V̅MMMDCLXXXV</t>
        </is>
      </c>
      <c r="C28686">
        <f>ROMAN(28685)</f>
        <v/>
      </c>
      <c r="D28686">
        <f>IF(B28686=C28686, "YES", "WRONG")</f>
        <v/>
      </c>
    </row>
    <row r="28687">
      <c r="A28687" t="n">
        <v>28686</v>
      </c>
      <c r="B28687" t="inlineStr">
        <is>
          <t>x̄x̄V̅MMMDCLXXXVI</t>
        </is>
      </c>
      <c r="C28687">
        <f>ROMAN(28686)</f>
        <v/>
      </c>
      <c r="D28687">
        <f>IF(B28687=C28687, "YES", "WRONG")</f>
        <v/>
      </c>
    </row>
    <row r="28688">
      <c r="A28688" t="n">
        <v>28687</v>
      </c>
      <c r="B28688" t="inlineStr">
        <is>
          <t>x̄x̄V̅MMMDCLXXXVII</t>
        </is>
      </c>
      <c r="C28688">
        <f>ROMAN(28687)</f>
        <v/>
      </c>
      <c r="D28688">
        <f>IF(B28688=C28688, "YES", "WRONG")</f>
        <v/>
      </c>
    </row>
    <row r="28689">
      <c r="A28689" t="n">
        <v>28688</v>
      </c>
      <c r="B28689" t="inlineStr">
        <is>
          <t>x̄x̄V̅MMMDCLXXXVIII</t>
        </is>
      </c>
      <c r="C28689">
        <f>ROMAN(28688)</f>
        <v/>
      </c>
      <c r="D28689">
        <f>IF(B28689=C28689, "YES", "WRONG")</f>
        <v/>
      </c>
    </row>
    <row r="28690">
      <c r="A28690" t="n">
        <v>28689</v>
      </c>
      <c r="B28690" t="inlineStr">
        <is>
          <t>x̄x̄V̅MMMDCLXXXIX</t>
        </is>
      </c>
      <c r="C28690">
        <f>ROMAN(28689)</f>
        <v/>
      </c>
      <c r="D28690">
        <f>IF(B28690=C28690, "YES", "WRONG")</f>
        <v/>
      </c>
    </row>
    <row r="28691">
      <c r="A28691" t="n">
        <v>28690</v>
      </c>
      <c r="B28691" t="inlineStr">
        <is>
          <t>x̄x̄V̅MMMDCXC</t>
        </is>
      </c>
      <c r="C28691">
        <f>ROMAN(28690)</f>
        <v/>
      </c>
      <c r="D28691">
        <f>IF(B28691=C28691, "YES", "WRONG")</f>
        <v/>
      </c>
    </row>
    <row r="28692">
      <c r="A28692" t="n">
        <v>28691</v>
      </c>
      <c r="B28692" t="inlineStr">
        <is>
          <t>x̄x̄V̅MMMDCXCI</t>
        </is>
      </c>
      <c r="C28692">
        <f>ROMAN(28691)</f>
        <v/>
      </c>
      <c r="D28692">
        <f>IF(B28692=C28692, "YES", "WRONG")</f>
        <v/>
      </c>
    </row>
    <row r="28693">
      <c r="A28693" t="n">
        <v>28692</v>
      </c>
      <c r="B28693" t="inlineStr">
        <is>
          <t>x̄x̄V̅MMMDCXCII</t>
        </is>
      </c>
      <c r="C28693">
        <f>ROMAN(28692)</f>
        <v/>
      </c>
      <c r="D28693">
        <f>IF(B28693=C28693, "YES", "WRONG")</f>
        <v/>
      </c>
    </row>
    <row r="28694">
      <c r="A28694" t="n">
        <v>28693</v>
      </c>
      <c r="B28694" t="inlineStr">
        <is>
          <t>x̄x̄V̅MMMDCXCIII</t>
        </is>
      </c>
      <c r="C28694">
        <f>ROMAN(28693)</f>
        <v/>
      </c>
      <c r="D28694">
        <f>IF(B28694=C28694, "YES", "WRONG")</f>
        <v/>
      </c>
    </row>
    <row r="28695">
      <c r="A28695" t="n">
        <v>28694</v>
      </c>
      <c r="B28695" t="inlineStr">
        <is>
          <t>x̄x̄V̅MMMDCXCIV</t>
        </is>
      </c>
      <c r="C28695">
        <f>ROMAN(28694)</f>
        <v/>
      </c>
      <c r="D28695">
        <f>IF(B28695=C28695, "YES", "WRONG")</f>
        <v/>
      </c>
    </row>
    <row r="28696">
      <c r="A28696" t="n">
        <v>28695</v>
      </c>
      <c r="B28696" t="inlineStr">
        <is>
          <t>x̄x̄V̅MMMDCXCV</t>
        </is>
      </c>
      <c r="C28696">
        <f>ROMAN(28695)</f>
        <v/>
      </c>
      <c r="D28696">
        <f>IF(B28696=C28696, "YES", "WRONG")</f>
        <v/>
      </c>
    </row>
    <row r="28697">
      <c r="A28697" t="n">
        <v>28696</v>
      </c>
      <c r="B28697" t="inlineStr">
        <is>
          <t>x̄x̄V̅MMMDCXCVI</t>
        </is>
      </c>
      <c r="C28697">
        <f>ROMAN(28696)</f>
        <v/>
      </c>
      <c r="D28697">
        <f>IF(B28697=C28697, "YES", "WRONG")</f>
        <v/>
      </c>
    </row>
    <row r="28698">
      <c r="A28698" t="n">
        <v>28697</v>
      </c>
      <c r="B28698" t="inlineStr">
        <is>
          <t>x̄x̄V̅MMMDCXCVII</t>
        </is>
      </c>
      <c r="C28698">
        <f>ROMAN(28697)</f>
        <v/>
      </c>
      <c r="D28698">
        <f>IF(B28698=C28698, "YES", "WRONG")</f>
        <v/>
      </c>
    </row>
    <row r="28699">
      <c r="A28699" t="n">
        <v>28698</v>
      </c>
      <c r="B28699" t="inlineStr">
        <is>
          <t>x̄x̄V̅MMMDCXCVIII</t>
        </is>
      </c>
      <c r="C28699">
        <f>ROMAN(28698)</f>
        <v/>
      </c>
      <c r="D28699">
        <f>IF(B28699=C28699, "YES", "WRONG")</f>
        <v/>
      </c>
    </row>
    <row r="28700">
      <c r="A28700" t="n">
        <v>28699</v>
      </c>
      <c r="B28700" t="inlineStr">
        <is>
          <t>x̄x̄V̅MMMDCXCIX</t>
        </is>
      </c>
      <c r="C28700">
        <f>ROMAN(28699)</f>
        <v/>
      </c>
      <c r="D28700">
        <f>IF(B28700=C28700, "YES", "WRONG")</f>
        <v/>
      </c>
    </row>
    <row r="28701">
      <c r="A28701" t="n">
        <v>28700</v>
      </c>
      <c r="B28701" t="inlineStr">
        <is>
          <t>x̄x̄V̅MMMDCC</t>
        </is>
      </c>
      <c r="C28701">
        <f>ROMAN(28700)</f>
        <v/>
      </c>
      <c r="D28701">
        <f>IF(B28701=C28701, "YES", "WRONG")</f>
        <v/>
      </c>
    </row>
    <row r="28702">
      <c r="A28702" t="n">
        <v>28701</v>
      </c>
      <c r="B28702" t="inlineStr">
        <is>
          <t>x̄x̄V̅MMMDCCI</t>
        </is>
      </c>
      <c r="C28702">
        <f>ROMAN(28701)</f>
        <v/>
      </c>
      <c r="D28702">
        <f>IF(B28702=C28702, "YES", "WRONG")</f>
        <v/>
      </c>
    </row>
    <row r="28703">
      <c r="A28703" t="n">
        <v>28702</v>
      </c>
      <c r="B28703" t="inlineStr">
        <is>
          <t>x̄x̄V̅MMMDCCII</t>
        </is>
      </c>
      <c r="C28703">
        <f>ROMAN(28702)</f>
        <v/>
      </c>
      <c r="D28703">
        <f>IF(B28703=C28703, "YES", "WRONG")</f>
        <v/>
      </c>
    </row>
    <row r="28704">
      <c r="A28704" t="n">
        <v>28703</v>
      </c>
      <c r="B28704" t="inlineStr">
        <is>
          <t>x̄x̄V̅MMMDCCIII</t>
        </is>
      </c>
      <c r="C28704">
        <f>ROMAN(28703)</f>
        <v/>
      </c>
      <c r="D28704">
        <f>IF(B28704=C28704, "YES", "WRONG")</f>
        <v/>
      </c>
    </row>
    <row r="28705">
      <c r="A28705" t="n">
        <v>28704</v>
      </c>
      <c r="B28705" t="inlineStr">
        <is>
          <t>x̄x̄V̅MMMDCCIV</t>
        </is>
      </c>
      <c r="C28705">
        <f>ROMAN(28704)</f>
        <v/>
      </c>
      <c r="D28705">
        <f>IF(B28705=C28705, "YES", "WRONG")</f>
        <v/>
      </c>
    </row>
    <row r="28706">
      <c r="A28706" t="n">
        <v>28705</v>
      </c>
      <c r="B28706" t="inlineStr">
        <is>
          <t>x̄x̄V̅MMMDCCV</t>
        </is>
      </c>
      <c r="C28706">
        <f>ROMAN(28705)</f>
        <v/>
      </c>
      <c r="D28706">
        <f>IF(B28706=C28706, "YES", "WRONG")</f>
        <v/>
      </c>
    </row>
    <row r="28707">
      <c r="A28707" t="n">
        <v>28706</v>
      </c>
      <c r="B28707" t="inlineStr">
        <is>
          <t>x̄x̄V̅MMMDCCVI</t>
        </is>
      </c>
      <c r="C28707">
        <f>ROMAN(28706)</f>
        <v/>
      </c>
      <c r="D28707">
        <f>IF(B28707=C28707, "YES", "WRONG")</f>
        <v/>
      </c>
    </row>
    <row r="28708">
      <c r="A28708" t="n">
        <v>28707</v>
      </c>
      <c r="B28708" t="inlineStr">
        <is>
          <t>x̄x̄V̅MMMDCCVII</t>
        </is>
      </c>
      <c r="C28708">
        <f>ROMAN(28707)</f>
        <v/>
      </c>
      <c r="D28708">
        <f>IF(B28708=C28708, "YES", "WRONG")</f>
        <v/>
      </c>
    </row>
    <row r="28709">
      <c r="A28709" t="n">
        <v>28708</v>
      </c>
      <c r="B28709" t="inlineStr">
        <is>
          <t>x̄x̄V̅MMMDCCVIII</t>
        </is>
      </c>
      <c r="C28709">
        <f>ROMAN(28708)</f>
        <v/>
      </c>
      <c r="D28709">
        <f>IF(B28709=C28709, "YES", "WRONG")</f>
        <v/>
      </c>
    </row>
    <row r="28710">
      <c r="A28710" t="n">
        <v>28709</v>
      </c>
      <c r="B28710" t="inlineStr">
        <is>
          <t>x̄x̄V̅MMMDCCIX</t>
        </is>
      </c>
      <c r="C28710">
        <f>ROMAN(28709)</f>
        <v/>
      </c>
      <c r="D28710">
        <f>IF(B28710=C28710, "YES", "WRONG")</f>
        <v/>
      </c>
    </row>
    <row r="28711">
      <c r="A28711" t="n">
        <v>28710</v>
      </c>
      <c r="B28711" t="inlineStr">
        <is>
          <t>x̄x̄V̅MMMDCCX</t>
        </is>
      </c>
      <c r="C28711">
        <f>ROMAN(28710)</f>
        <v/>
      </c>
      <c r="D28711">
        <f>IF(B28711=C28711, "YES", "WRONG")</f>
        <v/>
      </c>
    </row>
    <row r="28712">
      <c r="A28712" t="n">
        <v>28711</v>
      </c>
      <c r="B28712" t="inlineStr">
        <is>
          <t>x̄x̄V̅MMMDCCXI</t>
        </is>
      </c>
      <c r="C28712">
        <f>ROMAN(28711)</f>
        <v/>
      </c>
      <c r="D28712">
        <f>IF(B28712=C28712, "YES", "WRONG")</f>
        <v/>
      </c>
    </row>
    <row r="28713">
      <c r="A28713" t="n">
        <v>28712</v>
      </c>
      <c r="B28713" t="inlineStr">
        <is>
          <t>x̄x̄V̅MMMDCCXII</t>
        </is>
      </c>
      <c r="C28713">
        <f>ROMAN(28712)</f>
        <v/>
      </c>
      <c r="D28713">
        <f>IF(B28713=C28713, "YES", "WRONG")</f>
        <v/>
      </c>
    </row>
    <row r="28714">
      <c r="A28714" t="n">
        <v>28713</v>
      </c>
      <c r="B28714" t="inlineStr">
        <is>
          <t>x̄x̄V̅MMMDCCXIII</t>
        </is>
      </c>
      <c r="C28714">
        <f>ROMAN(28713)</f>
        <v/>
      </c>
      <c r="D28714">
        <f>IF(B28714=C28714, "YES", "WRONG")</f>
        <v/>
      </c>
    </row>
    <row r="28715">
      <c r="A28715" t="n">
        <v>28714</v>
      </c>
      <c r="B28715" t="inlineStr">
        <is>
          <t>x̄x̄V̅MMMDCCXIV</t>
        </is>
      </c>
      <c r="C28715">
        <f>ROMAN(28714)</f>
        <v/>
      </c>
      <c r="D28715">
        <f>IF(B28715=C28715, "YES", "WRONG")</f>
        <v/>
      </c>
    </row>
    <row r="28716">
      <c r="A28716" t="n">
        <v>28715</v>
      </c>
      <c r="B28716" t="inlineStr">
        <is>
          <t>x̄x̄V̅MMMDCCXV</t>
        </is>
      </c>
      <c r="C28716">
        <f>ROMAN(28715)</f>
        <v/>
      </c>
      <c r="D28716">
        <f>IF(B28716=C28716, "YES", "WRONG")</f>
        <v/>
      </c>
    </row>
    <row r="28717">
      <c r="A28717" t="n">
        <v>28716</v>
      </c>
      <c r="B28717" t="inlineStr">
        <is>
          <t>x̄x̄V̅MMMDCCXVI</t>
        </is>
      </c>
      <c r="C28717">
        <f>ROMAN(28716)</f>
        <v/>
      </c>
      <c r="D28717">
        <f>IF(B28717=C28717, "YES", "WRONG")</f>
        <v/>
      </c>
    </row>
    <row r="28718">
      <c r="A28718" t="n">
        <v>28717</v>
      </c>
      <c r="B28718" t="inlineStr">
        <is>
          <t>x̄x̄V̅MMMDCCXVII</t>
        </is>
      </c>
      <c r="C28718">
        <f>ROMAN(28717)</f>
        <v/>
      </c>
      <c r="D28718">
        <f>IF(B28718=C28718, "YES", "WRONG")</f>
        <v/>
      </c>
    </row>
    <row r="28719">
      <c r="A28719" t="n">
        <v>28718</v>
      </c>
      <c r="B28719" t="inlineStr">
        <is>
          <t>x̄x̄V̅MMMDCCXVIII</t>
        </is>
      </c>
      <c r="C28719">
        <f>ROMAN(28718)</f>
        <v/>
      </c>
      <c r="D28719">
        <f>IF(B28719=C28719, "YES", "WRONG")</f>
        <v/>
      </c>
    </row>
    <row r="28720">
      <c r="A28720" t="n">
        <v>28719</v>
      </c>
      <c r="B28720" t="inlineStr">
        <is>
          <t>x̄x̄V̅MMMDCCXIX</t>
        </is>
      </c>
      <c r="C28720">
        <f>ROMAN(28719)</f>
        <v/>
      </c>
      <c r="D28720">
        <f>IF(B28720=C28720, "YES", "WRONG")</f>
        <v/>
      </c>
    </row>
    <row r="28721">
      <c r="A28721" t="n">
        <v>28720</v>
      </c>
      <c r="B28721" t="inlineStr">
        <is>
          <t>x̄x̄V̅MMMDCCXX</t>
        </is>
      </c>
      <c r="C28721">
        <f>ROMAN(28720)</f>
        <v/>
      </c>
      <c r="D28721">
        <f>IF(B28721=C28721, "YES", "WRONG")</f>
        <v/>
      </c>
    </row>
    <row r="28722">
      <c r="A28722" t="n">
        <v>28721</v>
      </c>
      <c r="B28722" t="inlineStr">
        <is>
          <t>x̄x̄V̅MMMDCCXXI</t>
        </is>
      </c>
      <c r="C28722">
        <f>ROMAN(28721)</f>
        <v/>
      </c>
      <c r="D28722">
        <f>IF(B28722=C28722, "YES", "WRONG")</f>
        <v/>
      </c>
    </row>
    <row r="28723">
      <c r="A28723" t="n">
        <v>28722</v>
      </c>
      <c r="B28723" t="inlineStr">
        <is>
          <t>x̄x̄V̅MMMDCCXXII</t>
        </is>
      </c>
      <c r="C28723">
        <f>ROMAN(28722)</f>
        <v/>
      </c>
      <c r="D28723">
        <f>IF(B28723=C28723, "YES", "WRONG")</f>
        <v/>
      </c>
    </row>
    <row r="28724">
      <c r="A28724" t="n">
        <v>28723</v>
      </c>
      <c r="B28724" t="inlineStr">
        <is>
          <t>x̄x̄V̅MMMDCCXXIII</t>
        </is>
      </c>
      <c r="C28724">
        <f>ROMAN(28723)</f>
        <v/>
      </c>
      <c r="D28724">
        <f>IF(B28724=C28724, "YES", "WRONG")</f>
        <v/>
      </c>
    </row>
    <row r="28725">
      <c r="A28725" t="n">
        <v>28724</v>
      </c>
      <c r="B28725" t="inlineStr">
        <is>
          <t>x̄x̄V̅MMMDCCXXIV</t>
        </is>
      </c>
      <c r="C28725">
        <f>ROMAN(28724)</f>
        <v/>
      </c>
      <c r="D28725">
        <f>IF(B28725=C28725, "YES", "WRONG")</f>
        <v/>
      </c>
    </row>
    <row r="28726">
      <c r="A28726" t="n">
        <v>28725</v>
      </c>
      <c r="B28726" t="inlineStr">
        <is>
          <t>x̄x̄V̅MMMDCCXXV</t>
        </is>
      </c>
      <c r="C28726">
        <f>ROMAN(28725)</f>
        <v/>
      </c>
      <c r="D28726">
        <f>IF(B28726=C28726, "YES", "WRONG")</f>
        <v/>
      </c>
    </row>
    <row r="28727">
      <c r="A28727" t="n">
        <v>28726</v>
      </c>
      <c r="B28727" t="inlineStr">
        <is>
          <t>x̄x̄V̅MMMDCCXXVI</t>
        </is>
      </c>
      <c r="C28727">
        <f>ROMAN(28726)</f>
        <v/>
      </c>
      <c r="D28727">
        <f>IF(B28727=C28727, "YES", "WRONG")</f>
        <v/>
      </c>
    </row>
    <row r="28728">
      <c r="A28728" t="n">
        <v>28727</v>
      </c>
      <c r="B28728" t="inlineStr">
        <is>
          <t>x̄x̄V̅MMMDCCXXVII</t>
        </is>
      </c>
      <c r="C28728">
        <f>ROMAN(28727)</f>
        <v/>
      </c>
      <c r="D28728">
        <f>IF(B28728=C28728, "YES", "WRONG")</f>
        <v/>
      </c>
    </row>
    <row r="28729">
      <c r="A28729" t="n">
        <v>28728</v>
      </c>
      <c r="B28729" t="inlineStr">
        <is>
          <t>x̄x̄V̅MMMDCCXXVIII</t>
        </is>
      </c>
      <c r="C28729">
        <f>ROMAN(28728)</f>
        <v/>
      </c>
      <c r="D28729">
        <f>IF(B28729=C28729, "YES", "WRONG")</f>
        <v/>
      </c>
    </row>
    <row r="28730">
      <c r="A28730" t="n">
        <v>28729</v>
      </c>
      <c r="B28730" t="inlineStr">
        <is>
          <t>x̄x̄V̅MMMDCCXXIX</t>
        </is>
      </c>
      <c r="C28730">
        <f>ROMAN(28729)</f>
        <v/>
      </c>
      <c r="D28730">
        <f>IF(B28730=C28730, "YES", "WRONG")</f>
        <v/>
      </c>
    </row>
    <row r="28731">
      <c r="A28731" t="n">
        <v>28730</v>
      </c>
      <c r="B28731" t="inlineStr">
        <is>
          <t>x̄x̄V̅MMMDCCXXX</t>
        </is>
      </c>
      <c r="C28731">
        <f>ROMAN(28730)</f>
        <v/>
      </c>
      <c r="D28731">
        <f>IF(B28731=C28731, "YES", "WRONG")</f>
        <v/>
      </c>
    </row>
    <row r="28732">
      <c r="A28732" t="n">
        <v>28731</v>
      </c>
      <c r="B28732" t="inlineStr">
        <is>
          <t>x̄x̄V̅MMMDCCXXXI</t>
        </is>
      </c>
      <c r="C28732">
        <f>ROMAN(28731)</f>
        <v/>
      </c>
      <c r="D28732">
        <f>IF(B28732=C28732, "YES", "WRONG")</f>
        <v/>
      </c>
    </row>
    <row r="28733">
      <c r="A28733" t="n">
        <v>28732</v>
      </c>
      <c r="B28733" t="inlineStr">
        <is>
          <t>x̄x̄V̅MMMDCCXXXII</t>
        </is>
      </c>
      <c r="C28733">
        <f>ROMAN(28732)</f>
        <v/>
      </c>
      <c r="D28733">
        <f>IF(B28733=C28733, "YES", "WRONG")</f>
        <v/>
      </c>
    </row>
    <row r="28734">
      <c r="A28734" t="n">
        <v>28733</v>
      </c>
      <c r="B28734" t="inlineStr">
        <is>
          <t>x̄x̄V̅MMMDCCXXXIII</t>
        </is>
      </c>
      <c r="C28734">
        <f>ROMAN(28733)</f>
        <v/>
      </c>
      <c r="D28734">
        <f>IF(B28734=C28734, "YES", "WRONG")</f>
        <v/>
      </c>
    </row>
    <row r="28735">
      <c r="A28735" t="n">
        <v>28734</v>
      </c>
      <c r="B28735" t="inlineStr">
        <is>
          <t>x̄x̄V̅MMMDCCXXXIV</t>
        </is>
      </c>
      <c r="C28735">
        <f>ROMAN(28734)</f>
        <v/>
      </c>
      <c r="D28735">
        <f>IF(B28735=C28735, "YES", "WRONG")</f>
        <v/>
      </c>
    </row>
    <row r="28736">
      <c r="A28736" t="n">
        <v>28735</v>
      </c>
      <c r="B28736" t="inlineStr">
        <is>
          <t>x̄x̄V̅MMMDCCXXXV</t>
        </is>
      </c>
      <c r="C28736">
        <f>ROMAN(28735)</f>
        <v/>
      </c>
      <c r="D28736">
        <f>IF(B28736=C28736, "YES", "WRONG")</f>
        <v/>
      </c>
    </row>
    <row r="28737">
      <c r="A28737" t="n">
        <v>28736</v>
      </c>
      <c r="B28737" t="inlineStr">
        <is>
          <t>x̄x̄V̅MMMDCCXXXVI</t>
        </is>
      </c>
      <c r="C28737">
        <f>ROMAN(28736)</f>
        <v/>
      </c>
      <c r="D28737">
        <f>IF(B28737=C28737, "YES", "WRONG")</f>
        <v/>
      </c>
    </row>
    <row r="28738">
      <c r="A28738" t="n">
        <v>28737</v>
      </c>
      <c r="B28738" t="inlineStr">
        <is>
          <t>x̄x̄V̅MMMDCCXXXVII</t>
        </is>
      </c>
      <c r="C28738">
        <f>ROMAN(28737)</f>
        <v/>
      </c>
      <c r="D28738">
        <f>IF(B28738=C28738, "YES", "WRONG")</f>
        <v/>
      </c>
    </row>
    <row r="28739">
      <c r="A28739" t="n">
        <v>28738</v>
      </c>
      <c r="B28739" t="inlineStr">
        <is>
          <t>x̄x̄V̅MMMDCCXXXVIII</t>
        </is>
      </c>
      <c r="C28739">
        <f>ROMAN(28738)</f>
        <v/>
      </c>
      <c r="D28739">
        <f>IF(B28739=C28739, "YES", "WRONG")</f>
        <v/>
      </c>
    </row>
    <row r="28740">
      <c r="A28740" t="n">
        <v>28739</v>
      </c>
      <c r="B28740" t="inlineStr">
        <is>
          <t>x̄x̄V̅MMMDCCXXXIX</t>
        </is>
      </c>
      <c r="C28740">
        <f>ROMAN(28739)</f>
        <v/>
      </c>
      <c r="D28740">
        <f>IF(B28740=C28740, "YES", "WRONG")</f>
        <v/>
      </c>
    </row>
    <row r="28741">
      <c r="A28741" t="n">
        <v>28740</v>
      </c>
      <c r="B28741" t="inlineStr">
        <is>
          <t>x̄x̄V̅MMMDCCXL</t>
        </is>
      </c>
      <c r="C28741">
        <f>ROMAN(28740)</f>
        <v/>
      </c>
      <c r="D28741">
        <f>IF(B28741=C28741, "YES", "WRONG")</f>
        <v/>
      </c>
    </row>
    <row r="28742">
      <c r="A28742" t="n">
        <v>28741</v>
      </c>
      <c r="B28742" t="inlineStr">
        <is>
          <t>x̄x̄V̅MMMDCCXLI</t>
        </is>
      </c>
      <c r="C28742">
        <f>ROMAN(28741)</f>
        <v/>
      </c>
      <c r="D28742">
        <f>IF(B28742=C28742, "YES", "WRONG")</f>
        <v/>
      </c>
    </row>
    <row r="28743">
      <c r="A28743" t="n">
        <v>28742</v>
      </c>
      <c r="B28743" t="inlineStr">
        <is>
          <t>x̄x̄V̅MMMDCCXLII</t>
        </is>
      </c>
      <c r="C28743">
        <f>ROMAN(28742)</f>
        <v/>
      </c>
      <c r="D28743">
        <f>IF(B28743=C28743, "YES", "WRONG")</f>
        <v/>
      </c>
    </row>
    <row r="28744">
      <c r="A28744" t="n">
        <v>28743</v>
      </c>
      <c r="B28744" t="inlineStr">
        <is>
          <t>x̄x̄V̅MMMDCCXLIII</t>
        </is>
      </c>
      <c r="C28744">
        <f>ROMAN(28743)</f>
        <v/>
      </c>
      <c r="D28744">
        <f>IF(B28744=C28744, "YES", "WRONG")</f>
        <v/>
      </c>
    </row>
    <row r="28745">
      <c r="A28745" t="n">
        <v>28744</v>
      </c>
      <c r="B28745" t="inlineStr">
        <is>
          <t>x̄x̄V̅MMMDCCXLIV</t>
        </is>
      </c>
      <c r="C28745">
        <f>ROMAN(28744)</f>
        <v/>
      </c>
      <c r="D28745">
        <f>IF(B28745=C28745, "YES", "WRONG")</f>
        <v/>
      </c>
    </row>
    <row r="28746">
      <c r="A28746" t="n">
        <v>28745</v>
      </c>
      <c r="B28746" t="inlineStr">
        <is>
          <t>x̄x̄V̅MMMDCCXLV</t>
        </is>
      </c>
      <c r="C28746">
        <f>ROMAN(28745)</f>
        <v/>
      </c>
      <c r="D28746">
        <f>IF(B28746=C28746, "YES", "WRONG")</f>
        <v/>
      </c>
    </row>
    <row r="28747">
      <c r="A28747" t="n">
        <v>28746</v>
      </c>
      <c r="B28747" t="inlineStr">
        <is>
          <t>x̄x̄V̅MMMDCCXLVI</t>
        </is>
      </c>
      <c r="C28747">
        <f>ROMAN(28746)</f>
        <v/>
      </c>
      <c r="D28747">
        <f>IF(B28747=C28747, "YES", "WRONG")</f>
        <v/>
      </c>
    </row>
    <row r="28748">
      <c r="A28748" t="n">
        <v>28747</v>
      </c>
      <c r="B28748" t="inlineStr">
        <is>
          <t>x̄x̄V̅MMMDCCXLVII</t>
        </is>
      </c>
      <c r="C28748">
        <f>ROMAN(28747)</f>
        <v/>
      </c>
      <c r="D28748">
        <f>IF(B28748=C28748, "YES", "WRONG")</f>
        <v/>
      </c>
    </row>
    <row r="28749">
      <c r="A28749" t="n">
        <v>28748</v>
      </c>
      <c r="B28749" t="inlineStr">
        <is>
          <t>x̄x̄V̅MMMDCCXLVIII</t>
        </is>
      </c>
      <c r="C28749">
        <f>ROMAN(28748)</f>
        <v/>
      </c>
      <c r="D28749">
        <f>IF(B28749=C28749, "YES", "WRONG")</f>
        <v/>
      </c>
    </row>
    <row r="28750">
      <c r="A28750" t="n">
        <v>28749</v>
      </c>
      <c r="B28750" t="inlineStr">
        <is>
          <t>x̄x̄V̅MMMDCCXLIX</t>
        </is>
      </c>
      <c r="C28750">
        <f>ROMAN(28749)</f>
        <v/>
      </c>
      <c r="D28750">
        <f>IF(B28750=C28750, "YES", "WRONG")</f>
        <v/>
      </c>
    </row>
    <row r="28751">
      <c r="A28751" t="n">
        <v>28750</v>
      </c>
      <c r="B28751" t="inlineStr">
        <is>
          <t>x̄x̄V̅MMMDCCL</t>
        </is>
      </c>
      <c r="C28751">
        <f>ROMAN(28750)</f>
        <v/>
      </c>
      <c r="D28751">
        <f>IF(B28751=C28751, "YES", "WRONG")</f>
        <v/>
      </c>
    </row>
    <row r="28752">
      <c r="A28752" t="n">
        <v>28751</v>
      </c>
      <c r="B28752" t="inlineStr">
        <is>
          <t>x̄x̄V̅MMMDCCLI</t>
        </is>
      </c>
      <c r="C28752">
        <f>ROMAN(28751)</f>
        <v/>
      </c>
      <c r="D28752">
        <f>IF(B28752=C28752, "YES", "WRONG")</f>
        <v/>
      </c>
    </row>
    <row r="28753">
      <c r="A28753" t="n">
        <v>28752</v>
      </c>
      <c r="B28753" t="inlineStr">
        <is>
          <t>x̄x̄V̅MMMDCCLII</t>
        </is>
      </c>
      <c r="C28753">
        <f>ROMAN(28752)</f>
        <v/>
      </c>
      <c r="D28753">
        <f>IF(B28753=C28753, "YES", "WRONG")</f>
        <v/>
      </c>
    </row>
    <row r="28754">
      <c r="A28754" t="n">
        <v>28753</v>
      </c>
      <c r="B28754" t="inlineStr">
        <is>
          <t>x̄x̄V̅MMMDCCLIII</t>
        </is>
      </c>
      <c r="C28754">
        <f>ROMAN(28753)</f>
        <v/>
      </c>
      <c r="D28754">
        <f>IF(B28754=C28754, "YES", "WRONG")</f>
        <v/>
      </c>
    </row>
    <row r="28755">
      <c r="A28755" t="n">
        <v>28754</v>
      </c>
      <c r="B28755" t="inlineStr">
        <is>
          <t>x̄x̄V̅MMMDCCLIV</t>
        </is>
      </c>
      <c r="C28755">
        <f>ROMAN(28754)</f>
        <v/>
      </c>
      <c r="D28755">
        <f>IF(B28755=C28755, "YES", "WRONG")</f>
        <v/>
      </c>
    </row>
    <row r="28756">
      <c r="A28756" t="n">
        <v>28755</v>
      </c>
      <c r="B28756" t="inlineStr">
        <is>
          <t>x̄x̄V̅MMMDCCLV</t>
        </is>
      </c>
      <c r="C28756">
        <f>ROMAN(28755)</f>
        <v/>
      </c>
      <c r="D28756">
        <f>IF(B28756=C28756, "YES", "WRONG")</f>
        <v/>
      </c>
    </row>
    <row r="28757">
      <c r="A28757" t="n">
        <v>28756</v>
      </c>
      <c r="B28757" t="inlineStr">
        <is>
          <t>x̄x̄V̅MMMDCCLVI</t>
        </is>
      </c>
      <c r="C28757">
        <f>ROMAN(28756)</f>
        <v/>
      </c>
      <c r="D28757">
        <f>IF(B28757=C28757, "YES", "WRONG")</f>
        <v/>
      </c>
    </row>
    <row r="28758">
      <c r="A28758" t="n">
        <v>28757</v>
      </c>
      <c r="B28758" t="inlineStr">
        <is>
          <t>x̄x̄V̅MMMDCCLVII</t>
        </is>
      </c>
      <c r="C28758">
        <f>ROMAN(28757)</f>
        <v/>
      </c>
      <c r="D28758">
        <f>IF(B28758=C28758, "YES", "WRONG")</f>
        <v/>
      </c>
    </row>
    <row r="28759">
      <c r="A28759" t="n">
        <v>28758</v>
      </c>
      <c r="B28759" t="inlineStr">
        <is>
          <t>x̄x̄V̅MMMDCCLVIII</t>
        </is>
      </c>
      <c r="C28759">
        <f>ROMAN(28758)</f>
        <v/>
      </c>
      <c r="D28759">
        <f>IF(B28759=C28759, "YES", "WRONG")</f>
        <v/>
      </c>
    </row>
    <row r="28760">
      <c r="A28760" t="n">
        <v>28759</v>
      </c>
      <c r="B28760" t="inlineStr">
        <is>
          <t>x̄x̄V̅MMMDCCLIX</t>
        </is>
      </c>
      <c r="C28760">
        <f>ROMAN(28759)</f>
        <v/>
      </c>
      <c r="D28760">
        <f>IF(B28760=C28760, "YES", "WRONG")</f>
        <v/>
      </c>
    </row>
    <row r="28761">
      <c r="A28761" t="n">
        <v>28760</v>
      </c>
      <c r="B28761" t="inlineStr">
        <is>
          <t>x̄x̄V̅MMMDCCLX</t>
        </is>
      </c>
      <c r="C28761">
        <f>ROMAN(28760)</f>
        <v/>
      </c>
      <c r="D28761">
        <f>IF(B28761=C28761, "YES", "WRONG")</f>
        <v/>
      </c>
    </row>
    <row r="28762">
      <c r="A28762" t="n">
        <v>28761</v>
      </c>
      <c r="B28762" t="inlineStr">
        <is>
          <t>x̄x̄V̅MMMDCCLXI</t>
        </is>
      </c>
      <c r="C28762">
        <f>ROMAN(28761)</f>
        <v/>
      </c>
      <c r="D28762">
        <f>IF(B28762=C28762, "YES", "WRONG")</f>
        <v/>
      </c>
    </row>
    <row r="28763">
      <c r="A28763" t="n">
        <v>28762</v>
      </c>
      <c r="B28763" t="inlineStr">
        <is>
          <t>x̄x̄V̅MMMDCCLXII</t>
        </is>
      </c>
      <c r="C28763">
        <f>ROMAN(28762)</f>
        <v/>
      </c>
      <c r="D28763">
        <f>IF(B28763=C28763, "YES", "WRONG")</f>
        <v/>
      </c>
    </row>
    <row r="28764">
      <c r="A28764" t="n">
        <v>28763</v>
      </c>
      <c r="B28764" t="inlineStr">
        <is>
          <t>x̄x̄V̅MMMDCCLXIII</t>
        </is>
      </c>
      <c r="C28764">
        <f>ROMAN(28763)</f>
        <v/>
      </c>
      <c r="D28764">
        <f>IF(B28764=C28764, "YES", "WRONG")</f>
        <v/>
      </c>
    </row>
    <row r="28765">
      <c r="A28765" t="n">
        <v>28764</v>
      </c>
      <c r="B28765" t="inlineStr">
        <is>
          <t>x̄x̄V̅MMMDCCLXIV</t>
        </is>
      </c>
      <c r="C28765">
        <f>ROMAN(28764)</f>
        <v/>
      </c>
      <c r="D28765">
        <f>IF(B28765=C28765, "YES", "WRONG")</f>
        <v/>
      </c>
    </row>
    <row r="28766">
      <c r="A28766" t="n">
        <v>28765</v>
      </c>
      <c r="B28766" t="inlineStr">
        <is>
          <t>x̄x̄V̅MMMDCCLXV</t>
        </is>
      </c>
      <c r="C28766">
        <f>ROMAN(28765)</f>
        <v/>
      </c>
      <c r="D28766">
        <f>IF(B28766=C28766, "YES", "WRONG")</f>
        <v/>
      </c>
    </row>
    <row r="28767">
      <c r="A28767" t="n">
        <v>28766</v>
      </c>
      <c r="B28767" t="inlineStr">
        <is>
          <t>x̄x̄V̅MMMDCCLXVI</t>
        </is>
      </c>
      <c r="C28767">
        <f>ROMAN(28766)</f>
        <v/>
      </c>
      <c r="D28767">
        <f>IF(B28767=C28767, "YES", "WRONG")</f>
        <v/>
      </c>
    </row>
    <row r="28768">
      <c r="A28768" t="n">
        <v>28767</v>
      </c>
      <c r="B28768" t="inlineStr">
        <is>
          <t>x̄x̄V̅MMMDCCLXVII</t>
        </is>
      </c>
      <c r="C28768">
        <f>ROMAN(28767)</f>
        <v/>
      </c>
      <c r="D28768">
        <f>IF(B28768=C28768, "YES", "WRONG")</f>
        <v/>
      </c>
    </row>
    <row r="28769">
      <c r="A28769" t="n">
        <v>28768</v>
      </c>
      <c r="B28769" t="inlineStr">
        <is>
          <t>x̄x̄V̅MMMDCCLXVIII</t>
        </is>
      </c>
      <c r="C28769">
        <f>ROMAN(28768)</f>
        <v/>
      </c>
      <c r="D28769">
        <f>IF(B28769=C28769, "YES", "WRONG")</f>
        <v/>
      </c>
    </row>
    <row r="28770">
      <c r="A28770" t="n">
        <v>28769</v>
      </c>
      <c r="B28770" t="inlineStr">
        <is>
          <t>x̄x̄V̅MMMDCCLXIX</t>
        </is>
      </c>
      <c r="C28770">
        <f>ROMAN(28769)</f>
        <v/>
      </c>
      <c r="D28770">
        <f>IF(B28770=C28770, "YES", "WRONG")</f>
        <v/>
      </c>
    </row>
    <row r="28771">
      <c r="A28771" t="n">
        <v>28770</v>
      </c>
      <c r="B28771" t="inlineStr">
        <is>
          <t>x̄x̄V̅MMMDCCLXX</t>
        </is>
      </c>
      <c r="C28771">
        <f>ROMAN(28770)</f>
        <v/>
      </c>
      <c r="D28771">
        <f>IF(B28771=C28771, "YES", "WRONG")</f>
        <v/>
      </c>
    </row>
    <row r="28772">
      <c r="A28772" t="n">
        <v>28771</v>
      </c>
      <c r="B28772" t="inlineStr">
        <is>
          <t>x̄x̄V̅MMMDCCLXXI</t>
        </is>
      </c>
      <c r="C28772">
        <f>ROMAN(28771)</f>
        <v/>
      </c>
      <c r="D28772">
        <f>IF(B28772=C28772, "YES", "WRONG")</f>
        <v/>
      </c>
    </row>
    <row r="28773">
      <c r="A28773" t="n">
        <v>28772</v>
      </c>
      <c r="B28773" t="inlineStr">
        <is>
          <t>x̄x̄V̅MMMDCCLXXII</t>
        </is>
      </c>
      <c r="C28773">
        <f>ROMAN(28772)</f>
        <v/>
      </c>
      <c r="D28773">
        <f>IF(B28773=C28773, "YES", "WRONG")</f>
        <v/>
      </c>
    </row>
    <row r="28774">
      <c r="A28774" t="n">
        <v>28773</v>
      </c>
      <c r="B28774" t="inlineStr">
        <is>
          <t>x̄x̄V̅MMMDCCLXXIII</t>
        </is>
      </c>
      <c r="C28774">
        <f>ROMAN(28773)</f>
        <v/>
      </c>
      <c r="D28774">
        <f>IF(B28774=C28774, "YES", "WRONG")</f>
        <v/>
      </c>
    </row>
    <row r="28775">
      <c r="A28775" t="n">
        <v>28774</v>
      </c>
      <c r="B28775" t="inlineStr">
        <is>
          <t>x̄x̄V̅MMMDCCLXXIV</t>
        </is>
      </c>
      <c r="C28775">
        <f>ROMAN(28774)</f>
        <v/>
      </c>
      <c r="D28775">
        <f>IF(B28775=C28775, "YES", "WRONG")</f>
        <v/>
      </c>
    </row>
    <row r="28776">
      <c r="A28776" t="n">
        <v>28775</v>
      </c>
      <c r="B28776" t="inlineStr">
        <is>
          <t>x̄x̄V̅MMMDCCLXXV</t>
        </is>
      </c>
      <c r="C28776">
        <f>ROMAN(28775)</f>
        <v/>
      </c>
      <c r="D28776">
        <f>IF(B28776=C28776, "YES", "WRONG")</f>
        <v/>
      </c>
    </row>
    <row r="28777">
      <c r="A28777" t="n">
        <v>28776</v>
      </c>
      <c r="B28777" t="inlineStr">
        <is>
          <t>x̄x̄V̅MMMDCCLXXVI</t>
        </is>
      </c>
      <c r="C28777">
        <f>ROMAN(28776)</f>
        <v/>
      </c>
      <c r="D28777">
        <f>IF(B28777=C28777, "YES", "WRONG")</f>
        <v/>
      </c>
    </row>
    <row r="28778">
      <c r="A28778" t="n">
        <v>28777</v>
      </c>
      <c r="B28778" t="inlineStr">
        <is>
          <t>x̄x̄V̅MMMDCCLXXVII</t>
        </is>
      </c>
      <c r="C28778">
        <f>ROMAN(28777)</f>
        <v/>
      </c>
      <c r="D28778">
        <f>IF(B28778=C28778, "YES", "WRONG")</f>
        <v/>
      </c>
    </row>
    <row r="28779">
      <c r="A28779" t="n">
        <v>28778</v>
      </c>
      <c r="B28779" t="inlineStr">
        <is>
          <t>x̄x̄V̅MMMDCCLXXVIII</t>
        </is>
      </c>
      <c r="C28779">
        <f>ROMAN(28778)</f>
        <v/>
      </c>
      <c r="D28779">
        <f>IF(B28779=C28779, "YES", "WRONG")</f>
        <v/>
      </c>
    </row>
    <row r="28780">
      <c r="A28780" t="n">
        <v>28779</v>
      </c>
      <c r="B28780" t="inlineStr">
        <is>
          <t>x̄x̄V̅MMMDCCLXXIX</t>
        </is>
      </c>
      <c r="C28780">
        <f>ROMAN(28779)</f>
        <v/>
      </c>
      <c r="D28780">
        <f>IF(B28780=C28780, "YES", "WRONG")</f>
        <v/>
      </c>
    </row>
    <row r="28781">
      <c r="A28781" t="n">
        <v>28780</v>
      </c>
      <c r="B28781" t="inlineStr">
        <is>
          <t>x̄x̄V̅MMMDCCLXXX</t>
        </is>
      </c>
      <c r="C28781">
        <f>ROMAN(28780)</f>
        <v/>
      </c>
      <c r="D28781">
        <f>IF(B28781=C28781, "YES", "WRONG")</f>
        <v/>
      </c>
    </row>
    <row r="28782">
      <c r="A28782" t="n">
        <v>28781</v>
      </c>
      <c r="B28782" t="inlineStr">
        <is>
          <t>x̄x̄V̅MMMDCCLXXXI</t>
        </is>
      </c>
      <c r="C28782">
        <f>ROMAN(28781)</f>
        <v/>
      </c>
      <c r="D28782">
        <f>IF(B28782=C28782, "YES", "WRONG")</f>
        <v/>
      </c>
    </row>
    <row r="28783">
      <c r="A28783" t="n">
        <v>28782</v>
      </c>
      <c r="B28783" t="inlineStr">
        <is>
          <t>x̄x̄V̅MMMDCCLXXXII</t>
        </is>
      </c>
      <c r="C28783">
        <f>ROMAN(28782)</f>
        <v/>
      </c>
      <c r="D28783">
        <f>IF(B28783=C28783, "YES", "WRONG")</f>
        <v/>
      </c>
    </row>
    <row r="28784">
      <c r="A28784" t="n">
        <v>28783</v>
      </c>
      <c r="B28784" t="inlineStr">
        <is>
          <t>x̄x̄V̅MMMDCCLXXXIII</t>
        </is>
      </c>
      <c r="C28784">
        <f>ROMAN(28783)</f>
        <v/>
      </c>
      <c r="D28784">
        <f>IF(B28784=C28784, "YES", "WRONG")</f>
        <v/>
      </c>
    </row>
    <row r="28785">
      <c r="A28785" t="n">
        <v>28784</v>
      </c>
      <c r="B28785" t="inlineStr">
        <is>
          <t>x̄x̄V̅MMMDCCLXXXIV</t>
        </is>
      </c>
      <c r="C28785">
        <f>ROMAN(28784)</f>
        <v/>
      </c>
      <c r="D28785">
        <f>IF(B28785=C28785, "YES", "WRONG")</f>
        <v/>
      </c>
    </row>
    <row r="28786">
      <c r="A28786" t="n">
        <v>28785</v>
      </c>
      <c r="B28786" t="inlineStr">
        <is>
          <t>x̄x̄V̅MMMDCCLXXXV</t>
        </is>
      </c>
      <c r="C28786">
        <f>ROMAN(28785)</f>
        <v/>
      </c>
      <c r="D28786">
        <f>IF(B28786=C28786, "YES", "WRONG")</f>
        <v/>
      </c>
    </row>
    <row r="28787">
      <c r="A28787" t="n">
        <v>28786</v>
      </c>
      <c r="B28787" t="inlineStr">
        <is>
          <t>x̄x̄V̅MMMDCCLXXXVI</t>
        </is>
      </c>
      <c r="C28787">
        <f>ROMAN(28786)</f>
        <v/>
      </c>
      <c r="D28787">
        <f>IF(B28787=C28787, "YES", "WRONG")</f>
        <v/>
      </c>
    </row>
    <row r="28788">
      <c r="A28788" t="n">
        <v>28787</v>
      </c>
      <c r="B28788" t="inlineStr">
        <is>
          <t>x̄x̄V̅MMMDCCLXXXVII</t>
        </is>
      </c>
      <c r="C28788">
        <f>ROMAN(28787)</f>
        <v/>
      </c>
      <c r="D28788">
        <f>IF(B28788=C28788, "YES", "WRONG")</f>
        <v/>
      </c>
    </row>
    <row r="28789">
      <c r="A28789" t="n">
        <v>28788</v>
      </c>
      <c r="B28789" t="inlineStr">
        <is>
          <t>x̄x̄V̅MMMDCCLXXXVIII</t>
        </is>
      </c>
      <c r="C28789">
        <f>ROMAN(28788)</f>
        <v/>
      </c>
      <c r="D28789">
        <f>IF(B28789=C28789, "YES", "WRONG")</f>
        <v/>
      </c>
    </row>
    <row r="28790">
      <c r="A28790" t="n">
        <v>28789</v>
      </c>
      <c r="B28790" t="inlineStr">
        <is>
          <t>x̄x̄V̅MMMDCCLXXXIX</t>
        </is>
      </c>
      <c r="C28790">
        <f>ROMAN(28789)</f>
        <v/>
      </c>
      <c r="D28790">
        <f>IF(B28790=C28790, "YES", "WRONG")</f>
        <v/>
      </c>
    </row>
    <row r="28791">
      <c r="A28791" t="n">
        <v>28790</v>
      </c>
      <c r="B28791" t="inlineStr">
        <is>
          <t>x̄x̄V̅MMMDCCXC</t>
        </is>
      </c>
      <c r="C28791">
        <f>ROMAN(28790)</f>
        <v/>
      </c>
      <c r="D28791">
        <f>IF(B28791=C28791, "YES", "WRONG")</f>
        <v/>
      </c>
    </row>
    <row r="28792">
      <c r="A28792" t="n">
        <v>28791</v>
      </c>
      <c r="B28792" t="inlineStr">
        <is>
          <t>x̄x̄V̅MMMDCCXCI</t>
        </is>
      </c>
      <c r="C28792">
        <f>ROMAN(28791)</f>
        <v/>
      </c>
      <c r="D28792">
        <f>IF(B28792=C28792, "YES", "WRONG")</f>
        <v/>
      </c>
    </row>
    <row r="28793">
      <c r="A28793" t="n">
        <v>28792</v>
      </c>
      <c r="B28793" t="inlineStr">
        <is>
          <t>x̄x̄V̅MMMDCCXCII</t>
        </is>
      </c>
      <c r="C28793">
        <f>ROMAN(28792)</f>
        <v/>
      </c>
      <c r="D28793">
        <f>IF(B28793=C28793, "YES", "WRONG")</f>
        <v/>
      </c>
    </row>
    <row r="28794">
      <c r="A28794" t="n">
        <v>28793</v>
      </c>
      <c r="B28794" t="inlineStr">
        <is>
          <t>x̄x̄V̅MMMDCCXCIII</t>
        </is>
      </c>
      <c r="C28794">
        <f>ROMAN(28793)</f>
        <v/>
      </c>
      <c r="D28794">
        <f>IF(B28794=C28794, "YES", "WRONG")</f>
        <v/>
      </c>
    </row>
    <row r="28795">
      <c r="A28795" t="n">
        <v>28794</v>
      </c>
      <c r="B28795" t="inlineStr">
        <is>
          <t>x̄x̄V̅MMMDCCXCIV</t>
        </is>
      </c>
      <c r="C28795">
        <f>ROMAN(28794)</f>
        <v/>
      </c>
      <c r="D28795">
        <f>IF(B28795=C28795, "YES", "WRONG")</f>
        <v/>
      </c>
    </row>
    <row r="28796">
      <c r="A28796" t="n">
        <v>28795</v>
      </c>
      <c r="B28796" t="inlineStr">
        <is>
          <t>x̄x̄V̅MMMDCCXCV</t>
        </is>
      </c>
      <c r="C28796">
        <f>ROMAN(28795)</f>
        <v/>
      </c>
      <c r="D28796">
        <f>IF(B28796=C28796, "YES", "WRONG")</f>
        <v/>
      </c>
    </row>
    <row r="28797">
      <c r="A28797" t="n">
        <v>28796</v>
      </c>
      <c r="B28797" t="inlineStr">
        <is>
          <t>x̄x̄V̅MMMDCCXCVI</t>
        </is>
      </c>
      <c r="C28797">
        <f>ROMAN(28796)</f>
        <v/>
      </c>
      <c r="D28797">
        <f>IF(B28797=C28797, "YES", "WRONG")</f>
        <v/>
      </c>
    </row>
    <row r="28798">
      <c r="A28798" t="n">
        <v>28797</v>
      </c>
      <c r="B28798" t="inlineStr">
        <is>
          <t>x̄x̄V̅MMMDCCXCVII</t>
        </is>
      </c>
      <c r="C28798">
        <f>ROMAN(28797)</f>
        <v/>
      </c>
      <c r="D28798">
        <f>IF(B28798=C28798, "YES", "WRONG")</f>
        <v/>
      </c>
    </row>
    <row r="28799">
      <c r="A28799" t="n">
        <v>28798</v>
      </c>
      <c r="B28799" t="inlineStr">
        <is>
          <t>x̄x̄V̅MMMDCCXCVIII</t>
        </is>
      </c>
      <c r="C28799">
        <f>ROMAN(28798)</f>
        <v/>
      </c>
      <c r="D28799">
        <f>IF(B28799=C28799, "YES", "WRONG")</f>
        <v/>
      </c>
    </row>
    <row r="28800">
      <c r="A28800" t="n">
        <v>28799</v>
      </c>
      <c r="B28800" t="inlineStr">
        <is>
          <t>x̄x̄V̅MMMDCCXCIX</t>
        </is>
      </c>
      <c r="C28800">
        <f>ROMAN(28799)</f>
        <v/>
      </c>
      <c r="D28800">
        <f>IF(B28800=C28800, "YES", "WRONG")</f>
        <v/>
      </c>
    </row>
    <row r="28801">
      <c r="A28801" t="n">
        <v>28800</v>
      </c>
      <c r="B28801" t="inlineStr">
        <is>
          <t>x̄x̄V̅MMMDCCC</t>
        </is>
      </c>
      <c r="C28801">
        <f>ROMAN(28800)</f>
        <v/>
      </c>
      <c r="D28801">
        <f>IF(B28801=C28801, "YES", "WRONG")</f>
        <v/>
      </c>
    </row>
    <row r="28802">
      <c r="A28802" t="n">
        <v>28801</v>
      </c>
      <c r="B28802" t="inlineStr">
        <is>
          <t>x̄x̄V̅MMMDCCCI</t>
        </is>
      </c>
      <c r="C28802">
        <f>ROMAN(28801)</f>
        <v/>
      </c>
      <c r="D28802">
        <f>IF(B28802=C28802, "YES", "WRONG")</f>
        <v/>
      </c>
    </row>
    <row r="28803">
      <c r="A28803" t="n">
        <v>28802</v>
      </c>
      <c r="B28803" t="inlineStr">
        <is>
          <t>x̄x̄V̅MMMDCCCII</t>
        </is>
      </c>
      <c r="C28803">
        <f>ROMAN(28802)</f>
        <v/>
      </c>
      <c r="D28803">
        <f>IF(B28803=C28803, "YES", "WRONG")</f>
        <v/>
      </c>
    </row>
    <row r="28804">
      <c r="A28804" t="n">
        <v>28803</v>
      </c>
      <c r="B28804" t="inlineStr">
        <is>
          <t>x̄x̄V̅MMMDCCCIII</t>
        </is>
      </c>
      <c r="C28804">
        <f>ROMAN(28803)</f>
        <v/>
      </c>
      <c r="D28804">
        <f>IF(B28804=C28804, "YES", "WRONG")</f>
        <v/>
      </c>
    </row>
    <row r="28805">
      <c r="A28805" t="n">
        <v>28804</v>
      </c>
      <c r="B28805" t="inlineStr">
        <is>
          <t>x̄x̄V̅MMMDCCCIV</t>
        </is>
      </c>
      <c r="C28805">
        <f>ROMAN(28804)</f>
        <v/>
      </c>
      <c r="D28805">
        <f>IF(B28805=C28805, "YES", "WRONG")</f>
        <v/>
      </c>
    </row>
    <row r="28806">
      <c r="A28806" t="n">
        <v>28805</v>
      </c>
      <c r="B28806" t="inlineStr">
        <is>
          <t>x̄x̄V̅MMMDCCCV</t>
        </is>
      </c>
      <c r="C28806">
        <f>ROMAN(28805)</f>
        <v/>
      </c>
      <c r="D28806">
        <f>IF(B28806=C28806, "YES", "WRONG")</f>
        <v/>
      </c>
    </row>
    <row r="28807">
      <c r="A28807" t="n">
        <v>28806</v>
      </c>
      <c r="B28807" t="inlineStr">
        <is>
          <t>x̄x̄V̅MMMDCCCVI</t>
        </is>
      </c>
      <c r="C28807">
        <f>ROMAN(28806)</f>
        <v/>
      </c>
      <c r="D28807">
        <f>IF(B28807=C28807, "YES", "WRONG")</f>
        <v/>
      </c>
    </row>
    <row r="28808">
      <c r="A28808" t="n">
        <v>28807</v>
      </c>
      <c r="B28808" t="inlineStr">
        <is>
          <t>x̄x̄V̅MMMDCCCVII</t>
        </is>
      </c>
      <c r="C28808">
        <f>ROMAN(28807)</f>
        <v/>
      </c>
      <c r="D28808">
        <f>IF(B28808=C28808, "YES", "WRONG")</f>
        <v/>
      </c>
    </row>
    <row r="28809">
      <c r="A28809" t="n">
        <v>28808</v>
      </c>
      <c r="B28809" t="inlineStr">
        <is>
          <t>x̄x̄V̅MMMDCCCVIII</t>
        </is>
      </c>
      <c r="C28809">
        <f>ROMAN(28808)</f>
        <v/>
      </c>
      <c r="D28809">
        <f>IF(B28809=C28809, "YES", "WRONG")</f>
        <v/>
      </c>
    </row>
    <row r="28810">
      <c r="A28810" t="n">
        <v>28809</v>
      </c>
      <c r="B28810" t="inlineStr">
        <is>
          <t>x̄x̄V̅MMMDCCCIX</t>
        </is>
      </c>
      <c r="C28810">
        <f>ROMAN(28809)</f>
        <v/>
      </c>
      <c r="D28810">
        <f>IF(B28810=C28810, "YES", "WRONG")</f>
        <v/>
      </c>
    </row>
    <row r="28811">
      <c r="A28811" t="n">
        <v>28810</v>
      </c>
      <c r="B28811" t="inlineStr">
        <is>
          <t>x̄x̄V̅MMMDCCCX</t>
        </is>
      </c>
      <c r="C28811">
        <f>ROMAN(28810)</f>
        <v/>
      </c>
      <c r="D28811">
        <f>IF(B28811=C28811, "YES", "WRONG")</f>
        <v/>
      </c>
    </row>
    <row r="28812">
      <c r="A28812" t="n">
        <v>28811</v>
      </c>
      <c r="B28812" t="inlineStr">
        <is>
          <t>x̄x̄V̅MMMDCCCXI</t>
        </is>
      </c>
      <c r="C28812">
        <f>ROMAN(28811)</f>
        <v/>
      </c>
      <c r="D28812">
        <f>IF(B28812=C28812, "YES", "WRONG")</f>
        <v/>
      </c>
    </row>
    <row r="28813">
      <c r="A28813" t="n">
        <v>28812</v>
      </c>
      <c r="B28813" t="inlineStr">
        <is>
          <t>x̄x̄V̅MMMDCCCXII</t>
        </is>
      </c>
      <c r="C28813">
        <f>ROMAN(28812)</f>
        <v/>
      </c>
      <c r="D28813">
        <f>IF(B28813=C28813, "YES", "WRONG")</f>
        <v/>
      </c>
    </row>
    <row r="28814">
      <c r="A28814" t="n">
        <v>28813</v>
      </c>
      <c r="B28814" t="inlineStr">
        <is>
          <t>x̄x̄V̅MMMDCCCXIII</t>
        </is>
      </c>
      <c r="C28814">
        <f>ROMAN(28813)</f>
        <v/>
      </c>
      <c r="D28814">
        <f>IF(B28814=C28814, "YES", "WRONG")</f>
        <v/>
      </c>
    </row>
    <row r="28815">
      <c r="A28815" t="n">
        <v>28814</v>
      </c>
      <c r="B28815" t="inlineStr">
        <is>
          <t>x̄x̄V̅MMMDCCCXIV</t>
        </is>
      </c>
      <c r="C28815">
        <f>ROMAN(28814)</f>
        <v/>
      </c>
      <c r="D28815">
        <f>IF(B28815=C28815, "YES", "WRONG")</f>
        <v/>
      </c>
    </row>
    <row r="28816">
      <c r="A28816" t="n">
        <v>28815</v>
      </c>
      <c r="B28816" t="inlineStr">
        <is>
          <t>x̄x̄V̅MMMDCCCXV</t>
        </is>
      </c>
      <c r="C28816">
        <f>ROMAN(28815)</f>
        <v/>
      </c>
      <c r="D28816">
        <f>IF(B28816=C28816, "YES", "WRONG")</f>
        <v/>
      </c>
    </row>
    <row r="28817">
      <c r="A28817" t="n">
        <v>28816</v>
      </c>
      <c r="B28817" t="inlineStr">
        <is>
          <t>x̄x̄V̅MMMDCCCXVI</t>
        </is>
      </c>
      <c r="C28817">
        <f>ROMAN(28816)</f>
        <v/>
      </c>
      <c r="D28817">
        <f>IF(B28817=C28817, "YES", "WRONG")</f>
        <v/>
      </c>
    </row>
    <row r="28818">
      <c r="A28818" t="n">
        <v>28817</v>
      </c>
      <c r="B28818" t="inlineStr">
        <is>
          <t>x̄x̄V̅MMMDCCCXVII</t>
        </is>
      </c>
      <c r="C28818">
        <f>ROMAN(28817)</f>
        <v/>
      </c>
      <c r="D28818">
        <f>IF(B28818=C28818, "YES", "WRONG")</f>
        <v/>
      </c>
    </row>
    <row r="28819">
      <c r="A28819" t="n">
        <v>28818</v>
      </c>
      <c r="B28819" t="inlineStr">
        <is>
          <t>x̄x̄V̅MMMDCCCXVIII</t>
        </is>
      </c>
      <c r="C28819">
        <f>ROMAN(28818)</f>
        <v/>
      </c>
      <c r="D28819">
        <f>IF(B28819=C28819, "YES", "WRONG")</f>
        <v/>
      </c>
    </row>
    <row r="28820">
      <c r="A28820" t="n">
        <v>28819</v>
      </c>
      <c r="B28820" t="inlineStr">
        <is>
          <t>x̄x̄V̅MMMDCCCXIX</t>
        </is>
      </c>
      <c r="C28820">
        <f>ROMAN(28819)</f>
        <v/>
      </c>
      <c r="D28820">
        <f>IF(B28820=C28820, "YES", "WRONG")</f>
        <v/>
      </c>
    </row>
    <row r="28821">
      <c r="A28821" t="n">
        <v>28820</v>
      </c>
      <c r="B28821" t="inlineStr">
        <is>
          <t>x̄x̄V̅MMMDCCCXX</t>
        </is>
      </c>
      <c r="C28821">
        <f>ROMAN(28820)</f>
        <v/>
      </c>
      <c r="D28821">
        <f>IF(B28821=C28821, "YES", "WRONG")</f>
        <v/>
      </c>
    </row>
    <row r="28822">
      <c r="A28822" t="n">
        <v>28821</v>
      </c>
      <c r="B28822" t="inlineStr">
        <is>
          <t>x̄x̄V̅MMMDCCCXXI</t>
        </is>
      </c>
      <c r="C28822">
        <f>ROMAN(28821)</f>
        <v/>
      </c>
      <c r="D28822">
        <f>IF(B28822=C28822, "YES", "WRONG")</f>
        <v/>
      </c>
    </row>
    <row r="28823">
      <c r="A28823" t="n">
        <v>28822</v>
      </c>
      <c r="B28823" t="inlineStr">
        <is>
          <t>x̄x̄V̅MMMDCCCXXII</t>
        </is>
      </c>
      <c r="C28823">
        <f>ROMAN(28822)</f>
        <v/>
      </c>
      <c r="D28823">
        <f>IF(B28823=C28823, "YES", "WRONG")</f>
        <v/>
      </c>
    </row>
    <row r="28824">
      <c r="A28824" t="n">
        <v>28823</v>
      </c>
      <c r="B28824" t="inlineStr">
        <is>
          <t>x̄x̄V̅MMMDCCCXXIII</t>
        </is>
      </c>
      <c r="C28824">
        <f>ROMAN(28823)</f>
        <v/>
      </c>
      <c r="D28824">
        <f>IF(B28824=C28824, "YES", "WRONG")</f>
        <v/>
      </c>
    </row>
    <row r="28825">
      <c r="A28825" t="n">
        <v>28824</v>
      </c>
      <c r="B28825" t="inlineStr">
        <is>
          <t>x̄x̄V̅MMMDCCCXXIV</t>
        </is>
      </c>
      <c r="C28825">
        <f>ROMAN(28824)</f>
        <v/>
      </c>
      <c r="D28825">
        <f>IF(B28825=C28825, "YES", "WRONG")</f>
        <v/>
      </c>
    </row>
    <row r="28826">
      <c r="A28826" t="n">
        <v>28825</v>
      </c>
      <c r="B28826" t="inlineStr">
        <is>
          <t>x̄x̄V̅MMMDCCCXXV</t>
        </is>
      </c>
      <c r="C28826">
        <f>ROMAN(28825)</f>
        <v/>
      </c>
      <c r="D28826">
        <f>IF(B28826=C28826, "YES", "WRONG")</f>
        <v/>
      </c>
    </row>
    <row r="28827">
      <c r="A28827" t="n">
        <v>28826</v>
      </c>
      <c r="B28827" t="inlineStr">
        <is>
          <t>x̄x̄V̅MMMDCCCXXVI</t>
        </is>
      </c>
      <c r="C28827">
        <f>ROMAN(28826)</f>
        <v/>
      </c>
      <c r="D28827">
        <f>IF(B28827=C28827, "YES", "WRONG")</f>
        <v/>
      </c>
    </row>
    <row r="28828">
      <c r="A28828" t="n">
        <v>28827</v>
      </c>
      <c r="B28828" t="inlineStr">
        <is>
          <t>x̄x̄V̅MMMDCCCXXVII</t>
        </is>
      </c>
      <c r="C28828">
        <f>ROMAN(28827)</f>
        <v/>
      </c>
      <c r="D28828">
        <f>IF(B28828=C28828, "YES", "WRONG")</f>
        <v/>
      </c>
    </row>
    <row r="28829">
      <c r="A28829" t="n">
        <v>28828</v>
      </c>
      <c r="B28829" t="inlineStr">
        <is>
          <t>x̄x̄V̅MMMDCCCXXVIII</t>
        </is>
      </c>
      <c r="C28829">
        <f>ROMAN(28828)</f>
        <v/>
      </c>
      <c r="D28829">
        <f>IF(B28829=C28829, "YES", "WRONG")</f>
        <v/>
      </c>
    </row>
    <row r="28830">
      <c r="A28830" t="n">
        <v>28829</v>
      </c>
      <c r="B28830" t="inlineStr">
        <is>
          <t>x̄x̄V̅MMMDCCCXXIX</t>
        </is>
      </c>
      <c r="C28830">
        <f>ROMAN(28829)</f>
        <v/>
      </c>
      <c r="D28830">
        <f>IF(B28830=C28830, "YES", "WRONG")</f>
        <v/>
      </c>
    </row>
    <row r="28831">
      <c r="A28831" t="n">
        <v>28830</v>
      </c>
      <c r="B28831" t="inlineStr">
        <is>
          <t>x̄x̄V̅MMMDCCCXXX</t>
        </is>
      </c>
      <c r="C28831">
        <f>ROMAN(28830)</f>
        <v/>
      </c>
      <c r="D28831">
        <f>IF(B28831=C28831, "YES", "WRONG")</f>
        <v/>
      </c>
    </row>
    <row r="28832">
      <c r="A28832" t="n">
        <v>28831</v>
      </c>
      <c r="B28832" t="inlineStr">
        <is>
          <t>x̄x̄V̅MMMDCCCXXXI</t>
        </is>
      </c>
      <c r="C28832">
        <f>ROMAN(28831)</f>
        <v/>
      </c>
      <c r="D28832">
        <f>IF(B28832=C28832, "YES", "WRONG")</f>
        <v/>
      </c>
    </row>
    <row r="28833">
      <c r="A28833" t="n">
        <v>28832</v>
      </c>
      <c r="B28833" t="inlineStr">
        <is>
          <t>x̄x̄V̅MMMDCCCXXXII</t>
        </is>
      </c>
      <c r="C28833">
        <f>ROMAN(28832)</f>
        <v/>
      </c>
      <c r="D28833">
        <f>IF(B28833=C28833, "YES", "WRONG")</f>
        <v/>
      </c>
    </row>
    <row r="28834">
      <c r="A28834" t="n">
        <v>28833</v>
      </c>
      <c r="B28834" t="inlineStr">
        <is>
          <t>x̄x̄V̅MMMDCCCXXXIII</t>
        </is>
      </c>
      <c r="C28834">
        <f>ROMAN(28833)</f>
        <v/>
      </c>
      <c r="D28834">
        <f>IF(B28834=C28834, "YES", "WRONG")</f>
        <v/>
      </c>
    </row>
    <row r="28835">
      <c r="A28835" t="n">
        <v>28834</v>
      </c>
      <c r="B28835" t="inlineStr">
        <is>
          <t>x̄x̄V̅MMMDCCCXXXIV</t>
        </is>
      </c>
      <c r="C28835">
        <f>ROMAN(28834)</f>
        <v/>
      </c>
      <c r="D28835">
        <f>IF(B28835=C28835, "YES", "WRONG")</f>
        <v/>
      </c>
    </row>
    <row r="28836">
      <c r="A28836" t="n">
        <v>28835</v>
      </c>
      <c r="B28836" t="inlineStr">
        <is>
          <t>x̄x̄V̅MMMDCCCXXXV</t>
        </is>
      </c>
      <c r="C28836">
        <f>ROMAN(28835)</f>
        <v/>
      </c>
      <c r="D28836">
        <f>IF(B28836=C28836, "YES", "WRONG")</f>
        <v/>
      </c>
    </row>
    <row r="28837">
      <c r="A28837" t="n">
        <v>28836</v>
      </c>
      <c r="B28837" t="inlineStr">
        <is>
          <t>x̄x̄V̅MMMDCCCXXXVI</t>
        </is>
      </c>
      <c r="C28837">
        <f>ROMAN(28836)</f>
        <v/>
      </c>
      <c r="D28837">
        <f>IF(B28837=C28837, "YES", "WRONG")</f>
        <v/>
      </c>
    </row>
    <row r="28838">
      <c r="A28838" t="n">
        <v>28837</v>
      </c>
      <c r="B28838" t="inlineStr">
        <is>
          <t>x̄x̄V̅MMMDCCCXXXVII</t>
        </is>
      </c>
      <c r="C28838">
        <f>ROMAN(28837)</f>
        <v/>
      </c>
      <c r="D28838">
        <f>IF(B28838=C28838, "YES", "WRONG")</f>
        <v/>
      </c>
    </row>
    <row r="28839">
      <c r="A28839" t="n">
        <v>28838</v>
      </c>
      <c r="B28839" t="inlineStr">
        <is>
          <t>x̄x̄V̅MMMDCCCXXXVIII</t>
        </is>
      </c>
      <c r="C28839">
        <f>ROMAN(28838)</f>
        <v/>
      </c>
      <c r="D28839">
        <f>IF(B28839=C28839, "YES", "WRONG")</f>
        <v/>
      </c>
    </row>
    <row r="28840">
      <c r="A28840" t="n">
        <v>28839</v>
      </c>
      <c r="B28840" t="inlineStr">
        <is>
          <t>x̄x̄V̅MMMDCCCXXXIX</t>
        </is>
      </c>
      <c r="C28840">
        <f>ROMAN(28839)</f>
        <v/>
      </c>
      <c r="D28840">
        <f>IF(B28840=C28840, "YES", "WRONG")</f>
        <v/>
      </c>
    </row>
    <row r="28841">
      <c r="A28841" t="n">
        <v>28840</v>
      </c>
      <c r="B28841" t="inlineStr">
        <is>
          <t>x̄x̄V̅MMMDCCCXL</t>
        </is>
      </c>
      <c r="C28841">
        <f>ROMAN(28840)</f>
        <v/>
      </c>
      <c r="D28841">
        <f>IF(B28841=C28841, "YES", "WRONG")</f>
        <v/>
      </c>
    </row>
    <row r="28842">
      <c r="A28842" t="n">
        <v>28841</v>
      </c>
      <c r="B28842" t="inlineStr">
        <is>
          <t>x̄x̄V̅MMMDCCCXLI</t>
        </is>
      </c>
      <c r="C28842">
        <f>ROMAN(28841)</f>
        <v/>
      </c>
      <c r="D28842">
        <f>IF(B28842=C28842, "YES", "WRONG")</f>
        <v/>
      </c>
    </row>
    <row r="28843">
      <c r="A28843" t="n">
        <v>28842</v>
      </c>
      <c r="B28843" t="inlineStr">
        <is>
          <t>x̄x̄V̅MMMDCCCXLII</t>
        </is>
      </c>
      <c r="C28843">
        <f>ROMAN(28842)</f>
        <v/>
      </c>
      <c r="D28843">
        <f>IF(B28843=C28843, "YES", "WRONG")</f>
        <v/>
      </c>
    </row>
    <row r="28844">
      <c r="A28844" t="n">
        <v>28843</v>
      </c>
      <c r="B28844" t="inlineStr">
        <is>
          <t>x̄x̄V̅MMMDCCCXLIII</t>
        </is>
      </c>
      <c r="C28844">
        <f>ROMAN(28843)</f>
        <v/>
      </c>
      <c r="D28844">
        <f>IF(B28844=C28844, "YES", "WRONG")</f>
        <v/>
      </c>
    </row>
    <row r="28845">
      <c r="A28845" t="n">
        <v>28844</v>
      </c>
      <c r="B28845" t="inlineStr">
        <is>
          <t>x̄x̄V̅MMMDCCCXLIV</t>
        </is>
      </c>
      <c r="C28845">
        <f>ROMAN(28844)</f>
        <v/>
      </c>
      <c r="D28845">
        <f>IF(B28845=C28845, "YES", "WRONG")</f>
        <v/>
      </c>
    </row>
    <row r="28846">
      <c r="A28846" t="n">
        <v>28845</v>
      </c>
      <c r="B28846" t="inlineStr">
        <is>
          <t>x̄x̄V̅MMMDCCCXLV</t>
        </is>
      </c>
      <c r="C28846">
        <f>ROMAN(28845)</f>
        <v/>
      </c>
      <c r="D28846">
        <f>IF(B28846=C28846, "YES", "WRONG")</f>
        <v/>
      </c>
    </row>
    <row r="28847">
      <c r="A28847" t="n">
        <v>28846</v>
      </c>
      <c r="B28847" t="inlineStr">
        <is>
          <t>x̄x̄V̅MMMDCCCXLVI</t>
        </is>
      </c>
      <c r="C28847">
        <f>ROMAN(28846)</f>
        <v/>
      </c>
      <c r="D28847">
        <f>IF(B28847=C28847, "YES", "WRONG")</f>
        <v/>
      </c>
    </row>
    <row r="28848">
      <c r="A28848" t="n">
        <v>28847</v>
      </c>
      <c r="B28848" t="inlineStr">
        <is>
          <t>x̄x̄V̅MMMDCCCXLVII</t>
        </is>
      </c>
      <c r="C28848">
        <f>ROMAN(28847)</f>
        <v/>
      </c>
      <c r="D28848">
        <f>IF(B28848=C28848, "YES", "WRONG")</f>
        <v/>
      </c>
    </row>
    <row r="28849">
      <c r="A28849" t="n">
        <v>28848</v>
      </c>
      <c r="B28849" t="inlineStr">
        <is>
          <t>x̄x̄V̅MMMDCCCXLVIII</t>
        </is>
      </c>
      <c r="C28849">
        <f>ROMAN(28848)</f>
        <v/>
      </c>
      <c r="D28849">
        <f>IF(B28849=C28849, "YES", "WRONG")</f>
        <v/>
      </c>
    </row>
    <row r="28850">
      <c r="A28850" t="n">
        <v>28849</v>
      </c>
      <c r="B28850" t="inlineStr">
        <is>
          <t>x̄x̄V̅MMMDCCCXLIX</t>
        </is>
      </c>
      <c r="C28850">
        <f>ROMAN(28849)</f>
        <v/>
      </c>
      <c r="D28850">
        <f>IF(B28850=C28850, "YES", "WRONG")</f>
        <v/>
      </c>
    </row>
    <row r="28851">
      <c r="A28851" t="n">
        <v>28850</v>
      </c>
      <c r="B28851" t="inlineStr">
        <is>
          <t>x̄x̄V̅MMMDCCCL</t>
        </is>
      </c>
      <c r="C28851">
        <f>ROMAN(28850)</f>
        <v/>
      </c>
      <c r="D28851">
        <f>IF(B28851=C28851, "YES", "WRONG")</f>
        <v/>
      </c>
    </row>
    <row r="28852">
      <c r="A28852" t="n">
        <v>28851</v>
      </c>
      <c r="B28852" t="inlineStr">
        <is>
          <t>x̄x̄V̅MMMDCCCLI</t>
        </is>
      </c>
      <c r="C28852">
        <f>ROMAN(28851)</f>
        <v/>
      </c>
      <c r="D28852">
        <f>IF(B28852=C28852, "YES", "WRONG")</f>
        <v/>
      </c>
    </row>
    <row r="28853">
      <c r="A28853" t="n">
        <v>28852</v>
      </c>
      <c r="B28853" t="inlineStr">
        <is>
          <t>x̄x̄V̅MMMDCCCLII</t>
        </is>
      </c>
      <c r="C28853">
        <f>ROMAN(28852)</f>
        <v/>
      </c>
      <c r="D28853">
        <f>IF(B28853=C28853, "YES", "WRONG")</f>
        <v/>
      </c>
    </row>
    <row r="28854">
      <c r="A28854" t="n">
        <v>28853</v>
      </c>
      <c r="B28854" t="inlineStr">
        <is>
          <t>x̄x̄V̅MMMDCCCLIII</t>
        </is>
      </c>
      <c r="C28854">
        <f>ROMAN(28853)</f>
        <v/>
      </c>
      <c r="D28854">
        <f>IF(B28854=C28854, "YES", "WRONG")</f>
        <v/>
      </c>
    </row>
    <row r="28855">
      <c r="A28855" t="n">
        <v>28854</v>
      </c>
      <c r="B28855" t="inlineStr">
        <is>
          <t>x̄x̄V̅MMMDCCCLIV</t>
        </is>
      </c>
      <c r="C28855">
        <f>ROMAN(28854)</f>
        <v/>
      </c>
      <c r="D28855">
        <f>IF(B28855=C28855, "YES", "WRONG")</f>
        <v/>
      </c>
    </row>
    <row r="28856">
      <c r="A28856" t="n">
        <v>28855</v>
      </c>
      <c r="B28856" t="inlineStr">
        <is>
          <t>x̄x̄V̅MMMDCCCLV</t>
        </is>
      </c>
      <c r="C28856">
        <f>ROMAN(28855)</f>
        <v/>
      </c>
      <c r="D28856">
        <f>IF(B28856=C28856, "YES", "WRONG")</f>
        <v/>
      </c>
    </row>
    <row r="28857">
      <c r="A28857" t="n">
        <v>28856</v>
      </c>
      <c r="B28857" t="inlineStr">
        <is>
          <t>x̄x̄V̅MMMDCCCLVI</t>
        </is>
      </c>
      <c r="C28857">
        <f>ROMAN(28856)</f>
        <v/>
      </c>
      <c r="D28857">
        <f>IF(B28857=C28857, "YES", "WRONG")</f>
        <v/>
      </c>
    </row>
    <row r="28858">
      <c r="A28858" t="n">
        <v>28857</v>
      </c>
      <c r="B28858" t="inlineStr">
        <is>
          <t>x̄x̄V̅MMMDCCCLVII</t>
        </is>
      </c>
      <c r="C28858">
        <f>ROMAN(28857)</f>
        <v/>
      </c>
      <c r="D28858">
        <f>IF(B28858=C28858, "YES", "WRONG")</f>
        <v/>
      </c>
    </row>
    <row r="28859">
      <c r="A28859" t="n">
        <v>28858</v>
      </c>
      <c r="B28859" t="inlineStr">
        <is>
          <t>x̄x̄V̅MMMDCCCLVIII</t>
        </is>
      </c>
      <c r="C28859">
        <f>ROMAN(28858)</f>
        <v/>
      </c>
      <c r="D28859">
        <f>IF(B28859=C28859, "YES", "WRONG")</f>
        <v/>
      </c>
    </row>
    <row r="28860">
      <c r="A28860" t="n">
        <v>28859</v>
      </c>
      <c r="B28860" t="inlineStr">
        <is>
          <t>x̄x̄V̅MMMDCCCLIX</t>
        </is>
      </c>
      <c r="C28860">
        <f>ROMAN(28859)</f>
        <v/>
      </c>
      <c r="D28860">
        <f>IF(B28860=C28860, "YES", "WRONG")</f>
        <v/>
      </c>
    </row>
    <row r="28861">
      <c r="A28861" t="n">
        <v>28860</v>
      </c>
      <c r="B28861" t="inlineStr">
        <is>
          <t>x̄x̄V̅MMMDCCCLX</t>
        </is>
      </c>
      <c r="C28861">
        <f>ROMAN(28860)</f>
        <v/>
      </c>
      <c r="D28861">
        <f>IF(B28861=C28861, "YES", "WRONG")</f>
        <v/>
      </c>
    </row>
    <row r="28862">
      <c r="A28862" t="n">
        <v>28861</v>
      </c>
      <c r="B28862" t="inlineStr">
        <is>
          <t>x̄x̄V̅MMMDCCCLXI</t>
        </is>
      </c>
      <c r="C28862">
        <f>ROMAN(28861)</f>
        <v/>
      </c>
      <c r="D28862">
        <f>IF(B28862=C28862, "YES", "WRONG")</f>
        <v/>
      </c>
    </row>
    <row r="28863">
      <c r="A28863" t="n">
        <v>28862</v>
      </c>
      <c r="B28863" t="inlineStr">
        <is>
          <t>x̄x̄V̅MMMDCCCLXII</t>
        </is>
      </c>
      <c r="C28863">
        <f>ROMAN(28862)</f>
        <v/>
      </c>
      <c r="D28863">
        <f>IF(B28863=C28863, "YES", "WRONG")</f>
        <v/>
      </c>
    </row>
    <row r="28864">
      <c r="A28864" t="n">
        <v>28863</v>
      </c>
      <c r="B28864" t="inlineStr">
        <is>
          <t>x̄x̄V̅MMMDCCCLXIII</t>
        </is>
      </c>
      <c r="C28864">
        <f>ROMAN(28863)</f>
        <v/>
      </c>
      <c r="D28864">
        <f>IF(B28864=C28864, "YES", "WRONG")</f>
        <v/>
      </c>
    </row>
    <row r="28865">
      <c r="A28865" t="n">
        <v>28864</v>
      </c>
      <c r="B28865" t="inlineStr">
        <is>
          <t>x̄x̄V̅MMMDCCCLXIV</t>
        </is>
      </c>
      <c r="C28865">
        <f>ROMAN(28864)</f>
        <v/>
      </c>
      <c r="D28865">
        <f>IF(B28865=C28865, "YES", "WRONG")</f>
        <v/>
      </c>
    </row>
    <row r="28866">
      <c r="A28866" t="n">
        <v>28865</v>
      </c>
      <c r="B28866" t="inlineStr">
        <is>
          <t>x̄x̄V̅MMMDCCCLXV</t>
        </is>
      </c>
      <c r="C28866">
        <f>ROMAN(28865)</f>
        <v/>
      </c>
      <c r="D28866">
        <f>IF(B28866=C28866, "YES", "WRONG")</f>
        <v/>
      </c>
    </row>
    <row r="28867">
      <c r="A28867" t="n">
        <v>28866</v>
      </c>
      <c r="B28867" t="inlineStr">
        <is>
          <t>x̄x̄V̅MMMDCCCLXVI</t>
        </is>
      </c>
      <c r="C28867">
        <f>ROMAN(28866)</f>
        <v/>
      </c>
      <c r="D28867">
        <f>IF(B28867=C28867, "YES", "WRONG")</f>
        <v/>
      </c>
    </row>
    <row r="28868">
      <c r="A28868" t="n">
        <v>28867</v>
      </c>
      <c r="B28868" t="inlineStr">
        <is>
          <t>x̄x̄V̅MMMDCCCLXVII</t>
        </is>
      </c>
      <c r="C28868">
        <f>ROMAN(28867)</f>
        <v/>
      </c>
      <c r="D28868">
        <f>IF(B28868=C28868, "YES", "WRONG")</f>
        <v/>
      </c>
    </row>
    <row r="28869">
      <c r="A28869" t="n">
        <v>28868</v>
      </c>
      <c r="B28869" t="inlineStr">
        <is>
          <t>x̄x̄V̅MMMDCCCLXVIII</t>
        </is>
      </c>
      <c r="C28869">
        <f>ROMAN(28868)</f>
        <v/>
      </c>
      <c r="D28869">
        <f>IF(B28869=C28869, "YES", "WRONG")</f>
        <v/>
      </c>
    </row>
    <row r="28870">
      <c r="A28870" t="n">
        <v>28869</v>
      </c>
      <c r="B28870" t="inlineStr">
        <is>
          <t>x̄x̄V̅MMMDCCCLXIX</t>
        </is>
      </c>
      <c r="C28870">
        <f>ROMAN(28869)</f>
        <v/>
      </c>
      <c r="D28870">
        <f>IF(B28870=C28870, "YES", "WRONG")</f>
        <v/>
      </c>
    </row>
    <row r="28871">
      <c r="A28871" t="n">
        <v>28870</v>
      </c>
      <c r="B28871" t="inlineStr">
        <is>
          <t>x̄x̄V̅MMMDCCCLXX</t>
        </is>
      </c>
      <c r="C28871">
        <f>ROMAN(28870)</f>
        <v/>
      </c>
      <c r="D28871">
        <f>IF(B28871=C28871, "YES", "WRONG")</f>
        <v/>
      </c>
    </row>
    <row r="28872">
      <c r="A28872" t="n">
        <v>28871</v>
      </c>
      <c r="B28872" t="inlineStr">
        <is>
          <t>x̄x̄V̅MMMDCCCLXXI</t>
        </is>
      </c>
      <c r="C28872">
        <f>ROMAN(28871)</f>
        <v/>
      </c>
      <c r="D28872">
        <f>IF(B28872=C28872, "YES", "WRONG")</f>
        <v/>
      </c>
    </row>
    <row r="28873">
      <c r="A28873" t="n">
        <v>28872</v>
      </c>
      <c r="B28873" t="inlineStr">
        <is>
          <t>x̄x̄V̅MMMDCCCLXXII</t>
        </is>
      </c>
      <c r="C28873">
        <f>ROMAN(28872)</f>
        <v/>
      </c>
      <c r="D28873">
        <f>IF(B28873=C28873, "YES", "WRONG")</f>
        <v/>
      </c>
    </row>
    <row r="28874">
      <c r="A28874" t="n">
        <v>28873</v>
      </c>
      <c r="B28874" t="inlineStr">
        <is>
          <t>x̄x̄V̅MMMDCCCLXXIII</t>
        </is>
      </c>
      <c r="C28874">
        <f>ROMAN(28873)</f>
        <v/>
      </c>
      <c r="D28874">
        <f>IF(B28874=C28874, "YES", "WRONG")</f>
        <v/>
      </c>
    </row>
    <row r="28875">
      <c r="A28875" t="n">
        <v>28874</v>
      </c>
      <c r="B28875" t="inlineStr">
        <is>
          <t>x̄x̄V̅MMMDCCCLXXIV</t>
        </is>
      </c>
      <c r="C28875">
        <f>ROMAN(28874)</f>
        <v/>
      </c>
      <c r="D28875">
        <f>IF(B28875=C28875, "YES", "WRONG")</f>
        <v/>
      </c>
    </row>
    <row r="28876">
      <c r="A28876" t="n">
        <v>28875</v>
      </c>
      <c r="B28876" t="inlineStr">
        <is>
          <t>x̄x̄V̅MMMDCCCLXXV</t>
        </is>
      </c>
      <c r="C28876">
        <f>ROMAN(28875)</f>
        <v/>
      </c>
      <c r="D28876">
        <f>IF(B28876=C28876, "YES", "WRONG")</f>
        <v/>
      </c>
    </row>
    <row r="28877">
      <c r="A28877" t="n">
        <v>28876</v>
      </c>
      <c r="B28877" t="inlineStr">
        <is>
          <t>x̄x̄V̅MMMDCCCLXXVI</t>
        </is>
      </c>
      <c r="C28877">
        <f>ROMAN(28876)</f>
        <v/>
      </c>
      <c r="D28877">
        <f>IF(B28877=C28877, "YES", "WRONG")</f>
        <v/>
      </c>
    </row>
    <row r="28878">
      <c r="A28878" t="n">
        <v>28877</v>
      </c>
      <c r="B28878" t="inlineStr">
        <is>
          <t>x̄x̄V̅MMMDCCCLXXVII</t>
        </is>
      </c>
      <c r="C28878">
        <f>ROMAN(28877)</f>
        <v/>
      </c>
      <c r="D28878">
        <f>IF(B28878=C28878, "YES", "WRONG")</f>
        <v/>
      </c>
    </row>
    <row r="28879">
      <c r="A28879" t="n">
        <v>28878</v>
      </c>
      <c r="B28879" t="inlineStr">
        <is>
          <t>x̄x̄V̅MMMDCCCLXXVIII</t>
        </is>
      </c>
      <c r="C28879">
        <f>ROMAN(28878)</f>
        <v/>
      </c>
      <c r="D28879">
        <f>IF(B28879=C28879, "YES", "WRONG")</f>
        <v/>
      </c>
    </row>
    <row r="28880">
      <c r="A28880" t="n">
        <v>28879</v>
      </c>
      <c r="B28880" t="inlineStr">
        <is>
          <t>x̄x̄V̅MMMDCCCLXXIX</t>
        </is>
      </c>
      <c r="C28880">
        <f>ROMAN(28879)</f>
        <v/>
      </c>
      <c r="D28880">
        <f>IF(B28880=C28880, "YES", "WRONG")</f>
        <v/>
      </c>
    </row>
    <row r="28881">
      <c r="A28881" t="n">
        <v>28880</v>
      </c>
      <c r="B28881" t="inlineStr">
        <is>
          <t>x̄x̄V̅MMMDCCCLXXX</t>
        </is>
      </c>
      <c r="C28881">
        <f>ROMAN(28880)</f>
        <v/>
      </c>
      <c r="D28881">
        <f>IF(B28881=C28881, "YES", "WRONG")</f>
        <v/>
      </c>
    </row>
    <row r="28882">
      <c r="A28882" t="n">
        <v>28881</v>
      </c>
      <c r="B28882" t="inlineStr">
        <is>
          <t>x̄x̄V̅MMMDCCCLXXXI</t>
        </is>
      </c>
      <c r="C28882">
        <f>ROMAN(28881)</f>
        <v/>
      </c>
      <c r="D28882">
        <f>IF(B28882=C28882, "YES", "WRONG")</f>
        <v/>
      </c>
    </row>
    <row r="28883">
      <c r="A28883" t="n">
        <v>28882</v>
      </c>
      <c r="B28883" t="inlineStr">
        <is>
          <t>x̄x̄V̅MMMDCCCLXXXII</t>
        </is>
      </c>
      <c r="C28883">
        <f>ROMAN(28882)</f>
        <v/>
      </c>
      <c r="D28883">
        <f>IF(B28883=C28883, "YES", "WRONG")</f>
        <v/>
      </c>
    </row>
    <row r="28884">
      <c r="A28884" t="n">
        <v>28883</v>
      </c>
      <c r="B28884" t="inlineStr">
        <is>
          <t>x̄x̄V̅MMMDCCCLXXXIII</t>
        </is>
      </c>
      <c r="C28884">
        <f>ROMAN(28883)</f>
        <v/>
      </c>
      <c r="D28884">
        <f>IF(B28884=C28884, "YES", "WRONG")</f>
        <v/>
      </c>
    </row>
    <row r="28885">
      <c r="A28885" t="n">
        <v>28884</v>
      </c>
      <c r="B28885" t="inlineStr">
        <is>
          <t>x̄x̄V̅MMMDCCCLXXXIV</t>
        </is>
      </c>
      <c r="C28885">
        <f>ROMAN(28884)</f>
        <v/>
      </c>
      <c r="D28885">
        <f>IF(B28885=C28885, "YES", "WRONG")</f>
        <v/>
      </c>
    </row>
    <row r="28886">
      <c r="A28886" t="n">
        <v>28885</v>
      </c>
      <c r="B28886" t="inlineStr">
        <is>
          <t>x̄x̄V̅MMMDCCCLXXXV</t>
        </is>
      </c>
      <c r="C28886">
        <f>ROMAN(28885)</f>
        <v/>
      </c>
      <c r="D28886">
        <f>IF(B28886=C28886, "YES", "WRONG")</f>
        <v/>
      </c>
    </row>
    <row r="28887">
      <c r="A28887" t="n">
        <v>28886</v>
      </c>
      <c r="B28887" t="inlineStr">
        <is>
          <t>x̄x̄V̅MMMDCCCLXXXVI</t>
        </is>
      </c>
      <c r="C28887">
        <f>ROMAN(28886)</f>
        <v/>
      </c>
      <c r="D28887">
        <f>IF(B28887=C28887, "YES", "WRONG")</f>
        <v/>
      </c>
    </row>
    <row r="28888">
      <c r="A28888" t="n">
        <v>28887</v>
      </c>
      <c r="B28888" t="inlineStr">
        <is>
          <t>x̄x̄V̅MMMDCCCLXXXVII</t>
        </is>
      </c>
      <c r="C28888">
        <f>ROMAN(28887)</f>
        <v/>
      </c>
      <c r="D28888">
        <f>IF(B28888=C28888, "YES", "WRONG")</f>
        <v/>
      </c>
    </row>
    <row r="28889">
      <c r="A28889" t="n">
        <v>28888</v>
      </c>
      <c r="B28889" t="inlineStr">
        <is>
          <t>x̄x̄V̅MMMDCCCLXXXVIII</t>
        </is>
      </c>
      <c r="C28889">
        <f>ROMAN(28888)</f>
        <v/>
      </c>
      <c r="D28889">
        <f>IF(B28889=C28889, "YES", "WRONG")</f>
        <v/>
      </c>
    </row>
    <row r="28890">
      <c r="A28890" t="n">
        <v>28889</v>
      </c>
      <c r="B28890" t="inlineStr">
        <is>
          <t>x̄x̄V̅MMMDCCCLXXXIX</t>
        </is>
      </c>
      <c r="C28890">
        <f>ROMAN(28889)</f>
        <v/>
      </c>
      <c r="D28890">
        <f>IF(B28890=C28890, "YES", "WRONG")</f>
        <v/>
      </c>
    </row>
    <row r="28891">
      <c r="A28891" t="n">
        <v>28890</v>
      </c>
      <c r="B28891" t="inlineStr">
        <is>
          <t>x̄x̄V̅MMMDCCCXC</t>
        </is>
      </c>
      <c r="C28891">
        <f>ROMAN(28890)</f>
        <v/>
      </c>
      <c r="D28891">
        <f>IF(B28891=C28891, "YES", "WRONG")</f>
        <v/>
      </c>
    </row>
    <row r="28892">
      <c r="A28892" t="n">
        <v>28891</v>
      </c>
      <c r="B28892" t="inlineStr">
        <is>
          <t>x̄x̄V̅MMMDCCCXCI</t>
        </is>
      </c>
      <c r="C28892">
        <f>ROMAN(28891)</f>
        <v/>
      </c>
      <c r="D28892">
        <f>IF(B28892=C28892, "YES", "WRONG")</f>
        <v/>
      </c>
    </row>
    <row r="28893">
      <c r="A28893" t="n">
        <v>28892</v>
      </c>
      <c r="B28893" t="inlineStr">
        <is>
          <t>x̄x̄V̅MMMDCCCXCII</t>
        </is>
      </c>
      <c r="C28893">
        <f>ROMAN(28892)</f>
        <v/>
      </c>
      <c r="D28893">
        <f>IF(B28893=C28893, "YES", "WRONG")</f>
        <v/>
      </c>
    </row>
    <row r="28894">
      <c r="A28894" t="n">
        <v>28893</v>
      </c>
      <c r="B28894" t="inlineStr">
        <is>
          <t>x̄x̄V̅MMMDCCCXCIII</t>
        </is>
      </c>
      <c r="C28894">
        <f>ROMAN(28893)</f>
        <v/>
      </c>
      <c r="D28894">
        <f>IF(B28894=C28894, "YES", "WRONG")</f>
        <v/>
      </c>
    </row>
    <row r="28895">
      <c r="A28895" t="n">
        <v>28894</v>
      </c>
      <c r="B28895" t="inlineStr">
        <is>
          <t>x̄x̄V̅MMMDCCCXCIV</t>
        </is>
      </c>
      <c r="C28895">
        <f>ROMAN(28894)</f>
        <v/>
      </c>
      <c r="D28895">
        <f>IF(B28895=C28895, "YES", "WRONG")</f>
        <v/>
      </c>
    </row>
    <row r="28896">
      <c r="A28896" t="n">
        <v>28895</v>
      </c>
      <c r="B28896" t="inlineStr">
        <is>
          <t>x̄x̄V̅MMMDCCCXCV</t>
        </is>
      </c>
      <c r="C28896">
        <f>ROMAN(28895)</f>
        <v/>
      </c>
      <c r="D28896">
        <f>IF(B28896=C28896, "YES", "WRONG")</f>
        <v/>
      </c>
    </row>
    <row r="28897">
      <c r="A28897" t="n">
        <v>28896</v>
      </c>
      <c r="B28897" t="inlineStr">
        <is>
          <t>x̄x̄V̅MMMDCCCXCVI</t>
        </is>
      </c>
      <c r="C28897">
        <f>ROMAN(28896)</f>
        <v/>
      </c>
      <c r="D28897">
        <f>IF(B28897=C28897, "YES", "WRONG")</f>
        <v/>
      </c>
    </row>
    <row r="28898">
      <c r="A28898" t="n">
        <v>28897</v>
      </c>
      <c r="B28898" t="inlineStr">
        <is>
          <t>x̄x̄V̅MMMDCCCXCVII</t>
        </is>
      </c>
      <c r="C28898">
        <f>ROMAN(28897)</f>
        <v/>
      </c>
      <c r="D28898">
        <f>IF(B28898=C28898, "YES", "WRONG")</f>
        <v/>
      </c>
    </row>
    <row r="28899">
      <c r="A28899" t="n">
        <v>28898</v>
      </c>
      <c r="B28899" t="inlineStr">
        <is>
          <t>x̄x̄V̅MMMDCCCXCVIII</t>
        </is>
      </c>
      <c r="C28899">
        <f>ROMAN(28898)</f>
        <v/>
      </c>
      <c r="D28899">
        <f>IF(B28899=C28899, "YES", "WRONG")</f>
        <v/>
      </c>
    </row>
    <row r="28900">
      <c r="A28900" t="n">
        <v>28899</v>
      </c>
      <c r="B28900" t="inlineStr">
        <is>
          <t>x̄x̄V̅MMMDCCCXCIX</t>
        </is>
      </c>
      <c r="C28900">
        <f>ROMAN(28899)</f>
        <v/>
      </c>
      <c r="D28900">
        <f>IF(B28900=C28900, "YES", "WRONG")</f>
        <v/>
      </c>
    </row>
    <row r="28901">
      <c r="A28901" t="n">
        <v>28900</v>
      </c>
      <c r="B28901" t="inlineStr">
        <is>
          <t>x̄x̄V̅MMMCM</t>
        </is>
      </c>
      <c r="C28901">
        <f>ROMAN(28900)</f>
        <v/>
      </c>
      <c r="D28901">
        <f>IF(B28901=C28901, "YES", "WRONG")</f>
        <v/>
      </c>
    </row>
    <row r="28902">
      <c r="A28902" t="n">
        <v>28901</v>
      </c>
      <c r="B28902" t="inlineStr">
        <is>
          <t>x̄x̄V̅MMMCMI</t>
        </is>
      </c>
      <c r="C28902">
        <f>ROMAN(28901)</f>
        <v/>
      </c>
      <c r="D28902">
        <f>IF(B28902=C28902, "YES", "WRONG")</f>
        <v/>
      </c>
    </row>
    <row r="28903">
      <c r="A28903" t="n">
        <v>28902</v>
      </c>
      <c r="B28903" t="inlineStr">
        <is>
          <t>x̄x̄V̅MMMCMII</t>
        </is>
      </c>
      <c r="C28903">
        <f>ROMAN(28902)</f>
        <v/>
      </c>
      <c r="D28903">
        <f>IF(B28903=C28903, "YES", "WRONG")</f>
        <v/>
      </c>
    </row>
    <row r="28904">
      <c r="A28904" t="n">
        <v>28903</v>
      </c>
      <c r="B28904" t="inlineStr">
        <is>
          <t>x̄x̄V̅MMMCMIII</t>
        </is>
      </c>
      <c r="C28904">
        <f>ROMAN(28903)</f>
        <v/>
      </c>
      <c r="D28904">
        <f>IF(B28904=C28904, "YES", "WRONG")</f>
        <v/>
      </c>
    </row>
    <row r="28905">
      <c r="A28905" t="n">
        <v>28904</v>
      </c>
      <c r="B28905" t="inlineStr">
        <is>
          <t>x̄x̄V̅MMMCMIV</t>
        </is>
      </c>
      <c r="C28905">
        <f>ROMAN(28904)</f>
        <v/>
      </c>
      <c r="D28905">
        <f>IF(B28905=C28905, "YES", "WRONG")</f>
        <v/>
      </c>
    </row>
    <row r="28906">
      <c r="A28906" t="n">
        <v>28905</v>
      </c>
      <c r="B28906" t="inlineStr">
        <is>
          <t>x̄x̄V̅MMMCMV</t>
        </is>
      </c>
      <c r="C28906">
        <f>ROMAN(28905)</f>
        <v/>
      </c>
      <c r="D28906">
        <f>IF(B28906=C28906, "YES", "WRONG")</f>
        <v/>
      </c>
    </row>
    <row r="28907">
      <c r="A28907" t="n">
        <v>28906</v>
      </c>
      <c r="B28907" t="inlineStr">
        <is>
          <t>x̄x̄V̅MMMCMVI</t>
        </is>
      </c>
      <c r="C28907">
        <f>ROMAN(28906)</f>
        <v/>
      </c>
      <c r="D28907">
        <f>IF(B28907=C28907, "YES", "WRONG")</f>
        <v/>
      </c>
    </row>
    <row r="28908">
      <c r="A28908" t="n">
        <v>28907</v>
      </c>
      <c r="B28908" t="inlineStr">
        <is>
          <t>x̄x̄V̅MMMCMVII</t>
        </is>
      </c>
      <c r="C28908">
        <f>ROMAN(28907)</f>
        <v/>
      </c>
      <c r="D28908">
        <f>IF(B28908=C28908, "YES", "WRONG")</f>
        <v/>
      </c>
    </row>
    <row r="28909">
      <c r="A28909" t="n">
        <v>28908</v>
      </c>
      <c r="B28909" t="inlineStr">
        <is>
          <t>x̄x̄V̅MMMCMVIII</t>
        </is>
      </c>
      <c r="C28909">
        <f>ROMAN(28908)</f>
        <v/>
      </c>
      <c r="D28909">
        <f>IF(B28909=C28909, "YES", "WRONG")</f>
        <v/>
      </c>
    </row>
    <row r="28910">
      <c r="A28910" t="n">
        <v>28909</v>
      </c>
      <c r="B28910" t="inlineStr">
        <is>
          <t>x̄x̄V̅MMMCMIX</t>
        </is>
      </c>
      <c r="C28910">
        <f>ROMAN(28909)</f>
        <v/>
      </c>
      <c r="D28910">
        <f>IF(B28910=C28910, "YES", "WRONG")</f>
        <v/>
      </c>
    </row>
    <row r="28911">
      <c r="A28911" t="n">
        <v>28910</v>
      </c>
      <c r="B28911" t="inlineStr">
        <is>
          <t>x̄x̄V̅MMMCMX</t>
        </is>
      </c>
      <c r="C28911">
        <f>ROMAN(28910)</f>
        <v/>
      </c>
      <c r="D28911">
        <f>IF(B28911=C28911, "YES", "WRONG")</f>
        <v/>
      </c>
    </row>
    <row r="28912">
      <c r="A28912" t="n">
        <v>28911</v>
      </c>
      <c r="B28912" t="inlineStr">
        <is>
          <t>x̄x̄V̅MMMCMXI</t>
        </is>
      </c>
      <c r="C28912">
        <f>ROMAN(28911)</f>
        <v/>
      </c>
      <c r="D28912">
        <f>IF(B28912=C28912, "YES", "WRONG")</f>
        <v/>
      </c>
    </row>
    <row r="28913">
      <c r="A28913" t="n">
        <v>28912</v>
      </c>
      <c r="B28913" t="inlineStr">
        <is>
          <t>x̄x̄V̅MMMCMXII</t>
        </is>
      </c>
      <c r="C28913">
        <f>ROMAN(28912)</f>
        <v/>
      </c>
      <c r="D28913">
        <f>IF(B28913=C28913, "YES", "WRONG")</f>
        <v/>
      </c>
    </row>
    <row r="28914">
      <c r="A28914" t="n">
        <v>28913</v>
      </c>
      <c r="B28914" t="inlineStr">
        <is>
          <t>x̄x̄V̅MMMCMXIII</t>
        </is>
      </c>
      <c r="C28914">
        <f>ROMAN(28913)</f>
        <v/>
      </c>
      <c r="D28914">
        <f>IF(B28914=C28914, "YES", "WRONG")</f>
        <v/>
      </c>
    </row>
    <row r="28915">
      <c r="A28915" t="n">
        <v>28914</v>
      </c>
      <c r="B28915" t="inlineStr">
        <is>
          <t>x̄x̄V̅MMMCMXIV</t>
        </is>
      </c>
      <c r="C28915">
        <f>ROMAN(28914)</f>
        <v/>
      </c>
      <c r="D28915">
        <f>IF(B28915=C28915, "YES", "WRONG")</f>
        <v/>
      </c>
    </row>
    <row r="28916">
      <c r="A28916" t="n">
        <v>28915</v>
      </c>
      <c r="B28916" t="inlineStr">
        <is>
          <t>x̄x̄V̅MMMCMXV</t>
        </is>
      </c>
      <c r="C28916">
        <f>ROMAN(28915)</f>
        <v/>
      </c>
      <c r="D28916">
        <f>IF(B28916=C28916, "YES", "WRONG")</f>
        <v/>
      </c>
    </row>
    <row r="28917">
      <c r="A28917" t="n">
        <v>28916</v>
      </c>
      <c r="B28917" t="inlineStr">
        <is>
          <t>x̄x̄V̅MMMCMXVI</t>
        </is>
      </c>
      <c r="C28917">
        <f>ROMAN(28916)</f>
        <v/>
      </c>
      <c r="D28917">
        <f>IF(B28917=C28917, "YES", "WRONG")</f>
        <v/>
      </c>
    </row>
    <row r="28918">
      <c r="A28918" t="n">
        <v>28917</v>
      </c>
      <c r="B28918" t="inlineStr">
        <is>
          <t>x̄x̄V̅MMMCMXVII</t>
        </is>
      </c>
      <c r="C28918">
        <f>ROMAN(28917)</f>
        <v/>
      </c>
      <c r="D28918">
        <f>IF(B28918=C28918, "YES", "WRONG")</f>
        <v/>
      </c>
    </row>
    <row r="28919">
      <c r="A28919" t="n">
        <v>28918</v>
      </c>
      <c r="B28919" t="inlineStr">
        <is>
          <t>x̄x̄V̅MMMCMXVIII</t>
        </is>
      </c>
      <c r="C28919">
        <f>ROMAN(28918)</f>
        <v/>
      </c>
      <c r="D28919">
        <f>IF(B28919=C28919, "YES", "WRONG")</f>
        <v/>
      </c>
    </row>
    <row r="28920">
      <c r="A28920" t="n">
        <v>28919</v>
      </c>
      <c r="B28920" t="inlineStr">
        <is>
          <t>x̄x̄V̅MMMCMXIX</t>
        </is>
      </c>
      <c r="C28920">
        <f>ROMAN(28919)</f>
        <v/>
      </c>
      <c r="D28920">
        <f>IF(B28920=C28920, "YES", "WRONG")</f>
        <v/>
      </c>
    </row>
    <row r="28921">
      <c r="A28921" t="n">
        <v>28920</v>
      </c>
      <c r="B28921" t="inlineStr">
        <is>
          <t>x̄x̄V̅MMMCMXX</t>
        </is>
      </c>
      <c r="C28921">
        <f>ROMAN(28920)</f>
        <v/>
      </c>
      <c r="D28921">
        <f>IF(B28921=C28921, "YES", "WRONG")</f>
        <v/>
      </c>
    </row>
    <row r="28922">
      <c r="A28922" t="n">
        <v>28921</v>
      </c>
      <c r="B28922" t="inlineStr">
        <is>
          <t>x̄x̄V̅MMMCMXXI</t>
        </is>
      </c>
      <c r="C28922">
        <f>ROMAN(28921)</f>
        <v/>
      </c>
      <c r="D28922">
        <f>IF(B28922=C28922, "YES", "WRONG")</f>
        <v/>
      </c>
    </row>
    <row r="28923">
      <c r="A28923" t="n">
        <v>28922</v>
      </c>
      <c r="B28923" t="inlineStr">
        <is>
          <t>x̄x̄V̅MMMCMXXII</t>
        </is>
      </c>
      <c r="C28923">
        <f>ROMAN(28922)</f>
        <v/>
      </c>
      <c r="D28923">
        <f>IF(B28923=C28923, "YES", "WRONG")</f>
        <v/>
      </c>
    </row>
    <row r="28924">
      <c r="A28924" t="n">
        <v>28923</v>
      </c>
      <c r="B28924" t="inlineStr">
        <is>
          <t>x̄x̄V̅MMMCMXXIII</t>
        </is>
      </c>
      <c r="C28924">
        <f>ROMAN(28923)</f>
        <v/>
      </c>
      <c r="D28924">
        <f>IF(B28924=C28924, "YES", "WRONG")</f>
        <v/>
      </c>
    </row>
    <row r="28925">
      <c r="A28925" t="n">
        <v>28924</v>
      </c>
      <c r="B28925" t="inlineStr">
        <is>
          <t>x̄x̄V̅MMMCMXXIV</t>
        </is>
      </c>
      <c r="C28925">
        <f>ROMAN(28924)</f>
        <v/>
      </c>
      <c r="D28925">
        <f>IF(B28925=C28925, "YES", "WRONG")</f>
        <v/>
      </c>
    </row>
    <row r="28926">
      <c r="A28926" t="n">
        <v>28925</v>
      </c>
      <c r="B28926" t="inlineStr">
        <is>
          <t>x̄x̄V̅MMMCMXXV</t>
        </is>
      </c>
      <c r="C28926">
        <f>ROMAN(28925)</f>
        <v/>
      </c>
      <c r="D28926">
        <f>IF(B28926=C28926, "YES", "WRONG")</f>
        <v/>
      </c>
    </row>
    <row r="28927">
      <c r="A28927" t="n">
        <v>28926</v>
      </c>
      <c r="B28927" t="inlineStr">
        <is>
          <t>x̄x̄V̅MMMCMXXVI</t>
        </is>
      </c>
      <c r="C28927">
        <f>ROMAN(28926)</f>
        <v/>
      </c>
      <c r="D28927">
        <f>IF(B28927=C28927, "YES", "WRONG")</f>
        <v/>
      </c>
    </row>
    <row r="28928">
      <c r="A28928" t="n">
        <v>28927</v>
      </c>
      <c r="B28928" t="inlineStr">
        <is>
          <t>x̄x̄V̅MMMCMXXVII</t>
        </is>
      </c>
      <c r="C28928">
        <f>ROMAN(28927)</f>
        <v/>
      </c>
      <c r="D28928">
        <f>IF(B28928=C28928, "YES", "WRONG")</f>
        <v/>
      </c>
    </row>
    <row r="28929">
      <c r="A28929" t="n">
        <v>28928</v>
      </c>
      <c r="B28929" t="inlineStr">
        <is>
          <t>x̄x̄V̅MMMCMXXVIII</t>
        </is>
      </c>
      <c r="C28929">
        <f>ROMAN(28928)</f>
        <v/>
      </c>
      <c r="D28929">
        <f>IF(B28929=C28929, "YES", "WRONG")</f>
        <v/>
      </c>
    </row>
    <row r="28930">
      <c r="A28930" t="n">
        <v>28929</v>
      </c>
      <c r="B28930" t="inlineStr">
        <is>
          <t>x̄x̄V̅MMMCMXXIX</t>
        </is>
      </c>
      <c r="C28930">
        <f>ROMAN(28929)</f>
        <v/>
      </c>
      <c r="D28930">
        <f>IF(B28930=C28930, "YES", "WRONG")</f>
        <v/>
      </c>
    </row>
    <row r="28931">
      <c r="A28931" t="n">
        <v>28930</v>
      </c>
      <c r="B28931" t="inlineStr">
        <is>
          <t>x̄x̄V̅MMMCMXXX</t>
        </is>
      </c>
      <c r="C28931">
        <f>ROMAN(28930)</f>
        <v/>
      </c>
      <c r="D28931">
        <f>IF(B28931=C28931, "YES", "WRONG")</f>
        <v/>
      </c>
    </row>
    <row r="28932">
      <c r="A28932" t="n">
        <v>28931</v>
      </c>
      <c r="B28932" t="inlineStr">
        <is>
          <t>x̄x̄V̅MMMCMXXXI</t>
        </is>
      </c>
      <c r="C28932">
        <f>ROMAN(28931)</f>
        <v/>
      </c>
      <c r="D28932">
        <f>IF(B28932=C28932, "YES", "WRONG")</f>
        <v/>
      </c>
    </row>
    <row r="28933">
      <c r="A28933" t="n">
        <v>28932</v>
      </c>
      <c r="B28933" t="inlineStr">
        <is>
          <t>x̄x̄V̅MMMCMXXXII</t>
        </is>
      </c>
      <c r="C28933">
        <f>ROMAN(28932)</f>
        <v/>
      </c>
      <c r="D28933">
        <f>IF(B28933=C28933, "YES", "WRONG")</f>
        <v/>
      </c>
    </row>
    <row r="28934">
      <c r="A28934" t="n">
        <v>28933</v>
      </c>
      <c r="B28934" t="inlineStr">
        <is>
          <t>x̄x̄V̅MMMCMXXXIII</t>
        </is>
      </c>
      <c r="C28934">
        <f>ROMAN(28933)</f>
        <v/>
      </c>
      <c r="D28934">
        <f>IF(B28934=C28934, "YES", "WRONG")</f>
        <v/>
      </c>
    </row>
    <row r="28935">
      <c r="A28935" t="n">
        <v>28934</v>
      </c>
      <c r="B28935" t="inlineStr">
        <is>
          <t>x̄x̄V̅MMMCMXXXIV</t>
        </is>
      </c>
      <c r="C28935">
        <f>ROMAN(28934)</f>
        <v/>
      </c>
      <c r="D28935">
        <f>IF(B28935=C28935, "YES", "WRONG")</f>
        <v/>
      </c>
    </row>
    <row r="28936">
      <c r="A28936" t="n">
        <v>28935</v>
      </c>
      <c r="B28936" t="inlineStr">
        <is>
          <t>x̄x̄V̅MMMCMXXXV</t>
        </is>
      </c>
      <c r="C28936">
        <f>ROMAN(28935)</f>
        <v/>
      </c>
      <c r="D28936">
        <f>IF(B28936=C28936, "YES", "WRONG")</f>
        <v/>
      </c>
    </row>
    <row r="28937">
      <c r="A28937" t="n">
        <v>28936</v>
      </c>
      <c r="B28937" t="inlineStr">
        <is>
          <t>x̄x̄V̅MMMCMXXXVI</t>
        </is>
      </c>
      <c r="C28937">
        <f>ROMAN(28936)</f>
        <v/>
      </c>
      <c r="D28937">
        <f>IF(B28937=C28937, "YES", "WRONG")</f>
        <v/>
      </c>
    </row>
    <row r="28938">
      <c r="A28938" t="n">
        <v>28937</v>
      </c>
      <c r="B28938" t="inlineStr">
        <is>
          <t>x̄x̄V̅MMMCMXXXVII</t>
        </is>
      </c>
      <c r="C28938">
        <f>ROMAN(28937)</f>
        <v/>
      </c>
      <c r="D28938">
        <f>IF(B28938=C28938, "YES", "WRONG")</f>
        <v/>
      </c>
    </row>
    <row r="28939">
      <c r="A28939" t="n">
        <v>28938</v>
      </c>
      <c r="B28939" t="inlineStr">
        <is>
          <t>x̄x̄V̅MMMCMXXXVIII</t>
        </is>
      </c>
      <c r="C28939">
        <f>ROMAN(28938)</f>
        <v/>
      </c>
      <c r="D28939">
        <f>IF(B28939=C28939, "YES", "WRONG")</f>
        <v/>
      </c>
    </row>
    <row r="28940">
      <c r="A28940" t="n">
        <v>28939</v>
      </c>
      <c r="B28940" t="inlineStr">
        <is>
          <t>x̄x̄V̅MMMCMXXXIX</t>
        </is>
      </c>
      <c r="C28940">
        <f>ROMAN(28939)</f>
        <v/>
      </c>
      <c r="D28940">
        <f>IF(B28940=C28940, "YES", "WRONG")</f>
        <v/>
      </c>
    </row>
    <row r="28941">
      <c r="A28941" t="n">
        <v>28940</v>
      </c>
      <c r="B28941" t="inlineStr">
        <is>
          <t>x̄x̄V̅MMMCMXL</t>
        </is>
      </c>
      <c r="C28941">
        <f>ROMAN(28940)</f>
        <v/>
      </c>
      <c r="D28941">
        <f>IF(B28941=C28941, "YES", "WRONG")</f>
        <v/>
      </c>
    </row>
    <row r="28942">
      <c r="A28942" t="n">
        <v>28941</v>
      </c>
      <c r="B28942" t="inlineStr">
        <is>
          <t>x̄x̄V̅MMMCMXLI</t>
        </is>
      </c>
      <c r="C28942">
        <f>ROMAN(28941)</f>
        <v/>
      </c>
      <c r="D28942">
        <f>IF(B28942=C28942, "YES", "WRONG")</f>
        <v/>
      </c>
    </row>
    <row r="28943">
      <c r="A28943" t="n">
        <v>28942</v>
      </c>
      <c r="B28943" t="inlineStr">
        <is>
          <t>x̄x̄V̅MMMCMXLII</t>
        </is>
      </c>
      <c r="C28943">
        <f>ROMAN(28942)</f>
        <v/>
      </c>
      <c r="D28943">
        <f>IF(B28943=C28943, "YES", "WRONG")</f>
        <v/>
      </c>
    </row>
    <row r="28944">
      <c r="A28944" t="n">
        <v>28943</v>
      </c>
      <c r="B28944" t="inlineStr">
        <is>
          <t>x̄x̄V̅MMMCMXLIII</t>
        </is>
      </c>
      <c r="C28944">
        <f>ROMAN(28943)</f>
        <v/>
      </c>
      <c r="D28944">
        <f>IF(B28944=C28944, "YES", "WRONG")</f>
        <v/>
      </c>
    </row>
    <row r="28945">
      <c r="A28945" t="n">
        <v>28944</v>
      </c>
      <c r="B28945" t="inlineStr">
        <is>
          <t>x̄x̄V̅MMMCMXLIV</t>
        </is>
      </c>
      <c r="C28945">
        <f>ROMAN(28944)</f>
        <v/>
      </c>
      <c r="D28945">
        <f>IF(B28945=C28945, "YES", "WRONG")</f>
        <v/>
      </c>
    </row>
    <row r="28946">
      <c r="A28946" t="n">
        <v>28945</v>
      </c>
      <c r="B28946" t="inlineStr">
        <is>
          <t>x̄x̄V̅MMMCMXLV</t>
        </is>
      </c>
      <c r="C28946">
        <f>ROMAN(28945)</f>
        <v/>
      </c>
      <c r="D28946">
        <f>IF(B28946=C28946, "YES", "WRONG")</f>
        <v/>
      </c>
    </row>
    <row r="28947">
      <c r="A28947" t="n">
        <v>28946</v>
      </c>
      <c r="B28947" t="inlineStr">
        <is>
          <t>x̄x̄V̅MMMCMXLVI</t>
        </is>
      </c>
      <c r="C28947">
        <f>ROMAN(28946)</f>
        <v/>
      </c>
      <c r="D28947">
        <f>IF(B28947=C28947, "YES", "WRONG")</f>
        <v/>
      </c>
    </row>
    <row r="28948">
      <c r="A28948" t="n">
        <v>28947</v>
      </c>
      <c r="B28948" t="inlineStr">
        <is>
          <t>x̄x̄V̅MMMCMXLVII</t>
        </is>
      </c>
      <c r="C28948">
        <f>ROMAN(28947)</f>
        <v/>
      </c>
      <c r="D28948">
        <f>IF(B28948=C28948, "YES", "WRONG")</f>
        <v/>
      </c>
    </row>
    <row r="28949">
      <c r="A28949" t="n">
        <v>28948</v>
      </c>
      <c r="B28949" t="inlineStr">
        <is>
          <t>x̄x̄V̅MMMCMXLVIII</t>
        </is>
      </c>
      <c r="C28949">
        <f>ROMAN(28948)</f>
        <v/>
      </c>
      <c r="D28949">
        <f>IF(B28949=C28949, "YES", "WRONG")</f>
        <v/>
      </c>
    </row>
    <row r="28950">
      <c r="A28950" t="n">
        <v>28949</v>
      </c>
      <c r="B28950" t="inlineStr">
        <is>
          <t>x̄x̄V̅MMMCMXLIX</t>
        </is>
      </c>
      <c r="C28950">
        <f>ROMAN(28949)</f>
        <v/>
      </c>
      <c r="D28950">
        <f>IF(B28950=C28950, "YES", "WRONG")</f>
        <v/>
      </c>
    </row>
    <row r="28951">
      <c r="A28951" t="n">
        <v>28950</v>
      </c>
      <c r="B28951" t="inlineStr">
        <is>
          <t>x̄x̄V̅MMMCML</t>
        </is>
      </c>
      <c r="C28951">
        <f>ROMAN(28950)</f>
        <v/>
      </c>
      <c r="D28951">
        <f>IF(B28951=C28951, "YES", "WRONG")</f>
        <v/>
      </c>
    </row>
    <row r="28952">
      <c r="A28952" t="n">
        <v>28951</v>
      </c>
      <c r="B28952" t="inlineStr">
        <is>
          <t>x̄x̄V̅MMMCMLI</t>
        </is>
      </c>
      <c r="C28952">
        <f>ROMAN(28951)</f>
        <v/>
      </c>
      <c r="D28952">
        <f>IF(B28952=C28952, "YES", "WRONG")</f>
        <v/>
      </c>
    </row>
    <row r="28953">
      <c r="A28953" t="n">
        <v>28952</v>
      </c>
      <c r="B28953" t="inlineStr">
        <is>
          <t>x̄x̄V̅MMMCMLII</t>
        </is>
      </c>
      <c r="C28953">
        <f>ROMAN(28952)</f>
        <v/>
      </c>
      <c r="D28953">
        <f>IF(B28953=C28953, "YES", "WRONG")</f>
        <v/>
      </c>
    </row>
    <row r="28954">
      <c r="A28954" t="n">
        <v>28953</v>
      </c>
      <c r="B28954" t="inlineStr">
        <is>
          <t>x̄x̄V̅MMMCMLIII</t>
        </is>
      </c>
      <c r="C28954">
        <f>ROMAN(28953)</f>
        <v/>
      </c>
      <c r="D28954">
        <f>IF(B28954=C28954, "YES", "WRONG")</f>
        <v/>
      </c>
    </row>
    <row r="28955">
      <c r="A28955" t="n">
        <v>28954</v>
      </c>
      <c r="B28955" t="inlineStr">
        <is>
          <t>x̄x̄V̅MMMCMLIV</t>
        </is>
      </c>
      <c r="C28955">
        <f>ROMAN(28954)</f>
        <v/>
      </c>
      <c r="D28955">
        <f>IF(B28955=C28955, "YES", "WRONG")</f>
        <v/>
      </c>
    </row>
    <row r="28956">
      <c r="A28956" t="n">
        <v>28955</v>
      </c>
      <c r="B28956" t="inlineStr">
        <is>
          <t>x̄x̄V̅MMMCMLV</t>
        </is>
      </c>
      <c r="C28956">
        <f>ROMAN(28955)</f>
        <v/>
      </c>
      <c r="D28956">
        <f>IF(B28956=C28956, "YES", "WRONG")</f>
        <v/>
      </c>
    </row>
    <row r="28957">
      <c r="A28957" t="n">
        <v>28956</v>
      </c>
      <c r="B28957" t="inlineStr">
        <is>
          <t>x̄x̄V̅MMMCMLVI</t>
        </is>
      </c>
      <c r="C28957">
        <f>ROMAN(28956)</f>
        <v/>
      </c>
      <c r="D28957">
        <f>IF(B28957=C28957, "YES", "WRONG")</f>
        <v/>
      </c>
    </row>
    <row r="28958">
      <c r="A28958" t="n">
        <v>28957</v>
      </c>
      <c r="B28958" t="inlineStr">
        <is>
          <t>x̄x̄V̅MMMCMLVII</t>
        </is>
      </c>
      <c r="C28958">
        <f>ROMAN(28957)</f>
        <v/>
      </c>
      <c r="D28958">
        <f>IF(B28958=C28958, "YES", "WRONG")</f>
        <v/>
      </c>
    </row>
    <row r="28959">
      <c r="A28959" t="n">
        <v>28958</v>
      </c>
      <c r="B28959" t="inlineStr">
        <is>
          <t>x̄x̄V̅MMMCMLVIII</t>
        </is>
      </c>
      <c r="C28959">
        <f>ROMAN(28958)</f>
        <v/>
      </c>
      <c r="D28959">
        <f>IF(B28959=C28959, "YES", "WRONG")</f>
        <v/>
      </c>
    </row>
    <row r="28960">
      <c r="A28960" t="n">
        <v>28959</v>
      </c>
      <c r="B28960" t="inlineStr">
        <is>
          <t>x̄x̄V̅MMMCMLIX</t>
        </is>
      </c>
      <c r="C28960">
        <f>ROMAN(28959)</f>
        <v/>
      </c>
      <c r="D28960">
        <f>IF(B28960=C28960, "YES", "WRONG")</f>
        <v/>
      </c>
    </row>
    <row r="28961">
      <c r="A28961" t="n">
        <v>28960</v>
      </c>
      <c r="B28961" t="inlineStr">
        <is>
          <t>x̄x̄V̅MMMCMLX</t>
        </is>
      </c>
      <c r="C28961">
        <f>ROMAN(28960)</f>
        <v/>
      </c>
      <c r="D28961">
        <f>IF(B28961=C28961, "YES", "WRONG")</f>
        <v/>
      </c>
    </row>
    <row r="28962">
      <c r="A28962" t="n">
        <v>28961</v>
      </c>
      <c r="B28962" t="inlineStr">
        <is>
          <t>x̄x̄V̅MMMCMLXI</t>
        </is>
      </c>
      <c r="C28962">
        <f>ROMAN(28961)</f>
        <v/>
      </c>
      <c r="D28962">
        <f>IF(B28962=C28962, "YES", "WRONG")</f>
        <v/>
      </c>
    </row>
    <row r="28963">
      <c r="A28963" t="n">
        <v>28962</v>
      </c>
      <c r="B28963" t="inlineStr">
        <is>
          <t>x̄x̄V̅MMMCMLXII</t>
        </is>
      </c>
      <c r="C28963">
        <f>ROMAN(28962)</f>
        <v/>
      </c>
      <c r="D28963">
        <f>IF(B28963=C28963, "YES", "WRONG")</f>
        <v/>
      </c>
    </row>
    <row r="28964">
      <c r="A28964" t="n">
        <v>28963</v>
      </c>
      <c r="B28964" t="inlineStr">
        <is>
          <t>x̄x̄V̅MMMCMLXIII</t>
        </is>
      </c>
      <c r="C28964">
        <f>ROMAN(28963)</f>
        <v/>
      </c>
      <c r="D28964">
        <f>IF(B28964=C28964, "YES", "WRONG")</f>
        <v/>
      </c>
    </row>
    <row r="28965">
      <c r="A28965" t="n">
        <v>28964</v>
      </c>
      <c r="B28965" t="inlineStr">
        <is>
          <t>x̄x̄V̅MMMCMLXIV</t>
        </is>
      </c>
      <c r="C28965">
        <f>ROMAN(28964)</f>
        <v/>
      </c>
      <c r="D28965">
        <f>IF(B28965=C28965, "YES", "WRONG")</f>
        <v/>
      </c>
    </row>
    <row r="28966">
      <c r="A28966" t="n">
        <v>28965</v>
      </c>
      <c r="B28966" t="inlineStr">
        <is>
          <t>x̄x̄V̅MMMCMLXV</t>
        </is>
      </c>
      <c r="C28966">
        <f>ROMAN(28965)</f>
        <v/>
      </c>
      <c r="D28966">
        <f>IF(B28966=C28966, "YES", "WRONG")</f>
        <v/>
      </c>
    </row>
    <row r="28967">
      <c r="A28967" t="n">
        <v>28966</v>
      </c>
      <c r="B28967" t="inlineStr">
        <is>
          <t>x̄x̄V̅MMMCMLXVI</t>
        </is>
      </c>
      <c r="C28967">
        <f>ROMAN(28966)</f>
        <v/>
      </c>
      <c r="D28967">
        <f>IF(B28967=C28967, "YES", "WRONG")</f>
        <v/>
      </c>
    </row>
    <row r="28968">
      <c r="A28968" t="n">
        <v>28967</v>
      </c>
      <c r="B28968" t="inlineStr">
        <is>
          <t>x̄x̄V̅MMMCMLXVII</t>
        </is>
      </c>
      <c r="C28968">
        <f>ROMAN(28967)</f>
        <v/>
      </c>
      <c r="D28968">
        <f>IF(B28968=C28968, "YES", "WRONG")</f>
        <v/>
      </c>
    </row>
    <row r="28969">
      <c r="A28969" t="n">
        <v>28968</v>
      </c>
      <c r="B28969" t="inlineStr">
        <is>
          <t>x̄x̄V̅MMMCMLXVIII</t>
        </is>
      </c>
      <c r="C28969">
        <f>ROMAN(28968)</f>
        <v/>
      </c>
      <c r="D28969">
        <f>IF(B28969=C28969, "YES", "WRONG")</f>
        <v/>
      </c>
    </row>
    <row r="28970">
      <c r="A28970" t="n">
        <v>28969</v>
      </c>
      <c r="B28970" t="inlineStr">
        <is>
          <t>x̄x̄V̅MMMCMLXIX</t>
        </is>
      </c>
      <c r="C28970">
        <f>ROMAN(28969)</f>
        <v/>
      </c>
      <c r="D28970">
        <f>IF(B28970=C28970, "YES", "WRONG")</f>
        <v/>
      </c>
    </row>
    <row r="28971">
      <c r="A28971" t="n">
        <v>28970</v>
      </c>
      <c r="B28971" t="inlineStr">
        <is>
          <t>x̄x̄V̅MMMCMLXX</t>
        </is>
      </c>
      <c r="C28971">
        <f>ROMAN(28970)</f>
        <v/>
      </c>
      <c r="D28971">
        <f>IF(B28971=C28971, "YES", "WRONG")</f>
        <v/>
      </c>
    </row>
    <row r="28972">
      <c r="A28972" t="n">
        <v>28971</v>
      </c>
      <c r="B28972" t="inlineStr">
        <is>
          <t>x̄x̄V̅MMMCMLXXI</t>
        </is>
      </c>
      <c r="C28972">
        <f>ROMAN(28971)</f>
        <v/>
      </c>
      <c r="D28972">
        <f>IF(B28972=C28972, "YES", "WRONG")</f>
        <v/>
      </c>
    </row>
    <row r="28973">
      <c r="A28973" t="n">
        <v>28972</v>
      </c>
      <c r="B28973" t="inlineStr">
        <is>
          <t>x̄x̄V̅MMMCMLXXII</t>
        </is>
      </c>
      <c r="C28973">
        <f>ROMAN(28972)</f>
        <v/>
      </c>
      <c r="D28973">
        <f>IF(B28973=C28973, "YES", "WRONG")</f>
        <v/>
      </c>
    </row>
    <row r="28974">
      <c r="A28974" t="n">
        <v>28973</v>
      </c>
      <c r="B28974" t="inlineStr">
        <is>
          <t>x̄x̄V̅MMMCMLXXIII</t>
        </is>
      </c>
      <c r="C28974">
        <f>ROMAN(28973)</f>
        <v/>
      </c>
      <c r="D28974">
        <f>IF(B28974=C28974, "YES", "WRONG")</f>
        <v/>
      </c>
    </row>
    <row r="28975">
      <c r="A28975" t="n">
        <v>28974</v>
      </c>
      <c r="B28975" t="inlineStr">
        <is>
          <t>x̄x̄V̅MMMCMLXXIV</t>
        </is>
      </c>
      <c r="C28975">
        <f>ROMAN(28974)</f>
        <v/>
      </c>
      <c r="D28975">
        <f>IF(B28975=C28975, "YES", "WRONG")</f>
        <v/>
      </c>
    </row>
    <row r="28976">
      <c r="A28976" t="n">
        <v>28975</v>
      </c>
      <c r="B28976" t="inlineStr">
        <is>
          <t>x̄x̄V̅MMMCMLXXV</t>
        </is>
      </c>
      <c r="C28976">
        <f>ROMAN(28975)</f>
        <v/>
      </c>
      <c r="D28976">
        <f>IF(B28976=C28976, "YES", "WRONG")</f>
        <v/>
      </c>
    </row>
    <row r="28977">
      <c r="A28977" t="n">
        <v>28976</v>
      </c>
      <c r="B28977" t="inlineStr">
        <is>
          <t>x̄x̄V̅MMMCMLXXVI</t>
        </is>
      </c>
      <c r="C28977">
        <f>ROMAN(28976)</f>
        <v/>
      </c>
      <c r="D28977">
        <f>IF(B28977=C28977, "YES", "WRONG")</f>
        <v/>
      </c>
    </row>
    <row r="28978">
      <c r="A28978" t="n">
        <v>28977</v>
      </c>
      <c r="B28978" t="inlineStr">
        <is>
          <t>x̄x̄V̅MMMCMLXXVII</t>
        </is>
      </c>
      <c r="C28978">
        <f>ROMAN(28977)</f>
        <v/>
      </c>
      <c r="D28978">
        <f>IF(B28978=C28978, "YES", "WRONG")</f>
        <v/>
      </c>
    </row>
    <row r="28979">
      <c r="A28979" t="n">
        <v>28978</v>
      </c>
      <c r="B28979" t="inlineStr">
        <is>
          <t>x̄x̄V̅MMMCMLXXVIII</t>
        </is>
      </c>
      <c r="C28979">
        <f>ROMAN(28978)</f>
        <v/>
      </c>
      <c r="D28979">
        <f>IF(B28979=C28979, "YES", "WRONG")</f>
        <v/>
      </c>
    </row>
    <row r="28980">
      <c r="A28980" t="n">
        <v>28979</v>
      </c>
      <c r="B28980" t="inlineStr">
        <is>
          <t>x̄x̄V̅MMMCMLXXIX</t>
        </is>
      </c>
      <c r="C28980">
        <f>ROMAN(28979)</f>
        <v/>
      </c>
      <c r="D28980">
        <f>IF(B28980=C28980, "YES", "WRONG")</f>
        <v/>
      </c>
    </row>
    <row r="28981">
      <c r="A28981" t="n">
        <v>28980</v>
      </c>
      <c r="B28981" t="inlineStr">
        <is>
          <t>x̄x̄V̅MMMCMLXXX</t>
        </is>
      </c>
      <c r="C28981">
        <f>ROMAN(28980)</f>
        <v/>
      </c>
      <c r="D28981">
        <f>IF(B28981=C28981, "YES", "WRONG")</f>
        <v/>
      </c>
    </row>
    <row r="28982">
      <c r="A28982" t="n">
        <v>28981</v>
      </c>
      <c r="B28982" t="inlineStr">
        <is>
          <t>x̄x̄V̅MMMCMLXXXI</t>
        </is>
      </c>
      <c r="C28982">
        <f>ROMAN(28981)</f>
        <v/>
      </c>
      <c r="D28982">
        <f>IF(B28982=C28982, "YES", "WRONG")</f>
        <v/>
      </c>
    </row>
    <row r="28983">
      <c r="A28983" t="n">
        <v>28982</v>
      </c>
      <c r="B28983" t="inlineStr">
        <is>
          <t>x̄x̄V̅MMMCMLXXXII</t>
        </is>
      </c>
      <c r="C28983">
        <f>ROMAN(28982)</f>
        <v/>
      </c>
      <c r="D28983">
        <f>IF(B28983=C28983, "YES", "WRONG")</f>
        <v/>
      </c>
    </row>
    <row r="28984">
      <c r="A28984" t="n">
        <v>28983</v>
      </c>
      <c r="B28984" t="inlineStr">
        <is>
          <t>x̄x̄V̅MMMCMLXXXIII</t>
        </is>
      </c>
      <c r="C28984">
        <f>ROMAN(28983)</f>
        <v/>
      </c>
      <c r="D28984">
        <f>IF(B28984=C28984, "YES", "WRONG")</f>
        <v/>
      </c>
    </row>
    <row r="28985">
      <c r="A28985" t="n">
        <v>28984</v>
      </c>
      <c r="B28985" t="inlineStr">
        <is>
          <t>x̄x̄V̅MMMCMLXXXIV</t>
        </is>
      </c>
      <c r="C28985">
        <f>ROMAN(28984)</f>
        <v/>
      </c>
      <c r="D28985">
        <f>IF(B28985=C28985, "YES", "WRONG")</f>
        <v/>
      </c>
    </row>
    <row r="28986">
      <c r="A28986" t="n">
        <v>28985</v>
      </c>
      <c r="B28986" t="inlineStr">
        <is>
          <t>x̄x̄V̅MMMCMLXXXV</t>
        </is>
      </c>
      <c r="C28986">
        <f>ROMAN(28985)</f>
        <v/>
      </c>
      <c r="D28986">
        <f>IF(B28986=C28986, "YES", "WRONG")</f>
        <v/>
      </c>
    </row>
    <row r="28987">
      <c r="A28987" t="n">
        <v>28986</v>
      </c>
      <c r="B28987" t="inlineStr">
        <is>
          <t>x̄x̄V̅MMMCMLXXXVI</t>
        </is>
      </c>
      <c r="C28987">
        <f>ROMAN(28986)</f>
        <v/>
      </c>
      <c r="D28987">
        <f>IF(B28987=C28987, "YES", "WRONG")</f>
        <v/>
      </c>
    </row>
    <row r="28988">
      <c r="A28988" t="n">
        <v>28987</v>
      </c>
      <c r="B28988" t="inlineStr">
        <is>
          <t>x̄x̄V̅MMMCMLXXXVII</t>
        </is>
      </c>
      <c r="C28988">
        <f>ROMAN(28987)</f>
        <v/>
      </c>
      <c r="D28988">
        <f>IF(B28988=C28988, "YES", "WRONG")</f>
        <v/>
      </c>
    </row>
    <row r="28989">
      <c r="A28989" t="n">
        <v>28988</v>
      </c>
      <c r="B28989" t="inlineStr">
        <is>
          <t>x̄x̄V̅MMMCMLXXXVIII</t>
        </is>
      </c>
      <c r="C28989">
        <f>ROMAN(28988)</f>
        <v/>
      </c>
      <c r="D28989">
        <f>IF(B28989=C28989, "YES", "WRONG")</f>
        <v/>
      </c>
    </row>
    <row r="28990">
      <c r="A28990" t="n">
        <v>28989</v>
      </c>
      <c r="B28990" t="inlineStr">
        <is>
          <t>x̄x̄V̅MMMCMLXXXIX</t>
        </is>
      </c>
      <c r="C28990">
        <f>ROMAN(28989)</f>
        <v/>
      </c>
      <c r="D28990">
        <f>IF(B28990=C28990, "YES", "WRONG")</f>
        <v/>
      </c>
    </row>
    <row r="28991">
      <c r="A28991" t="n">
        <v>28990</v>
      </c>
      <c r="B28991" t="inlineStr">
        <is>
          <t>x̄x̄V̅MMMCMXC</t>
        </is>
      </c>
      <c r="C28991">
        <f>ROMAN(28990)</f>
        <v/>
      </c>
      <c r="D28991">
        <f>IF(B28991=C28991, "YES", "WRONG")</f>
        <v/>
      </c>
    </row>
    <row r="28992">
      <c r="A28992" t="n">
        <v>28991</v>
      </c>
      <c r="B28992" t="inlineStr">
        <is>
          <t>x̄x̄V̅MMMCMXCI</t>
        </is>
      </c>
      <c r="C28992">
        <f>ROMAN(28991)</f>
        <v/>
      </c>
      <c r="D28992">
        <f>IF(B28992=C28992, "YES", "WRONG")</f>
        <v/>
      </c>
    </row>
    <row r="28993">
      <c r="A28993" t="n">
        <v>28992</v>
      </c>
      <c r="B28993" t="inlineStr">
        <is>
          <t>x̄x̄V̅MMMCMXCII</t>
        </is>
      </c>
      <c r="C28993">
        <f>ROMAN(28992)</f>
        <v/>
      </c>
      <c r="D28993">
        <f>IF(B28993=C28993, "YES", "WRONG")</f>
        <v/>
      </c>
    </row>
    <row r="28994">
      <c r="A28994" t="n">
        <v>28993</v>
      </c>
      <c r="B28994" t="inlineStr">
        <is>
          <t>x̄x̄V̅MMMCMXCIII</t>
        </is>
      </c>
      <c r="C28994">
        <f>ROMAN(28993)</f>
        <v/>
      </c>
      <c r="D28994">
        <f>IF(B28994=C28994, "YES", "WRONG")</f>
        <v/>
      </c>
    </row>
    <row r="28995">
      <c r="A28995" t="n">
        <v>28994</v>
      </c>
      <c r="B28995" t="inlineStr">
        <is>
          <t>x̄x̄V̅MMMCMXCIV</t>
        </is>
      </c>
      <c r="C28995">
        <f>ROMAN(28994)</f>
        <v/>
      </c>
      <c r="D28995">
        <f>IF(B28995=C28995, "YES", "WRONG")</f>
        <v/>
      </c>
    </row>
    <row r="28996">
      <c r="A28996" t="n">
        <v>28995</v>
      </c>
      <c r="B28996" t="inlineStr">
        <is>
          <t>x̄x̄V̅MMMCMXCV</t>
        </is>
      </c>
      <c r="C28996">
        <f>ROMAN(28995)</f>
        <v/>
      </c>
      <c r="D28996">
        <f>IF(B28996=C28996, "YES", "WRONG")</f>
        <v/>
      </c>
    </row>
    <row r="28997">
      <c r="A28997" t="n">
        <v>28996</v>
      </c>
      <c r="B28997" t="inlineStr">
        <is>
          <t>x̄x̄V̅MMMCMXCVI</t>
        </is>
      </c>
      <c r="C28997">
        <f>ROMAN(28996)</f>
        <v/>
      </c>
      <c r="D28997">
        <f>IF(B28997=C28997, "YES", "WRONG")</f>
        <v/>
      </c>
    </row>
    <row r="28998">
      <c r="A28998" t="n">
        <v>28997</v>
      </c>
      <c r="B28998" t="inlineStr">
        <is>
          <t>x̄x̄V̅MMMCMXCVII</t>
        </is>
      </c>
      <c r="C28998">
        <f>ROMAN(28997)</f>
        <v/>
      </c>
      <c r="D28998">
        <f>IF(B28998=C28998, "YES", "WRONG")</f>
        <v/>
      </c>
    </row>
    <row r="28999">
      <c r="A28999" t="n">
        <v>28998</v>
      </c>
      <c r="B28999" t="inlineStr">
        <is>
          <t>x̄x̄V̅MMMCMXCVIII</t>
        </is>
      </c>
      <c r="C28999">
        <f>ROMAN(28998)</f>
        <v/>
      </c>
      <c r="D28999">
        <f>IF(B28999=C28999, "YES", "WRONG")</f>
        <v/>
      </c>
    </row>
    <row r="29000">
      <c r="A29000" t="n">
        <v>28999</v>
      </c>
      <c r="B29000" t="inlineStr">
        <is>
          <t>x̄x̄V̅MMMCMXCIX</t>
        </is>
      </c>
      <c r="C29000">
        <f>ROMAN(28999)</f>
        <v/>
      </c>
      <c r="D29000">
        <f>IF(B29000=C29000, "YES", "WRONG")</f>
        <v/>
      </c>
    </row>
    <row r="29001">
      <c r="A29001" t="n">
        <v>29000</v>
      </c>
      <c r="B29001" t="inlineStr">
        <is>
          <t>x̄x̄Mx̄</t>
        </is>
      </c>
      <c r="C29001">
        <f>ROMAN(29000)</f>
        <v/>
      </c>
      <c r="D29001">
        <f>IF(B29001=C29001, "YES", "WRONG")</f>
        <v/>
      </c>
    </row>
    <row r="29002">
      <c r="A29002" t="n">
        <v>29001</v>
      </c>
      <c r="B29002" t="inlineStr">
        <is>
          <t>x̄x̄Mx̄I</t>
        </is>
      </c>
      <c r="C29002">
        <f>ROMAN(29001)</f>
        <v/>
      </c>
      <c r="D29002">
        <f>IF(B29002=C29002, "YES", "WRONG")</f>
        <v/>
      </c>
    </row>
    <row r="29003">
      <c r="A29003" t="n">
        <v>29002</v>
      </c>
      <c r="B29003" t="inlineStr">
        <is>
          <t>x̄x̄Mx̄II</t>
        </is>
      </c>
      <c r="C29003">
        <f>ROMAN(29002)</f>
        <v/>
      </c>
      <c r="D29003">
        <f>IF(B29003=C29003, "YES", "WRONG")</f>
        <v/>
      </c>
    </row>
    <row r="29004">
      <c r="A29004" t="n">
        <v>29003</v>
      </c>
      <c r="B29004" t="inlineStr">
        <is>
          <t>x̄x̄Mx̄III</t>
        </is>
      </c>
      <c r="C29004">
        <f>ROMAN(29003)</f>
        <v/>
      </c>
      <c r="D29004">
        <f>IF(B29004=C29004, "YES", "WRONG")</f>
        <v/>
      </c>
    </row>
    <row r="29005">
      <c r="A29005" t="n">
        <v>29004</v>
      </c>
      <c r="B29005" t="inlineStr">
        <is>
          <t>x̄x̄Mx̄IV</t>
        </is>
      </c>
      <c r="C29005">
        <f>ROMAN(29004)</f>
        <v/>
      </c>
      <c r="D29005">
        <f>IF(B29005=C29005, "YES", "WRONG")</f>
        <v/>
      </c>
    </row>
    <row r="29006">
      <c r="A29006" t="n">
        <v>29005</v>
      </c>
      <c r="B29006" t="inlineStr">
        <is>
          <t>x̄x̄Mx̄V</t>
        </is>
      </c>
      <c r="C29006">
        <f>ROMAN(29005)</f>
        <v/>
      </c>
      <c r="D29006">
        <f>IF(B29006=C29006, "YES", "WRONG")</f>
        <v/>
      </c>
    </row>
    <row r="29007">
      <c r="A29007" t="n">
        <v>29006</v>
      </c>
      <c r="B29007" t="inlineStr">
        <is>
          <t>x̄x̄Mx̄VI</t>
        </is>
      </c>
      <c r="C29007">
        <f>ROMAN(29006)</f>
        <v/>
      </c>
      <c r="D29007">
        <f>IF(B29007=C29007, "YES", "WRONG")</f>
        <v/>
      </c>
    </row>
    <row r="29008">
      <c r="A29008" t="n">
        <v>29007</v>
      </c>
      <c r="B29008" t="inlineStr">
        <is>
          <t>x̄x̄Mx̄VII</t>
        </is>
      </c>
      <c r="C29008">
        <f>ROMAN(29007)</f>
        <v/>
      </c>
      <c r="D29008">
        <f>IF(B29008=C29008, "YES", "WRONG")</f>
        <v/>
      </c>
    </row>
    <row r="29009">
      <c r="A29009" t="n">
        <v>29008</v>
      </c>
      <c r="B29009" t="inlineStr">
        <is>
          <t>x̄x̄Mx̄VIII</t>
        </is>
      </c>
      <c r="C29009">
        <f>ROMAN(29008)</f>
        <v/>
      </c>
      <c r="D29009">
        <f>IF(B29009=C29009, "YES", "WRONG")</f>
        <v/>
      </c>
    </row>
    <row r="29010">
      <c r="A29010" t="n">
        <v>29009</v>
      </c>
      <c r="B29010" t="inlineStr">
        <is>
          <t>x̄x̄Mx̄IX</t>
        </is>
      </c>
      <c r="C29010">
        <f>ROMAN(29009)</f>
        <v/>
      </c>
      <c r="D29010">
        <f>IF(B29010=C29010, "YES", "WRONG")</f>
        <v/>
      </c>
    </row>
    <row r="29011">
      <c r="A29011" t="n">
        <v>29010</v>
      </c>
      <c r="B29011" t="inlineStr">
        <is>
          <t>x̄x̄Mx̄X</t>
        </is>
      </c>
      <c r="C29011">
        <f>ROMAN(29010)</f>
        <v/>
      </c>
      <c r="D29011">
        <f>IF(B29011=C29011, "YES", "WRONG")</f>
        <v/>
      </c>
    </row>
    <row r="29012">
      <c r="A29012" t="n">
        <v>29011</v>
      </c>
      <c r="B29012" t="inlineStr">
        <is>
          <t>x̄x̄Mx̄XI</t>
        </is>
      </c>
      <c r="C29012">
        <f>ROMAN(29011)</f>
        <v/>
      </c>
      <c r="D29012">
        <f>IF(B29012=C29012, "YES", "WRONG")</f>
        <v/>
      </c>
    </row>
    <row r="29013">
      <c r="A29013" t="n">
        <v>29012</v>
      </c>
      <c r="B29013" t="inlineStr">
        <is>
          <t>x̄x̄Mx̄XII</t>
        </is>
      </c>
      <c r="C29013">
        <f>ROMAN(29012)</f>
        <v/>
      </c>
      <c r="D29013">
        <f>IF(B29013=C29013, "YES", "WRONG")</f>
        <v/>
      </c>
    </row>
    <row r="29014">
      <c r="A29014" t="n">
        <v>29013</v>
      </c>
      <c r="B29014" t="inlineStr">
        <is>
          <t>x̄x̄Mx̄XIII</t>
        </is>
      </c>
      <c r="C29014">
        <f>ROMAN(29013)</f>
        <v/>
      </c>
      <c r="D29014">
        <f>IF(B29014=C29014, "YES", "WRONG")</f>
        <v/>
      </c>
    </row>
    <row r="29015">
      <c r="A29015" t="n">
        <v>29014</v>
      </c>
      <c r="B29015" t="inlineStr">
        <is>
          <t>x̄x̄Mx̄XIV</t>
        </is>
      </c>
      <c r="C29015">
        <f>ROMAN(29014)</f>
        <v/>
      </c>
      <c r="D29015">
        <f>IF(B29015=C29015, "YES", "WRONG")</f>
        <v/>
      </c>
    </row>
    <row r="29016">
      <c r="A29016" t="n">
        <v>29015</v>
      </c>
      <c r="B29016" t="inlineStr">
        <is>
          <t>x̄x̄Mx̄XV</t>
        </is>
      </c>
      <c r="C29016">
        <f>ROMAN(29015)</f>
        <v/>
      </c>
      <c r="D29016">
        <f>IF(B29016=C29016, "YES", "WRONG")</f>
        <v/>
      </c>
    </row>
    <row r="29017">
      <c r="A29017" t="n">
        <v>29016</v>
      </c>
      <c r="B29017" t="inlineStr">
        <is>
          <t>x̄x̄Mx̄XVI</t>
        </is>
      </c>
      <c r="C29017">
        <f>ROMAN(29016)</f>
        <v/>
      </c>
      <c r="D29017">
        <f>IF(B29017=C29017, "YES", "WRONG")</f>
        <v/>
      </c>
    </row>
    <row r="29018">
      <c r="A29018" t="n">
        <v>29017</v>
      </c>
      <c r="B29018" t="inlineStr">
        <is>
          <t>x̄x̄Mx̄XVII</t>
        </is>
      </c>
      <c r="C29018">
        <f>ROMAN(29017)</f>
        <v/>
      </c>
      <c r="D29018">
        <f>IF(B29018=C29018, "YES", "WRONG")</f>
        <v/>
      </c>
    </row>
    <row r="29019">
      <c r="A29019" t="n">
        <v>29018</v>
      </c>
      <c r="B29019" t="inlineStr">
        <is>
          <t>x̄x̄Mx̄XVIII</t>
        </is>
      </c>
      <c r="C29019">
        <f>ROMAN(29018)</f>
        <v/>
      </c>
      <c r="D29019">
        <f>IF(B29019=C29019, "YES", "WRONG")</f>
        <v/>
      </c>
    </row>
    <row r="29020">
      <c r="A29020" t="n">
        <v>29019</v>
      </c>
      <c r="B29020" t="inlineStr">
        <is>
          <t>x̄x̄Mx̄XIX</t>
        </is>
      </c>
      <c r="C29020">
        <f>ROMAN(29019)</f>
        <v/>
      </c>
      <c r="D29020">
        <f>IF(B29020=C29020, "YES", "WRONG")</f>
        <v/>
      </c>
    </row>
    <row r="29021">
      <c r="A29021" t="n">
        <v>29020</v>
      </c>
      <c r="B29021" t="inlineStr">
        <is>
          <t>x̄x̄Mx̄XX</t>
        </is>
      </c>
      <c r="C29021">
        <f>ROMAN(29020)</f>
        <v/>
      </c>
      <c r="D29021">
        <f>IF(B29021=C29021, "YES", "WRONG")</f>
        <v/>
      </c>
    </row>
    <row r="29022">
      <c r="A29022" t="n">
        <v>29021</v>
      </c>
      <c r="B29022" t="inlineStr">
        <is>
          <t>x̄x̄Mx̄XXI</t>
        </is>
      </c>
      <c r="C29022">
        <f>ROMAN(29021)</f>
        <v/>
      </c>
      <c r="D29022">
        <f>IF(B29022=C29022, "YES", "WRONG")</f>
        <v/>
      </c>
    </row>
    <row r="29023">
      <c r="A29023" t="n">
        <v>29022</v>
      </c>
      <c r="B29023" t="inlineStr">
        <is>
          <t>x̄x̄Mx̄XXII</t>
        </is>
      </c>
      <c r="C29023">
        <f>ROMAN(29022)</f>
        <v/>
      </c>
      <c r="D29023">
        <f>IF(B29023=C29023, "YES", "WRONG")</f>
        <v/>
      </c>
    </row>
    <row r="29024">
      <c r="A29024" t="n">
        <v>29023</v>
      </c>
      <c r="B29024" t="inlineStr">
        <is>
          <t>x̄x̄Mx̄XXIII</t>
        </is>
      </c>
      <c r="C29024">
        <f>ROMAN(29023)</f>
        <v/>
      </c>
      <c r="D29024">
        <f>IF(B29024=C29024, "YES", "WRONG")</f>
        <v/>
      </c>
    </row>
    <row r="29025">
      <c r="A29025" t="n">
        <v>29024</v>
      </c>
      <c r="B29025" t="inlineStr">
        <is>
          <t>x̄x̄Mx̄XXIV</t>
        </is>
      </c>
      <c r="C29025">
        <f>ROMAN(29024)</f>
        <v/>
      </c>
      <c r="D29025">
        <f>IF(B29025=C29025, "YES", "WRONG")</f>
        <v/>
      </c>
    </row>
    <row r="29026">
      <c r="A29026" t="n">
        <v>29025</v>
      </c>
      <c r="B29026" t="inlineStr">
        <is>
          <t>x̄x̄Mx̄XXV</t>
        </is>
      </c>
      <c r="C29026">
        <f>ROMAN(29025)</f>
        <v/>
      </c>
      <c r="D29026">
        <f>IF(B29026=C29026, "YES", "WRONG")</f>
        <v/>
      </c>
    </row>
    <row r="29027">
      <c r="A29027" t="n">
        <v>29026</v>
      </c>
      <c r="B29027" t="inlineStr">
        <is>
          <t>x̄x̄Mx̄XXVI</t>
        </is>
      </c>
      <c r="C29027">
        <f>ROMAN(29026)</f>
        <v/>
      </c>
      <c r="D29027">
        <f>IF(B29027=C29027, "YES", "WRONG")</f>
        <v/>
      </c>
    </row>
    <row r="29028">
      <c r="A29028" t="n">
        <v>29027</v>
      </c>
      <c r="B29028" t="inlineStr">
        <is>
          <t>x̄x̄Mx̄XXVII</t>
        </is>
      </c>
      <c r="C29028">
        <f>ROMAN(29027)</f>
        <v/>
      </c>
      <c r="D29028">
        <f>IF(B29028=C29028, "YES", "WRONG")</f>
        <v/>
      </c>
    </row>
    <row r="29029">
      <c r="A29029" t="n">
        <v>29028</v>
      </c>
      <c r="B29029" t="inlineStr">
        <is>
          <t>x̄x̄Mx̄XXVIII</t>
        </is>
      </c>
      <c r="C29029">
        <f>ROMAN(29028)</f>
        <v/>
      </c>
      <c r="D29029">
        <f>IF(B29029=C29029, "YES", "WRONG")</f>
        <v/>
      </c>
    </row>
    <row r="29030">
      <c r="A29030" t="n">
        <v>29029</v>
      </c>
      <c r="B29030" t="inlineStr">
        <is>
          <t>x̄x̄Mx̄XXIX</t>
        </is>
      </c>
      <c r="C29030">
        <f>ROMAN(29029)</f>
        <v/>
      </c>
      <c r="D29030">
        <f>IF(B29030=C29030, "YES", "WRONG")</f>
        <v/>
      </c>
    </row>
    <row r="29031">
      <c r="A29031" t="n">
        <v>29030</v>
      </c>
      <c r="B29031" t="inlineStr">
        <is>
          <t>x̄x̄Mx̄XXX</t>
        </is>
      </c>
      <c r="C29031">
        <f>ROMAN(29030)</f>
        <v/>
      </c>
      <c r="D29031">
        <f>IF(B29031=C29031, "YES", "WRONG")</f>
        <v/>
      </c>
    </row>
    <row r="29032">
      <c r="A29032" t="n">
        <v>29031</v>
      </c>
      <c r="B29032" t="inlineStr">
        <is>
          <t>x̄x̄Mx̄XXXI</t>
        </is>
      </c>
      <c r="C29032">
        <f>ROMAN(29031)</f>
        <v/>
      </c>
      <c r="D29032">
        <f>IF(B29032=C29032, "YES", "WRONG")</f>
        <v/>
      </c>
    </row>
    <row r="29033">
      <c r="A29033" t="n">
        <v>29032</v>
      </c>
      <c r="B29033" t="inlineStr">
        <is>
          <t>x̄x̄Mx̄XXXII</t>
        </is>
      </c>
      <c r="C29033">
        <f>ROMAN(29032)</f>
        <v/>
      </c>
      <c r="D29033">
        <f>IF(B29033=C29033, "YES", "WRONG")</f>
        <v/>
      </c>
    </row>
    <row r="29034">
      <c r="A29034" t="n">
        <v>29033</v>
      </c>
      <c r="B29034" t="inlineStr">
        <is>
          <t>x̄x̄Mx̄XXXIII</t>
        </is>
      </c>
      <c r="C29034">
        <f>ROMAN(29033)</f>
        <v/>
      </c>
      <c r="D29034">
        <f>IF(B29034=C29034, "YES", "WRONG")</f>
        <v/>
      </c>
    </row>
    <row r="29035">
      <c r="A29035" t="n">
        <v>29034</v>
      </c>
      <c r="B29035" t="inlineStr">
        <is>
          <t>x̄x̄Mx̄XXXIV</t>
        </is>
      </c>
      <c r="C29035">
        <f>ROMAN(29034)</f>
        <v/>
      </c>
      <c r="D29035">
        <f>IF(B29035=C29035, "YES", "WRONG")</f>
        <v/>
      </c>
    </row>
    <row r="29036">
      <c r="A29036" t="n">
        <v>29035</v>
      </c>
      <c r="B29036" t="inlineStr">
        <is>
          <t>x̄x̄Mx̄XXXV</t>
        </is>
      </c>
      <c r="C29036">
        <f>ROMAN(29035)</f>
        <v/>
      </c>
      <c r="D29036">
        <f>IF(B29036=C29036, "YES", "WRONG")</f>
        <v/>
      </c>
    </row>
    <row r="29037">
      <c r="A29037" t="n">
        <v>29036</v>
      </c>
      <c r="B29037" t="inlineStr">
        <is>
          <t>x̄x̄Mx̄XXXVI</t>
        </is>
      </c>
      <c r="C29037">
        <f>ROMAN(29036)</f>
        <v/>
      </c>
      <c r="D29037">
        <f>IF(B29037=C29037, "YES", "WRONG")</f>
        <v/>
      </c>
    </row>
    <row r="29038">
      <c r="A29038" t="n">
        <v>29037</v>
      </c>
      <c r="B29038" t="inlineStr">
        <is>
          <t>x̄x̄Mx̄XXXVII</t>
        </is>
      </c>
      <c r="C29038">
        <f>ROMAN(29037)</f>
        <v/>
      </c>
      <c r="D29038">
        <f>IF(B29038=C29038, "YES", "WRONG")</f>
        <v/>
      </c>
    </row>
    <row r="29039">
      <c r="A29039" t="n">
        <v>29038</v>
      </c>
      <c r="B29039" t="inlineStr">
        <is>
          <t>x̄x̄Mx̄XXXVIII</t>
        </is>
      </c>
      <c r="C29039">
        <f>ROMAN(29038)</f>
        <v/>
      </c>
      <c r="D29039">
        <f>IF(B29039=C29039, "YES", "WRONG")</f>
        <v/>
      </c>
    </row>
    <row r="29040">
      <c r="A29040" t="n">
        <v>29039</v>
      </c>
      <c r="B29040" t="inlineStr">
        <is>
          <t>x̄x̄Mx̄XXXIX</t>
        </is>
      </c>
      <c r="C29040">
        <f>ROMAN(29039)</f>
        <v/>
      </c>
      <c r="D29040">
        <f>IF(B29040=C29040, "YES", "WRONG")</f>
        <v/>
      </c>
    </row>
    <row r="29041">
      <c r="A29041" t="n">
        <v>29040</v>
      </c>
      <c r="B29041" t="inlineStr">
        <is>
          <t>x̄x̄Mx̄XL</t>
        </is>
      </c>
      <c r="C29041">
        <f>ROMAN(29040)</f>
        <v/>
      </c>
      <c r="D29041">
        <f>IF(B29041=C29041, "YES", "WRONG")</f>
        <v/>
      </c>
    </row>
    <row r="29042">
      <c r="A29042" t="n">
        <v>29041</v>
      </c>
      <c r="B29042" t="inlineStr">
        <is>
          <t>x̄x̄Mx̄XLI</t>
        </is>
      </c>
      <c r="C29042">
        <f>ROMAN(29041)</f>
        <v/>
      </c>
      <c r="D29042">
        <f>IF(B29042=C29042, "YES", "WRONG")</f>
        <v/>
      </c>
    </row>
    <row r="29043">
      <c r="A29043" t="n">
        <v>29042</v>
      </c>
      <c r="B29043" t="inlineStr">
        <is>
          <t>x̄x̄Mx̄XLII</t>
        </is>
      </c>
      <c r="C29043">
        <f>ROMAN(29042)</f>
        <v/>
      </c>
      <c r="D29043">
        <f>IF(B29043=C29043, "YES", "WRONG")</f>
        <v/>
      </c>
    </row>
    <row r="29044">
      <c r="A29044" t="n">
        <v>29043</v>
      </c>
      <c r="B29044" t="inlineStr">
        <is>
          <t>x̄x̄Mx̄XLIII</t>
        </is>
      </c>
      <c r="C29044">
        <f>ROMAN(29043)</f>
        <v/>
      </c>
      <c r="D29044">
        <f>IF(B29044=C29044, "YES", "WRONG")</f>
        <v/>
      </c>
    </row>
    <row r="29045">
      <c r="A29045" t="n">
        <v>29044</v>
      </c>
      <c r="B29045" t="inlineStr">
        <is>
          <t>x̄x̄Mx̄XLIV</t>
        </is>
      </c>
      <c r="C29045">
        <f>ROMAN(29044)</f>
        <v/>
      </c>
      <c r="D29045">
        <f>IF(B29045=C29045, "YES", "WRONG")</f>
        <v/>
      </c>
    </row>
    <row r="29046">
      <c r="A29046" t="n">
        <v>29045</v>
      </c>
      <c r="B29046" t="inlineStr">
        <is>
          <t>x̄x̄Mx̄XLV</t>
        </is>
      </c>
      <c r="C29046">
        <f>ROMAN(29045)</f>
        <v/>
      </c>
      <c r="D29046">
        <f>IF(B29046=C29046, "YES", "WRONG")</f>
        <v/>
      </c>
    </row>
    <row r="29047">
      <c r="A29047" t="n">
        <v>29046</v>
      </c>
      <c r="B29047" t="inlineStr">
        <is>
          <t>x̄x̄Mx̄XLVI</t>
        </is>
      </c>
      <c r="C29047">
        <f>ROMAN(29046)</f>
        <v/>
      </c>
      <c r="D29047">
        <f>IF(B29047=C29047, "YES", "WRONG")</f>
        <v/>
      </c>
    </row>
    <row r="29048">
      <c r="A29048" t="n">
        <v>29047</v>
      </c>
      <c r="B29048" t="inlineStr">
        <is>
          <t>x̄x̄Mx̄XLVII</t>
        </is>
      </c>
      <c r="C29048">
        <f>ROMAN(29047)</f>
        <v/>
      </c>
      <c r="D29048">
        <f>IF(B29048=C29048, "YES", "WRONG")</f>
        <v/>
      </c>
    </row>
    <row r="29049">
      <c r="A29049" t="n">
        <v>29048</v>
      </c>
      <c r="B29049" t="inlineStr">
        <is>
          <t>x̄x̄Mx̄XLVIII</t>
        </is>
      </c>
      <c r="C29049">
        <f>ROMAN(29048)</f>
        <v/>
      </c>
      <c r="D29049">
        <f>IF(B29049=C29049, "YES", "WRONG")</f>
        <v/>
      </c>
    </row>
    <row r="29050">
      <c r="A29050" t="n">
        <v>29049</v>
      </c>
      <c r="B29050" t="inlineStr">
        <is>
          <t>x̄x̄Mx̄XLIX</t>
        </is>
      </c>
      <c r="C29050">
        <f>ROMAN(29049)</f>
        <v/>
      </c>
      <c r="D29050">
        <f>IF(B29050=C29050, "YES", "WRONG")</f>
        <v/>
      </c>
    </row>
    <row r="29051">
      <c r="A29051" t="n">
        <v>29050</v>
      </c>
      <c r="B29051" t="inlineStr">
        <is>
          <t>x̄x̄Mx̄L</t>
        </is>
      </c>
      <c r="C29051">
        <f>ROMAN(29050)</f>
        <v/>
      </c>
      <c r="D29051">
        <f>IF(B29051=C29051, "YES", "WRONG")</f>
        <v/>
      </c>
    </row>
    <row r="29052">
      <c r="A29052" t="n">
        <v>29051</v>
      </c>
      <c r="B29052" t="inlineStr">
        <is>
          <t>x̄x̄Mx̄LI</t>
        </is>
      </c>
      <c r="C29052">
        <f>ROMAN(29051)</f>
        <v/>
      </c>
      <c r="D29052">
        <f>IF(B29052=C29052, "YES", "WRONG")</f>
        <v/>
      </c>
    </row>
    <row r="29053">
      <c r="A29053" t="n">
        <v>29052</v>
      </c>
      <c r="B29053" t="inlineStr">
        <is>
          <t>x̄x̄Mx̄LII</t>
        </is>
      </c>
      <c r="C29053">
        <f>ROMAN(29052)</f>
        <v/>
      </c>
      <c r="D29053">
        <f>IF(B29053=C29053, "YES", "WRONG")</f>
        <v/>
      </c>
    </row>
    <row r="29054">
      <c r="A29054" t="n">
        <v>29053</v>
      </c>
      <c r="B29054" t="inlineStr">
        <is>
          <t>x̄x̄Mx̄LIII</t>
        </is>
      </c>
      <c r="C29054">
        <f>ROMAN(29053)</f>
        <v/>
      </c>
      <c r="D29054">
        <f>IF(B29054=C29054, "YES", "WRONG")</f>
        <v/>
      </c>
    </row>
    <row r="29055">
      <c r="A29055" t="n">
        <v>29054</v>
      </c>
      <c r="B29055" t="inlineStr">
        <is>
          <t>x̄x̄Mx̄LIV</t>
        </is>
      </c>
      <c r="C29055">
        <f>ROMAN(29054)</f>
        <v/>
      </c>
      <c r="D29055">
        <f>IF(B29055=C29055, "YES", "WRONG")</f>
        <v/>
      </c>
    </row>
    <row r="29056">
      <c r="A29056" t="n">
        <v>29055</v>
      </c>
      <c r="B29056" t="inlineStr">
        <is>
          <t>x̄x̄Mx̄LV</t>
        </is>
      </c>
      <c r="C29056">
        <f>ROMAN(29055)</f>
        <v/>
      </c>
      <c r="D29056">
        <f>IF(B29056=C29056, "YES", "WRONG")</f>
        <v/>
      </c>
    </row>
    <row r="29057">
      <c r="A29057" t="n">
        <v>29056</v>
      </c>
      <c r="B29057" t="inlineStr">
        <is>
          <t>x̄x̄Mx̄LVI</t>
        </is>
      </c>
      <c r="C29057">
        <f>ROMAN(29056)</f>
        <v/>
      </c>
      <c r="D29057">
        <f>IF(B29057=C29057, "YES", "WRONG")</f>
        <v/>
      </c>
    </row>
    <row r="29058">
      <c r="A29058" t="n">
        <v>29057</v>
      </c>
      <c r="B29058" t="inlineStr">
        <is>
          <t>x̄x̄Mx̄LVII</t>
        </is>
      </c>
      <c r="C29058">
        <f>ROMAN(29057)</f>
        <v/>
      </c>
      <c r="D29058">
        <f>IF(B29058=C29058, "YES", "WRONG")</f>
        <v/>
      </c>
    </row>
    <row r="29059">
      <c r="A29059" t="n">
        <v>29058</v>
      </c>
      <c r="B29059" t="inlineStr">
        <is>
          <t>x̄x̄Mx̄LVIII</t>
        </is>
      </c>
      <c r="C29059">
        <f>ROMAN(29058)</f>
        <v/>
      </c>
      <c r="D29059">
        <f>IF(B29059=C29059, "YES", "WRONG")</f>
        <v/>
      </c>
    </row>
    <row r="29060">
      <c r="A29060" t="n">
        <v>29059</v>
      </c>
      <c r="B29060" t="inlineStr">
        <is>
          <t>x̄x̄Mx̄LIX</t>
        </is>
      </c>
      <c r="C29060">
        <f>ROMAN(29059)</f>
        <v/>
      </c>
      <c r="D29060">
        <f>IF(B29060=C29060, "YES", "WRONG")</f>
        <v/>
      </c>
    </row>
    <row r="29061">
      <c r="A29061" t="n">
        <v>29060</v>
      </c>
      <c r="B29061" t="inlineStr">
        <is>
          <t>x̄x̄Mx̄LX</t>
        </is>
      </c>
      <c r="C29061">
        <f>ROMAN(29060)</f>
        <v/>
      </c>
      <c r="D29061">
        <f>IF(B29061=C29061, "YES", "WRONG")</f>
        <v/>
      </c>
    </row>
    <row r="29062">
      <c r="A29062" t="n">
        <v>29061</v>
      </c>
      <c r="B29062" t="inlineStr">
        <is>
          <t>x̄x̄Mx̄LXI</t>
        </is>
      </c>
      <c r="C29062">
        <f>ROMAN(29061)</f>
        <v/>
      </c>
      <c r="D29062">
        <f>IF(B29062=C29062, "YES", "WRONG")</f>
        <v/>
      </c>
    </row>
    <row r="29063">
      <c r="A29063" t="n">
        <v>29062</v>
      </c>
      <c r="B29063" t="inlineStr">
        <is>
          <t>x̄x̄Mx̄LXII</t>
        </is>
      </c>
      <c r="C29063">
        <f>ROMAN(29062)</f>
        <v/>
      </c>
      <c r="D29063">
        <f>IF(B29063=C29063, "YES", "WRONG")</f>
        <v/>
      </c>
    </row>
    <row r="29064">
      <c r="A29064" t="n">
        <v>29063</v>
      </c>
      <c r="B29064" t="inlineStr">
        <is>
          <t>x̄x̄Mx̄LXIII</t>
        </is>
      </c>
      <c r="C29064">
        <f>ROMAN(29063)</f>
        <v/>
      </c>
      <c r="D29064">
        <f>IF(B29064=C29064, "YES", "WRONG")</f>
        <v/>
      </c>
    </row>
    <row r="29065">
      <c r="A29065" t="n">
        <v>29064</v>
      </c>
      <c r="B29065" t="inlineStr">
        <is>
          <t>x̄x̄Mx̄LXIV</t>
        </is>
      </c>
      <c r="C29065">
        <f>ROMAN(29064)</f>
        <v/>
      </c>
      <c r="D29065">
        <f>IF(B29065=C29065, "YES", "WRONG")</f>
        <v/>
      </c>
    </row>
    <row r="29066">
      <c r="A29066" t="n">
        <v>29065</v>
      </c>
      <c r="B29066" t="inlineStr">
        <is>
          <t>x̄x̄Mx̄LXV</t>
        </is>
      </c>
      <c r="C29066">
        <f>ROMAN(29065)</f>
        <v/>
      </c>
      <c r="D29066">
        <f>IF(B29066=C29066, "YES", "WRONG")</f>
        <v/>
      </c>
    </row>
    <row r="29067">
      <c r="A29067" t="n">
        <v>29066</v>
      </c>
      <c r="B29067" t="inlineStr">
        <is>
          <t>x̄x̄Mx̄LXVI</t>
        </is>
      </c>
      <c r="C29067">
        <f>ROMAN(29066)</f>
        <v/>
      </c>
      <c r="D29067">
        <f>IF(B29067=C29067, "YES", "WRONG")</f>
        <v/>
      </c>
    </row>
    <row r="29068">
      <c r="A29068" t="n">
        <v>29067</v>
      </c>
      <c r="B29068" t="inlineStr">
        <is>
          <t>x̄x̄Mx̄LXVII</t>
        </is>
      </c>
      <c r="C29068">
        <f>ROMAN(29067)</f>
        <v/>
      </c>
      <c r="D29068">
        <f>IF(B29068=C29068, "YES", "WRONG")</f>
        <v/>
      </c>
    </row>
    <row r="29069">
      <c r="A29069" t="n">
        <v>29068</v>
      </c>
      <c r="B29069" t="inlineStr">
        <is>
          <t>x̄x̄Mx̄LXVIII</t>
        </is>
      </c>
      <c r="C29069">
        <f>ROMAN(29068)</f>
        <v/>
      </c>
      <c r="D29069">
        <f>IF(B29069=C29069, "YES", "WRONG")</f>
        <v/>
      </c>
    </row>
    <row r="29070">
      <c r="A29070" t="n">
        <v>29069</v>
      </c>
      <c r="B29070" t="inlineStr">
        <is>
          <t>x̄x̄Mx̄LXIX</t>
        </is>
      </c>
      <c r="C29070">
        <f>ROMAN(29069)</f>
        <v/>
      </c>
      <c r="D29070">
        <f>IF(B29070=C29070, "YES", "WRONG")</f>
        <v/>
      </c>
    </row>
    <row r="29071">
      <c r="A29071" t="n">
        <v>29070</v>
      </c>
      <c r="B29071" t="inlineStr">
        <is>
          <t>x̄x̄Mx̄LXX</t>
        </is>
      </c>
      <c r="C29071">
        <f>ROMAN(29070)</f>
        <v/>
      </c>
      <c r="D29071">
        <f>IF(B29071=C29071, "YES", "WRONG")</f>
        <v/>
      </c>
    </row>
    <row r="29072">
      <c r="A29072" t="n">
        <v>29071</v>
      </c>
      <c r="B29072" t="inlineStr">
        <is>
          <t>x̄x̄Mx̄LXXI</t>
        </is>
      </c>
      <c r="C29072">
        <f>ROMAN(29071)</f>
        <v/>
      </c>
      <c r="D29072">
        <f>IF(B29072=C29072, "YES", "WRONG")</f>
        <v/>
      </c>
    </row>
    <row r="29073">
      <c r="A29073" t="n">
        <v>29072</v>
      </c>
      <c r="B29073" t="inlineStr">
        <is>
          <t>x̄x̄Mx̄LXXII</t>
        </is>
      </c>
      <c r="C29073">
        <f>ROMAN(29072)</f>
        <v/>
      </c>
      <c r="D29073">
        <f>IF(B29073=C29073, "YES", "WRONG")</f>
        <v/>
      </c>
    </row>
    <row r="29074">
      <c r="A29074" t="n">
        <v>29073</v>
      </c>
      <c r="B29074" t="inlineStr">
        <is>
          <t>x̄x̄Mx̄LXXIII</t>
        </is>
      </c>
      <c r="C29074">
        <f>ROMAN(29073)</f>
        <v/>
      </c>
      <c r="D29074">
        <f>IF(B29074=C29074, "YES", "WRONG")</f>
        <v/>
      </c>
    </row>
    <row r="29075">
      <c r="A29075" t="n">
        <v>29074</v>
      </c>
      <c r="B29075" t="inlineStr">
        <is>
          <t>x̄x̄Mx̄LXXIV</t>
        </is>
      </c>
      <c r="C29075">
        <f>ROMAN(29074)</f>
        <v/>
      </c>
      <c r="D29075">
        <f>IF(B29075=C29075, "YES", "WRONG")</f>
        <v/>
      </c>
    </row>
    <row r="29076">
      <c r="A29076" t="n">
        <v>29075</v>
      </c>
      <c r="B29076" t="inlineStr">
        <is>
          <t>x̄x̄Mx̄LXXV</t>
        </is>
      </c>
      <c r="C29076">
        <f>ROMAN(29075)</f>
        <v/>
      </c>
      <c r="D29076">
        <f>IF(B29076=C29076, "YES", "WRONG")</f>
        <v/>
      </c>
    </row>
    <row r="29077">
      <c r="A29077" t="n">
        <v>29076</v>
      </c>
      <c r="B29077" t="inlineStr">
        <is>
          <t>x̄x̄Mx̄LXXVI</t>
        </is>
      </c>
      <c r="C29077">
        <f>ROMAN(29076)</f>
        <v/>
      </c>
      <c r="D29077">
        <f>IF(B29077=C29077, "YES", "WRONG")</f>
        <v/>
      </c>
    </row>
    <row r="29078">
      <c r="A29078" t="n">
        <v>29077</v>
      </c>
      <c r="B29078" t="inlineStr">
        <is>
          <t>x̄x̄Mx̄LXXVII</t>
        </is>
      </c>
      <c r="C29078">
        <f>ROMAN(29077)</f>
        <v/>
      </c>
      <c r="D29078">
        <f>IF(B29078=C29078, "YES", "WRONG")</f>
        <v/>
      </c>
    </row>
    <row r="29079">
      <c r="A29079" t="n">
        <v>29078</v>
      </c>
      <c r="B29079" t="inlineStr">
        <is>
          <t>x̄x̄Mx̄LXXVIII</t>
        </is>
      </c>
      <c r="C29079">
        <f>ROMAN(29078)</f>
        <v/>
      </c>
      <c r="D29079">
        <f>IF(B29079=C29079, "YES", "WRONG")</f>
        <v/>
      </c>
    </row>
    <row r="29080">
      <c r="A29080" t="n">
        <v>29079</v>
      </c>
      <c r="B29080" t="inlineStr">
        <is>
          <t>x̄x̄Mx̄LXXIX</t>
        </is>
      </c>
      <c r="C29080">
        <f>ROMAN(29079)</f>
        <v/>
      </c>
      <c r="D29080">
        <f>IF(B29080=C29080, "YES", "WRONG")</f>
        <v/>
      </c>
    </row>
    <row r="29081">
      <c r="A29081" t="n">
        <v>29080</v>
      </c>
      <c r="B29081" t="inlineStr">
        <is>
          <t>x̄x̄Mx̄LXXX</t>
        </is>
      </c>
      <c r="C29081">
        <f>ROMAN(29080)</f>
        <v/>
      </c>
      <c r="D29081">
        <f>IF(B29081=C29081, "YES", "WRONG")</f>
        <v/>
      </c>
    </row>
    <row r="29082">
      <c r="A29082" t="n">
        <v>29081</v>
      </c>
      <c r="B29082" t="inlineStr">
        <is>
          <t>x̄x̄Mx̄LXXXI</t>
        </is>
      </c>
      <c r="C29082">
        <f>ROMAN(29081)</f>
        <v/>
      </c>
      <c r="D29082">
        <f>IF(B29082=C29082, "YES", "WRONG")</f>
        <v/>
      </c>
    </row>
    <row r="29083">
      <c r="A29083" t="n">
        <v>29082</v>
      </c>
      <c r="B29083" t="inlineStr">
        <is>
          <t>x̄x̄Mx̄LXXXII</t>
        </is>
      </c>
      <c r="C29083">
        <f>ROMAN(29082)</f>
        <v/>
      </c>
      <c r="D29083">
        <f>IF(B29083=C29083, "YES", "WRONG")</f>
        <v/>
      </c>
    </row>
    <row r="29084">
      <c r="A29084" t="n">
        <v>29083</v>
      </c>
      <c r="B29084" t="inlineStr">
        <is>
          <t>x̄x̄Mx̄LXXXIII</t>
        </is>
      </c>
      <c r="C29084">
        <f>ROMAN(29083)</f>
        <v/>
      </c>
      <c r="D29084">
        <f>IF(B29084=C29084, "YES", "WRONG")</f>
        <v/>
      </c>
    </row>
    <row r="29085">
      <c r="A29085" t="n">
        <v>29084</v>
      </c>
      <c r="B29085" t="inlineStr">
        <is>
          <t>x̄x̄Mx̄LXXXIV</t>
        </is>
      </c>
      <c r="C29085">
        <f>ROMAN(29084)</f>
        <v/>
      </c>
      <c r="D29085">
        <f>IF(B29085=C29085, "YES", "WRONG")</f>
        <v/>
      </c>
    </row>
    <row r="29086">
      <c r="A29086" t="n">
        <v>29085</v>
      </c>
      <c r="B29086" t="inlineStr">
        <is>
          <t>x̄x̄Mx̄LXXXV</t>
        </is>
      </c>
      <c r="C29086">
        <f>ROMAN(29085)</f>
        <v/>
      </c>
      <c r="D29086">
        <f>IF(B29086=C29086, "YES", "WRONG")</f>
        <v/>
      </c>
    </row>
    <row r="29087">
      <c r="A29087" t="n">
        <v>29086</v>
      </c>
      <c r="B29087" t="inlineStr">
        <is>
          <t>x̄x̄Mx̄LXXXVI</t>
        </is>
      </c>
      <c r="C29087">
        <f>ROMAN(29086)</f>
        <v/>
      </c>
      <c r="D29087">
        <f>IF(B29087=C29087, "YES", "WRONG")</f>
        <v/>
      </c>
    </row>
    <row r="29088">
      <c r="A29088" t="n">
        <v>29087</v>
      </c>
      <c r="B29088" t="inlineStr">
        <is>
          <t>x̄x̄Mx̄LXXXVII</t>
        </is>
      </c>
      <c r="C29088">
        <f>ROMAN(29087)</f>
        <v/>
      </c>
      <c r="D29088">
        <f>IF(B29088=C29088, "YES", "WRONG")</f>
        <v/>
      </c>
    </row>
    <row r="29089">
      <c r="A29089" t="n">
        <v>29088</v>
      </c>
      <c r="B29089" t="inlineStr">
        <is>
          <t>x̄x̄Mx̄LXXXVIII</t>
        </is>
      </c>
      <c r="C29089">
        <f>ROMAN(29088)</f>
        <v/>
      </c>
      <c r="D29089">
        <f>IF(B29089=C29089, "YES", "WRONG")</f>
        <v/>
      </c>
    </row>
    <row r="29090">
      <c r="A29090" t="n">
        <v>29089</v>
      </c>
      <c r="B29090" t="inlineStr">
        <is>
          <t>x̄x̄Mx̄LXXXIX</t>
        </is>
      </c>
      <c r="C29090">
        <f>ROMAN(29089)</f>
        <v/>
      </c>
      <c r="D29090">
        <f>IF(B29090=C29090, "YES", "WRONG")</f>
        <v/>
      </c>
    </row>
    <row r="29091">
      <c r="A29091" t="n">
        <v>29090</v>
      </c>
      <c r="B29091" t="inlineStr">
        <is>
          <t>x̄x̄Mx̄XC</t>
        </is>
      </c>
      <c r="C29091">
        <f>ROMAN(29090)</f>
        <v/>
      </c>
      <c r="D29091">
        <f>IF(B29091=C29091, "YES", "WRONG")</f>
        <v/>
      </c>
    </row>
    <row r="29092">
      <c r="A29092" t="n">
        <v>29091</v>
      </c>
      <c r="B29092" t="inlineStr">
        <is>
          <t>x̄x̄Mx̄XCI</t>
        </is>
      </c>
      <c r="C29092">
        <f>ROMAN(29091)</f>
        <v/>
      </c>
      <c r="D29092">
        <f>IF(B29092=C29092, "YES", "WRONG")</f>
        <v/>
      </c>
    </row>
    <row r="29093">
      <c r="A29093" t="n">
        <v>29092</v>
      </c>
      <c r="B29093" t="inlineStr">
        <is>
          <t>x̄x̄Mx̄XCII</t>
        </is>
      </c>
      <c r="C29093">
        <f>ROMAN(29092)</f>
        <v/>
      </c>
      <c r="D29093">
        <f>IF(B29093=C29093, "YES", "WRONG")</f>
        <v/>
      </c>
    </row>
    <row r="29094">
      <c r="A29094" t="n">
        <v>29093</v>
      </c>
      <c r="B29094" t="inlineStr">
        <is>
          <t>x̄x̄Mx̄XCIII</t>
        </is>
      </c>
      <c r="C29094">
        <f>ROMAN(29093)</f>
        <v/>
      </c>
      <c r="D29094">
        <f>IF(B29094=C29094, "YES", "WRONG")</f>
        <v/>
      </c>
    </row>
    <row r="29095">
      <c r="A29095" t="n">
        <v>29094</v>
      </c>
      <c r="B29095" t="inlineStr">
        <is>
          <t>x̄x̄Mx̄XCIV</t>
        </is>
      </c>
      <c r="C29095">
        <f>ROMAN(29094)</f>
        <v/>
      </c>
      <c r="D29095">
        <f>IF(B29095=C29095, "YES", "WRONG")</f>
        <v/>
      </c>
    </row>
    <row r="29096">
      <c r="A29096" t="n">
        <v>29095</v>
      </c>
      <c r="B29096" t="inlineStr">
        <is>
          <t>x̄x̄Mx̄XCV</t>
        </is>
      </c>
      <c r="C29096">
        <f>ROMAN(29095)</f>
        <v/>
      </c>
      <c r="D29096">
        <f>IF(B29096=C29096, "YES", "WRONG")</f>
        <v/>
      </c>
    </row>
    <row r="29097">
      <c r="A29097" t="n">
        <v>29096</v>
      </c>
      <c r="B29097" t="inlineStr">
        <is>
          <t>x̄x̄Mx̄XCVI</t>
        </is>
      </c>
      <c r="C29097">
        <f>ROMAN(29096)</f>
        <v/>
      </c>
      <c r="D29097">
        <f>IF(B29097=C29097, "YES", "WRONG")</f>
        <v/>
      </c>
    </row>
    <row r="29098">
      <c r="A29098" t="n">
        <v>29097</v>
      </c>
      <c r="B29098" t="inlineStr">
        <is>
          <t>x̄x̄Mx̄XCVII</t>
        </is>
      </c>
      <c r="C29098">
        <f>ROMAN(29097)</f>
        <v/>
      </c>
      <c r="D29098">
        <f>IF(B29098=C29098, "YES", "WRONG")</f>
        <v/>
      </c>
    </row>
    <row r="29099">
      <c r="A29099" t="n">
        <v>29098</v>
      </c>
      <c r="B29099" t="inlineStr">
        <is>
          <t>x̄x̄Mx̄XCVIII</t>
        </is>
      </c>
      <c r="C29099">
        <f>ROMAN(29098)</f>
        <v/>
      </c>
      <c r="D29099">
        <f>IF(B29099=C29099, "YES", "WRONG")</f>
        <v/>
      </c>
    </row>
    <row r="29100">
      <c r="A29100" t="n">
        <v>29099</v>
      </c>
      <c r="B29100" t="inlineStr">
        <is>
          <t>x̄x̄Mx̄XCIX</t>
        </is>
      </c>
      <c r="C29100">
        <f>ROMAN(29099)</f>
        <v/>
      </c>
      <c r="D29100">
        <f>IF(B29100=C29100, "YES", "WRONG")</f>
        <v/>
      </c>
    </row>
    <row r="29101">
      <c r="A29101" t="n">
        <v>29100</v>
      </c>
      <c r="B29101" t="inlineStr">
        <is>
          <t>x̄x̄Mx̄C</t>
        </is>
      </c>
      <c r="C29101">
        <f>ROMAN(29100)</f>
        <v/>
      </c>
      <c r="D29101">
        <f>IF(B29101=C29101, "YES", "WRONG")</f>
        <v/>
      </c>
    </row>
    <row r="29102">
      <c r="A29102" t="n">
        <v>29101</v>
      </c>
      <c r="B29102" t="inlineStr">
        <is>
          <t>x̄x̄Mx̄CI</t>
        </is>
      </c>
      <c r="C29102">
        <f>ROMAN(29101)</f>
        <v/>
      </c>
      <c r="D29102">
        <f>IF(B29102=C29102, "YES", "WRONG")</f>
        <v/>
      </c>
    </row>
    <row r="29103">
      <c r="A29103" t="n">
        <v>29102</v>
      </c>
      <c r="B29103" t="inlineStr">
        <is>
          <t>x̄x̄Mx̄CII</t>
        </is>
      </c>
      <c r="C29103">
        <f>ROMAN(29102)</f>
        <v/>
      </c>
      <c r="D29103">
        <f>IF(B29103=C29103, "YES", "WRONG")</f>
        <v/>
      </c>
    </row>
    <row r="29104">
      <c r="A29104" t="n">
        <v>29103</v>
      </c>
      <c r="B29104" t="inlineStr">
        <is>
          <t>x̄x̄Mx̄CIII</t>
        </is>
      </c>
      <c r="C29104">
        <f>ROMAN(29103)</f>
        <v/>
      </c>
      <c r="D29104">
        <f>IF(B29104=C29104, "YES", "WRONG")</f>
        <v/>
      </c>
    </row>
    <row r="29105">
      <c r="A29105" t="n">
        <v>29104</v>
      </c>
      <c r="B29105" t="inlineStr">
        <is>
          <t>x̄x̄Mx̄CIV</t>
        </is>
      </c>
      <c r="C29105">
        <f>ROMAN(29104)</f>
        <v/>
      </c>
      <c r="D29105">
        <f>IF(B29105=C29105, "YES", "WRONG")</f>
        <v/>
      </c>
    </row>
    <row r="29106">
      <c r="A29106" t="n">
        <v>29105</v>
      </c>
      <c r="B29106" t="inlineStr">
        <is>
          <t>x̄x̄Mx̄CV</t>
        </is>
      </c>
      <c r="C29106">
        <f>ROMAN(29105)</f>
        <v/>
      </c>
      <c r="D29106">
        <f>IF(B29106=C29106, "YES", "WRONG")</f>
        <v/>
      </c>
    </row>
    <row r="29107">
      <c r="A29107" t="n">
        <v>29106</v>
      </c>
      <c r="B29107" t="inlineStr">
        <is>
          <t>x̄x̄Mx̄CVI</t>
        </is>
      </c>
      <c r="C29107">
        <f>ROMAN(29106)</f>
        <v/>
      </c>
      <c r="D29107">
        <f>IF(B29107=C29107, "YES", "WRONG")</f>
        <v/>
      </c>
    </row>
    <row r="29108">
      <c r="A29108" t="n">
        <v>29107</v>
      </c>
      <c r="B29108" t="inlineStr">
        <is>
          <t>x̄x̄Mx̄CVII</t>
        </is>
      </c>
      <c r="C29108">
        <f>ROMAN(29107)</f>
        <v/>
      </c>
      <c r="D29108">
        <f>IF(B29108=C29108, "YES", "WRONG")</f>
        <v/>
      </c>
    </row>
    <row r="29109">
      <c r="A29109" t="n">
        <v>29108</v>
      </c>
      <c r="B29109" t="inlineStr">
        <is>
          <t>x̄x̄Mx̄CVIII</t>
        </is>
      </c>
      <c r="C29109">
        <f>ROMAN(29108)</f>
        <v/>
      </c>
      <c r="D29109">
        <f>IF(B29109=C29109, "YES", "WRONG")</f>
        <v/>
      </c>
    </row>
    <row r="29110">
      <c r="A29110" t="n">
        <v>29109</v>
      </c>
      <c r="B29110" t="inlineStr">
        <is>
          <t>x̄x̄Mx̄CIX</t>
        </is>
      </c>
      <c r="C29110">
        <f>ROMAN(29109)</f>
        <v/>
      </c>
      <c r="D29110">
        <f>IF(B29110=C29110, "YES", "WRONG")</f>
        <v/>
      </c>
    </row>
    <row r="29111">
      <c r="A29111" t="n">
        <v>29110</v>
      </c>
      <c r="B29111" t="inlineStr">
        <is>
          <t>x̄x̄Mx̄CX</t>
        </is>
      </c>
      <c r="C29111">
        <f>ROMAN(29110)</f>
        <v/>
      </c>
      <c r="D29111">
        <f>IF(B29111=C29111, "YES", "WRONG")</f>
        <v/>
      </c>
    </row>
    <row r="29112">
      <c r="A29112" t="n">
        <v>29111</v>
      </c>
      <c r="B29112" t="inlineStr">
        <is>
          <t>x̄x̄Mx̄CXI</t>
        </is>
      </c>
      <c r="C29112">
        <f>ROMAN(29111)</f>
        <v/>
      </c>
      <c r="D29112">
        <f>IF(B29112=C29112, "YES", "WRONG")</f>
        <v/>
      </c>
    </row>
    <row r="29113">
      <c r="A29113" t="n">
        <v>29112</v>
      </c>
      <c r="B29113" t="inlineStr">
        <is>
          <t>x̄x̄Mx̄CXII</t>
        </is>
      </c>
      <c r="C29113">
        <f>ROMAN(29112)</f>
        <v/>
      </c>
      <c r="D29113">
        <f>IF(B29113=C29113, "YES", "WRONG")</f>
        <v/>
      </c>
    </row>
    <row r="29114">
      <c r="A29114" t="n">
        <v>29113</v>
      </c>
      <c r="B29114" t="inlineStr">
        <is>
          <t>x̄x̄Mx̄CXIII</t>
        </is>
      </c>
      <c r="C29114">
        <f>ROMAN(29113)</f>
        <v/>
      </c>
      <c r="D29114">
        <f>IF(B29114=C29114, "YES", "WRONG")</f>
        <v/>
      </c>
    </row>
    <row r="29115">
      <c r="A29115" t="n">
        <v>29114</v>
      </c>
      <c r="B29115" t="inlineStr">
        <is>
          <t>x̄x̄Mx̄CXIV</t>
        </is>
      </c>
      <c r="C29115">
        <f>ROMAN(29114)</f>
        <v/>
      </c>
      <c r="D29115">
        <f>IF(B29115=C29115, "YES", "WRONG")</f>
        <v/>
      </c>
    </row>
    <row r="29116">
      <c r="A29116" t="n">
        <v>29115</v>
      </c>
      <c r="B29116" t="inlineStr">
        <is>
          <t>x̄x̄Mx̄CXV</t>
        </is>
      </c>
      <c r="C29116">
        <f>ROMAN(29115)</f>
        <v/>
      </c>
      <c r="D29116">
        <f>IF(B29116=C29116, "YES", "WRONG")</f>
        <v/>
      </c>
    </row>
    <row r="29117">
      <c r="A29117" t="n">
        <v>29116</v>
      </c>
      <c r="B29117" t="inlineStr">
        <is>
          <t>x̄x̄Mx̄CXVI</t>
        </is>
      </c>
      <c r="C29117">
        <f>ROMAN(29116)</f>
        <v/>
      </c>
      <c r="D29117">
        <f>IF(B29117=C29117, "YES", "WRONG")</f>
        <v/>
      </c>
    </row>
    <row r="29118">
      <c r="A29118" t="n">
        <v>29117</v>
      </c>
      <c r="B29118" t="inlineStr">
        <is>
          <t>x̄x̄Mx̄CXVII</t>
        </is>
      </c>
      <c r="C29118">
        <f>ROMAN(29117)</f>
        <v/>
      </c>
      <c r="D29118">
        <f>IF(B29118=C29118, "YES", "WRONG")</f>
        <v/>
      </c>
    </row>
    <row r="29119">
      <c r="A29119" t="n">
        <v>29118</v>
      </c>
      <c r="B29119" t="inlineStr">
        <is>
          <t>x̄x̄Mx̄CXVIII</t>
        </is>
      </c>
      <c r="C29119">
        <f>ROMAN(29118)</f>
        <v/>
      </c>
      <c r="D29119">
        <f>IF(B29119=C29119, "YES", "WRONG")</f>
        <v/>
      </c>
    </row>
    <row r="29120">
      <c r="A29120" t="n">
        <v>29119</v>
      </c>
      <c r="B29120" t="inlineStr">
        <is>
          <t>x̄x̄Mx̄CXIX</t>
        </is>
      </c>
      <c r="C29120">
        <f>ROMAN(29119)</f>
        <v/>
      </c>
      <c r="D29120">
        <f>IF(B29120=C29120, "YES", "WRONG")</f>
        <v/>
      </c>
    </row>
    <row r="29121">
      <c r="A29121" t="n">
        <v>29120</v>
      </c>
      <c r="B29121" t="inlineStr">
        <is>
          <t>x̄x̄Mx̄CXX</t>
        </is>
      </c>
      <c r="C29121">
        <f>ROMAN(29120)</f>
        <v/>
      </c>
      <c r="D29121">
        <f>IF(B29121=C29121, "YES", "WRONG")</f>
        <v/>
      </c>
    </row>
    <row r="29122">
      <c r="A29122" t="n">
        <v>29121</v>
      </c>
      <c r="B29122" t="inlineStr">
        <is>
          <t>x̄x̄Mx̄CXXI</t>
        </is>
      </c>
      <c r="C29122">
        <f>ROMAN(29121)</f>
        <v/>
      </c>
      <c r="D29122">
        <f>IF(B29122=C29122, "YES", "WRONG")</f>
        <v/>
      </c>
    </row>
    <row r="29123">
      <c r="A29123" t="n">
        <v>29122</v>
      </c>
      <c r="B29123" t="inlineStr">
        <is>
          <t>x̄x̄Mx̄CXXII</t>
        </is>
      </c>
      <c r="C29123">
        <f>ROMAN(29122)</f>
        <v/>
      </c>
      <c r="D29123">
        <f>IF(B29123=C29123, "YES", "WRONG")</f>
        <v/>
      </c>
    </row>
    <row r="29124">
      <c r="A29124" t="n">
        <v>29123</v>
      </c>
      <c r="B29124" t="inlineStr">
        <is>
          <t>x̄x̄Mx̄CXXIII</t>
        </is>
      </c>
      <c r="C29124">
        <f>ROMAN(29123)</f>
        <v/>
      </c>
      <c r="D29124">
        <f>IF(B29124=C29124, "YES", "WRONG")</f>
        <v/>
      </c>
    </row>
    <row r="29125">
      <c r="A29125" t="n">
        <v>29124</v>
      </c>
      <c r="B29125" t="inlineStr">
        <is>
          <t>x̄x̄Mx̄CXXIV</t>
        </is>
      </c>
      <c r="C29125">
        <f>ROMAN(29124)</f>
        <v/>
      </c>
      <c r="D29125">
        <f>IF(B29125=C29125, "YES", "WRONG")</f>
        <v/>
      </c>
    </row>
    <row r="29126">
      <c r="A29126" t="n">
        <v>29125</v>
      </c>
      <c r="B29126" t="inlineStr">
        <is>
          <t>x̄x̄Mx̄CXXV</t>
        </is>
      </c>
      <c r="C29126">
        <f>ROMAN(29125)</f>
        <v/>
      </c>
      <c r="D29126">
        <f>IF(B29126=C29126, "YES", "WRONG")</f>
        <v/>
      </c>
    </row>
    <row r="29127">
      <c r="A29127" t="n">
        <v>29126</v>
      </c>
      <c r="B29127" t="inlineStr">
        <is>
          <t>x̄x̄Mx̄CXXVI</t>
        </is>
      </c>
      <c r="C29127">
        <f>ROMAN(29126)</f>
        <v/>
      </c>
      <c r="D29127">
        <f>IF(B29127=C29127, "YES", "WRONG")</f>
        <v/>
      </c>
    </row>
    <row r="29128">
      <c r="A29128" t="n">
        <v>29127</v>
      </c>
      <c r="B29128" t="inlineStr">
        <is>
          <t>x̄x̄Mx̄CXXVII</t>
        </is>
      </c>
      <c r="C29128">
        <f>ROMAN(29127)</f>
        <v/>
      </c>
      <c r="D29128">
        <f>IF(B29128=C29128, "YES", "WRONG")</f>
        <v/>
      </c>
    </row>
    <row r="29129">
      <c r="A29129" t="n">
        <v>29128</v>
      </c>
      <c r="B29129" t="inlineStr">
        <is>
          <t>x̄x̄Mx̄CXXVIII</t>
        </is>
      </c>
      <c r="C29129">
        <f>ROMAN(29128)</f>
        <v/>
      </c>
      <c r="D29129">
        <f>IF(B29129=C29129, "YES", "WRONG")</f>
        <v/>
      </c>
    </row>
    <row r="29130">
      <c r="A29130" t="n">
        <v>29129</v>
      </c>
      <c r="B29130" t="inlineStr">
        <is>
          <t>x̄x̄Mx̄CXXIX</t>
        </is>
      </c>
      <c r="C29130">
        <f>ROMAN(29129)</f>
        <v/>
      </c>
      <c r="D29130">
        <f>IF(B29130=C29130, "YES", "WRONG")</f>
        <v/>
      </c>
    </row>
    <row r="29131">
      <c r="A29131" t="n">
        <v>29130</v>
      </c>
      <c r="B29131" t="inlineStr">
        <is>
          <t>x̄x̄Mx̄CXXX</t>
        </is>
      </c>
      <c r="C29131">
        <f>ROMAN(29130)</f>
        <v/>
      </c>
      <c r="D29131">
        <f>IF(B29131=C29131, "YES", "WRONG")</f>
        <v/>
      </c>
    </row>
    <row r="29132">
      <c r="A29132" t="n">
        <v>29131</v>
      </c>
      <c r="B29132" t="inlineStr">
        <is>
          <t>x̄x̄Mx̄CXXXI</t>
        </is>
      </c>
      <c r="C29132">
        <f>ROMAN(29131)</f>
        <v/>
      </c>
      <c r="D29132">
        <f>IF(B29132=C29132, "YES", "WRONG")</f>
        <v/>
      </c>
    </row>
    <row r="29133">
      <c r="A29133" t="n">
        <v>29132</v>
      </c>
      <c r="B29133" t="inlineStr">
        <is>
          <t>x̄x̄Mx̄CXXXII</t>
        </is>
      </c>
      <c r="C29133">
        <f>ROMAN(29132)</f>
        <v/>
      </c>
      <c r="D29133">
        <f>IF(B29133=C29133, "YES", "WRONG")</f>
        <v/>
      </c>
    </row>
    <row r="29134">
      <c r="A29134" t="n">
        <v>29133</v>
      </c>
      <c r="B29134" t="inlineStr">
        <is>
          <t>x̄x̄Mx̄CXXXIII</t>
        </is>
      </c>
      <c r="C29134">
        <f>ROMAN(29133)</f>
        <v/>
      </c>
      <c r="D29134">
        <f>IF(B29134=C29134, "YES", "WRONG")</f>
        <v/>
      </c>
    </row>
    <row r="29135">
      <c r="A29135" t="n">
        <v>29134</v>
      </c>
      <c r="B29135" t="inlineStr">
        <is>
          <t>x̄x̄Mx̄CXXXIV</t>
        </is>
      </c>
      <c r="C29135">
        <f>ROMAN(29134)</f>
        <v/>
      </c>
      <c r="D29135">
        <f>IF(B29135=C29135, "YES", "WRONG")</f>
        <v/>
      </c>
    </row>
    <row r="29136">
      <c r="A29136" t="n">
        <v>29135</v>
      </c>
      <c r="B29136" t="inlineStr">
        <is>
          <t>x̄x̄Mx̄CXXXV</t>
        </is>
      </c>
      <c r="C29136">
        <f>ROMAN(29135)</f>
        <v/>
      </c>
      <c r="D29136">
        <f>IF(B29136=C29136, "YES", "WRONG")</f>
        <v/>
      </c>
    </row>
    <row r="29137">
      <c r="A29137" t="n">
        <v>29136</v>
      </c>
      <c r="B29137" t="inlineStr">
        <is>
          <t>x̄x̄Mx̄CXXXVI</t>
        </is>
      </c>
      <c r="C29137">
        <f>ROMAN(29136)</f>
        <v/>
      </c>
      <c r="D29137">
        <f>IF(B29137=C29137, "YES", "WRONG")</f>
        <v/>
      </c>
    </row>
    <row r="29138">
      <c r="A29138" t="n">
        <v>29137</v>
      </c>
      <c r="B29138" t="inlineStr">
        <is>
          <t>x̄x̄Mx̄CXXXVII</t>
        </is>
      </c>
      <c r="C29138">
        <f>ROMAN(29137)</f>
        <v/>
      </c>
      <c r="D29138">
        <f>IF(B29138=C29138, "YES", "WRONG")</f>
        <v/>
      </c>
    </row>
    <row r="29139">
      <c r="A29139" t="n">
        <v>29138</v>
      </c>
      <c r="B29139" t="inlineStr">
        <is>
          <t>x̄x̄Mx̄CXXXVIII</t>
        </is>
      </c>
      <c r="C29139">
        <f>ROMAN(29138)</f>
        <v/>
      </c>
      <c r="D29139">
        <f>IF(B29139=C29139, "YES", "WRONG")</f>
        <v/>
      </c>
    </row>
    <row r="29140">
      <c r="A29140" t="n">
        <v>29139</v>
      </c>
      <c r="B29140" t="inlineStr">
        <is>
          <t>x̄x̄Mx̄CXXXIX</t>
        </is>
      </c>
      <c r="C29140">
        <f>ROMAN(29139)</f>
        <v/>
      </c>
      <c r="D29140">
        <f>IF(B29140=C29140, "YES", "WRONG")</f>
        <v/>
      </c>
    </row>
    <row r="29141">
      <c r="A29141" t="n">
        <v>29140</v>
      </c>
      <c r="B29141" t="inlineStr">
        <is>
          <t>x̄x̄Mx̄CXL</t>
        </is>
      </c>
      <c r="C29141">
        <f>ROMAN(29140)</f>
        <v/>
      </c>
      <c r="D29141">
        <f>IF(B29141=C29141, "YES", "WRONG")</f>
        <v/>
      </c>
    </row>
    <row r="29142">
      <c r="A29142" t="n">
        <v>29141</v>
      </c>
      <c r="B29142" t="inlineStr">
        <is>
          <t>x̄x̄Mx̄CXLI</t>
        </is>
      </c>
      <c r="C29142">
        <f>ROMAN(29141)</f>
        <v/>
      </c>
      <c r="D29142">
        <f>IF(B29142=C29142, "YES", "WRONG")</f>
        <v/>
      </c>
    </row>
    <row r="29143">
      <c r="A29143" t="n">
        <v>29142</v>
      </c>
      <c r="B29143" t="inlineStr">
        <is>
          <t>x̄x̄Mx̄CXLII</t>
        </is>
      </c>
      <c r="C29143">
        <f>ROMAN(29142)</f>
        <v/>
      </c>
      <c r="D29143">
        <f>IF(B29143=C29143, "YES", "WRONG")</f>
        <v/>
      </c>
    </row>
    <row r="29144">
      <c r="A29144" t="n">
        <v>29143</v>
      </c>
      <c r="B29144" t="inlineStr">
        <is>
          <t>x̄x̄Mx̄CXLIII</t>
        </is>
      </c>
      <c r="C29144">
        <f>ROMAN(29143)</f>
        <v/>
      </c>
      <c r="D29144">
        <f>IF(B29144=C29144, "YES", "WRONG")</f>
        <v/>
      </c>
    </row>
    <row r="29145">
      <c r="A29145" t="n">
        <v>29144</v>
      </c>
      <c r="B29145" t="inlineStr">
        <is>
          <t>x̄x̄Mx̄CXLIV</t>
        </is>
      </c>
      <c r="C29145">
        <f>ROMAN(29144)</f>
        <v/>
      </c>
      <c r="D29145">
        <f>IF(B29145=C29145, "YES", "WRONG")</f>
        <v/>
      </c>
    </row>
    <row r="29146">
      <c r="A29146" t="n">
        <v>29145</v>
      </c>
      <c r="B29146" t="inlineStr">
        <is>
          <t>x̄x̄Mx̄CXLV</t>
        </is>
      </c>
      <c r="C29146">
        <f>ROMAN(29145)</f>
        <v/>
      </c>
      <c r="D29146">
        <f>IF(B29146=C29146, "YES", "WRONG")</f>
        <v/>
      </c>
    </row>
    <row r="29147">
      <c r="A29147" t="n">
        <v>29146</v>
      </c>
      <c r="B29147" t="inlineStr">
        <is>
          <t>x̄x̄Mx̄CXLVI</t>
        </is>
      </c>
      <c r="C29147">
        <f>ROMAN(29146)</f>
        <v/>
      </c>
      <c r="D29147">
        <f>IF(B29147=C29147, "YES", "WRONG")</f>
        <v/>
      </c>
    </row>
    <row r="29148">
      <c r="A29148" t="n">
        <v>29147</v>
      </c>
      <c r="B29148" t="inlineStr">
        <is>
          <t>x̄x̄Mx̄CXLVII</t>
        </is>
      </c>
      <c r="C29148">
        <f>ROMAN(29147)</f>
        <v/>
      </c>
      <c r="D29148">
        <f>IF(B29148=C29148, "YES", "WRONG")</f>
        <v/>
      </c>
    </row>
    <row r="29149">
      <c r="A29149" t="n">
        <v>29148</v>
      </c>
      <c r="B29149" t="inlineStr">
        <is>
          <t>x̄x̄Mx̄CXLVIII</t>
        </is>
      </c>
      <c r="C29149">
        <f>ROMAN(29148)</f>
        <v/>
      </c>
      <c r="D29149">
        <f>IF(B29149=C29149, "YES", "WRONG")</f>
        <v/>
      </c>
    </row>
    <row r="29150">
      <c r="A29150" t="n">
        <v>29149</v>
      </c>
      <c r="B29150" t="inlineStr">
        <is>
          <t>x̄x̄Mx̄CXLIX</t>
        </is>
      </c>
      <c r="C29150">
        <f>ROMAN(29149)</f>
        <v/>
      </c>
      <c r="D29150">
        <f>IF(B29150=C29150, "YES", "WRONG")</f>
        <v/>
      </c>
    </row>
    <row r="29151">
      <c r="A29151" t="n">
        <v>29150</v>
      </c>
      <c r="B29151" t="inlineStr">
        <is>
          <t>x̄x̄Mx̄CL</t>
        </is>
      </c>
      <c r="C29151">
        <f>ROMAN(29150)</f>
        <v/>
      </c>
      <c r="D29151">
        <f>IF(B29151=C29151, "YES", "WRONG")</f>
        <v/>
      </c>
    </row>
    <row r="29152">
      <c r="A29152" t="n">
        <v>29151</v>
      </c>
      <c r="B29152" t="inlineStr">
        <is>
          <t>x̄x̄Mx̄CLI</t>
        </is>
      </c>
      <c r="C29152">
        <f>ROMAN(29151)</f>
        <v/>
      </c>
      <c r="D29152">
        <f>IF(B29152=C29152, "YES", "WRONG")</f>
        <v/>
      </c>
    </row>
    <row r="29153">
      <c r="A29153" t="n">
        <v>29152</v>
      </c>
      <c r="B29153" t="inlineStr">
        <is>
          <t>x̄x̄Mx̄CLII</t>
        </is>
      </c>
      <c r="C29153">
        <f>ROMAN(29152)</f>
        <v/>
      </c>
      <c r="D29153">
        <f>IF(B29153=C29153, "YES", "WRONG")</f>
        <v/>
      </c>
    </row>
    <row r="29154">
      <c r="A29154" t="n">
        <v>29153</v>
      </c>
      <c r="B29154" t="inlineStr">
        <is>
          <t>x̄x̄Mx̄CLIII</t>
        </is>
      </c>
      <c r="C29154">
        <f>ROMAN(29153)</f>
        <v/>
      </c>
      <c r="D29154">
        <f>IF(B29154=C29154, "YES", "WRONG")</f>
        <v/>
      </c>
    </row>
    <row r="29155">
      <c r="A29155" t="n">
        <v>29154</v>
      </c>
      <c r="B29155" t="inlineStr">
        <is>
          <t>x̄x̄Mx̄CLIV</t>
        </is>
      </c>
      <c r="C29155">
        <f>ROMAN(29154)</f>
        <v/>
      </c>
      <c r="D29155">
        <f>IF(B29155=C29155, "YES", "WRONG")</f>
        <v/>
      </c>
    </row>
    <row r="29156">
      <c r="A29156" t="n">
        <v>29155</v>
      </c>
      <c r="B29156" t="inlineStr">
        <is>
          <t>x̄x̄Mx̄CLV</t>
        </is>
      </c>
      <c r="C29156">
        <f>ROMAN(29155)</f>
        <v/>
      </c>
      <c r="D29156">
        <f>IF(B29156=C29156, "YES", "WRONG")</f>
        <v/>
      </c>
    </row>
    <row r="29157">
      <c r="A29157" t="n">
        <v>29156</v>
      </c>
      <c r="B29157" t="inlineStr">
        <is>
          <t>x̄x̄Mx̄CLVI</t>
        </is>
      </c>
      <c r="C29157">
        <f>ROMAN(29156)</f>
        <v/>
      </c>
      <c r="D29157">
        <f>IF(B29157=C29157, "YES", "WRONG")</f>
        <v/>
      </c>
    </row>
    <row r="29158">
      <c r="A29158" t="n">
        <v>29157</v>
      </c>
      <c r="B29158" t="inlineStr">
        <is>
          <t>x̄x̄Mx̄CLVII</t>
        </is>
      </c>
      <c r="C29158">
        <f>ROMAN(29157)</f>
        <v/>
      </c>
      <c r="D29158">
        <f>IF(B29158=C29158, "YES", "WRONG")</f>
        <v/>
      </c>
    </row>
    <row r="29159">
      <c r="A29159" t="n">
        <v>29158</v>
      </c>
      <c r="B29159" t="inlineStr">
        <is>
          <t>x̄x̄Mx̄CLVIII</t>
        </is>
      </c>
      <c r="C29159">
        <f>ROMAN(29158)</f>
        <v/>
      </c>
      <c r="D29159">
        <f>IF(B29159=C29159, "YES", "WRONG")</f>
        <v/>
      </c>
    </row>
    <row r="29160">
      <c r="A29160" t="n">
        <v>29159</v>
      </c>
      <c r="B29160" t="inlineStr">
        <is>
          <t>x̄x̄Mx̄CLIX</t>
        </is>
      </c>
      <c r="C29160">
        <f>ROMAN(29159)</f>
        <v/>
      </c>
      <c r="D29160">
        <f>IF(B29160=C29160, "YES", "WRONG")</f>
        <v/>
      </c>
    </row>
    <row r="29161">
      <c r="A29161" t="n">
        <v>29160</v>
      </c>
      <c r="B29161" t="inlineStr">
        <is>
          <t>x̄x̄Mx̄CLX</t>
        </is>
      </c>
      <c r="C29161">
        <f>ROMAN(29160)</f>
        <v/>
      </c>
      <c r="D29161">
        <f>IF(B29161=C29161, "YES", "WRONG")</f>
        <v/>
      </c>
    </row>
    <row r="29162">
      <c r="A29162" t="n">
        <v>29161</v>
      </c>
      <c r="B29162" t="inlineStr">
        <is>
          <t>x̄x̄Mx̄CLXI</t>
        </is>
      </c>
      <c r="C29162">
        <f>ROMAN(29161)</f>
        <v/>
      </c>
      <c r="D29162">
        <f>IF(B29162=C29162, "YES", "WRONG")</f>
        <v/>
      </c>
    </row>
    <row r="29163">
      <c r="A29163" t="n">
        <v>29162</v>
      </c>
      <c r="B29163" t="inlineStr">
        <is>
          <t>x̄x̄Mx̄CLXII</t>
        </is>
      </c>
      <c r="C29163">
        <f>ROMAN(29162)</f>
        <v/>
      </c>
      <c r="D29163">
        <f>IF(B29163=C29163, "YES", "WRONG")</f>
        <v/>
      </c>
    </row>
    <row r="29164">
      <c r="A29164" t="n">
        <v>29163</v>
      </c>
      <c r="B29164" t="inlineStr">
        <is>
          <t>x̄x̄Mx̄CLXIII</t>
        </is>
      </c>
      <c r="C29164">
        <f>ROMAN(29163)</f>
        <v/>
      </c>
      <c r="D29164">
        <f>IF(B29164=C29164, "YES", "WRONG")</f>
        <v/>
      </c>
    </row>
    <row r="29165">
      <c r="A29165" t="n">
        <v>29164</v>
      </c>
      <c r="B29165" t="inlineStr">
        <is>
          <t>x̄x̄Mx̄CLXIV</t>
        </is>
      </c>
      <c r="C29165">
        <f>ROMAN(29164)</f>
        <v/>
      </c>
      <c r="D29165">
        <f>IF(B29165=C29165, "YES", "WRONG")</f>
        <v/>
      </c>
    </row>
    <row r="29166">
      <c r="A29166" t="n">
        <v>29165</v>
      </c>
      <c r="B29166" t="inlineStr">
        <is>
          <t>x̄x̄Mx̄CLXV</t>
        </is>
      </c>
      <c r="C29166">
        <f>ROMAN(29165)</f>
        <v/>
      </c>
      <c r="D29166">
        <f>IF(B29166=C29166, "YES", "WRONG")</f>
        <v/>
      </c>
    </row>
    <row r="29167">
      <c r="A29167" t="n">
        <v>29166</v>
      </c>
      <c r="B29167" t="inlineStr">
        <is>
          <t>x̄x̄Mx̄CLXVI</t>
        </is>
      </c>
      <c r="C29167">
        <f>ROMAN(29166)</f>
        <v/>
      </c>
      <c r="D29167">
        <f>IF(B29167=C29167, "YES", "WRONG")</f>
        <v/>
      </c>
    </row>
    <row r="29168">
      <c r="A29168" t="n">
        <v>29167</v>
      </c>
      <c r="B29168" t="inlineStr">
        <is>
          <t>x̄x̄Mx̄CLXVII</t>
        </is>
      </c>
      <c r="C29168">
        <f>ROMAN(29167)</f>
        <v/>
      </c>
      <c r="D29168">
        <f>IF(B29168=C29168, "YES", "WRONG")</f>
        <v/>
      </c>
    </row>
    <row r="29169">
      <c r="A29169" t="n">
        <v>29168</v>
      </c>
      <c r="B29169" t="inlineStr">
        <is>
          <t>x̄x̄Mx̄CLXVIII</t>
        </is>
      </c>
      <c r="C29169">
        <f>ROMAN(29168)</f>
        <v/>
      </c>
      <c r="D29169">
        <f>IF(B29169=C29169, "YES", "WRONG")</f>
        <v/>
      </c>
    </row>
    <row r="29170">
      <c r="A29170" t="n">
        <v>29169</v>
      </c>
      <c r="B29170" t="inlineStr">
        <is>
          <t>x̄x̄Mx̄CLXIX</t>
        </is>
      </c>
      <c r="C29170">
        <f>ROMAN(29169)</f>
        <v/>
      </c>
      <c r="D29170">
        <f>IF(B29170=C29170, "YES", "WRONG")</f>
        <v/>
      </c>
    </row>
    <row r="29171">
      <c r="A29171" t="n">
        <v>29170</v>
      </c>
      <c r="B29171" t="inlineStr">
        <is>
          <t>x̄x̄Mx̄CLXX</t>
        </is>
      </c>
      <c r="C29171">
        <f>ROMAN(29170)</f>
        <v/>
      </c>
      <c r="D29171">
        <f>IF(B29171=C29171, "YES", "WRONG")</f>
        <v/>
      </c>
    </row>
    <row r="29172">
      <c r="A29172" t="n">
        <v>29171</v>
      </c>
      <c r="B29172" t="inlineStr">
        <is>
          <t>x̄x̄Mx̄CLXXI</t>
        </is>
      </c>
      <c r="C29172">
        <f>ROMAN(29171)</f>
        <v/>
      </c>
      <c r="D29172">
        <f>IF(B29172=C29172, "YES", "WRONG")</f>
        <v/>
      </c>
    </row>
    <row r="29173">
      <c r="A29173" t="n">
        <v>29172</v>
      </c>
      <c r="B29173" t="inlineStr">
        <is>
          <t>x̄x̄Mx̄CLXXII</t>
        </is>
      </c>
      <c r="C29173">
        <f>ROMAN(29172)</f>
        <v/>
      </c>
      <c r="D29173">
        <f>IF(B29173=C29173, "YES", "WRONG")</f>
        <v/>
      </c>
    </row>
    <row r="29174">
      <c r="A29174" t="n">
        <v>29173</v>
      </c>
      <c r="B29174" t="inlineStr">
        <is>
          <t>x̄x̄Mx̄CLXXIII</t>
        </is>
      </c>
      <c r="C29174">
        <f>ROMAN(29173)</f>
        <v/>
      </c>
      <c r="D29174">
        <f>IF(B29174=C29174, "YES", "WRONG")</f>
        <v/>
      </c>
    </row>
    <row r="29175">
      <c r="A29175" t="n">
        <v>29174</v>
      </c>
      <c r="B29175" t="inlineStr">
        <is>
          <t>x̄x̄Mx̄CLXXIV</t>
        </is>
      </c>
      <c r="C29175">
        <f>ROMAN(29174)</f>
        <v/>
      </c>
      <c r="D29175">
        <f>IF(B29175=C29175, "YES", "WRONG")</f>
        <v/>
      </c>
    </row>
    <row r="29176">
      <c r="A29176" t="n">
        <v>29175</v>
      </c>
      <c r="B29176" t="inlineStr">
        <is>
          <t>x̄x̄Mx̄CLXXV</t>
        </is>
      </c>
      <c r="C29176">
        <f>ROMAN(29175)</f>
        <v/>
      </c>
      <c r="D29176">
        <f>IF(B29176=C29176, "YES", "WRONG")</f>
        <v/>
      </c>
    </row>
    <row r="29177">
      <c r="A29177" t="n">
        <v>29176</v>
      </c>
      <c r="B29177" t="inlineStr">
        <is>
          <t>x̄x̄Mx̄CLXXVI</t>
        </is>
      </c>
      <c r="C29177">
        <f>ROMAN(29176)</f>
        <v/>
      </c>
      <c r="D29177">
        <f>IF(B29177=C29177, "YES", "WRONG")</f>
        <v/>
      </c>
    </row>
    <row r="29178">
      <c r="A29178" t="n">
        <v>29177</v>
      </c>
      <c r="B29178" t="inlineStr">
        <is>
          <t>x̄x̄Mx̄CLXXVII</t>
        </is>
      </c>
      <c r="C29178">
        <f>ROMAN(29177)</f>
        <v/>
      </c>
      <c r="D29178">
        <f>IF(B29178=C29178, "YES", "WRONG")</f>
        <v/>
      </c>
    </row>
    <row r="29179">
      <c r="A29179" t="n">
        <v>29178</v>
      </c>
      <c r="B29179" t="inlineStr">
        <is>
          <t>x̄x̄Mx̄CLXXVIII</t>
        </is>
      </c>
      <c r="C29179">
        <f>ROMAN(29178)</f>
        <v/>
      </c>
      <c r="D29179">
        <f>IF(B29179=C29179, "YES", "WRONG")</f>
        <v/>
      </c>
    </row>
    <row r="29180">
      <c r="A29180" t="n">
        <v>29179</v>
      </c>
      <c r="B29180" t="inlineStr">
        <is>
          <t>x̄x̄Mx̄CLXXIX</t>
        </is>
      </c>
      <c r="C29180">
        <f>ROMAN(29179)</f>
        <v/>
      </c>
      <c r="D29180">
        <f>IF(B29180=C29180, "YES", "WRONG")</f>
        <v/>
      </c>
    </row>
    <row r="29181">
      <c r="A29181" t="n">
        <v>29180</v>
      </c>
      <c r="B29181" t="inlineStr">
        <is>
          <t>x̄x̄Mx̄CLXXX</t>
        </is>
      </c>
      <c r="C29181">
        <f>ROMAN(29180)</f>
        <v/>
      </c>
      <c r="D29181">
        <f>IF(B29181=C29181, "YES", "WRONG")</f>
        <v/>
      </c>
    </row>
    <row r="29182">
      <c r="A29182" t="n">
        <v>29181</v>
      </c>
      <c r="B29182" t="inlineStr">
        <is>
          <t>x̄x̄Mx̄CLXXXI</t>
        </is>
      </c>
      <c r="C29182">
        <f>ROMAN(29181)</f>
        <v/>
      </c>
      <c r="D29182">
        <f>IF(B29182=C29182, "YES", "WRONG")</f>
        <v/>
      </c>
    </row>
    <row r="29183">
      <c r="A29183" t="n">
        <v>29182</v>
      </c>
      <c r="B29183" t="inlineStr">
        <is>
          <t>x̄x̄Mx̄CLXXXII</t>
        </is>
      </c>
      <c r="C29183">
        <f>ROMAN(29182)</f>
        <v/>
      </c>
      <c r="D29183">
        <f>IF(B29183=C29183, "YES", "WRONG")</f>
        <v/>
      </c>
    </row>
    <row r="29184">
      <c r="A29184" t="n">
        <v>29183</v>
      </c>
      <c r="B29184" t="inlineStr">
        <is>
          <t>x̄x̄Mx̄CLXXXIII</t>
        </is>
      </c>
      <c r="C29184">
        <f>ROMAN(29183)</f>
        <v/>
      </c>
      <c r="D29184">
        <f>IF(B29184=C29184, "YES", "WRONG")</f>
        <v/>
      </c>
    </row>
    <row r="29185">
      <c r="A29185" t="n">
        <v>29184</v>
      </c>
      <c r="B29185" t="inlineStr">
        <is>
          <t>x̄x̄Mx̄CLXXXIV</t>
        </is>
      </c>
      <c r="C29185">
        <f>ROMAN(29184)</f>
        <v/>
      </c>
      <c r="D29185">
        <f>IF(B29185=C29185, "YES", "WRONG")</f>
        <v/>
      </c>
    </row>
    <row r="29186">
      <c r="A29186" t="n">
        <v>29185</v>
      </c>
      <c r="B29186" t="inlineStr">
        <is>
          <t>x̄x̄Mx̄CLXXXV</t>
        </is>
      </c>
      <c r="C29186">
        <f>ROMAN(29185)</f>
        <v/>
      </c>
      <c r="D29186">
        <f>IF(B29186=C29186, "YES", "WRONG")</f>
        <v/>
      </c>
    </row>
    <row r="29187">
      <c r="A29187" t="n">
        <v>29186</v>
      </c>
      <c r="B29187" t="inlineStr">
        <is>
          <t>x̄x̄Mx̄CLXXXVI</t>
        </is>
      </c>
      <c r="C29187">
        <f>ROMAN(29186)</f>
        <v/>
      </c>
      <c r="D29187">
        <f>IF(B29187=C29187, "YES", "WRONG")</f>
        <v/>
      </c>
    </row>
    <row r="29188">
      <c r="A29188" t="n">
        <v>29187</v>
      </c>
      <c r="B29188" t="inlineStr">
        <is>
          <t>x̄x̄Mx̄CLXXXVII</t>
        </is>
      </c>
      <c r="C29188">
        <f>ROMAN(29187)</f>
        <v/>
      </c>
      <c r="D29188">
        <f>IF(B29188=C29188, "YES", "WRONG")</f>
        <v/>
      </c>
    </row>
    <row r="29189">
      <c r="A29189" t="n">
        <v>29188</v>
      </c>
      <c r="B29189" t="inlineStr">
        <is>
          <t>x̄x̄Mx̄CLXXXVIII</t>
        </is>
      </c>
      <c r="C29189">
        <f>ROMAN(29188)</f>
        <v/>
      </c>
      <c r="D29189">
        <f>IF(B29189=C29189, "YES", "WRONG")</f>
        <v/>
      </c>
    </row>
    <row r="29190">
      <c r="A29190" t="n">
        <v>29189</v>
      </c>
      <c r="B29190" t="inlineStr">
        <is>
          <t>x̄x̄Mx̄CLXXXIX</t>
        </is>
      </c>
      <c r="C29190">
        <f>ROMAN(29189)</f>
        <v/>
      </c>
      <c r="D29190">
        <f>IF(B29190=C29190, "YES", "WRONG")</f>
        <v/>
      </c>
    </row>
    <row r="29191">
      <c r="A29191" t="n">
        <v>29190</v>
      </c>
      <c r="B29191" t="inlineStr">
        <is>
          <t>x̄x̄Mx̄CXC</t>
        </is>
      </c>
      <c r="C29191">
        <f>ROMAN(29190)</f>
        <v/>
      </c>
      <c r="D29191">
        <f>IF(B29191=C29191, "YES", "WRONG")</f>
        <v/>
      </c>
    </row>
    <row r="29192">
      <c r="A29192" t="n">
        <v>29191</v>
      </c>
      <c r="B29192" t="inlineStr">
        <is>
          <t>x̄x̄Mx̄CXCI</t>
        </is>
      </c>
      <c r="C29192">
        <f>ROMAN(29191)</f>
        <v/>
      </c>
      <c r="D29192">
        <f>IF(B29192=C29192, "YES", "WRONG")</f>
        <v/>
      </c>
    </row>
    <row r="29193">
      <c r="A29193" t="n">
        <v>29192</v>
      </c>
      <c r="B29193" t="inlineStr">
        <is>
          <t>x̄x̄Mx̄CXCII</t>
        </is>
      </c>
      <c r="C29193">
        <f>ROMAN(29192)</f>
        <v/>
      </c>
      <c r="D29193">
        <f>IF(B29193=C29193, "YES", "WRONG")</f>
        <v/>
      </c>
    </row>
    <row r="29194">
      <c r="A29194" t="n">
        <v>29193</v>
      </c>
      <c r="B29194" t="inlineStr">
        <is>
          <t>x̄x̄Mx̄CXCIII</t>
        </is>
      </c>
      <c r="C29194">
        <f>ROMAN(29193)</f>
        <v/>
      </c>
      <c r="D29194">
        <f>IF(B29194=C29194, "YES", "WRONG")</f>
        <v/>
      </c>
    </row>
    <row r="29195">
      <c r="A29195" t="n">
        <v>29194</v>
      </c>
      <c r="B29195" t="inlineStr">
        <is>
          <t>x̄x̄Mx̄CXCIV</t>
        </is>
      </c>
      <c r="C29195">
        <f>ROMAN(29194)</f>
        <v/>
      </c>
      <c r="D29195">
        <f>IF(B29195=C29195, "YES", "WRONG")</f>
        <v/>
      </c>
    </row>
    <row r="29196">
      <c r="A29196" t="n">
        <v>29195</v>
      </c>
      <c r="B29196" t="inlineStr">
        <is>
          <t>x̄x̄Mx̄CXCV</t>
        </is>
      </c>
      <c r="C29196">
        <f>ROMAN(29195)</f>
        <v/>
      </c>
      <c r="D29196">
        <f>IF(B29196=C29196, "YES", "WRONG")</f>
        <v/>
      </c>
    </row>
    <row r="29197">
      <c r="A29197" t="n">
        <v>29196</v>
      </c>
      <c r="B29197" t="inlineStr">
        <is>
          <t>x̄x̄Mx̄CXCVI</t>
        </is>
      </c>
      <c r="C29197">
        <f>ROMAN(29196)</f>
        <v/>
      </c>
      <c r="D29197">
        <f>IF(B29197=C29197, "YES", "WRONG")</f>
        <v/>
      </c>
    </row>
    <row r="29198">
      <c r="A29198" t="n">
        <v>29197</v>
      </c>
      <c r="B29198" t="inlineStr">
        <is>
          <t>x̄x̄Mx̄CXCVII</t>
        </is>
      </c>
      <c r="C29198">
        <f>ROMAN(29197)</f>
        <v/>
      </c>
      <c r="D29198">
        <f>IF(B29198=C29198, "YES", "WRONG")</f>
        <v/>
      </c>
    </row>
    <row r="29199">
      <c r="A29199" t="n">
        <v>29198</v>
      </c>
      <c r="B29199" t="inlineStr">
        <is>
          <t>x̄x̄Mx̄CXCVIII</t>
        </is>
      </c>
      <c r="C29199">
        <f>ROMAN(29198)</f>
        <v/>
      </c>
      <c r="D29199">
        <f>IF(B29199=C29199, "YES", "WRONG")</f>
        <v/>
      </c>
    </row>
    <row r="29200">
      <c r="A29200" t="n">
        <v>29199</v>
      </c>
      <c r="B29200" t="inlineStr">
        <is>
          <t>x̄x̄Mx̄CXCIX</t>
        </is>
      </c>
      <c r="C29200">
        <f>ROMAN(29199)</f>
        <v/>
      </c>
      <c r="D29200">
        <f>IF(B29200=C29200, "YES", "WRONG")</f>
        <v/>
      </c>
    </row>
    <row r="29201">
      <c r="A29201" t="n">
        <v>29200</v>
      </c>
      <c r="B29201" t="inlineStr">
        <is>
          <t>x̄x̄Mx̄CC</t>
        </is>
      </c>
      <c r="C29201">
        <f>ROMAN(29200)</f>
        <v/>
      </c>
      <c r="D29201">
        <f>IF(B29201=C29201, "YES", "WRONG")</f>
        <v/>
      </c>
    </row>
    <row r="29202">
      <c r="A29202" t="n">
        <v>29201</v>
      </c>
      <c r="B29202" t="inlineStr">
        <is>
          <t>x̄x̄Mx̄CCI</t>
        </is>
      </c>
      <c r="C29202">
        <f>ROMAN(29201)</f>
        <v/>
      </c>
      <c r="D29202">
        <f>IF(B29202=C29202, "YES", "WRONG")</f>
        <v/>
      </c>
    </row>
    <row r="29203">
      <c r="A29203" t="n">
        <v>29202</v>
      </c>
      <c r="B29203" t="inlineStr">
        <is>
          <t>x̄x̄Mx̄CCII</t>
        </is>
      </c>
      <c r="C29203">
        <f>ROMAN(29202)</f>
        <v/>
      </c>
      <c r="D29203">
        <f>IF(B29203=C29203, "YES", "WRONG")</f>
        <v/>
      </c>
    </row>
    <row r="29204">
      <c r="A29204" t="n">
        <v>29203</v>
      </c>
      <c r="B29204" t="inlineStr">
        <is>
          <t>x̄x̄Mx̄CCIII</t>
        </is>
      </c>
      <c r="C29204">
        <f>ROMAN(29203)</f>
        <v/>
      </c>
      <c r="D29204">
        <f>IF(B29204=C29204, "YES", "WRONG")</f>
        <v/>
      </c>
    </row>
    <row r="29205">
      <c r="A29205" t="n">
        <v>29204</v>
      </c>
      <c r="B29205" t="inlineStr">
        <is>
          <t>x̄x̄Mx̄CCIV</t>
        </is>
      </c>
      <c r="C29205">
        <f>ROMAN(29204)</f>
        <v/>
      </c>
      <c r="D29205">
        <f>IF(B29205=C29205, "YES", "WRONG")</f>
        <v/>
      </c>
    </row>
    <row r="29206">
      <c r="A29206" t="n">
        <v>29205</v>
      </c>
      <c r="B29206" t="inlineStr">
        <is>
          <t>x̄x̄Mx̄CCV</t>
        </is>
      </c>
      <c r="C29206">
        <f>ROMAN(29205)</f>
        <v/>
      </c>
      <c r="D29206">
        <f>IF(B29206=C29206, "YES", "WRONG")</f>
        <v/>
      </c>
    </row>
    <row r="29207">
      <c r="A29207" t="n">
        <v>29206</v>
      </c>
      <c r="B29207" t="inlineStr">
        <is>
          <t>x̄x̄Mx̄CCVI</t>
        </is>
      </c>
      <c r="C29207">
        <f>ROMAN(29206)</f>
        <v/>
      </c>
      <c r="D29207">
        <f>IF(B29207=C29207, "YES", "WRONG")</f>
        <v/>
      </c>
    </row>
    <row r="29208">
      <c r="A29208" t="n">
        <v>29207</v>
      </c>
      <c r="B29208" t="inlineStr">
        <is>
          <t>x̄x̄Mx̄CCVII</t>
        </is>
      </c>
      <c r="C29208">
        <f>ROMAN(29207)</f>
        <v/>
      </c>
      <c r="D29208">
        <f>IF(B29208=C29208, "YES", "WRONG")</f>
        <v/>
      </c>
    </row>
    <row r="29209">
      <c r="A29209" t="n">
        <v>29208</v>
      </c>
      <c r="B29209" t="inlineStr">
        <is>
          <t>x̄x̄Mx̄CCVIII</t>
        </is>
      </c>
      <c r="C29209">
        <f>ROMAN(29208)</f>
        <v/>
      </c>
      <c r="D29209">
        <f>IF(B29209=C29209, "YES", "WRONG")</f>
        <v/>
      </c>
    </row>
    <row r="29210">
      <c r="A29210" t="n">
        <v>29209</v>
      </c>
      <c r="B29210" t="inlineStr">
        <is>
          <t>x̄x̄Mx̄CCIX</t>
        </is>
      </c>
      <c r="C29210">
        <f>ROMAN(29209)</f>
        <v/>
      </c>
      <c r="D29210">
        <f>IF(B29210=C29210, "YES", "WRONG")</f>
        <v/>
      </c>
    </row>
    <row r="29211">
      <c r="A29211" t="n">
        <v>29210</v>
      </c>
      <c r="B29211" t="inlineStr">
        <is>
          <t>x̄x̄Mx̄CCX</t>
        </is>
      </c>
      <c r="C29211">
        <f>ROMAN(29210)</f>
        <v/>
      </c>
      <c r="D29211">
        <f>IF(B29211=C29211, "YES", "WRONG")</f>
        <v/>
      </c>
    </row>
    <row r="29212">
      <c r="A29212" t="n">
        <v>29211</v>
      </c>
      <c r="B29212" t="inlineStr">
        <is>
          <t>x̄x̄Mx̄CCXI</t>
        </is>
      </c>
      <c r="C29212">
        <f>ROMAN(29211)</f>
        <v/>
      </c>
      <c r="D29212">
        <f>IF(B29212=C29212, "YES", "WRONG")</f>
        <v/>
      </c>
    </row>
    <row r="29213">
      <c r="A29213" t="n">
        <v>29212</v>
      </c>
      <c r="B29213" t="inlineStr">
        <is>
          <t>x̄x̄Mx̄CCXII</t>
        </is>
      </c>
      <c r="C29213">
        <f>ROMAN(29212)</f>
        <v/>
      </c>
      <c r="D29213">
        <f>IF(B29213=C29213, "YES", "WRONG")</f>
        <v/>
      </c>
    </row>
    <row r="29214">
      <c r="A29214" t="n">
        <v>29213</v>
      </c>
      <c r="B29214" t="inlineStr">
        <is>
          <t>x̄x̄Mx̄CCXIII</t>
        </is>
      </c>
      <c r="C29214">
        <f>ROMAN(29213)</f>
        <v/>
      </c>
      <c r="D29214">
        <f>IF(B29214=C29214, "YES", "WRONG")</f>
        <v/>
      </c>
    </row>
    <row r="29215">
      <c r="A29215" t="n">
        <v>29214</v>
      </c>
      <c r="B29215" t="inlineStr">
        <is>
          <t>x̄x̄Mx̄CCXIV</t>
        </is>
      </c>
      <c r="C29215">
        <f>ROMAN(29214)</f>
        <v/>
      </c>
      <c r="D29215">
        <f>IF(B29215=C29215, "YES", "WRONG")</f>
        <v/>
      </c>
    </row>
    <row r="29216">
      <c r="A29216" t="n">
        <v>29215</v>
      </c>
      <c r="B29216" t="inlineStr">
        <is>
          <t>x̄x̄Mx̄CCXV</t>
        </is>
      </c>
      <c r="C29216">
        <f>ROMAN(29215)</f>
        <v/>
      </c>
      <c r="D29216">
        <f>IF(B29216=C29216, "YES", "WRONG")</f>
        <v/>
      </c>
    </row>
    <row r="29217">
      <c r="A29217" t="n">
        <v>29216</v>
      </c>
      <c r="B29217" t="inlineStr">
        <is>
          <t>x̄x̄Mx̄CCXVI</t>
        </is>
      </c>
      <c r="C29217">
        <f>ROMAN(29216)</f>
        <v/>
      </c>
      <c r="D29217">
        <f>IF(B29217=C29217, "YES", "WRONG")</f>
        <v/>
      </c>
    </row>
    <row r="29218">
      <c r="A29218" t="n">
        <v>29217</v>
      </c>
      <c r="B29218" t="inlineStr">
        <is>
          <t>x̄x̄Mx̄CCXVII</t>
        </is>
      </c>
      <c r="C29218">
        <f>ROMAN(29217)</f>
        <v/>
      </c>
      <c r="D29218">
        <f>IF(B29218=C29218, "YES", "WRONG")</f>
        <v/>
      </c>
    </row>
    <row r="29219">
      <c r="A29219" t="n">
        <v>29218</v>
      </c>
      <c r="B29219" t="inlineStr">
        <is>
          <t>x̄x̄Mx̄CCXVIII</t>
        </is>
      </c>
      <c r="C29219">
        <f>ROMAN(29218)</f>
        <v/>
      </c>
      <c r="D29219">
        <f>IF(B29219=C29219, "YES", "WRONG")</f>
        <v/>
      </c>
    </row>
    <row r="29220">
      <c r="A29220" t="n">
        <v>29219</v>
      </c>
      <c r="B29220" t="inlineStr">
        <is>
          <t>x̄x̄Mx̄CCXIX</t>
        </is>
      </c>
      <c r="C29220">
        <f>ROMAN(29219)</f>
        <v/>
      </c>
      <c r="D29220">
        <f>IF(B29220=C29220, "YES", "WRONG")</f>
        <v/>
      </c>
    </row>
    <row r="29221">
      <c r="A29221" t="n">
        <v>29220</v>
      </c>
      <c r="B29221" t="inlineStr">
        <is>
          <t>x̄x̄Mx̄CCXX</t>
        </is>
      </c>
      <c r="C29221">
        <f>ROMAN(29220)</f>
        <v/>
      </c>
      <c r="D29221">
        <f>IF(B29221=C29221, "YES", "WRONG")</f>
        <v/>
      </c>
    </row>
    <row r="29222">
      <c r="A29222" t="n">
        <v>29221</v>
      </c>
      <c r="B29222" t="inlineStr">
        <is>
          <t>x̄x̄Mx̄CCXXI</t>
        </is>
      </c>
      <c r="C29222">
        <f>ROMAN(29221)</f>
        <v/>
      </c>
      <c r="D29222">
        <f>IF(B29222=C29222, "YES", "WRONG")</f>
        <v/>
      </c>
    </row>
    <row r="29223">
      <c r="A29223" t="n">
        <v>29222</v>
      </c>
      <c r="B29223" t="inlineStr">
        <is>
          <t>x̄x̄Mx̄CCXXII</t>
        </is>
      </c>
      <c r="C29223">
        <f>ROMAN(29222)</f>
        <v/>
      </c>
      <c r="D29223">
        <f>IF(B29223=C29223, "YES", "WRONG")</f>
        <v/>
      </c>
    </row>
    <row r="29224">
      <c r="A29224" t="n">
        <v>29223</v>
      </c>
      <c r="B29224" t="inlineStr">
        <is>
          <t>x̄x̄Mx̄CCXXIII</t>
        </is>
      </c>
      <c r="C29224">
        <f>ROMAN(29223)</f>
        <v/>
      </c>
      <c r="D29224">
        <f>IF(B29224=C29224, "YES", "WRONG")</f>
        <v/>
      </c>
    </row>
    <row r="29225">
      <c r="A29225" t="n">
        <v>29224</v>
      </c>
      <c r="B29225" t="inlineStr">
        <is>
          <t>x̄x̄Mx̄CCXXIV</t>
        </is>
      </c>
      <c r="C29225">
        <f>ROMAN(29224)</f>
        <v/>
      </c>
      <c r="D29225">
        <f>IF(B29225=C29225, "YES", "WRONG")</f>
        <v/>
      </c>
    </row>
    <row r="29226">
      <c r="A29226" t="n">
        <v>29225</v>
      </c>
      <c r="B29226" t="inlineStr">
        <is>
          <t>x̄x̄Mx̄CCXXV</t>
        </is>
      </c>
      <c r="C29226">
        <f>ROMAN(29225)</f>
        <v/>
      </c>
      <c r="D29226">
        <f>IF(B29226=C29226, "YES", "WRONG")</f>
        <v/>
      </c>
    </row>
    <row r="29227">
      <c r="A29227" t="n">
        <v>29226</v>
      </c>
      <c r="B29227" t="inlineStr">
        <is>
          <t>x̄x̄Mx̄CCXXVI</t>
        </is>
      </c>
      <c r="C29227">
        <f>ROMAN(29226)</f>
        <v/>
      </c>
      <c r="D29227">
        <f>IF(B29227=C29227, "YES", "WRONG")</f>
        <v/>
      </c>
    </row>
    <row r="29228">
      <c r="A29228" t="n">
        <v>29227</v>
      </c>
      <c r="B29228" t="inlineStr">
        <is>
          <t>x̄x̄Mx̄CCXXVII</t>
        </is>
      </c>
      <c r="C29228">
        <f>ROMAN(29227)</f>
        <v/>
      </c>
      <c r="D29228">
        <f>IF(B29228=C29228, "YES", "WRONG")</f>
        <v/>
      </c>
    </row>
    <row r="29229">
      <c r="A29229" t="n">
        <v>29228</v>
      </c>
      <c r="B29229" t="inlineStr">
        <is>
          <t>x̄x̄Mx̄CCXXVIII</t>
        </is>
      </c>
      <c r="C29229">
        <f>ROMAN(29228)</f>
        <v/>
      </c>
      <c r="D29229">
        <f>IF(B29229=C29229, "YES", "WRONG")</f>
        <v/>
      </c>
    </row>
    <row r="29230">
      <c r="A29230" t="n">
        <v>29229</v>
      </c>
      <c r="B29230" t="inlineStr">
        <is>
          <t>x̄x̄Mx̄CCXXIX</t>
        </is>
      </c>
      <c r="C29230">
        <f>ROMAN(29229)</f>
        <v/>
      </c>
      <c r="D29230">
        <f>IF(B29230=C29230, "YES", "WRONG")</f>
        <v/>
      </c>
    </row>
    <row r="29231">
      <c r="A29231" t="n">
        <v>29230</v>
      </c>
      <c r="B29231" t="inlineStr">
        <is>
          <t>x̄x̄Mx̄CCXXX</t>
        </is>
      </c>
      <c r="C29231">
        <f>ROMAN(29230)</f>
        <v/>
      </c>
      <c r="D29231">
        <f>IF(B29231=C29231, "YES", "WRONG")</f>
        <v/>
      </c>
    </row>
    <row r="29232">
      <c r="A29232" t="n">
        <v>29231</v>
      </c>
      <c r="B29232" t="inlineStr">
        <is>
          <t>x̄x̄Mx̄CCXXXI</t>
        </is>
      </c>
      <c r="C29232">
        <f>ROMAN(29231)</f>
        <v/>
      </c>
      <c r="D29232">
        <f>IF(B29232=C29232, "YES", "WRONG")</f>
        <v/>
      </c>
    </row>
    <row r="29233">
      <c r="A29233" t="n">
        <v>29232</v>
      </c>
      <c r="B29233" t="inlineStr">
        <is>
          <t>x̄x̄Mx̄CCXXXII</t>
        </is>
      </c>
      <c r="C29233">
        <f>ROMAN(29232)</f>
        <v/>
      </c>
      <c r="D29233">
        <f>IF(B29233=C29233, "YES", "WRONG")</f>
        <v/>
      </c>
    </row>
    <row r="29234">
      <c r="A29234" t="n">
        <v>29233</v>
      </c>
      <c r="B29234" t="inlineStr">
        <is>
          <t>x̄x̄Mx̄CCXXXIII</t>
        </is>
      </c>
      <c r="C29234">
        <f>ROMAN(29233)</f>
        <v/>
      </c>
      <c r="D29234">
        <f>IF(B29234=C29234, "YES", "WRONG")</f>
        <v/>
      </c>
    </row>
    <row r="29235">
      <c r="A29235" t="n">
        <v>29234</v>
      </c>
      <c r="B29235" t="inlineStr">
        <is>
          <t>x̄x̄Mx̄CCXXXIV</t>
        </is>
      </c>
      <c r="C29235">
        <f>ROMAN(29234)</f>
        <v/>
      </c>
      <c r="D29235">
        <f>IF(B29235=C29235, "YES", "WRONG")</f>
        <v/>
      </c>
    </row>
    <row r="29236">
      <c r="A29236" t="n">
        <v>29235</v>
      </c>
      <c r="B29236" t="inlineStr">
        <is>
          <t>x̄x̄Mx̄CCXXXV</t>
        </is>
      </c>
      <c r="C29236">
        <f>ROMAN(29235)</f>
        <v/>
      </c>
      <c r="D29236">
        <f>IF(B29236=C29236, "YES", "WRONG")</f>
        <v/>
      </c>
    </row>
    <row r="29237">
      <c r="A29237" t="n">
        <v>29236</v>
      </c>
      <c r="B29237" t="inlineStr">
        <is>
          <t>x̄x̄Mx̄CCXXXVI</t>
        </is>
      </c>
      <c r="C29237">
        <f>ROMAN(29236)</f>
        <v/>
      </c>
      <c r="D29237">
        <f>IF(B29237=C29237, "YES", "WRONG")</f>
        <v/>
      </c>
    </row>
    <row r="29238">
      <c r="A29238" t="n">
        <v>29237</v>
      </c>
      <c r="B29238" t="inlineStr">
        <is>
          <t>x̄x̄Mx̄CCXXXVII</t>
        </is>
      </c>
      <c r="C29238">
        <f>ROMAN(29237)</f>
        <v/>
      </c>
      <c r="D29238">
        <f>IF(B29238=C29238, "YES", "WRONG")</f>
        <v/>
      </c>
    </row>
    <row r="29239">
      <c r="A29239" t="n">
        <v>29238</v>
      </c>
      <c r="B29239" t="inlineStr">
        <is>
          <t>x̄x̄Mx̄CCXXXVIII</t>
        </is>
      </c>
      <c r="C29239">
        <f>ROMAN(29238)</f>
        <v/>
      </c>
      <c r="D29239">
        <f>IF(B29239=C29239, "YES", "WRONG")</f>
        <v/>
      </c>
    </row>
    <row r="29240">
      <c r="A29240" t="n">
        <v>29239</v>
      </c>
      <c r="B29240" t="inlineStr">
        <is>
          <t>x̄x̄Mx̄CCXXXIX</t>
        </is>
      </c>
      <c r="C29240">
        <f>ROMAN(29239)</f>
        <v/>
      </c>
      <c r="D29240">
        <f>IF(B29240=C29240, "YES", "WRONG")</f>
        <v/>
      </c>
    </row>
    <row r="29241">
      <c r="A29241" t="n">
        <v>29240</v>
      </c>
      <c r="B29241" t="inlineStr">
        <is>
          <t>x̄x̄Mx̄CCXL</t>
        </is>
      </c>
      <c r="C29241">
        <f>ROMAN(29240)</f>
        <v/>
      </c>
      <c r="D29241">
        <f>IF(B29241=C29241, "YES", "WRONG")</f>
        <v/>
      </c>
    </row>
    <row r="29242">
      <c r="A29242" t="n">
        <v>29241</v>
      </c>
      <c r="B29242" t="inlineStr">
        <is>
          <t>x̄x̄Mx̄CCXLI</t>
        </is>
      </c>
      <c r="C29242">
        <f>ROMAN(29241)</f>
        <v/>
      </c>
      <c r="D29242">
        <f>IF(B29242=C29242, "YES", "WRONG")</f>
        <v/>
      </c>
    </row>
    <row r="29243">
      <c r="A29243" t="n">
        <v>29242</v>
      </c>
      <c r="B29243" t="inlineStr">
        <is>
          <t>x̄x̄Mx̄CCXLII</t>
        </is>
      </c>
      <c r="C29243">
        <f>ROMAN(29242)</f>
        <v/>
      </c>
      <c r="D29243">
        <f>IF(B29243=C29243, "YES", "WRONG")</f>
        <v/>
      </c>
    </row>
    <row r="29244">
      <c r="A29244" t="n">
        <v>29243</v>
      </c>
      <c r="B29244" t="inlineStr">
        <is>
          <t>x̄x̄Mx̄CCXLIII</t>
        </is>
      </c>
      <c r="C29244">
        <f>ROMAN(29243)</f>
        <v/>
      </c>
      <c r="D29244">
        <f>IF(B29244=C29244, "YES", "WRONG")</f>
        <v/>
      </c>
    </row>
    <row r="29245">
      <c r="A29245" t="n">
        <v>29244</v>
      </c>
      <c r="B29245" t="inlineStr">
        <is>
          <t>x̄x̄Mx̄CCXLIV</t>
        </is>
      </c>
      <c r="C29245">
        <f>ROMAN(29244)</f>
        <v/>
      </c>
      <c r="D29245">
        <f>IF(B29245=C29245, "YES", "WRONG")</f>
        <v/>
      </c>
    </row>
    <row r="29246">
      <c r="A29246" t="n">
        <v>29245</v>
      </c>
      <c r="B29246" t="inlineStr">
        <is>
          <t>x̄x̄Mx̄CCXLV</t>
        </is>
      </c>
      <c r="C29246">
        <f>ROMAN(29245)</f>
        <v/>
      </c>
      <c r="D29246">
        <f>IF(B29246=C29246, "YES", "WRONG")</f>
        <v/>
      </c>
    </row>
    <row r="29247">
      <c r="A29247" t="n">
        <v>29246</v>
      </c>
      <c r="B29247" t="inlineStr">
        <is>
          <t>x̄x̄Mx̄CCXLVI</t>
        </is>
      </c>
      <c r="C29247">
        <f>ROMAN(29246)</f>
        <v/>
      </c>
      <c r="D29247">
        <f>IF(B29247=C29247, "YES", "WRONG")</f>
        <v/>
      </c>
    </row>
    <row r="29248">
      <c r="A29248" t="n">
        <v>29247</v>
      </c>
      <c r="B29248" t="inlineStr">
        <is>
          <t>x̄x̄Mx̄CCXLVII</t>
        </is>
      </c>
      <c r="C29248">
        <f>ROMAN(29247)</f>
        <v/>
      </c>
      <c r="D29248">
        <f>IF(B29248=C29248, "YES", "WRONG")</f>
        <v/>
      </c>
    </row>
    <row r="29249">
      <c r="A29249" t="n">
        <v>29248</v>
      </c>
      <c r="B29249" t="inlineStr">
        <is>
          <t>x̄x̄Mx̄CCXLVIII</t>
        </is>
      </c>
      <c r="C29249">
        <f>ROMAN(29248)</f>
        <v/>
      </c>
      <c r="D29249">
        <f>IF(B29249=C29249, "YES", "WRONG")</f>
        <v/>
      </c>
    </row>
    <row r="29250">
      <c r="A29250" t="n">
        <v>29249</v>
      </c>
      <c r="B29250" t="inlineStr">
        <is>
          <t>x̄x̄Mx̄CCXLIX</t>
        </is>
      </c>
      <c r="C29250">
        <f>ROMAN(29249)</f>
        <v/>
      </c>
      <c r="D29250">
        <f>IF(B29250=C29250, "YES", "WRONG")</f>
        <v/>
      </c>
    </row>
    <row r="29251">
      <c r="A29251" t="n">
        <v>29250</v>
      </c>
      <c r="B29251" t="inlineStr">
        <is>
          <t>x̄x̄Mx̄CCL</t>
        </is>
      </c>
      <c r="C29251">
        <f>ROMAN(29250)</f>
        <v/>
      </c>
      <c r="D29251">
        <f>IF(B29251=C29251, "YES", "WRONG")</f>
        <v/>
      </c>
    </row>
    <row r="29252">
      <c r="A29252" t="n">
        <v>29251</v>
      </c>
      <c r="B29252" t="inlineStr">
        <is>
          <t>x̄x̄Mx̄CCLI</t>
        </is>
      </c>
      <c r="C29252">
        <f>ROMAN(29251)</f>
        <v/>
      </c>
      <c r="D29252">
        <f>IF(B29252=C29252, "YES", "WRONG")</f>
        <v/>
      </c>
    </row>
    <row r="29253">
      <c r="A29253" t="n">
        <v>29252</v>
      </c>
      <c r="B29253" t="inlineStr">
        <is>
          <t>x̄x̄Mx̄CCLII</t>
        </is>
      </c>
      <c r="C29253">
        <f>ROMAN(29252)</f>
        <v/>
      </c>
      <c r="D29253">
        <f>IF(B29253=C29253, "YES", "WRONG")</f>
        <v/>
      </c>
    </row>
    <row r="29254">
      <c r="A29254" t="n">
        <v>29253</v>
      </c>
      <c r="B29254" t="inlineStr">
        <is>
          <t>x̄x̄Mx̄CCLIII</t>
        </is>
      </c>
      <c r="C29254">
        <f>ROMAN(29253)</f>
        <v/>
      </c>
      <c r="D29254">
        <f>IF(B29254=C29254, "YES", "WRONG")</f>
        <v/>
      </c>
    </row>
    <row r="29255">
      <c r="A29255" t="n">
        <v>29254</v>
      </c>
      <c r="B29255" t="inlineStr">
        <is>
          <t>x̄x̄Mx̄CCLIV</t>
        </is>
      </c>
      <c r="C29255">
        <f>ROMAN(29254)</f>
        <v/>
      </c>
      <c r="D29255">
        <f>IF(B29255=C29255, "YES", "WRONG")</f>
        <v/>
      </c>
    </row>
    <row r="29256">
      <c r="A29256" t="n">
        <v>29255</v>
      </c>
      <c r="B29256" t="inlineStr">
        <is>
          <t>x̄x̄Mx̄CCLV</t>
        </is>
      </c>
      <c r="C29256">
        <f>ROMAN(29255)</f>
        <v/>
      </c>
      <c r="D29256">
        <f>IF(B29256=C29256, "YES", "WRONG")</f>
        <v/>
      </c>
    </row>
    <row r="29257">
      <c r="A29257" t="n">
        <v>29256</v>
      </c>
      <c r="B29257" t="inlineStr">
        <is>
          <t>x̄x̄Mx̄CCLVI</t>
        </is>
      </c>
      <c r="C29257">
        <f>ROMAN(29256)</f>
        <v/>
      </c>
      <c r="D29257">
        <f>IF(B29257=C29257, "YES", "WRONG")</f>
        <v/>
      </c>
    </row>
    <row r="29258">
      <c r="A29258" t="n">
        <v>29257</v>
      </c>
      <c r="B29258" t="inlineStr">
        <is>
          <t>x̄x̄Mx̄CCLVII</t>
        </is>
      </c>
      <c r="C29258">
        <f>ROMAN(29257)</f>
        <v/>
      </c>
      <c r="D29258">
        <f>IF(B29258=C29258, "YES", "WRONG")</f>
        <v/>
      </c>
    </row>
    <row r="29259">
      <c r="A29259" t="n">
        <v>29258</v>
      </c>
      <c r="B29259" t="inlineStr">
        <is>
          <t>x̄x̄Mx̄CCLVIII</t>
        </is>
      </c>
      <c r="C29259">
        <f>ROMAN(29258)</f>
        <v/>
      </c>
      <c r="D29259">
        <f>IF(B29259=C29259, "YES", "WRONG")</f>
        <v/>
      </c>
    </row>
    <row r="29260">
      <c r="A29260" t="n">
        <v>29259</v>
      </c>
      <c r="B29260" t="inlineStr">
        <is>
          <t>x̄x̄Mx̄CCLIX</t>
        </is>
      </c>
      <c r="C29260">
        <f>ROMAN(29259)</f>
        <v/>
      </c>
      <c r="D29260">
        <f>IF(B29260=C29260, "YES", "WRONG")</f>
        <v/>
      </c>
    </row>
    <row r="29261">
      <c r="A29261" t="n">
        <v>29260</v>
      </c>
      <c r="B29261" t="inlineStr">
        <is>
          <t>x̄x̄Mx̄CCLX</t>
        </is>
      </c>
      <c r="C29261">
        <f>ROMAN(29260)</f>
        <v/>
      </c>
      <c r="D29261">
        <f>IF(B29261=C29261, "YES", "WRONG")</f>
        <v/>
      </c>
    </row>
    <row r="29262">
      <c r="A29262" t="n">
        <v>29261</v>
      </c>
      <c r="B29262" t="inlineStr">
        <is>
          <t>x̄x̄Mx̄CCLXI</t>
        </is>
      </c>
      <c r="C29262">
        <f>ROMAN(29261)</f>
        <v/>
      </c>
      <c r="D29262">
        <f>IF(B29262=C29262, "YES", "WRONG")</f>
        <v/>
      </c>
    </row>
    <row r="29263">
      <c r="A29263" t="n">
        <v>29262</v>
      </c>
      <c r="B29263" t="inlineStr">
        <is>
          <t>x̄x̄Mx̄CCLXII</t>
        </is>
      </c>
      <c r="C29263">
        <f>ROMAN(29262)</f>
        <v/>
      </c>
      <c r="D29263">
        <f>IF(B29263=C29263, "YES", "WRONG")</f>
        <v/>
      </c>
    </row>
    <row r="29264">
      <c r="A29264" t="n">
        <v>29263</v>
      </c>
      <c r="B29264" t="inlineStr">
        <is>
          <t>x̄x̄Mx̄CCLXIII</t>
        </is>
      </c>
      <c r="C29264">
        <f>ROMAN(29263)</f>
        <v/>
      </c>
      <c r="D29264">
        <f>IF(B29264=C29264, "YES", "WRONG")</f>
        <v/>
      </c>
    </row>
    <row r="29265">
      <c r="A29265" t="n">
        <v>29264</v>
      </c>
      <c r="B29265" t="inlineStr">
        <is>
          <t>x̄x̄Mx̄CCLXIV</t>
        </is>
      </c>
      <c r="C29265">
        <f>ROMAN(29264)</f>
        <v/>
      </c>
      <c r="D29265">
        <f>IF(B29265=C29265, "YES", "WRONG")</f>
        <v/>
      </c>
    </row>
    <row r="29266">
      <c r="A29266" t="n">
        <v>29265</v>
      </c>
      <c r="B29266" t="inlineStr">
        <is>
          <t>x̄x̄Mx̄CCLXV</t>
        </is>
      </c>
      <c r="C29266">
        <f>ROMAN(29265)</f>
        <v/>
      </c>
      <c r="D29266">
        <f>IF(B29266=C29266, "YES", "WRONG")</f>
        <v/>
      </c>
    </row>
    <row r="29267">
      <c r="A29267" t="n">
        <v>29266</v>
      </c>
      <c r="B29267" t="inlineStr">
        <is>
          <t>x̄x̄Mx̄CCLXVI</t>
        </is>
      </c>
      <c r="C29267">
        <f>ROMAN(29266)</f>
        <v/>
      </c>
      <c r="D29267">
        <f>IF(B29267=C29267, "YES", "WRONG")</f>
        <v/>
      </c>
    </row>
    <row r="29268">
      <c r="A29268" t="n">
        <v>29267</v>
      </c>
      <c r="B29268" t="inlineStr">
        <is>
          <t>x̄x̄Mx̄CCLXVII</t>
        </is>
      </c>
      <c r="C29268">
        <f>ROMAN(29267)</f>
        <v/>
      </c>
      <c r="D29268">
        <f>IF(B29268=C29268, "YES", "WRONG")</f>
        <v/>
      </c>
    </row>
    <row r="29269">
      <c r="A29269" t="n">
        <v>29268</v>
      </c>
      <c r="B29269" t="inlineStr">
        <is>
          <t>x̄x̄Mx̄CCLXVIII</t>
        </is>
      </c>
      <c r="C29269">
        <f>ROMAN(29268)</f>
        <v/>
      </c>
      <c r="D29269">
        <f>IF(B29269=C29269, "YES", "WRONG")</f>
        <v/>
      </c>
    </row>
    <row r="29270">
      <c r="A29270" t="n">
        <v>29269</v>
      </c>
      <c r="B29270" t="inlineStr">
        <is>
          <t>x̄x̄Mx̄CCLXIX</t>
        </is>
      </c>
      <c r="C29270">
        <f>ROMAN(29269)</f>
        <v/>
      </c>
      <c r="D29270">
        <f>IF(B29270=C29270, "YES", "WRONG")</f>
        <v/>
      </c>
    </row>
    <row r="29271">
      <c r="A29271" t="n">
        <v>29270</v>
      </c>
      <c r="B29271" t="inlineStr">
        <is>
          <t>x̄x̄Mx̄CCLXX</t>
        </is>
      </c>
      <c r="C29271">
        <f>ROMAN(29270)</f>
        <v/>
      </c>
      <c r="D29271">
        <f>IF(B29271=C29271, "YES", "WRONG")</f>
        <v/>
      </c>
    </row>
    <row r="29272">
      <c r="A29272" t="n">
        <v>29271</v>
      </c>
      <c r="B29272" t="inlineStr">
        <is>
          <t>x̄x̄Mx̄CCLXXI</t>
        </is>
      </c>
      <c r="C29272">
        <f>ROMAN(29271)</f>
        <v/>
      </c>
      <c r="D29272">
        <f>IF(B29272=C29272, "YES", "WRONG")</f>
        <v/>
      </c>
    </row>
    <row r="29273">
      <c r="A29273" t="n">
        <v>29272</v>
      </c>
      <c r="B29273" t="inlineStr">
        <is>
          <t>x̄x̄Mx̄CCLXXII</t>
        </is>
      </c>
      <c r="C29273">
        <f>ROMAN(29272)</f>
        <v/>
      </c>
      <c r="D29273">
        <f>IF(B29273=C29273, "YES", "WRONG")</f>
        <v/>
      </c>
    </row>
    <row r="29274">
      <c r="A29274" t="n">
        <v>29273</v>
      </c>
      <c r="B29274" t="inlineStr">
        <is>
          <t>x̄x̄Mx̄CCLXXIII</t>
        </is>
      </c>
      <c r="C29274">
        <f>ROMAN(29273)</f>
        <v/>
      </c>
      <c r="D29274">
        <f>IF(B29274=C29274, "YES", "WRONG")</f>
        <v/>
      </c>
    </row>
    <row r="29275">
      <c r="A29275" t="n">
        <v>29274</v>
      </c>
      <c r="B29275" t="inlineStr">
        <is>
          <t>x̄x̄Mx̄CCLXXIV</t>
        </is>
      </c>
      <c r="C29275">
        <f>ROMAN(29274)</f>
        <v/>
      </c>
      <c r="D29275">
        <f>IF(B29275=C29275, "YES", "WRONG")</f>
        <v/>
      </c>
    </row>
    <row r="29276">
      <c r="A29276" t="n">
        <v>29275</v>
      </c>
      <c r="B29276" t="inlineStr">
        <is>
          <t>x̄x̄Mx̄CCLXXV</t>
        </is>
      </c>
      <c r="C29276">
        <f>ROMAN(29275)</f>
        <v/>
      </c>
      <c r="D29276">
        <f>IF(B29276=C29276, "YES", "WRONG")</f>
        <v/>
      </c>
    </row>
    <row r="29277">
      <c r="A29277" t="n">
        <v>29276</v>
      </c>
      <c r="B29277" t="inlineStr">
        <is>
          <t>x̄x̄Mx̄CCLXXVI</t>
        </is>
      </c>
      <c r="C29277">
        <f>ROMAN(29276)</f>
        <v/>
      </c>
      <c r="D29277">
        <f>IF(B29277=C29277, "YES", "WRONG")</f>
        <v/>
      </c>
    </row>
    <row r="29278">
      <c r="A29278" t="n">
        <v>29277</v>
      </c>
      <c r="B29278" t="inlineStr">
        <is>
          <t>x̄x̄Mx̄CCLXXVII</t>
        </is>
      </c>
      <c r="C29278">
        <f>ROMAN(29277)</f>
        <v/>
      </c>
      <c r="D29278">
        <f>IF(B29278=C29278, "YES", "WRONG")</f>
        <v/>
      </c>
    </row>
    <row r="29279">
      <c r="A29279" t="n">
        <v>29278</v>
      </c>
      <c r="B29279" t="inlineStr">
        <is>
          <t>x̄x̄Mx̄CCLXXVIII</t>
        </is>
      </c>
      <c r="C29279">
        <f>ROMAN(29278)</f>
        <v/>
      </c>
      <c r="D29279">
        <f>IF(B29279=C29279, "YES", "WRONG")</f>
        <v/>
      </c>
    </row>
    <row r="29280">
      <c r="A29280" t="n">
        <v>29279</v>
      </c>
      <c r="B29280" t="inlineStr">
        <is>
          <t>x̄x̄Mx̄CCLXXIX</t>
        </is>
      </c>
      <c r="C29280">
        <f>ROMAN(29279)</f>
        <v/>
      </c>
      <c r="D29280">
        <f>IF(B29280=C29280, "YES", "WRONG")</f>
        <v/>
      </c>
    </row>
    <row r="29281">
      <c r="A29281" t="n">
        <v>29280</v>
      </c>
      <c r="B29281" t="inlineStr">
        <is>
          <t>x̄x̄Mx̄CCLXXX</t>
        </is>
      </c>
      <c r="C29281">
        <f>ROMAN(29280)</f>
        <v/>
      </c>
      <c r="D29281">
        <f>IF(B29281=C29281, "YES", "WRONG")</f>
        <v/>
      </c>
    </row>
    <row r="29282">
      <c r="A29282" t="n">
        <v>29281</v>
      </c>
      <c r="B29282" t="inlineStr">
        <is>
          <t>x̄x̄Mx̄CCLXXXI</t>
        </is>
      </c>
      <c r="C29282">
        <f>ROMAN(29281)</f>
        <v/>
      </c>
      <c r="D29282">
        <f>IF(B29282=C29282, "YES", "WRONG")</f>
        <v/>
      </c>
    </row>
    <row r="29283">
      <c r="A29283" t="n">
        <v>29282</v>
      </c>
      <c r="B29283" t="inlineStr">
        <is>
          <t>x̄x̄Mx̄CCLXXXII</t>
        </is>
      </c>
      <c r="C29283">
        <f>ROMAN(29282)</f>
        <v/>
      </c>
      <c r="D29283">
        <f>IF(B29283=C29283, "YES", "WRONG")</f>
        <v/>
      </c>
    </row>
    <row r="29284">
      <c r="A29284" t="n">
        <v>29283</v>
      </c>
      <c r="B29284" t="inlineStr">
        <is>
          <t>x̄x̄Mx̄CCLXXXIII</t>
        </is>
      </c>
      <c r="C29284">
        <f>ROMAN(29283)</f>
        <v/>
      </c>
      <c r="D29284">
        <f>IF(B29284=C29284, "YES", "WRONG")</f>
        <v/>
      </c>
    </row>
    <row r="29285">
      <c r="A29285" t="n">
        <v>29284</v>
      </c>
      <c r="B29285" t="inlineStr">
        <is>
          <t>x̄x̄Mx̄CCLXXXIV</t>
        </is>
      </c>
      <c r="C29285">
        <f>ROMAN(29284)</f>
        <v/>
      </c>
      <c r="D29285">
        <f>IF(B29285=C29285, "YES", "WRONG")</f>
        <v/>
      </c>
    </row>
    <row r="29286">
      <c r="A29286" t="n">
        <v>29285</v>
      </c>
      <c r="B29286" t="inlineStr">
        <is>
          <t>x̄x̄Mx̄CCLXXXV</t>
        </is>
      </c>
      <c r="C29286">
        <f>ROMAN(29285)</f>
        <v/>
      </c>
      <c r="D29286">
        <f>IF(B29286=C29286, "YES", "WRONG")</f>
        <v/>
      </c>
    </row>
    <row r="29287">
      <c r="A29287" t="n">
        <v>29286</v>
      </c>
      <c r="B29287" t="inlineStr">
        <is>
          <t>x̄x̄Mx̄CCLXXXVI</t>
        </is>
      </c>
      <c r="C29287">
        <f>ROMAN(29286)</f>
        <v/>
      </c>
      <c r="D29287">
        <f>IF(B29287=C29287, "YES", "WRONG")</f>
        <v/>
      </c>
    </row>
    <row r="29288">
      <c r="A29288" t="n">
        <v>29287</v>
      </c>
      <c r="B29288" t="inlineStr">
        <is>
          <t>x̄x̄Mx̄CCLXXXVII</t>
        </is>
      </c>
      <c r="C29288">
        <f>ROMAN(29287)</f>
        <v/>
      </c>
      <c r="D29288">
        <f>IF(B29288=C29288, "YES", "WRONG")</f>
        <v/>
      </c>
    </row>
    <row r="29289">
      <c r="A29289" t="n">
        <v>29288</v>
      </c>
      <c r="B29289" t="inlineStr">
        <is>
          <t>x̄x̄Mx̄CCLXXXVIII</t>
        </is>
      </c>
      <c r="C29289">
        <f>ROMAN(29288)</f>
        <v/>
      </c>
      <c r="D29289">
        <f>IF(B29289=C29289, "YES", "WRONG")</f>
        <v/>
      </c>
    </row>
    <row r="29290">
      <c r="A29290" t="n">
        <v>29289</v>
      </c>
      <c r="B29290" t="inlineStr">
        <is>
          <t>x̄x̄Mx̄CCLXXXIX</t>
        </is>
      </c>
      <c r="C29290">
        <f>ROMAN(29289)</f>
        <v/>
      </c>
      <c r="D29290">
        <f>IF(B29290=C29290, "YES", "WRONG")</f>
        <v/>
      </c>
    </row>
    <row r="29291">
      <c r="A29291" t="n">
        <v>29290</v>
      </c>
      <c r="B29291" t="inlineStr">
        <is>
          <t>x̄x̄Mx̄CCXC</t>
        </is>
      </c>
      <c r="C29291">
        <f>ROMAN(29290)</f>
        <v/>
      </c>
      <c r="D29291">
        <f>IF(B29291=C29291, "YES", "WRONG")</f>
        <v/>
      </c>
    </row>
    <row r="29292">
      <c r="A29292" t="n">
        <v>29291</v>
      </c>
      <c r="B29292" t="inlineStr">
        <is>
          <t>x̄x̄Mx̄CCXCI</t>
        </is>
      </c>
      <c r="C29292">
        <f>ROMAN(29291)</f>
        <v/>
      </c>
      <c r="D29292">
        <f>IF(B29292=C29292, "YES", "WRONG")</f>
        <v/>
      </c>
    </row>
    <row r="29293">
      <c r="A29293" t="n">
        <v>29292</v>
      </c>
      <c r="B29293" t="inlineStr">
        <is>
          <t>x̄x̄Mx̄CCXCII</t>
        </is>
      </c>
      <c r="C29293">
        <f>ROMAN(29292)</f>
        <v/>
      </c>
      <c r="D29293">
        <f>IF(B29293=C29293, "YES", "WRONG")</f>
        <v/>
      </c>
    </row>
    <row r="29294">
      <c r="A29294" t="n">
        <v>29293</v>
      </c>
      <c r="B29294" t="inlineStr">
        <is>
          <t>x̄x̄Mx̄CCXCIII</t>
        </is>
      </c>
      <c r="C29294">
        <f>ROMAN(29293)</f>
        <v/>
      </c>
      <c r="D29294">
        <f>IF(B29294=C29294, "YES", "WRONG")</f>
        <v/>
      </c>
    </row>
    <row r="29295">
      <c r="A29295" t="n">
        <v>29294</v>
      </c>
      <c r="B29295" t="inlineStr">
        <is>
          <t>x̄x̄Mx̄CCXCIV</t>
        </is>
      </c>
      <c r="C29295">
        <f>ROMAN(29294)</f>
        <v/>
      </c>
      <c r="D29295">
        <f>IF(B29295=C29295, "YES", "WRONG")</f>
        <v/>
      </c>
    </row>
    <row r="29296">
      <c r="A29296" t="n">
        <v>29295</v>
      </c>
      <c r="B29296" t="inlineStr">
        <is>
          <t>x̄x̄Mx̄CCXCV</t>
        </is>
      </c>
      <c r="C29296">
        <f>ROMAN(29295)</f>
        <v/>
      </c>
      <c r="D29296">
        <f>IF(B29296=C29296, "YES", "WRONG")</f>
        <v/>
      </c>
    </row>
    <row r="29297">
      <c r="A29297" t="n">
        <v>29296</v>
      </c>
      <c r="B29297" t="inlineStr">
        <is>
          <t>x̄x̄Mx̄CCXCVI</t>
        </is>
      </c>
      <c r="C29297">
        <f>ROMAN(29296)</f>
        <v/>
      </c>
      <c r="D29297">
        <f>IF(B29297=C29297, "YES", "WRONG")</f>
        <v/>
      </c>
    </row>
    <row r="29298">
      <c r="A29298" t="n">
        <v>29297</v>
      </c>
      <c r="B29298" t="inlineStr">
        <is>
          <t>x̄x̄Mx̄CCXCVII</t>
        </is>
      </c>
      <c r="C29298">
        <f>ROMAN(29297)</f>
        <v/>
      </c>
      <c r="D29298">
        <f>IF(B29298=C29298, "YES", "WRONG")</f>
        <v/>
      </c>
    </row>
    <row r="29299">
      <c r="A29299" t="n">
        <v>29298</v>
      </c>
      <c r="B29299" t="inlineStr">
        <is>
          <t>x̄x̄Mx̄CCXCVIII</t>
        </is>
      </c>
      <c r="C29299">
        <f>ROMAN(29298)</f>
        <v/>
      </c>
      <c r="D29299">
        <f>IF(B29299=C29299, "YES", "WRONG")</f>
        <v/>
      </c>
    </row>
    <row r="29300">
      <c r="A29300" t="n">
        <v>29299</v>
      </c>
      <c r="B29300" t="inlineStr">
        <is>
          <t>x̄x̄Mx̄CCXCIX</t>
        </is>
      </c>
      <c r="C29300">
        <f>ROMAN(29299)</f>
        <v/>
      </c>
      <c r="D29300">
        <f>IF(B29300=C29300, "YES", "WRONG")</f>
        <v/>
      </c>
    </row>
    <row r="29301">
      <c r="A29301" t="n">
        <v>29300</v>
      </c>
      <c r="B29301" t="inlineStr">
        <is>
          <t>x̄x̄Mx̄CCC</t>
        </is>
      </c>
      <c r="C29301">
        <f>ROMAN(29300)</f>
        <v/>
      </c>
      <c r="D29301">
        <f>IF(B29301=C29301, "YES", "WRONG")</f>
        <v/>
      </c>
    </row>
    <row r="29302">
      <c r="A29302" t="n">
        <v>29301</v>
      </c>
      <c r="B29302" t="inlineStr">
        <is>
          <t>x̄x̄Mx̄CCCI</t>
        </is>
      </c>
      <c r="C29302">
        <f>ROMAN(29301)</f>
        <v/>
      </c>
      <c r="D29302">
        <f>IF(B29302=C29302, "YES", "WRONG")</f>
        <v/>
      </c>
    </row>
    <row r="29303">
      <c r="A29303" t="n">
        <v>29302</v>
      </c>
      <c r="B29303" t="inlineStr">
        <is>
          <t>x̄x̄Mx̄CCCII</t>
        </is>
      </c>
      <c r="C29303">
        <f>ROMAN(29302)</f>
        <v/>
      </c>
      <c r="D29303">
        <f>IF(B29303=C29303, "YES", "WRONG")</f>
        <v/>
      </c>
    </row>
    <row r="29304">
      <c r="A29304" t="n">
        <v>29303</v>
      </c>
      <c r="B29304" t="inlineStr">
        <is>
          <t>x̄x̄Mx̄CCCIII</t>
        </is>
      </c>
      <c r="C29304">
        <f>ROMAN(29303)</f>
        <v/>
      </c>
      <c r="D29304">
        <f>IF(B29304=C29304, "YES", "WRONG")</f>
        <v/>
      </c>
    </row>
    <row r="29305">
      <c r="A29305" t="n">
        <v>29304</v>
      </c>
      <c r="B29305" t="inlineStr">
        <is>
          <t>x̄x̄Mx̄CCCIV</t>
        </is>
      </c>
      <c r="C29305">
        <f>ROMAN(29304)</f>
        <v/>
      </c>
      <c r="D29305">
        <f>IF(B29305=C29305, "YES", "WRONG")</f>
        <v/>
      </c>
    </row>
    <row r="29306">
      <c r="A29306" t="n">
        <v>29305</v>
      </c>
      <c r="B29306" t="inlineStr">
        <is>
          <t>x̄x̄Mx̄CCCV</t>
        </is>
      </c>
      <c r="C29306">
        <f>ROMAN(29305)</f>
        <v/>
      </c>
      <c r="D29306">
        <f>IF(B29306=C29306, "YES", "WRONG")</f>
        <v/>
      </c>
    </row>
    <row r="29307">
      <c r="A29307" t="n">
        <v>29306</v>
      </c>
      <c r="B29307" t="inlineStr">
        <is>
          <t>x̄x̄Mx̄CCCVI</t>
        </is>
      </c>
      <c r="C29307">
        <f>ROMAN(29306)</f>
        <v/>
      </c>
      <c r="D29307">
        <f>IF(B29307=C29307, "YES", "WRONG")</f>
        <v/>
      </c>
    </row>
    <row r="29308">
      <c r="A29308" t="n">
        <v>29307</v>
      </c>
      <c r="B29308" t="inlineStr">
        <is>
          <t>x̄x̄Mx̄CCCVII</t>
        </is>
      </c>
      <c r="C29308">
        <f>ROMAN(29307)</f>
        <v/>
      </c>
      <c r="D29308">
        <f>IF(B29308=C29308, "YES", "WRONG")</f>
        <v/>
      </c>
    </row>
    <row r="29309">
      <c r="A29309" t="n">
        <v>29308</v>
      </c>
      <c r="B29309" t="inlineStr">
        <is>
          <t>x̄x̄Mx̄CCCVIII</t>
        </is>
      </c>
      <c r="C29309">
        <f>ROMAN(29308)</f>
        <v/>
      </c>
      <c r="D29309">
        <f>IF(B29309=C29309, "YES", "WRONG")</f>
        <v/>
      </c>
    </row>
    <row r="29310">
      <c r="A29310" t="n">
        <v>29309</v>
      </c>
      <c r="B29310" t="inlineStr">
        <is>
          <t>x̄x̄Mx̄CCCIX</t>
        </is>
      </c>
      <c r="C29310">
        <f>ROMAN(29309)</f>
        <v/>
      </c>
      <c r="D29310">
        <f>IF(B29310=C29310, "YES", "WRONG")</f>
        <v/>
      </c>
    </row>
    <row r="29311">
      <c r="A29311" t="n">
        <v>29310</v>
      </c>
      <c r="B29311" t="inlineStr">
        <is>
          <t>x̄x̄Mx̄CCCX</t>
        </is>
      </c>
      <c r="C29311">
        <f>ROMAN(29310)</f>
        <v/>
      </c>
      <c r="D29311">
        <f>IF(B29311=C29311, "YES", "WRONG")</f>
        <v/>
      </c>
    </row>
    <row r="29312">
      <c r="A29312" t="n">
        <v>29311</v>
      </c>
      <c r="B29312" t="inlineStr">
        <is>
          <t>x̄x̄Mx̄CCCXI</t>
        </is>
      </c>
      <c r="C29312">
        <f>ROMAN(29311)</f>
        <v/>
      </c>
      <c r="D29312">
        <f>IF(B29312=C29312, "YES", "WRONG")</f>
        <v/>
      </c>
    </row>
    <row r="29313">
      <c r="A29313" t="n">
        <v>29312</v>
      </c>
      <c r="B29313" t="inlineStr">
        <is>
          <t>x̄x̄Mx̄CCCXII</t>
        </is>
      </c>
      <c r="C29313">
        <f>ROMAN(29312)</f>
        <v/>
      </c>
      <c r="D29313">
        <f>IF(B29313=C29313, "YES", "WRONG")</f>
        <v/>
      </c>
    </row>
    <row r="29314">
      <c r="A29314" t="n">
        <v>29313</v>
      </c>
      <c r="B29314" t="inlineStr">
        <is>
          <t>x̄x̄Mx̄CCCXIII</t>
        </is>
      </c>
      <c r="C29314">
        <f>ROMAN(29313)</f>
        <v/>
      </c>
      <c r="D29314">
        <f>IF(B29314=C29314, "YES", "WRONG")</f>
        <v/>
      </c>
    </row>
    <row r="29315">
      <c r="A29315" t="n">
        <v>29314</v>
      </c>
      <c r="B29315" t="inlineStr">
        <is>
          <t>x̄x̄Mx̄CCCXIV</t>
        </is>
      </c>
      <c r="C29315">
        <f>ROMAN(29314)</f>
        <v/>
      </c>
      <c r="D29315">
        <f>IF(B29315=C29315, "YES", "WRONG")</f>
        <v/>
      </c>
    </row>
    <row r="29316">
      <c r="A29316" t="n">
        <v>29315</v>
      </c>
      <c r="B29316" t="inlineStr">
        <is>
          <t>x̄x̄Mx̄CCCXV</t>
        </is>
      </c>
      <c r="C29316">
        <f>ROMAN(29315)</f>
        <v/>
      </c>
      <c r="D29316">
        <f>IF(B29316=C29316, "YES", "WRONG")</f>
        <v/>
      </c>
    </row>
    <row r="29317">
      <c r="A29317" t="n">
        <v>29316</v>
      </c>
      <c r="B29317" t="inlineStr">
        <is>
          <t>x̄x̄Mx̄CCCXVI</t>
        </is>
      </c>
      <c r="C29317">
        <f>ROMAN(29316)</f>
        <v/>
      </c>
      <c r="D29317">
        <f>IF(B29317=C29317, "YES", "WRONG")</f>
        <v/>
      </c>
    </row>
    <row r="29318">
      <c r="A29318" t="n">
        <v>29317</v>
      </c>
      <c r="B29318" t="inlineStr">
        <is>
          <t>x̄x̄Mx̄CCCXVII</t>
        </is>
      </c>
      <c r="C29318">
        <f>ROMAN(29317)</f>
        <v/>
      </c>
      <c r="D29318">
        <f>IF(B29318=C29318, "YES", "WRONG")</f>
        <v/>
      </c>
    </row>
    <row r="29319">
      <c r="A29319" t="n">
        <v>29318</v>
      </c>
      <c r="B29319" t="inlineStr">
        <is>
          <t>x̄x̄Mx̄CCCXVIII</t>
        </is>
      </c>
      <c r="C29319">
        <f>ROMAN(29318)</f>
        <v/>
      </c>
      <c r="D29319">
        <f>IF(B29319=C29319, "YES", "WRONG")</f>
        <v/>
      </c>
    </row>
    <row r="29320">
      <c r="A29320" t="n">
        <v>29319</v>
      </c>
      <c r="B29320" t="inlineStr">
        <is>
          <t>x̄x̄Mx̄CCCXIX</t>
        </is>
      </c>
      <c r="C29320">
        <f>ROMAN(29319)</f>
        <v/>
      </c>
      <c r="D29320">
        <f>IF(B29320=C29320, "YES", "WRONG")</f>
        <v/>
      </c>
    </row>
    <row r="29321">
      <c r="A29321" t="n">
        <v>29320</v>
      </c>
      <c r="B29321" t="inlineStr">
        <is>
          <t>x̄x̄Mx̄CCCXX</t>
        </is>
      </c>
      <c r="C29321">
        <f>ROMAN(29320)</f>
        <v/>
      </c>
      <c r="D29321">
        <f>IF(B29321=C29321, "YES", "WRONG")</f>
        <v/>
      </c>
    </row>
    <row r="29322">
      <c r="A29322" t="n">
        <v>29321</v>
      </c>
      <c r="B29322" t="inlineStr">
        <is>
          <t>x̄x̄Mx̄CCCXXI</t>
        </is>
      </c>
      <c r="C29322">
        <f>ROMAN(29321)</f>
        <v/>
      </c>
      <c r="D29322">
        <f>IF(B29322=C29322, "YES", "WRONG")</f>
        <v/>
      </c>
    </row>
    <row r="29323">
      <c r="A29323" t="n">
        <v>29322</v>
      </c>
      <c r="B29323" t="inlineStr">
        <is>
          <t>x̄x̄Mx̄CCCXXII</t>
        </is>
      </c>
      <c r="C29323">
        <f>ROMAN(29322)</f>
        <v/>
      </c>
      <c r="D29323">
        <f>IF(B29323=C29323, "YES", "WRONG")</f>
        <v/>
      </c>
    </row>
    <row r="29324">
      <c r="A29324" t="n">
        <v>29323</v>
      </c>
      <c r="B29324" t="inlineStr">
        <is>
          <t>x̄x̄Mx̄CCCXXIII</t>
        </is>
      </c>
      <c r="C29324">
        <f>ROMAN(29323)</f>
        <v/>
      </c>
      <c r="D29324">
        <f>IF(B29324=C29324, "YES", "WRONG")</f>
        <v/>
      </c>
    </row>
    <row r="29325">
      <c r="A29325" t="n">
        <v>29324</v>
      </c>
      <c r="B29325" t="inlineStr">
        <is>
          <t>x̄x̄Mx̄CCCXXIV</t>
        </is>
      </c>
      <c r="C29325">
        <f>ROMAN(29324)</f>
        <v/>
      </c>
      <c r="D29325">
        <f>IF(B29325=C29325, "YES", "WRONG")</f>
        <v/>
      </c>
    </row>
    <row r="29326">
      <c r="A29326" t="n">
        <v>29325</v>
      </c>
      <c r="B29326" t="inlineStr">
        <is>
          <t>x̄x̄Mx̄CCCXXV</t>
        </is>
      </c>
      <c r="C29326">
        <f>ROMAN(29325)</f>
        <v/>
      </c>
      <c r="D29326">
        <f>IF(B29326=C29326, "YES", "WRONG")</f>
        <v/>
      </c>
    </row>
    <row r="29327">
      <c r="A29327" t="n">
        <v>29326</v>
      </c>
      <c r="B29327" t="inlineStr">
        <is>
          <t>x̄x̄Mx̄CCCXXVI</t>
        </is>
      </c>
      <c r="C29327">
        <f>ROMAN(29326)</f>
        <v/>
      </c>
      <c r="D29327">
        <f>IF(B29327=C29327, "YES", "WRONG")</f>
        <v/>
      </c>
    </row>
    <row r="29328">
      <c r="A29328" t="n">
        <v>29327</v>
      </c>
      <c r="B29328" t="inlineStr">
        <is>
          <t>x̄x̄Mx̄CCCXXVII</t>
        </is>
      </c>
      <c r="C29328">
        <f>ROMAN(29327)</f>
        <v/>
      </c>
      <c r="D29328">
        <f>IF(B29328=C29328, "YES", "WRONG")</f>
        <v/>
      </c>
    </row>
    <row r="29329">
      <c r="A29329" t="n">
        <v>29328</v>
      </c>
      <c r="B29329" t="inlineStr">
        <is>
          <t>x̄x̄Mx̄CCCXXVIII</t>
        </is>
      </c>
      <c r="C29329">
        <f>ROMAN(29328)</f>
        <v/>
      </c>
      <c r="D29329">
        <f>IF(B29329=C29329, "YES", "WRONG")</f>
        <v/>
      </c>
    </row>
    <row r="29330">
      <c r="A29330" t="n">
        <v>29329</v>
      </c>
      <c r="B29330" t="inlineStr">
        <is>
          <t>x̄x̄Mx̄CCCXXIX</t>
        </is>
      </c>
      <c r="C29330">
        <f>ROMAN(29329)</f>
        <v/>
      </c>
      <c r="D29330">
        <f>IF(B29330=C29330, "YES", "WRONG")</f>
        <v/>
      </c>
    </row>
    <row r="29331">
      <c r="A29331" t="n">
        <v>29330</v>
      </c>
      <c r="B29331" t="inlineStr">
        <is>
          <t>x̄x̄Mx̄CCCXXX</t>
        </is>
      </c>
      <c r="C29331">
        <f>ROMAN(29330)</f>
        <v/>
      </c>
      <c r="D29331">
        <f>IF(B29331=C29331, "YES", "WRONG")</f>
        <v/>
      </c>
    </row>
    <row r="29332">
      <c r="A29332" t="n">
        <v>29331</v>
      </c>
      <c r="B29332" t="inlineStr">
        <is>
          <t>x̄x̄Mx̄CCCXXXI</t>
        </is>
      </c>
      <c r="C29332">
        <f>ROMAN(29331)</f>
        <v/>
      </c>
      <c r="D29332">
        <f>IF(B29332=C29332, "YES", "WRONG")</f>
        <v/>
      </c>
    </row>
    <row r="29333">
      <c r="A29333" t="n">
        <v>29332</v>
      </c>
      <c r="B29333" t="inlineStr">
        <is>
          <t>x̄x̄Mx̄CCCXXXII</t>
        </is>
      </c>
      <c r="C29333">
        <f>ROMAN(29332)</f>
        <v/>
      </c>
      <c r="D29333">
        <f>IF(B29333=C29333, "YES", "WRONG")</f>
        <v/>
      </c>
    </row>
    <row r="29334">
      <c r="A29334" t="n">
        <v>29333</v>
      </c>
      <c r="B29334" t="inlineStr">
        <is>
          <t>x̄x̄Mx̄CCCXXXIII</t>
        </is>
      </c>
      <c r="C29334">
        <f>ROMAN(29333)</f>
        <v/>
      </c>
      <c r="D29334">
        <f>IF(B29334=C29334, "YES", "WRONG")</f>
        <v/>
      </c>
    </row>
    <row r="29335">
      <c r="A29335" t="n">
        <v>29334</v>
      </c>
      <c r="B29335" t="inlineStr">
        <is>
          <t>x̄x̄Mx̄CCCXXXIV</t>
        </is>
      </c>
      <c r="C29335">
        <f>ROMAN(29334)</f>
        <v/>
      </c>
      <c r="D29335">
        <f>IF(B29335=C29335, "YES", "WRONG")</f>
        <v/>
      </c>
    </row>
    <row r="29336">
      <c r="A29336" t="n">
        <v>29335</v>
      </c>
      <c r="B29336" t="inlineStr">
        <is>
          <t>x̄x̄Mx̄CCCXXXV</t>
        </is>
      </c>
      <c r="C29336">
        <f>ROMAN(29335)</f>
        <v/>
      </c>
      <c r="D29336">
        <f>IF(B29336=C29336, "YES", "WRONG")</f>
        <v/>
      </c>
    </row>
    <row r="29337">
      <c r="A29337" t="n">
        <v>29336</v>
      </c>
      <c r="B29337" t="inlineStr">
        <is>
          <t>x̄x̄Mx̄CCCXXXVI</t>
        </is>
      </c>
      <c r="C29337">
        <f>ROMAN(29336)</f>
        <v/>
      </c>
      <c r="D29337">
        <f>IF(B29337=C29337, "YES", "WRONG")</f>
        <v/>
      </c>
    </row>
    <row r="29338">
      <c r="A29338" t="n">
        <v>29337</v>
      </c>
      <c r="B29338" t="inlineStr">
        <is>
          <t>x̄x̄Mx̄CCCXXXVII</t>
        </is>
      </c>
      <c r="C29338">
        <f>ROMAN(29337)</f>
        <v/>
      </c>
      <c r="D29338">
        <f>IF(B29338=C29338, "YES", "WRONG")</f>
        <v/>
      </c>
    </row>
    <row r="29339">
      <c r="A29339" t="n">
        <v>29338</v>
      </c>
      <c r="B29339" t="inlineStr">
        <is>
          <t>x̄x̄Mx̄CCCXXXVIII</t>
        </is>
      </c>
      <c r="C29339">
        <f>ROMAN(29338)</f>
        <v/>
      </c>
      <c r="D29339">
        <f>IF(B29339=C29339, "YES", "WRONG")</f>
        <v/>
      </c>
    </row>
    <row r="29340">
      <c r="A29340" t="n">
        <v>29339</v>
      </c>
      <c r="B29340" t="inlineStr">
        <is>
          <t>x̄x̄Mx̄CCCXXXIX</t>
        </is>
      </c>
      <c r="C29340">
        <f>ROMAN(29339)</f>
        <v/>
      </c>
      <c r="D29340">
        <f>IF(B29340=C29340, "YES", "WRONG")</f>
        <v/>
      </c>
    </row>
    <row r="29341">
      <c r="A29341" t="n">
        <v>29340</v>
      </c>
      <c r="B29341" t="inlineStr">
        <is>
          <t>x̄x̄Mx̄CCCXL</t>
        </is>
      </c>
      <c r="C29341">
        <f>ROMAN(29340)</f>
        <v/>
      </c>
      <c r="D29341">
        <f>IF(B29341=C29341, "YES", "WRONG")</f>
        <v/>
      </c>
    </row>
    <row r="29342">
      <c r="A29342" t="n">
        <v>29341</v>
      </c>
      <c r="B29342" t="inlineStr">
        <is>
          <t>x̄x̄Mx̄CCCXLI</t>
        </is>
      </c>
      <c r="C29342">
        <f>ROMAN(29341)</f>
        <v/>
      </c>
      <c r="D29342">
        <f>IF(B29342=C29342, "YES", "WRONG")</f>
        <v/>
      </c>
    </row>
    <row r="29343">
      <c r="A29343" t="n">
        <v>29342</v>
      </c>
      <c r="B29343" t="inlineStr">
        <is>
          <t>x̄x̄Mx̄CCCXLII</t>
        </is>
      </c>
      <c r="C29343">
        <f>ROMAN(29342)</f>
        <v/>
      </c>
      <c r="D29343">
        <f>IF(B29343=C29343, "YES", "WRONG")</f>
        <v/>
      </c>
    </row>
    <row r="29344">
      <c r="A29344" t="n">
        <v>29343</v>
      </c>
      <c r="B29344" t="inlineStr">
        <is>
          <t>x̄x̄Mx̄CCCXLIII</t>
        </is>
      </c>
      <c r="C29344">
        <f>ROMAN(29343)</f>
        <v/>
      </c>
      <c r="D29344">
        <f>IF(B29344=C29344, "YES", "WRONG")</f>
        <v/>
      </c>
    </row>
    <row r="29345">
      <c r="A29345" t="n">
        <v>29344</v>
      </c>
      <c r="B29345" t="inlineStr">
        <is>
          <t>x̄x̄Mx̄CCCXLIV</t>
        </is>
      </c>
      <c r="C29345">
        <f>ROMAN(29344)</f>
        <v/>
      </c>
      <c r="D29345">
        <f>IF(B29345=C29345, "YES", "WRONG")</f>
        <v/>
      </c>
    </row>
    <row r="29346">
      <c r="A29346" t="n">
        <v>29345</v>
      </c>
      <c r="B29346" t="inlineStr">
        <is>
          <t>x̄x̄Mx̄CCCXLV</t>
        </is>
      </c>
      <c r="C29346">
        <f>ROMAN(29345)</f>
        <v/>
      </c>
      <c r="D29346">
        <f>IF(B29346=C29346, "YES", "WRONG")</f>
        <v/>
      </c>
    </row>
    <row r="29347">
      <c r="A29347" t="n">
        <v>29346</v>
      </c>
      <c r="B29347" t="inlineStr">
        <is>
          <t>x̄x̄Mx̄CCCXLVI</t>
        </is>
      </c>
      <c r="C29347">
        <f>ROMAN(29346)</f>
        <v/>
      </c>
      <c r="D29347">
        <f>IF(B29347=C29347, "YES", "WRONG")</f>
        <v/>
      </c>
    </row>
    <row r="29348">
      <c r="A29348" t="n">
        <v>29347</v>
      </c>
      <c r="B29348" t="inlineStr">
        <is>
          <t>x̄x̄Mx̄CCCXLVII</t>
        </is>
      </c>
      <c r="C29348">
        <f>ROMAN(29347)</f>
        <v/>
      </c>
      <c r="D29348">
        <f>IF(B29348=C29348, "YES", "WRONG")</f>
        <v/>
      </c>
    </row>
    <row r="29349">
      <c r="A29349" t="n">
        <v>29348</v>
      </c>
      <c r="B29349" t="inlineStr">
        <is>
          <t>x̄x̄Mx̄CCCXLVIII</t>
        </is>
      </c>
      <c r="C29349">
        <f>ROMAN(29348)</f>
        <v/>
      </c>
      <c r="D29349">
        <f>IF(B29349=C29349, "YES", "WRONG")</f>
        <v/>
      </c>
    </row>
    <row r="29350">
      <c r="A29350" t="n">
        <v>29349</v>
      </c>
      <c r="B29350" t="inlineStr">
        <is>
          <t>x̄x̄Mx̄CCCXLIX</t>
        </is>
      </c>
      <c r="C29350">
        <f>ROMAN(29349)</f>
        <v/>
      </c>
      <c r="D29350">
        <f>IF(B29350=C29350, "YES", "WRONG")</f>
        <v/>
      </c>
    </row>
    <row r="29351">
      <c r="A29351" t="n">
        <v>29350</v>
      </c>
      <c r="B29351" t="inlineStr">
        <is>
          <t>x̄x̄Mx̄CCCL</t>
        </is>
      </c>
      <c r="C29351">
        <f>ROMAN(29350)</f>
        <v/>
      </c>
      <c r="D29351">
        <f>IF(B29351=C29351, "YES", "WRONG")</f>
        <v/>
      </c>
    </row>
    <row r="29352">
      <c r="A29352" t="n">
        <v>29351</v>
      </c>
      <c r="B29352" t="inlineStr">
        <is>
          <t>x̄x̄Mx̄CCCLI</t>
        </is>
      </c>
      <c r="C29352">
        <f>ROMAN(29351)</f>
        <v/>
      </c>
      <c r="D29352">
        <f>IF(B29352=C29352, "YES", "WRONG")</f>
        <v/>
      </c>
    </row>
    <row r="29353">
      <c r="A29353" t="n">
        <v>29352</v>
      </c>
      <c r="B29353" t="inlineStr">
        <is>
          <t>x̄x̄Mx̄CCCLII</t>
        </is>
      </c>
      <c r="C29353">
        <f>ROMAN(29352)</f>
        <v/>
      </c>
      <c r="D29353">
        <f>IF(B29353=C29353, "YES", "WRONG")</f>
        <v/>
      </c>
    </row>
    <row r="29354">
      <c r="A29354" t="n">
        <v>29353</v>
      </c>
      <c r="B29354" t="inlineStr">
        <is>
          <t>x̄x̄Mx̄CCCLIII</t>
        </is>
      </c>
      <c r="C29354">
        <f>ROMAN(29353)</f>
        <v/>
      </c>
      <c r="D29354">
        <f>IF(B29354=C29354, "YES", "WRONG")</f>
        <v/>
      </c>
    </row>
    <row r="29355">
      <c r="A29355" t="n">
        <v>29354</v>
      </c>
      <c r="B29355" t="inlineStr">
        <is>
          <t>x̄x̄Mx̄CCCLIV</t>
        </is>
      </c>
      <c r="C29355">
        <f>ROMAN(29354)</f>
        <v/>
      </c>
      <c r="D29355">
        <f>IF(B29355=C29355, "YES", "WRONG")</f>
        <v/>
      </c>
    </row>
    <row r="29356">
      <c r="A29356" t="n">
        <v>29355</v>
      </c>
      <c r="B29356" t="inlineStr">
        <is>
          <t>x̄x̄Mx̄CCCLV</t>
        </is>
      </c>
      <c r="C29356">
        <f>ROMAN(29355)</f>
        <v/>
      </c>
      <c r="D29356">
        <f>IF(B29356=C29356, "YES", "WRONG")</f>
        <v/>
      </c>
    </row>
    <row r="29357">
      <c r="A29357" t="n">
        <v>29356</v>
      </c>
      <c r="B29357" t="inlineStr">
        <is>
          <t>x̄x̄Mx̄CCCLVI</t>
        </is>
      </c>
      <c r="C29357">
        <f>ROMAN(29356)</f>
        <v/>
      </c>
      <c r="D29357">
        <f>IF(B29357=C29357, "YES", "WRONG")</f>
        <v/>
      </c>
    </row>
    <row r="29358">
      <c r="A29358" t="n">
        <v>29357</v>
      </c>
      <c r="B29358" t="inlineStr">
        <is>
          <t>x̄x̄Mx̄CCCLVII</t>
        </is>
      </c>
      <c r="C29358">
        <f>ROMAN(29357)</f>
        <v/>
      </c>
      <c r="D29358">
        <f>IF(B29358=C29358, "YES", "WRONG")</f>
        <v/>
      </c>
    </row>
    <row r="29359">
      <c r="A29359" t="n">
        <v>29358</v>
      </c>
      <c r="B29359" t="inlineStr">
        <is>
          <t>x̄x̄Mx̄CCCLVIII</t>
        </is>
      </c>
      <c r="C29359">
        <f>ROMAN(29358)</f>
        <v/>
      </c>
      <c r="D29359">
        <f>IF(B29359=C29359, "YES", "WRONG")</f>
        <v/>
      </c>
    </row>
    <row r="29360">
      <c r="A29360" t="n">
        <v>29359</v>
      </c>
      <c r="B29360" t="inlineStr">
        <is>
          <t>x̄x̄Mx̄CCCLIX</t>
        </is>
      </c>
      <c r="C29360">
        <f>ROMAN(29359)</f>
        <v/>
      </c>
      <c r="D29360">
        <f>IF(B29360=C29360, "YES", "WRONG")</f>
        <v/>
      </c>
    </row>
    <row r="29361">
      <c r="A29361" t="n">
        <v>29360</v>
      </c>
      <c r="B29361" t="inlineStr">
        <is>
          <t>x̄x̄Mx̄CCCLX</t>
        </is>
      </c>
      <c r="C29361">
        <f>ROMAN(29360)</f>
        <v/>
      </c>
      <c r="D29361">
        <f>IF(B29361=C29361, "YES", "WRONG")</f>
        <v/>
      </c>
    </row>
    <row r="29362">
      <c r="A29362" t="n">
        <v>29361</v>
      </c>
      <c r="B29362" t="inlineStr">
        <is>
          <t>x̄x̄Mx̄CCCLXI</t>
        </is>
      </c>
      <c r="C29362">
        <f>ROMAN(29361)</f>
        <v/>
      </c>
      <c r="D29362">
        <f>IF(B29362=C29362, "YES", "WRONG")</f>
        <v/>
      </c>
    </row>
    <row r="29363">
      <c r="A29363" t="n">
        <v>29362</v>
      </c>
      <c r="B29363" t="inlineStr">
        <is>
          <t>x̄x̄Mx̄CCCLXII</t>
        </is>
      </c>
      <c r="C29363">
        <f>ROMAN(29362)</f>
        <v/>
      </c>
      <c r="D29363">
        <f>IF(B29363=C29363, "YES", "WRONG")</f>
        <v/>
      </c>
    </row>
    <row r="29364">
      <c r="A29364" t="n">
        <v>29363</v>
      </c>
      <c r="B29364" t="inlineStr">
        <is>
          <t>x̄x̄Mx̄CCCLXIII</t>
        </is>
      </c>
      <c r="C29364">
        <f>ROMAN(29363)</f>
        <v/>
      </c>
      <c r="D29364">
        <f>IF(B29364=C29364, "YES", "WRONG")</f>
        <v/>
      </c>
    </row>
    <row r="29365">
      <c r="A29365" t="n">
        <v>29364</v>
      </c>
      <c r="B29365" t="inlineStr">
        <is>
          <t>x̄x̄Mx̄CCCLXIV</t>
        </is>
      </c>
      <c r="C29365">
        <f>ROMAN(29364)</f>
        <v/>
      </c>
      <c r="D29365">
        <f>IF(B29365=C29365, "YES", "WRONG")</f>
        <v/>
      </c>
    </row>
    <row r="29366">
      <c r="A29366" t="n">
        <v>29365</v>
      </c>
      <c r="B29366" t="inlineStr">
        <is>
          <t>x̄x̄Mx̄CCCLXV</t>
        </is>
      </c>
      <c r="C29366">
        <f>ROMAN(29365)</f>
        <v/>
      </c>
      <c r="D29366">
        <f>IF(B29366=C29366, "YES", "WRONG")</f>
        <v/>
      </c>
    </row>
    <row r="29367">
      <c r="A29367" t="n">
        <v>29366</v>
      </c>
      <c r="B29367" t="inlineStr">
        <is>
          <t>x̄x̄Mx̄CCCLXVI</t>
        </is>
      </c>
      <c r="C29367">
        <f>ROMAN(29366)</f>
        <v/>
      </c>
      <c r="D29367">
        <f>IF(B29367=C29367, "YES", "WRONG")</f>
        <v/>
      </c>
    </row>
    <row r="29368">
      <c r="A29368" t="n">
        <v>29367</v>
      </c>
      <c r="B29368" t="inlineStr">
        <is>
          <t>x̄x̄Mx̄CCCLXVII</t>
        </is>
      </c>
      <c r="C29368">
        <f>ROMAN(29367)</f>
        <v/>
      </c>
      <c r="D29368">
        <f>IF(B29368=C29368, "YES", "WRONG")</f>
        <v/>
      </c>
    </row>
    <row r="29369">
      <c r="A29369" t="n">
        <v>29368</v>
      </c>
      <c r="B29369" t="inlineStr">
        <is>
          <t>x̄x̄Mx̄CCCLXVIII</t>
        </is>
      </c>
      <c r="C29369">
        <f>ROMAN(29368)</f>
        <v/>
      </c>
      <c r="D29369">
        <f>IF(B29369=C29369, "YES", "WRONG")</f>
        <v/>
      </c>
    </row>
    <row r="29370">
      <c r="A29370" t="n">
        <v>29369</v>
      </c>
      <c r="B29370" t="inlineStr">
        <is>
          <t>x̄x̄Mx̄CCCLXIX</t>
        </is>
      </c>
      <c r="C29370">
        <f>ROMAN(29369)</f>
        <v/>
      </c>
      <c r="D29370">
        <f>IF(B29370=C29370, "YES", "WRONG")</f>
        <v/>
      </c>
    </row>
    <row r="29371">
      <c r="A29371" t="n">
        <v>29370</v>
      </c>
      <c r="B29371" t="inlineStr">
        <is>
          <t>x̄x̄Mx̄CCCLXX</t>
        </is>
      </c>
      <c r="C29371">
        <f>ROMAN(29370)</f>
        <v/>
      </c>
      <c r="D29371">
        <f>IF(B29371=C29371, "YES", "WRONG")</f>
        <v/>
      </c>
    </row>
    <row r="29372">
      <c r="A29372" t="n">
        <v>29371</v>
      </c>
      <c r="B29372" t="inlineStr">
        <is>
          <t>x̄x̄Mx̄CCCLXXI</t>
        </is>
      </c>
      <c r="C29372">
        <f>ROMAN(29371)</f>
        <v/>
      </c>
      <c r="D29372">
        <f>IF(B29372=C29372, "YES", "WRONG")</f>
        <v/>
      </c>
    </row>
    <row r="29373">
      <c r="A29373" t="n">
        <v>29372</v>
      </c>
      <c r="B29373" t="inlineStr">
        <is>
          <t>x̄x̄Mx̄CCCLXXII</t>
        </is>
      </c>
      <c r="C29373">
        <f>ROMAN(29372)</f>
        <v/>
      </c>
      <c r="D29373">
        <f>IF(B29373=C29373, "YES", "WRONG")</f>
        <v/>
      </c>
    </row>
    <row r="29374">
      <c r="A29374" t="n">
        <v>29373</v>
      </c>
      <c r="B29374" t="inlineStr">
        <is>
          <t>x̄x̄Mx̄CCCLXXIII</t>
        </is>
      </c>
      <c r="C29374">
        <f>ROMAN(29373)</f>
        <v/>
      </c>
      <c r="D29374">
        <f>IF(B29374=C29374, "YES", "WRONG")</f>
        <v/>
      </c>
    </row>
    <row r="29375">
      <c r="A29375" t="n">
        <v>29374</v>
      </c>
      <c r="B29375" t="inlineStr">
        <is>
          <t>x̄x̄Mx̄CCCLXXIV</t>
        </is>
      </c>
      <c r="C29375">
        <f>ROMAN(29374)</f>
        <v/>
      </c>
      <c r="D29375">
        <f>IF(B29375=C29375, "YES", "WRONG")</f>
        <v/>
      </c>
    </row>
    <row r="29376">
      <c r="A29376" t="n">
        <v>29375</v>
      </c>
      <c r="B29376" t="inlineStr">
        <is>
          <t>x̄x̄Mx̄CCCLXXV</t>
        </is>
      </c>
      <c r="C29376">
        <f>ROMAN(29375)</f>
        <v/>
      </c>
      <c r="D29376">
        <f>IF(B29376=C29376, "YES", "WRONG")</f>
        <v/>
      </c>
    </row>
    <row r="29377">
      <c r="A29377" t="n">
        <v>29376</v>
      </c>
      <c r="B29377" t="inlineStr">
        <is>
          <t>x̄x̄Mx̄CCCLXXVI</t>
        </is>
      </c>
      <c r="C29377">
        <f>ROMAN(29376)</f>
        <v/>
      </c>
      <c r="D29377">
        <f>IF(B29377=C29377, "YES", "WRONG")</f>
        <v/>
      </c>
    </row>
    <row r="29378">
      <c r="A29378" t="n">
        <v>29377</v>
      </c>
      <c r="B29378" t="inlineStr">
        <is>
          <t>x̄x̄Mx̄CCCLXXVII</t>
        </is>
      </c>
      <c r="C29378">
        <f>ROMAN(29377)</f>
        <v/>
      </c>
      <c r="D29378">
        <f>IF(B29378=C29378, "YES", "WRONG")</f>
        <v/>
      </c>
    </row>
    <row r="29379">
      <c r="A29379" t="n">
        <v>29378</v>
      </c>
      <c r="B29379" t="inlineStr">
        <is>
          <t>x̄x̄Mx̄CCCLXXVIII</t>
        </is>
      </c>
      <c r="C29379">
        <f>ROMAN(29378)</f>
        <v/>
      </c>
      <c r="D29379">
        <f>IF(B29379=C29379, "YES", "WRONG")</f>
        <v/>
      </c>
    </row>
    <row r="29380">
      <c r="A29380" t="n">
        <v>29379</v>
      </c>
      <c r="B29380" t="inlineStr">
        <is>
          <t>x̄x̄Mx̄CCCLXXIX</t>
        </is>
      </c>
      <c r="C29380">
        <f>ROMAN(29379)</f>
        <v/>
      </c>
      <c r="D29380">
        <f>IF(B29380=C29380, "YES", "WRONG")</f>
        <v/>
      </c>
    </row>
    <row r="29381">
      <c r="A29381" t="n">
        <v>29380</v>
      </c>
      <c r="B29381" t="inlineStr">
        <is>
          <t>x̄x̄Mx̄CCCLXXX</t>
        </is>
      </c>
      <c r="C29381">
        <f>ROMAN(29380)</f>
        <v/>
      </c>
      <c r="D29381">
        <f>IF(B29381=C29381, "YES", "WRONG")</f>
        <v/>
      </c>
    </row>
    <row r="29382">
      <c r="A29382" t="n">
        <v>29381</v>
      </c>
      <c r="B29382" t="inlineStr">
        <is>
          <t>x̄x̄Mx̄CCCLXXXI</t>
        </is>
      </c>
      <c r="C29382">
        <f>ROMAN(29381)</f>
        <v/>
      </c>
      <c r="D29382">
        <f>IF(B29382=C29382, "YES", "WRONG")</f>
        <v/>
      </c>
    </row>
    <row r="29383">
      <c r="A29383" t="n">
        <v>29382</v>
      </c>
      <c r="B29383" t="inlineStr">
        <is>
          <t>x̄x̄Mx̄CCCLXXXII</t>
        </is>
      </c>
      <c r="C29383">
        <f>ROMAN(29382)</f>
        <v/>
      </c>
      <c r="D29383">
        <f>IF(B29383=C29383, "YES", "WRONG")</f>
        <v/>
      </c>
    </row>
    <row r="29384">
      <c r="A29384" t="n">
        <v>29383</v>
      </c>
      <c r="B29384" t="inlineStr">
        <is>
          <t>x̄x̄Mx̄CCCLXXXIII</t>
        </is>
      </c>
      <c r="C29384">
        <f>ROMAN(29383)</f>
        <v/>
      </c>
      <c r="D29384">
        <f>IF(B29384=C29384, "YES", "WRONG")</f>
        <v/>
      </c>
    </row>
    <row r="29385">
      <c r="A29385" t="n">
        <v>29384</v>
      </c>
      <c r="B29385" t="inlineStr">
        <is>
          <t>x̄x̄Mx̄CCCLXXXIV</t>
        </is>
      </c>
      <c r="C29385">
        <f>ROMAN(29384)</f>
        <v/>
      </c>
      <c r="D29385">
        <f>IF(B29385=C29385, "YES", "WRONG")</f>
        <v/>
      </c>
    </row>
    <row r="29386">
      <c r="A29386" t="n">
        <v>29385</v>
      </c>
      <c r="B29386" t="inlineStr">
        <is>
          <t>x̄x̄Mx̄CCCLXXXV</t>
        </is>
      </c>
      <c r="C29386">
        <f>ROMAN(29385)</f>
        <v/>
      </c>
      <c r="D29386">
        <f>IF(B29386=C29386, "YES", "WRONG")</f>
        <v/>
      </c>
    </row>
    <row r="29387">
      <c r="A29387" t="n">
        <v>29386</v>
      </c>
      <c r="B29387" t="inlineStr">
        <is>
          <t>x̄x̄Mx̄CCCLXXXVI</t>
        </is>
      </c>
      <c r="C29387">
        <f>ROMAN(29386)</f>
        <v/>
      </c>
      <c r="D29387">
        <f>IF(B29387=C29387, "YES", "WRONG")</f>
        <v/>
      </c>
    </row>
    <row r="29388">
      <c r="A29388" t="n">
        <v>29387</v>
      </c>
      <c r="B29388" t="inlineStr">
        <is>
          <t>x̄x̄Mx̄CCCLXXXVII</t>
        </is>
      </c>
      <c r="C29388">
        <f>ROMAN(29387)</f>
        <v/>
      </c>
      <c r="D29388">
        <f>IF(B29388=C29388, "YES", "WRONG")</f>
        <v/>
      </c>
    </row>
    <row r="29389">
      <c r="A29389" t="n">
        <v>29388</v>
      </c>
      <c r="B29389" t="inlineStr">
        <is>
          <t>x̄x̄Mx̄CCCLXXXVIII</t>
        </is>
      </c>
      <c r="C29389">
        <f>ROMAN(29388)</f>
        <v/>
      </c>
      <c r="D29389">
        <f>IF(B29389=C29389, "YES", "WRONG")</f>
        <v/>
      </c>
    </row>
    <row r="29390">
      <c r="A29390" t="n">
        <v>29389</v>
      </c>
      <c r="B29390" t="inlineStr">
        <is>
          <t>x̄x̄Mx̄CCCLXXXIX</t>
        </is>
      </c>
      <c r="C29390">
        <f>ROMAN(29389)</f>
        <v/>
      </c>
      <c r="D29390">
        <f>IF(B29390=C29390, "YES", "WRONG")</f>
        <v/>
      </c>
    </row>
    <row r="29391">
      <c r="A29391" t="n">
        <v>29390</v>
      </c>
      <c r="B29391" t="inlineStr">
        <is>
          <t>x̄x̄Mx̄CCCXC</t>
        </is>
      </c>
      <c r="C29391">
        <f>ROMAN(29390)</f>
        <v/>
      </c>
      <c r="D29391">
        <f>IF(B29391=C29391, "YES", "WRONG")</f>
        <v/>
      </c>
    </row>
    <row r="29392">
      <c r="A29392" t="n">
        <v>29391</v>
      </c>
      <c r="B29392" t="inlineStr">
        <is>
          <t>x̄x̄Mx̄CCCXCI</t>
        </is>
      </c>
      <c r="C29392">
        <f>ROMAN(29391)</f>
        <v/>
      </c>
      <c r="D29392">
        <f>IF(B29392=C29392, "YES", "WRONG")</f>
        <v/>
      </c>
    </row>
    <row r="29393">
      <c r="A29393" t="n">
        <v>29392</v>
      </c>
      <c r="B29393" t="inlineStr">
        <is>
          <t>x̄x̄Mx̄CCCXCII</t>
        </is>
      </c>
      <c r="C29393">
        <f>ROMAN(29392)</f>
        <v/>
      </c>
      <c r="D29393">
        <f>IF(B29393=C29393, "YES", "WRONG")</f>
        <v/>
      </c>
    </row>
    <row r="29394">
      <c r="A29394" t="n">
        <v>29393</v>
      </c>
      <c r="B29394" t="inlineStr">
        <is>
          <t>x̄x̄Mx̄CCCXCIII</t>
        </is>
      </c>
      <c r="C29394">
        <f>ROMAN(29393)</f>
        <v/>
      </c>
      <c r="D29394">
        <f>IF(B29394=C29394, "YES", "WRONG")</f>
        <v/>
      </c>
    </row>
    <row r="29395">
      <c r="A29395" t="n">
        <v>29394</v>
      </c>
      <c r="B29395" t="inlineStr">
        <is>
          <t>x̄x̄Mx̄CCCXCIV</t>
        </is>
      </c>
      <c r="C29395">
        <f>ROMAN(29394)</f>
        <v/>
      </c>
      <c r="D29395">
        <f>IF(B29395=C29395, "YES", "WRONG")</f>
        <v/>
      </c>
    </row>
    <row r="29396">
      <c r="A29396" t="n">
        <v>29395</v>
      </c>
      <c r="B29396" t="inlineStr">
        <is>
          <t>x̄x̄Mx̄CCCXCV</t>
        </is>
      </c>
      <c r="C29396">
        <f>ROMAN(29395)</f>
        <v/>
      </c>
      <c r="D29396">
        <f>IF(B29396=C29396, "YES", "WRONG")</f>
        <v/>
      </c>
    </row>
    <row r="29397">
      <c r="A29397" t="n">
        <v>29396</v>
      </c>
      <c r="B29397" t="inlineStr">
        <is>
          <t>x̄x̄Mx̄CCCXCVI</t>
        </is>
      </c>
      <c r="C29397">
        <f>ROMAN(29396)</f>
        <v/>
      </c>
      <c r="D29397">
        <f>IF(B29397=C29397, "YES", "WRONG")</f>
        <v/>
      </c>
    </row>
    <row r="29398">
      <c r="A29398" t="n">
        <v>29397</v>
      </c>
      <c r="B29398" t="inlineStr">
        <is>
          <t>x̄x̄Mx̄CCCXCVII</t>
        </is>
      </c>
      <c r="C29398">
        <f>ROMAN(29397)</f>
        <v/>
      </c>
      <c r="D29398">
        <f>IF(B29398=C29398, "YES", "WRONG")</f>
        <v/>
      </c>
    </row>
    <row r="29399">
      <c r="A29399" t="n">
        <v>29398</v>
      </c>
      <c r="B29399" t="inlineStr">
        <is>
          <t>x̄x̄Mx̄CCCXCVIII</t>
        </is>
      </c>
      <c r="C29399">
        <f>ROMAN(29398)</f>
        <v/>
      </c>
      <c r="D29399">
        <f>IF(B29399=C29399, "YES", "WRONG")</f>
        <v/>
      </c>
    </row>
    <row r="29400">
      <c r="A29400" t="n">
        <v>29399</v>
      </c>
      <c r="B29400" t="inlineStr">
        <is>
          <t>x̄x̄Mx̄CCCXCIX</t>
        </is>
      </c>
      <c r="C29400">
        <f>ROMAN(29399)</f>
        <v/>
      </c>
      <c r="D29400">
        <f>IF(B29400=C29400, "YES", "WRONG")</f>
        <v/>
      </c>
    </row>
    <row r="29401">
      <c r="A29401" t="n">
        <v>29400</v>
      </c>
      <c r="B29401" t="inlineStr">
        <is>
          <t>x̄x̄Mx̄CD</t>
        </is>
      </c>
      <c r="C29401">
        <f>ROMAN(29400)</f>
        <v/>
      </c>
      <c r="D29401">
        <f>IF(B29401=C29401, "YES", "WRONG")</f>
        <v/>
      </c>
    </row>
    <row r="29402">
      <c r="A29402" t="n">
        <v>29401</v>
      </c>
      <c r="B29402" t="inlineStr">
        <is>
          <t>x̄x̄Mx̄CDI</t>
        </is>
      </c>
      <c r="C29402">
        <f>ROMAN(29401)</f>
        <v/>
      </c>
      <c r="D29402">
        <f>IF(B29402=C29402, "YES", "WRONG")</f>
        <v/>
      </c>
    </row>
    <row r="29403">
      <c r="A29403" t="n">
        <v>29402</v>
      </c>
      <c r="B29403" t="inlineStr">
        <is>
          <t>x̄x̄Mx̄CDII</t>
        </is>
      </c>
      <c r="C29403">
        <f>ROMAN(29402)</f>
        <v/>
      </c>
      <c r="D29403">
        <f>IF(B29403=C29403, "YES", "WRONG")</f>
        <v/>
      </c>
    </row>
    <row r="29404">
      <c r="A29404" t="n">
        <v>29403</v>
      </c>
      <c r="B29404" t="inlineStr">
        <is>
          <t>x̄x̄Mx̄CDIII</t>
        </is>
      </c>
      <c r="C29404">
        <f>ROMAN(29403)</f>
        <v/>
      </c>
      <c r="D29404">
        <f>IF(B29404=C29404, "YES", "WRONG")</f>
        <v/>
      </c>
    </row>
    <row r="29405">
      <c r="A29405" t="n">
        <v>29404</v>
      </c>
      <c r="B29405" t="inlineStr">
        <is>
          <t>x̄x̄Mx̄CDIV</t>
        </is>
      </c>
      <c r="C29405">
        <f>ROMAN(29404)</f>
        <v/>
      </c>
      <c r="D29405">
        <f>IF(B29405=C29405, "YES", "WRONG")</f>
        <v/>
      </c>
    </row>
    <row r="29406">
      <c r="A29406" t="n">
        <v>29405</v>
      </c>
      <c r="B29406" t="inlineStr">
        <is>
          <t>x̄x̄Mx̄CDV</t>
        </is>
      </c>
      <c r="C29406">
        <f>ROMAN(29405)</f>
        <v/>
      </c>
      <c r="D29406">
        <f>IF(B29406=C29406, "YES", "WRONG")</f>
        <v/>
      </c>
    </row>
    <row r="29407">
      <c r="A29407" t="n">
        <v>29406</v>
      </c>
      <c r="B29407" t="inlineStr">
        <is>
          <t>x̄x̄Mx̄CDVI</t>
        </is>
      </c>
      <c r="C29407">
        <f>ROMAN(29406)</f>
        <v/>
      </c>
      <c r="D29407">
        <f>IF(B29407=C29407, "YES", "WRONG")</f>
        <v/>
      </c>
    </row>
    <row r="29408">
      <c r="A29408" t="n">
        <v>29407</v>
      </c>
      <c r="B29408" t="inlineStr">
        <is>
          <t>x̄x̄Mx̄CDVII</t>
        </is>
      </c>
      <c r="C29408">
        <f>ROMAN(29407)</f>
        <v/>
      </c>
      <c r="D29408">
        <f>IF(B29408=C29408, "YES", "WRONG")</f>
        <v/>
      </c>
    </row>
    <row r="29409">
      <c r="A29409" t="n">
        <v>29408</v>
      </c>
      <c r="B29409" t="inlineStr">
        <is>
          <t>x̄x̄Mx̄CDVIII</t>
        </is>
      </c>
      <c r="C29409">
        <f>ROMAN(29408)</f>
        <v/>
      </c>
      <c r="D29409">
        <f>IF(B29409=C29409, "YES", "WRONG")</f>
        <v/>
      </c>
    </row>
    <row r="29410">
      <c r="A29410" t="n">
        <v>29409</v>
      </c>
      <c r="B29410" t="inlineStr">
        <is>
          <t>x̄x̄Mx̄CDIX</t>
        </is>
      </c>
      <c r="C29410">
        <f>ROMAN(29409)</f>
        <v/>
      </c>
      <c r="D29410">
        <f>IF(B29410=C29410, "YES", "WRONG")</f>
        <v/>
      </c>
    </row>
    <row r="29411">
      <c r="A29411" t="n">
        <v>29410</v>
      </c>
      <c r="B29411" t="inlineStr">
        <is>
          <t>x̄x̄Mx̄CDX</t>
        </is>
      </c>
      <c r="C29411">
        <f>ROMAN(29410)</f>
        <v/>
      </c>
      <c r="D29411">
        <f>IF(B29411=C29411, "YES", "WRONG")</f>
        <v/>
      </c>
    </row>
    <row r="29412">
      <c r="A29412" t="n">
        <v>29411</v>
      </c>
      <c r="B29412" t="inlineStr">
        <is>
          <t>x̄x̄Mx̄CDXI</t>
        </is>
      </c>
      <c r="C29412">
        <f>ROMAN(29411)</f>
        <v/>
      </c>
      <c r="D29412">
        <f>IF(B29412=C29412, "YES", "WRONG")</f>
        <v/>
      </c>
    </row>
    <row r="29413">
      <c r="A29413" t="n">
        <v>29412</v>
      </c>
      <c r="B29413" t="inlineStr">
        <is>
          <t>x̄x̄Mx̄CDXII</t>
        </is>
      </c>
      <c r="C29413">
        <f>ROMAN(29412)</f>
        <v/>
      </c>
      <c r="D29413">
        <f>IF(B29413=C29413, "YES", "WRONG")</f>
        <v/>
      </c>
    </row>
    <row r="29414">
      <c r="A29414" t="n">
        <v>29413</v>
      </c>
      <c r="B29414" t="inlineStr">
        <is>
          <t>x̄x̄Mx̄CDXIII</t>
        </is>
      </c>
      <c r="C29414">
        <f>ROMAN(29413)</f>
        <v/>
      </c>
      <c r="D29414">
        <f>IF(B29414=C29414, "YES", "WRONG")</f>
        <v/>
      </c>
    </row>
    <row r="29415">
      <c r="A29415" t="n">
        <v>29414</v>
      </c>
      <c r="B29415" t="inlineStr">
        <is>
          <t>x̄x̄Mx̄CDXIV</t>
        </is>
      </c>
      <c r="C29415">
        <f>ROMAN(29414)</f>
        <v/>
      </c>
      <c r="D29415">
        <f>IF(B29415=C29415, "YES", "WRONG")</f>
        <v/>
      </c>
    </row>
    <row r="29416">
      <c r="A29416" t="n">
        <v>29415</v>
      </c>
      <c r="B29416" t="inlineStr">
        <is>
          <t>x̄x̄Mx̄CDXV</t>
        </is>
      </c>
      <c r="C29416">
        <f>ROMAN(29415)</f>
        <v/>
      </c>
      <c r="D29416">
        <f>IF(B29416=C29416, "YES", "WRONG")</f>
        <v/>
      </c>
    </row>
    <row r="29417">
      <c r="A29417" t="n">
        <v>29416</v>
      </c>
      <c r="B29417" t="inlineStr">
        <is>
          <t>x̄x̄Mx̄CDXVI</t>
        </is>
      </c>
      <c r="C29417">
        <f>ROMAN(29416)</f>
        <v/>
      </c>
      <c r="D29417">
        <f>IF(B29417=C29417, "YES", "WRONG")</f>
        <v/>
      </c>
    </row>
    <row r="29418">
      <c r="A29418" t="n">
        <v>29417</v>
      </c>
      <c r="B29418" t="inlineStr">
        <is>
          <t>x̄x̄Mx̄CDXVII</t>
        </is>
      </c>
      <c r="C29418">
        <f>ROMAN(29417)</f>
        <v/>
      </c>
      <c r="D29418">
        <f>IF(B29418=C29418, "YES", "WRONG")</f>
        <v/>
      </c>
    </row>
    <row r="29419">
      <c r="A29419" t="n">
        <v>29418</v>
      </c>
      <c r="B29419" t="inlineStr">
        <is>
          <t>x̄x̄Mx̄CDXVIII</t>
        </is>
      </c>
      <c r="C29419">
        <f>ROMAN(29418)</f>
        <v/>
      </c>
      <c r="D29419">
        <f>IF(B29419=C29419, "YES", "WRONG")</f>
        <v/>
      </c>
    </row>
    <row r="29420">
      <c r="A29420" t="n">
        <v>29419</v>
      </c>
      <c r="B29420" t="inlineStr">
        <is>
          <t>x̄x̄Mx̄CDXIX</t>
        </is>
      </c>
      <c r="C29420">
        <f>ROMAN(29419)</f>
        <v/>
      </c>
      <c r="D29420">
        <f>IF(B29420=C29420, "YES", "WRONG")</f>
        <v/>
      </c>
    </row>
    <row r="29421">
      <c r="A29421" t="n">
        <v>29420</v>
      </c>
      <c r="B29421" t="inlineStr">
        <is>
          <t>x̄x̄Mx̄CDXX</t>
        </is>
      </c>
      <c r="C29421">
        <f>ROMAN(29420)</f>
        <v/>
      </c>
      <c r="D29421">
        <f>IF(B29421=C29421, "YES", "WRONG")</f>
        <v/>
      </c>
    </row>
    <row r="29422">
      <c r="A29422" t="n">
        <v>29421</v>
      </c>
      <c r="B29422" t="inlineStr">
        <is>
          <t>x̄x̄Mx̄CDXXI</t>
        </is>
      </c>
      <c r="C29422">
        <f>ROMAN(29421)</f>
        <v/>
      </c>
      <c r="D29422">
        <f>IF(B29422=C29422, "YES", "WRONG")</f>
        <v/>
      </c>
    </row>
    <row r="29423">
      <c r="A29423" t="n">
        <v>29422</v>
      </c>
      <c r="B29423" t="inlineStr">
        <is>
          <t>x̄x̄Mx̄CDXXII</t>
        </is>
      </c>
      <c r="C29423">
        <f>ROMAN(29422)</f>
        <v/>
      </c>
      <c r="D29423">
        <f>IF(B29423=C29423, "YES", "WRONG")</f>
        <v/>
      </c>
    </row>
    <row r="29424">
      <c r="A29424" t="n">
        <v>29423</v>
      </c>
      <c r="B29424" t="inlineStr">
        <is>
          <t>x̄x̄Mx̄CDXXIII</t>
        </is>
      </c>
      <c r="C29424">
        <f>ROMAN(29423)</f>
        <v/>
      </c>
      <c r="D29424">
        <f>IF(B29424=C29424, "YES", "WRONG")</f>
        <v/>
      </c>
    </row>
    <row r="29425">
      <c r="A29425" t="n">
        <v>29424</v>
      </c>
      <c r="B29425" t="inlineStr">
        <is>
          <t>x̄x̄Mx̄CDXXIV</t>
        </is>
      </c>
      <c r="C29425">
        <f>ROMAN(29424)</f>
        <v/>
      </c>
      <c r="D29425">
        <f>IF(B29425=C29425, "YES", "WRONG")</f>
        <v/>
      </c>
    </row>
    <row r="29426">
      <c r="A29426" t="n">
        <v>29425</v>
      </c>
      <c r="B29426" t="inlineStr">
        <is>
          <t>x̄x̄Mx̄CDXXV</t>
        </is>
      </c>
      <c r="C29426">
        <f>ROMAN(29425)</f>
        <v/>
      </c>
      <c r="D29426">
        <f>IF(B29426=C29426, "YES", "WRONG")</f>
        <v/>
      </c>
    </row>
    <row r="29427">
      <c r="A29427" t="n">
        <v>29426</v>
      </c>
      <c r="B29427" t="inlineStr">
        <is>
          <t>x̄x̄Mx̄CDXXVI</t>
        </is>
      </c>
      <c r="C29427">
        <f>ROMAN(29426)</f>
        <v/>
      </c>
      <c r="D29427">
        <f>IF(B29427=C29427, "YES", "WRONG")</f>
        <v/>
      </c>
    </row>
    <row r="29428">
      <c r="A29428" t="n">
        <v>29427</v>
      </c>
      <c r="B29428" t="inlineStr">
        <is>
          <t>x̄x̄Mx̄CDXXVII</t>
        </is>
      </c>
      <c r="C29428">
        <f>ROMAN(29427)</f>
        <v/>
      </c>
      <c r="D29428">
        <f>IF(B29428=C29428, "YES", "WRONG")</f>
        <v/>
      </c>
    </row>
    <row r="29429">
      <c r="A29429" t="n">
        <v>29428</v>
      </c>
      <c r="B29429" t="inlineStr">
        <is>
          <t>x̄x̄Mx̄CDXXVIII</t>
        </is>
      </c>
      <c r="C29429">
        <f>ROMAN(29428)</f>
        <v/>
      </c>
      <c r="D29429">
        <f>IF(B29429=C29429, "YES", "WRONG")</f>
        <v/>
      </c>
    </row>
    <row r="29430">
      <c r="A29430" t="n">
        <v>29429</v>
      </c>
      <c r="B29430" t="inlineStr">
        <is>
          <t>x̄x̄Mx̄CDXXIX</t>
        </is>
      </c>
      <c r="C29430">
        <f>ROMAN(29429)</f>
        <v/>
      </c>
      <c r="D29430">
        <f>IF(B29430=C29430, "YES", "WRONG")</f>
        <v/>
      </c>
    </row>
    <row r="29431">
      <c r="A29431" t="n">
        <v>29430</v>
      </c>
      <c r="B29431" t="inlineStr">
        <is>
          <t>x̄x̄Mx̄CDXXX</t>
        </is>
      </c>
      <c r="C29431">
        <f>ROMAN(29430)</f>
        <v/>
      </c>
      <c r="D29431">
        <f>IF(B29431=C29431, "YES", "WRONG")</f>
        <v/>
      </c>
    </row>
    <row r="29432">
      <c r="A29432" t="n">
        <v>29431</v>
      </c>
      <c r="B29432" t="inlineStr">
        <is>
          <t>x̄x̄Mx̄CDXXXI</t>
        </is>
      </c>
      <c r="C29432">
        <f>ROMAN(29431)</f>
        <v/>
      </c>
      <c r="D29432">
        <f>IF(B29432=C29432, "YES", "WRONG")</f>
        <v/>
      </c>
    </row>
    <row r="29433">
      <c r="A29433" t="n">
        <v>29432</v>
      </c>
      <c r="B29433" t="inlineStr">
        <is>
          <t>x̄x̄Mx̄CDXXXII</t>
        </is>
      </c>
      <c r="C29433">
        <f>ROMAN(29432)</f>
        <v/>
      </c>
      <c r="D29433">
        <f>IF(B29433=C29433, "YES", "WRONG")</f>
        <v/>
      </c>
    </row>
    <row r="29434">
      <c r="A29434" t="n">
        <v>29433</v>
      </c>
      <c r="B29434" t="inlineStr">
        <is>
          <t>x̄x̄Mx̄CDXXXIII</t>
        </is>
      </c>
      <c r="C29434">
        <f>ROMAN(29433)</f>
        <v/>
      </c>
      <c r="D29434">
        <f>IF(B29434=C29434, "YES", "WRONG")</f>
        <v/>
      </c>
    </row>
    <row r="29435">
      <c r="A29435" t="n">
        <v>29434</v>
      </c>
      <c r="B29435" t="inlineStr">
        <is>
          <t>x̄x̄Mx̄CDXXXIV</t>
        </is>
      </c>
      <c r="C29435">
        <f>ROMAN(29434)</f>
        <v/>
      </c>
      <c r="D29435">
        <f>IF(B29435=C29435, "YES", "WRONG")</f>
        <v/>
      </c>
    </row>
    <row r="29436">
      <c r="A29436" t="n">
        <v>29435</v>
      </c>
      <c r="B29436" t="inlineStr">
        <is>
          <t>x̄x̄Mx̄CDXXXV</t>
        </is>
      </c>
      <c r="C29436">
        <f>ROMAN(29435)</f>
        <v/>
      </c>
      <c r="D29436">
        <f>IF(B29436=C29436, "YES", "WRONG")</f>
        <v/>
      </c>
    </row>
    <row r="29437">
      <c r="A29437" t="n">
        <v>29436</v>
      </c>
      <c r="B29437" t="inlineStr">
        <is>
          <t>x̄x̄Mx̄CDXXXVI</t>
        </is>
      </c>
      <c r="C29437">
        <f>ROMAN(29436)</f>
        <v/>
      </c>
      <c r="D29437">
        <f>IF(B29437=C29437, "YES", "WRONG")</f>
        <v/>
      </c>
    </row>
    <row r="29438">
      <c r="A29438" t="n">
        <v>29437</v>
      </c>
      <c r="B29438" t="inlineStr">
        <is>
          <t>x̄x̄Mx̄CDXXXVII</t>
        </is>
      </c>
      <c r="C29438">
        <f>ROMAN(29437)</f>
        <v/>
      </c>
      <c r="D29438">
        <f>IF(B29438=C29438, "YES", "WRONG")</f>
        <v/>
      </c>
    </row>
    <row r="29439">
      <c r="A29439" t="n">
        <v>29438</v>
      </c>
      <c r="B29439" t="inlineStr">
        <is>
          <t>x̄x̄Mx̄CDXXXVIII</t>
        </is>
      </c>
      <c r="C29439">
        <f>ROMAN(29438)</f>
        <v/>
      </c>
      <c r="D29439">
        <f>IF(B29439=C29439, "YES", "WRONG")</f>
        <v/>
      </c>
    </row>
    <row r="29440">
      <c r="A29440" t="n">
        <v>29439</v>
      </c>
      <c r="B29440" t="inlineStr">
        <is>
          <t>x̄x̄Mx̄CDXXXIX</t>
        </is>
      </c>
      <c r="C29440">
        <f>ROMAN(29439)</f>
        <v/>
      </c>
      <c r="D29440">
        <f>IF(B29440=C29440, "YES", "WRONG")</f>
        <v/>
      </c>
    </row>
    <row r="29441">
      <c r="A29441" t="n">
        <v>29440</v>
      </c>
      <c r="B29441" t="inlineStr">
        <is>
          <t>x̄x̄Mx̄CDXL</t>
        </is>
      </c>
      <c r="C29441">
        <f>ROMAN(29440)</f>
        <v/>
      </c>
      <c r="D29441">
        <f>IF(B29441=C29441, "YES", "WRONG")</f>
        <v/>
      </c>
    </row>
    <row r="29442">
      <c r="A29442" t="n">
        <v>29441</v>
      </c>
      <c r="B29442" t="inlineStr">
        <is>
          <t>x̄x̄Mx̄CDXLI</t>
        </is>
      </c>
      <c r="C29442">
        <f>ROMAN(29441)</f>
        <v/>
      </c>
      <c r="D29442">
        <f>IF(B29442=C29442, "YES", "WRONG")</f>
        <v/>
      </c>
    </row>
    <row r="29443">
      <c r="A29443" t="n">
        <v>29442</v>
      </c>
      <c r="B29443" t="inlineStr">
        <is>
          <t>x̄x̄Mx̄CDXLII</t>
        </is>
      </c>
      <c r="C29443">
        <f>ROMAN(29442)</f>
        <v/>
      </c>
      <c r="D29443">
        <f>IF(B29443=C29443, "YES", "WRONG")</f>
        <v/>
      </c>
    </row>
    <row r="29444">
      <c r="A29444" t="n">
        <v>29443</v>
      </c>
      <c r="B29444" t="inlineStr">
        <is>
          <t>x̄x̄Mx̄CDXLIII</t>
        </is>
      </c>
      <c r="C29444">
        <f>ROMAN(29443)</f>
        <v/>
      </c>
      <c r="D29444">
        <f>IF(B29444=C29444, "YES", "WRONG")</f>
        <v/>
      </c>
    </row>
    <row r="29445">
      <c r="A29445" t="n">
        <v>29444</v>
      </c>
      <c r="B29445" t="inlineStr">
        <is>
          <t>x̄x̄Mx̄CDXLIV</t>
        </is>
      </c>
      <c r="C29445">
        <f>ROMAN(29444)</f>
        <v/>
      </c>
      <c r="D29445">
        <f>IF(B29445=C29445, "YES", "WRONG")</f>
        <v/>
      </c>
    </row>
    <row r="29446">
      <c r="A29446" t="n">
        <v>29445</v>
      </c>
      <c r="B29446" t="inlineStr">
        <is>
          <t>x̄x̄Mx̄CDXLV</t>
        </is>
      </c>
      <c r="C29446">
        <f>ROMAN(29445)</f>
        <v/>
      </c>
      <c r="D29446">
        <f>IF(B29446=C29446, "YES", "WRONG")</f>
        <v/>
      </c>
    </row>
    <row r="29447">
      <c r="A29447" t="n">
        <v>29446</v>
      </c>
      <c r="B29447" t="inlineStr">
        <is>
          <t>x̄x̄Mx̄CDXLVI</t>
        </is>
      </c>
      <c r="C29447">
        <f>ROMAN(29446)</f>
        <v/>
      </c>
      <c r="D29447">
        <f>IF(B29447=C29447, "YES", "WRONG")</f>
        <v/>
      </c>
    </row>
    <row r="29448">
      <c r="A29448" t="n">
        <v>29447</v>
      </c>
      <c r="B29448" t="inlineStr">
        <is>
          <t>x̄x̄Mx̄CDXLVII</t>
        </is>
      </c>
      <c r="C29448">
        <f>ROMAN(29447)</f>
        <v/>
      </c>
      <c r="D29448">
        <f>IF(B29448=C29448, "YES", "WRONG")</f>
        <v/>
      </c>
    </row>
    <row r="29449">
      <c r="A29449" t="n">
        <v>29448</v>
      </c>
      <c r="B29449" t="inlineStr">
        <is>
          <t>x̄x̄Mx̄CDXLVIII</t>
        </is>
      </c>
      <c r="C29449">
        <f>ROMAN(29448)</f>
        <v/>
      </c>
      <c r="D29449">
        <f>IF(B29449=C29449, "YES", "WRONG")</f>
        <v/>
      </c>
    </row>
    <row r="29450">
      <c r="A29450" t="n">
        <v>29449</v>
      </c>
      <c r="B29450" t="inlineStr">
        <is>
          <t>x̄x̄Mx̄CDXLIX</t>
        </is>
      </c>
      <c r="C29450">
        <f>ROMAN(29449)</f>
        <v/>
      </c>
      <c r="D29450">
        <f>IF(B29450=C29450, "YES", "WRONG")</f>
        <v/>
      </c>
    </row>
    <row r="29451">
      <c r="A29451" t="n">
        <v>29450</v>
      </c>
      <c r="B29451" t="inlineStr">
        <is>
          <t>x̄x̄Mx̄CDL</t>
        </is>
      </c>
      <c r="C29451">
        <f>ROMAN(29450)</f>
        <v/>
      </c>
      <c r="D29451">
        <f>IF(B29451=C29451, "YES", "WRONG")</f>
        <v/>
      </c>
    </row>
    <row r="29452">
      <c r="A29452" t="n">
        <v>29451</v>
      </c>
      <c r="B29452" t="inlineStr">
        <is>
          <t>x̄x̄Mx̄CDLI</t>
        </is>
      </c>
      <c r="C29452">
        <f>ROMAN(29451)</f>
        <v/>
      </c>
      <c r="D29452">
        <f>IF(B29452=C29452, "YES", "WRONG")</f>
        <v/>
      </c>
    </row>
    <row r="29453">
      <c r="A29453" t="n">
        <v>29452</v>
      </c>
      <c r="B29453" t="inlineStr">
        <is>
          <t>x̄x̄Mx̄CDLII</t>
        </is>
      </c>
      <c r="C29453">
        <f>ROMAN(29452)</f>
        <v/>
      </c>
      <c r="D29453">
        <f>IF(B29453=C29453, "YES", "WRONG")</f>
        <v/>
      </c>
    </row>
    <row r="29454">
      <c r="A29454" t="n">
        <v>29453</v>
      </c>
      <c r="B29454" t="inlineStr">
        <is>
          <t>x̄x̄Mx̄CDLIII</t>
        </is>
      </c>
      <c r="C29454">
        <f>ROMAN(29453)</f>
        <v/>
      </c>
      <c r="D29454">
        <f>IF(B29454=C29454, "YES", "WRONG")</f>
        <v/>
      </c>
    </row>
    <row r="29455">
      <c r="A29455" t="n">
        <v>29454</v>
      </c>
      <c r="B29455" t="inlineStr">
        <is>
          <t>x̄x̄Mx̄CDLIV</t>
        </is>
      </c>
      <c r="C29455">
        <f>ROMAN(29454)</f>
        <v/>
      </c>
      <c r="D29455">
        <f>IF(B29455=C29455, "YES", "WRONG")</f>
        <v/>
      </c>
    </row>
    <row r="29456">
      <c r="A29456" t="n">
        <v>29455</v>
      </c>
      <c r="B29456" t="inlineStr">
        <is>
          <t>x̄x̄Mx̄CDLV</t>
        </is>
      </c>
      <c r="C29456">
        <f>ROMAN(29455)</f>
        <v/>
      </c>
      <c r="D29456">
        <f>IF(B29456=C29456, "YES", "WRONG")</f>
        <v/>
      </c>
    </row>
    <row r="29457">
      <c r="A29457" t="n">
        <v>29456</v>
      </c>
      <c r="B29457" t="inlineStr">
        <is>
          <t>x̄x̄Mx̄CDLVI</t>
        </is>
      </c>
      <c r="C29457">
        <f>ROMAN(29456)</f>
        <v/>
      </c>
      <c r="D29457">
        <f>IF(B29457=C29457, "YES", "WRONG")</f>
        <v/>
      </c>
    </row>
    <row r="29458">
      <c r="A29458" t="n">
        <v>29457</v>
      </c>
      <c r="B29458" t="inlineStr">
        <is>
          <t>x̄x̄Mx̄CDLVII</t>
        </is>
      </c>
      <c r="C29458">
        <f>ROMAN(29457)</f>
        <v/>
      </c>
      <c r="D29458">
        <f>IF(B29458=C29458, "YES", "WRONG")</f>
        <v/>
      </c>
    </row>
    <row r="29459">
      <c r="A29459" t="n">
        <v>29458</v>
      </c>
      <c r="B29459" t="inlineStr">
        <is>
          <t>x̄x̄Mx̄CDLVIII</t>
        </is>
      </c>
      <c r="C29459">
        <f>ROMAN(29458)</f>
        <v/>
      </c>
      <c r="D29459">
        <f>IF(B29459=C29459, "YES", "WRONG")</f>
        <v/>
      </c>
    </row>
    <row r="29460">
      <c r="A29460" t="n">
        <v>29459</v>
      </c>
      <c r="B29460" t="inlineStr">
        <is>
          <t>x̄x̄Mx̄CDLIX</t>
        </is>
      </c>
      <c r="C29460">
        <f>ROMAN(29459)</f>
        <v/>
      </c>
      <c r="D29460">
        <f>IF(B29460=C29460, "YES", "WRONG")</f>
        <v/>
      </c>
    </row>
    <row r="29461">
      <c r="A29461" t="n">
        <v>29460</v>
      </c>
      <c r="B29461" t="inlineStr">
        <is>
          <t>x̄x̄Mx̄CDLX</t>
        </is>
      </c>
      <c r="C29461">
        <f>ROMAN(29460)</f>
        <v/>
      </c>
      <c r="D29461">
        <f>IF(B29461=C29461, "YES", "WRONG")</f>
        <v/>
      </c>
    </row>
    <row r="29462">
      <c r="A29462" t="n">
        <v>29461</v>
      </c>
      <c r="B29462" t="inlineStr">
        <is>
          <t>x̄x̄Mx̄CDLXI</t>
        </is>
      </c>
      <c r="C29462">
        <f>ROMAN(29461)</f>
        <v/>
      </c>
      <c r="D29462">
        <f>IF(B29462=C29462, "YES", "WRONG")</f>
        <v/>
      </c>
    </row>
    <row r="29463">
      <c r="A29463" t="n">
        <v>29462</v>
      </c>
      <c r="B29463" t="inlineStr">
        <is>
          <t>x̄x̄Mx̄CDLXII</t>
        </is>
      </c>
      <c r="C29463">
        <f>ROMAN(29462)</f>
        <v/>
      </c>
      <c r="D29463">
        <f>IF(B29463=C29463, "YES", "WRONG")</f>
        <v/>
      </c>
    </row>
    <row r="29464">
      <c r="A29464" t="n">
        <v>29463</v>
      </c>
      <c r="B29464" t="inlineStr">
        <is>
          <t>x̄x̄Mx̄CDLXIII</t>
        </is>
      </c>
      <c r="C29464">
        <f>ROMAN(29463)</f>
        <v/>
      </c>
      <c r="D29464">
        <f>IF(B29464=C29464, "YES", "WRONG")</f>
        <v/>
      </c>
    </row>
    <row r="29465">
      <c r="A29465" t="n">
        <v>29464</v>
      </c>
      <c r="B29465" t="inlineStr">
        <is>
          <t>x̄x̄Mx̄CDLXIV</t>
        </is>
      </c>
      <c r="C29465">
        <f>ROMAN(29464)</f>
        <v/>
      </c>
      <c r="D29465">
        <f>IF(B29465=C29465, "YES", "WRONG")</f>
        <v/>
      </c>
    </row>
    <row r="29466">
      <c r="A29466" t="n">
        <v>29465</v>
      </c>
      <c r="B29466" t="inlineStr">
        <is>
          <t>x̄x̄Mx̄CDLXV</t>
        </is>
      </c>
      <c r="C29466">
        <f>ROMAN(29465)</f>
        <v/>
      </c>
      <c r="D29466">
        <f>IF(B29466=C29466, "YES", "WRONG")</f>
        <v/>
      </c>
    </row>
    <row r="29467">
      <c r="A29467" t="n">
        <v>29466</v>
      </c>
      <c r="B29467" t="inlineStr">
        <is>
          <t>x̄x̄Mx̄CDLXVI</t>
        </is>
      </c>
      <c r="C29467">
        <f>ROMAN(29466)</f>
        <v/>
      </c>
      <c r="D29467">
        <f>IF(B29467=C29467, "YES", "WRONG")</f>
        <v/>
      </c>
    </row>
    <row r="29468">
      <c r="A29468" t="n">
        <v>29467</v>
      </c>
      <c r="B29468" t="inlineStr">
        <is>
          <t>x̄x̄Mx̄CDLXVII</t>
        </is>
      </c>
      <c r="C29468">
        <f>ROMAN(29467)</f>
        <v/>
      </c>
      <c r="D29468">
        <f>IF(B29468=C29468, "YES", "WRONG")</f>
        <v/>
      </c>
    </row>
    <row r="29469">
      <c r="A29469" t="n">
        <v>29468</v>
      </c>
      <c r="B29469" t="inlineStr">
        <is>
          <t>x̄x̄Mx̄CDLXVIII</t>
        </is>
      </c>
      <c r="C29469">
        <f>ROMAN(29468)</f>
        <v/>
      </c>
      <c r="D29469">
        <f>IF(B29469=C29469, "YES", "WRONG")</f>
        <v/>
      </c>
    </row>
    <row r="29470">
      <c r="A29470" t="n">
        <v>29469</v>
      </c>
      <c r="B29470" t="inlineStr">
        <is>
          <t>x̄x̄Mx̄CDLXIX</t>
        </is>
      </c>
      <c r="C29470">
        <f>ROMAN(29469)</f>
        <v/>
      </c>
      <c r="D29470">
        <f>IF(B29470=C29470, "YES", "WRONG")</f>
        <v/>
      </c>
    </row>
    <row r="29471">
      <c r="A29471" t="n">
        <v>29470</v>
      </c>
      <c r="B29471" t="inlineStr">
        <is>
          <t>x̄x̄Mx̄CDLXX</t>
        </is>
      </c>
      <c r="C29471">
        <f>ROMAN(29470)</f>
        <v/>
      </c>
      <c r="D29471">
        <f>IF(B29471=C29471, "YES", "WRONG")</f>
        <v/>
      </c>
    </row>
    <row r="29472">
      <c r="A29472" t="n">
        <v>29471</v>
      </c>
      <c r="B29472" t="inlineStr">
        <is>
          <t>x̄x̄Mx̄CDLXXI</t>
        </is>
      </c>
      <c r="C29472">
        <f>ROMAN(29471)</f>
        <v/>
      </c>
      <c r="D29472">
        <f>IF(B29472=C29472, "YES", "WRONG")</f>
        <v/>
      </c>
    </row>
    <row r="29473">
      <c r="A29473" t="n">
        <v>29472</v>
      </c>
      <c r="B29473" t="inlineStr">
        <is>
          <t>x̄x̄Mx̄CDLXXII</t>
        </is>
      </c>
      <c r="C29473">
        <f>ROMAN(29472)</f>
        <v/>
      </c>
      <c r="D29473">
        <f>IF(B29473=C29473, "YES", "WRONG")</f>
        <v/>
      </c>
    </row>
    <row r="29474">
      <c r="A29474" t="n">
        <v>29473</v>
      </c>
      <c r="B29474" t="inlineStr">
        <is>
          <t>x̄x̄Mx̄CDLXXIII</t>
        </is>
      </c>
      <c r="C29474">
        <f>ROMAN(29473)</f>
        <v/>
      </c>
      <c r="D29474">
        <f>IF(B29474=C29474, "YES", "WRONG")</f>
        <v/>
      </c>
    </row>
    <row r="29475">
      <c r="A29475" t="n">
        <v>29474</v>
      </c>
      <c r="B29475" t="inlineStr">
        <is>
          <t>x̄x̄Mx̄CDLXXIV</t>
        </is>
      </c>
      <c r="C29475">
        <f>ROMAN(29474)</f>
        <v/>
      </c>
      <c r="D29475">
        <f>IF(B29475=C29475, "YES", "WRONG")</f>
        <v/>
      </c>
    </row>
    <row r="29476">
      <c r="A29476" t="n">
        <v>29475</v>
      </c>
      <c r="B29476" t="inlineStr">
        <is>
          <t>x̄x̄Mx̄CDLXXV</t>
        </is>
      </c>
      <c r="C29476">
        <f>ROMAN(29475)</f>
        <v/>
      </c>
      <c r="D29476">
        <f>IF(B29476=C29476, "YES", "WRONG")</f>
        <v/>
      </c>
    </row>
    <row r="29477">
      <c r="A29477" t="n">
        <v>29476</v>
      </c>
      <c r="B29477" t="inlineStr">
        <is>
          <t>x̄x̄Mx̄CDLXXVI</t>
        </is>
      </c>
      <c r="C29477">
        <f>ROMAN(29476)</f>
        <v/>
      </c>
      <c r="D29477">
        <f>IF(B29477=C29477, "YES", "WRONG")</f>
        <v/>
      </c>
    </row>
    <row r="29478">
      <c r="A29478" t="n">
        <v>29477</v>
      </c>
      <c r="B29478" t="inlineStr">
        <is>
          <t>x̄x̄Mx̄CDLXXVII</t>
        </is>
      </c>
      <c r="C29478">
        <f>ROMAN(29477)</f>
        <v/>
      </c>
      <c r="D29478">
        <f>IF(B29478=C29478, "YES", "WRONG")</f>
        <v/>
      </c>
    </row>
    <row r="29479">
      <c r="A29479" t="n">
        <v>29478</v>
      </c>
      <c r="B29479" t="inlineStr">
        <is>
          <t>x̄x̄Mx̄CDLXXVIII</t>
        </is>
      </c>
      <c r="C29479">
        <f>ROMAN(29478)</f>
        <v/>
      </c>
      <c r="D29479">
        <f>IF(B29479=C29479, "YES", "WRONG")</f>
        <v/>
      </c>
    </row>
    <row r="29480">
      <c r="A29480" t="n">
        <v>29479</v>
      </c>
      <c r="B29480" t="inlineStr">
        <is>
          <t>x̄x̄Mx̄CDLXXIX</t>
        </is>
      </c>
      <c r="C29480">
        <f>ROMAN(29479)</f>
        <v/>
      </c>
      <c r="D29480">
        <f>IF(B29480=C29480, "YES", "WRONG")</f>
        <v/>
      </c>
    </row>
    <row r="29481">
      <c r="A29481" t="n">
        <v>29480</v>
      </c>
      <c r="B29481" t="inlineStr">
        <is>
          <t>x̄x̄Mx̄CDLXXX</t>
        </is>
      </c>
      <c r="C29481">
        <f>ROMAN(29480)</f>
        <v/>
      </c>
      <c r="D29481">
        <f>IF(B29481=C29481, "YES", "WRONG")</f>
        <v/>
      </c>
    </row>
    <row r="29482">
      <c r="A29482" t="n">
        <v>29481</v>
      </c>
      <c r="B29482" t="inlineStr">
        <is>
          <t>x̄x̄Mx̄CDLXXXI</t>
        </is>
      </c>
      <c r="C29482">
        <f>ROMAN(29481)</f>
        <v/>
      </c>
      <c r="D29482">
        <f>IF(B29482=C29482, "YES", "WRONG")</f>
        <v/>
      </c>
    </row>
    <row r="29483">
      <c r="A29483" t="n">
        <v>29482</v>
      </c>
      <c r="B29483" t="inlineStr">
        <is>
          <t>x̄x̄Mx̄CDLXXXII</t>
        </is>
      </c>
      <c r="C29483">
        <f>ROMAN(29482)</f>
        <v/>
      </c>
      <c r="D29483">
        <f>IF(B29483=C29483, "YES", "WRONG")</f>
        <v/>
      </c>
    </row>
    <row r="29484">
      <c r="A29484" t="n">
        <v>29483</v>
      </c>
      <c r="B29484" t="inlineStr">
        <is>
          <t>x̄x̄Mx̄CDLXXXIII</t>
        </is>
      </c>
      <c r="C29484">
        <f>ROMAN(29483)</f>
        <v/>
      </c>
      <c r="D29484">
        <f>IF(B29484=C29484, "YES", "WRONG")</f>
        <v/>
      </c>
    </row>
    <row r="29485">
      <c r="A29485" t="n">
        <v>29484</v>
      </c>
      <c r="B29485" t="inlineStr">
        <is>
          <t>x̄x̄Mx̄CDLXXXIV</t>
        </is>
      </c>
      <c r="C29485">
        <f>ROMAN(29484)</f>
        <v/>
      </c>
      <c r="D29485">
        <f>IF(B29485=C29485, "YES", "WRONG")</f>
        <v/>
      </c>
    </row>
    <row r="29486">
      <c r="A29486" t="n">
        <v>29485</v>
      </c>
      <c r="B29486" t="inlineStr">
        <is>
          <t>x̄x̄Mx̄CDLXXXV</t>
        </is>
      </c>
      <c r="C29486">
        <f>ROMAN(29485)</f>
        <v/>
      </c>
      <c r="D29486">
        <f>IF(B29486=C29486, "YES", "WRONG")</f>
        <v/>
      </c>
    </row>
    <row r="29487">
      <c r="A29487" t="n">
        <v>29486</v>
      </c>
      <c r="B29487" t="inlineStr">
        <is>
          <t>x̄x̄Mx̄CDLXXXVI</t>
        </is>
      </c>
      <c r="C29487">
        <f>ROMAN(29486)</f>
        <v/>
      </c>
      <c r="D29487">
        <f>IF(B29487=C29487, "YES", "WRONG")</f>
        <v/>
      </c>
    </row>
    <row r="29488">
      <c r="A29488" t="n">
        <v>29487</v>
      </c>
      <c r="B29488" t="inlineStr">
        <is>
          <t>x̄x̄Mx̄CDLXXXVII</t>
        </is>
      </c>
      <c r="C29488">
        <f>ROMAN(29487)</f>
        <v/>
      </c>
      <c r="D29488">
        <f>IF(B29488=C29488, "YES", "WRONG")</f>
        <v/>
      </c>
    </row>
    <row r="29489">
      <c r="A29489" t="n">
        <v>29488</v>
      </c>
      <c r="B29489" t="inlineStr">
        <is>
          <t>x̄x̄Mx̄CDLXXXVIII</t>
        </is>
      </c>
      <c r="C29489">
        <f>ROMAN(29488)</f>
        <v/>
      </c>
      <c r="D29489">
        <f>IF(B29489=C29489, "YES", "WRONG")</f>
        <v/>
      </c>
    </row>
    <row r="29490">
      <c r="A29490" t="n">
        <v>29489</v>
      </c>
      <c r="B29490" t="inlineStr">
        <is>
          <t>x̄x̄Mx̄CDLXXXIX</t>
        </is>
      </c>
      <c r="C29490">
        <f>ROMAN(29489)</f>
        <v/>
      </c>
      <c r="D29490">
        <f>IF(B29490=C29490, "YES", "WRONG")</f>
        <v/>
      </c>
    </row>
    <row r="29491">
      <c r="A29491" t="n">
        <v>29490</v>
      </c>
      <c r="B29491" t="inlineStr">
        <is>
          <t>x̄x̄Mx̄CDXC</t>
        </is>
      </c>
      <c r="C29491">
        <f>ROMAN(29490)</f>
        <v/>
      </c>
      <c r="D29491">
        <f>IF(B29491=C29491, "YES", "WRONG")</f>
        <v/>
      </c>
    </row>
    <row r="29492">
      <c r="A29492" t="n">
        <v>29491</v>
      </c>
      <c r="B29492" t="inlineStr">
        <is>
          <t>x̄x̄Mx̄CDXCI</t>
        </is>
      </c>
      <c r="C29492">
        <f>ROMAN(29491)</f>
        <v/>
      </c>
      <c r="D29492">
        <f>IF(B29492=C29492, "YES", "WRONG")</f>
        <v/>
      </c>
    </row>
    <row r="29493">
      <c r="A29493" t="n">
        <v>29492</v>
      </c>
      <c r="B29493" t="inlineStr">
        <is>
          <t>x̄x̄Mx̄CDXCII</t>
        </is>
      </c>
      <c r="C29493">
        <f>ROMAN(29492)</f>
        <v/>
      </c>
      <c r="D29493">
        <f>IF(B29493=C29493, "YES", "WRONG")</f>
        <v/>
      </c>
    </row>
    <row r="29494">
      <c r="A29494" t="n">
        <v>29493</v>
      </c>
      <c r="B29494" t="inlineStr">
        <is>
          <t>x̄x̄Mx̄CDXCIII</t>
        </is>
      </c>
      <c r="C29494">
        <f>ROMAN(29493)</f>
        <v/>
      </c>
      <c r="D29494">
        <f>IF(B29494=C29494, "YES", "WRONG")</f>
        <v/>
      </c>
    </row>
    <row r="29495">
      <c r="A29495" t="n">
        <v>29494</v>
      </c>
      <c r="B29495" t="inlineStr">
        <is>
          <t>x̄x̄Mx̄CDXCIV</t>
        </is>
      </c>
      <c r="C29495">
        <f>ROMAN(29494)</f>
        <v/>
      </c>
      <c r="D29495">
        <f>IF(B29495=C29495, "YES", "WRONG")</f>
        <v/>
      </c>
    </row>
    <row r="29496">
      <c r="A29496" t="n">
        <v>29495</v>
      </c>
      <c r="B29496" t="inlineStr">
        <is>
          <t>x̄x̄Mx̄CDXCV</t>
        </is>
      </c>
      <c r="C29496">
        <f>ROMAN(29495)</f>
        <v/>
      </c>
      <c r="D29496">
        <f>IF(B29496=C29496, "YES", "WRONG")</f>
        <v/>
      </c>
    </row>
    <row r="29497">
      <c r="A29497" t="n">
        <v>29496</v>
      </c>
      <c r="B29497" t="inlineStr">
        <is>
          <t>x̄x̄Mx̄CDXCVI</t>
        </is>
      </c>
      <c r="C29497">
        <f>ROMAN(29496)</f>
        <v/>
      </c>
      <c r="D29497">
        <f>IF(B29497=C29497, "YES", "WRONG")</f>
        <v/>
      </c>
    </row>
    <row r="29498">
      <c r="A29498" t="n">
        <v>29497</v>
      </c>
      <c r="B29498" t="inlineStr">
        <is>
          <t>x̄x̄Mx̄CDXCVII</t>
        </is>
      </c>
      <c r="C29498">
        <f>ROMAN(29497)</f>
        <v/>
      </c>
      <c r="D29498">
        <f>IF(B29498=C29498, "YES", "WRONG")</f>
        <v/>
      </c>
    </row>
    <row r="29499">
      <c r="A29499" t="n">
        <v>29498</v>
      </c>
      <c r="B29499" t="inlineStr">
        <is>
          <t>x̄x̄Mx̄CDXCVIII</t>
        </is>
      </c>
      <c r="C29499">
        <f>ROMAN(29498)</f>
        <v/>
      </c>
      <c r="D29499">
        <f>IF(B29499=C29499, "YES", "WRONG")</f>
        <v/>
      </c>
    </row>
    <row r="29500">
      <c r="A29500" t="n">
        <v>29499</v>
      </c>
      <c r="B29500" t="inlineStr">
        <is>
          <t>x̄x̄Mx̄CDXCIX</t>
        </is>
      </c>
      <c r="C29500">
        <f>ROMAN(29499)</f>
        <v/>
      </c>
      <c r="D29500">
        <f>IF(B29500=C29500, "YES", "WRONG")</f>
        <v/>
      </c>
    </row>
    <row r="29501">
      <c r="A29501" t="n">
        <v>29500</v>
      </c>
      <c r="B29501" t="inlineStr">
        <is>
          <t>x̄x̄Mx̄D</t>
        </is>
      </c>
      <c r="C29501">
        <f>ROMAN(29500)</f>
        <v/>
      </c>
      <c r="D29501">
        <f>IF(B29501=C29501, "YES", "WRONG")</f>
        <v/>
      </c>
    </row>
    <row r="29502">
      <c r="A29502" t="n">
        <v>29501</v>
      </c>
      <c r="B29502" t="inlineStr">
        <is>
          <t>x̄x̄Mx̄DI</t>
        </is>
      </c>
      <c r="C29502">
        <f>ROMAN(29501)</f>
        <v/>
      </c>
      <c r="D29502">
        <f>IF(B29502=C29502, "YES", "WRONG")</f>
        <v/>
      </c>
    </row>
    <row r="29503">
      <c r="A29503" t="n">
        <v>29502</v>
      </c>
      <c r="B29503" t="inlineStr">
        <is>
          <t>x̄x̄Mx̄DII</t>
        </is>
      </c>
      <c r="C29503">
        <f>ROMAN(29502)</f>
        <v/>
      </c>
      <c r="D29503">
        <f>IF(B29503=C29503, "YES", "WRONG")</f>
        <v/>
      </c>
    </row>
    <row r="29504">
      <c r="A29504" t="n">
        <v>29503</v>
      </c>
      <c r="B29504" t="inlineStr">
        <is>
          <t>x̄x̄Mx̄DIII</t>
        </is>
      </c>
      <c r="C29504">
        <f>ROMAN(29503)</f>
        <v/>
      </c>
      <c r="D29504">
        <f>IF(B29504=C29504, "YES", "WRONG")</f>
        <v/>
      </c>
    </row>
    <row r="29505">
      <c r="A29505" t="n">
        <v>29504</v>
      </c>
      <c r="B29505" t="inlineStr">
        <is>
          <t>x̄x̄Mx̄DIV</t>
        </is>
      </c>
      <c r="C29505">
        <f>ROMAN(29504)</f>
        <v/>
      </c>
      <c r="D29505">
        <f>IF(B29505=C29505, "YES", "WRONG")</f>
        <v/>
      </c>
    </row>
    <row r="29506">
      <c r="A29506" t="n">
        <v>29505</v>
      </c>
      <c r="B29506" t="inlineStr">
        <is>
          <t>x̄x̄Mx̄DV</t>
        </is>
      </c>
      <c r="C29506">
        <f>ROMAN(29505)</f>
        <v/>
      </c>
      <c r="D29506">
        <f>IF(B29506=C29506, "YES", "WRONG")</f>
        <v/>
      </c>
    </row>
    <row r="29507">
      <c r="A29507" t="n">
        <v>29506</v>
      </c>
      <c r="B29507" t="inlineStr">
        <is>
          <t>x̄x̄Mx̄DVI</t>
        </is>
      </c>
      <c r="C29507">
        <f>ROMAN(29506)</f>
        <v/>
      </c>
      <c r="D29507">
        <f>IF(B29507=C29507, "YES", "WRONG")</f>
        <v/>
      </c>
    </row>
    <row r="29508">
      <c r="A29508" t="n">
        <v>29507</v>
      </c>
      <c r="B29508" t="inlineStr">
        <is>
          <t>x̄x̄Mx̄DVII</t>
        </is>
      </c>
      <c r="C29508">
        <f>ROMAN(29507)</f>
        <v/>
      </c>
      <c r="D29508">
        <f>IF(B29508=C29508, "YES", "WRONG")</f>
        <v/>
      </c>
    </row>
    <row r="29509">
      <c r="A29509" t="n">
        <v>29508</v>
      </c>
      <c r="B29509" t="inlineStr">
        <is>
          <t>x̄x̄Mx̄DVIII</t>
        </is>
      </c>
      <c r="C29509">
        <f>ROMAN(29508)</f>
        <v/>
      </c>
      <c r="D29509">
        <f>IF(B29509=C29509, "YES", "WRONG")</f>
        <v/>
      </c>
    </row>
    <row r="29510">
      <c r="A29510" t="n">
        <v>29509</v>
      </c>
      <c r="B29510" t="inlineStr">
        <is>
          <t>x̄x̄Mx̄DIX</t>
        </is>
      </c>
      <c r="C29510">
        <f>ROMAN(29509)</f>
        <v/>
      </c>
      <c r="D29510">
        <f>IF(B29510=C29510, "YES", "WRONG")</f>
        <v/>
      </c>
    </row>
    <row r="29511">
      <c r="A29511" t="n">
        <v>29510</v>
      </c>
      <c r="B29511" t="inlineStr">
        <is>
          <t>x̄x̄Mx̄DX</t>
        </is>
      </c>
      <c r="C29511">
        <f>ROMAN(29510)</f>
        <v/>
      </c>
      <c r="D29511">
        <f>IF(B29511=C29511, "YES", "WRONG")</f>
        <v/>
      </c>
    </row>
    <row r="29512">
      <c r="A29512" t="n">
        <v>29511</v>
      </c>
      <c r="B29512" t="inlineStr">
        <is>
          <t>x̄x̄Mx̄DXI</t>
        </is>
      </c>
      <c r="C29512">
        <f>ROMAN(29511)</f>
        <v/>
      </c>
      <c r="D29512">
        <f>IF(B29512=C29512, "YES", "WRONG")</f>
        <v/>
      </c>
    </row>
    <row r="29513">
      <c r="A29513" t="n">
        <v>29512</v>
      </c>
      <c r="B29513" t="inlineStr">
        <is>
          <t>x̄x̄Mx̄DXII</t>
        </is>
      </c>
      <c r="C29513">
        <f>ROMAN(29512)</f>
        <v/>
      </c>
      <c r="D29513">
        <f>IF(B29513=C29513, "YES", "WRONG")</f>
        <v/>
      </c>
    </row>
    <row r="29514">
      <c r="A29514" t="n">
        <v>29513</v>
      </c>
      <c r="B29514" t="inlineStr">
        <is>
          <t>x̄x̄Mx̄DXIII</t>
        </is>
      </c>
      <c r="C29514">
        <f>ROMAN(29513)</f>
        <v/>
      </c>
      <c r="D29514">
        <f>IF(B29514=C29514, "YES", "WRONG")</f>
        <v/>
      </c>
    </row>
    <row r="29515">
      <c r="A29515" t="n">
        <v>29514</v>
      </c>
      <c r="B29515" t="inlineStr">
        <is>
          <t>x̄x̄Mx̄DXIV</t>
        </is>
      </c>
      <c r="C29515">
        <f>ROMAN(29514)</f>
        <v/>
      </c>
      <c r="D29515">
        <f>IF(B29515=C29515, "YES", "WRONG")</f>
        <v/>
      </c>
    </row>
    <row r="29516">
      <c r="A29516" t="n">
        <v>29515</v>
      </c>
      <c r="B29516" t="inlineStr">
        <is>
          <t>x̄x̄Mx̄DXV</t>
        </is>
      </c>
      <c r="C29516">
        <f>ROMAN(29515)</f>
        <v/>
      </c>
      <c r="D29516">
        <f>IF(B29516=C29516, "YES", "WRONG")</f>
        <v/>
      </c>
    </row>
    <row r="29517">
      <c r="A29517" t="n">
        <v>29516</v>
      </c>
      <c r="B29517" t="inlineStr">
        <is>
          <t>x̄x̄Mx̄DXVI</t>
        </is>
      </c>
      <c r="C29517">
        <f>ROMAN(29516)</f>
        <v/>
      </c>
      <c r="D29517">
        <f>IF(B29517=C29517, "YES", "WRONG")</f>
        <v/>
      </c>
    </row>
    <row r="29518">
      <c r="A29518" t="n">
        <v>29517</v>
      </c>
      <c r="B29518" t="inlineStr">
        <is>
          <t>x̄x̄Mx̄DXVII</t>
        </is>
      </c>
      <c r="C29518">
        <f>ROMAN(29517)</f>
        <v/>
      </c>
      <c r="D29518">
        <f>IF(B29518=C29518, "YES", "WRONG")</f>
        <v/>
      </c>
    </row>
    <row r="29519">
      <c r="A29519" t="n">
        <v>29518</v>
      </c>
      <c r="B29519" t="inlineStr">
        <is>
          <t>x̄x̄Mx̄DXVIII</t>
        </is>
      </c>
      <c r="C29519">
        <f>ROMAN(29518)</f>
        <v/>
      </c>
      <c r="D29519">
        <f>IF(B29519=C29519, "YES", "WRONG")</f>
        <v/>
      </c>
    </row>
    <row r="29520">
      <c r="A29520" t="n">
        <v>29519</v>
      </c>
      <c r="B29520" t="inlineStr">
        <is>
          <t>x̄x̄Mx̄DXIX</t>
        </is>
      </c>
      <c r="C29520">
        <f>ROMAN(29519)</f>
        <v/>
      </c>
      <c r="D29520">
        <f>IF(B29520=C29520, "YES", "WRONG")</f>
        <v/>
      </c>
    </row>
    <row r="29521">
      <c r="A29521" t="n">
        <v>29520</v>
      </c>
      <c r="B29521" t="inlineStr">
        <is>
          <t>x̄x̄Mx̄DXX</t>
        </is>
      </c>
      <c r="C29521">
        <f>ROMAN(29520)</f>
        <v/>
      </c>
      <c r="D29521">
        <f>IF(B29521=C29521, "YES", "WRONG")</f>
        <v/>
      </c>
    </row>
    <row r="29522">
      <c r="A29522" t="n">
        <v>29521</v>
      </c>
      <c r="B29522" t="inlineStr">
        <is>
          <t>x̄x̄Mx̄DXXI</t>
        </is>
      </c>
      <c r="C29522">
        <f>ROMAN(29521)</f>
        <v/>
      </c>
      <c r="D29522">
        <f>IF(B29522=C29522, "YES", "WRONG")</f>
        <v/>
      </c>
    </row>
    <row r="29523">
      <c r="A29523" t="n">
        <v>29522</v>
      </c>
      <c r="B29523" t="inlineStr">
        <is>
          <t>x̄x̄Mx̄DXXII</t>
        </is>
      </c>
      <c r="C29523">
        <f>ROMAN(29522)</f>
        <v/>
      </c>
      <c r="D29523">
        <f>IF(B29523=C29523, "YES", "WRONG")</f>
        <v/>
      </c>
    </row>
    <row r="29524">
      <c r="A29524" t="n">
        <v>29523</v>
      </c>
      <c r="B29524" t="inlineStr">
        <is>
          <t>x̄x̄Mx̄DXXIII</t>
        </is>
      </c>
      <c r="C29524">
        <f>ROMAN(29523)</f>
        <v/>
      </c>
      <c r="D29524">
        <f>IF(B29524=C29524, "YES", "WRONG")</f>
        <v/>
      </c>
    </row>
    <row r="29525">
      <c r="A29525" t="n">
        <v>29524</v>
      </c>
      <c r="B29525" t="inlineStr">
        <is>
          <t>x̄x̄Mx̄DXXIV</t>
        </is>
      </c>
      <c r="C29525">
        <f>ROMAN(29524)</f>
        <v/>
      </c>
      <c r="D29525">
        <f>IF(B29525=C29525, "YES", "WRONG")</f>
        <v/>
      </c>
    </row>
    <row r="29526">
      <c r="A29526" t="n">
        <v>29525</v>
      </c>
      <c r="B29526" t="inlineStr">
        <is>
          <t>x̄x̄Mx̄DXXV</t>
        </is>
      </c>
      <c r="C29526">
        <f>ROMAN(29525)</f>
        <v/>
      </c>
      <c r="D29526">
        <f>IF(B29526=C29526, "YES", "WRONG")</f>
        <v/>
      </c>
    </row>
    <row r="29527">
      <c r="A29527" t="n">
        <v>29526</v>
      </c>
      <c r="B29527" t="inlineStr">
        <is>
          <t>x̄x̄Mx̄DXXVI</t>
        </is>
      </c>
      <c r="C29527">
        <f>ROMAN(29526)</f>
        <v/>
      </c>
      <c r="D29527">
        <f>IF(B29527=C29527, "YES", "WRONG")</f>
        <v/>
      </c>
    </row>
    <row r="29528">
      <c r="A29528" t="n">
        <v>29527</v>
      </c>
      <c r="B29528" t="inlineStr">
        <is>
          <t>x̄x̄Mx̄DXXVII</t>
        </is>
      </c>
      <c r="C29528">
        <f>ROMAN(29527)</f>
        <v/>
      </c>
      <c r="D29528">
        <f>IF(B29528=C29528, "YES", "WRONG")</f>
        <v/>
      </c>
    </row>
    <row r="29529">
      <c r="A29529" t="n">
        <v>29528</v>
      </c>
      <c r="B29529" t="inlineStr">
        <is>
          <t>x̄x̄Mx̄DXXVIII</t>
        </is>
      </c>
      <c r="C29529">
        <f>ROMAN(29528)</f>
        <v/>
      </c>
      <c r="D29529">
        <f>IF(B29529=C29529, "YES", "WRONG")</f>
        <v/>
      </c>
    </row>
    <row r="29530">
      <c r="A29530" t="n">
        <v>29529</v>
      </c>
      <c r="B29530" t="inlineStr">
        <is>
          <t>x̄x̄Mx̄DXXIX</t>
        </is>
      </c>
      <c r="C29530">
        <f>ROMAN(29529)</f>
        <v/>
      </c>
      <c r="D29530">
        <f>IF(B29530=C29530, "YES", "WRONG")</f>
        <v/>
      </c>
    </row>
    <row r="29531">
      <c r="A29531" t="n">
        <v>29530</v>
      </c>
      <c r="B29531" t="inlineStr">
        <is>
          <t>x̄x̄Mx̄DXXX</t>
        </is>
      </c>
      <c r="C29531">
        <f>ROMAN(29530)</f>
        <v/>
      </c>
      <c r="D29531">
        <f>IF(B29531=C29531, "YES", "WRONG")</f>
        <v/>
      </c>
    </row>
    <row r="29532">
      <c r="A29532" t="n">
        <v>29531</v>
      </c>
      <c r="B29532" t="inlineStr">
        <is>
          <t>x̄x̄Mx̄DXXXI</t>
        </is>
      </c>
      <c r="C29532">
        <f>ROMAN(29531)</f>
        <v/>
      </c>
      <c r="D29532">
        <f>IF(B29532=C29532, "YES", "WRONG")</f>
        <v/>
      </c>
    </row>
    <row r="29533">
      <c r="A29533" t="n">
        <v>29532</v>
      </c>
      <c r="B29533" t="inlineStr">
        <is>
          <t>x̄x̄Mx̄DXXXII</t>
        </is>
      </c>
      <c r="C29533">
        <f>ROMAN(29532)</f>
        <v/>
      </c>
      <c r="D29533">
        <f>IF(B29533=C29533, "YES", "WRONG")</f>
        <v/>
      </c>
    </row>
    <row r="29534">
      <c r="A29534" t="n">
        <v>29533</v>
      </c>
      <c r="B29534" t="inlineStr">
        <is>
          <t>x̄x̄Mx̄DXXXIII</t>
        </is>
      </c>
      <c r="C29534">
        <f>ROMAN(29533)</f>
        <v/>
      </c>
      <c r="D29534">
        <f>IF(B29534=C29534, "YES", "WRONG")</f>
        <v/>
      </c>
    </row>
    <row r="29535">
      <c r="A29535" t="n">
        <v>29534</v>
      </c>
      <c r="B29535" t="inlineStr">
        <is>
          <t>x̄x̄Mx̄DXXXIV</t>
        </is>
      </c>
      <c r="C29535">
        <f>ROMAN(29534)</f>
        <v/>
      </c>
      <c r="D29535">
        <f>IF(B29535=C29535, "YES", "WRONG")</f>
        <v/>
      </c>
    </row>
    <row r="29536">
      <c r="A29536" t="n">
        <v>29535</v>
      </c>
      <c r="B29536" t="inlineStr">
        <is>
          <t>x̄x̄Mx̄DXXXV</t>
        </is>
      </c>
      <c r="C29536">
        <f>ROMAN(29535)</f>
        <v/>
      </c>
      <c r="D29536">
        <f>IF(B29536=C29536, "YES", "WRONG")</f>
        <v/>
      </c>
    </row>
    <row r="29537">
      <c r="A29537" t="n">
        <v>29536</v>
      </c>
      <c r="B29537" t="inlineStr">
        <is>
          <t>x̄x̄Mx̄DXXXVI</t>
        </is>
      </c>
      <c r="C29537">
        <f>ROMAN(29536)</f>
        <v/>
      </c>
      <c r="D29537">
        <f>IF(B29537=C29537, "YES", "WRONG")</f>
        <v/>
      </c>
    </row>
    <row r="29538">
      <c r="A29538" t="n">
        <v>29537</v>
      </c>
      <c r="B29538" t="inlineStr">
        <is>
          <t>x̄x̄Mx̄DXXXVII</t>
        </is>
      </c>
      <c r="C29538">
        <f>ROMAN(29537)</f>
        <v/>
      </c>
      <c r="D29538">
        <f>IF(B29538=C29538, "YES", "WRONG")</f>
        <v/>
      </c>
    </row>
    <row r="29539">
      <c r="A29539" t="n">
        <v>29538</v>
      </c>
      <c r="B29539" t="inlineStr">
        <is>
          <t>x̄x̄Mx̄DXXXVIII</t>
        </is>
      </c>
      <c r="C29539">
        <f>ROMAN(29538)</f>
        <v/>
      </c>
      <c r="D29539">
        <f>IF(B29539=C29539, "YES", "WRONG")</f>
        <v/>
      </c>
    </row>
    <row r="29540">
      <c r="A29540" t="n">
        <v>29539</v>
      </c>
      <c r="B29540" t="inlineStr">
        <is>
          <t>x̄x̄Mx̄DXXXIX</t>
        </is>
      </c>
      <c r="C29540">
        <f>ROMAN(29539)</f>
        <v/>
      </c>
      <c r="D29540">
        <f>IF(B29540=C29540, "YES", "WRONG")</f>
        <v/>
      </c>
    </row>
    <row r="29541">
      <c r="A29541" t="n">
        <v>29540</v>
      </c>
      <c r="B29541" t="inlineStr">
        <is>
          <t>x̄x̄Mx̄DXL</t>
        </is>
      </c>
      <c r="C29541">
        <f>ROMAN(29540)</f>
        <v/>
      </c>
      <c r="D29541">
        <f>IF(B29541=C29541, "YES", "WRONG")</f>
        <v/>
      </c>
    </row>
    <row r="29542">
      <c r="A29542" t="n">
        <v>29541</v>
      </c>
      <c r="B29542" t="inlineStr">
        <is>
          <t>x̄x̄Mx̄DXLI</t>
        </is>
      </c>
      <c r="C29542">
        <f>ROMAN(29541)</f>
        <v/>
      </c>
      <c r="D29542">
        <f>IF(B29542=C29542, "YES", "WRONG")</f>
        <v/>
      </c>
    </row>
    <row r="29543">
      <c r="A29543" t="n">
        <v>29542</v>
      </c>
      <c r="B29543" t="inlineStr">
        <is>
          <t>x̄x̄Mx̄DXLII</t>
        </is>
      </c>
      <c r="C29543">
        <f>ROMAN(29542)</f>
        <v/>
      </c>
      <c r="D29543">
        <f>IF(B29543=C29543, "YES", "WRONG")</f>
        <v/>
      </c>
    </row>
    <row r="29544">
      <c r="A29544" t="n">
        <v>29543</v>
      </c>
      <c r="B29544" t="inlineStr">
        <is>
          <t>x̄x̄Mx̄DXLIII</t>
        </is>
      </c>
      <c r="C29544">
        <f>ROMAN(29543)</f>
        <v/>
      </c>
      <c r="D29544">
        <f>IF(B29544=C29544, "YES", "WRONG")</f>
        <v/>
      </c>
    </row>
    <row r="29545">
      <c r="A29545" t="n">
        <v>29544</v>
      </c>
      <c r="B29545" t="inlineStr">
        <is>
          <t>x̄x̄Mx̄DXLIV</t>
        </is>
      </c>
      <c r="C29545">
        <f>ROMAN(29544)</f>
        <v/>
      </c>
      <c r="D29545">
        <f>IF(B29545=C29545, "YES", "WRONG")</f>
        <v/>
      </c>
    </row>
    <row r="29546">
      <c r="A29546" t="n">
        <v>29545</v>
      </c>
      <c r="B29546" t="inlineStr">
        <is>
          <t>x̄x̄Mx̄DXLV</t>
        </is>
      </c>
      <c r="C29546">
        <f>ROMAN(29545)</f>
        <v/>
      </c>
      <c r="D29546">
        <f>IF(B29546=C29546, "YES", "WRONG")</f>
        <v/>
      </c>
    </row>
    <row r="29547">
      <c r="A29547" t="n">
        <v>29546</v>
      </c>
      <c r="B29547" t="inlineStr">
        <is>
          <t>x̄x̄Mx̄DXLVI</t>
        </is>
      </c>
      <c r="C29547">
        <f>ROMAN(29546)</f>
        <v/>
      </c>
      <c r="D29547">
        <f>IF(B29547=C29547, "YES", "WRONG")</f>
        <v/>
      </c>
    </row>
    <row r="29548">
      <c r="A29548" t="n">
        <v>29547</v>
      </c>
      <c r="B29548" t="inlineStr">
        <is>
          <t>x̄x̄Mx̄DXLVII</t>
        </is>
      </c>
      <c r="C29548">
        <f>ROMAN(29547)</f>
        <v/>
      </c>
      <c r="D29548">
        <f>IF(B29548=C29548, "YES", "WRONG")</f>
        <v/>
      </c>
    </row>
    <row r="29549">
      <c r="A29549" t="n">
        <v>29548</v>
      </c>
      <c r="B29549" t="inlineStr">
        <is>
          <t>x̄x̄Mx̄DXLVIII</t>
        </is>
      </c>
      <c r="C29549">
        <f>ROMAN(29548)</f>
        <v/>
      </c>
      <c r="D29549">
        <f>IF(B29549=C29549, "YES", "WRONG")</f>
        <v/>
      </c>
    </row>
    <row r="29550">
      <c r="A29550" t="n">
        <v>29549</v>
      </c>
      <c r="B29550" t="inlineStr">
        <is>
          <t>x̄x̄Mx̄DXLIX</t>
        </is>
      </c>
      <c r="C29550">
        <f>ROMAN(29549)</f>
        <v/>
      </c>
      <c r="D29550">
        <f>IF(B29550=C29550, "YES", "WRONG")</f>
        <v/>
      </c>
    </row>
    <row r="29551">
      <c r="A29551" t="n">
        <v>29550</v>
      </c>
      <c r="B29551" t="inlineStr">
        <is>
          <t>x̄x̄Mx̄DL</t>
        </is>
      </c>
      <c r="C29551">
        <f>ROMAN(29550)</f>
        <v/>
      </c>
      <c r="D29551">
        <f>IF(B29551=C29551, "YES", "WRONG")</f>
        <v/>
      </c>
    </row>
    <row r="29552">
      <c r="A29552" t="n">
        <v>29551</v>
      </c>
      <c r="B29552" t="inlineStr">
        <is>
          <t>x̄x̄Mx̄DLI</t>
        </is>
      </c>
      <c r="C29552">
        <f>ROMAN(29551)</f>
        <v/>
      </c>
      <c r="D29552">
        <f>IF(B29552=C29552, "YES", "WRONG")</f>
        <v/>
      </c>
    </row>
    <row r="29553">
      <c r="A29553" t="n">
        <v>29552</v>
      </c>
      <c r="B29553" t="inlineStr">
        <is>
          <t>x̄x̄Mx̄DLII</t>
        </is>
      </c>
      <c r="C29553">
        <f>ROMAN(29552)</f>
        <v/>
      </c>
      <c r="D29553">
        <f>IF(B29553=C29553, "YES", "WRONG")</f>
        <v/>
      </c>
    </row>
    <row r="29554">
      <c r="A29554" t="n">
        <v>29553</v>
      </c>
      <c r="B29554" t="inlineStr">
        <is>
          <t>x̄x̄Mx̄DLIII</t>
        </is>
      </c>
      <c r="C29554">
        <f>ROMAN(29553)</f>
        <v/>
      </c>
      <c r="D29554">
        <f>IF(B29554=C29554, "YES", "WRONG")</f>
        <v/>
      </c>
    </row>
    <row r="29555">
      <c r="A29555" t="n">
        <v>29554</v>
      </c>
      <c r="B29555" t="inlineStr">
        <is>
          <t>x̄x̄Mx̄DLIV</t>
        </is>
      </c>
      <c r="C29555">
        <f>ROMAN(29554)</f>
        <v/>
      </c>
      <c r="D29555">
        <f>IF(B29555=C29555, "YES", "WRONG")</f>
        <v/>
      </c>
    </row>
    <row r="29556">
      <c r="A29556" t="n">
        <v>29555</v>
      </c>
      <c r="B29556" t="inlineStr">
        <is>
          <t>x̄x̄Mx̄DLV</t>
        </is>
      </c>
      <c r="C29556">
        <f>ROMAN(29555)</f>
        <v/>
      </c>
      <c r="D29556">
        <f>IF(B29556=C29556, "YES", "WRONG")</f>
        <v/>
      </c>
    </row>
    <row r="29557">
      <c r="A29557" t="n">
        <v>29556</v>
      </c>
      <c r="B29557" t="inlineStr">
        <is>
          <t>x̄x̄Mx̄DLVI</t>
        </is>
      </c>
      <c r="C29557">
        <f>ROMAN(29556)</f>
        <v/>
      </c>
      <c r="D29557">
        <f>IF(B29557=C29557, "YES", "WRONG")</f>
        <v/>
      </c>
    </row>
    <row r="29558">
      <c r="A29558" t="n">
        <v>29557</v>
      </c>
      <c r="B29558" t="inlineStr">
        <is>
          <t>x̄x̄Mx̄DLVII</t>
        </is>
      </c>
      <c r="C29558">
        <f>ROMAN(29557)</f>
        <v/>
      </c>
      <c r="D29558">
        <f>IF(B29558=C29558, "YES", "WRONG")</f>
        <v/>
      </c>
    </row>
    <row r="29559">
      <c r="A29559" t="n">
        <v>29558</v>
      </c>
      <c r="B29559" t="inlineStr">
        <is>
          <t>x̄x̄Mx̄DLVIII</t>
        </is>
      </c>
      <c r="C29559">
        <f>ROMAN(29558)</f>
        <v/>
      </c>
      <c r="D29559">
        <f>IF(B29559=C29559, "YES", "WRONG")</f>
        <v/>
      </c>
    </row>
    <row r="29560">
      <c r="A29560" t="n">
        <v>29559</v>
      </c>
      <c r="B29560" t="inlineStr">
        <is>
          <t>x̄x̄Mx̄DLIX</t>
        </is>
      </c>
      <c r="C29560">
        <f>ROMAN(29559)</f>
        <v/>
      </c>
      <c r="D29560">
        <f>IF(B29560=C29560, "YES", "WRONG")</f>
        <v/>
      </c>
    </row>
    <row r="29561">
      <c r="A29561" t="n">
        <v>29560</v>
      </c>
      <c r="B29561" t="inlineStr">
        <is>
          <t>x̄x̄Mx̄DLX</t>
        </is>
      </c>
      <c r="C29561">
        <f>ROMAN(29560)</f>
        <v/>
      </c>
      <c r="D29561">
        <f>IF(B29561=C29561, "YES", "WRONG")</f>
        <v/>
      </c>
    </row>
    <row r="29562">
      <c r="A29562" t="n">
        <v>29561</v>
      </c>
      <c r="B29562" t="inlineStr">
        <is>
          <t>x̄x̄Mx̄DLXI</t>
        </is>
      </c>
      <c r="C29562">
        <f>ROMAN(29561)</f>
        <v/>
      </c>
      <c r="D29562">
        <f>IF(B29562=C29562, "YES", "WRONG")</f>
        <v/>
      </c>
    </row>
    <row r="29563">
      <c r="A29563" t="n">
        <v>29562</v>
      </c>
      <c r="B29563" t="inlineStr">
        <is>
          <t>x̄x̄Mx̄DLXII</t>
        </is>
      </c>
      <c r="C29563">
        <f>ROMAN(29562)</f>
        <v/>
      </c>
      <c r="D29563">
        <f>IF(B29563=C29563, "YES", "WRONG")</f>
        <v/>
      </c>
    </row>
    <row r="29564">
      <c r="A29564" t="n">
        <v>29563</v>
      </c>
      <c r="B29564" t="inlineStr">
        <is>
          <t>x̄x̄Mx̄DLXIII</t>
        </is>
      </c>
      <c r="C29564">
        <f>ROMAN(29563)</f>
        <v/>
      </c>
      <c r="D29564">
        <f>IF(B29564=C29564, "YES", "WRONG")</f>
        <v/>
      </c>
    </row>
    <row r="29565">
      <c r="A29565" t="n">
        <v>29564</v>
      </c>
      <c r="B29565" t="inlineStr">
        <is>
          <t>x̄x̄Mx̄DLXIV</t>
        </is>
      </c>
      <c r="C29565">
        <f>ROMAN(29564)</f>
        <v/>
      </c>
      <c r="D29565">
        <f>IF(B29565=C29565, "YES", "WRONG")</f>
        <v/>
      </c>
    </row>
    <row r="29566">
      <c r="A29566" t="n">
        <v>29565</v>
      </c>
      <c r="B29566" t="inlineStr">
        <is>
          <t>x̄x̄Mx̄DLXV</t>
        </is>
      </c>
      <c r="C29566">
        <f>ROMAN(29565)</f>
        <v/>
      </c>
      <c r="D29566">
        <f>IF(B29566=C29566, "YES", "WRONG")</f>
        <v/>
      </c>
    </row>
    <row r="29567">
      <c r="A29567" t="n">
        <v>29566</v>
      </c>
      <c r="B29567" t="inlineStr">
        <is>
          <t>x̄x̄Mx̄DLXVI</t>
        </is>
      </c>
      <c r="C29567">
        <f>ROMAN(29566)</f>
        <v/>
      </c>
      <c r="D29567">
        <f>IF(B29567=C29567, "YES", "WRONG")</f>
        <v/>
      </c>
    </row>
    <row r="29568">
      <c r="A29568" t="n">
        <v>29567</v>
      </c>
      <c r="B29568" t="inlineStr">
        <is>
          <t>x̄x̄Mx̄DLXVII</t>
        </is>
      </c>
      <c r="C29568">
        <f>ROMAN(29567)</f>
        <v/>
      </c>
      <c r="D29568">
        <f>IF(B29568=C29568, "YES", "WRONG")</f>
        <v/>
      </c>
    </row>
    <row r="29569">
      <c r="A29569" t="n">
        <v>29568</v>
      </c>
      <c r="B29569" t="inlineStr">
        <is>
          <t>x̄x̄Mx̄DLXVIII</t>
        </is>
      </c>
      <c r="C29569">
        <f>ROMAN(29568)</f>
        <v/>
      </c>
      <c r="D29569">
        <f>IF(B29569=C29569, "YES", "WRONG")</f>
        <v/>
      </c>
    </row>
    <row r="29570">
      <c r="A29570" t="n">
        <v>29569</v>
      </c>
      <c r="B29570" t="inlineStr">
        <is>
          <t>x̄x̄Mx̄DLXIX</t>
        </is>
      </c>
      <c r="C29570">
        <f>ROMAN(29569)</f>
        <v/>
      </c>
      <c r="D29570">
        <f>IF(B29570=C29570, "YES", "WRONG")</f>
        <v/>
      </c>
    </row>
    <row r="29571">
      <c r="A29571" t="n">
        <v>29570</v>
      </c>
      <c r="B29571" t="inlineStr">
        <is>
          <t>x̄x̄Mx̄DLXX</t>
        </is>
      </c>
      <c r="C29571">
        <f>ROMAN(29570)</f>
        <v/>
      </c>
      <c r="D29571">
        <f>IF(B29571=C29571, "YES", "WRONG")</f>
        <v/>
      </c>
    </row>
    <row r="29572">
      <c r="A29572" t="n">
        <v>29571</v>
      </c>
      <c r="B29572" t="inlineStr">
        <is>
          <t>x̄x̄Mx̄DLXXI</t>
        </is>
      </c>
      <c r="C29572">
        <f>ROMAN(29571)</f>
        <v/>
      </c>
      <c r="D29572">
        <f>IF(B29572=C29572, "YES", "WRONG")</f>
        <v/>
      </c>
    </row>
    <row r="29573">
      <c r="A29573" t="n">
        <v>29572</v>
      </c>
      <c r="B29573" t="inlineStr">
        <is>
          <t>x̄x̄Mx̄DLXXII</t>
        </is>
      </c>
      <c r="C29573">
        <f>ROMAN(29572)</f>
        <v/>
      </c>
      <c r="D29573">
        <f>IF(B29573=C29573, "YES", "WRONG")</f>
        <v/>
      </c>
    </row>
    <row r="29574">
      <c r="A29574" t="n">
        <v>29573</v>
      </c>
      <c r="B29574" t="inlineStr">
        <is>
          <t>x̄x̄Mx̄DLXXIII</t>
        </is>
      </c>
      <c r="C29574">
        <f>ROMAN(29573)</f>
        <v/>
      </c>
      <c r="D29574">
        <f>IF(B29574=C29574, "YES", "WRONG")</f>
        <v/>
      </c>
    </row>
    <row r="29575">
      <c r="A29575" t="n">
        <v>29574</v>
      </c>
      <c r="B29575" t="inlineStr">
        <is>
          <t>x̄x̄Mx̄DLXXIV</t>
        </is>
      </c>
      <c r="C29575">
        <f>ROMAN(29574)</f>
        <v/>
      </c>
      <c r="D29575">
        <f>IF(B29575=C29575, "YES", "WRONG")</f>
        <v/>
      </c>
    </row>
    <row r="29576">
      <c r="A29576" t="n">
        <v>29575</v>
      </c>
      <c r="B29576" t="inlineStr">
        <is>
          <t>x̄x̄Mx̄DLXXV</t>
        </is>
      </c>
      <c r="C29576">
        <f>ROMAN(29575)</f>
        <v/>
      </c>
      <c r="D29576">
        <f>IF(B29576=C29576, "YES", "WRONG")</f>
        <v/>
      </c>
    </row>
    <row r="29577">
      <c r="A29577" t="n">
        <v>29576</v>
      </c>
      <c r="B29577" t="inlineStr">
        <is>
          <t>x̄x̄Mx̄DLXXVI</t>
        </is>
      </c>
      <c r="C29577">
        <f>ROMAN(29576)</f>
        <v/>
      </c>
      <c r="D29577">
        <f>IF(B29577=C29577, "YES", "WRONG")</f>
        <v/>
      </c>
    </row>
    <row r="29578">
      <c r="A29578" t="n">
        <v>29577</v>
      </c>
      <c r="B29578" t="inlineStr">
        <is>
          <t>x̄x̄Mx̄DLXXVII</t>
        </is>
      </c>
      <c r="C29578">
        <f>ROMAN(29577)</f>
        <v/>
      </c>
      <c r="D29578">
        <f>IF(B29578=C29578, "YES", "WRONG")</f>
        <v/>
      </c>
    </row>
    <row r="29579">
      <c r="A29579" t="n">
        <v>29578</v>
      </c>
      <c r="B29579" t="inlineStr">
        <is>
          <t>x̄x̄Mx̄DLXXVIII</t>
        </is>
      </c>
      <c r="C29579">
        <f>ROMAN(29578)</f>
        <v/>
      </c>
      <c r="D29579">
        <f>IF(B29579=C29579, "YES", "WRONG")</f>
        <v/>
      </c>
    </row>
    <row r="29580">
      <c r="A29580" t="n">
        <v>29579</v>
      </c>
      <c r="B29580" t="inlineStr">
        <is>
          <t>x̄x̄Mx̄DLXXIX</t>
        </is>
      </c>
      <c r="C29580">
        <f>ROMAN(29579)</f>
        <v/>
      </c>
      <c r="D29580">
        <f>IF(B29580=C29580, "YES", "WRONG")</f>
        <v/>
      </c>
    </row>
    <row r="29581">
      <c r="A29581" t="n">
        <v>29580</v>
      </c>
      <c r="B29581" t="inlineStr">
        <is>
          <t>x̄x̄Mx̄DLXXX</t>
        </is>
      </c>
      <c r="C29581">
        <f>ROMAN(29580)</f>
        <v/>
      </c>
      <c r="D29581">
        <f>IF(B29581=C29581, "YES", "WRONG")</f>
        <v/>
      </c>
    </row>
    <row r="29582">
      <c r="A29582" t="n">
        <v>29581</v>
      </c>
      <c r="B29582" t="inlineStr">
        <is>
          <t>x̄x̄Mx̄DLXXXI</t>
        </is>
      </c>
      <c r="C29582">
        <f>ROMAN(29581)</f>
        <v/>
      </c>
      <c r="D29582">
        <f>IF(B29582=C29582, "YES", "WRONG")</f>
        <v/>
      </c>
    </row>
    <row r="29583">
      <c r="A29583" t="n">
        <v>29582</v>
      </c>
      <c r="B29583" t="inlineStr">
        <is>
          <t>x̄x̄Mx̄DLXXXII</t>
        </is>
      </c>
      <c r="C29583">
        <f>ROMAN(29582)</f>
        <v/>
      </c>
      <c r="D29583">
        <f>IF(B29583=C29583, "YES", "WRONG")</f>
        <v/>
      </c>
    </row>
    <row r="29584">
      <c r="A29584" t="n">
        <v>29583</v>
      </c>
      <c r="B29584" t="inlineStr">
        <is>
          <t>x̄x̄Mx̄DLXXXIII</t>
        </is>
      </c>
      <c r="C29584">
        <f>ROMAN(29583)</f>
        <v/>
      </c>
      <c r="D29584">
        <f>IF(B29584=C29584, "YES", "WRONG")</f>
        <v/>
      </c>
    </row>
    <row r="29585">
      <c r="A29585" t="n">
        <v>29584</v>
      </c>
      <c r="B29585" t="inlineStr">
        <is>
          <t>x̄x̄Mx̄DLXXXIV</t>
        </is>
      </c>
      <c r="C29585">
        <f>ROMAN(29584)</f>
        <v/>
      </c>
      <c r="D29585">
        <f>IF(B29585=C29585, "YES", "WRONG")</f>
        <v/>
      </c>
    </row>
    <row r="29586">
      <c r="A29586" t="n">
        <v>29585</v>
      </c>
      <c r="B29586" t="inlineStr">
        <is>
          <t>x̄x̄Mx̄DLXXXV</t>
        </is>
      </c>
      <c r="C29586">
        <f>ROMAN(29585)</f>
        <v/>
      </c>
      <c r="D29586">
        <f>IF(B29586=C29586, "YES", "WRONG")</f>
        <v/>
      </c>
    </row>
    <row r="29587">
      <c r="A29587" t="n">
        <v>29586</v>
      </c>
      <c r="B29587" t="inlineStr">
        <is>
          <t>x̄x̄Mx̄DLXXXVI</t>
        </is>
      </c>
      <c r="C29587">
        <f>ROMAN(29586)</f>
        <v/>
      </c>
      <c r="D29587">
        <f>IF(B29587=C29587, "YES", "WRONG")</f>
        <v/>
      </c>
    </row>
    <row r="29588">
      <c r="A29588" t="n">
        <v>29587</v>
      </c>
      <c r="B29588" t="inlineStr">
        <is>
          <t>x̄x̄Mx̄DLXXXVII</t>
        </is>
      </c>
      <c r="C29588">
        <f>ROMAN(29587)</f>
        <v/>
      </c>
      <c r="D29588">
        <f>IF(B29588=C29588, "YES", "WRONG")</f>
        <v/>
      </c>
    </row>
    <row r="29589">
      <c r="A29589" t="n">
        <v>29588</v>
      </c>
      <c r="B29589" t="inlineStr">
        <is>
          <t>x̄x̄Mx̄DLXXXVIII</t>
        </is>
      </c>
      <c r="C29589">
        <f>ROMAN(29588)</f>
        <v/>
      </c>
      <c r="D29589">
        <f>IF(B29589=C29589, "YES", "WRONG")</f>
        <v/>
      </c>
    </row>
    <row r="29590">
      <c r="A29590" t="n">
        <v>29589</v>
      </c>
      <c r="B29590" t="inlineStr">
        <is>
          <t>x̄x̄Mx̄DLXXXIX</t>
        </is>
      </c>
      <c r="C29590">
        <f>ROMAN(29589)</f>
        <v/>
      </c>
      <c r="D29590">
        <f>IF(B29590=C29590, "YES", "WRONG")</f>
        <v/>
      </c>
    </row>
    <row r="29591">
      <c r="A29591" t="n">
        <v>29590</v>
      </c>
      <c r="B29591" t="inlineStr">
        <is>
          <t>x̄x̄Mx̄DXC</t>
        </is>
      </c>
      <c r="C29591">
        <f>ROMAN(29590)</f>
        <v/>
      </c>
      <c r="D29591">
        <f>IF(B29591=C29591, "YES", "WRONG")</f>
        <v/>
      </c>
    </row>
    <row r="29592">
      <c r="A29592" t="n">
        <v>29591</v>
      </c>
      <c r="B29592" t="inlineStr">
        <is>
          <t>x̄x̄Mx̄DXCI</t>
        </is>
      </c>
      <c r="C29592">
        <f>ROMAN(29591)</f>
        <v/>
      </c>
      <c r="D29592">
        <f>IF(B29592=C29592, "YES", "WRONG")</f>
        <v/>
      </c>
    </row>
    <row r="29593">
      <c r="A29593" t="n">
        <v>29592</v>
      </c>
      <c r="B29593" t="inlineStr">
        <is>
          <t>x̄x̄Mx̄DXCII</t>
        </is>
      </c>
      <c r="C29593">
        <f>ROMAN(29592)</f>
        <v/>
      </c>
      <c r="D29593">
        <f>IF(B29593=C29593, "YES", "WRONG")</f>
        <v/>
      </c>
    </row>
    <row r="29594">
      <c r="A29594" t="n">
        <v>29593</v>
      </c>
      <c r="B29594" t="inlineStr">
        <is>
          <t>x̄x̄Mx̄DXCIII</t>
        </is>
      </c>
      <c r="C29594">
        <f>ROMAN(29593)</f>
        <v/>
      </c>
      <c r="D29594">
        <f>IF(B29594=C29594, "YES", "WRONG")</f>
        <v/>
      </c>
    </row>
    <row r="29595">
      <c r="A29595" t="n">
        <v>29594</v>
      </c>
      <c r="B29595" t="inlineStr">
        <is>
          <t>x̄x̄Mx̄DXCIV</t>
        </is>
      </c>
      <c r="C29595">
        <f>ROMAN(29594)</f>
        <v/>
      </c>
      <c r="D29595">
        <f>IF(B29595=C29595, "YES", "WRONG")</f>
        <v/>
      </c>
    </row>
    <row r="29596">
      <c r="A29596" t="n">
        <v>29595</v>
      </c>
      <c r="B29596" t="inlineStr">
        <is>
          <t>x̄x̄Mx̄DXCV</t>
        </is>
      </c>
      <c r="C29596">
        <f>ROMAN(29595)</f>
        <v/>
      </c>
      <c r="D29596">
        <f>IF(B29596=C29596, "YES", "WRONG")</f>
        <v/>
      </c>
    </row>
    <row r="29597">
      <c r="A29597" t="n">
        <v>29596</v>
      </c>
      <c r="B29597" t="inlineStr">
        <is>
          <t>x̄x̄Mx̄DXCVI</t>
        </is>
      </c>
      <c r="C29597">
        <f>ROMAN(29596)</f>
        <v/>
      </c>
      <c r="D29597">
        <f>IF(B29597=C29597, "YES", "WRONG")</f>
        <v/>
      </c>
    </row>
    <row r="29598">
      <c r="A29598" t="n">
        <v>29597</v>
      </c>
      <c r="B29598" t="inlineStr">
        <is>
          <t>x̄x̄Mx̄DXCVII</t>
        </is>
      </c>
      <c r="C29598">
        <f>ROMAN(29597)</f>
        <v/>
      </c>
      <c r="D29598">
        <f>IF(B29598=C29598, "YES", "WRONG")</f>
        <v/>
      </c>
    </row>
    <row r="29599">
      <c r="A29599" t="n">
        <v>29598</v>
      </c>
      <c r="B29599" t="inlineStr">
        <is>
          <t>x̄x̄Mx̄DXCVIII</t>
        </is>
      </c>
      <c r="C29599">
        <f>ROMAN(29598)</f>
        <v/>
      </c>
      <c r="D29599">
        <f>IF(B29599=C29599, "YES", "WRONG")</f>
        <v/>
      </c>
    </row>
    <row r="29600">
      <c r="A29600" t="n">
        <v>29599</v>
      </c>
      <c r="B29600" t="inlineStr">
        <is>
          <t>x̄x̄Mx̄DXCIX</t>
        </is>
      </c>
      <c r="C29600">
        <f>ROMAN(29599)</f>
        <v/>
      </c>
      <c r="D29600">
        <f>IF(B29600=C29600, "YES", "WRONG")</f>
        <v/>
      </c>
    </row>
    <row r="29601">
      <c r="A29601" t="n">
        <v>29600</v>
      </c>
      <c r="B29601" t="inlineStr">
        <is>
          <t>x̄x̄Mx̄DC</t>
        </is>
      </c>
      <c r="C29601">
        <f>ROMAN(29600)</f>
        <v/>
      </c>
      <c r="D29601">
        <f>IF(B29601=C29601, "YES", "WRONG")</f>
        <v/>
      </c>
    </row>
    <row r="29602">
      <c r="A29602" t="n">
        <v>29601</v>
      </c>
      <c r="B29602" t="inlineStr">
        <is>
          <t>x̄x̄Mx̄DCI</t>
        </is>
      </c>
      <c r="C29602">
        <f>ROMAN(29601)</f>
        <v/>
      </c>
      <c r="D29602">
        <f>IF(B29602=C29602, "YES", "WRONG")</f>
        <v/>
      </c>
    </row>
    <row r="29603">
      <c r="A29603" t="n">
        <v>29602</v>
      </c>
      <c r="B29603" t="inlineStr">
        <is>
          <t>x̄x̄Mx̄DCII</t>
        </is>
      </c>
      <c r="C29603">
        <f>ROMAN(29602)</f>
        <v/>
      </c>
      <c r="D29603">
        <f>IF(B29603=C29603, "YES", "WRONG")</f>
        <v/>
      </c>
    </row>
    <row r="29604">
      <c r="A29604" t="n">
        <v>29603</v>
      </c>
      <c r="B29604" t="inlineStr">
        <is>
          <t>x̄x̄Mx̄DCIII</t>
        </is>
      </c>
      <c r="C29604">
        <f>ROMAN(29603)</f>
        <v/>
      </c>
      <c r="D29604">
        <f>IF(B29604=C29604, "YES", "WRONG")</f>
        <v/>
      </c>
    </row>
    <row r="29605">
      <c r="A29605" t="n">
        <v>29604</v>
      </c>
      <c r="B29605" t="inlineStr">
        <is>
          <t>x̄x̄Mx̄DCIV</t>
        </is>
      </c>
      <c r="C29605">
        <f>ROMAN(29604)</f>
        <v/>
      </c>
      <c r="D29605">
        <f>IF(B29605=C29605, "YES", "WRONG")</f>
        <v/>
      </c>
    </row>
    <row r="29606">
      <c r="A29606" t="n">
        <v>29605</v>
      </c>
      <c r="B29606" t="inlineStr">
        <is>
          <t>x̄x̄Mx̄DCV</t>
        </is>
      </c>
      <c r="C29606">
        <f>ROMAN(29605)</f>
        <v/>
      </c>
      <c r="D29606">
        <f>IF(B29606=C29606, "YES", "WRONG")</f>
        <v/>
      </c>
    </row>
    <row r="29607">
      <c r="A29607" t="n">
        <v>29606</v>
      </c>
      <c r="B29607" t="inlineStr">
        <is>
          <t>x̄x̄Mx̄DCVI</t>
        </is>
      </c>
      <c r="C29607">
        <f>ROMAN(29606)</f>
        <v/>
      </c>
      <c r="D29607">
        <f>IF(B29607=C29607, "YES", "WRONG")</f>
        <v/>
      </c>
    </row>
    <row r="29608">
      <c r="A29608" t="n">
        <v>29607</v>
      </c>
      <c r="B29608" t="inlineStr">
        <is>
          <t>x̄x̄Mx̄DCVII</t>
        </is>
      </c>
      <c r="C29608">
        <f>ROMAN(29607)</f>
        <v/>
      </c>
      <c r="D29608">
        <f>IF(B29608=C29608, "YES", "WRONG")</f>
        <v/>
      </c>
    </row>
    <row r="29609">
      <c r="A29609" t="n">
        <v>29608</v>
      </c>
      <c r="B29609" t="inlineStr">
        <is>
          <t>x̄x̄Mx̄DCVIII</t>
        </is>
      </c>
      <c r="C29609">
        <f>ROMAN(29608)</f>
        <v/>
      </c>
      <c r="D29609">
        <f>IF(B29609=C29609, "YES", "WRONG")</f>
        <v/>
      </c>
    </row>
    <row r="29610">
      <c r="A29610" t="n">
        <v>29609</v>
      </c>
      <c r="B29610" t="inlineStr">
        <is>
          <t>x̄x̄Mx̄DCIX</t>
        </is>
      </c>
      <c r="C29610">
        <f>ROMAN(29609)</f>
        <v/>
      </c>
      <c r="D29610">
        <f>IF(B29610=C29610, "YES", "WRONG")</f>
        <v/>
      </c>
    </row>
    <row r="29611">
      <c r="A29611" t="n">
        <v>29610</v>
      </c>
      <c r="B29611" t="inlineStr">
        <is>
          <t>x̄x̄Mx̄DCX</t>
        </is>
      </c>
      <c r="C29611">
        <f>ROMAN(29610)</f>
        <v/>
      </c>
      <c r="D29611">
        <f>IF(B29611=C29611, "YES", "WRONG")</f>
        <v/>
      </c>
    </row>
    <row r="29612">
      <c r="A29612" t="n">
        <v>29611</v>
      </c>
      <c r="B29612" t="inlineStr">
        <is>
          <t>x̄x̄Mx̄DCXI</t>
        </is>
      </c>
      <c r="C29612">
        <f>ROMAN(29611)</f>
        <v/>
      </c>
      <c r="D29612">
        <f>IF(B29612=C29612, "YES", "WRONG")</f>
        <v/>
      </c>
    </row>
    <row r="29613">
      <c r="A29613" t="n">
        <v>29612</v>
      </c>
      <c r="B29613" t="inlineStr">
        <is>
          <t>x̄x̄Mx̄DCXII</t>
        </is>
      </c>
      <c r="C29613">
        <f>ROMAN(29612)</f>
        <v/>
      </c>
      <c r="D29613">
        <f>IF(B29613=C29613, "YES", "WRONG")</f>
        <v/>
      </c>
    </row>
    <row r="29614">
      <c r="A29614" t="n">
        <v>29613</v>
      </c>
      <c r="B29614" t="inlineStr">
        <is>
          <t>x̄x̄Mx̄DCXIII</t>
        </is>
      </c>
      <c r="C29614">
        <f>ROMAN(29613)</f>
        <v/>
      </c>
      <c r="D29614">
        <f>IF(B29614=C29614, "YES", "WRONG")</f>
        <v/>
      </c>
    </row>
    <row r="29615">
      <c r="A29615" t="n">
        <v>29614</v>
      </c>
      <c r="B29615" t="inlineStr">
        <is>
          <t>x̄x̄Mx̄DCXIV</t>
        </is>
      </c>
      <c r="C29615">
        <f>ROMAN(29614)</f>
        <v/>
      </c>
      <c r="D29615">
        <f>IF(B29615=C29615, "YES", "WRONG")</f>
        <v/>
      </c>
    </row>
    <row r="29616">
      <c r="A29616" t="n">
        <v>29615</v>
      </c>
      <c r="B29616" t="inlineStr">
        <is>
          <t>x̄x̄Mx̄DCXV</t>
        </is>
      </c>
      <c r="C29616">
        <f>ROMAN(29615)</f>
        <v/>
      </c>
      <c r="D29616">
        <f>IF(B29616=C29616, "YES", "WRONG")</f>
        <v/>
      </c>
    </row>
    <row r="29617">
      <c r="A29617" t="n">
        <v>29616</v>
      </c>
      <c r="B29617" t="inlineStr">
        <is>
          <t>x̄x̄Mx̄DCXVI</t>
        </is>
      </c>
      <c r="C29617">
        <f>ROMAN(29616)</f>
        <v/>
      </c>
      <c r="D29617">
        <f>IF(B29617=C29617, "YES", "WRONG")</f>
        <v/>
      </c>
    </row>
    <row r="29618">
      <c r="A29618" t="n">
        <v>29617</v>
      </c>
      <c r="B29618" t="inlineStr">
        <is>
          <t>x̄x̄Mx̄DCXVII</t>
        </is>
      </c>
      <c r="C29618">
        <f>ROMAN(29617)</f>
        <v/>
      </c>
      <c r="D29618">
        <f>IF(B29618=C29618, "YES", "WRONG")</f>
        <v/>
      </c>
    </row>
    <row r="29619">
      <c r="A29619" t="n">
        <v>29618</v>
      </c>
      <c r="B29619" t="inlineStr">
        <is>
          <t>x̄x̄Mx̄DCXVIII</t>
        </is>
      </c>
      <c r="C29619">
        <f>ROMAN(29618)</f>
        <v/>
      </c>
      <c r="D29619">
        <f>IF(B29619=C29619, "YES", "WRONG")</f>
        <v/>
      </c>
    </row>
    <row r="29620">
      <c r="A29620" t="n">
        <v>29619</v>
      </c>
      <c r="B29620" t="inlineStr">
        <is>
          <t>x̄x̄Mx̄DCXIX</t>
        </is>
      </c>
      <c r="C29620">
        <f>ROMAN(29619)</f>
        <v/>
      </c>
      <c r="D29620">
        <f>IF(B29620=C29620, "YES", "WRONG")</f>
        <v/>
      </c>
    </row>
    <row r="29621">
      <c r="A29621" t="n">
        <v>29620</v>
      </c>
      <c r="B29621" t="inlineStr">
        <is>
          <t>x̄x̄Mx̄DCXX</t>
        </is>
      </c>
      <c r="C29621">
        <f>ROMAN(29620)</f>
        <v/>
      </c>
      <c r="D29621">
        <f>IF(B29621=C29621, "YES", "WRONG")</f>
        <v/>
      </c>
    </row>
    <row r="29622">
      <c r="A29622" t="n">
        <v>29621</v>
      </c>
      <c r="B29622" t="inlineStr">
        <is>
          <t>x̄x̄Mx̄DCXXI</t>
        </is>
      </c>
      <c r="C29622">
        <f>ROMAN(29621)</f>
        <v/>
      </c>
      <c r="D29622">
        <f>IF(B29622=C29622, "YES", "WRONG")</f>
        <v/>
      </c>
    </row>
    <row r="29623">
      <c r="A29623" t="n">
        <v>29622</v>
      </c>
      <c r="B29623" t="inlineStr">
        <is>
          <t>x̄x̄Mx̄DCXXII</t>
        </is>
      </c>
      <c r="C29623">
        <f>ROMAN(29622)</f>
        <v/>
      </c>
      <c r="D29623">
        <f>IF(B29623=C29623, "YES", "WRONG")</f>
        <v/>
      </c>
    </row>
    <row r="29624">
      <c r="A29624" t="n">
        <v>29623</v>
      </c>
      <c r="B29624" t="inlineStr">
        <is>
          <t>x̄x̄Mx̄DCXXIII</t>
        </is>
      </c>
      <c r="C29624">
        <f>ROMAN(29623)</f>
        <v/>
      </c>
      <c r="D29624">
        <f>IF(B29624=C29624, "YES", "WRONG")</f>
        <v/>
      </c>
    </row>
    <row r="29625">
      <c r="A29625" t="n">
        <v>29624</v>
      </c>
      <c r="B29625" t="inlineStr">
        <is>
          <t>x̄x̄Mx̄DCXXIV</t>
        </is>
      </c>
      <c r="C29625">
        <f>ROMAN(29624)</f>
        <v/>
      </c>
      <c r="D29625">
        <f>IF(B29625=C29625, "YES", "WRONG")</f>
        <v/>
      </c>
    </row>
    <row r="29626">
      <c r="A29626" t="n">
        <v>29625</v>
      </c>
      <c r="B29626" t="inlineStr">
        <is>
          <t>x̄x̄Mx̄DCXXV</t>
        </is>
      </c>
      <c r="C29626">
        <f>ROMAN(29625)</f>
        <v/>
      </c>
      <c r="D29626">
        <f>IF(B29626=C29626, "YES", "WRONG")</f>
        <v/>
      </c>
    </row>
    <row r="29627">
      <c r="A29627" t="n">
        <v>29626</v>
      </c>
      <c r="B29627" t="inlineStr">
        <is>
          <t>x̄x̄Mx̄DCXXVI</t>
        </is>
      </c>
      <c r="C29627">
        <f>ROMAN(29626)</f>
        <v/>
      </c>
      <c r="D29627">
        <f>IF(B29627=C29627, "YES", "WRONG")</f>
        <v/>
      </c>
    </row>
    <row r="29628">
      <c r="A29628" t="n">
        <v>29627</v>
      </c>
      <c r="B29628" t="inlineStr">
        <is>
          <t>x̄x̄Mx̄DCXXVII</t>
        </is>
      </c>
      <c r="C29628">
        <f>ROMAN(29627)</f>
        <v/>
      </c>
      <c r="D29628">
        <f>IF(B29628=C29628, "YES", "WRONG")</f>
        <v/>
      </c>
    </row>
    <row r="29629">
      <c r="A29629" t="n">
        <v>29628</v>
      </c>
      <c r="B29629" t="inlineStr">
        <is>
          <t>x̄x̄Mx̄DCXXVIII</t>
        </is>
      </c>
      <c r="C29629">
        <f>ROMAN(29628)</f>
        <v/>
      </c>
      <c r="D29629">
        <f>IF(B29629=C29629, "YES", "WRONG")</f>
        <v/>
      </c>
    </row>
    <row r="29630">
      <c r="A29630" t="n">
        <v>29629</v>
      </c>
      <c r="B29630" t="inlineStr">
        <is>
          <t>x̄x̄Mx̄DCXXIX</t>
        </is>
      </c>
      <c r="C29630">
        <f>ROMAN(29629)</f>
        <v/>
      </c>
      <c r="D29630">
        <f>IF(B29630=C29630, "YES", "WRONG")</f>
        <v/>
      </c>
    </row>
    <row r="29631">
      <c r="A29631" t="n">
        <v>29630</v>
      </c>
      <c r="B29631" t="inlineStr">
        <is>
          <t>x̄x̄Mx̄DCXXX</t>
        </is>
      </c>
      <c r="C29631">
        <f>ROMAN(29630)</f>
        <v/>
      </c>
      <c r="D29631">
        <f>IF(B29631=C29631, "YES", "WRONG")</f>
        <v/>
      </c>
    </row>
    <row r="29632">
      <c r="A29632" t="n">
        <v>29631</v>
      </c>
      <c r="B29632" t="inlineStr">
        <is>
          <t>x̄x̄Mx̄DCXXXI</t>
        </is>
      </c>
      <c r="C29632">
        <f>ROMAN(29631)</f>
        <v/>
      </c>
      <c r="D29632">
        <f>IF(B29632=C29632, "YES", "WRONG")</f>
        <v/>
      </c>
    </row>
    <row r="29633">
      <c r="A29633" t="n">
        <v>29632</v>
      </c>
      <c r="B29633" t="inlineStr">
        <is>
          <t>x̄x̄Mx̄DCXXXII</t>
        </is>
      </c>
      <c r="C29633">
        <f>ROMAN(29632)</f>
        <v/>
      </c>
      <c r="D29633">
        <f>IF(B29633=C29633, "YES", "WRONG")</f>
        <v/>
      </c>
    </row>
    <row r="29634">
      <c r="A29634" t="n">
        <v>29633</v>
      </c>
      <c r="B29634" t="inlineStr">
        <is>
          <t>x̄x̄Mx̄DCXXXIII</t>
        </is>
      </c>
      <c r="C29634">
        <f>ROMAN(29633)</f>
        <v/>
      </c>
      <c r="D29634">
        <f>IF(B29634=C29634, "YES", "WRONG")</f>
        <v/>
      </c>
    </row>
    <row r="29635">
      <c r="A29635" t="n">
        <v>29634</v>
      </c>
      <c r="B29635" t="inlineStr">
        <is>
          <t>x̄x̄Mx̄DCXXXIV</t>
        </is>
      </c>
      <c r="C29635">
        <f>ROMAN(29634)</f>
        <v/>
      </c>
      <c r="D29635">
        <f>IF(B29635=C29635, "YES", "WRONG")</f>
        <v/>
      </c>
    </row>
    <row r="29636">
      <c r="A29636" t="n">
        <v>29635</v>
      </c>
      <c r="B29636" t="inlineStr">
        <is>
          <t>x̄x̄Mx̄DCXXXV</t>
        </is>
      </c>
      <c r="C29636">
        <f>ROMAN(29635)</f>
        <v/>
      </c>
      <c r="D29636">
        <f>IF(B29636=C29636, "YES", "WRONG")</f>
        <v/>
      </c>
    </row>
    <row r="29637">
      <c r="A29637" t="n">
        <v>29636</v>
      </c>
      <c r="B29637" t="inlineStr">
        <is>
          <t>x̄x̄Mx̄DCXXXVI</t>
        </is>
      </c>
      <c r="C29637">
        <f>ROMAN(29636)</f>
        <v/>
      </c>
      <c r="D29637">
        <f>IF(B29637=C29637, "YES", "WRONG")</f>
        <v/>
      </c>
    </row>
    <row r="29638">
      <c r="A29638" t="n">
        <v>29637</v>
      </c>
      <c r="B29638" t="inlineStr">
        <is>
          <t>x̄x̄Mx̄DCXXXVII</t>
        </is>
      </c>
      <c r="C29638">
        <f>ROMAN(29637)</f>
        <v/>
      </c>
      <c r="D29638">
        <f>IF(B29638=C29638, "YES", "WRONG")</f>
        <v/>
      </c>
    </row>
    <row r="29639">
      <c r="A29639" t="n">
        <v>29638</v>
      </c>
      <c r="B29639" t="inlineStr">
        <is>
          <t>x̄x̄Mx̄DCXXXVIII</t>
        </is>
      </c>
      <c r="C29639">
        <f>ROMAN(29638)</f>
        <v/>
      </c>
      <c r="D29639">
        <f>IF(B29639=C29639, "YES", "WRONG")</f>
        <v/>
      </c>
    </row>
    <row r="29640">
      <c r="A29640" t="n">
        <v>29639</v>
      </c>
      <c r="B29640" t="inlineStr">
        <is>
          <t>x̄x̄Mx̄DCXXXIX</t>
        </is>
      </c>
      <c r="C29640">
        <f>ROMAN(29639)</f>
        <v/>
      </c>
      <c r="D29640">
        <f>IF(B29640=C29640, "YES", "WRONG")</f>
        <v/>
      </c>
    </row>
    <row r="29641">
      <c r="A29641" t="n">
        <v>29640</v>
      </c>
      <c r="B29641" t="inlineStr">
        <is>
          <t>x̄x̄Mx̄DCXL</t>
        </is>
      </c>
      <c r="C29641">
        <f>ROMAN(29640)</f>
        <v/>
      </c>
      <c r="D29641">
        <f>IF(B29641=C29641, "YES", "WRONG")</f>
        <v/>
      </c>
    </row>
    <row r="29642">
      <c r="A29642" t="n">
        <v>29641</v>
      </c>
      <c r="B29642" t="inlineStr">
        <is>
          <t>x̄x̄Mx̄DCXLI</t>
        </is>
      </c>
      <c r="C29642">
        <f>ROMAN(29641)</f>
        <v/>
      </c>
      <c r="D29642">
        <f>IF(B29642=C29642, "YES", "WRONG")</f>
        <v/>
      </c>
    </row>
    <row r="29643">
      <c r="A29643" t="n">
        <v>29642</v>
      </c>
      <c r="B29643" t="inlineStr">
        <is>
          <t>x̄x̄Mx̄DCXLII</t>
        </is>
      </c>
      <c r="C29643">
        <f>ROMAN(29642)</f>
        <v/>
      </c>
      <c r="D29643">
        <f>IF(B29643=C29643, "YES", "WRONG")</f>
        <v/>
      </c>
    </row>
    <row r="29644">
      <c r="A29644" t="n">
        <v>29643</v>
      </c>
      <c r="B29644" t="inlineStr">
        <is>
          <t>x̄x̄Mx̄DCXLIII</t>
        </is>
      </c>
      <c r="C29644">
        <f>ROMAN(29643)</f>
        <v/>
      </c>
      <c r="D29644">
        <f>IF(B29644=C29644, "YES", "WRONG")</f>
        <v/>
      </c>
    </row>
    <row r="29645">
      <c r="A29645" t="n">
        <v>29644</v>
      </c>
      <c r="B29645" t="inlineStr">
        <is>
          <t>x̄x̄Mx̄DCXLIV</t>
        </is>
      </c>
      <c r="C29645">
        <f>ROMAN(29644)</f>
        <v/>
      </c>
      <c r="D29645">
        <f>IF(B29645=C29645, "YES", "WRONG")</f>
        <v/>
      </c>
    </row>
    <row r="29646">
      <c r="A29646" t="n">
        <v>29645</v>
      </c>
      <c r="B29646" t="inlineStr">
        <is>
          <t>x̄x̄Mx̄DCXLV</t>
        </is>
      </c>
      <c r="C29646">
        <f>ROMAN(29645)</f>
        <v/>
      </c>
      <c r="D29646">
        <f>IF(B29646=C29646, "YES", "WRONG")</f>
        <v/>
      </c>
    </row>
    <row r="29647">
      <c r="A29647" t="n">
        <v>29646</v>
      </c>
      <c r="B29647" t="inlineStr">
        <is>
          <t>x̄x̄Mx̄DCXLVI</t>
        </is>
      </c>
      <c r="C29647">
        <f>ROMAN(29646)</f>
        <v/>
      </c>
      <c r="D29647">
        <f>IF(B29647=C29647, "YES", "WRONG")</f>
        <v/>
      </c>
    </row>
    <row r="29648">
      <c r="A29648" t="n">
        <v>29647</v>
      </c>
      <c r="B29648" t="inlineStr">
        <is>
          <t>x̄x̄Mx̄DCXLVII</t>
        </is>
      </c>
      <c r="C29648">
        <f>ROMAN(29647)</f>
        <v/>
      </c>
      <c r="D29648">
        <f>IF(B29648=C29648, "YES", "WRONG")</f>
        <v/>
      </c>
    </row>
    <row r="29649">
      <c r="A29649" t="n">
        <v>29648</v>
      </c>
      <c r="B29649" t="inlineStr">
        <is>
          <t>x̄x̄Mx̄DCXLVIII</t>
        </is>
      </c>
      <c r="C29649">
        <f>ROMAN(29648)</f>
        <v/>
      </c>
      <c r="D29649">
        <f>IF(B29649=C29649, "YES", "WRONG")</f>
        <v/>
      </c>
    </row>
    <row r="29650">
      <c r="A29650" t="n">
        <v>29649</v>
      </c>
      <c r="B29650" t="inlineStr">
        <is>
          <t>x̄x̄Mx̄DCXLIX</t>
        </is>
      </c>
      <c r="C29650">
        <f>ROMAN(29649)</f>
        <v/>
      </c>
      <c r="D29650">
        <f>IF(B29650=C29650, "YES", "WRONG")</f>
        <v/>
      </c>
    </row>
    <row r="29651">
      <c r="A29651" t="n">
        <v>29650</v>
      </c>
      <c r="B29651" t="inlineStr">
        <is>
          <t>x̄x̄Mx̄DCL</t>
        </is>
      </c>
      <c r="C29651">
        <f>ROMAN(29650)</f>
        <v/>
      </c>
      <c r="D29651">
        <f>IF(B29651=C29651, "YES", "WRONG")</f>
        <v/>
      </c>
    </row>
    <row r="29652">
      <c r="A29652" t="n">
        <v>29651</v>
      </c>
      <c r="B29652" t="inlineStr">
        <is>
          <t>x̄x̄Mx̄DCLI</t>
        </is>
      </c>
      <c r="C29652">
        <f>ROMAN(29651)</f>
        <v/>
      </c>
      <c r="D29652">
        <f>IF(B29652=C29652, "YES", "WRONG")</f>
        <v/>
      </c>
    </row>
    <row r="29653">
      <c r="A29653" t="n">
        <v>29652</v>
      </c>
      <c r="B29653" t="inlineStr">
        <is>
          <t>x̄x̄Mx̄DCLII</t>
        </is>
      </c>
      <c r="C29653">
        <f>ROMAN(29652)</f>
        <v/>
      </c>
      <c r="D29653">
        <f>IF(B29653=C29653, "YES", "WRONG")</f>
        <v/>
      </c>
    </row>
    <row r="29654">
      <c r="A29654" t="n">
        <v>29653</v>
      </c>
      <c r="B29654" t="inlineStr">
        <is>
          <t>x̄x̄Mx̄DCLIII</t>
        </is>
      </c>
      <c r="C29654">
        <f>ROMAN(29653)</f>
        <v/>
      </c>
      <c r="D29654">
        <f>IF(B29654=C29654, "YES", "WRONG")</f>
        <v/>
      </c>
    </row>
    <row r="29655">
      <c r="A29655" t="n">
        <v>29654</v>
      </c>
      <c r="B29655" t="inlineStr">
        <is>
          <t>x̄x̄Mx̄DCLIV</t>
        </is>
      </c>
      <c r="C29655">
        <f>ROMAN(29654)</f>
        <v/>
      </c>
      <c r="D29655">
        <f>IF(B29655=C29655, "YES", "WRONG")</f>
        <v/>
      </c>
    </row>
    <row r="29656">
      <c r="A29656" t="n">
        <v>29655</v>
      </c>
      <c r="B29656" t="inlineStr">
        <is>
          <t>x̄x̄Mx̄DCLV</t>
        </is>
      </c>
      <c r="C29656">
        <f>ROMAN(29655)</f>
        <v/>
      </c>
      <c r="D29656">
        <f>IF(B29656=C29656, "YES", "WRONG")</f>
        <v/>
      </c>
    </row>
    <row r="29657">
      <c r="A29657" t="n">
        <v>29656</v>
      </c>
      <c r="B29657" t="inlineStr">
        <is>
          <t>x̄x̄Mx̄DCLVI</t>
        </is>
      </c>
      <c r="C29657">
        <f>ROMAN(29656)</f>
        <v/>
      </c>
      <c r="D29657">
        <f>IF(B29657=C29657, "YES", "WRONG")</f>
        <v/>
      </c>
    </row>
    <row r="29658">
      <c r="A29658" t="n">
        <v>29657</v>
      </c>
      <c r="B29658" t="inlineStr">
        <is>
          <t>x̄x̄Mx̄DCLVII</t>
        </is>
      </c>
      <c r="C29658">
        <f>ROMAN(29657)</f>
        <v/>
      </c>
      <c r="D29658">
        <f>IF(B29658=C29658, "YES", "WRONG")</f>
        <v/>
      </c>
    </row>
    <row r="29659">
      <c r="A29659" t="n">
        <v>29658</v>
      </c>
      <c r="B29659" t="inlineStr">
        <is>
          <t>x̄x̄Mx̄DCLVIII</t>
        </is>
      </c>
      <c r="C29659">
        <f>ROMAN(29658)</f>
        <v/>
      </c>
      <c r="D29659">
        <f>IF(B29659=C29659, "YES", "WRONG")</f>
        <v/>
      </c>
    </row>
    <row r="29660">
      <c r="A29660" t="n">
        <v>29659</v>
      </c>
      <c r="B29660" t="inlineStr">
        <is>
          <t>x̄x̄Mx̄DCLIX</t>
        </is>
      </c>
      <c r="C29660">
        <f>ROMAN(29659)</f>
        <v/>
      </c>
      <c r="D29660">
        <f>IF(B29660=C29660, "YES", "WRONG")</f>
        <v/>
      </c>
    </row>
    <row r="29661">
      <c r="A29661" t="n">
        <v>29660</v>
      </c>
      <c r="B29661" t="inlineStr">
        <is>
          <t>x̄x̄Mx̄DCLX</t>
        </is>
      </c>
      <c r="C29661">
        <f>ROMAN(29660)</f>
        <v/>
      </c>
      <c r="D29661">
        <f>IF(B29661=C29661, "YES", "WRONG")</f>
        <v/>
      </c>
    </row>
    <row r="29662">
      <c r="A29662" t="n">
        <v>29661</v>
      </c>
      <c r="B29662" t="inlineStr">
        <is>
          <t>x̄x̄Mx̄DCLXI</t>
        </is>
      </c>
      <c r="C29662">
        <f>ROMAN(29661)</f>
        <v/>
      </c>
      <c r="D29662">
        <f>IF(B29662=C29662, "YES", "WRONG")</f>
        <v/>
      </c>
    </row>
    <row r="29663">
      <c r="A29663" t="n">
        <v>29662</v>
      </c>
      <c r="B29663" t="inlineStr">
        <is>
          <t>x̄x̄Mx̄DCLXII</t>
        </is>
      </c>
      <c r="C29663">
        <f>ROMAN(29662)</f>
        <v/>
      </c>
      <c r="D29663">
        <f>IF(B29663=C29663, "YES", "WRONG")</f>
        <v/>
      </c>
    </row>
    <row r="29664">
      <c r="A29664" t="n">
        <v>29663</v>
      </c>
      <c r="B29664" t="inlineStr">
        <is>
          <t>x̄x̄Mx̄DCLXIII</t>
        </is>
      </c>
      <c r="C29664">
        <f>ROMAN(29663)</f>
        <v/>
      </c>
      <c r="D29664">
        <f>IF(B29664=C29664, "YES", "WRONG")</f>
        <v/>
      </c>
    </row>
    <row r="29665">
      <c r="A29665" t="n">
        <v>29664</v>
      </c>
      <c r="B29665" t="inlineStr">
        <is>
          <t>x̄x̄Mx̄DCLXIV</t>
        </is>
      </c>
      <c r="C29665">
        <f>ROMAN(29664)</f>
        <v/>
      </c>
      <c r="D29665">
        <f>IF(B29665=C29665, "YES", "WRONG")</f>
        <v/>
      </c>
    </row>
    <row r="29666">
      <c r="A29666" t="n">
        <v>29665</v>
      </c>
      <c r="B29666" t="inlineStr">
        <is>
          <t>x̄x̄Mx̄DCLXV</t>
        </is>
      </c>
      <c r="C29666">
        <f>ROMAN(29665)</f>
        <v/>
      </c>
      <c r="D29666">
        <f>IF(B29666=C29666, "YES", "WRONG")</f>
        <v/>
      </c>
    </row>
    <row r="29667">
      <c r="A29667" t="n">
        <v>29666</v>
      </c>
      <c r="B29667" t="inlineStr">
        <is>
          <t>x̄x̄Mx̄DCLXVI</t>
        </is>
      </c>
      <c r="C29667">
        <f>ROMAN(29666)</f>
        <v/>
      </c>
      <c r="D29667">
        <f>IF(B29667=C29667, "YES", "WRONG")</f>
        <v/>
      </c>
    </row>
    <row r="29668">
      <c r="A29668" t="n">
        <v>29667</v>
      </c>
      <c r="B29668" t="inlineStr">
        <is>
          <t>x̄x̄Mx̄DCLXVII</t>
        </is>
      </c>
      <c r="C29668">
        <f>ROMAN(29667)</f>
        <v/>
      </c>
      <c r="D29668">
        <f>IF(B29668=C29668, "YES", "WRONG")</f>
        <v/>
      </c>
    </row>
    <row r="29669">
      <c r="A29669" t="n">
        <v>29668</v>
      </c>
      <c r="B29669" t="inlineStr">
        <is>
          <t>x̄x̄Mx̄DCLXVIII</t>
        </is>
      </c>
      <c r="C29669">
        <f>ROMAN(29668)</f>
        <v/>
      </c>
      <c r="D29669">
        <f>IF(B29669=C29669, "YES", "WRONG")</f>
        <v/>
      </c>
    </row>
    <row r="29670">
      <c r="A29670" t="n">
        <v>29669</v>
      </c>
      <c r="B29670" t="inlineStr">
        <is>
          <t>x̄x̄Mx̄DCLXIX</t>
        </is>
      </c>
      <c r="C29670">
        <f>ROMAN(29669)</f>
        <v/>
      </c>
      <c r="D29670">
        <f>IF(B29670=C29670, "YES", "WRONG")</f>
        <v/>
      </c>
    </row>
    <row r="29671">
      <c r="A29671" t="n">
        <v>29670</v>
      </c>
      <c r="B29671" t="inlineStr">
        <is>
          <t>x̄x̄Mx̄DCLXX</t>
        </is>
      </c>
      <c r="C29671">
        <f>ROMAN(29670)</f>
        <v/>
      </c>
      <c r="D29671">
        <f>IF(B29671=C29671, "YES", "WRONG")</f>
        <v/>
      </c>
    </row>
    <row r="29672">
      <c r="A29672" t="n">
        <v>29671</v>
      </c>
      <c r="B29672" t="inlineStr">
        <is>
          <t>x̄x̄Mx̄DCLXXI</t>
        </is>
      </c>
      <c r="C29672">
        <f>ROMAN(29671)</f>
        <v/>
      </c>
      <c r="D29672">
        <f>IF(B29672=C29672, "YES", "WRONG")</f>
        <v/>
      </c>
    </row>
    <row r="29673">
      <c r="A29673" t="n">
        <v>29672</v>
      </c>
      <c r="B29673" t="inlineStr">
        <is>
          <t>x̄x̄Mx̄DCLXXII</t>
        </is>
      </c>
      <c r="C29673">
        <f>ROMAN(29672)</f>
        <v/>
      </c>
      <c r="D29673">
        <f>IF(B29673=C29673, "YES", "WRONG")</f>
        <v/>
      </c>
    </row>
    <row r="29674">
      <c r="A29674" t="n">
        <v>29673</v>
      </c>
      <c r="B29674" t="inlineStr">
        <is>
          <t>x̄x̄Mx̄DCLXXIII</t>
        </is>
      </c>
      <c r="C29674">
        <f>ROMAN(29673)</f>
        <v/>
      </c>
      <c r="D29674">
        <f>IF(B29674=C29674, "YES", "WRONG")</f>
        <v/>
      </c>
    </row>
    <row r="29675">
      <c r="A29675" t="n">
        <v>29674</v>
      </c>
      <c r="B29675" t="inlineStr">
        <is>
          <t>x̄x̄Mx̄DCLXXIV</t>
        </is>
      </c>
      <c r="C29675">
        <f>ROMAN(29674)</f>
        <v/>
      </c>
      <c r="D29675">
        <f>IF(B29675=C29675, "YES", "WRONG")</f>
        <v/>
      </c>
    </row>
    <row r="29676">
      <c r="A29676" t="n">
        <v>29675</v>
      </c>
      <c r="B29676" t="inlineStr">
        <is>
          <t>x̄x̄Mx̄DCLXXV</t>
        </is>
      </c>
      <c r="C29676">
        <f>ROMAN(29675)</f>
        <v/>
      </c>
      <c r="D29676">
        <f>IF(B29676=C29676, "YES", "WRONG")</f>
        <v/>
      </c>
    </row>
    <row r="29677">
      <c r="A29677" t="n">
        <v>29676</v>
      </c>
      <c r="B29677" t="inlineStr">
        <is>
          <t>x̄x̄Mx̄DCLXXVI</t>
        </is>
      </c>
      <c r="C29677">
        <f>ROMAN(29676)</f>
        <v/>
      </c>
      <c r="D29677">
        <f>IF(B29677=C29677, "YES", "WRONG")</f>
        <v/>
      </c>
    </row>
    <row r="29678">
      <c r="A29678" t="n">
        <v>29677</v>
      </c>
      <c r="B29678" t="inlineStr">
        <is>
          <t>x̄x̄Mx̄DCLXXVII</t>
        </is>
      </c>
      <c r="C29678">
        <f>ROMAN(29677)</f>
        <v/>
      </c>
      <c r="D29678">
        <f>IF(B29678=C29678, "YES", "WRONG")</f>
        <v/>
      </c>
    </row>
    <row r="29679">
      <c r="A29679" t="n">
        <v>29678</v>
      </c>
      <c r="B29679" t="inlineStr">
        <is>
          <t>x̄x̄Mx̄DCLXXVIII</t>
        </is>
      </c>
      <c r="C29679">
        <f>ROMAN(29678)</f>
        <v/>
      </c>
      <c r="D29679">
        <f>IF(B29679=C29679, "YES", "WRONG")</f>
        <v/>
      </c>
    </row>
    <row r="29680">
      <c r="A29680" t="n">
        <v>29679</v>
      </c>
      <c r="B29680" t="inlineStr">
        <is>
          <t>x̄x̄Mx̄DCLXXIX</t>
        </is>
      </c>
      <c r="C29680">
        <f>ROMAN(29679)</f>
        <v/>
      </c>
      <c r="D29680">
        <f>IF(B29680=C29680, "YES", "WRONG")</f>
        <v/>
      </c>
    </row>
    <row r="29681">
      <c r="A29681" t="n">
        <v>29680</v>
      </c>
      <c r="B29681" t="inlineStr">
        <is>
          <t>x̄x̄Mx̄DCLXXX</t>
        </is>
      </c>
      <c r="C29681">
        <f>ROMAN(29680)</f>
        <v/>
      </c>
      <c r="D29681">
        <f>IF(B29681=C29681, "YES", "WRONG")</f>
        <v/>
      </c>
    </row>
    <row r="29682">
      <c r="A29682" t="n">
        <v>29681</v>
      </c>
      <c r="B29682" t="inlineStr">
        <is>
          <t>x̄x̄Mx̄DCLXXXI</t>
        </is>
      </c>
      <c r="C29682">
        <f>ROMAN(29681)</f>
        <v/>
      </c>
      <c r="D29682">
        <f>IF(B29682=C29682, "YES", "WRONG")</f>
        <v/>
      </c>
    </row>
    <row r="29683">
      <c r="A29683" t="n">
        <v>29682</v>
      </c>
      <c r="B29683" t="inlineStr">
        <is>
          <t>x̄x̄Mx̄DCLXXXII</t>
        </is>
      </c>
      <c r="C29683">
        <f>ROMAN(29682)</f>
        <v/>
      </c>
      <c r="D29683">
        <f>IF(B29683=C29683, "YES", "WRONG")</f>
        <v/>
      </c>
    </row>
    <row r="29684">
      <c r="A29684" t="n">
        <v>29683</v>
      </c>
      <c r="B29684" t="inlineStr">
        <is>
          <t>x̄x̄Mx̄DCLXXXIII</t>
        </is>
      </c>
      <c r="C29684">
        <f>ROMAN(29683)</f>
        <v/>
      </c>
      <c r="D29684">
        <f>IF(B29684=C29684, "YES", "WRONG")</f>
        <v/>
      </c>
    </row>
    <row r="29685">
      <c r="A29685" t="n">
        <v>29684</v>
      </c>
      <c r="B29685" t="inlineStr">
        <is>
          <t>x̄x̄Mx̄DCLXXXIV</t>
        </is>
      </c>
      <c r="C29685">
        <f>ROMAN(29684)</f>
        <v/>
      </c>
      <c r="D29685">
        <f>IF(B29685=C29685, "YES", "WRONG")</f>
        <v/>
      </c>
    </row>
    <row r="29686">
      <c r="A29686" t="n">
        <v>29685</v>
      </c>
      <c r="B29686" t="inlineStr">
        <is>
          <t>x̄x̄Mx̄DCLXXXV</t>
        </is>
      </c>
      <c r="C29686">
        <f>ROMAN(29685)</f>
        <v/>
      </c>
      <c r="D29686">
        <f>IF(B29686=C29686, "YES", "WRONG")</f>
        <v/>
      </c>
    </row>
    <row r="29687">
      <c r="A29687" t="n">
        <v>29686</v>
      </c>
      <c r="B29687" t="inlineStr">
        <is>
          <t>x̄x̄Mx̄DCLXXXVI</t>
        </is>
      </c>
      <c r="C29687">
        <f>ROMAN(29686)</f>
        <v/>
      </c>
      <c r="D29687">
        <f>IF(B29687=C29687, "YES", "WRONG")</f>
        <v/>
      </c>
    </row>
    <row r="29688">
      <c r="A29688" t="n">
        <v>29687</v>
      </c>
      <c r="B29688" t="inlineStr">
        <is>
          <t>x̄x̄Mx̄DCLXXXVII</t>
        </is>
      </c>
      <c r="C29688">
        <f>ROMAN(29687)</f>
        <v/>
      </c>
      <c r="D29688">
        <f>IF(B29688=C29688, "YES", "WRONG")</f>
        <v/>
      </c>
    </row>
    <row r="29689">
      <c r="A29689" t="n">
        <v>29688</v>
      </c>
      <c r="B29689" t="inlineStr">
        <is>
          <t>x̄x̄Mx̄DCLXXXVIII</t>
        </is>
      </c>
      <c r="C29689">
        <f>ROMAN(29688)</f>
        <v/>
      </c>
      <c r="D29689">
        <f>IF(B29689=C29689, "YES", "WRONG")</f>
        <v/>
      </c>
    </row>
    <row r="29690">
      <c r="A29690" t="n">
        <v>29689</v>
      </c>
      <c r="B29690" t="inlineStr">
        <is>
          <t>x̄x̄Mx̄DCLXXXIX</t>
        </is>
      </c>
      <c r="C29690">
        <f>ROMAN(29689)</f>
        <v/>
      </c>
      <c r="D29690">
        <f>IF(B29690=C29690, "YES", "WRONG")</f>
        <v/>
      </c>
    </row>
    <row r="29691">
      <c r="A29691" t="n">
        <v>29690</v>
      </c>
      <c r="B29691" t="inlineStr">
        <is>
          <t>x̄x̄Mx̄DCXC</t>
        </is>
      </c>
      <c r="C29691">
        <f>ROMAN(29690)</f>
        <v/>
      </c>
      <c r="D29691">
        <f>IF(B29691=C29691, "YES", "WRONG")</f>
        <v/>
      </c>
    </row>
    <row r="29692">
      <c r="A29692" t="n">
        <v>29691</v>
      </c>
      <c r="B29692" t="inlineStr">
        <is>
          <t>x̄x̄Mx̄DCXCI</t>
        </is>
      </c>
      <c r="C29692">
        <f>ROMAN(29691)</f>
        <v/>
      </c>
      <c r="D29692">
        <f>IF(B29692=C29692, "YES", "WRONG")</f>
        <v/>
      </c>
    </row>
    <row r="29693">
      <c r="A29693" t="n">
        <v>29692</v>
      </c>
      <c r="B29693" t="inlineStr">
        <is>
          <t>x̄x̄Mx̄DCXCII</t>
        </is>
      </c>
      <c r="C29693">
        <f>ROMAN(29692)</f>
        <v/>
      </c>
      <c r="D29693">
        <f>IF(B29693=C29693, "YES", "WRONG")</f>
        <v/>
      </c>
    </row>
    <row r="29694">
      <c r="A29694" t="n">
        <v>29693</v>
      </c>
      <c r="B29694" t="inlineStr">
        <is>
          <t>x̄x̄Mx̄DCXCIII</t>
        </is>
      </c>
      <c r="C29694">
        <f>ROMAN(29693)</f>
        <v/>
      </c>
      <c r="D29694">
        <f>IF(B29694=C29694, "YES", "WRONG")</f>
        <v/>
      </c>
    </row>
    <row r="29695">
      <c r="A29695" t="n">
        <v>29694</v>
      </c>
      <c r="B29695" t="inlineStr">
        <is>
          <t>x̄x̄Mx̄DCXCIV</t>
        </is>
      </c>
      <c r="C29695">
        <f>ROMAN(29694)</f>
        <v/>
      </c>
      <c r="D29695">
        <f>IF(B29695=C29695, "YES", "WRONG")</f>
        <v/>
      </c>
    </row>
    <row r="29696">
      <c r="A29696" t="n">
        <v>29695</v>
      </c>
      <c r="B29696" t="inlineStr">
        <is>
          <t>x̄x̄Mx̄DCXCV</t>
        </is>
      </c>
      <c r="C29696">
        <f>ROMAN(29695)</f>
        <v/>
      </c>
      <c r="D29696">
        <f>IF(B29696=C29696, "YES", "WRONG")</f>
        <v/>
      </c>
    </row>
    <row r="29697">
      <c r="A29697" t="n">
        <v>29696</v>
      </c>
      <c r="B29697" t="inlineStr">
        <is>
          <t>x̄x̄Mx̄DCXCVI</t>
        </is>
      </c>
      <c r="C29697">
        <f>ROMAN(29696)</f>
        <v/>
      </c>
      <c r="D29697">
        <f>IF(B29697=C29697, "YES", "WRONG")</f>
        <v/>
      </c>
    </row>
    <row r="29698">
      <c r="A29698" t="n">
        <v>29697</v>
      </c>
      <c r="B29698" t="inlineStr">
        <is>
          <t>x̄x̄Mx̄DCXCVII</t>
        </is>
      </c>
      <c r="C29698">
        <f>ROMAN(29697)</f>
        <v/>
      </c>
      <c r="D29698">
        <f>IF(B29698=C29698, "YES", "WRONG")</f>
        <v/>
      </c>
    </row>
    <row r="29699">
      <c r="A29699" t="n">
        <v>29698</v>
      </c>
      <c r="B29699" t="inlineStr">
        <is>
          <t>x̄x̄Mx̄DCXCVIII</t>
        </is>
      </c>
      <c r="C29699">
        <f>ROMAN(29698)</f>
        <v/>
      </c>
      <c r="D29699">
        <f>IF(B29699=C29699, "YES", "WRONG")</f>
        <v/>
      </c>
    </row>
    <row r="29700">
      <c r="A29700" t="n">
        <v>29699</v>
      </c>
      <c r="B29700" t="inlineStr">
        <is>
          <t>x̄x̄Mx̄DCXCIX</t>
        </is>
      </c>
      <c r="C29700">
        <f>ROMAN(29699)</f>
        <v/>
      </c>
      <c r="D29700">
        <f>IF(B29700=C29700, "YES", "WRONG")</f>
        <v/>
      </c>
    </row>
    <row r="29701">
      <c r="A29701" t="n">
        <v>29700</v>
      </c>
      <c r="B29701" t="inlineStr">
        <is>
          <t>x̄x̄Mx̄DCC</t>
        </is>
      </c>
      <c r="C29701">
        <f>ROMAN(29700)</f>
        <v/>
      </c>
      <c r="D29701">
        <f>IF(B29701=C29701, "YES", "WRONG")</f>
        <v/>
      </c>
    </row>
    <row r="29702">
      <c r="A29702" t="n">
        <v>29701</v>
      </c>
      <c r="B29702" t="inlineStr">
        <is>
          <t>x̄x̄Mx̄DCCI</t>
        </is>
      </c>
      <c r="C29702">
        <f>ROMAN(29701)</f>
        <v/>
      </c>
      <c r="D29702">
        <f>IF(B29702=C29702, "YES", "WRONG")</f>
        <v/>
      </c>
    </row>
    <row r="29703">
      <c r="A29703" t="n">
        <v>29702</v>
      </c>
      <c r="B29703" t="inlineStr">
        <is>
          <t>x̄x̄Mx̄DCCII</t>
        </is>
      </c>
      <c r="C29703">
        <f>ROMAN(29702)</f>
        <v/>
      </c>
      <c r="D29703">
        <f>IF(B29703=C29703, "YES", "WRONG")</f>
        <v/>
      </c>
    </row>
    <row r="29704">
      <c r="A29704" t="n">
        <v>29703</v>
      </c>
      <c r="B29704" t="inlineStr">
        <is>
          <t>x̄x̄Mx̄DCCIII</t>
        </is>
      </c>
      <c r="C29704">
        <f>ROMAN(29703)</f>
        <v/>
      </c>
      <c r="D29704">
        <f>IF(B29704=C29704, "YES", "WRONG")</f>
        <v/>
      </c>
    </row>
    <row r="29705">
      <c r="A29705" t="n">
        <v>29704</v>
      </c>
      <c r="B29705" t="inlineStr">
        <is>
          <t>x̄x̄Mx̄DCCIV</t>
        </is>
      </c>
      <c r="C29705">
        <f>ROMAN(29704)</f>
        <v/>
      </c>
      <c r="D29705">
        <f>IF(B29705=C29705, "YES", "WRONG")</f>
        <v/>
      </c>
    </row>
    <row r="29706">
      <c r="A29706" t="n">
        <v>29705</v>
      </c>
      <c r="B29706" t="inlineStr">
        <is>
          <t>x̄x̄Mx̄DCCV</t>
        </is>
      </c>
      <c r="C29706">
        <f>ROMAN(29705)</f>
        <v/>
      </c>
      <c r="D29706">
        <f>IF(B29706=C29706, "YES", "WRONG")</f>
        <v/>
      </c>
    </row>
    <row r="29707">
      <c r="A29707" t="n">
        <v>29706</v>
      </c>
      <c r="B29707" t="inlineStr">
        <is>
          <t>x̄x̄Mx̄DCCVI</t>
        </is>
      </c>
      <c r="C29707">
        <f>ROMAN(29706)</f>
        <v/>
      </c>
      <c r="D29707">
        <f>IF(B29707=C29707, "YES", "WRONG")</f>
        <v/>
      </c>
    </row>
    <row r="29708">
      <c r="A29708" t="n">
        <v>29707</v>
      </c>
      <c r="B29708" t="inlineStr">
        <is>
          <t>x̄x̄Mx̄DCCVII</t>
        </is>
      </c>
      <c r="C29708">
        <f>ROMAN(29707)</f>
        <v/>
      </c>
      <c r="D29708">
        <f>IF(B29708=C29708, "YES", "WRONG")</f>
        <v/>
      </c>
    </row>
    <row r="29709">
      <c r="A29709" t="n">
        <v>29708</v>
      </c>
      <c r="B29709" t="inlineStr">
        <is>
          <t>x̄x̄Mx̄DCCVIII</t>
        </is>
      </c>
      <c r="C29709">
        <f>ROMAN(29708)</f>
        <v/>
      </c>
      <c r="D29709">
        <f>IF(B29709=C29709, "YES", "WRONG")</f>
        <v/>
      </c>
    </row>
    <row r="29710">
      <c r="A29710" t="n">
        <v>29709</v>
      </c>
      <c r="B29710" t="inlineStr">
        <is>
          <t>x̄x̄Mx̄DCCIX</t>
        </is>
      </c>
      <c r="C29710">
        <f>ROMAN(29709)</f>
        <v/>
      </c>
      <c r="D29710">
        <f>IF(B29710=C29710, "YES", "WRONG")</f>
        <v/>
      </c>
    </row>
    <row r="29711">
      <c r="A29711" t="n">
        <v>29710</v>
      </c>
      <c r="B29711" t="inlineStr">
        <is>
          <t>x̄x̄Mx̄DCCX</t>
        </is>
      </c>
      <c r="C29711">
        <f>ROMAN(29710)</f>
        <v/>
      </c>
      <c r="D29711">
        <f>IF(B29711=C29711, "YES", "WRONG")</f>
        <v/>
      </c>
    </row>
    <row r="29712">
      <c r="A29712" t="n">
        <v>29711</v>
      </c>
      <c r="B29712" t="inlineStr">
        <is>
          <t>x̄x̄Mx̄DCCXI</t>
        </is>
      </c>
      <c r="C29712">
        <f>ROMAN(29711)</f>
        <v/>
      </c>
      <c r="D29712">
        <f>IF(B29712=C29712, "YES", "WRONG")</f>
        <v/>
      </c>
    </row>
    <row r="29713">
      <c r="A29713" t="n">
        <v>29712</v>
      </c>
      <c r="B29713" t="inlineStr">
        <is>
          <t>x̄x̄Mx̄DCCXII</t>
        </is>
      </c>
      <c r="C29713">
        <f>ROMAN(29712)</f>
        <v/>
      </c>
      <c r="D29713">
        <f>IF(B29713=C29713, "YES", "WRONG")</f>
        <v/>
      </c>
    </row>
    <row r="29714">
      <c r="A29714" t="n">
        <v>29713</v>
      </c>
      <c r="B29714" t="inlineStr">
        <is>
          <t>x̄x̄Mx̄DCCXIII</t>
        </is>
      </c>
      <c r="C29714">
        <f>ROMAN(29713)</f>
        <v/>
      </c>
      <c r="D29714">
        <f>IF(B29714=C29714, "YES", "WRONG")</f>
        <v/>
      </c>
    </row>
    <row r="29715">
      <c r="A29715" t="n">
        <v>29714</v>
      </c>
      <c r="B29715" t="inlineStr">
        <is>
          <t>x̄x̄Mx̄DCCXIV</t>
        </is>
      </c>
      <c r="C29715">
        <f>ROMAN(29714)</f>
        <v/>
      </c>
      <c r="D29715">
        <f>IF(B29715=C29715, "YES", "WRONG")</f>
        <v/>
      </c>
    </row>
    <row r="29716">
      <c r="A29716" t="n">
        <v>29715</v>
      </c>
      <c r="B29716" t="inlineStr">
        <is>
          <t>x̄x̄Mx̄DCCXV</t>
        </is>
      </c>
      <c r="C29716">
        <f>ROMAN(29715)</f>
        <v/>
      </c>
      <c r="D29716">
        <f>IF(B29716=C29716, "YES", "WRONG")</f>
        <v/>
      </c>
    </row>
    <row r="29717">
      <c r="A29717" t="n">
        <v>29716</v>
      </c>
      <c r="B29717" t="inlineStr">
        <is>
          <t>x̄x̄Mx̄DCCXVI</t>
        </is>
      </c>
      <c r="C29717">
        <f>ROMAN(29716)</f>
        <v/>
      </c>
      <c r="D29717">
        <f>IF(B29717=C29717, "YES", "WRONG")</f>
        <v/>
      </c>
    </row>
    <row r="29718">
      <c r="A29718" t="n">
        <v>29717</v>
      </c>
      <c r="B29718" t="inlineStr">
        <is>
          <t>x̄x̄Mx̄DCCXVII</t>
        </is>
      </c>
      <c r="C29718">
        <f>ROMAN(29717)</f>
        <v/>
      </c>
      <c r="D29718">
        <f>IF(B29718=C29718, "YES", "WRONG")</f>
        <v/>
      </c>
    </row>
    <row r="29719">
      <c r="A29719" t="n">
        <v>29718</v>
      </c>
      <c r="B29719" t="inlineStr">
        <is>
          <t>x̄x̄Mx̄DCCXVIII</t>
        </is>
      </c>
      <c r="C29719">
        <f>ROMAN(29718)</f>
        <v/>
      </c>
      <c r="D29719">
        <f>IF(B29719=C29719, "YES", "WRONG")</f>
        <v/>
      </c>
    </row>
    <row r="29720">
      <c r="A29720" t="n">
        <v>29719</v>
      </c>
      <c r="B29720" t="inlineStr">
        <is>
          <t>x̄x̄Mx̄DCCXIX</t>
        </is>
      </c>
      <c r="C29720">
        <f>ROMAN(29719)</f>
        <v/>
      </c>
      <c r="D29720">
        <f>IF(B29720=C29720, "YES", "WRONG")</f>
        <v/>
      </c>
    </row>
    <row r="29721">
      <c r="A29721" t="n">
        <v>29720</v>
      </c>
      <c r="B29721" t="inlineStr">
        <is>
          <t>x̄x̄Mx̄DCCXX</t>
        </is>
      </c>
      <c r="C29721">
        <f>ROMAN(29720)</f>
        <v/>
      </c>
      <c r="D29721">
        <f>IF(B29721=C29721, "YES", "WRONG")</f>
        <v/>
      </c>
    </row>
    <row r="29722">
      <c r="A29722" t="n">
        <v>29721</v>
      </c>
      <c r="B29722" t="inlineStr">
        <is>
          <t>x̄x̄Mx̄DCCXXI</t>
        </is>
      </c>
      <c r="C29722">
        <f>ROMAN(29721)</f>
        <v/>
      </c>
      <c r="D29722">
        <f>IF(B29722=C29722, "YES", "WRONG")</f>
        <v/>
      </c>
    </row>
    <row r="29723">
      <c r="A29723" t="n">
        <v>29722</v>
      </c>
      <c r="B29723" t="inlineStr">
        <is>
          <t>x̄x̄Mx̄DCCXXII</t>
        </is>
      </c>
      <c r="C29723">
        <f>ROMAN(29722)</f>
        <v/>
      </c>
      <c r="D29723">
        <f>IF(B29723=C29723, "YES", "WRONG")</f>
        <v/>
      </c>
    </row>
    <row r="29724">
      <c r="A29724" t="n">
        <v>29723</v>
      </c>
      <c r="B29724" t="inlineStr">
        <is>
          <t>x̄x̄Mx̄DCCXXIII</t>
        </is>
      </c>
      <c r="C29724">
        <f>ROMAN(29723)</f>
        <v/>
      </c>
      <c r="D29724">
        <f>IF(B29724=C29724, "YES", "WRONG")</f>
        <v/>
      </c>
    </row>
    <row r="29725">
      <c r="A29725" t="n">
        <v>29724</v>
      </c>
      <c r="B29725" t="inlineStr">
        <is>
          <t>x̄x̄Mx̄DCCXXIV</t>
        </is>
      </c>
      <c r="C29725">
        <f>ROMAN(29724)</f>
        <v/>
      </c>
      <c r="D29725">
        <f>IF(B29725=C29725, "YES", "WRONG")</f>
        <v/>
      </c>
    </row>
    <row r="29726">
      <c r="A29726" t="n">
        <v>29725</v>
      </c>
      <c r="B29726" t="inlineStr">
        <is>
          <t>x̄x̄Mx̄DCCXXV</t>
        </is>
      </c>
      <c r="C29726">
        <f>ROMAN(29725)</f>
        <v/>
      </c>
      <c r="D29726">
        <f>IF(B29726=C29726, "YES", "WRONG")</f>
        <v/>
      </c>
    </row>
    <row r="29727">
      <c r="A29727" t="n">
        <v>29726</v>
      </c>
      <c r="B29727" t="inlineStr">
        <is>
          <t>x̄x̄Mx̄DCCXXVI</t>
        </is>
      </c>
      <c r="C29727">
        <f>ROMAN(29726)</f>
        <v/>
      </c>
      <c r="D29727">
        <f>IF(B29727=C29727, "YES", "WRONG")</f>
        <v/>
      </c>
    </row>
    <row r="29728">
      <c r="A29728" t="n">
        <v>29727</v>
      </c>
      <c r="B29728" t="inlineStr">
        <is>
          <t>x̄x̄Mx̄DCCXXVII</t>
        </is>
      </c>
      <c r="C29728">
        <f>ROMAN(29727)</f>
        <v/>
      </c>
      <c r="D29728">
        <f>IF(B29728=C29728, "YES", "WRONG")</f>
        <v/>
      </c>
    </row>
    <row r="29729">
      <c r="A29729" t="n">
        <v>29728</v>
      </c>
      <c r="B29729" t="inlineStr">
        <is>
          <t>x̄x̄Mx̄DCCXXVIII</t>
        </is>
      </c>
      <c r="C29729">
        <f>ROMAN(29728)</f>
        <v/>
      </c>
      <c r="D29729">
        <f>IF(B29729=C29729, "YES", "WRONG")</f>
        <v/>
      </c>
    </row>
    <row r="29730">
      <c r="A29730" t="n">
        <v>29729</v>
      </c>
      <c r="B29730" t="inlineStr">
        <is>
          <t>x̄x̄Mx̄DCCXXIX</t>
        </is>
      </c>
      <c r="C29730">
        <f>ROMAN(29729)</f>
        <v/>
      </c>
      <c r="D29730">
        <f>IF(B29730=C29730, "YES", "WRONG")</f>
        <v/>
      </c>
    </row>
    <row r="29731">
      <c r="A29731" t="n">
        <v>29730</v>
      </c>
      <c r="B29731" t="inlineStr">
        <is>
          <t>x̄x̄Mx̄DCCXXX</t>
        </is>
      </c>
      <c r="C29731">
        <f>ROMAN(29730)</f>
        <v/>
      </c>
      <c r="D29731">
        <f>IF(B29731=C29731, "YES", "WRONG")</f>
        <v/>
      </c>
    </row>
    <row r="29732">
      <c r="A29732" t="n">
        <v>29731</v>
      </c>
      <c r="B29732" t="inlineStr">
        <is>
          <t>x̄x̄Mx̄DCCXXXI</t>
        </is>
      </c>
      <c r="C29732">
        <f>ROMAN(29731)</f>
        <v/>
      </c>
      <c r="D29732">
        <f>IF(B29732=C29732, "YES", "WRONG")</f>
        <v/>
      </c>
    </row>
    <row r="29733">
      <c r="A29733" t="n">
        <v>29732</v>
      </c>
      <c r="B29733" t="inlineStr">
        <is>
          <t>x̄x̄Mx̄DCCXXXII</t>
        </is>
      </c>
      <c r="C29733">
        <f>ROMAN(29732)</f>
        <v/>
      </c>
      <c r="D29733">
        <f>IF(B29733=C29733, "YES", "WRONG")</f>
        <v/>
      </c>
    </row>
    <row r="29734">
      <c r="A29734" t="n">
        <v>29733</v>
      </c>
      <c r="B29734" t="inlineStr">
        <is>
          <t>x̄x̄Mx̄DCCXXXIII</t>
        </is>
      </c>
      <c r="C29734">
        <f>ROMAN(29733)</f>
        <v/>
      </c>
      <c r="D29734">
        <f>IF(B29734=C29734, "YES", "WRONG")</f>
        <v/>
      </c>
    </row>
    <row r="29735">
      <c r="A29735" t="n">
        <v>29734</v>
      </c>
      <c r="B29735" t="inlineStr">
        <is>
          <t>x̄x̄Mx̄DCCXXXIV</t>
        </is>
      </c>
      <c r="C29735">
        <f>ROMAN(29734)</f>
        <v/>
      </c>
      <c r="D29735">
        <f>IF(B29735=C29735, "YES", "WRONG")</f>
        <v/>
      </c>
    </row>
    <row r="29736">
      <c r="A29736" t="n">
        <v>29735</v>
      </c>
      <c r="B29736" t="inlineStr">
        <is>
          <t>x̄x̄Mx̄DCCXXXV</t>
        </is>
      </c>
      <c r="C29736">
        <f>ROMAN(29735)</f>
        <v/>
      </c>
      <c r="D29736">
        <f>IF(B29736=C29736, "YES", "WRONG")</f>
        <v/>
      </c>
    </row>
    <row r="29737">
      <c r="A29737" t="n">
        <v>29736</v>
      </c>
      <c r="B29737" t="inlineStr">
        <is>
          <t>x̄x̄Mx̄DCCXXXVI</t>
        </is>
      </c>
      <c r="C29737">
        <f>ROMAN(29736)</f>
        <v/>
      </c>
      <c r="D29737">
        <f>IF(B29737=C29737, "YES", "WRONG")</f>
        <v/>
      </c>
    </row>
    <row r="29738">
      <c r="A29738" t="n">
        <v>29737</v>
      </c>
      <c r="B29738" t="inlineStr">
        <is>
          <t>x̄x̄Mx̄DCCXXXVII</t>
        </is>
      </c>
      <c r="C29738">
        <f>ROMAN(29737)</f>
        <v/>
      </c>
      <c r="D29738">
        <f>IF(B29738=C29738, "YES", "WRONG")</f>
        <v/>
      </c>
    </row>
    <row r="29739">
      <c r="A29739" t="n">
        <v>29738</v>
      </c>
      <c r="B29739" t="inlineStr">
        <is>
          <t>x̄x̄Mx̄DCCXXXVIII</t>
        </is>
      </c>
      <c r="C29739">
        <f>ROMAN(29738)</f>
        <v/>
      </c>
      <c r="D29739">
        <f>IF(B29739=C29739, "YES", "WRONG")</f>
        <v/>
      </c>
    </row>
    <row r="29740">
      <c r="A29740" t="n">
        <v>29739</v>
      </c>
      <c r="B29740" t="inlineStr">
        <is>
          <t>x̄x̄Mx̄DCCXXXIX</t>
        </is>
      </c>
      <c r="C29740">
        <f>ROMAN(29739)</f>
        <v/>
      </c>
      <c r="D29740">
        <f>IF(B29740=C29740, "YES", "WRONG")</f>
        <v/>
      </c>
    </row>
    <row r="29741">
      <c r="A29741" t="n">
        <v>29740</v>
      </c>
      <c r="B29741" t="inlineStr">
        <is>
          <t>x̄x̄Mx̄DCCXL</t>
        </is>
      </c>
      <c r="C29741">
        <f>ROMAN(29740)</f>
        <v/>
      </c>
      <c r="D29741">
        <f>IF(B29741=C29741, "YES", "WRONG")</f>
        <v/>
      </c>
    </row>
    <row r="29742">
      <c r="A29742" t="n">
        <v>29741</v>
      </c>
      <c r="B29742" t="inlineStr">
        <is>
          <t>x̄x̄Mx̄DCCXLI</t>
        </is>
      </c>
      <c r="C29742">
        <f>ROMAN(29741)</f>
        <v/>
      </c>
      <c r="D29742">
        <f>IF(B29742=C29742, "YES", "WRONG")</f>
        <v/>
      </c>
    </row>
    <row r="29743">
      <c r="A29743" t="n">
        <v>29742</v>
      </c>
      <c r="B29743" t="inlineStr">
        <is>
          <t>x̄x̄Mx̄DCCXLII</t>
        </is>
      </c>
      <c r="C29743">
        <f>ROMAN(29742)</f>
        <v/>
      </c>
      <c r="D29743">
        <f>IF(B29743=C29743, "YES", "WRONG")</f>
        <v/>
      </c>
    </row>
    <row r="29744">
      <c r="A29744" t="n">
        <v>29743</v>
      </c>
      <c r="B29744" t="inlineStr">
        <is>
          <t>x̄x̄Mx̄DCCXLIII</t>
        </is>
      </c>
      <c r="C29744">
        <f>ROMAN(29743)</f>
        <v/>
      </c>
      <c r="D29744">
        <f>IF(B29744=C29744, "YES", "WRONG")</f>
        <v/>
      </c>
    </row>
    <row r="29745">
      <c r="A29745" t="n">
        <v>29744</v>
      </c>
      <c r="B29745" t="inlineStr">
        <is>
          <t>x̄x̄Mx̄DCCXLIV</t>
        </is>
      </c>
      <c r="C29745">
        <f>ROMAN(29744)</f>
        <v/>
      </c>
      <c r="D29745">
        <f>IF(B29745=C29745, "YES", "WRONG")</f>
        <v/>
      </c>
    </row>
    <row r="29746">
      <c r="A29746" t="n">
        <v>29745</v>
      </c>
      <c r="B29746" t="inlineStr">
        <is>
          <t>x̄x̄Mx̄DCCXLV</t>
        </is>
      </c>
      <c r="C29746">
        <f>ROMAN(29745)</f>
        <v/>
      </c>
      <c r="D29746">
        <f>IF(B29746=C29746, "YES", "WRONG")</f>
        <v/>
      </c>
    </row>
    <row r="29747">
      <c r="A29747" t="n">
        <v>29746</v>
      </c>
      <c r="B29747" t="inlineStr">
        <is>
          <t>x̄x̄Mx̄DCCXLVI</t>
        </is>
      </c>
      <c r="C29747">
        <f>ROMAN(29746)</f>
        <v/>
      </c>
      <c r="D29747">
        <f>IF(B29747=C29747, "YES", "WRONG")</f>
        <v/>
      </c>
    </row>
    <row r="29748">
      <c r="A29748" t="n">
        <v>29747</v>
      </c>
      <c r="B29748" t="inlineStr">
        <is>
          <t>x̄x̄Mx̄DCCXLVII</t>
        </is>
      </c>
      <c r="C29748">
        <f>ROMAN(29747)</f>
        <v/>
      </c>
      <c r="D29748">
        <f>IF(B29748=C29748, "YES", "WRONG")</f>
        <v/>
      </c>
    </row>
    <row r="29749">
      <c r="A29749" t="n">
        <v>29748</v>
      </c>
      <c r="B29749" t="inlineStr">
        <is>
          <t>x̄x̄Mx̄DCCXLVIII</t>
        </is>
      </c>
      <c r="C29749">
        <f>ROMAN(29748)</f>
        <v/>
      </c>
      <c r="D29749">
        <f>IF(B29749=C29749, "YES", "WRONG")</f>
        <v/>
      </c>
    </row>
    <row r="29750">
      <c r="A29750" t="n">
        <v>29749</v>
      </c>
      <c r="B29750" t="inlineStr">
        <is>
          <t>x̄x̄Mx̄DCCXLIX</t>
        </is>
      </c>
      <c r="C29750">
        <f>ROMAN(29749)</f>
        <v/>
      </c>
      <c r="D29750">
        <f>IF(B29750=C29750, "YES", "WRONG")</f>
        <v/>
      </c>
    </row>
    <row r="29751">
      <c r="A29751" t="n">
        <v>29750</v>
      </c>
      <c r="B29751" t="inlineStr">
        <is>
          <t>x̄x̄Mx̄DCCL</t>
        </is>
      </c>
      <c r="C29751">
        <f>ROMAN(29750)</f>
        <v/>
      </c>
      <c r="D29751">
        <f>IF(B29751=C29751, "YES", "WRONG")</f>
        <v/>
      </c>
    </row>
    <row r="29752">
      <c r="A29752" t="n">
        <v>29751</v>
      </c>
      <c r="B29752" t="inlineStr">
        <is>
          <t>x̄x̄Mx̄DCCLI</t>
        </is>
      </c>
      <c r="C29752">
        <f>ROMAN(29751)</f>
        <v/>
      </c>
      <c r="D29752">
        <f>IF(B29752=C29752, "YES", "WRONG")</f>
        <v/>
      </c>
    </row>
    <row r="29753">
      <c r="A29753" t="n">
        <v>29752</v>
      </c>
      <c r="B29753" t="inlineStr">
        <is>
          <t>x̄x̄Mx̄DCCLII</t>
        </is>
      </c>
      <c r="C29753">
        <f>ROMAN(29752)</f>
        <v/>
      </c>
      <c r="D29753">
        <f>IF(B29753=C29753, "YES", "WRONG")</f>
        <v/>
      </c>
    </row>
    <row r="29754">
      <c r="A29754" t="n">
        <v>29753</v>
      </c>
      <c r="B29754" t="inlineStr">
        <is>
          <t>x̄x̄Mx̄DCCLIII</t>
        </is>
      </c>
      <c r="C29754">
        <f>ROMAN(29753)</f>
        <v/>
      </c>
      <c r="D29754">
        <f>IF(B29754=C29754, "YES", "WRONG")</f>
        <v/>
      </c>
    </row>
    <row r="29755">
      <c r="A29755" t="n">
        <v>29754</v>
      </c>
      <c r="B29755" t="inlineStr">
        <is>
          <t>x̄x̄Mx̄DCCLIV</t>
        </is>
      </c>
      <c r="C29755">
        <f>ROMAN(29754)</f>
        <v/>
      </c>
      <c r="D29755">
        <f>IF(B29755=C29755, "YES", "WRONG")</f>
        <v/>
      </c>
    </row>
    <row r="29756">
      <c r="A29756" t="n">
        <v>29755</v>
      </c>
      <c r="B29756" t="inlineStr">
        <is>
          <t>x̄x̄Mx̄DCCLV</t>
        </is>
      </c>
      <c r="C29756">
        <f>ROMAN(29755)</f>
        <v/>
      </c>
      <c r="D29756">
        <f>IF(B29756=C29756, "YES", "WRONG")</f>
        <v/>
      </c>
    </row>
    <row r="29757">
      <c r="A29757" t="n">
        <v>29756</v>
      </c>
      <c r="B29757" t="inlineStr">
        <is>
          <t>x̄x̄Mx̄DCCLVI</t>
        </is>
      </c>
      <c r="C29757">
        <f>ROMAN(29756)</f>
        <v/>
      </c>
      <c r="D29757">
        <f>IF(B29757=C29757, "YES", "WRONG")</f>
        <v/>
      </c>
    </row>
    <row r="29758">
      <c r="A29758" t="n">
        <v>29757</v>
      </c>
      <c r="B29758" t="inlineStr">
        <is>
          <t>x̄x̄Mx̄DCCLVII</t>
        </is>
      </c>
      <c r="C29758">
        <f>ROMAN(29757)</f>
        <v/>
      </c>
      <c r="D29758">
        <f>IF(B29758=C29758, "YES", "WRONG")</f>
        <v/>
      </c>
    </row>
    <row r="29759">
      <c r="A29759" t="n">
        <v>29758</v>
      </c>
      <c r="B29759" t="inlineStr">
        <is>
          <t>x̄x̄Mx̄DCCLVIII</t>
        </is>
      </c>
      <c r="C29759">
        <f>ROMAN(29758)</f>
        <v/>
      </c>
      <c r="D29759">
        <f>IF(B29759=C29759, "YES", "WRONG")</f>
        <v/>
      </c>
    </row>
    <row r="29760">
      <c r="A29760" t="n">
        <v>29759</v>
      </c>
      <c r="B29760" t="inlineStr">
        <is>
          <t>x̄x̄Mx̄DCCLIX</t>
        </is>
      </c>
      <c r="C29760">
        <f>ROMAN(29759)</f>
        <v/>
      </c>
      <c r="D29760">
        <f>IF(B29760=C29760, "YES", "WRONG")</f>
        <v/>
      </c>
    </row>
    <row r="29761">
      <c r="A29761" t="n">
        <v>29760</v>
      </c>
      <c r="B29761" t="inlineStr">
        <is>
          <t>x̄x̄Mx̄DCCLX</t>
        </is>
      </c>
      <c r="C29761">
        <f>ROMAN(29760)</f>
        <v/>
      </c>
      <c r="D29761">
        <f>IF(B29761=C29761, "YES", "WRONG")</f>
        <v/>
      </c>
    </row>
    <row r="29762">
      <c r="A29762" t="n">
        <v>29761</v>
      </c>
      <c r="B29762" t="inlineStr">
        <is>
          <t>x̄x̄Mx̄DCCLXI</t>
        </is>
      </c>
      <c r="C29762">
        <f>ROMAN(29761)</f>
        <v/>
      </c>
      <c r="D29762">
        <f>IF(B29762=C29762, "YES", "WRONG")</f>
        <v/>
      </c>
    </row>
    <row r="29763">
      <c r="A29763" t="n">
        <v>29762</v>
      </c>
      <c r="B29763" t="inlineStr">
        <is>
          <t>x̄x̄Mx̄DCCLXII</t>
        </is>
      </c>
      <c r="C29763">
        <f>ROMAN(29762)</f>
        <v/>
      </c>
      <c r="D29763">
        <f>IF(B29763=C29763, "YES", "WRONG")</f>
        <v/>
      </c>
    </row>
    <row r="29764">
      <c r="A29764" t="n">
        <v>29763</v>
      </c>
      <c r="B29764" t="inlineStr">
        <is>
          <t>x̄x̄Mx̄DCCLXIII</t>
        </is>
      </c>
      <c r="C29764">
        <f>ROMAN(29763)</f>
        <v/>
      </c>
      <c r="D29764">
        <f>IF(B29764=C29764, "YES", "WRONG")</f>
        <v/>
      </c>
    </row>
    <row r="29765">
      <c r="A29765" t="n">
        <v>29764</v>
      </c>
      <c r="B29765" t="inlineStr">
        <is>
          <t>x̄x̄Mx̄DCCLXIV</t>
        </is>
      </c>
      <c r="C29765">
        <f>ROMAN(29764)</f>
        <v/>
      </c>
      <c r="D29765">
        <f>IF(B29765=C29765, "YES", "WRONG")</f>
        <v/>
      </c>
    </row>
    <row r="29766">
      <c r="A29766" t="n">
        <v>29765</v>
      </c>
      <c r="B29766" t="inlineStr">
        <is>
          <t>x̄x̄Mx̄DCCLXV</t>
        </is>
      </c>
      <c r="C29766">
        <f>ROMAN(29765)</f>
        <v/>
      </c>
      <c r="D29766">
        <f>IF(B29766=C29766, "YES", "WRONG")</f>
        <v/>
      </c>
    </row>
    <row r="29767">
      <c r="A29767" t="n">
        <v>29766</v>
      </c>
      <c r="B29767" t="inlineStr">
        <is>
          <t>x̄x̄Mx̄DCCLXVI</t>
        </is>
      </c>
      <c r="C29767">
        <f>ROMAN(29766)</f>
        <v/>
      </c>
      <c r="D29767">
        <f>IF(B29767=C29767, "YES", "WRONG")</f>
        <v/>
      </c>
    </row>
    <row r="29768">
      <c r="A29768" t="n">
        <v>29767</v>
      </c>
      <c r="B29768" t="inlineStr">
        <is>
          <t>x̄x̄Mx̄DCCLXVII</t>
        </is>
      </c>
      <c r="C29768">
        <f>ROMAN(29767)</f>
        <v/>
      </c>
      <c r="D29768">
        <f>IF(B29768=C29768, "YES", "WRONG")</f>
        <v/>
      </c>
    </row>
    <row r="29769">
      <c r="A29769" t="n">
        <v>29768</v>
      </c>
      <c r="B29769" t="inlineStr">
        <is>
          <t>x̄x̄Mx̄DCCLXVIII</t>
        </is>
      </c>
      <c r="C29769">
        <f>ROMAN(29768)</f>
        <v/>
      </c>
      <c r="D29769">
        <f>IF(B29769=C29769, "YES", "WRONG")</f>
        <v/>
      </c>
    </row>
    <row r="29770">
      <c r="A29770" t="n">
        <v>29769</v>
      </c>
      <c r="B29770" t="inlineStr">
        <is>
          <t>x̄x̄Mx̄DCCLXIX</t>
        </is>
      </c>
      <c r="C29770">
        <f>ROMAN(29769)</f>
        <v/>
      </c>
      <c r="D29770">
        <f>IF(B29770=C29770, "YES", "WRONG")</f>
        <v/>
      </c>
    </row>
    <row r="29771">
      <c r="A29771" t="n">
        <v>29770</v>
      </c>
      <c r="B29771" t="inlineStr">
        <is>
          <t>x̄x̄Mx̄DCCLXX</t>
        </is>
      </c>
      <c r="C29771">
        <f>ROMAN(29770)</f>
        <v/>
      </c>
      <c r="D29771">
        <f>IF(B29771=C29771, "YES", "WRONG")</f>
        <v/>
      </c>
    </row>
    <row r="29772">
      <c r="A29772" t="n">
        <v>29771</v>
      </c>
      <c r="B29772" t="inlineStr">
        <is>
          <t>x̄x̄Mx̄DCCLXXI</t>
        </is>
      </c>
      <c r="C29772">
        <f>ROMAN(29771)</f>
        <v/>
      </c>
      <c r="D29772">
        <f>IF(B29772=C29772, "YES", "WRONG")</f>
        <v/>
      </c>
    </row>
    <row r="29773">
      <c r="A29773" t="n">
        <v>29772</v>
      </c>
      <c r="B29773" t="inlineStr">
        <is>
          <t>x̄x̄Mx̄DCCLXXII</t>
        </is>
      </c>
      <c r="C29773">
        <f>ROMAN(29772)</f>
        <v/>
      </c>
      <c r="D29773">
        <f>IF(B29773=C29773, "YES", "WRONG")</f>
        <v/>
      </c>
    </row>
    <row r="29774">
      <c r="A29774" t="n">
        <v>29773</v>
      </c>
      <c r="B29774" t="inlineStr">
        <is>
          <t>x̄x̄Mx̄DCCLXXIII</t>
        </is>
      </c>
      <c r="C29774">
        <f>ROMAN(29773)</f>
        <v/>
      </c>
      <c r="D29774">
        <f>IF(B29774=C29774, "YES", "WRONG")</f>
        <v/>
      </c>
    </row>
    <row r="29775">
      <c r="A29775" t="n">
        <v>29774</v>
      </c>
      <c r="B29775" t="inlineStr">
        <is>
          <t>x̄x̄Mx̄DCCLXXIV</t>
        </is>
      </c>
      <c r="C29775">
        <f>ROMAN(29774)</f>
        <v/>
      </c>
      <c r="D29775">
        <f>IF(B29775=C29775, "YES", "WRONG")</f>
        <v/>
      </c>
    </row>
    <row r="29776">
      <c r="A29776" t="n">
        <v>29775</v>
      </c>
      <c r="B29776" t="inlineStr">
        <is>
          <t>x̄x̄Mx̄DCCLXXV</t>
        </is>
      </c>
      <c r="C29776">
        <f>ROMAN(29775)</f>
        <v/>
      </c>
      <c r="D29776">
        <f>IF(B29776=C29776, "YES", "WRONG")</f>
        <v/>
      </c>
    </row>
    <row r="29777">
      <c r="A29777" t="n">
        <v>29776</v>
      </c>
      <c r="B29777" t="inlineStr">
        <is>
          <t>x̄x̄Mx̄DCCLXXVI</t>
        </is>
      </c>
      <c r="C29777">
        <f>ROMAN(29776)</f>
        <v/>
      </c>
      <c r="D29777">
        <f>IF(B29777=C29777, "YES", "WRONG")</f>
        <v/>
      </c>
    </row>
    <row r="29778">
      <c r="A29778" t="n">
        <v>29777</v>
      </c>
      <c r="B29778" t="inlineStr">
        <is>
          <t>x̄x̄Mx̄DCCLXXVII</t>
        </is>
      </c>
      <c r="C29778">
        <f>ROMAN(29777)</f>
        <v/>
      </c>
      <c r="D29778">
        <f>IF(B29778=C29778, "YES", "WRONG")</f>
        <v/>
      </c>
    </row>
    <row r="29779">
      <c r="A29779" t="n">
        <v>29778</v>
      </c>
      <c r="B29779" t="inlineStr">
        <is>
          <t>x̄x̄Mx̄DCCLXXVIII</t>
        </is>
      </c>
      <c r="C29779">
        <f>ROMAN(29778)</f>
        <v/>
      </c>
      <c r="D29779">
        <f>IF(B29779=C29779, "YES", "WRONG")</f>
        <v/>
      </c>
    </row>
    <row r="29780">
      <c r="A29780" t="n">
        <v>29779</v>
      </c>
      <c r="B29780" t="inlineStr">
        <is>
          <t>x̄x̄Mx̄DCCLXXIX</t>
        </is>
      </c>
      <c r="C29780">
        <f>ROMAN(29779)</f>
        <v/>
      </c>
      <c r="D29780">
        <f>IF(B29780=C29780, "YES", "WRONG")</f>
        <v/>
      </c>
    </row>
    <row r="29781">
      <c r="A29781" t="n">
        <v>29780</v>
      </c>
      <c r="B29781" t="inlineStr">
        <is>
          <t>x̄x̄Mx̄DCCLXXX</t>
        </is>
      </c>
      <c r="C29781">
        <f>ROMAN(29780)</f>
        <v/>
      </c>
      <c r="D29781">
        <f>IF(B29781=C29781, "YES", "WRONG")</f>
        <v/>
      </c>
    </row>
    <row r="29782">
      <c r="A29782" t="n">
        <v>29781</v>
      </c>
      <c r="B29782" t="inlineStr">
        <is>
          <t>x̄x̄Mx̄DCCLXXXI</t>
        </is>
      </c>
      <c r="C29782">
        <f>ROMAN(29781)</f>
        <v/>
      </c>
      <c r="D29782">
        <f>IF(B29782=C29782, "YES", "WRONG")</f>
        <v/>
      </c>
    </row>
    <row r="29783">
      <c r="A29783" t="n">
        <v>29782</v>
      </c>
      <c r="B29783" t="inlineStr">
        <is>
          <t>x̄x̄Mx̄DCCLXXXII</t>
        </is>
      </c>
      <c r="C29783">
        <f>ROMAN(29782)</f>
        <v/>
      </c>
      <c r="D29783">
        <f>IF(B29783=C29783, "YES", "WRONG")</f>
        <v/>
      </c>
    </row>
    <row r="29784">
      <c r="A29784" t="n">
        <v>29783</v>
      </c>
      <c r="B29784" t="inlineStr">
        <is>
          <t>x̄x̄Mx̄DCCLXXXIII</t>
        </is>
      </c>
      <c r="C29784">
        <f>ROMAN(29783)</f>
        <v/>
      </c>
      <c r="D29784">
        <f>IF(B29784=C29784, "YES", "WRONG")</f>
        <v/>
      </c>
    </row>
    <row r="29785">
      <c r="A29785" t="n">
        <v>29784</v>
      </c>
      <c r="B29785" t="inlineStr">
        <is>
          <t>x̄x̄Mx̄DCCLXXXIV</t>
        </is>
      </c>
      <c r="C29785">
        <f>ROMAN(29784)</f>
        <v/>
      </c>
      <c r="D29785">
        <f>IF(B29785=C29785, "YES", "WRONG")</f>
        <v/>
      </c>
    </row>
    <row r="29786">
      <c r="A29786" t="n">
        <v>29785</v>
      </c>
      <c r="B29786" t="inlineStr">
        <is>
          <t>x̄x̄Mx̄DCCLXXXV</t>
        </is>
      </c>
      <c r="C29786">
        <f>ROMAN(29785)</f>
        <v/>
      </c>
      <c r="D29786">
        <f>IF(B29786=C29786, "YES", "WRONG")</f>
        <v/>
      </c>
    </row>
    <row r="29787">
      <c r="A29787" t="n">
        <v>29786</v>
      </c>
      <c r="B29787" t="inlineStr">
        <is>
          <t>x̄x̄Mx̄DCCLXXXVI</t>
        </is>
      </c>
      <c r="C29787">
        <f>ROMAN(29786)</f>
        <v/>
      </c>
      <c r="D29787">
        <f>IF(B29787=C29787, "YES", "WRONG")</f>
        <v/>
      </c>
    </row>
    <row r="29788">
      <c r="A29788" t="n">
        <v>29787</v>
      </c>
      <c r="B29788" t="inlineStr">
        <is>
          <t>x̄x̄Mx̄DCCLXXXVII</t>
        </is>
      </c>
      <c r="C29788">
        <f>ROMAN(29787)</f>
        <v/>
      </c>
      <c r="D29788">
        <f>IF(B29788=C29788, "YES", "WRONG")</f>
        <v/>
      </c>
    </row>
    <row r="29789">
      <c r="A29789" t="n">
        <v>29788</v>
      </c>
      <c r="B29789" t="inlineStr">
        <is>
          <t>x̄x̄Mx̄DCCLXXXVIII</t>
        </is>
      </c>
      <c r="C29789">
        <f>ROMAN(29788)</f>
        <v/>
      </c>
      <c r="D29789">
        <f>IF(B29789=C29789, "YES", "WRONG")</f>
        <v/>
      </c>
    </row>
    <row r="29790">
      <c r="A29790" t="n">
        <v>29789</v>
      </c>
      <c r="B29790" t="inlineStr">
        <is>
          <t>x̄x̄Mx̄DCCLXXXIX</t>
        </is>
      </c>
      <c r="C29790">
        <f>ROMAN(29789)</f>
        <v/>
      </c>
      <c r="D29790">
        <f>IF(B29790=C29790, "YES", "WRONG")</f>
        <v/>
      </c>
    </row>
    <row r="29791">
      <c r="A29791" t="n">
        <v>29790</v>
      </c>
      <c r="B29791" t="inlineStr">
        <is>
          <t>x̄x̄Mx̄DCCXC</t>
        </is>
      </c>
      <c r="C29791">
        <f>ROMAN(29790)</f>
        <v/>
      </c>
      <c r="D29791">
        <f>IF(B29791=C29791, "YES", "WRONG")</f>
        <v/>
      </c>
    </row>
    <row r="29792">
      <c r="A29792" t="n">
        <v>29791</v>
      </c>
      <c r="B29792" t="inlineStr">
        <is>
          <t>x̄x̄Mx̄DCCXCI</t>
        </is>
      </c>
      <c r="C29792">
        <f>ROMAN(29791)</f>
        <v/>
      </c>
      <c r="D29792">
        <f>IF(B29792=C29792, "YES", "WRONG")</f>
        <v/>
      </c>
    </row>
    <row r="29793">
      <c r="A29793" t="n">
        <v>29792</v>
      </c>
      <c r="B29793" t="inlineStr">
        <is>
          <t>x̄x̄Mx̄DCCXCII</t>
        </is>
      </c>
      <c r="C29793">
        <f>ROMAN(29792)</f>
        <v/>
      </c>
      <c r="D29793">
        <f>IF(B29793=C29793, "YES", "WRONG")</f>
        <v/>
      </c>
    </row>
    <row r="29794">
      <c r="A29794" t="n">
        <v>29793</v>
      </c>
      <c r="B29794" t="inlineStr">
        <is>
          <t>x̄x̄Mx̄DCCXCIII</t>
        </is>
      </c>
      <c r="C29794">
        <f>ROMAN(29793)</f>
        <v/>
      </c>
      <c r="D29794">
        <f>IF(B29794=C29794, "YES", "WRONG")</f>
        <v/>
      </c>
    </row>
    <row r="29795">
      <c r="A29795" t="n">
        <v>29794</v>
      </c>
      <c r="B29795" t="inlineStr">
        <is>
          <t>x̄x̄Mx̄DCCXCIV</t>
        </is>
      </c>
      <c r="C29795">
        <f>ROMAN(29794)</f>
        <v/>
      </c>
      <c r="D29795">
        <f>IF(B29795=C29795, "YES", "WRONG")</f>
        <v/>
      </c>
    </row>
    <row r="29796">
      <c r="A29796" t="n">
        <v>29795</v>
      </c>
      <c r="B29796" t="inlineStr">
        <is>
          <t>x̄x̄Mx̄DCCXCV</t>
        </is>
      </c>
      <c r="C29796">
        <f>ROMAN(29795)</f>
        <v/>
      </c>
      <c r="D29796">
        <f>IF(B29796=C29796, "YES", "WRONG")</f>
        <v/>
      </c>
    </row>
    <row r="29797">
      <c r="A29797" t="n">
        <v>29796</v>
      </c>
      <c r="B29797" t="inlineStr">
        <is>
          <t>x̄x̄Mx̄DCCXCVI</t>
        </is>
      </c>
      <c r="C29797">
        <f>ROMAN(29796)</f>
        <v/>
      </c>
      <c r="D29797">
        <f>IF(B29797=C29797, "YES", "WRONG")</f>
        <v/>
      </c>
    </row>
    <row r="29798">
      <c r="A29798" t="n">
        <v>29797</v>
      </c>
      <c r="B29798" t="inlineStr">
        <is>
          <t>x̄x̄Mx̄DCCXCVII</t>
        </is>
      </c>
      <c r="C29798">
        <f>ROMAN(29797)</f>
        <v/>
      </c>
      <c r="D29798">
        <f>IF(B29798=C29798, "YES", "WRONG")</f>
        <v/>
      </c>
    </row>
    <row r="29799">
      <c r="A29799" t="n">
        <v>29798</v>
      </c>
      <c r="B29799" t="inlineStr">
        <is>
          <t>x̄x̄Mx̄DCCXCVIII</t>
        </is>
      </c>
      <c r="C29799">
        <f>ROMAN(29798)</f>
        <v/>
      </c>
      <c r="D29799">
        <f>IF(B29799=C29799, "YES", "WRONG")</f>
        <v/>
      </c>
    </row>
    <row r="29800">
      <c r="A29800" t="n">
        <v>29799</v>
      </c>
      <c r="B29800" t="inlineStr">
        <is>
          <t>x̄x̄Mx̄DCCXCIX</t>
        </is>
      </c>
      <c r="C29800">
        <f>ROMAN(29799)</f>
        <v/>
      </c>
      <c r="D29800">
        <f>IF(B29800=C29800, "YES", "WRONG")</f>
        <v/>
      </c>
    </row>
    <row r="29801">
      <c r="A29801" t="n">
        <v>29800</v>
      </c>
      <c r="B29801" t="inlineStr">
        <is>
          <t>x̄x̄Mx̄DCCC</t>
        </is>
      </c>
      <c r="C29801">
        <f>ROMAN(29800)</f>
        <v/>
      </c>
      <c r="D29801">
        <f>IF(B29801=C29801, "YES", "WRONG")</f>
        <v/>
      </c>
    </row>
    <row r="29802">
      <c r="A29802" t="n">
        <v>29801</v>
      </c>
      <c r="B29802" t="inlineStr">
        <is>
          <t>x̄x̄Mx̄DCCCI</t>
        </is>
      </c>
      <c r="C29802">
        <f>ROMAN(29801)</f>
        <v/>
      </c>
      <c r="D29802">
        <f>IF(B29802=C29802, "YES", "WRONG")</f>
        <v/>
      </c>
    </row>
    <row r="29803">
      <c r="A29803" t="n">
        <v>29802</v>
      </c>
      <c r="B29803" t="inlineStr">
        <is>
          <t>x̄x̄Mx̄DCCCII</t>
        </is>
      </c>
      <c r="C29803">
        <f>ROMAN(29802)</f>
        <v/>
      </c>
      <c r="D29803">
        <f>IF(B29803=C29803, "YES", "WRONG")</f>
        <v/>
      </c>
    </row>
    <row r="29804">
      <c r="A29804" t="n">
        <v>29803</v>
      </c>
      <c r="B29804" t="inlineStr">
        <is>
          <t>x̄x̄Mx̄DCCCIII</t>
        </is>
      </c>
      <c r="C29804">
        <f>ROMAN(29803)</f>
        <v/>
      </c>
      <c r="D29804">
        <f>IF(B29804=C29804, "YES", "WRONG")</f>
        <v/>
      </c>
    </row>
    <row r="29805">
      <c r="A29805" t="n">
        <v>29804</v>
      </c>
      <c r="B29805" t="inlineStr">
        <is>
          <t>x̄x̄Mx̄DCCCIV</t>
        </is>
      </c>
      <c r="C29805">
        <f>ROMAN(29804)</f>
        <v/>
      </c>
      <c r="D29805">
        <f>IF(B29805=C29805, "YES", "WRONG")</f>
        <v/>
      </c>
    </row>
    <row r="29806">
      <c r="A29806" t="n">
        <v>29805</v>
      </c>
      <c r="B29806" t="inlineStr">
        <is>
          <t>x̄x̄Mx̄DCCCV</t>
        </is>
      </c>
      <c r="C29806">
        <f>ROMAN(29805)</f>
        <v/>
      </c>
      <c r="D29806">
        <f>IF(B29806=C29806, "YES", "WRONG")</f>
        <v/>
      </c>
    </row>
    <row r="29807">
      <c r="A29807" t="n">
        <v>29806</v>
      </c>
      <c r="B29807" t="inlineStr">
        <is>
          <t>x̄x̄Mx̄DCCCVI</t>
        </is>
      </c>
      <c r="C29807">
        <f>ROMAN(29806)</f>
        <v/>
      </c>
      <c r="D29807">
        <f>IF(B29807=C29807, "YES", "WRONG")</f>
        <v/>
      </c>
    </row>
    <row r="29808">
      <c r="A29808" t="n">
        <v>29807</v>
      </c>
      <c r="B29808" t="inlineStr">
        <is>
          <t>x̄x̄Mx̄DCCCVII</t>
        </is>
      </c>
      <c r="C29808">
        <f>ROMAN(29807)</f>
        <v/>
      </c>
      <c r="D29808">
        <f>IF(B29808=C29808, "YES", "WRONG")</f>
        <v/>
      </c>
    </row>
    <row r="29809">
      <c r="A29809" t="n">
        <v>29808</v>
      </c>
      <c r="B29809" t="inlineStr">
        <is>
          <t>x̄x̄Mx̄DCCCVIII</t>
        </is>
      </c>
      <c r="C29809">
        <f>ROMAN(29808)</f>
        <v/>
      </c>
      <c r="D29809">
        <f>IF(B29809=C29809, "YES", "WRONG")</f>
        <v/>
      </c>
    </row>
    <row r="29810">
      <c r="A29810" t="n">
        <v>29809</v>
      </c>
      <c r="B29810" t="inlineStr">
        <is>
          <t>x̄x̄Mx̄DCCCIX</t>
        </is>
      </c>
      <c r="C29810">
        <f>ROMAN(29809)</f>
        <v/>
      </c>
      <c r="D29810">
        <f>IF(B29810=C29810, "YES", "WRONG")</f>
        <v/>
      </c>
    </row>
    <row r="29811">
      <c r="A29811" t="n">
        <v>29810</v>
      </c>
      <c r="B29811" t="inlineStr">
        <is>
          <t>x̄x̄Mx̄DCCCX</t>
        </is>
      </c>
      <c r="C29811">
        <f>ROMAN(29810)</f>
        <v/>
      </c>
      <c r="D29811">
        <f>IF(B29811=C29811, "YES", "WRONG")</f>
        <v/>
      </c>
    </row>
    <row r="29812">
      <c r="A29812" t="n">
        <v>29811</v>
      </c>
      <c r="B29812" t="inlineStr">
        <is>
          <t>x̄x̄Mx̄DCCCXI</t>
        </is>
      </c>
      <c r="C29812">
        <f>ROMAN(29811)</f>
        <v/>
      </c>
      <c r="D29812">
        <f>IF(B29812=C29812, "YES", "WRONG")</f>
        <v/>
      </c>
    </row>
    <row r="29813">
      <c r="A29813" t="n">
        <v>29812</v>
      </c>
      <c r="B29813" t="inlineStr">
        <is>
          <t>x̄x̄Mx̄DCCCXII</t>
        </is>
      </c>
      <c r="C29813">
        <f>ROMAN(29812)</f>
        <v/>
      </c>
      <c r="D29813">
        <f>IF(B29813=C29813, "YES", "WRONG")</f>
        <v/>
      </c>
    </row>
    <row r="29814">
      <c r="A29814" t="n">
        <v>29813</v>
      </c>
      <c r="B29814" t="inlineStr">
        <is>
          <t>x̄x̄Mx̄DCCCXIII</t>
        </is>
      </c>
      <c r="C29814">
        <f>ROMAN(29813)</f>
        <v/>
      </c>
      <c r="D29814">
        <f>IF(B29814=C29814, "YES", "WRONG")</f>
        <v/>
      </c>
    </row>
    <row r="29815">
      <c r="A29815" t="n">
        <v>29814</v>
      </c>
      <c r="B29815" t="inlineStr">
        <is>
          <t>x̄x̄Mx̄DCCCXIV</t>
        </is>
      </c>
      <c r="C29815">
        <f>ROMAN(29814)</f>
        <v/>
      </c>
      <c r="D29815">
        <f>IF(B29815=C29815, "YES", "WRONG")</f>
        <v/>
      </c>
    </row>
    <row r="29816">
      <c r="A29816" t="n">
        <v>29815</v>
      </c>
      <c r="B29816" t="inlineStr">
        <is>
          <t>x̄x̄Mx̄DCCCXV</t>
        </is>
      </c>
      <c r="C29816">
        <f>ROMAN(29815)</f>
        <v/>
      </c>
      <c r="D29816">
        <f>IF(B29816=C29816, "YES", "WRONG")</f>
        <v/>
      </c>
    </row>
    <row r="29817">
      <c r="A29817" t="n">
        <v>29816</v>
      </c>
      <c r="B29817" t="inlineStr">
        <is>
          <t>x̄x̄Mx̄DCCCXVI</t>
        </is>
      </c>
      <c r="C29817">
        <f>ROMAN(29816)</f>
        <v/>
      </c>
      <c r="D29817">
        <f>IF(B29817=C29817, "YES", "WRONG")</f>
        <v/>
      </c>
    </row>
    <row r="29818">
      <c r="A29818" t="n">
        <v>29817</v>
      </c>
      <c r="B29818" t="inlineStr">
        <is>
          <t>x̄x̄Mx̄DCCCXVII</t>
        </is>
      </c>
      <c r="C29818">
        <f>ROMAN(29817)</f>
        <v/>
      </c>
      <c r="D29818">
        <f>IF(B29818=C29818, "YES", "WRONG")</f>
        <v/>
      </c>
    </row>
    <row r="29819">
      <c r="A29819" t="n">
        <v>29818</v>
      </c>
      <c r="B29819" t="inlineStr">
        <is>
          <t>x̄x̄Mx̄DCCCXVIII</t>
        </is>
      </c>
      <c r="C29819">
        <f>ROMAN(29818)</f>
        <v/>
      </c>
      <c r="D29819">
        <f>IF(B29819=C29819, "YES", "WRONG")</f>
        <v/>
      </c>
    </row>
    <row r="29820">
      <c r="A29820" t="n">
        <v>29819</v>
      </c>
      <c r="B29820" t="inlineStr">
        <is>
          <t>x̄x̄Mx̄DCCCXIX</t>
        </is>
      </c>
      <c r="C29820">
        <f>ROMAN(29819)</f>
        <v/>
      </c>
      <c r="D29820">
        <f>IF(B29820=C29820, "YES", "WRONG")</f>
        <v/>
      </c>
    </row>
    <row r="29821">
      <c r="A29821" t="n">
        <v>29820</v>
      </c>
      <c r="B29821" t="inlineStr">
        <is>
          <t>x̄x̄Mx̄DCCCXX</t>
        </is>
      </c>
      <c r="C29821">
        <f>ROMAN(29820)</f>
        <v/>
      </c>
      <c r="D29821">
        <f>IF(B29821=C29821, "YES", "WRONG")</f>
        <v/>
      </c>
    </row>
    <row r="29822">
      <c r="A29822" t="n">
        <v>29821</v>
      </c>
      <c r="B29822" t="inlineStr">
        <is>
          <t>x̄x̄Mx̄DCCCXXI</t>
        </is>
      </c>
      <c r="C29822">
        <f>ROMAN(29821)</f>
        <v/>
      </c>
      <c r="D29822">
        <f>IF(B29822=C29822, "YES", "WRONG")</f>
        <v/>
      </c>
    </row>
    <row r="29823">
      <c r="A29823" t="n">
        <v>29822</v>
      </c>
      <c r="B29823" t="inlineStr">
        <is>
          <t>x̄x̄Mx̄DCCCXXII</t>
        </is>
      </c>
      <c r="C29823">
        <f>ROMAN(29822)</f>
        <v/>
      </c>
      <c r="D29823">
        <f>IF(B29823=C29823, "YES", "WRONG")</f>
        <v/>
      </c>
    </row>
    <row r="29824">
      <c r="A29824" t="n">
        <v>29823</v>
      </c>
      <c r="B29824" t="inlineStr">
        <is>
          <t>x̄x̄Mx̄DCCCXXIII</t>
        </is>
      </c>
      <c r="C29824">
        <f>ROMAN(29823)</f>
        <v/>
      </c>
      <c r="D29824">
        <f>IF(B29824=C29824, "YES", "WRONG")</f>
        <v/>
      </c>
    </row>
    <row r="29825">
      <c r="A29825" t="n">
        <v>29824</v>
      </c>
      <c r="B29825" t="inlineStr">
        <is>
          <t>x̄x̄Mx̄DCCCXXIV</t>
        </is>
      </c>
      <c r="C29825">
        <f>ROMAN(29824)</f>
        <v/>
      </c>
      <c r="D29825">
        <f>IF(B29825=C29825, "YES", "WRONG")</f>
        <v/>
      </c>
    </row>
    <row r="29826">
      <c r="A29826" t="n">
        <v>29825</v>
      </c>
      <c r="B29826" t="inlineStr">
        <is>
          <t>x̄x̄Mx̄DCCCXXV</t>
        </is>
      </c>
      <c r="C29826">
        <f>ROMAN(29825)</f>
        <v/>
      </c>
      <c r="D29826">
        <f>IF(B29826=C29826, "YES", "WRONG")</f>
        <v/>
      </c>
    </row>
    <row r="29827">
      <c r="A29827" t="n">
        <v>29826</v>
      </c>
      <c r="B29827" t="inlineStr">
        <is>
          <t>x̄x̄Mx̄DCCCXXVI</t>
        </is>
      </c>
      <c r="C29827">
        <f>ROMAN(29826)</f>
        <v/>
      </c>
      <c r="D29827">
        <f>IF(B29827=C29827, "YES", "WRONG")</f>
        <v/>
      </c>
    </row>
    <row r="29828">
      <c r="A29828" t="n">
        <v>29827</v>
      </c>
      <c r="B29828" t="inlineStr">
        <is>
          <t>x̄x̄Mx̄DCCCXXVII</t>
        </is>
      </c>
      <c r="C29828">
        <f>ROMAN(29827)</f>
        <v/>
      </c>
      <c r="D29828">
        <f>IF(B29828=C29828, "YES", "WRONG")</f>
        <v/>
      </c>
    </row>
    <row r="29829">
      <c r="A29829" t="n">
        <v>29828</v>
      </c>
      <c r="B29829" t="inlineStr">
        <is>
          <t>x̄x̄Mx̄DCCCXXVIII</t>
        </is>
      </c>
      <c r="C29829">
        <f>ROMAN(29828)</f>
        <v/>
      </c>
      <c r="D29829">
        <f>IF(B29829=C29829, "YES", "WRONG")</f>
        <v/>
      </c>
    </row>
    <row r="29830">
      <c r="A29830" t="n">
        <v>29829</v>
      </c>
      <c r="B29830" t="inlineStr">
        <is>
          <t>x̄x̄Mx̄DCCCXXIX</t>
        </is>
      </c>
      <c r="C29830">
        <f>ROMAN(29829)</f>
        <v/>
      </c>
      <c r="D29830">
        <f>IF(B29830=C29830, "YES", "WRONG")</f>
        <v/>
      </c>
    </row>
    <row r="29831">
      <c r="A29831" t="n">
        <v>29830</v>
      </c>
      <c r="B29831" t="inlineStr">
        <is>
          <t>x̄x̄Mx̄DCCCXXX</t>
        </is>
      </c>
      <c r="C29831">
        <f>ROMAN(29830)</f>
        <v/>
      </c>
      <c r="D29831">
        <f>IF(B29831=C29831, "YES", "WRONG")</f>
        <v/>
      </c>
    </row>
    <row r="29832">
      <c r="A29832" t="n">
        <v>29831</v>
      </c>
      <c r="B29832" t="inlineStr">
        <is>
          <t>x̄x̄Mx̄DCCCXXXI</t>
        </is>
      </c>
      <c r="C29832">
        <f>ROMAN(29831)</f>
        <v/>
      </c>
      <c r="D29832">
        <f>IF(B29832=C29832, "YES", "WRONG")</f>
        <v/>
      </c>
    </row>
    <row r="29833">
      <c r="A29833" t="n">
        <v>29832</v>
      </c>
      <c r="B29833" t="inlineStr">
        <is>
          <t>x̄x̄Mx̄DCCCXXXII</t>
        </is>
      </c>
      <c r="C29833">
        <f>ROMAN(29832)</f>
        <v/>
      </c>
      <c r="D29833">
        <f>IF(B29833=C29833, "YES", "WRONG")</f>
        <v/>
      </c>
    </row>
    <row r="29834">
      <c r="A29834" t="n">
        <v>29833</v>
      </c>
      <c r="B29834" t="inlineStr">
        <is>
          <t>x̄x̄Mx̄DCCCXXXIII</t>
        </is>
      </c>
      <c r="C29834">
        <f>ROMAN(29833)</f>
        <v/>
      </c>
      <c r="D29834">
        <f>IF(B29834=C29834, "YES", "WRONG")</f>
        <v/>
      </c>
    </row>
    <row r="29835">
      <c r="A29835" t="n">
        <v>29834</v>
      </c>
      <c r="B29835" t="inlineStr">
        <is>
          <t>x̄x̄Mx̄DCCCXXXIV</t>
        </is>
      </c>
      <c r="C29835">
        <f>ROMAN(29834)</f>
        <v/>
      </c>
      <c r="D29835">
        <f>IF(B29835=C29835, "YES", "WRONG")</f>
        <v/>
      </c>
    </row>
    <row r="29836">
      <c r="A29836" t="n">
        <v>29835</v>
      </c>
      <c r="B29836" t="inlineStr">
        <is>
          <t>x̄x̄Mx̄DCCCXXXV</t>
        </is>
      </c>
      <c r="C29836">
        <f>ROMAN(29835)</f>
        <v/>
      </c>
      <c r="D29836">
        <f>IF(B29836=C29836, "YES", "WRONG")</f>
        <v/>
      </c>
    </row>
    <row r="29837">
      <c r="A29837" t="n">
        <v>29836</v>
      </c>
      <c r="B29837" t="inlineStr">
        <is>
          <t>x̄x̄Mx̄DCCCXXXVI</t>
        </is>
      </c>
      <c r="C29837">
        <f>ROMAN(29836)</f>
        <v/>
      </c>
      <c r="D29837">
        <f>IF(B29837=C29837, "YES", "WRONG")</f>
        <v/>
      </c>
    </row>
    <row r="29838">
      <c r="A29838" t="n">
        <v>29837</v>
      </c>
      <c r="B29838" t="inlineStr">
        <is>
          <t>x̄x̄Mx̄DCCCXXXVII</t>
        </is>
      </c>
      <c r="C29838">
        <f>ROMAN(29837)</f>
        <v/>
      </c>
      <c r="D29838">
        <f>IF(B29838=C29838, "YES", "WRONG")</f>
        <v/>
      </c>
    </row>
    <row r="29839">
      <c r="A29839" t="n">
        <v>29838</v>
      </c>
      <c r="B29839" t="inlineStr">
        <is>
          <t>x̄x̄Mx̄DCCCXXXVIII</t>
        </is>
      </c>
      <c r="C29839">
        <f>ROMAN(29838)</f>
        <v/>
      </c>
      <c r="D29839">
        <f>IF(B29839=C29839, "YES", "WRONG")</f>
        <v/>
      </c>
    </row>
    <row r="29840">
      <c r="A29840" t="n">
        <v>29839</v>
      </c>
      <c r="B29840" t="inlineStr">
        <is>
          <t>x̄x̄Mx̄DCCCXXXIX</t>
        </is>
      </c>
      <c r="C29840">
        <f>ROMAN(29839)</f>
        <v/>
      </c>
      <c r="D29840">
        <f>IF(B29840=C29840, "YES", "WRONG")</f>
        <v/>
      </c>
    </row>
    <row r="29841">
      <c r="A29841" t="n">
        <v>29840</v>
      </c>
      <c r="B29841" t="inlineStr">
        <is>
          <t>x̄x̄Mx̄DCCCXL</t>
        </is>
      </c>
      <c r="C29841">
        <f>ROMAN(29840)</f>
        <v/>
      </c>
      <c r="D29841">
        <f>IF(B29841=C29841, "YES", "WRONG")</f>
        <v/>
      </c>
    </row>
    <row r="29842">
      <c r="A29842" t="n">
        <v>29841</v>
      </c>
      <c r="B29842" t="inlineStr">
        <is>
          <t>x̄x̄Mx̄DCCCXLI</t>
        </is>
      </c>
      <c r="C29842">
        <f>ROMAN(29841)</f>
        <v/>
      </c>
      <c r="D29842">
        <f>IF(B29842=C29842, "YES", "WRONG")</f>
        <v/>
      </c>
    </row>
    <row r="29843">
      <c r="A29843" t="n">
        <v>29842</v>
      </c>
      <c r="B29843" t="inlineStr">
        <is>
          <t>x̄x̄Mx̄DCCCXLII</t>
        </is>
      </c>
      <c r="C29843">
        <f>ROMAN(29842)</f>
        <v/>
      </c>
      <c r="D29843">
        <f>IF(B29843=C29843, "YES", "WRONG")</f>
        <v/>
      </c>
    </row>
    <row r="29844">
      <c r="A29844" t="n">
        <v>29843</v>
      </c>
      <c r="B29844" t="inlineStr">
        <is>
          <t>x̄x̄Mx̄DCCCXLIII</t>
        </is>
      </c>
      <c r="C29844">
        <f>ROMAN(29843)</f>
        <v/>
      </c>
      <c r="D29844">
        <f>IF(B29844=C29844, "YES", "WRONG")</f>
        <v/>
      </c>
    </row>
    <row r="29845">
      <c r="A29845" t="n">
        <v>29844</v>
      </c>
      <c r="B29845" t="inlineStr">
        <is>
          <t>x̄x̄Mx̄DCCCXLIV</t>
        </is>
      </c>
      <c r="C29845">
        <f>ROMAN(29844)</f>
        <v/>
      </c>
      <c r="D29845">
        <f>IF(B29845=C29845, "YES", "WRONG")</f>
        <v/>
      </c>
    </row>
    <row r="29846">
      <c r="A29846" t="n">
        <v>29845</v>
      </c>
      <c r="B29846" t="inlineStr">
        <is>
          <t>x̄x̄Mx̄DCCCXLV</t>
        </is>
      </c>
      <c r="C29846">
        <f>ROMAN(29845)</f>
        <v/>
      </c>
      <c r="D29846">
        <f>IF(B29846=C29846, "YES", "WRONG")</f>
        <v/>
      </c>
    </row>
    <row r="29847">
      <c r="A29847" t="n">
        <v>29846</v>
      </c>
      <c r="B29847" t="inlineStr">
        <is>
          <t>x̄x̄Mx̄DCCCXLVI</t>
        </is>
      </c>
      <c r="C29847">
        <f>ROMAN(29846)</f>
        <v/>
      </c>
      <c r="D29847">
        <f>IF(B29847=C29847, "YES", "WRONG")</f>
        <v/>
      </c>
    </row>
    <row r="29848">
      <c r="A29848" t="n">
        <v>29847</v>
      </c>
      <c r="B29848" t="inlineStr">
        <is>
          <t>x̄x̄Mx̄DCCCXLVII</t>
        </is>
      </c>
      <c r="C29848">
        <f>ROMAN(29847)</f>
        <v/>
      </c>
      <c r="D29848">
        <f>IF(B29848=C29848, "YES", "WRONG")</f>
        <v/>
      </c>
    </row>
    <row r="29849">
      <c r="A29849" t="n">
        <v>29848</v>
      </c>
      <c r="B29849" t="inlineStr">
        <is>
          <t>x̄x̄Mx̄DCCCXLVIII</t>
        </is>
      </c>
      <c r="C29849">
        <f>ROMAN(29848)</f>
        <v/>
      </c>
      <c r="D29849">
        <f>IF(B29849=C29849, "YES", "WRONG")</f>
        <v/>
      </c>
    </row>
    <row r="29850">
      <c r="A29850" t="n">
        <v>29849</v>
      </c>
      <c r="B29850" t="inlineStr">
        <is>
          <t>x̄x̄Mx̄DCCCXLIX</t>
        </is>
      </c>
      <c r="C29850">
        <f>ROMAN(29849)</f>
        <v/>
      </c>
      <c r="D29850">
        <f>IF(B29850=C29850, "YES", "WRONG")</f>
        <v/>
      </c>
    </row>
    <row r="29851">
      <c r="A29851" t="n">
        <v>29850</v>
      </c>
      <c r="B29851" t="inlineStr">
        <is>
          <t>x̄x̄Mx̄DCCCL</t>
        </is>
      </c>
      <c r="C29851">
        <f>ROMAN(29850)</f>
        <v/>
      </c>
      <c r="D29851">
        <f>IF(B29851=C29851, "YES", "WRONG")</f>
        <v/>
      </c>
    </row>
    <row r="29852">
      <c r="A29852" t="n">
        <v>29851</v>
      </c>
      <c r="B29852" t="inlineStr">
        <is>
          <t>x̄x̄Mx̄DCCCLI</t>
        </is>
      </c>
      <c r="C29852">
        <f>ROMAN(29851)</f>
        <v/>
      </c>
      <c r="D29852">
        <f>IF(B29852=C29852, "YES", "WRONG")</f>
        <v/>
      </c>
    </row>
    <row r="29853">
      <c r="A29853" t="n">
        <v>29852</v>
      </c>
      <c r="B29853" t="inlineStr">
        <is>
          <t>x̄x̄Mx̄DCCCLII</t>
        </is>
      </c>
      <c r="C29853">
        <f>ROMAN(29852)</f>
        <v/>
      </c>
      <c r="D29853">
        <f>IF(B29853=C29853, "YES", "WRONG")</f>
        <v/>
      </c>
    </row>
    <row r="29854">
      <c r="A29854" t="n">
        <v>29853</v>
      </c>
      <c r="B29854" t="inlineStr">
        <is>
          <t>x̄x̄Mx̄DCCCLIII</t>
        </is>
      </c>
      <c r="C29854">
        <f>ROMAN(29853)</f>
        <v/>
      </c>
      <c r="D29854">
        <f>IF(B29854=C29854, "YES", "WRONG")</f>
        <v/>
      </c>
    </row>
    <row r="29855">
      <c r="A29855" t="n">
        <v>29854</v>
      </c>
      <c r="B29855" t="inlineStr">
        <is>
          <t>x̄x̄Mx̄DCCCLIV</t>
        </is>
      </c>
      <c r="C29855">
        <f>ROMAN(29854)</f>
        <v/>
      </c>
      <c r="D29855">
        <f>IF(B29855=C29855, "YES", "WRONG")</f>
        <v/>
      </c>
    </row>
    <row r="29856">
      <c r="A29856" t="n">
        <v>29855</v>
      </c>
      <c r="B29856" t="inlineStr">
        <is>
          <t>x̄x̄Mx̄DCCCLV</t>
        </is>
      </c>
      <c r="C29856">
        <f>ROMAN(29855)</f>
        <v/>
      </c>
      <c r="D29856">
        <f>IF(B29856=C29856, "YES", "WRONG")</f>
        <v/>
      </c>
    </row>
    <row r="29857">
      <c r="A29857" t="n">
        <v>29856</v>
      </c>
      <c r="B29857" t="inlineStr">
        <is>
          <t>x̄x̄Mx̄DCCCLVI</t>
        </is>
      </c>
      <c r="C29857">
        <f>ROMAN(29856)</f>
        <v/>
      </c>
      <c r="D29857">
        <f>IF(B29857=C29857, "YES", "WRONG")</f>
        <v/>
      </c>
    </row>
    <row r="29858">
      <c r="A29858" t="n">
        <v>29857</v>
      </c>
      <c r="B29858" t="inlineStr">
        <is>
          <t>x̄x̄Mx̄DCCCLVII</t>
        </is>
      </c>
      <c r="C29858">
        <f>ROMAN(29857)</f>
        <v/>
      </c>
      <c r="D29858">
        <f>IF(B29858=C29858, "YES", "WRONG")</f>
        <v/>
      </c>
    </row>
    <row r="29859">
      <c r="A29859" t="n">
        <v>29858</v>
      </c>
      <c r="B29859" t="inlineStr">
        <is>
          <t>x̄x̄Mx̄DCCCLVIII</t>
        </is>
      </c>
      <c r="C29859">
        <f>ROMAN(29858)</f>
        <v/>
      </c>
      <c r="D29859">
        <f>IF(B29859=C29859, "YES", "WRONG")</f>
        <v/>
      </c>
    </row>
    <row r="29860">
      <c r="A29860" t="n">
        <v>29859</v>
      </c>
      <c r="B29860" t="inlineStr">
        <is>
          <t>x̄x̄Mx̄DCCCLIX</t>
        </is>
      </c>
      <c r="C29860">
        <f>ROMAN(29859)</f>
        <v/>
      </c>
      <c r="D29860">
        <f>IF(B29860=C29860, "YES", "WRONG")</f>
        <v/>
      </c>
    </row>
    <row r="29861">
      <c r="A29861" t="n">
        <v>29860</v>
      </c>
      <c r="B29861" t="inlineStr">
        <is>
          <t>x̄x̄Mx̄DCCCLX</t>
        </is>
      </c>
      <c r="C29861">
        <f>ROMAN(29860)</f>
        <v/>
      </c>
      <c r="D29861">
        <f>IF(B29861=C29861, "YES", "WRONG")</f>
        <v/>
      </c>
    </row>
    <row r="29862">
      <c r="A29862" t="n">
        <v>29861</v>
      </c>
      <c r="B29862" t="inlineStr">
        <is>
          <t>x̄x̄Mx̄DCCCLXI</t>
        </is>
      </c>
      <c r="C29862">
        <f>ROMAN(29861)</f>
        <v/>
      </c>
      <c r="D29862">
        <f>IF(B29862=C29862, "YES", "WRONG")</f>
        <v/>
      </c>
    </row>
    <row r="29863">
      <c r="A29863" t="n">
        <v>29862</v>
      </c>
      <c r="B29863" t="inlineStr">
        <is>
          <t>x̄x̄Mx̄DCCCLXII</t>
        </is>
      </c>
      <c r="C29863">
        <f>ROMAN(29862)</f>
        <v/>
      </c>
      <c r="D29863">
        <f>IF(B29863=C29863, "YES", "WRONG")</f>
        <v/>
      </c>
    </row>
    <row r="29864">
      <c r="A29864" t="n">
        <v>29863</v>
      </c>
      <c r="B29864" t="inlineStr">
        <is>
          <t>x̄x̄Mx̄DCCCLXIII</t>
        </is>
      </c>
      <c r="C29864">
        <f>ROMAN(29863)</f>
        <v/>
      </c>
      <c r="D29864">
        <f>IF(B29864=C29864, "YES", "WRONG")</f>
        <v/>
      </c>
    </row>
    <row r="29865">
      <c r="A29865" t="n">
        <v>29864</v>
      </c>
      <c r="B29865" t="inlineStr">
        <is>
          <t>x̄x̄Mx̄DCCCLXIV</t>
        </is>
      </c>
      <c r="C29865">
        <f>ROMAN(29864)</f>
        <v/>
      </c>
      <c r="D29865">
        <f>IF(B29865=C29865, "YES", "WRONG")</f>
        <v/>
      </c>
    </row>
    <row r="29866">
      <c r="A29866" t="n">
        <v>29865</v>
      </c>
      <c r="B29866" t="inlineStr">
        <is>
          <t>x̄x̄Mx̄DCCCLXV</t>
        </is>
      </c>
      <c r="C29866">
        <f>ROMAN(29865)</f>
        <v/>
      </c>
      <c r="D29866">
        <f>IF(B29866=C29866, "YES", "WRONG")</f>
        <v/>
      </c>
    </row>
    <row r="29867">
      <c r="A29867" t="n">
        <v>29866</v>
      </c>
      <c r="B29867" t="inlineStr">
        <is>
          <t>x̄x̄Mx̄DCCCLXVI</t>
        </is>
      </c>
      <c r="C29867">
        <f>ROMAN(29866)</f>
        <v/>
      </c>
      <c r="D29867">
        <f>IF(B29867=C29867, "YES", "WRONG")</f>
        <v/>
      </c>
    </row>
    <row r="29868">
      <c r="A29868" t="n">
        <v>29867</v>
      </c>
      <c r="B29868" t="inlineStr">
        <is>
          <t>x̄x̄Mx̄DCCCLXVII</t>
        </is>
      </c>
      <c r="C29868">
        <f>ROMAN(29867)</f>
        <v/>
      </c>
      <c r="D29868">
        <f>IF(B29868=C29868, "YES", "WRONG")</f>
        <v/>
      </c>
    </row>
    <row r="29869">
      <c r="A29869" t="n">
        <v>29868</v>
      </c>
      <c r="B29869" t="inlineStr">
        <is>
          <t>x̄x̄Mx̄DCCCLXVIII</t>
        </is>
      </c>
      <c r="C29869">
        <f>ROMAN(29868)</f>
        <v/>
      </c>
      <c r="D29869">
        <f>IF(B29869=C29869, "YES", "WRONG")</f>
        <v/>
      </c>
    </row>
    <row r="29870">
      <c r="A29870" t="n">
        <v>29869</v>
      </c>
      <c r="B29870" t="inlineStr">
        <is>
          <t>x̄x̄Mx̄DCCCLXIX</t>
        </is>
      </c>
      <c r="C29870">
        <f>ROMAN(29869)</f>
        <v/>
      </c>
      <c r="D29870">
        <f>IF(B29870=C29870, "YES", "WRONG")</f>
        <v/>
      </c>
    </row>
    <row r="29871">
      <c r="A29871" t="n">
        <v>29870</v>
      </c>
      <c r="B29871" t="inlineStr">
        <is>
          <t>x̄x̄Mx̄DCCCLXX</t>
        </is>
      </c>
      <c r="C29871">
        <f>ROMAN(29870)</f>
        <v/>
      </c>
      <c r="D29871">
        <f>IF(B29871=C29871, "YES", "WRONG")</f>
        <v/>
      </c>
    </row>
    <row r="29872">
      <c r="A29872" t="n">
        <v>29871</v>
      </c>
      <c r="B29872" t="inlineStr">
        <is>
          <t>x̄x̄Mx̄DCCCLXXI</t>
        </is>
      </c>
      <c r="C29872">
        <f>ROMAN(29871)</f>
        <v/>
      </c>
      <c r="D29872">
        <f>IF(B29872=C29872, "YES", "WRONG")</f>
        <v/>
      </c>
    </row>
    <row r="29873">
      <c r="A29873" t="n">
        <v>29872</v>
      </c>
      <c r="B29873" t="inlineStr">
        <is>
          <t>x̄x̄Mx̄DCCCLXXII</t>
        </is>
      </c>
      <c r="C29873">
        <f>ROMAN(29872)</f>
        <v/>
      </c>
      <c r="D29873">
        <f>IF(B29873=C29873, "YES", "WRONG")</f>
        <v/>
      </c>
    </row>
    <row r="29874">
      <c r="A29874" t="n">
        <v>29873</v>
      </c>
      <c r="B29874" t="inlineStr">
        <is>
          <t>x̄x̄Mx̄DCCCLXXIII</t>
        </is>
      </c>
      <c r="C29874">
        <f>ROMAN(29873)</f>
        <v/>
      </c>
      <c r="D29874">
        <f>IF(B29874=C29874, "YES", "WRONG")</f>
        <v/>
      </c>
    </row>
    <row r="29875">
      <c r="A29875" t="n">
        <v>29874</v>
      </c>
      <c r="B29875" t="inlineStr">
        <is>
          <t>x̄x̄Mx̄DCCCLXXIV</t>
        </is>
      </c>
      <c r="C29875">
        <f>ROMAN(29874)</f>
        <v/>
      </c>
      <c r="D29875">
        <f>IF(B29875=C29875, "YES", "WRONG")</f>
        <v/>
      </c>
    </row>
    <row r="29876">
      <c r="A29876" t="n">
        <v>29875</v>
      </c>
      <c r="B29876" t="inlineStr">
        <is>
          <t>x̄x̄Mx̄DCCCLXXV</t>
        </is>
      </c>
      <c r="C29876">
        <f>ROMAN(29875)</f>
        <v/>
      </c>
      <c r="D29876">
        <f>IF(B29876=C29876, "YES", "WRONG")</f>
        <v/>
      </c>
    </row>
    <row r="29877">
      <c r="A29877" t="n">
        <v>29876</v>
      </c>
      <c r="B29877" t="inlineStr">
        <is>
          <t>x̄x̄Mx̄DCCCLXXVI</t>
        </is>
      </c>
      <c r="C29877">
        <f>ROMAN(29876)</f>
        <v/>
      </c>
      <c r="D29877">
        <f>IF(B29877=C29877, "YES", "WRONG")</f>
        <v/>
      </c>
    </row>
    <row r="29878">
      <c r="A29878" t="n">
        <v>29877</v>
      </c>
      <c r="B29878" t="inlineStr">
        <is>
          <t>x̄x̄Mx̄DCCCLXXVII</t>
        </is>
      </c>
      <c r="C29878">
        <f>ROMAN(29877)</f>
        <v/>
      </c>
      <c r="D29878">
        <f>IF(B29878=C29878, "YES", "WRONG")</f>
        <v/>
      </c>
    </row>
    <row r="29879">
      <c r="A29879" t="n">
        <v>29878</v>
      </c>
      <c r="B29879" t="inlineStr">
        <is>
          <t>x̄x̄Mx̄DCCCLXXVIII</t>
        </is>
      </c>
      <c r="C29879">
        <f>ROMAN(29878)</f>
        <v/>
      </c>
      <c r="D29879">
        <f>IF(B29879=C29879, "YES", "WRONG")</f>
        <v/>
      </c>
    </row>
    <row r="29880">
      <c r="A29880" t="n">
        <v>29879</v>
      </c>
      <c r="B29880" t="inlineStr">
        <is>
          <t>x̄x̄Mx̄DCCCLXXIX</t>
        </is>
      </c>
      <c r="C29880">
        <f>ROMAN(29879)</f>
        <v/>
      </c>
      <c r="D29880">
        <f>IF(B29880=C29880, "YES", "WRONG")</f>
        <v/>
      </c>
    </row>
    <row r="29881">
      <c r="A29881" t="n">
        <v>29880</v>
      </c>
      <c r="B29881" t="inlineStr">
        <is>
          <t>x̄x̄Mx̄DCCCLXXX</t>
        </is>
      </c>
      <c r="C29881">
        <f>ROMAN(29880)</f>
        <v/>
      </c>
      <c r="D29881">
        <f>IF(B29881=C29881, "YES", "WRONG")</f>
        <v/>
      </c>
    </row>
    <row r="29882">
      <c r="A29882" t="n">
        <v>29881</v>
      </c>
      <c r="B29882" t="inlineStr">
        <is>
          <t>x̄x̄Mx̄DCCCLXXXI</t>
        </is>
      </c>
      <c r="C29882">
        <f>ROMAN(29881)</f>
        <v/>
      </c>
      <c r="D29882">
        <f>IF(B29882=C29882, "YES", "WRONG")</f>
        <v/>
      </c>
    </row>
    <row r="29883">
      <c r="A29883" t="n">
        <v>29882</v>
      </c>
      <c r="B29883" t="inlineStr">
        <is>
          <t>x̄x̄Mx̄DCCCLXXXII</t>
        </is>
      </c>
      <c r="C29883">
        <f>ROMAN(29882)</f>
        <v/>
      </c>
      <c r="D29883">
        <f>IF(B29883=C29883, "YES", "WRONG")</f>
        <v/>
      </c>
    </row>
    <row r="29884">
      <c r="A29884" t="n">
        <v>29883</v>
      </c>
      <c r="B29884" t="inlineStr">
        <is>
          <t>x̄x̄Mx̄DCCCLXXXIII</t>
        </is>
      </c>
      <c r="C29884">
        <f>ROMAN(29883)</f>
        <v/>
      </c>
      <c r="D29884">
        <f>IF(B29884=C29884, "YES", "WRONG")</f>
        <v/>
      </c>
    </row>
    <row r="29885">
      <c r="A29885" t="n">
        <v>29884</v>
      </c>
      <c r="B29885" t="inlineStr">
        <is>
          <t>x̄x̄Mx̄DCCCLXXXIV</t>
        </is>
      </c>
      <c r="C29885">
        <f>ROMAN(29884)</f>
        <v/>
      </c>
      <c r="D29885">
        <f>IF(B29885=C29885, "YES", "WRONG")</f>
        <v/>
      </c>
    </row>
    <row r="29886">
      <c r="A29886" t="n">
        <v>29885</v>
      </c>
      <c r="B29886" t="inlineStr">
        <is>
          <t>x̄x̄Mx̄DCCCLXXXV</t>
        </is>
      </c>
      <c r="C29886">
        <f>ROMAN(29885)</f>
        <v/>
      </c>
      <c r="D29886">
        <f>IF(B29886=C29886, "YES", "WRONG")</f>
        <v/>
      </c>
    </row>
    <row r="29887">
      <c r="A29887" t="n">
        <v>29886</v>
      </c>
      <c r="B29887" t="inlineStr">
        <is>
          <t>x̄x̄Mx̄DCCCLXXXVI</t>
        </is>
      </c>
      <c r="C29887">
        <f>ROMAN(29886)</f>
        <v/>
      </c>
      <c r="D29887">
        <f>IF(B29887=C29887, "YES", "WRONG")</f>
        <v/>
      </c>
    </row>
    <row r="29888">
      <c r="A29888" t="n">
        <v>29887</v>
      </c>
      <c r="B29888" t="inlineStr">
        <is>
          <t>x̄x̄Mx̄DCCCLXXXVII</t>
        </is>
      </c>
      <c r="C29888">
        <f>ROMAN(29887)</f>
        <v/>
      </c>
      <c r="D29888">
        <f>IF(B29888=C29888, "YES", "WRONG")</f>
        <v/>
      </c>
    </row>
    <row r="29889">
      <c r="A29889" t="n">
        <v>29888</v>
      </c>
      <c r="B29889" t="inlineStr">
        <is>
          <t>x̄x̄Mx̄DCCCLXXXVIII</t>
        </is>
      </c>
      <c r="C29889">
        <f>ROMAN(29888)</f>
        <v/>
      </c>
      <c r="D29889">
        <f>IF(B29889=C29889, "YES", "WRONG")</f>
        <v/>
      </c>
    </row>
    <row r="29890">
      <c r="A29890" t="n">
        <v>29889</v>
      </c>
      <c r="B29890" t="inlineStr">
        <is>
          <t>x̄x̄Mx̄DCCCLXXXIX</t>
        </is>
      </c>
      <c r="C29890">
        <f>ROMAN(29889)</f>
        <v/>
      </c>
      <c r="D29890">
        <f>IF(B29890=C29890, "YES", "WRONG")</f>
        <v/>
      </c>
    </row>
    <row r="29891">
      <c r="A29891" t="n">
        <v>29890</v>
      </c>
      <c r="B29891" t="inlineStr">
        <is>
          <t>x̄x̄Mx̄DCCCXC</t>
        </is>
      </c>
      <c r="C29891">
        <f>ROMAN(29890)</f>
        <v/>
      </c>
      <c r="D29891">
        <f>IF(B29891=C29891, "YES", "WRONG")</f>
        <v/>
      </c>
    </row>
    <row r="29892">
      <c r="A29892" t="n">
        <v>29891</v>
      </c>
      <c r="B29892" t="inlineStr">
        <is>
          <t>x̄x̄Mx̄DCCCXCI</t>
        </is>
      </c>
      <c r="C29892">
        <f>ROMAN(29891)</f>
        <v/>
      </c>
      <c r="D29892">
        <f>IF(B29892=C29892, "YES", "WRONG")</f>
        <v/>
      </c>
    </row>
    <row r="29893">
      <c r="A29893" t="n">
        <v>29892</v>
      </c>
      <c r="B29893" t="inlineStr">
        <is>
          <t>x̄x̄Mx̄DCCCXCII</t>
        </is>
      </c>
      <c r="C29893">
        <f>ROMAN(29892)</f>
        <v/>
      </c>
      <c r="D29893">
        <f>IF(B29893=C29893, "YES", "WRONG")</f>
        <v/>
      </c>
    </row>
    <row r="29894">
      <c r="A29894" t="n">
        <v>29893</v>
      </c>
      <c r="B29894" t="inlineStr">
        <is>
          <t>x̄x̄Mx̄DCCCXCIII</t>
        </is>
      </c>
      <c r="C29894">
        <f>ROMAN(29893)</f>
        <v/>
      </c>
      <c r="D29894">
        <f>IF(B29894=C29894, "YES", "WRONG")</f>
        <v/>
      </c>
    </row>
    <row r="29895">
      <c r="A29895" t="n">
        <v>29894</v>
      </c>
      <c r="B29895" t="inlineStr">
        <is>
          <t>x̄x̄Mx̄DCCCXCIV</t>
        </is>
      </c>
      <c r="C29895">
        <f>ROMAN(29894)</f>
        <v/>
      </c>
      <c r="D29895">
        <f>IF(B29895=C29895, "YES", "WRONG")</f>
        <v/>
      </c>
    </row>
    <row r="29896">
      <c r="A29896" t="n">
        <v>29895</v>
      </c>
      <c r="B29896" t="inlineStr">
        <is>
          <t>x̄x̄Mx̄DCCCXCV</t>
        </is>
      </c>
      <c r="C29896">
        <f>ROMAN(29895)</f>
        <v/>
      </c>
      <c r="D29896">
        <f>IF(B29896=C29896, "YES", "WRONG")</f>
        <v/>
      </c>
    </row>
    <row r="29897">
      <c r="A29897" t="n">
        <v>29896</v>
      </c>
      <c r="B29897" t="inlineStr">
        <is>
          <t>x̄x̄Mx̄DCCCXCVI</t>
        </is>
      </c>
      <c r="C29897">
        <f>ROMAN(29896)</f>
        <v/>
      </c>
      <c r="D29897">
        <f>IF(B29897=C29897, "YES", "WRONG")</f>
        <v/>
      </c>
    </row>
    <row r="29898">
      <c r="A29898" t="n">
        <v>29897</v>
      </c>
      <c r="B29898" t="inlineStr">
        <is>
          <t>x̄x̄Mx̄DCCCXCVII</t>
        </is>
      </c>
      <c r="C29898">
        <f>ROMAN(29897)</f>
        <v/>
      </c>
      <c r="D29898">
        <f>IF(B29898=C29898, "YES", "WRONG")</f>
        <v/>
      </c>
    </row>
    <row r="29899">
      <c r="A29899" t="n">
        <v>29898</v>
      </c>
      <c r="B29899" t="inlineStr">
        <is>
          <t>x̄x̄Mx̄DCCCXCVIII</t>
        </is>
      </c>
      <c r="C29899">
        <f>ROMAN(29898)</f>
        <v/>
      </c>
      <c r="D29899">
        <f>IF(B29899=C29899, "YES", "WRONG")</f>
        <v/>
      </c>
    </row>
    <row r="29900">
      <c r="A29900" t="n">
        <v>29899</v>
      </c>
      <c r="B29900" t="inlineStr">
        <is>
          <t>x̄x̄Mx̄DCCCXCIX</t>
        </is>
      </c>
      <c r="C29900">
        <f>ROMAN(29899)</f>
        <v/>
      </c>
      <c r="D29900">
        <f>IF(B29900=C29900, "YES", "WRONG")</f>
        <v/>
      </c>
    </row>
    <row r="29901">
      <c r="A29901" t="n">
        <v>29900</v>
      </c>
      <c r="B29901" t="inlineStr">
        <is>
          <t>x̄x̄Mx̄CM</t>
        </is>
      </c>
      <c r="C29901">
        <f>ROMAN(29900)</f>
        <v/>
      </c>
      <c r="D29901">
        <f>IF(B29901=C29901, "YES", "WRONG")</f>
        <v/>
      </c>
    </row>
    <row r="29902">
      <c r="A29902" t="n">
        <v>29901</v>
      </c>
      <c r="B29902" t="inlineStr">
        <is>
          <t>x̄x̄Mx̄CMI</t>
        </is>
      </c>
      <c r="C29902">
        <f>ROMAN(29901)</f>
        <v/>
      </c>
      <c r="D29902">
        <f>IF(B29902=C29902, "YES", "WRONG")</f>
        <v/>
      </c>
    </row>
    <row r="29903">
      <c r="A29903" t="n">
        <v>29902</v>
      </c>
      <c r="B29903" t="inlineStr">
        <is>
          <t>x̄x̄Mx̄CMII</t>
        </is>
      </c>
      <c r="C29903">
        <f>ROMAN(29902)</f>
        <v/>
      </c>
      <c r="D29903">
        <f>IF(B29903=C29903, "YES", "WRONG")</f>
        <v/>
      </c>
    </row>
    <row r="29904">
      <c r="A29904" t="n">
        <v>29903</v>
      </c>
      <c r="B29904" t="inlineStr">
        <is>
          <t>x̄x̄Mx̄CMIII</t>
        </is>
      </c>
      <c r="C29904">
        <f>ROMAN(29903)</f>
        <v/>
      </c>
      <c r="D29904">
        <f>IF(B29904=C29904, "YES", "WRONG")</f>
        <v/>
      </c>
    </row>
    <row r="29905">
      <c r="A29905" t="n">
        <v>29904</v>
      </c>
      <c r="B29905" t="inlineStr">
        <is>
          <t>x̄x̄Mx̄CMIV</t>
        </is>
      </c>
      <c r="C29905">
        <f>ROMAN(29904)</f>
        <v/>
      </c>
      <c r="D29905">
        <f>IF(B29905=C29905, "YES", "WRONG")</f>
        <v/>
      </c>
    </row>
    <row r="29906">
      <c r="A29906" t="n">
        <v>29905</v>
      </c>
      <c r="B29906" t="inlineStr">
        <is>
          <t>x̄x̄Mx̄CMV</t>
        </is>
      </c>
      <c r="C29906">
        <f>ROMAN(29905)</f>
        <v/>
      </c>
      <c r="D29906">
        <f>IF(B29906=C29906, "YES", "WRONG")</f>
        <v/>
      </c>
    </row>
    <row r="29907">
      <c r="A29907" t="n">
        <v>29906</v>
      </c>
      <c r="B29907" t="inlineStr">
        <is>
          <t>x̄x̄Mx̄CMVI</t>
        </is>
      </c>
      <c r="C29907">
        <f>ROMAN(29906)</f>
        <v/>
      </c>
      <c r="D29907">
        <f>IF(B29907=C29907, "YES", "WRONG")</f>
        <v/>
      </c>
    </row>
    <row r="29908">
      <c r="A29908" t="n">
        <v>29907</v>
      </c>
      <c r="B29908" t="inlineStr">
        <is>
          <t>x̄x̄Mx̄CMVII</t>
        </is>
      </c>
      <c r="C29908">
        <f>ROMAN(29907)</f>
        <v/>
      </c>
      <c r="D29908">
        <f>IF(B29908=C29908, "YES", "WRONG")</f>
        <v/>
      </c>
    </row>
    <row r="29909">
      <c r="A29909" t="n">
        <v>29908</v>
      </c>
      <c r="B29909" t="inlineStr">
        <is>
          <t>x̄x̄Mx̄CMVIII</t>
        </is>
      </c>
      <c r="C29909">
        <f>ROMAN(29908)</f>
        <v/>
      </c>
      <c r="D29909">
        <f>IF(B29909=C29909, "YES", "WRONG")</f>
        <v/>
      </c>
    </row>
    <row r="29910">
      <c r="A29910" t="n">
        <v>29909</v>
      </c>
      <c r="B29910" t="inlineStr">
        <is>
          <t>x̄x̄Mx̄CMIX</t>
        </is>
      </c>
      <c r="C29910">
        <f>ROMAN(29909)</f>
        <v/>
      </c>
      <c r="D29910">
        <f>IF(B29910=C29910, "YES", "WRONG")</f>
        <v/>
      </c>
    </row>
    <row r="29911">
      <c r="A29911" t="n">
        <v>29910</v>
      </c>
      <c r="B29911" t="inlineStr">
        <is>
          <t>x̄x̄Mx̄CMX</t>
        </is>
      </c>
      <c r="C29911">
        <f>ROMAN(29910)</f>
        <v/>
      </c>
      <c r="D29911">
        <f>IF(B29911=C29911, "YES", "WRONG")</f>
        <v/>
      </c>
    </row>
    <row r="29912">
      <c r="A29912" t="n">
        <v>29911</v>
      </c>
      <c r="B29912" t="inlineStr">
        <is>
          <t>x̄x̄Mx̄CMXI</t>
        </is>
      </c>
      <c r="C29912">
        <f>ROMAN(29911)</f>
        <v/>
      </c>
      <c r="D29912">
        <f>IF(B29912=C29912, "YES", "WRONG")</f>
        <v/>
      </c>
    </row>
    <row r="29913">
      <c r="A29913" t="n">
        <v>29912</v>
      </c>
      <c r="B29913" t="inlineStr">
        <is>
          <t>x̄x̄Mx̄CMXII</t>
        </is>
      </c>
      <c r="C29913">
        <f>ROMAN(29912)</f>
        <v/>
      </c>
      <c r="D29913">
        <f>IF(B29913=C29913, "YES", "WRONG")</f>
        <v/>
      </c>
    </row>
    <row r="29914">
      <c r="A29914" t="n">
        <v>29913</v>
      </c>
      <c r="B29914" t="inlineStr">
        <is>
          <t>x̄x̄Mx̄CMXIII</t>
        </is>
      </c>
      <c r="C29914">
        <f>ROMAN(29913)</f>
        <v/>
      </c>
      <c r="D29914">
        <f>IF(B29914=C29914, "YES", "WRONG")</f>
        <v/>
      </c>
    </row>
    <row r="29915">
      <c r="A29915" t="n">
        <v>29914</v>
      </c>
      <c r="B29915" t="inlineStr">
        <is>
          <t>x̄x̄Mx̄CMXIV</t>
        </is>
      </c>
      <c r="C29915">
        <f>ROMAN(29914)</f>
        <v/>
      </c>
      <c r="D29915">
        <f>IF(B29915=C29915, "YES", "WRONG")</f>
        <v/>
      </c>
    </row>
    <row r="29916">
      <c r="A29916" t="n">
        <v>29915</v>
      </c>
      <c r="B29916" t="inlineStr">
        <is>
          <t>x̄x̄Mx̄CMXV</t>
        </is>
      </c>
      <c r="C29916">
        <f>ROMAN(29915)</f>
        <v/>
      </c>
      <c r="D29916">
        <f>IF(B29916=C29916, "YES", "WRONG")</f>
        <v/>
      </c>
    </row>
    <row r="29917">
      <c r="A29917" t="n">
        <v>29916</v>
      </c>
      <c r="B29917" t="inlineStr">
        <is>
          <t>x̄x̄Mx̄CMXVI</t>
        </is>
      </c>
      <c r="C29917">
        <f>ROMAN(29916)</f>
        <v/>
      </c>
      <c r="D29917">
        <f>IF(B29917=C29917, "YES", "WRONG")</f>
        <v/>
      </c>
    </row>
    <row r="29918">
      <c r="A29918" t="n">
        <v>29917</v>
      </c>
      <c r="B29918" t="inlineStr">
        <is>
          <t>x̄x̄Mx̄CMXVII</t>
        </is>
      </c>
      <c r="C29918">
        <f>ROMAN(29917)</f>
        <v/>
      </c>
      <c r="D29918">
        <f>IF(B29918=C29918, "YES", "WRONG")</f>
        <v/>
      </c>
    </row>
    <row r="29919">
      <c r="A29919" t="n">
        <v>29918</v>
      </c>
      <c r="B29919" t="inlineStr">
        <is>
          <t>x̄x̄Mx̄CMXVIII</t>
        </is>
      </c>
      <c r="C29919">
        <f>ROMAN(29918)</f>
        <v/>
      </c>
      <c r="D29919">
        <f>IF(B29919=C29919, "YES", "WRONG")</f>
        <v/>
      </c>
    </row>
    <row r="29920">
      <c r="A29920" t="n">
        <v>29919</v>
      </c>
      <c r="B29920" t="inlineStr">
        <is>
          <t>x̄x̄Mx̄CMXIX</t>
        </is>
      </c>
      <c r="C29920">
        <f>ROMAN(29919)</f>
        <v/>
      </c>
      <c r="D29920">
        <f>IF(B29920=C29920, "YES", "WRONG")</f>
        <v/>
      </c>
    </row>
    <row r="29921">
      <c r="A29921" t="n">
        <v>29920</v>
      </c>
      <c r="B29921" t="inlineStr">
        <is>
          <t>x̄x̄Mx̄CMXX</t>
        </is>
      </c>
      <c r="C29921">
        <f>ROMAN(29920)</f>
        <v/>
      </c>
      <c r="D29921">
        <f>IF(B29921=C29921, "YES", "WRONG")</f>
        <v/>
      </c>
    </row>
    <row r="29922">
      <c r="A29922" t="n">
        <v>29921</v>
      </c>
      <c r="B29922" t="inlineStr">
        <is>
          <t>x̄x̄Mx̄CMXXI</t>
        </is>
      </c>
      <c r="C29922">
        <f>ROMAN(29921)</f>
        <v/>
      </c>
      <c r="D29922">
        <f>IF(B29922=C29922, "YES", "WRONG")</f>
        <v/>
      </c>
    </row>
    <row r="29923">
      <c r="A29923" t="n">
        <v>29922</v>
      </c>
      <c r="B29923" t="inlineStr">
        <is>
          <t>x̄x̄Mx̄CMXXII</t>
        </is>
      </c>
      <c r="C29923">
        <f>ROMAN(29922)</f>
        <v/>
      </c>
      <c r="D29923">
        <f>IF(B29923=C29923, "YES", "WRONG")</f>
        <v/>
      </c>
    </row>
    <row r="29924">
      <c r="A29924" t="n">
        <v>29923</v>
      </c>
      <c r="B29924" t="inlineStr">
        <is>
          <t>x̄x̄Mx̄CMXXIII</t>
        </is>
      </c>
      <c r="C29924">
        <f>ROMAN(29923)</f>
        <v/>
      </c>
      <c r="D29924">
        <f>IF(B29924=C29924, "YES", "WRONG")</f>
        <v/>
      </c>
    </row>
    <row r="29925">
      <c r="A29925" t="n">
        <v>29924</v>
      </c>
      <c r="B29925" t="inlineStr">
        <is>
          <t>x̄x̄Mx̄CMXXIV</t>
        </is>
      </c>
      <c r="C29925">
        <f>ROMAN(29924)</f>
        <v/>
      </c>
      <c r="D29925">
        <f>IF(B29925=C29925, "YES", "WRONG")</f>
        <v/>
      </c>
    </row>
    <row r="29926">
      <c r="A29926" t="n">
        <v>29925</v>
      </c>
      <c r="B29926" t="inlineStr">
        <is>
          <t>x̄x̄Mx̄CMXXV</t>
        </is>
      </c>
      <c r="C29926">
        <f>ROMAN(29925)</f>
        <v/>
      </c>
      <c r="D29926">
        <f>IF(B29926=C29926, "YES", "WRONG")</f>
        <v/>
      </c>
    </row>
    <row r="29927">
      <c r="A29927" t="n">
        <v>29926</v>
      </c>
      <c r="B29927" t="inlineStr">
        <is>
          <t>x̄x̄Mx̄CMXXVI</t>
        </is>
      </c>
      <c r="C29927">
        <f>ROMAN(29926)</f>
        <v/>
      </c>
      <c r="D29927">
        <f>IF(B29927=C29927, "YES", "WRONG")</f>
        <v/>
      </c>
    </row>
    <row r="29928">
      <c r="A29928" t="n">
        <v>29927</v>
      </c>
      <c r="B29928" t="inlineStr">
        <is>
          <t>x̄x̄Mx̄CMXXVII</t>
        </is>
      </c>
      <c r="C29928">
        <f>ROMAN(29927)</f>
        <v/>
      </c>
      <c r="D29928">
        <f>IF(B29928=C29928, "YES", "WRONG")</f>
        <v/>
      </c>
    </row>
    <row r="29929">
      <c r="A29929" t="n">
        <v>29928</v>
      </c>
      <c r="B29929" t="inlineStr">
        <is>
          <t>x̄x̄Mx̄CMXXVIII</t>
        </is>
      </c>
      <c r="C29929">
        <f>ROMAN(29928)</f>
        <v/>
      </c>
      <c r="D29929">
        <f>IF(B29929=C29929, "YES", "WRONG")</f>
        <v/>
      </c>
    </row>
    <row r="29930">
      <c r="A29930" t="n">
        <v>29929</v>
      </c>
      <c r="B29930" t="inlineStr">
        <is>
          <t>x̄x̄Mx̄CMXXIX</t>
        </is>
      </c>
      <c r="C29930">
        <f>ROMAN(29929)</f>
        <v/>
      </c>
      <c r="D29930">
        <f>IF(B29930=C29930, "YES", "WRONG")</f>
        <v/>
      </c>
    </row>
    <row r="29931">
      <c r="A29931" t="n">
        <v>29930</v>
      </c>
      <c r="B29931" t="inlineStr">
        <is>
          <t>x̄x̄Mx̄CMXXX</t>
        </is>
      </c>
      <c r="C29931">
        <f>ROMAN(29930)</f>
        <v/>
      </c>
      <c r="D29931">
        <f>IF(B29931=C29931, "YES", "WRONG")</f>
        <v/>
      </c>
    </row>
    <row r="29932">
      <c r="A29932" t="n">
        <v>29931</v>
      </c>
      <c r="B29932" t="inlineStr">
        <is>
          <t>x̄x̄Mx̄CMXXXI</t>
        </is>
      </c>
      <c r="C29932">
        <f>ROMAN(29931)</f>
        <v/>
      </c>
      <c r="D29932">
        <f>IF(B29932=C29932, "YES", "WRONG")</f>
        <v/>
      </c>
    </row>
    <row r="29933">
      <c r="A29933" t="n">
        <v>29932</v>
      </c>
      <c r="B29933" t="inlineStr">
        <is>
          <t>x̄x̄Mx̄CMXXXII</t>
        </is>
      </c>
      <c r="C29933">
        <f>ROMAN(29932)</f>
        <v/>
      </c>
      <c r="D29933">
        <f>IF(B29933=C29933, "YES", "WRONG")</f>
        <v/>
      </c>
    </row>
    <row r="29934">
      <c r="A29934" t="n">
        <v>29933</v>
      </c>
      <c r="B29934" t="inlineStr">
        <is>
          <t>x̄x̄Mx̄CMXXXIII</t>
        </is>
      </c>
      <c r="C29934">
        <f>ROMAN(29933)</f>
        <v/>
      </c>
      <c r="D29934">
        <f>IF(B29934=C29934, "YES", "WRONG")</f>
        <v/>
      </c>
    </row>
    <row r="29935">
      <c r="A29935" t="n">
        <v>29934</v>
      </c>
      <c r="B29935" t="inlineStr">
        <is>
          <t>x̄x̄Mx̄CMXXXIV</t>
        </is>
      </c>
      <c r="C29935">
        <f>ROMAN(29934)</f>
        <v/>
      </c>
      <c r="D29935">
        <f>IF(B29935=C29935, "YES", "WRONG")</f>
        <v/>
      </c>
    </row>
    <row r="29936">
      <c r="A29936" t="n">
        <v>29935</v>
      </c>
      <c r="B29936" t="inlineStr">
        <is>
          <t>x̄x̄Mx̄CMXXXV</t>
        </is>
      </c>
      <c r="C29936">
        <f>ROMAN(29935)</f>
        <v/>
      </c>
      <c r="D29936">
        <f>IF(B29936=C29936, "YES", "WRONG")</f>
        <v/>
      </c>
    </row>
    <row r="29937">
      <c r="A29937" t="n">
        <v>29936</v>
      </c>
      <c r="B29937" t="inlineStr">
        <is>
          <t>x̄x̄Mx̄CMXXXVI</t>
        </is>
      </c>
      <c r="C29937">
        <f>ROMAN(29936)</f>
        <v/>
      </c>
      <c r="D29937">
        <f>IF(B29937=C29937, "YES", "WRONG")</f>
        <v/>
      </c>
    </row>
    <row r="29938">
      <c r="A29938" t="n">
        <v>29937</v>
      </c>
      <c r="B29938" t="inlineStr">
        <is>
          <t>x̄x̄Mx̄CMXXXVII</t>
        </is>
      </c>
      <c r="C29938">
        <f>ROMAN(29937)</f>
        <v/>
      </c>
      <c r="D29938">
        <f>IF(B29938=C29938, "YES", "WRONG")</f>
        <v/>
      </c>
    </row>
    <row r="29939">
      <c r="A29939" t="n">
        <v>29938</v>
      </c>
      <c r="B29939" t="inlineStr">
        <is>
          <t>x̄x̄Mx̄CMXXXVIII</t>
        </is>
      </c>
      <c r="C29939">
        <f>ROMAN(29938)</f>
        <v/>
      </c>
      <c r="D29939">
        <f>IF(B29939=C29939, "YES", "WRONG")</f>
        <v/>
      </c>
    </row>
    <row r="29940">
      <c r="A29940" t="n">
        <v>29939</v>
      </c>
      <c r="B29940" t="inlineStr">
        <is>
          <t>x̄x̄Mx̄CMXXXIX</t>
        </is>
      </c>
      <c r="C29940">
        <f>ROMAN(29939)</f>
        <v/>
      </c>
      <c r="D29940">
        <f>IF(B29940=C29940, "YES", "WRONG")</f>
        <v/>
      </c>
    </row>
    <row r="29941">
      <c r="A29941" t="n">
        <v>29940</v>
      </c>
      <c r="B29941" t="inlineStr">
        <is>
          <t>x̄x̄Mx̄CMXL</t>
        </is>
      </c>
      <c r="C29941">
        <f>ROMAN(29940)</f>
        <v/>
      </c>
      <c r="D29941">
        <f>IF(B29941=C29941, "YES", "WRONG")</f>
        <v/>
      </c>
    </row>
    <row r="29942">
      <c r="A29942" t="n">
        <v>29941</v>
      </c>
      <c r="B29942" t="inlineStr">
        <is>
          <t>x̄x̄Mx̄CMXLI</t>
        </is>
      </c>
      <c r="C29942">
        <f>ROMAN(29941)</f>
        <v/>
      </c>
      <c r="D29942">
        <f>IF(B29942=C29942, "YES", "WRONG")</f>
        <v/>
      </c>
    </row>
    <row r="29943">
      <c r="A29943" t="n">
        <v>29942</v>
      </c>
      <c r="B29943" t="inlineStr">
        <is>
          <t>x̄x̄Mx̄CMXLII</t>
        </is>
      </c>
      <c r="C29943">
        <f>ROMAN(29942)</f>
        <v/>
      </c>
      <c r="D29943">
        <f>IF(B29943=C29943, "YES", "WRONG")</f>
        <v/>
      </c>
    </row>
    <row r="29944">
      <c r="A29944" t="n">
        <v>29943</v>
      </c>
      <c r="B29944" t="inlineStr">
        <is>
          <t>x̄x̄Mx̄CMXLIII</t>
        </is>
      </c>
      <c r="C29944">
        <f>ROMAN(29943)</f>
        <v/>
      </c>
      <c r="D29944">
        <f>IF(B29944=C29944, "YES", "WRONG")</f>
        <v/>
      </c>
    </row>
    <row r="29945">
      <c r="A29945" t="n">
        <v>29944</v>
      </c>
      <c r="B29945" t="inlineStr">
        <is>
          <t>x̄x̄Mx̄CMXLIV</t>
        </is>
      </c>
      <c r="C29945">
        <f>ROMAN(29944)</f>
        <v/>
      </c>
      <c r="D29945">
        <f>IF(B29945=C29945, "YES", "WRONG")</f>
        <v/>
      </c>
    </row>
    <row r="29946">
      <c r="A29946" t="n">
        <v>29945</v>
      </c>
      <c r="B29946" t="inlineStr">
        <is>
          <t>x̄x̄Mx̄CMXLV</t>
        </is>
      </c>
      <c r="C29946">
        <f>ROMAN(29945)</f>
        <v/>
      </c>
      <c r="D29946">
        <f>IF(B29946=C29946, "YES", "WRONG")</f>
        <v/>
      </c>
    </row>
    <row r="29947">
      <c r="A29947" t="n">
        <v>29946</v>
      </c>
      <c r="B29947" t="inlineStr">
        <is>
          <t>x̄x̄Mx̄CMXLVI</t>
        </is>
      </c>
      <c r="C29947">
        <f>ROMAN(29946)</f>
        <v/>
      </c>
      <c r="D29947">
        <f>IF(B29947=C29947, "YES", "WRONG")</f>
        <v/>
      </c>
    </row>
    <row r="29948">
      <c r="A29948" t="n">
        <v>29947</v>
      </c>
      <c r="B29948" t="inlineStr">
        <is>
          <t>x̄x̄Mx̄CMXLVII</t>
        </is>
      </c>
      <c r="C29948">
        <f>ROMAN(29947)</f>
        <v/>
      </c>
      <c r="D29948">
        <f>IF(B29948=C29948, "YES", "WRONG")</f>
        <v/>
      </c>
    </row>
    <row r="29949">
      <c r="A29949" t="n">
        <v>29948</v>
      </c>
      <c r="B29949" t="inlineStr">
        <is>
          <t>x̄x̄Mx̄CMXLVIII</t>
        </is>
      </c>
      <c r="C29949">
        <f>ROMAN(29948)</f>
        <v/>
      </c>
      <c r="D29949">
        <f>IF(B29949=C29949, "YES", "WRONG")</f>
        <v/>
      </c>
    </row>
    <row r="29950">
      <c r="A29950" t="n">
        <v>29949</v>
      </c>
      <c r="B29950" t="inlineStr">
        <is>
          <t>x̄x̄Mx̄CMXLIX</t>
        </is>
      </c>
      <c r="C29950">
        <f>ROMAN(29949)</f>
        <v/>
      </c>
      <c r="D29950">
        <f>IF(B29950=C29950, "YES", "WRONG")</f>
        <v/>
      </c>
    </row>
    <row r="29951">
      <c r="A29951" t="n">
        <v>29950</v>
      </c>
      <c r="B29951" t="inlineStr">
        <is>
          <t>x̄x̄Mx̄CML</t>
        </is>
      </c>
      <c r="C29951">
        <f>ROMAN(29950)</f>
        <v/>
      </c>
      <c r="D29951">
        <f>IF(B29951=C29951, "YES", "WRONG")</f>
        <v/>
      </c>
    </row>
    <row r="29952">
      <c r="A29952" t="n">
        <v>29951</v>
      </c>
      <c r="B29952" t="inlineStr">
        <is>
          <t>x̄x̄Mx̄CMLI</t>
        </is>
      </c>
      <c r="C29952">
        <f>ROMAN(29951)</f>
        <v/>
      </c>
      <c r="D29952">
        <f>IF(B29952=C29952, "YES", "WRONG")</f>
        <v/>
      </c>
    </row>
    <row r="29953">
      <c r="A29953" t="n">
        <v>29952</v>
      </c>
      <c r="B29953" t="inlineStr">
        <is>
          <t>x̄x̄Mx̄CMLII</t>
        </is>
      </c>
      <c r="C29953">
        <f>ROMAN(29952)</f>
        <v/>
      </c>
      <c r="D29953">
        <f>IF(B29953=C29953, "YES", "WRONG")</f>
        <v/>
      </c>
    </row>
    <row r="29954">
      <c r="A29954" t="n">
        <v>29953</v>
      </c>
      <c r="B29954" t="inlineStr">
        <is>
          <t>x̄x̄Mx̄CMLIII</t>
        </is>
      </c>
      <c r="C29954">
        <f>ROMAN(29953)</f>
        <v/>
      </c>
      <c r="D29954">
        <f>IF(B29954=C29954, "YES", "WRONG")</f>
        <v/>
      </c>
    </row>
    <row r="29955">
      <c r="A29955" t="n">
        <v>29954</v>
      </c>
      <c r="B29955" t="inlineStr">
        <is>
          <t>x̄x̄Mx̄CMLIV</t>
        </is>
      </c>
      <c r="C29955">
        <f>ROMAN(29954)</f>
        <v/>
      </c>
      <c r="D29955">
        <f>IF(B29955=C29955, "YES", "WRONG")</f>
        <v/>
      </c>
    </row>
    <row r="29956">
      <c r="A29956" t="n">
        <v>29955</v>
      </c>
      <c r="B29956" t="inlineStr">
        <is>
          <t>x̄x̄Mx̄CMLV</t>
        </is>
      </c>
      <c r="C29956">
        <f>ROMAN(29955)</f>
        <v/>
      </c>
      <c r="D29956">
        <f>IF(B29956=C29956, "YES", "WRONG")</f>
        <v/>
      </c>
    </row>
    <row r="29957">
      <c r="A29957" t="n">
        <v>29956</v>
      </c>
      <c r="B29957" t="inlineStr">
        <is>
          <t>x̄x̄Mx̄CMLVI</t>
        </is>
      </c>
      <c r="C29957">
        <f>ROMAN(29956)</f>
        <v/>
      </c>
      <c r="D29957">
        <f>IF(B29957=C29957, "YES", "WRONG")</f>
        <v/>
      </c>
    </row>
    <row r="29958">
      <c r="A29958" t="n">
        <v>29957</v>
      </c>
      <c r="B29958" t="inlineStr">
        <is>
          <t>x̄x̄Mx̄CMLVII</t>
        </is>
      </c>
      <c r="C29958">
        <f>ROMAN(29957)</f>
        <v/>
      </c>
      <c r="D29958">
        <f>IF(B29958=C29958, "YES", "WRONG")</f>
        <v/>
      </c>
    </row>
    <row r="29959">
      <c r="A29959" t="n">
        <v>29958</v>
      </c>
      <c r="B29959" t="inlineStr">
        <is>
          <t>x̄x̄Mx̄CMLVIII</t>
        </is>
      </c>
      <c r="C29959">
        <f>ROMAN(29958)</f>
        <v/>
      </c>
      <c r="D29959">
        <f>IF(B29959=C29959, "YES", "WRONG")</f>
        <v/>
      </c>
    </row>
    <row r="29960">
      <c r="A29960" t="n">
        <v>29959</v>
      </c>
      <c r="B29960" t="inlineStr">
        <is>
          <t>x̄x̄Mx̄CMLIX</t>
        </is>
      </c>
      <c r="C29960">
        <f>ROMAN(29959)</f>
        <v/>
      </c>
      <c r="D29960">
        <f>IF(B29960=C29960, "YES", "WRONG")</f>
        <v/>
      </c>
    </row>
    <row r="29961">
      <c r="A29961" t="n">
        <v>29960</v>
      </c>
      <c r="B29961" t="inlineStr">
        <is>
          <t>x̄x̄Mx̄CMLX</t>
        </is>
      </c>
      <c r="C29961">
        <f>ROMAN(29960)</f>
        <v/>
      </c>
      <c r="D29961">
        <f>IF(B29961=C29961, "YES", "WRONG")</f>
        <v/>
      </c>
    </row>
    <row r="29962">
      <c r="A29962" t="n">
        <v>29961</v>
      </c>
      <c r="B29962" t="inlineStr">
        <is>
          <t>x̄x̄Mx̄CMLXI</t>
        </is>
      </c>
      <c r="C29962">
        <f>ROMAN(29961)</f>
        <v/>
      </c>
      <c r="D29962">
        <f>IF(B29962=C29962, "YES", "WRONG")</f>
        <v/>
      </c>
    </row>
    <row r="29963">
      <c r="A29963" t="n">
        <v>29962</v>
      </c>
      <c r="B29963" t="inlineStr">
        <is>
          <t>x̄x̄Mx̄CMLXII</t>
        </is>
      </c>
      <c r="C29963">
        <f>ROMAN(29962)</f>
        <v/>
      </c>
      <c r="D29963">
        <f>IF(B29963=C29963, "YES", "WRONG")</f>
        <v/>
      </c>
    </row>
    <row r="29964">
      <c r="A29964" t="n">
        <v>29963</v>
      </c>
      <c r="B29964" t="inlineStr">
        <is>
          <t>x̄x̄Mx̄CMLXIII</t>
        </is>
      </c>
      <c r="C29964">
        <f>ROMAN(29963)</f>
        <v/>
      </c>
      <c r="D29964">
        <f>IF(B29964=C29964, "YES", "WRONG")</f>
        <v/>
      </c>
    </row>
    <row r="29965">
      <c r="A29965" t="n">
        <v>29964</v>
      </c>
      <c r="B29965" t="inlineStr">
        <is>
          <t>x̄x̄Mx̄CMLXIV</t>
        </is>
      </c>
      <c r="C29965">
        <f>ROMAN(29964)</f>
        <v/>
      </c>
      <c r="D29965">
        <f>IF(B29965=C29965, "YES", "WRONG")</f>
        <v/>
      </c>
    </row>
    <row r="29966">
      <c r="A29966" t="n">
        <v>29965</v>
      </c>
      <c r="B29966" t="inlineStr">
        <is>
          <t>x̄x̄Mx̄CMLXV</t>
        </is>
      </c>
      <c r="C29966">
        <f>ROMAN(29965)</f>
        <v/>
      </c>
      <c r="D29966">
        <f>IF(B29966=C29966, "YES", "WRONG")</f>
        <v/>
      </c>
    </row>
    <row r="29967">
      <c r="A29967" t="n">
        <v>29966</v>
      </c>
      <c r="B29967" t="inlineStr">
        <is>
          <t>x̄x̄Mx̄CMLXVI</t>
        </is>
      </c>
      <c r="C29967">
        <f>ROMAN(29966)</f>
        <v/>
      </c>
      <c r="D29967">
        <f>IF(B29967=C29967, "YES", "WRONG")</f>
        <v/>
      </c>
    </row>
    <row r="29968">
      <c r="A29968" t="n">
        <v>29967</v>
      </c>
      <c r="B29968" t="inlineStr">
        <is>
          <t>x̄x̄Mx̄CMLXVII</t>
        </is>
      </c>
      <c r="C29968">
        <f>ROMAN(29967)</f>
        <v/>
      </c>
      <c r="D29968">
        <f>IF(B29968=C29968, "YES", "WRONG")</f>
        <v/>
      </c>
    </row>
    <row r="29969">
      <c r="A29969" t="n">
        <v>29968</v>
      </c>
      <c r="B29969" t="inlineStr">
        <is>
          <t>x̄x̄Mx̄CMLXVIII</t>
        </is>
      </c>
      <c r="C29969">
        <f>ROMAN(29968)</f>
        <v/>
      </c>
      <c r="D29969">
        <f>IF(B29969=C29969, "YES", "WRONG")</f>
        <v/>
      </c>
    </row>
    <row r="29970">
      <c r="A29970" t="n">
        <v>29969</v>
      </c>
      <c r="B29970" t="inlineStr">
        <is>
          <t>x̄x̄Mx̄CMLXIX</t>
        </is>
      </c>
      <c r="C29970">
        <f>ROMAN(29969)</f>
        <v/>
      </c>
      <c r="D29970">
        <f>IF(B29970=C29970, "YES", "WRONG")</f>
        <v/>
      </c>
    </row>
    <row r="29971">
      <c r="A29971" t="n">
        <v>29970</v>
      </c>
      <c r="B29971" t="inlineStr">
        <is>
          <t>x̄x̄Mx̄CMLXX</t>
        </is>
      </c>
      <c r="C29971">
        <f>ROMAN(29970)</f>
        <v/>
      </c>
      <c r="D29971">
        <f>IF(B29971=C29971, "YES", "WRONG")</f>
        <v/>
      </c>
    </row>
    <row r="29972">
      <c r="A29972" t="n">
        <v>29971</v>
      </c>
      <c r="B29972" t="inlineStr">
        <is>
          <t>x̄x̄Mx̄CMLXXI</t>
        </is>
      </c>
      <c r="C29972">
        <f>ROMAN(29971)</f>
        <v/>
      </c>
      <c r="D29972">
        <f>IF(B29972=C29972, "YES", "WRONG")</f>
        <v/>
      </c>
    </row>
    <row r="29973">
      <c r="A29973" t="n">
        <v>29972</v>
      </c>
      <c r="B29973" t="inlineStr">
        <is>
          <t>x̄x̄Mx̄CMLXXII</t>
        </is>
      </c>
      <c r="C29973">
        <f>ROMAN(29972)</f>
        <v/>
      </c>
      <c r="D29973">
        <f>IF(B29973=C29973, "YES", "WRONG")</f>
        <v/>
      </c>
    </row>
    <row r="29974">
      <c r="A29974" t="n">
        <v>29973</v>
      </c>
      <c r="B29974" t="inlineStr">
        <is>
          <t>x̄x̄Mx̄CMLXXIII</t>
        </is>
      </c>
      <c r="C29974">
        <f>ROMAN(29973)</f>
        <v/>
      </c>
      <c r="D29974">
        <f>IF(B29974=C29974, "YES", "WRONG")</f>
        <v/>
      </c>
    </row>
    <row r="29975">
      <c r="A29975" t="n">
        <v>29974</v>
      </c>
      <c r="B29975" t="inlineStr">
        <is>
          <t>x̄x̄Mx̄CMLXXIV</t>
        </is>
      </c>
      <c r="C29975">
        <f>ROMAN(29974)</f>
        <v/>
      </c>
      <c r="D29975">
        <f>IF(B29975=C29975, "YES", "WRONG")</f>
        <v/>
      </c>
    </row>
    <row r="29976">
      <c r="A29976" t="n">
        <v>29975</v>
      </c>
      <c r="B29976" t="inlineStr">
        <is>
          <t>x̄x̄Mx̄CMLXXV</t>
        </is>
      </c>
      <c r="C29976">
        <f>ROMAN(29975)</f>
        <v/>
      </c>
      <c r="D29976">
        <f>IF(B29976=C29976, "YES", "WRONG")</f>
        <v/>
      </c>
    </row>
    <row r="29977">
      <c r="A29977" t="n">
        <v>29976</v>
      </c>
      <c r="B29977" t="inlineStr">
        <is>
          <t>x̄x̄Mx̄CMLXXVI</t>
        </is>
      </c>
      <c r="C29977">
        <f>ROMAN(29976)</f>
        <v/>
      </c>
      <c r="D29977">
        <f>IF(B29977=C29977, "YES", "WRONG")</f>
        <v/>
      </c>
    </row>
    <row r="29978">
      <c r="A29978" t="n">
        <v>29977</v>
      </c>
      <c r="B29978" t="inlineStr">
        <is>
          <t>x̄x̄Mx̄CMLXXVII</t>
        </is>
      </c>
      <c r="C29978">
        <f>ROMAN(29977)</f>
        <v/>
      </c>
      <c r="D29978">
        <f>IF(B29978=C29978, "YES", "WRONG")</f>
        <v/>
      </c>
    </row>
    <row r="29979">
      <c r="A29979" t="n">
        <v>29978</v>
      </c>
      <c r="B29979" t="inlineStr">
        <is>
          <t>x̄x̄Mx̄CMLXXVIII</t>
        </is>
      </c>
      <c r="C29979">
        <f>ROMAN(29978)</f>
        <v/>
      </c>
      <c r="D29979">
        <f>IF(B29979=C29979, "YES", "WRONG")</f>
        <v/>
      </c>
    </row>
    <row r="29980">
      <c r="A29980" t="n">
        <v>29979</v>
      </c>
      <c r="B29980" t="inlineStr">
        <is>
          <t>x̄x̄Mx̄CMLXXIX</t>
        </is>
      </c>
      <c r="C29980">
        <f>ROMAN(29979)</f>
        <v/>
      </c>
      <c r="D29980">
        <f>IF(B29980=C29980, "YES", "WRONG")</f>
        <v/>
      </c>
    </row>
    <row r="29981">
      <c r="A29981" t="n">
        <v>29980</v>
      </c>
      <c r="B29981" t="inlineStr">
        <is>
          <t>x̄x̄Mx̄CMLXXX</t>
        </is>
      </c>
      <c r="C29981">
        <f>ROMAN(29980)</f>
        <v/>
      </c>
      <c r="D29981">
        <f>IF(B29981=C29981, "YES", "WRONG")</f>
        <v/>
      </c>
    </row>
    <row r="29982">
      <c r="A29982" t="n">
        <v>29981</v>
      </c>
      <c r="B29982" t="inlineStr">
        <is>
          <t>x̄x̄Mx̄CMLXXXI</t>
        </is>
      </c>
      <c r="C29982">
        <f>ROMAN(29981)</f>
        <v/>
      </c>
      <c r="D29982">
        <f>IF(B29982=C29982, "YES", "WRONG")</f>
        <v/>
      </c>
    </row>
    <row r="29983">
      <c r="A29983" t="n">
        <v>29982</v>
      </c>
      <c r="B29983" t="inlineStr">
        <is>
          <t>x̄x̄Mx̄CMLXXXII</t>
        </is>
      </c>
      <c r="C29983">
        <f>ROMAN(29982)</f>
        <v/>
      </c>
      <c r="D29983">
        <f>IF(B29983=C29983, "YES", "WRONG")</f>
        <v/>
      </c>
    </row>
    <row r="29984">
      <c r="A29984" t="n">
        <v>29983</v>
      </c>
      <c r="B29984" t="inlineStr">
        <is>
          <t>x̄x̄Mx̄CMLXXXIII</t>
        </is>
      </c>
      <c r="C29984">
        <f>ROMAN(29983)</f>
        <v/>
      </c>
      <c r="D29984">
        <f>IF(B29984=C29984, "YES", "WRONG")</f>
        <v/>
      </c>
    </row>
    <row r="29985">
      <c r="A29985" t="n">
        <v>29984</v>
      </c>
      <c r="B29985" t="inlineStr">
        <is>
          <t>x̄x̄Mx̄CMLXXXIV</t>
        </is>
      </c>
      <c r="C29985">
        <f>ROMAN(29984)</f>
        <v/>
      </c>
      <c r="D29985">
        <f>IF(B29985=C29985, "YES", "WRONG")</f>
        <v/>
      </c>
    </row>
    <row r="29986">
      <c r="A29986" t="n">
        <v>29985</v>
      </c>
      <c r="B29986" t="inlineStr">
        <is>
          <t>x̄x̄Mx̄CMLXXXV</t>
        </is>
      </c>
      <c r="C29986">
        <f>ROMAN(29985)</f>
        <v/>
      </c>
      <c r="D29986">
        <f>IF(B29986=C29986, "YES", "WRONG")</f>
        <v/>
      </c>
    </row>
    <row r="29987">
      <c r="A29987" t="n">
        <v>29986</v>
      </c>
      <c r="B29987" t="inlineStr">
        <is>
          <t>x̄x̄Mx̄CMLXXXVI</t>
        </is>
      </c>
      <c r="C29987">
        <f>ROMAN(29986)</f>
        <v/>
      </c>
      <c r="D29987">
        <f>IF(B29987=C29987, "YES", "WRONG")</f>
        <v/>
      </c>
    </row>
    <row r="29988">
      <c r="A29988" t="n">
        <v>29987</v>
      </c>
      <c r="B29988" t="inlineStr">
        <is>
          <t>x̄x̄Mx̄CMLXXXVII</t>
        </is>
      </c>
      <c r="C29988">
        <f>ROMAN(29987)</f>
        <v/>
      </c>
      <c r="D29988">
        <f>IF(B29988=C29988, "YES", "WRONG")</f>
        <v/>
      </c>
    </row>
    <row r="29989">
      <c r="A29989" t="n">
        <v>29988</v>
      </c>
      <c r="B29989" t="inlineStr">
        <is>
          <t>x̄x̄Mx̄CMLXXXVIII</t>
        </is>
      </c>
      <c r="C29989">
        <f>ROMAN(29988)</f>
        <v/>
      </c>
      <c r="D29989">
        <f>IF(B29989=C29989, "YES", "WRONG")</f>
        <v/>
      </c>
    </row>
    <row r="29990">
      <c r="A29990" t="n">
        <v>29989</v>
      </c>
      <c r="B29990" t="inlineStr">
        <is>
          <t>x̄x̄Mx̄CMLXXXIX</t>
        </is>
      </c>
      <c r="C29990">
        <f>ROMAN(29989)</f>
        <v/>
      </c>
      <c r="D29990">
        <f>IF(B29990=C29990, "YES", "WRONG")</f>
        <v/>
      </c>
    </row>
    <row r="29991">
      <c r="A29991" t="n">
        <v>29990</v>
      </c>
      <c r="B29991" t="inlineStr">
        <is>
          <t>x̄x̄Mx̄CMXC</t>
        </is>
      </c>
      <c r="C29991">
        <f>ROMAN(29990)</f>
        <v/>
      </c>
      <c r="D29991">
        <f>IF(B29991=C29991, "YES", "WRONG")</f>
        <v/>
      </c>
    </row>
    <row r="29992">
      <c r="A29992" t="n">
        <v>29991</v>
      </c>
      <c r="B29992" t="inlineStr">
        <is>
          <t>x̄x̄Mx̄CMXCI</t>
        </is>
      </c>
      <c r="C29992">
        <f>ROMAN(29991)</f>
        <v/>
      </c>
      <c r="D29992">
        <f>IF(B29992=C29992, "YES", "WRONG")</f>
        <v/>
      </c>
    </row>
    <row r="29993">
      <c r="A29993" t="n">
        <v>29992</v>
      </c>
      <c r="B29993" t="inlineStr">
        <is>
          <t>x̄x̄Mx̄CMXCII</t>
        </is>
      </c>
      <c r="C29993">
        <f>ROMAN(29992)</f>
        <v/>
      </c>
      <c r="D29993">
        <f>IF(B29993=C29993, "YES", "WRONG")</f>
        <v/>
      </c>
    </row>
    <row r="29994">
      <c r="A29994" t="n">
        <v>29993</v>
      </c>
      <c r="B29994" t="inlineStr">
        <is>
          <t>x̄x̄Mx̄CMXCIII</t>
        </is>
      </c>
      <c r="C29994">
        <f>ROMAN(29993)</f>
        <v/>
      </c>
      <c r="D29994">
        <f>IF(B29994=C29994, "YES", "WRONG")</f>
        <v/>
      </c>
    </row>
    <row r="29995">
      <c r="A29995" t="n">
        <v>29994</v>
      </c>
      <c r="B29995" t="inlineStr">
        <is>
          <t>x̄x̄Mx̄CMXCIV</t>
        </is>
      </c>
      <c r="C29995">
        <f>ROMAN(29994)</f>
        <v/>
      </c>
      <c r="D29995">
        <f>IF(B29995=C29995, "YES", "WRONG")</f>
        <v/>
      </c>
    </row>
    <row r="29996">
      <c r="A29996" t="n">
        <v>29995</v>
      </c>
      <c r="B29996" t="inlineStr">
        <is>
          <t>x̄x̄Mx̄CMXCV</t>
        </is>
      </c>
      <c r="C29996">
        <f>ROMAN(29995)</f>
        <v/>
      </c>
      <c r="D29996">
        <f>IF(B29996=C29996, "YES", "WRONG")</f>
        <v/>
      </c>
    </row>
    <row r="29997">
      <c r="A29997" t="n">
        <v>29996</v>
      </c>
      <c r="B29997" t="inlineStr">
        <is>
          <t>x̄x̄Mx̄CMXCVI</t>
        </is>
      </c>
      <c r="C29997">
        <f>ROMAN(29996)</f>
        <v/>
      </c>
      <c r="D29997">
        <f>IF(B29997=C29997, "YES", "WRONG")</f>
        <v/>
      </c>
    </row>
    <row r="29998">
      <c r="A29998" t="n">
        <v>29997</v>
      </c>
      <c r="B29998" t="inlineStr">
        <is>
          <t>x̄x̄Mx̄CMXCVII</t>
        </is>
      </c>
      <c r="C29998">
        <f>ROMAN(29997)</f>
        <v/>
      </c>
      <c r="D29998">
        <f>IF(B29998=C29998, "YES", "WRONG")</f>
        <v/>
      </c>
    </row>
    <row r="29999">
      <c r="A29999" t="n">
        <v>29998</v>
      </c>
      <c r="B29999" t="inlineStr">
        <is>
          <t>x̄x̄Mx̄CMXCVIII</t>
        </is>
      </c>
      <c r="C29999">
        <f>ROMAN(29998)</f>
        <v/>
      </c>
      <c r="D29999">
        <f>IF(B29999=C29999, "YES", "WRONG")</f>
        <v/>
      </c>
    </row>
    <row r="30000">
      <c r="A30000" t="n">
        <v>29999</v>
      </c>
      <c r="B30000" t="inlineStr">
        <is>
          <t>x̄x̄Mx̄CMXCIX</t>
        </is>
      </c>
      <c r="C30000">
        <f>ROMAN(29999)</f>
        <v/>
      </c>
      <c r="D30000">
        <f>IF(B30000=C30000, "YES", "WRONG")</f>
        <v/>
      </c>
    </row>
    <row r="30001">
      <c r="A30001" t="n">
        <v>30000</v>
      </c>
      <c r="B30001" t="inlineStr">
        <is>
          <t>x̄x̄x̄</t>
        </is>
      </c>
      <c r="C30001">
        <f>ROMAN(30000)</f>
        <v/>
      </c>
      <c r="D30001">
        <f>IF(B30001=C30001, "YES", "WRONG")</f>
        <v/>
      </c>
    </row>
    <row r="30002">
      <c r="A30002" t="n">
        <v>30001</v>
      </c>
      <c r="B30002" t="inlineStr">
        <is>
          <t>x̄x̄x̄I</t>
        </is>
      </c>
      <c r="C30002">
        <f>ROMAN(30001)</f>
        <v/>
      </c>
      <c r="D30002">
        <f>IF(B30002=C30002, "YES", "WRONG")</f>
        <v/>
      </c>
    </row>
    <row r="30003">
      <c r="A30003" t="n">
        <v>30002</v>
      </c>
      <c r="B30003" t="inlineStr">
        <is>
          <t>x̄x̄x̄II</t>
        </is>
      </c>
      <c r="C30003">
        <f>ROMAN(30002)</f>
        <v/>
      </c>
      <c r="D30003">
        <f>IF(B30003=C30003, "YES", "WRONG")</f>
        <v/>
      </c>
    </row>
    <row r="30004">
      <c r="A30004" t="n">
        <v>30003</v>
      </c>
      <c r="B30004" t="inlineStr">
        <is>
          <t>x̄x̄x̄III</t>
        </is>
      </c>
      <c r="C30004">
        <f>ROMAN(30003)</f>
        <v/>
      </c>
      <c r="D30004">
        <f>IF(B30004=C30004, "YES", "WRONG")</f>
        <v/>
      </c>
    </row>
    <row r="30005">
      <c r="A30005" t="n">
        <v>30004</v>
      </c>
      <c r="B30005" t="inlineStr">
        <is>
          <t>x̄x̄x̄IV</t>
        </is>
      </c>
      <c r="C30005">
        <f>ROMAN(30004)</f>
        <v/>
      </c>
      <c r="D30005">
        <f>IF(B30005=C30005, "YES", "WRONG")</f>
        <v/>
      </c>
    </row>
    <row r="30006">
      <c r="A30006" t="n">
        <v>30005</v>
      </c>
      <c r="B30006" t="inlineStr">
        <is>
          <t>x̄x̄x̄V</t>
        </is>
      </c>
      <c r="C30006">
        <f>ROMAN(30005)</f>
        <v/>
      </c>
      <c r="D30006">
        <f>IF(B30006=C30006, "YES", "WRONG")</f>
        <v/>
      </c>
    </row>
    <row r="30007">
      <c r="A30007" t="n">
        <v>30006</v>
      </c>
      <c r="B30007" t="inlineStr">
        <is>
          <t>x̄x̄x̄VI</t>
        </is>
      </c>
      <c r="C30007">
        <f>ROMAN(30006)</f>
        <v/>
      </c>
      <c r="D30007">
        <f>IF(B30007=C30007, "YES", "WRONG")</f>
        <v/>
      </c>
    </row>
    <row r="30008">
      <c r="A30008" t="n">
        <v>30007</v>
      </c>
      <c r="B30008" t="inlineStr">
        <is>
          <t>x̄x̄x̄VII</t>
        </is>
      </c>
      <c r="C30008">
        <f>ROMAN(30007)</f>
        <v/>
      </c>
      <c r="D30008">
        <f>IF(B30008=C30008, "YES", "WRONG")</f>
        <v/>
      </c>
    </row>
    <row r="30009">
      <c r="A30009" t="n">
        <v>30008</v>
      </c>
      <c r="B30009" t="inlineStr">
        <is>
          <t>x̄x̄x̄VIII</t>
        </is>
      </c>
      <c r="C30009">
        <f>ROMAN(30008)</f>
        <v/>
      </c>
      <c r="D30009">
        <f>IF(B30009=C30009, "YES", "WRONG")</f>
        <v/>
      </c>
    </row>
    <row r="30010">
      <c r="A30010" t="n">
        <v>30009</v>
      </c>
      <c r="B30010" t="inlineStr">
        <is>
          <t>x̄x̄x̄IX</t>
        </is>
      </c>
      <c r="C30010">
        <f>ROMAN(30009)</f>
        <v/>
      </c>
      <c r="D30010">
        <f>IF(B30010=C30010, "YES", "WRONG")</f>
        <v/>
      </c>
    </row>
    <row r="30011">
      <c r="A30011" t="n">
        <v>30010</v>
      </c>
      <c r="B30011" t="inlineStr">
        <is>
          <t>x̄x̄x̄X</t>
        </is>
      </c>
      <c r="C30011">
        <f>ROMAN(30010)</f>
        <v/>
      </c>
      <c r="D30011">
        <f>IF(B30011=C30011, "YES", "WRONG")</f>
        <v/>
      </c>
    </row>
    <row r="30012">
      <c r="A30012" t="n">
        <v>30011</v>
      </c>
      <c r="B30012" t="inlineStr">
        <is>
          <t>x̄x̄x̄XI</t>
        </is>
      </c>
      <c r="C30012">
        <f>ROMAN(30011)</f>
        <v/>
      </c>
      <c r="D30012">
        <f>IF(B30012=C30012, "YES", "WRONG")</f>
        <v/>
      </c>
    </row>
    <row r="30013">
      <c r="A30013" t="n">
        <v>30012</v>
      </c>
      <c r="B30013" t="inlineStr">
        <is>
          <t>x̄x̄x̄XII</t>
        </is>
      </c>
      <c r="C30013">
        <f>ROMAN(30012)</f>
        <v/>
      </c>
      <c r="D30013">
        <f>IF(B30013=C30013, "YES", "WRONG")</f>
        <v/>
      </c>
    </row>
    <row r="30014">
      <c r="A30014" t="n">
        <v>30013</v>
      </c>
      <c r="B30014" t="inlineStr">
        <is>
          <t>x̄x̄x̄XIII</t>
        </is>
      </c>
      <c r="C30014">
        <f>ROMAN(30013)</f>
        <v/>
      </c>
      <c r="D30014">
        <f>IF(B30014=C30014, "YES", "WRONG")</f>
        <v/>
      </c>
    </row>
    <row r="30015">
      <c r="A30015" t="n">
        <v>30014</v>
      </c>
      <c r="B30015" t="inlineStr">
        <is>
          <t>x̄x̄x̄XIV</t>
        </is>
      </c>
      <c r="C30015">
        <f>ROMAN(30014)</f>
        <v/>
      </c>
      <c r="D30015">
        <f>IF(B30015=C30015, "YES", "WRONG")</f>
        <v/>
      </c>
    </row>
    <row r="30016">
      <c r="A30016" t="n">
        <v>30015</v>
      </c>
      <c r="B30016" t="inlineStr">
        <is>
          <t>x̄x̄x̄XV</t>
        </is>
      </c>
      <c r="C30016">
        <f>ROMAN(30015)</f>
        <v/>
      </c>
      <c r="D30016">
        <f>IF(B30016=C30016, "YES", "WRONG")</f>
        <v/>
      </c>
    </row>
    <row r="30017">
      <c r="A30017" t="n">
        <v>30016</v>
      </c>
      <c r="B30017" t="inlineStr">
        <is>
          <t>x̄x̄x̄XVI</t>
        </is>
      </c>
      <c r="C30017">
        <f>ROMAN(30016)</f>
        <v/>
      </c>
      <c r="D30017">
        <f>IF(B30017=C30017, "YES", "WRONG")</f>
        <v/>
      </c>
    </row>
    <row r="30018">
      <c r="A30018" t="n">
        <v>30017</v>
      </c>
      <c r="B30018" t="inlineStr">
        <is>
          <t>x̄x̄x̄XVII</t>
        </is>
      </c>
      <c r="C30018">
        <f>ROMAN(30017)</f>
        <v/>
      </c>
      <c r="D30018">
        <f>IF(B30018=C30018, "YES", "WRONG")</f>
        <v/>
      </c>
    </row>
    <row r="30019">
      <c r="A30019" t="n">
        <v>30018</v>
      </c>
      <c r="B30019" t="inlineStr">
        <is>
          <t>x̄x̄x̄XVIII</t>
        </is>
      </c>
      <c r="C30019">
        <f>ROMAN(30018)</f>
        <v/>
      </c>
      <c r="D30019">
        <f>IF(B30019=C30019, "YES", "WRONG")</f>
        <v/>
      </c>
    </row>
    <row r="30020">
      <c r="A30020" t="n">
        <v>30019</v>
      </c>
      <c r="B30020" t="inlineStr">
        <is>
          <t>x̄x̄x̄XIX</t>
        </is>
      </c>
      <c r="C30020">
        <f>ROMAN(30019)</f>
        <v/>
      </c>
      <c r="D30020">
        <f>IF(B30020=C30020, "YES", "WRONG")</f>
        <v/>
      </c>
    </row>
    <row r="30021">
      <c r="A30021" t="n">
        <v>30020</v>
      </c>
      <c r="B30021" t="inlineStr">
        <is>
          <t>x̄x̄x̄XX</t>
        </is>
      </c>
      <c r="C30021">
        <f>ROMAN(30020)</f>
        <v/>
      </c>
      <c r="D30021">
        <f>IF(B30021=C30021, "YES", "WRONG")</f>
        <v/>
      </c>
    </row>
    <row r="30022">
      <c r="A30022" t="n">
        <v>30021</v>
      </c>
      <c r="B30022" t="inlineStr">
        <is>
          <t>x̄x̄x̄XXI</t>
        </is>
      </c>
      <c r="C30022">
        <f>ROMAN(30021)</f>
        <v/>
      </c>
      <c r="D30022">
        <f>IF(B30022=C30022, "YES", "WRONG")</f>
        <v/>
      </c>
    </row>
    <row r="30023">
      <c r="A30023" t="n">
        <v>30022</v>
      </c>
      <c r="B30023" t="inlineStr">
        <is>
          <t>x̄x̄x̄XXII</t>
        </is>
      </c>
      <c r="C30023">
        <f>ROMAN(30022)</f>
        <v/>
      </c>
      <c r="D30023">
        <f>IF(B30023=C30023, "YES", "WRONG")</f>
        <v/>
      </c>
    </row>
    <row r="30024">
      <c r="A30024" t="n">
        <v>30023</v>
      </c>
      <c r="B30024" t="inlineStr">
        <is>
          <t>x̄x̄x̄XXIII</t>
        </is>
      </c>
      <c r="C30024">
        <f>ROMAN(30023)</f>
        <v/>
      </c>
      <c r="D30024">
        <f>IF(B30024=C30024, "YES", "WRONG")</f>
        <v/>
      </c>
    </row>
    <row r="30025">
      <c r="A30025" t="n">
        <v>30024</v>
      </c>
      <c r="B30025" t="inlineStr">
        <is>
          <t>x̄x̄x̄XXIV</t>
        </is>
      </c>
      <c r="C30025">
        <f>ROMAN(30024)</f>
        <v/>
      </c>
      <c r="D30025">
        <f>IF(B30025=C30025, "YES", "WRONG")</f>
        <v/>
      </c>
    </row>
    <row r="30026">
      <c r="A30026" t="n">
        <v>30025</v>
      </c>
      <c r="B30026" t="inlineStr">
        <is>
          <t>x̄x̄x̄XXV</t>
        </is>
      </c>
      <c r="C30026">
        <f>ROMAN(30025)</f>
        <v/>
      </c>
      <c r="D30026">
        <f>IF(B30026=C30026, "YES", "WRONG")</f>
        <v/>
      </c>
    </row>
    <row r="30027">
      <c r="A30027" t="n">
        <v>30026</v>
      </c>
      <c r="B30027" t="inlineStr">
        <is>
          <t>x̄x̄x̄XXVI</t>
        </is>
      </c>
      <c r="C30027">
        <f>ROMAN(30026)</f>
        <v/>
      </c>
      <c r="D30027">
        <f>IF(B30027=C30027, "YES", "WRONG")</f>
        <v/>
      </c>
    </row>
    <row r="30028">
      <c r="A30028" t="n">
        <v>30027</v>
      </c>
      <c r="B30028" t="inlineStr">
        <is>
          <t>x̄x̄x̄XXVII</t>
        </is>
      </c>
      <c r="C30028">
        <f>ROMAN(30027)</f>
        <v/>
      </c>
      <c r="D30028">
        <f>IF(B30028=C30028, "YES", "WRONG")</f>
        <v/>
      </c>
    </row>
    <row r="30029">
      <c r="A30029" t="n">
        <v>30028</v>
      </c>
      <c r="B30029" t="inlineStr">
        <is>
          <t>x̄x̄x̄XXVIII</t>
        </is>
      </c>
      <c r="C30029">
        <f>ROMAN(30028)</f>
        <v/>
      </c>
      <c r="D30029">
        <f>IF(B30029=C30029, "YES", "WRONG")</f>
        <v/>
      </c>
    </row>
    <row r="30030">
      <c r="A30030" t="n">
        <v>30029</v>
      </c>
      <c r="B30030" t="inlineStr">
        <is>
          <t>x̄x̄x̄XXIX</t>
        </is>
      </c>
      <c r="C30030">
        <f>ROMAN(30029)</f>
        <v/>
      </c>
      <c r="D30030">
        <f>IF(B30030=C30030, "YES", "WRONG")</f>
        <v/>
      </c>
    </row>
    <row r="30031">
      <c r="A30031" t="n">
        <v>30030</v>
      </c>
      <c r="B30031" t="inlineStr">
        <is>
          <t>x̄x̄x̄XXX</t>
        </is>
      </c>
      <c r="C30031">
        <f>ROMAN(30030)</f>
        <v/>
      </c>
      <c r="D30031">
        <f>IF(B30031=C30031, "YES", "WRONG")</f>
        <v/>
      </c>
    </row>
    <row r="30032">
      <c r="A30032" t="n">
        <v>30031</v>
      </c>
      <c r="B30032" t="inlineStr">
        <is>
          <t>x̄x̄x̄XXXI</t>
        </is>
      </c>
      <c r="C30032">
        <f>ROMAN(30031)</f>
        <v/>
      </c>
      <c r="D30032">
        <f>IF(B30032=C30032, "YES", "WRONG")</f>
        <v/>
      </c>
    </row>
    <row r="30033">
      <c r="A30033" t="n">
        <v>30032</v>
      </c>
      <c r="B30033" t="inlineStr">
        <is>
          <t>x̄x̄x̄XXXII</t>
        </is>
      </c>
      <c r="C30033">
        <f>ROMAN(30032)</f>
        <v/>
      </c>
      <c r="D30033">
        <f>IF(B30033=C30033, "YES", "WRONG")</f>
        <v/>
      </c>
    </row>
    <row r="30034">
      <c r="A30034" t="n">
        <v>30033</v>
      </c>
      <c r="B30034" t="inlineStr">
        <is>
          <t>x̄x̄x̄XXXIII</t>
        </is>
      </c>
      <c r="C30034">
        <f>ROMAN(30033)</f>
        <v/>
      </c>
      <c r="D30034">
        <f>IF(B30034=C30034, "YES", "WRONG")</f>
        <v/>
      </c>
    </row>
    <row r="30035">
      <c r="A30035" t="n">
        <v>30034</v>
      </c>
      <c r="B30035" t="inlineStr">
        <is>
          <t>x̄x̄x̄XXXIV</t>
        </is>
      </c>
      <c r="C30035">
        <f>ROMAN(30034)</f>
        <v/>
      </c>
      <c r="D30035">
        <f>IF(B30035=C30035, "YES", "WRONG")</f>
        <v/>
      </c>
    </row>
    <row r="30036">
      <c r="A30036" t="n">
        <v>30035</v>
      </c>
      <c r="B30036" t="inlineStr">
        <is>
          <t>x̄x̄x̄XXXV</t>
        </is>
      </c>
      <c r="C30036">
        <f>ROMAN(30035)</f>
        <v/>
      </c>
      <c r="D30036">
        <f>IF(B30036=C30036, "YES", "WRONG")</f>
        <v/>
      </c>
    </row>
    <row r="30037">
      <c r="A30037" t="n">
        <v>30036</v>
      </c>
      <c r="B30037" t="inlineStr">
        <is>
          <t>x̄x̄x̄XXXVI</t>
        </is>
      </c>
      <c r="C30037">
        <f>ROMAN(30036)</f>
        <v/>
      </c>
      <c r="D30037">
        <f>IF(B30037=C30037, "YES", "WRONG")</f>
        <v/>
      </c>
    </row>
    <row r="30038">
      <c r="A30038" t="n">
        <v>30037</v>
      </c>
      <c r="B30038" t="inlineStr">
        <is>
          <t>x̄x̄x̄XXXVII</t>
        </is>
      </c>
      <c r="C30038">
        <f>ROMAN(30037)</f>
        <v/>
      </c>
      <c r="D30038">
        <f>IF(B30038=C30038, "YES", "WRONG")</f>
        <v/>
      </c>
    </row>
    <row r="30039">
      <c r="A30039" t="n">
        <v>30038</v>
      </c>
      <c r="B30039" t="inlineStr">
        <is>
          <t>x̄x̄x̄XXXVIII</t>
        </is>
      </c>
      <c r="C30039">
        <f>ROMAN(30038)</f>
        <v/>
      </c>
      <c r="D30039">
        <f>IF(B30039=C30039, "YES", "WRONG")</f>
        <v/>
      </c>
    </row>
    <row r="30040">
      <c r="A30040" t="n">
        <v>30039</v>
      </c>
      <c r="B30040" t="inlineStr">
        <is>
          <t>x̄x̄x̄XXXIX</t>
        </is>
      </c>
      <c r="C30040">
        <f>ROMAN(30039)</f>
        <v/>
      </c>
      <c r="D30040">
        <f>IF(B30040=C30040, "YES", "WRONG")</f>
        <v/>
      </c>
    </row>
    <row r="30041">
      <c r="A30041" t="n">
        <v>30040</v>
      </c>
      <c r="B30041" t="inlineStr">
        <is>
          <t>x̄x̄x̄XL</t>
        </is>
      </c>
      <c r="C30041">
        <f>ROMAN(30040)</f>
        <v/>
      </c>
      <c r="D30041">
        <f>IF(B30041=C30041, "YES", "WRONG")</f>
        <v/>
      </c>
    </row>
    <row r="30042">
      <c r="A30042" t="n">
        <v>30041</v>
      </c>
      <c r="B30042" t="inlineStr">
        <is>
          <t>x̄x̄x̄XLI</t>
        </is>
      </c>
      <c r="C30042">
        <f>ROMAN(30041)</f>
        <v/>
      </c>
      <c r="D30042">
        <f>IF(B30042=C30042, "YES", "WRONG")</f>
        <v/>
      </c>
    </row>
    <row r="30043">
      <c r="A30043" t="n">
        <v>30042</v>
      </c>
      <c r="B30043" t="inlineStr">
        <is>
          <t>x̄x̄x̄XLII</t>
        </is>
      </c>
      <c r="C30043">
        <f>ROMAN(30042)</f>
        <v/>
      </c>
      <c r="D30043">
        <f>IF(B30043=C30043, "YES", "WRONG")</f>
        <v/>
      </c>
    </row>
    <row r="30044">
      <c r="A30044" t="n">
        <v>30043</v>
      </c>
      <c r="B30044" t="inlineStr">
        <is>
          <t>x̄x̄x̄XLIII</t>
        </is>
      </c>
      <c r="C30044">
        <f>ROMAN(30043)</f>
        <v/>
      </c>
      <c r="D30044">
        <f>IF(B30044=C30044, "YES", "WRONG")</f>
        <v/>
      </c>
    </row>
    <row r="30045">
      <c r="A30045" t="n">
        <v>30044</v>
      </c>
      <c r="B30045" t="inlineStr">
        <is>
          <t>x̄x̄x̄XLIV</t>
        </is>
      </c>
      <c r="C30045">
        <f>ROMAN(30044)</f>
        <v/>
      </c>
      <c r="D30045">
        <f>IF(B30045=C30045, "YES", "WRONG")</f>
        <v/>
      </c>
    </row>
    <row r="30046">
      <c r="A30046" t="n">
        <v>30045</v>
      </c>
      <c r="B30046" t="inlineStr">
        <is>
          <t>x̄x̄x̄XLV</t>
        </is>
      </c>
      <c r="C30046">
        <f>ROMAN(30045)</f>
        <v/>
      </c>
      <c r="D30046">
        <f>IF(B30046=C30046, "YES", "WRONG")</f>
        <v/>
      </c>
    </row>
    <row r="30047">
      <c r="A30047" t="n">
        <v>30046</v>
      </c>
      <c r="B30047" t="inlineStr">
        <is>
          <t>x̄x̄x̄XLVI</t>
        </is>
      </c>
      <c r="C30047">
        <f>ROMAN(30046)</f>
        <v/>
      </c>
      <c r="D30047">
        <f>IF(B30047=C30047, "YES", "WRONG")</f>
        <v/>
      </c>
    </row>
    <row r="30048">
      <c r="A30048" t="n">
        <v>30047</v>
      </c>
      <c r="B30048" t="inlineStr">
        <is>
          <t>x̄x̄x̄XLVII</t>
        </is>
      </c>
      <c r="C30048">
        <f>ROMAN(30047)</f>
        <v/>
      </c>
      <c r="D30048">
        <f>IF(B30048=C30048, "YES", "WRONG")</f>
        <v/>
      </c>
    </row>
    <row r="30049">
      <c r="A30049" t="n">
        <v>30048</v>
      </c>
      <c r="B30049" t="inlineStr">
        <is>
          <t>x̄x̄x̄XLVIII</t>
        </is>
      </c>
      <c r="C30049">
        <f>ROMAN(30048)</f>
        <v/>
      </c>
      <c r="D30049">
        <f>IF(B30049=C30049, "YES", "WRONG")</f>
        <v/>
      </c>
    </row>
    <row r="30050">
      <c r="A30050" t="n">
        <v>30049</v>
      </c>
      <c r="B30050" t="inlineStr">
        <is>
          <t>x̄x̄x̄XLIX</t>
        </is>
      </c>
      <c r="C30050">
        <f>ROMAN(30049)</f>
        <v/>
      </c>
      <c r="D30050">
        <f>IF(B30050=C30050, "YES", "WRONG")</f>
        <v/>
      </c>
    </row>
    <row r="30051">
      <c r="A30051" t="n">
        <v>30050</v>
      </c>
      <c r="B30051" t="inlineStr">
        <is>
          <t>x̄x̄x̄L</t>
        </is>
      </c>
      <c r="C30051">
        <f>ROMAN(30050)</f>
        <v/>
      </c>
      <c r="D30051">
        <f>IF(B30051=C30051, "YES", "WRONG")</f>
        <v/>
      </c>
    </row>
    <row r="30052">
      <c r="A30052" t="n">
        <v>30051</v>
      </c>
      <c r="B30052" t="inlineStr">
        <is>
          <t>x̄x̄x̄LI</t>
        </is>
      </c>
      <c r="C30052">
        <f>ROMAN(30051)</f>
        <v/>
      </c>
      <c r="D30052">
        <f>IF(B30052=C30052, "YES", "WRONG")</f>
        <v/>
      </c>
    </row>
    <row r="30053">
      <c r="A30053" t="n">
        <v>30052</v>
      </c>
      <c r="B30053" t="inlineStr">
        <is>
          <t>x̄x̄x̄LII</t>
        </is>
      </c>
      <c r="C30053">
        <f>ROMAN(30052)</f>
        <v/>
      </c>
      <c r="D30053">
        <f>IF(B30053=C30053, "YES", "WRONG")</f>
        <v/>
      </c>
    </row>
    <row r="30054">
      <c r="A30054" t="n">
        <v>30053</v>
      </c>
      <c r="B30054" t="inlineStr">
        <is>
          <t>x̄x̄x̄LIII</t>
        </is>
      </c>
      <c r="C30054">
        <f>ROMAN(30053)</f>
        <v/>
      </c>
      <c r="D30054">
        <f>IF(B30054=C30054, "YES", "WRONG")</f>
        <v/>
      </c>
    </row>
    <row r="30055">
      <c r="A30055" t="n">
        <v>30054</v>
      </c>
      <c r="B30055" t="inlineStr">
        <is>
          <t>x̄x̄x̄LIV</t>
        </is>
      </c>
      <c r="C30055">
        <f>ROMAN(30054)</f>
        <v/>
      </c>
      <c r="D30055">
        <f>IF(B30055=C30055, "YES", "WRONG")</f>
        <v/>
      </c>
    </row>
    <row r="30056">
      <c r="A30056" t="n">
        <v>30055</v>
      </c>
      <c r="B30056" t="inlineStr">
        <is>
          <t>x̄x̄x̄LV</t>
        </is>
      </c>
      <c r="C30056">
        <f>ROMAN(30055)</f>
        <v/>
      </c>
      <c r="D30056">
        <f>IF(B30056=C30056, "YES", "WRONG")</f>
        <v/>
      </c>
    </row>
    <row r="30057">
      <c r="A30057" t="n">
        <v>30056</v>
      </c>
      <c r="B30057" t="inlineStr">
        <is>
          <t>x̄x̄x̄LVI</t>
        </is>
      </c>
      <c r="C30057">
        <f>ROMAN(30056)</f>
        <v/>
      </c>
      <c r="D30057">
        <f>IF(B30057=C30057, "YES", "WRONG")</f>
        <v/>
      </c>
    </row>
    <row r="30058">
      <c r="A30058" t="n">
        <v>30057</v>
      </c>
      <c r="B30058" t="inlineStr">
        <is>
          <t>x̄x̄x̄LVII</t>
        </is>
      </c>
      <c r="C30058">
        <f>ROMAN(30057)</f>
        <v/>
      </c>
      <c r="D30058">
        <f>IF(B30058=C30058, "YES", "WRONG")</f>
        <v/>
      </c>
    </row>
    <row r="30059">
      <c r="A30059" t="n">
        <v>30058</v>
      </c>
      <c r="B30059" t="inlineStr">
        <is>
          <t>x̄x̄x̄LVIII</t>
        </is>
      </c>
      <c r="C30059">
        <f>ROMAN(30058)</f>
        <v/>
      </c>
      <c r="D30059">
        <f>IF(B30059=C30059, "YES", "WRONG")</f>
        <v/>
      </c>
    </row>
    <row r="30060">
      <c r="A30060" t="n">
        <v>30059</v>
      </c>
      <c r="B30060" t="inlineStr">
        <is>
          <t>x̄x̄x̄LIX</t>
        </is>
      </c>
      <c r="C30060">
        <f>ROMAN(30059)</f>
        <v/>
      </c>
      <c r="D30060">
        <f>IF(B30060=C30060, "YES", "WRONG")</f>
        <v/>
      </c>
    </row>
    <row r="30061">
      <c r="A30061" t="n">
        <v>30060</v>
      </c>
      <c r="B30061" t="inlineStr">
        <is>
          <t>x̄x̄x̄LX</t>
        </is>
      </c>
      <c r="C30061">
        <f>ROMAN(30060)</f>
        <v/>
      </c>
      <c r="D30061">
        <f>IF(B30061=C30061, "YES", "WRONG")</f>
        <v/>
      </c>
    </row>
    <row r="30062">
      <c r="A30062" t="n">
        <v>30061</v>
      </c>
      <c r="B30062" t="inlineStr">
        <is>
          <t>x̄x̄x̄LXI</t>
        </is>
      </c>
      <c r="C30062">
        <f>ROMAN(30061)</f>
        <v/>
      </c>
      <c r="D30062">
        <f>IF(B30062=C30062, "YES", "WRONG")</f>
        <v/>
      </c>
    </row>
    <row r="30063">
      <c r="A30063" t="n">
        <v>30062</v>
      </c>
      <c r="B30063" t="inlineStr">
        <is>
          <t>x̄x̄x̄LXII</t>
        </is>
      </c>
      <c r="C30063">
        <f>ROMAN(30062)</f>
        <v/>
      </c>
      <c r="D30063">
        <f>IF(B30063=C30063, "YES", "WRONG")</f>
        <v/>
      </c>
    </row>
    <row r="30064">
      <c r="A30064" t="n">
        <v>30063</v>
      </c>
      <c r="B30064" t="inlineStr">
        <is>
          <t>x̄x̄x̄LXIII</t>
        </is>
      </c>
      <c r="C30064">
        <f>ROMAN(30063)</f>
        <v/>
      </c>
      <c r="D30064">
        <f>IF(B30064=C30064, "YES", "WRONG")</f>
        <v/>
      </c>
    </row>
    <row r="30065">
      <c r="A30065" t="n">
        <v>30064</v>
      </c>
      <c r="B30065" t="inlineStr">
        <is>
          <t>x̄x̄x̄LXIV</t>
        </is>
      </c>
      <c r="C30065">
        <f>ROMAN(30064)</f>
        <v/>
      </c>
      <c r="D30065">
        <f>IF(B30065=C30065, "YES", "WRONG")</f>
        <v/>
      </c>
    </row>
    <row r="30066">
      <c r="A30066" t="n">
        <v>30065</v>
      </c>
      <c r="B30066" t="inlineStr">
        <is>
          <t>x̄x̄x̄LXV</t>
        </is>
      </c>
      <c r="C30066">
        <f>ROMAN(30065)</f>
        <v/>
      </c>
      <c r="D30066">
        <f>IF(B30066=C30066, "YES", "WRONG")</f>
        <v/>
      </c>
    </row>
    <row r="30067">
      <c r="A30067" t="n">
        <v>30066</v>
      </c>
      <c r="B30067" t="inlineStr">
        <is>
          <t>x̄x̄x̄LXVI</t>
        </is>
      </c>
      <c r="C30067">
        <f>ROMAN(30066)</f>
        <v/>
      </c>
      <c r="D30067">
        <f>IF(B30067=C30067, "YES", "WRONG")</f>
        <v/>
      </c>
    </row>
    <row r="30068">
      <c r="A30068" t="n">
        <v>30067</v>
      </c>
      <c r="B30068" t="inlineStr">
        <is>
          <t>x̄x̄x̄LXVII</t>
        </is>
      </c>
      <c r="C30068">
        <f>ROMAN(30067)</f>
        <v/>
      </c>
      <c r="D30068">
        <f>IF(B30068=C30068, "YES", "WRONG")</f>
        <v/>
      </c>
    </row>
    <row r="30069">
      <c r="A30069" t="n">
        <v>30068</v>
      </c>
      <c r="B30069" t="inlineStr">
        <is>
          <t>x̄x̄x̄LXVIII</t>
        </is>
      </c>
      <c r="C30069">
        <f>ROMAN(30068)</f>
        <v/>
      </c>
      <c r="D30069">
        <f>IF(B30069=C30069, "YES", "WRONG")</f>
        <v/>
      </c>
    </row>
    <row r="30070">
      <c r="A30070" t="n">
        <v>30069</v>
      </c>
      <c r="B30070" t="inlineStr">
        <is>
          <t>x̄x̄x̄LXIX</t>
        </is>
      </c>
      <c r="C30070">
        <f>ROMAN(30069)</f>
        <v/>
      </c>
      <c r="D30070">
        <f>IF(B30070=C30070, "YES", "WRONG")</f>
        <v/>
      </c>
    </row>
    <row r="30071">
      <c r="A30071" t="n">
        <v>30070</v>
      </c>
      <c r="B30071" t="inlineStr">
        <is>
          <t>x̄x̄x̄LXX</t>
        </is>
      </c>
      <c r="C30071">
        <f>ROMAN(30070)</f>
        <v/>
      </c>
      <c r="D30071">
        <f>IF(B30071=C30071, "YES", "WRONG")</f>
        <v/>
      </c>
    </row>
    <row r="30072">
      <c r="A30072" t="n">
        <v>30071</v>
      </c>
      <c r="B30072" t="inlineStr">
        <is>
          <t>x̄x̄x̄LXXI</t>
        </is>
      </c>
      <c r="C30072">
        <f>ROMAN(30071)</f>
        <v/>
      </c>
      <c r="D30072">
        <f>IF(B30072=C30072, "YES", "WRONG")</f>
        <v/>
      </c>
    </row>
    <row r="30073">
      <c r="A30073" t="n">
        <v>30072</v>
      </c>
      <c r="B30073" t="inlineStr">
        <is>
          <t>x̄x̄x̄LXXII</t>
        </is>
      </c>
      <c r="C30073">
        <f>ROMAN(30072)</f>
        <v/>
      </c>
      <c r="D30073">
        <f>IF(B30073=C30073, "YES", "WRONG")</f>
        <v/>
      </c>
    </row>
    <row r="30074">
      <c r="A30074" t="n">
        <v>30073</v>
      </c>
      <c r="B30074" t="inlineStr">
        <is>
          <t>x̄x̄x̄LXXIII</t>
        </is>
      </c>
      <c r="C30074">
        <f>ROMAN(30073)</f>
        <v/>
      </c>
      <c r="D30074">
        <f>IF(B30074=C30074, "YES", "WRONG")</f>
        <v/>
      </c>
    </row>
    <row r="30075">
      <c r="A30075" t="n">
        <v>30074</v>
      </c>
      <c r="B30075" t="inlineStr">
        <is>
          <t>x̄x̄x̄LXXIV</t>
        </is>
      </c>
      <c r="C30075">
        <f>ROMAN(30074)</f>
        <v/>
      </c>
      <c r="D30075">
        <f>IF(B30075=C30075, "YES", "WRONG")</f>
        <v/>
      </c>
    </row>
    <row r="30076">
      <c r="A30076" t="n">
        <v>30075</v>
      </c>
      <c r="B30076" t="inlineStr">
        <is>
          <t>x̄x̄x̄LXXV</t>
        </is>
      </c>
      <c r="C30076">
        <f>ROMAN(30075)</f>
        <v/>
      </c>
      <c r="D30076">
        <f>IF(B30076=C30076, "YES", "WRONG")</f>
        <v/>
      </c>
    </row>
    <row r="30077">
      <c r="A30077" t="n">
        <v>30076</v>
      </c>
      <c r="B30077" t="inlineStr">
        <is>
          <t>x̄x̄x̄LXXVI</t>
        </is>
      </c>
      <c r="C30077">
        <f>ROMAN(30076)</f>
        <v/>
      </c>
      <c r="D30077">
        <f>IF(B30077=C30077, "YES", "WRONG")</f>
        <v/>
      </c>
    </row>
    <row r="30078">
      <c r="A30078" t="n">
        <v>30077</v>
      </c>
      <c r="B30078" t="inlineStr">
        <is>
          <t>x̄x̄x̄LXXVII</t>
        </is>
      </c>
      <c r="C30078">
        <f>ROMAN(30077)</f>
        <v/>
      </c>
      <c r="D30078">
        <f>IF(B30078=C30078, "YES", "WRONG")</f>
        <v/>
      </c>
    </row>
    <row r="30079">
      <c r="A30079" t="n">
        <v>30078</v>
      </c>
      <c r="B30079" t="inlineStr">
        <is>
          <t>x̄x̄x̄LXXVIII</t>
        </is>
      </c>
      <c r="C30079">
        <f>ROMAN(30078)</f>
        <v/>
      </c>
      <c r="D30079">
        <f>IF(B30079=C30079, "YES", "WRONG")</f>
        <v/>
      </c>
    </row>
    <row r="30080">
      <c r="A30080" t="n">
        <v>30079</v>
      </c>
      <c r="B30080" t="inlineStr">
        <is>
          <t>x̄x̄x̄LXXIX</t>
        </is>
      </c>
      <c r="C30080">
        <f>ROMAN(30079)</f>
        <v/>
      </c>
      <c r="D30080">
        <f>IF(B30080=C30080, "YES", "WRONG")</f>
        <v/>
      </c>
    </row>
    <row r="30081">
      <c r="A30081" t="n">
        <v>30080</v>
      </c>
      <c r="B30081" t="inlineStr">
        <is>
          <t>x̄x̄x̄LXXX</t>
        </is>
      </c>
      <c r="C30081">
        <f>ROMAN(30080)</f>
        <v/>
      </c>
      <c r="D30081">
        <f>IF(B30081=C30081, "YES", "WRONG")</f>
        <v/>
      </c>
    </row>
    <row r="30082">
      <c r="A30082" t="n">
        <v>30081</v>
      </c>
      <c r="B30082" t="inlineStr">
        <is>
          <t>x̄x̄x̄LXXXI</t>
        </is>
      </c>
      <c r="C30082">
        <f>ROMAN(30081)</f>
        <v/>
      </c>
      <c r="D30082">
        <f>IF(B30082=C30082, "YES", "WRONG")</f>
        <v/>
      </c>
    </row>
    <row r="30083">
      <c r="A30083" t="n">
        <v>30082</v>
      </c>
      <c r="B30083" t="inlineStr">
        <is>
          <t>x̄x̄x̄LXXXII</t>
        </is>
      </c>
      <c r="C30083">
        <f>ROMAN(30082)</f>
        <v/>
      </c>
      <c r="D30083">
        <f>IF(B30083=C30083, "YES", "WRONG")</f>
        <v/>
      </c>
    </row>
    <row r="30084">
      <c r="A30084" t="n">
        <v>30083</v>
      </c>
      <c r="B30084" t="inlineStr">
        <is>
          <t>x̄x̄x̄LXXXIII</t>
        </is>
      </c>
      <c r="C30084">
        <f>ROMAN(30083)</f>
        <v/>
      </c>
      <c r="D30084">
        <f>IF(B30084=C30084, "YES", "WRONG")</f>
        <v/>
      </c>
    </row>
    <row r="30085">
      <c r="A30085" t="n">
        <v>30084</v>
      </c>
      <c r="B30085" t="inlineStr">
        <is>
          <t>x̄x̄x̄LXXXIV</t>
        </is>
      </c>
      <c r="C30085">
        <f>ROMAN(30084)</f>
        <v/>
      </c>
      <c r="D30085">
        <f>IF(B30085=C30085, "YES", "WRONG")</f>
        <v/>
      </c>
    </row>
    <row r="30086">
      <c r="A30086" t="n">
        <v>30085</v>
      </c>
      <c r="B30086" t="inlineStr">
        <is>
          <t>x̄x̄x̄LXXXV</t>
        </is>
      </c>
      <c r="C30086">
        <f>ROMAN(30085)</f>
        <v/>
      </c>
      <c r="D30086">
        <f>IF(B30086=C30086, "YES", "WRONG")</f>
        <v/>
      </c>
    </row>
    <row r="30087">
      <c r="A30087" t="n">
        <v>30086</v>
      </c>
      <c r="B30087" t="inlineStr">
        <is>
          <t>x̄x̄x̄LXXXVI</t>
        </is>
      </c>
      <c r="C30087">
        <f>ROMAN(30086)</f>
        <v/>
      </c>
      <c r="D30087">
        <f>IF(B30087=C30087, "YES", "WRONG")</f>
        <v/>
      </c>
    </row>
    <row r="30088">
      <c r="A30088" t="n">
        <v>30087</v>
      </c>
      <c r="B30088" t="inlineStr">
        <is>
          <t>x̄x̄x̄LXXXVII</t>
        </is>
      </c>
      <c r="C30088">
        <f>ROMAN(30087)</f>
        <v/>
      </c>
      <c r="D30088">
        <f>IF(B30088=C30088, "YES", "WRONG")</f>
        <v/>
      </c>
    </row>
    <row r="30089">
      <c r="A30089" t="n">
        <v>30088</v>
      </c>
      <c r="B30089" t="inlineStr">
        <is>
          <t>x̄x̄x̄LXXXVIII</t>
        </is>
      </c>
      <c r="C30089">
        <f>ROMAN(30088)</f>
        <v/>
      </c>
      <c r="D30089">
        <f>IF(B30089=C30089, "YES", "WRONG")</f>
        <v/>
      </c>
    </row>
    <row r="30090">
      <c r="A30090" t="n">
        <v>30089</v>
      </c>
      <c r="B30090" t="inlineStr">
        <is>
          <t>x̄x̄x̄LXXXIX</t>
        </is>
      </c>
      <c r="C30090">
        <f>ROMAN(30089)</f>
        <v/>
      </c>
      <c r="D30090">
        <f>IF(B30090=C30090, "YES", "WRONG")</f>
        <v/>
      </c>
    </row>
    <row r="30091">
      <c r="A30091" t="n">
        <v>30090</v>
      </c>
      <c r="B30091" t="inlineStr">
        <is>
          <t>x̄x̄x̄XC</t>
        </is>
      </c>
      <c r="C30091">
        <f>ROMAN(30090)</f>
        <v/>
      </c>
      <c r="D30091">
        <f>IF(B30091=C30091, "YES", "WRONG")</f>
        <v/>
      </c>
    </row>
    <row r="30092">
      <c r="A30092" t="n">
        <v>30091</v>
      </c>
      <c r="B30092" t="inlineStr">
        <is>
          <t>x̄x̄x̄XCI</t>
        </is>
      </c>
      <c r="C30092">
        <f>ROMAN(30091)</f>
        <v/>
      </c>
      <c r="D30092">
        <f>IF(B30092=C30092, "YES", "WRONG")</f>
        <v/>
      </c>
    </row>
    <row r="30093">
      <c r="A30093" t="n">
        <v>30092</v>
      </c>
      <c r="B30093" t="inlineStr">
        <is>
          <t>x̄x̄x̄XCII</t>
        </is>
      </c>
      <c r="C30093">
        <f>ROMAN(30092)</f>
        <v/>
      </c>
      <c r="D30093">
        <f>IF(B30093=C30093, "YES", "WRONG")</f>
        <v/>
      </c>
    </row>
    <row r="30094">
      <c r="A30094" t="n">
        <v>30093</v>
      </c>
      <c r="B30094" t="inlineStr">
        <is>
          <t>x̄x̄x̄XCIII</t>
        </is>
      </c>
      <c r="C30094">
        <f>ROMAN(30093)</f>
        <v/>
      </c>
      <c r="D30094">
        <f>IF(B30094=C30094, "YES", "WRONG")</f>
        <v/>
      </c>
    </row>
    <row r="30095">
      <c r="A30095" t="n">
        <v>30094</v>
      </c>
      <c r="B30095" t="inlineStr">
        <is>
          <t>x̄x̄x̄XCIV</t>
        </is>
      </c>
      <c r="C30095">
        <f>ROMAN(30094)</f>
        <v/>
      </c>
      <c r="D30095">
        <f>IF(B30095=C30095, "YES", "WRONG")</f>
        <v/>
      </c>
    </row>
    <row r="30096">
      <c r="A30096" t="n">
        <v>30095</v>
      </c>
      <c r="B30096" t="inlineStr">
        <is>
          <t>x̄x̄x̄XCV</t>
        </is>
      </c>
      <c r="C30096">
        <f>ROMAN(30095)</f>
        <v/>
      </c>
      <c r="D30096">
        <f>IF(B30096=C30096, "YES", "WRONG")</f>
        <v/>
      </c>
    </row>
    <row r="30097">
      <c r="A30097" t="n">
        <v>30096</v>
      </c>
      <c r="B30097" t="inlineStr">
        <is>
          <t>x̄x̄x̄XCVI</t>
        </is>
      </c>
      <c r="C30097">
        <f>ROMAN(30096)</f>
        <v/>
      </c>
      <c r="D30097">
        <f>IF(B30097=C30097, "YES", "WRONG")</f>
        <v/>
      </c>
    </row>
    <row r="30098">
      <c r="A30098" t="n">
        <v>30097</v>
      </c>
      <c r="B30098" t="inlineStr">
        <is>
          <t>x̄x̄x̄XCVII</t>
        </is>
      </c>
      <c r="C30098">
        <f>ROMAN(30097)</f>
        <v/>
      </c>
      <c r="D30098">
        <f>IF(B30098=C30098, "YES", "WRONG")</f>
        <v/>
      </c>
    </row>
    <row r="30099">
      <c r="A30099" t="n">
        <v>30098</v>
      </c>
      <c r="B30099" t="inlineStr">
        <is>
          <t>x̄x̄x̄XCVIII</t>
        </is>
      </c>
      <c r="C30099">
        <f>ROMAN(30098)</f>
        <v/>
      </c>
      <c r="D30099">
        <f>IF(B30099=C30099, "YES", "WRONG")</f>
        <v/>
      </c>
    </row>
    <row r="30100">
      <c r="A30100" t="n">
        <v>30099</v>
      </c>
      <c r="B30100" t="inlineStr">
        <is>
          <t>x̄x̄x̄XCIX</t>
        </is>
      </c>
      <c r="C30100">
        <f>ROMAN(30099)</f>
        <v/>
      </c>
      <c r="D30100">
        <f>IF(B30100=C30100, "YES", "WRONG")</f>
        <v/>
      </c>
    </row>
    <row r="30101">
      <c r="A30101" t="n">
        <v>30100</v>
      </c>
      <c r="B30101" t="inlineStr">
        <is>
          <t>x̄x̄x̄C</t>
        </is>
      </c>
      <c r="C30101">
        <f>ROMAN(30100)</f>
        <v/>
      </c>
      <c r="D30101">
        <f>IF(B30101=C30101, "YES", "WRONG")</f>
        <v/>
      </c>
    </row>
    <row r="30102">
      <c r="A30102" t="n">
        <v>30101</v>
      </c>
      <c r="B30102" t="inlineStr">
        <is>
          <t>x̄x̄x̄CI</t>
        </is>
      </c>
      <c r="C30102">
        <f>ROMAN(30101)</f>
        <v/>
      </c>
      <c r="D30102">
        <f>IF(B30102=C30102, "YES", "WRONG")</f>
        <v/>
      </c>
    </row>
    <row r="30103">
      <c r="A30103" t="n">
        <v>30102</v>
      </c>
      <c r="B30103" t="inlineStr">
        <is>
          <t>x̄x̄x̄CII</t>
        </is>
      </c>
      <c r="C30103">
        <f>ROMAN(30102)</f>
        <v/>
      </c>
      <c r="D30103">
        <f>IF(B30103=C30103, "YES", "WRONG")</f>
        <v/>
      </c>
    </row>
    <row r="30104">
      <c r="A30104" t="n">
        <v>30103</v>
      </c>
      <c r="B30104" t="inlineStr">
        <is>
          <t>x̄x̄x̄CIII</t>
        </is>
      </c>
      <c r="C30104">
        <f>ROMAN(30103)</f>
        <v/>
      </c>
      <c r="D30104">
        <f>IF(B30104=C30104, "YES", "WRONG")</f>
        <v/>
      </c>
    </row>
    <row r="30105">
      <c r="A30105" t="n">
        <v>30104</v>
      </c>
      <c r="B30105" t="inlineStr">
        <is>
          <t>x̄x̄x̄CIV</t>
        </is>
      </c>
      <c r="C30105">
        <f>ROMAN(30104)</f>
        <v/>
      </c>
      <c r="D30105">
        <f>IF(B30105=C30105, "YES", "WRONG")</f>
        <v/>
      </c>
    </row>
    <row r="30106">
      <c r="A30106" t="n">
        <v>30105</v>
      </c>
      <c r="B30106" t="inlineStr">
        <is>
          <t>x̄x̄x̄CV</t>
        </is>
      </c>
      <c r="C30106">
        <f>ROMAN(30105)</f>
        <v/>
      </c>
      <c r="D30106">
        <f>IF(B30106=C30106, "YES", "WRONG")</f>
        <v/>
      </c>
    </row>
    <row r="30107">
      <c r="A30107" t="n">
        <v>30106</v>
      </c>
      <c r="B30107" t="inlineStr">
        <is>
          <t>x̄x̄x̄CVI</t>
        </is>
      </c>
      <c r="C30107">
        <f>ROMAN(30106)</f>
        <v/>
      </c>
      <c r="D30107">
        <f>IF(B30107=C30107, "YES", "WRONG")</f>
        <v/>
      </c>
    </row>
    <row r="30108">
      <c r="A30108" t="n">
        <v>30107</v>
      </c>
      <c r="B30108" t="inlineStr">
        <is>
          <t>x̄x̄x̄CVII</t>
        </is>
      </c>
      <c r="C30108">
        <f>ROMAN(30107)</f>
        <v/>
      </c>
      <c r="D30108">
        <f>IF(B30108=C30108, "YES", "WRONG")</f>
        <v/>
      </c>
    </row>
    <row r="30109">
      <c r="A30109" t="n">
        <v>30108</v>
      </c>
      <c r="B30109" t="inlineStr">
        <is>
          <t>x̄x̄x̄CVIII</t>
        </is>
      </c>
      <c r="C30109">
        <f>ROMAN(30108)</f>
        <v/>
      </c>
      <c r="D30109">
        <f>IF(B30109=C30109, "YES", "WRONG")</f>
        <v/>
      </c>
    </row>
    <row r="30110">
      <c r="A30110" t="n">
        <v>30109</v>
      </c>
      <c r="B30110" t="inlineStr">
        <is>
          <t>x̄x̄x̄CIX</t>
        </is>
      </c>
      <c r="C30110">
        <f>ROMAN(30109)</f>
        <v/>
      </c>
      <c r="D30110">
        <f>IF(B30110=C30110, "YES", "WRONG")</f>
        <v/>
      </c>
    </row>
    <row r="30111">
      <c r="A30111" t="n">
        <v>30110</v>
      </c>
      <c r="B30111" t="inlineStr">
        <is>
          <t>x̄x̄x̄CX</t>
        </is>
      </c>
      <c r="C30111">
        <f>ROMAN(30110)</f>
        <v/>
      </c>
      <c r="D30111">
        <f>IF(B30111=C30111, "YES", "WRONG")</f>
        <v/>
      </c>
    </row>
    <row r="30112">
      <c r="A30112" t="n">
        <v>30111</v>
      </c>
      <c r="B30112" t="inlineStr">
        <is>
          <t>x̄x̄x̄CXI</t>
        </is>
      </c>
      <c r="C30112">
        <f>ROMAN(30111)</f>
        <v/>
      </c>
      <c r="D30112">
        <f>IF(B30112=C30112, "YES", "WRONG")</f>
        <v/>
      </c>
    </row>
    <row r="30113">
      <c r="A30113" t="n">
        <v>30112</v>
      </c>
      <c r="B30113" t="inlineStr">
        <is>
          <t>x̄x̄x̄CXII</t>
        </is>
      </c>
      <c r="C30113">
        <f>ROMAN(30112)</f>
        <v/>
      </c>
      <c r="D30113">
        <f>IF(B30113=C30113, "YES", "WRONG")</f>
        <v/>
      </c>
    </row>
    <row r="30114">
      <c r="A30114" t="n">
        <v>30113</v>
      </c>
      <c r="B30114" t="inlineStr">
        <is>
          <t>x̄x̄x̄CXIII</t>
        </is>
      </c>
      <c r="C30114">
        <f>ROMAN(30113)</f>
        <v/>
      </c>
      <c r="D30114">
        <f>IF(B30114=C30114, "YES", "WRONG")</f>
        <v/>
      </c>
    </row>
    <row r="30115">
      <c r="A30115" t="n">
        <v>30114</v>
      </c>
      <c r="B30115" t="inlineStr">
        <is>
          <t>x̄x̄x̄CXIV</t>
        </is>
      </c>
      <c r="C30115">
        <f>ROMAN(30114)</f>
        <v/>
      </c>
      <c r="D30115">
        <f>IF(B30115=C30115, "YES", "WRONG")</f>
        <v/>
      </c>
    </row>
    <row r="30116">
      <c r="A30116" t="n">
        <v>30115</v>
      </c>
      <c r="B30116" t="inlineStr">
        <is>
          <t>x̄x̄x̄CXV</t>
        </is>
      </c>
      <c r="C30116">
        <f>ROMAN(30115)</f>
        <v/>
      </c>
      <c r="D30116">
        <f>IF(B30116=C30116, "YES", "WRONG")</f>
        <v/>
      </c>
    </row>
    <row r="30117">
      <c r="A30117" t="n">
        <v>30116</v>
      </c>
      <c r="B30117" t="inlineStr">
        <is>
          <t>x̄x̄x̄CXVI</t>
        </is>
      </c>
      <c r="C30117">
        <f>ROMAN(30116)</f>
        <v/>
      </c>
      <c r="D30117">
        <f>IF(B30117=C30117, "YES", "WRONG")</f>
        <v/>
      </c>
    </row>
    <row r="30118">
      <c r="A30118" t="n">
        <v>30117</v>
      </c>
      <c r="B30118" t="inlineStr">
        <is>
          <t>x̄x̄x̄CXVII</t>
        </is>
      </c>
      <c r="C30118">
        <f>ROMAN(30117)</f>
        <v/>
      </c>
      <c r="D30118">
        <f>IF(B30118=C30118, "YES", "WRONG")</f>
        <v/>
      </c>
    </row>
    <row r="30119">
      <c r="A30119" t="n">
        <v>30118</v>
      </c>
      <c r="B30119" t="inlineStr">
        <is>
          <t>x̄x̄x̄CXVIII</t>
        </is>
      </c>
      <c r="C30119">
        <f>ROMAN(30118)</f>
        <v/>
      </c>
      <c r="D30119">
        <f>IF(B30119=C30119, "YES", "WRONG")</f>
        <v/>
      </c>
    </row>
    <row r="30120">
      <c r="A30120" t="n">
        <v>30119</v>
      </c>
      <c r="B30120" t="inlineStr">
        <is>
          <t>x̄x̄x̄CXIX</t>
        </is>
      </c>
      <c r="C30120">
        <f>ROMAN(30119)</f>
        <v/>
      </c>
      <c r="D30120">
        <f>IF(B30120=C30120, "YES", "WRONG")</f>
        <v/>
      </c>
    </row>
    <row r="30121">
      <c r="A30121" t="n">
        <v>30120</v>
      </c>
      <c r="B30121" t="inlineStr">
        <is>
          <t>x̄x̄x̄CXX</t>
        </is>
      </c>
      <c r="C30121">
        <f>ROMAN(30120)</f>
        <v/>
      </c>
      <c r="D30121">
        <f>IF(B30121=C30121, "YES", "WRONG")</f>
        <v/>
      </c>
    </row>
    <row r="30122">
      <c r="A30122" t="n">
        <v>30121</v>
      </c>
      <c r="B30122" t="inlineStr">
        <is>
          <t>x̄x̄x̄CXXI</t>
        </is>
      </c>
      <c r="C30122">
        <f>ROMAN(30121)</f>
        <v/>
      </c>
      <c r="D30122">
        <f>IF(B30122=C30122, "YES", "WRONG")</f>
        <v/>
      </c>
    </row>
    <row r="30123">
      <c r="A30123" t="n">
        <v>30122</v>
      </c>
      <c r="B30123" t="inlineStr">
        <is>
          <t>x̄x̄x̄CXXII</t>
        </is>
      </c>
      <c r="C30123">
        <f>ROMAN(30122)</f>
        <v/>
      </c>
      <c r="D30123">
        <f>IF(B30123=C30123, "YES", "WRONG")</f>
        <v/>
      </c>
    </row>
    <row r="30124">
      <c r="A30124" t="n">
        <v>30123</v>
      </c>
      <c r="B30124" t="inlineStr">
        <is>
          <t>x̄x̄x̄CXXIII</t>
        </is>
      </c>
      <c r="C30124">
        <f>ROMAN(30123)</f>
        <v/>
      </c>
      <c r="D30124">
        <f>IF(B30124=C30124, "YES", "WRONG")</f>
        <v/>
      </c>
    </row>
    <row r="30125">
      <c r="A30125" t="n">
        <v>30124</v>
      </c>
      <c r="B30125" t="inlineStr">
        <is>
          <t>x̄x̄x̄CXXIV</t>
        </is>
      </c>
      <c r="C30125">
        <f>ROMAN(30124)</f>
        <v/>
      </c>
      <c r="D30125">
        <f>IF(B30125=C30125, "YES", "WRONG")</f>
        <v/>
      </c>
    </row>
    <row r="30126">
      <c r="A30126" t="n">
        <v>30125</v>
      </c>
      <c r="B30126" t="inlineStr">
        <is>
          <t>x̄x̄x̄CXXV</t>
        </is>
      </c>
      <c r="C30126">
        <f>ROMAN(30125)</f>
        <v/>
      </c>
      <c r="D30126">
        <f>IF(B30126=C30126, "YES", "WRONG")</f>
        <v/>
      </c>
    </row>
    <row r="30127">
      <c r="A30127" t="n">
        <v>30126</v>
      </c>
      <c r="B30127" t="inlineStr">
        <is>
          <t>x̄x̄x̄CXXVI</t>
        </is>
      </c>
      <c r="C30127">
        <f>ROMAN(30126)</f>
        <v/>
      </c>
      <c r="D30127">
        <f>IF(B30127=C30127, "YES", "WRONG")</f>
        <v/>
      </c>
    </row>
    <row r="30128">
      <c r="A30128" t="n">
        <v>30127</v>
      </c>
      <c r="B30128" t="inlineStr">
        <is>
          <t>x̄x̄x̄CXXVII</t>
        </is>
      </c>
      <c r="C30128">
        <f>ROMAN(30127)</f>
        <v/>
      </c>
      <c r="D30128">
        <f>IF(B30128=C30128, "YES", "WRONG")</f>
        <v/>
      </c>
    </row>
    <row r="30129">
      <c r="A30129" t="n">
        <v>30128</v>
      </c>
      <c r="B30129" t="inlineStr">
        <is>
          <t>x̄x̄x̄CXXVIII</t>
        </is>
      </c>
      <c r="C30129">
        <f>ROMAN(30128)</f>
        <v/>
      </c>
      <c r="D30129">
        <f>IF(B30129=C30129, "YES", "WRONG")</f>
        <v/>
      </c>
    </row>
    <row r="30130">
      <c r="A30130" t="n">
        <v>30129</v>
      </c>
      <c r="B30130" t="inlineStr">
        <is>
          <t>x̄x̄x̄CXXIX</t>
        </is>
      </c>
      <c r="C30130">
        <f>ROMAN(30129)</f>
        <v/>
      </c>
      <c r="D30130">
        <f>IF(B30130=C30130, "YES", "WRONG")</f>
        <v/>
      </c>
    </row>
    <row r="30131">
      <c r="A30131" t="n">
        <v>30130</v>
      </c>
      <c r="B30131" t="inlineStr">
        <is>
          <t>x̄x̄x̄CXXX</t>
        </is>
      </c>
      <c r="C30131">
        <f>ROMAN(30130)</f>
        <v/>
      </c>
      <c r="D30131">
        <f>IF(B30131=C30131, "YES", "WRONG")</f>
        <v/>
      </c>
    </row>
    <row r="30132">
      <c r="A30132" t="n">
        <v>30131</v>
      </c>
      <c r="B30132" t="inlineStr">
        <is>
          <t>x̄x̄x̄CXXXI</t>
        </is>
      </c>
      <c r="C30132">
        <f>ROMAN(30131)</f>
        <v/>
      </c>
      <c r="D30132">
        <f>IF(B30132=C30132, "YES", "WRONG")</f>
        <v/>
      </c>
    </row>
    <row r="30133">
      <c r="A30133" t="n">
        <v>30132</v>
      </c>
      <c r="B30133" t="inlineStr">
        <is>
          <t>x̄x̄x̄CXXXII</t>
        </is>
      </c>
      <c r="C30133">
        <f>ROMAN(30132)</f>
        <v/>
      </c>
      <c r="D30133">
        <f>IF(B30133=C30133, "YES", "WRONG")</f>
        <v/>
      </c>
    </row>
    <row r="30134">
      <c r="A30134" t="n">
        <v>30133</v>
      </c>
      <c r="B30134" t="inlineStr">
        <is>
          <t>x̄x̄x̄CXXXIII</t>
        </is>
      </c>
      <c r="C30134">
        <f>ROMAN(30133)</f>
        <v/>
      </c>
      <c r="D30134">
        <f>IF(B30134=C30134, "YES", "WRONG")</f>
        <v/>
      </c>
    </row>
    <row r="30135">
      <c r="A30135" t="n">
        <v>30134</v>
      </c>
      <c r="B30135" t="inlineStr">
        <is>
          <t>x̄x̄x̄CXXXIV</t>
        </is>
      </c>
      <c r="C30135">
        <f>ROMAN(30134)</f>
        <v/>
      </c>
      <c r="D30135">
        <f>IF(B30135=C30135, "YES", "WRONG")</f>
        <v/>
      </c>
    </row>
    <row r="30136">
      <c r="A30136" t="n">
        <v>30135</v>
      </c>
      <c r="B30136" t="inlineStr">
        <is>
          <t>x̄x̄x̄CXXXV</t>
        </is>
      </c>
      <c r="C30136">
        <f>ROMAN(30135)</f>
        <v/>
      </c>
      <c r="D30136">
        <f>IF(B30136=C30136, "YES", "WRONG")</f>
        <v/>
      </c>
    </row>
    <row r="30137">
      <c r="A30137" t="n">
        <v>30136</v>
      </c>
      <c r="B30137" t="inlineStr">
        <is>
          <t>x̄x̄x̄CXXXVI</t>
        </is>
      </c>
      <c r="C30137">
        <f>ROMAN(30136)</f>
        <v/>
      </c>
      <c r="D30137">
        <f>IF(B30137=C30137, "YES", "WRONG")</f>
        <v/>
      </c>
    </row>
    <row r="30138">
      <c r="A30138" t="n">
        <v>30137</v>
      </c>
      <c r="B30138" t="inlineStr">
        <is>
          <t>x̄x̄x̄CXXXVII</t>
        </is>
      </c>
      <c r="C30138">
        <f>ROMAN(30137)</f>
        <v/>
      </c>
      <c r="D30138">
        <f>IF(B30138=C30138, "YES", "WRONG")</f>
        <v/>
      </c>
    </row>
    <row r="30139">
      <c r="A30139" t="n">
        <v>30138</v>
      </c>
      <c r="B30139" t="inlineStr">
        <is>
          <t>x̄x̄x̄CXXXVIII</t>
        </is>
      </c>
      <c r="C30139">
        <f>ROMAN(30138)</f>
        <v/>
      </c>
      <c r="D30139">
        <f>IF(B30139=C30139, "YES", "WRONG")</f>
        <v/>
      </c>
    </row>
    <row r="30140">
      <c r="A30140" t="n">
        <v>30139</v>
      </c>
      <c r="B30140" t="inlineStr">
        <is>
          <t>x̄x̄x̄CXXXIX</t>
        </is>
      </c>
      <c r="C30140">
        <f>ROMAN(30139)</f>
        <v/>
      </c>
      <c r="D30140">
        <f>IF(B30140=C30140, "YES", "WRONG")</f>
        <v/>
      </c>
    </row>
    <row r="30141">
      <c r="A30141" t="n">
        <v>30140</v>
      </c>
      <c r="B30141" t="inlineStr">
        <is>
          <t>x̄x̄x̄CXL</t>
        </is>
      </c>
      <c r="C30141">
        <f>ROMAN(30140)</f>
        <v/>
      </c>
      <c r="D30141">
        <f>IF(B30141=C30141, "YES", "WRONG")</f>
        <v/>
      </c>
    </row>
    <row r="30142">
      <c r="A30142" t="n">
        <v>30141</v>
      </c>
      <c r="B30142" t="inlineStr">
        <is>
          <t>x̄x̄x̄CXLI</t>
        </is>
      </c>
      <c r="C30142">
        <f>ROMAN(30141)</f>
        <v/>
      </c>
      <c r="D30142">
        <f>IF(B30142=C30142, "YES", "WRONG")</f>
        <v/>
      </c>
    </row>
    <row r="30143">
      <c r="A30143" t="n">
        <v>30142</v>
      </c>
      <c r="B30143" t="inlineStr">
        <is>
          <t>x̄x̄x̄CXLII</t>
        </is>
      </c>
      <c r="C30143">
        <f>ROMAN(30142)</f>
        <v/>
      </c>
      <c r="D30143">
        <f>IF(B30143=C30143, "YES", "WRONG")</f>
        <v/>
      </c>
    </row>
    <row r="30144">
      <c r="A30144" t="n">
        <v>30143</v>
      </c>
      <c r="B30144" t="inlineStr">
        <is>
          <t>x̄x̄x̄CXLIII</t>
        </is>
      </c>
      <c r="C30144">
        <f>ROMAN(30143)</f>
        <v/>
      </c>
      <c r="D30144">
        <f>IF(B30144=C30144, "YES", "WRONG")</f>
        <v/>
      </c>
    </row>
    <row r="30145">
      <c r="A30145" t="n">
        <v>30144</v>
      </c>
      <c r="B30145" t="inlineStr">
        <is>
          <t>x̄x̄x̄CXLIV</t>
        </is>
      </c>
      <c r="C30145">
        <f>ROMAN(30144)</f>
        <v/>
      </c>
      <c r="D30145">
        <f>IF(B30145=C30145, "YES", "WRONG")</f>
        <v/>
      </c>
    </row>
    <row r="30146">
      <c r="A30146" t="n">
        <v>30145</v>
      </c>
      <c r="B30146" t="inlineStr">
        <is>
          <t>x̄x̄x̄CXLV</t>
        </is>
      </c>
      <c r="C30146">
        <f>ROMAN(30145)</f>
        <v/>
      </c>
      <c r="D30146">
        <f>IF(B30146=C30146, "YES", "WRONG")</f>
        <v/>
      </c>
    </row>
    <row r="30147">
      <c r="A30147" t="n">
        <v>30146</v>
      </c>
      <c r="B30147" t="inlineStr">
        <is>
          <t>x̄x̄x̄CXLVI</t>
        </is>
      </c>
      <c r="C30147">
        <f>ROMAN(30146)</f>
        <v/>
      </c>
      <c r="D30147">
        <f>IF(B30147=C30147, "YES", "WRONG")</f>
        <v/>
      </c>
    </row>
    <row r="30148">
      <c r="A30148" t="n">
        <v>30147</v>
      </c>
      <c r="B30148" t="inlineStr">
        <is>
          <t>x̄x̄x̄CXLVII</t>
        </is>
      </c>
      <c r="C30148">
        <f>ROMAN(30147)</f>
        <v/>
      </c>
      <c r="D30148">
        <f>IF(B30148=C30148, "YES", "WRONG")</f>
        <v/>
      </c>
    </row>
    <row r="30149">
      <c r="A30149" t="n">
        <v>30148</v>
      </c>
      <c r="B30149" t="inlineStr">
        <is>
          <t>x̄x̄x̄CXLVIII</t>
        </is>
      </c>
      <c r="C30149">
        <f>ROMAN(30148)</f>
        <v/>
      </c>
      <c r="D30149">
        <f>IF(B30149=C30149, "YES", "WRONG")</f>
        <v/>
      </c>
    </row>
    <row r="30150">
      <c r="A30150" t="n">
        <v>30149</v>
      </c>
      <c r="B30150" t="inlineStr">
        <is>
          <t>x̄x̄x̄CXLIX</t>
        </is>
      </c>
      <c r="C30150">
        <f>ROMAN(30149)</f>
        <v/>
      </c>
      <c r="D30150">
        <f>IF(B30150=C30150, "YES", "WRONG")</f>
        <v/>
      </c>
    </row>
    <row r="30151">
      <c r="A30151" t="n">
        <v>30150</v>
      </c>
      <c r="B30151" t="inlineStr">
        <is>
          <t>x̄x̄x̄CL</t>
        </is>
      </c>
      <c r="C30151">
        <f>ROMAN(30150)</f>
        <v/>
      </c>
      <c r="D30151">
        <f>IF(B30151=C30151, "YES", "WRONG")</f>
        <v/>
      </c>
    </row>
    <row r="30152">
      <c r="A30152" t="n">
        <v>30151</v>
      </c>
      <c r="B30152" t="inlineStr">
        <is>
          <t>x̄x̄x̄CLI</t>
        </is>
      </c>
      <c r="C30152">
        <f>ROMAN(30151)</f>
        <v/>
      </c>
      <c r="D30152">
        <f>IF(B30152=C30152, "YES", "WRONG")</f>
        <v/>
      </c>
    </row>
    <row r="30153">
      <c r="A30153" t="n">
        <v>30152</v>
      </c>
      <c r="B30153" t="inlineStr">
        <is>
          <t>x̄x̄x̄CLII</t>
        </is>
      </c>
      <c r="C30153">
        <f>ROMAN(30152)</f>
        <v/>
      </c>
      <c r="D30153">
        <f>IF(B30153=C30153, "YES", "WRONG")</f>
        <v/>
      </c>
    </row>
    <row r="30154">
      <c r="A30154" t="n">
        <v>30153</v>
      </c>
      <c r="B30154" t="inlineStr">
        <is>
          <t>x̄x̄x̄CLIII</t>
        </is>
      </c>
      <c r="C30154">
        <f>ROMAN(30153)</f>
        <v/>
      </c>
      <c r="D30154">
        <f>IF(B30154=C30154, "YES", "WRONG")</f>
        <v/>
      </c>
    </row>
    <row r="30155">
      <c r="A30155" t="n">
        <v>30154</v>
      </c>
      <c r="B30155" t="inlineStr">
        <is>
          <t>x̄x̄x̄CLIV</t>
        </is>
      </c>
      <c r="C30155">
        <f>ROMAN(30154)</f>
        <v/>
      </c>
      <c r="D30155">
        <f>IF(B30155=C30155, "YES", "WRONG")</f>
        <v/>
      </c>
    </row>
    <row r="30156">
      <c r="A30156" t="n">
        <v>30155</v>
      </c>
      <c r="B30156" t="inlineStr">
        <is>
          <t>x̄x̄x̄CLV</t>
        </is>
      </c>
      <c r="C30156">
        <f>ROMAN(30155)</f>
        <v/>
      </c>
      <c r="D30156">
        <f>IF(B30156=C30156, "YES", "WRONG")</f>
        <v/>
      </c>
    </row>
    <row r="30157">
      <c r="A30157" t="n">
        <v>30156</v>
      </c>
      <c r="B30157" t="inlineStr">
        <is>
          <t>x̄x̄x̄CLVI</t>
        </is>
      </c>
      <c r="C30157">
        <f>ROMAN(30156)</f>
        <v/>
      </c>
      <c r="D30157">
        <f>IF(B30157=C30157, "YES", "WRONG")</f>
        <v/>
      </c>
    </row>
    <row r="30158">
      <c r="A30158" t="n">
        <v>30157</v>
      </c>
      <c r="B30158" t="inlineStr">
        <is>
          <t>x̄x̄x̄CLVII</t>
        </is>
      </c>
      <c r="C30158">
        <f>ROMAN(30157)</f>
        <v/>
      </c>
      <c r="D30158">
        <f>IF(B30158=C30158, "YES", "WRONG")</f>
        <v/>
      </c>
    </row>
    <row r="30159">
      <c r="A30159" t="n">
        <v>30158</v>
      </c>
      <c r="B30159" t="inlineStr">
        <is>
          <t>x̄x̄x̄CLVIII</t>
        </is>
      </c>
      <c r="C30159">
        <f>ROMAN(30158)</f>
        <v/>
      </c>
      <c r="D30159">
        <f>IF(B30159=C30159, "YES", "WRONG")</f>
        <v/>
      </c>
    </row>
    <row r="30160">
      <c r="A30160" t="n">
        <v>30159</v>
      </c>
      <c r="B30160" t="inlineStr">
        <is>
          <t>x̄x̄x̄CLIX</t>
        </is>
      </c>
      <c r="C30160">
        <f>ROMAN(30159)</f>
        <v/>
      </c>
      <c r="D30160">
        <f>IF(B30160=C30160, "YES", "WRONG")</f>
        <v/>
      </c>
    </row>
    <row r="30161">
      <c r="A30161" t="n">
        <v>30160</v>
      </c>
      <c r="B30161" t="inlineStr">
        <is>
          <t>x̄x̄x̄CLX</t>
        </is>
      </c>
      <c r="C30161">
        <f>ROMAN(30160)</f>
        <v/>
      </c>
      <c r="D30161">
        <f>IF(B30161=C30161, "YES", "WRONG")</f>
        <v/>
      </c>
    </row>
    <row r="30162">
      <c r="A30162" t="n">
        <v>30161</v>
      </c>
      <c r="B30162" t="inlineStr">
        <is>
          <t>x̄x̄x̄CLXI</t>
        </is>
      </c>
      <c r="C30162">
        <f>ROMAN(30161)</f>
        <v/>
      </c>
      <c r="D30162">
        <f>IF(B30162=C30162, "YES", "WRONG")</f>
        <v/>
      </c>
    </row>
    <row r="30163">
      <c r="A30163" t="n">
        <v>30162</v>
      </c>
      <c r="B30163" t="inlineStr">
        <is>
          <t>x̄x̄x̄CLXII</t>
        </is>
      </c>
      <c r="C30163">
        <f>ROMAN(30162)</f>
        <v/>
      </c>
      <c r="D30163">
        <f>IF(B30163=C30163, "YES", "WRONG")</f>
        <v/>
      </c>
    </row>
    <row r="30164">
      <c r="A30164" t="n">
        <v>30163</v>
      </c>
      <c r="B30164" t="inlineStr">
        <is>
          <t>x̄x̄x̄CLXIII</t>
        </is>
      </c>
      <c r="C30164">
        <f>ROMAN(30163)</f>
        <v/>
      </c>
      <c r="D30164">
        <f>IF(B30164=C30164, "YES", "WRONG")</f>
        <v/>
      </c>
    </row>
    <row r="30165">
      <c r="A30165" t="n">
        <v>30164</v>
      </c>
      <c r="B30165" t="inlineStr">
        <is>
          <t>x̄x̄x̄CLXIV</t>
        </is>
      </c>
      <c r="C30165">
        <f>ROMAN(30164)</f>
        <v/>
      </c>
      <c r="D30165">
        <f>IF(B30165=C30165, "YES", "WRONG")</f>
        <v/>
      </c>
    </row>
    <row r="30166">
      <c r="A30166" t="n">
        <v>30165</v>
      </c>
      <c r="B30166" t="inlineStr">
        <is>
          <t>x̄x̄x̄CLXV</t>
        </is>
      </c>
      <c r="C30166">
        <f>ROMAN(30165)</f>
        <v/>
      </c>
      <c r="D30166">
        <f>IF(B30166=C30166, "YES", "WRONG")</f>
        <v/>
      </c>
    </row>
    <row r="30167">
      <c r="A30167" t="n">
        <v>30166</v>
      </c>
      <c r="B30167" t="inlineStr">
        <is>
          <t>x̄x̄x̄CLXVI</t>
        </is>
      </c>
      <c r="C30167">
        <f>ROMAN(30166)</f>
        <v/>
      </c>
      <c r="D30167">
        <f>IF(B30167=C30167, "YES", "WRONG")</f>
        <v/>
      </c>
    </row>
    <row r="30168">
      <c r="A30168" t="n">
        <v>30167</v>
      </c>
      <c r="B30168" t="inlineStr">
        <is>
          <t>x̄x̄x̄CLXVII</t>
        </is>
      </c>
      <c r="C30168">
        <f>ROMAN(30167)</f>
        <v/>
      </c>
      <c r="D30168">
        <f>IF(B30168=C30168, "YES", "WRONG")</f>
        <v/>
      </c>
    </row>
    <row r="30169">
      <c r="A30169" t="n">
        <v>30168</v>
      </c>
      <c r="B30169" t="inlineStr">
        <is>
          <t>x̄x̄x̄CLXVIII</t>
        </is>
      </c>
      <c r="C30169">
        <f>ROMAN(30168)</f>
        <v/>
      </c>
      <c r="D30169">
        <f>IF(B30169=C30169, "YES", "WRONG")</f>
        <v/>
      </c>
    </row>
    <row r="30170">
      <c r="A30170" t="n">
        <v>30169</v>
      </c>
      <c r="B30170" t="inlineStr">
        <is>
          <t>x̄x̄x̄CLXIX</t>
        </is>
      </c>
      <c r="C30170">
        <f>ROMAN(30169)</f>
        <v/>
      </c>
      <c r="D30170">
        <f>IF(B30170=C30170, "YES", "WRONG")</f>
        <v/>
      </c>
    </row>
    <row r="30171">
      <c r="A30171" t="n">
        <v>30170</v>
      </c>
      <c r="B30171" t="inlineStr">
        <is>
          <t>x̄x̄x̄CLXX</t>
        </is>
      </c>
      <c r="C30171">
        <f>ROMAN(30170)</f>
        <v/>
      </c>
      <c r="D30171">
        <f>IF(B30171=C30171, "YES", "WRONG")</f>
        <v/>
      </c>
    </row>
    <row r="30172">
      <c r="A30172" t="n">
        <v>30171</v>
      </c>
      <c r="B30172" t="inlineStr">
        <is>
          <t>x̄x̄x̄CLXXI</t>
        </is>
      </c>
      <c r="C30172">
        <f>ROMAN(30171)</f>
        <v/>
      </c>
      <c r="D30172">
        <f>IF(B30172=C30172, "YES", "WRONG")</f>
        <v/>
      </c>
    </row>
    <row r="30173">
      <c r="A30173" t="n">
        <v>30172</v>
      </c>
      <c r="B30173" t="inlineStr">
        <is>
          <t>x̄x̄x̄CLXXII</t>
        </is>
      </c>
      <c r="C30173">
        <f>ROMAN(30172)</f>
        <v/>
      </c>
      <c r="D30173">
        <f>IF(B30173=C30173, "YES", "WRONG")</f>
        <v/>
      </c>
    </row>
    <row r="30174">
      <c r="A30174" t="n">
        <v>30173</v>
      </c>
      <c r="B30174" t="inlineStr">
        <is>
          <t>x̄x̄x̄CLXXIII</t>
        </is>
      </c>
      <c r="C30174">
        <f>ROMAN(30173)</f>
        <v/>
      </c>
      <c r="D30174">
        <f>IF(B30174=C30174, "YES", "WRONG")</f>
        <v/>
      </c>
    </row>
    <row r="30175">
      <c r="A30175" t="n">
        <v>30174</v>
      </c>
      <c r="B30175" t="inlineStr">
        <is>
          <t>x̄x̄x̄CLXXIV</t>
        </is>
      </c>
      <c r="C30175">
        <f>ROMAN(30174)</f>
        <v/>
      </c>
      <c r="D30175">
        <f>IF(B30175=C30175, "YES", "WRONG")</f>
        <v/>
      </c>
    </row>
    <row r="30176">
      <c r="A30176" t="n">
        <v>30175</v>
      </c>
      <c r="B30176" t="inlineStr">
        <is>
          <t>x̄x̄x̄CLXXV</t>
        </is>
      </c>
      <c r="C30176">
        <f>ROMAN(30175)</f>
        <v/>
      </c>
      <c r="D30176">
        <f>IF(B30176=C30176, "YES", "WRONG")</f>
        <v/>
      </c>
    </row>
    <row r="30177">
      <c r="A30177" t="n">
        <v>30176</v>
      </c>
      <c r="B30177" t="inlineStr">
        <is>
          <t>x̄x̄x̄CLXXVI</t>
        </is>
      </c>
      <c r="C30177">
        <f>ROMAN(30176)</f>
        <v/>
      </c>
      <c r="D30177">
        <f>IF(B30177=C30177, "YES", "WRONG")</f>
        <v/>
      </c>
    </row>
    <row r="30178">
      <c r="A30178" t="n">
        <v>30177</v>
      </c>
      <c r="B30178" t="inlineStr">
        <is>
          <t>x̄x̄x̄CLXXVII</t>
        </is>
      </c>
      <c r="C30178">
        <f>ROMAN(30177)</f>
        <v/>
      </c>
      <c r="D30178">
        <f>IF(B30178=C30178, "YES", "WRONG")</f>
        <v/>
      </c>
    </row>
    <row r="30179">
      <c r="A30179" t="n">
        <v>30178</v>
      </c>
      <c r="B30179" t="inlineStr">
        <is>
          <t>x̄x̄x̄CLXXVIII</t>
        </is>
      </c>
      <c r="C30179">
        <f>ROMAN(30178)</f>
        <v/>
      </c>
      <c r="D30179">
        <f>IF(B30179=C30179, "YES", "WRONG")</f>
        <v/>
      </c>
    </row>
    <row r="30180">
      <c r="A30180" t="n">
        <v>30179</v>
      </c>
      <c r="B30180" t="inlineStr">
        <is>
          <t>x̄x̄x̄CLXXIX</t>
        </is>
      </c>
      <c r="C30180">
        <f>ROMAN(30179)</f>
        <v/>
      </c>
      <c r="D30180">
        <f>IF(B30180=C30180, "YES", "WRONG")</f>
        <v/>
      </c>
    </row>
    <row r="30181">
      <c r="A30181" t="n">
        <v>30180</v>
      </c>
      <c r="B30181" t="inlineStr">
        <is>
          <t>x̄x̄x̄CLXXX</t>
        </is>
      </c>
      <c r="C30181">
        <f>ROMAN(30180)</f>
        <v/>
      </c>
      <c r="D30181">
        <f>IF(B30181=C30181, "YES", "WRONG")</f>
        <v/>
      </c>
    </row>
    <row r="30182">
      <c r="A30182" t="n">
        <v>30181</v>
      </c>
      <c r="B30182" t="inlineStr">
        <is>
          <t>x̄x̄x̄CLXXXI</t>
        </is>
      </c>
      <c r="C30182">
        <f>ROMAN(30181)</f>
        <v/>
      </c>
      <c r="D30182">
        <f>IF(B30182=C30182, "YES", "WRONG")</f>
        <v/>
      </c>
    </row>
    <row r="30183">
      <c r="A30183" t="n">
        <v>30182</v>
      </c>
      <c r="B30183" t="inlineStr">
        <is>
          <t>x̄x̄x̄CLXXXII</t>
        </is>
      </c>
      <c r="C30183">
        <f>ROMAN(30182)</f>
        <v/>
      </c>
      <c r="D30183">
        <f>IF(B30183=C30183, "YES", "WRONG")</f>
        <v/>
      </c>
    </row>
    <row r="30184">
      <c r="A30184" t="n">
        <v>30183</v>
      </c>
      <c r="B30184" t="inlineStr">
        <is>
          <t>x̄x̄x̄CLXXXIII</t>
        </is>
      </c>
      <c r="C30184">
        <f>ROMAN(30183)</f>
        <v/>
      </c>
      <c r="D30184">
        <f>IF(B30184=C30184, "YES", "WRONG")</f>
        <v/>
      </c>
    </row>
    <row r="30185">
      <c r="A30185" t="n">
        <v>30184</v>
      </c>
      <c r="B30185" t="inlineStr">
        <is>
          <t>x̄x̄x̄CLXXXIV</t>
        </is>
      </c>
      <c r="C30185">
        <f>ROMAN(30184)</f>
        <v/>
      </c>
      <c r="D30185">
        <f>IF(B30185=C30185, "YES", "WRONG")</f>
        <v/>
      </c>
    </row>
    <row r="30186">
      <c r="A30186" t="n">
        <v>30185</v>
      </c>
      <c r="B30186" t="inlineStr">
        <is>
          <t>x̄x̄x̄CLXXXV</t>
        </is>
      </c>
      <c r="C30186">
        <f>ROMAN(30185)</f>
        <v/>
      </c>
      <c r="D30186">
        <f>IF(B30186=C30186, "YES", "WRONG")</f>
        <v/>
      </c>
    </row>
    <row r="30187">
      <c r="A30187" t="n">
        <v>30186</v>
      </c>
      <c r="B30187" t="inlineStr">
        <is>
          <t>x̄x̄x̄CLXXXVI</t>
        </is>
      </c>
      <c r="C30187">
        <f>ROMAN(30186)</f>
        <v/>
      </c>
      <c r="D30187">
        <f>IF(B30187=C30187, "YES", "WRONG")</f>
        <v/>
      </c>
    </row>
    <row r="30188">
      <c r="A30188" t="n">
        <v>30187</v>
      </c>
      <c r="B30188" t="inlineStr">
        <is>
          <t>x̄x̄x̄CLXXXVII</t>
        </is>
      </c>
      <c r="C30188">
        <f>ROMAN(30187)</f>
        <v/>
      </c>
      <c r="D30188">
        <f>IF(B30188=C30188, "YES", "WRONG")</f>
        <v/>
      </c>
    </row>
    <row r="30189">
      <c r="A30189" t="n">
        <v>30188</v>
      </c>
      <c r="B30189" t="inlineStr">
        <is>
          <t>x̄x̄x̄CLXXXVIII</t>
        </is>
      </c>
      <c r="C30189">
        <f>ROMAN(30188)</f>
        <v/>
      </c>
      <c r="D30189">
        <f>IF(B30189=C30189, "YES", "WRONG")</f>
        <v/>
      </c>
    </row>
    <row r="30190">
      <c r="A30190" t="n">
        <v>30189</v>
      </c>
      <c r="B30190" t="inlineStr">
        <is>
          <t>x̄x̄x̄CLXXXIX</t>
        </is>
      </c>
      <c r="C30190">
        <f>ROMAN(30189)</f>
        <v/>
      </c>
      <c r="D30190">
        <f>IF(B30190=C30190, "YES", "WRONG")</f>
        <v/>
      </c>
    </row>
    <row r="30191">
      <c r="A30191" t="n">
        <v>30190</v>
      </c>
      <c r="B30191" t="inlineStr">
        <is>
          <t>x̄x̄x̄CXC</t>
        </is>
      </c>
      <c r="C30191">
        <f>ROMAN(30190)</f>
        <v/>
      </c>
      <c r="D30191">
        <f>IF(B30191=C30191, "YES", "WRONG")</f>
        <v/>
      </c>
    </row>
    <row r="30192">
      <c r="A30192" t="n">
        <v>30191</v>
      </c>
      <c r="B30192" t="inlineStr">
        <is>
          <t>x̄x̄x̄CXCI</t>
        </is>
      </c>
      <c r="C30192">
        <f>ROMAN(30191)</f>
        <v/>
      </c>
      <c r="D30192">
        <f>IF(B30192=C30192, "YES", "WRONG")</f>
        <v/>
      </c>
    </row>
    <row r="30193">
      <c r="A30193" t="n">
        <v>30192</v>
      </c>
      <c r="B30193" t="inlineStr">
        <is>
          <t>x̄x̄x̄CXCII</t>
        </is>
      </c>
      <c r="C30193">
        <f>ROMAN(30192)</f>
        <v/>
      </c>
      <c r="D30193">
        <f>IF(B30193=C30193, "YES", "WRONG")</f>
        <v/>
      </c>
    </row>
    <row r="30194">
      <c r="A30194" t="n">
        <v>30193</v>
      </c>
      <c r="B30194" t="inlineStr">
        <is>
          <t>x̄x̄x̄CXCIII</t>
        </is>
      </c>
      <c r="C30194">
        <f>ROMAN(30193)</f>
        <v/>
      </c>
      <c r="D30194">
        <f>IF(B30194=C30194, "YES", "WRONG")</f>
        <v/>
      </c>
    </row>
    <row r="30195">
      <c r="A30195" t="n">
        <v>30194</v>
      </c>
      <c r="B30195" t="inlineStr">
        <is>
          <t>x̄x̄x̄CXCIV</t>
        </is>
      </c>
      <c r="C30195">
        <f>ROMAN(30194)</f>
        <v/>
      </c>
      <c r="D30195">
        <f>IF(B30195=C30195, "YES", "WRONG")</f>
        <v/>
      </c>
    </row>
    <row r="30196">
      <c r="A30196" t="n">
        <v>30195</v>
      </c>
      <c r="B30196" t="inlineStr">
        <is>
          <t>x̄x̄x̄CXCV</t>
        </is>
      </c>
      <c r="C30196">
        <f>ROMAN(30195)</f>
        <v/>
      </c>
      <c r="D30196">
        <f>IF(B30196=C30196, "YES", "WRONG")</f>
        <v/>
      </c>
    </row>
    <row r="30197">
      <c r="A30197" t="n">
        <v>30196</v>
      </c>
      <c r="B30197" t="inlineStr">
        <is>
          <t>x̄x̄x̄CXCVI</t>
        </is>
      </c>
      <c r="C30197">
        <f>ROMAN(30196)</f>
        <v/>
      </c>
      <c r="D30197">
        <f>IF(B30197=C30197, "YES", "WRONG")</f>
        <v/>
      </c>
    </row>
    <row r="30198">
      <c r="A30198" t="n">
        <v>30197</v>
      </c>
      <c r="B30198" t="inlineStr">
        <is>
          <t>x̄x̄x̄CXCVII</t>
        </is>
      </c>
      <c r="C30198">
        <f>ROMAN(30197)</f>
        <v/>
      </c>
      <c r="D30198">
        <f>IF(B30198=C30198, "YES", "WRONG")</f>
        <v/>
      </c>
    </row>
    <row r="30199">
      <c r="A30199" t="n">
        <v>30198</v>
      </c>
      <c r="B30199" t="inlineStr">
        <is>
          <t>x̄x̄x̄CXCVIII</t>
        </is>
      </c>
      <c r="C30199">
        <f>ROMAN(30198)</f>
        <v/>
      </c>
      <c r="D30199">
        <f>IF(B30199=C30199, "YES", "WRONG")</f>
        <v/>
      </c>
    </row>
    <row r="30200">
      <c r="A30200" t="n">
        <v>30199</v>
      </c>
      <c r="B30200" t="inlineStr">
        <is>
          <t>x̄x̄x̄CXCIX</t>
        </is>
      </c>
      <c r="C30200">
        <f>ROMAN(30199)</f>
        <v/>
      </c>
      <c r="D30200">
        <f>IF(B30200=C30200, "YES", "WRONG")</f>
        <v/>
      </c>
    </row>
    <row r="30201">
      <c r="A30201" t="n">
        <v>30200</v>
      </c>
      <c r="B30201" t="inlineStr">
        <is>
          <t>x̄x̄x̄CC</t>
        </is>
      </c>
      <c r="C30201">
        <f>ROMAN(30200)</f>
        <v/>
      </c>
      <c r="D30201">
        <f>IF(B30201=C30201, "YES", "WRONG")</f>
        <v/>
      </c>
    </row>
    <row r="30202">
      <c r="A30202" t="n">
        <v>30201</v>
      </c>
      <c r="B30202" t="inlineStr">
        <is>
          <t>x̄x̄x̄CCI</t>
        </is>
      </c>
      <c r="C30202">
        <f>ROMAN(30201)</f>
        <v/>
      </c>
      <c r="D30202">
        <f>IF(B30202=C30202, "YES", "WRONG")</f>
        <v/>
      </c>
    </row>
    <row r="30203">
      <c r="A30203" t="n">
        <v>30202</v>
      </c>
      <c r="B30203" t="inlineStr">
        <is>
          <t>x̄x̄x̄CCII</t>
        </is>
      </c>
      <c r="C30203">
        <f>ROMAN(30202)</f>
        <v/>
      </c>
      <c r="D30203">
        <f>IF(B30203=C30203, "YES", "WRONG")</f>
        <v/>
      </c>
    </row>
    <row r="30204">
      <c r="A30204" t="n">
        <v>30203</v>
      </c>
      <c r="B30204" t="inlineStr">
        <is>
          <t>x̄x̄x̄CCIII</t>
        </is>
      </c>
      <c r="C30204">
        <f>ROMAN(30203)</f>
        <v/>
      </c>
      <c r="D30204">
        <f>IF(B30204=C30204, "YES", "WRONG")</f>
        <v/>
      </c>
    </row>
    <row r="30205">
      <c r="A30205" t="n">
        <v>30204</v>
      </c>
      <c r="B30205" t="inlineStr">
        <is>
          <t>x̄x̄x̄CCIV</t>
        </is>
      </c>
      <c r="C30205">
        <f>ROMAN(30204)</f>
        <v/>
      </c>
      <c r="D30205">
        <f>IF(B30205=C30205, "YES", "WRONG")</f>
        <v/>
      </c>
    </row>
    <row r="30206">
      <c r="A30206" t="n">
        <v>30205</v>
      </c>
      <c r="B30206" t="inlineStr">
        <is>
          <t>x̄x̄x̄CCV</t>
        </is>
      </c>
      <c r="C30206">
        <f>ROMAN(30205)</f>
        <v/>
      </c>
      <c r="D30206">
        <f>IF(B30206=C30206, "YES", "WRONG")</f>
        <v/>
      </c>
    </row>
    <row r="30207">
      <c r="A30207" t="n">
        <v>30206</v>
      </c>
      <c r="B30207" t="inlineStr">
        <is>
          <t>x̄x̄x̄CCVI</t>
        </is>
      </c>
      <c r="C30207">
        <f>ROMAN(30206)</f>
        <v/>
      </c>
      <c r="D30207">
        <f>IF(B30207=C30207, "YES", "WRONG")</f>
        <v/>
      </c>
    </row>
    <row r="30208">
      <c r="A30208" t="n">
        <v>30207</v>
      </c>
      <c r="B30208" t="inlineStr">
        <is>
          <t>x̄x̄x̄CCVII</t>
        </is>
      </c>
      <c r="C30208">
        <f>ROMAN(30207)</f>
        <v/>
      </c>
      <c r="D30208">
        <f>IF(B30208=C30208, "YES", "WRONG")</f>
        <v/>
      </c>
    </row>
    <row r="30209">
      <c r="A30209" t="n">
        <v>30208</v>
      </c>
      <c r="B30209" t="inlineStr">
        <is>
          <t>x̄x̄x̄CCVIII</t>
        </is>
      </c>
      <c r="C30209">
        <f>ROMAN(30208)</f>
        <v/>
      </c>
      <c r="D30209">
        <f>IF(B30209=C30209, "YES", "WRONG")</f>
        <v/>
      </c>
    </row>
    <row r="30210">
      <c r="A30210" t="n">
        <v>30209</v>
      </c>
      <c r="B30210" t="inlineStr">
        <is>
          <t>x̄x̄x̄CCIX</t>
        </is>
      </c>
      <c r="C30210">
        <f>ROMAN(30209)</f>
        <v/>
      </c>
      <c r="D30210">
        <f>IF(B30210=C30210, "YES", "WRONG")</f>
        <v/>
      </c>
    </row>
    <row r="30211">
      <c r="A30211" t="n">
        <v>30210</v>
      </c>
      <c r="B30211" t="inlineStr">
        <is>
          <t>x̄x̄x̄CCX</t>
        </is>
      </c>
      <c r="C30211">
        <f>ROMAN(30210)</f>
        <v/>
      </c>
      <c r="D30211">
        <f>IF(B30211=C30211, "YES", "WRONG")</f>
        <v/>
      </c>
    </row>
    <row r="30212">
      <c r="A30212" t="n">
        <v>30211</v>
      </c>
      <c r="B30212" t="inlineStr">
        <is>
          <t>x̄x̄x̄CCXI</t>
        </is>
      </c>
      <c r="C30212">
        <f>ROMAN(30211)</f>
        <v/>
      </c>
      <c r="D30212">
        <f>IF(B30212=C30212, "YES", "WRONG")</f>
        <v/>
      </c>
    </row>
    <row r="30213">
      <c r="A30213" t="n">
        <v>30212</v>
      </c>
      <c r="B30213" t="inlineStr">
        <is>
          <t>x̄x̄x̄CCXII</t>
        </is>
      </c>
      <c r="C30213">
        <f>ROMAN(30212)</f>
        <v/>
      </c>
      <c r="D30213">
        <f>IF(B30213=C30213, "YES", "WRONG")</f>
        <v/>
      </c>
    </row>
    <row r="30214">
      <c r="A30214" t="n">
        <v>30213</v>
      </c>
      <c r="B30214" t="inlineStr">
        <is>
          <t>x̄x̄x̄CCXIII</t>
        </is>
      </c>
      <c r="C30214">
        <f>ROMAN(30213)</f>
        <v/>
      </c>
      <c r="D30214">
        <f>IF(B30214=C30214, "YES", "WRONG")</f>
        <v/>
      </c>
    </row>
    <row r="30215">
      <c r="A30215" t="n">
        <v>30214</v>
      </c>
      <c r="B30215" t="inlineStr">
        <is>
          <t>x̄x̄x̄CCXIV</t>
        </is>
      </c>
      <c r="C30215">
        <f>ROMAN(30214)</f>
        <v/>
      </c>
      <c r="D30215">
        <f>IF(B30215=C30215, "YES", "WRONG")</f>
        <v/>
      </c>
    </row>
    <row r="30216">
      <c r="A30216" t="n">
        <v>30215</v>
      </c>
      <c r="B30216" t="inlineStr">
        <is>
          <t>x̄x̄x̄CCXV</t>
        </is>
      </c>
      <c r="C30216">
        <f>ROMAN(30215)</f>
        <v/>
      </c>
      <c r="D30216">
        <f>IF(B30216=C30216, "YES", "WRONG")</f>
        <v/>
      </c>
    </row>
    <row r="30217">
      <c r="A30217" t="n">
        <v>30216</v>
      </c>
      <c r="B30217" t="inlineStr">
        <is>
          <t>x̄x̄x̄CCXVI</t>
        </is>
      </c>
      <c r="C30217">
        <f>ROMAN(30216)</f>
        <v/>
      </c>
      <c r="D30217">
        <f>IF(B30217=C30217, "YES", "WRONG")</f>
        <v/>
      </c>
    </row>
    <row r="30218">
      <c r="A30218" t="n">
        <v>30217</v>
      </c>
      <c r="B30218" t="inlineStr">
        <is>
          <t>x̄x̄x̄CCXVII</t>
        </is>
      </c>
      <c r="C30218">
        <f>ROMAN(30217)</f>
        <v/>
      </c>
      <c r="D30218">
        <f>IF(B30218=C30218, "YES", "WRONG")</f>
        <v/>
      </c>
    </row>
    <row r="30219">
      <c r="A30219" t="n">
        <v>30218</v>
      </c>
      <c r="B30219" t="inlineStr">
        <is>
          <t>x̄x̄x̄CCXVIII</t>
        </is>
      </c>
      <c r="C30219">
        <f>ROMAN(30218)</f>
        <v/>
      </c>
      <c r="D30219">
        <f>IF(B30219=C30219, "YES", "WRONG")</f>
        <v/>
      </c>
    </row>
    <row r="30220">
      <c r="A30220" t="n">
        <v>30219</v>
      </c>
      <c r="B30220" t="inlineStr">
        <is>
          <t>x̄x̄x̄CCXIX</t>
        </is>
      </c>
      <c r="C30220">
        <f>ROMAN(30219)</f>
        <v/>
      </c>
      <c r="D30220">
        <f>IF(B30220=C30220, "YES", "WRONG")</f>
        <v/>
      </c>
    </row>
    <row r="30221">
      <c r="A30221" t="n">
        <v>30220</v>
      </c>
      <c r="B30221" t="inlineStr">
        <is>
          <t>x̄x̄x̄CCXX</t>
        </is>
      </c>
      <c r="C30221">
        <f>ROMAN(30220)</f>
        <v/>
      </c>
      <c r="D30221">
        <f>IF(B30221=C30221, "YES", "WRONG")</f>
        <v/>
      </c>
    </row>
    <row r="30222">
      <c r="A30222" t="n">
        <v>30221</v>
      </c>
      <c r="B30222" t="inlineStr">
        <is>
          <t>x̄x̄x̄CCXXI</t>
        </is>
      </c>
      <c r="C30222">
        <f>ROMAN(30221)</f>
        <v/>
      </c>
      <c r="D30222">
        <f>IF(B30222=C30222, "YES", "WRONG")</f>
        <v/>
      </c>
    </row>
    <row r="30223">
      <c r="A30223" t="n">
        <v>30222</v>
      </c>
      <c r="B30223" t="inlineStr">
        <is>
          <t>x̄x̄x̄CCXXII</t>
        </is>
      </c>
      <c r="C30223">
        <f>ROMAN(30222)</f>
        <v/>
      </c>
      <c r="D30223">
        <f>IF(B30223=C30223, "YES", "WRONG")</f>
        <v/>
      </c>
    </row>
    <row r="30224">
      <c r="A30224" t="n">
        <v>30223</v>
      </c>
      <c r="B30224" t="inlineStr">
        <is>
          <t>x̄x̄x̄CCXXIII</t>
        </is>
      </c>
      <c r="C30224">
        <f>ROMAN(30223)</f>
        <v/>
      </c>
      <c r="D30224">
        <f>IF(B30224=C30224, "YES", "WRONG")</f>
        <v/>
      </c>
    </row>
    <row r="30225">
      <c r="A30225" t="n">
        <v>30224</v>
      </c>
      <c r="B30225" t="inlineStr">
        <is>
          <t>x̄x̄x̄CCXXIV</t>
        </is>
      </c>
      <c r="C30225">
        <f>ROMAN(30224)</f>
        <v/>
      </c>
      <c r="D30225">
        <f>IF(B30225=C30225, "YES", "WRONG")</f>
        <v/>
      </c>
    </row>
    <row r="30226">
      <c r="A30226" t="n">
        <v>30225</v>
      </c>
      <c r="B30226" t="inlineStr">
        <is>
          <t>x̄x̄x̄CCXXV</t>
        </is>
      </c>
      <c r="C30226">
        <f>ROMAN(30225)</f>
        <v/>
      </c>
      <c r="D30226">
        <f>IF(B30226=C30226, "YES", "WRONG")</f>
        <v/>
      </c>
    </row>
    <row r="30227">
      <c r="A30227" t="n">
        <v>30226</v>
      </c>
      <c r="B30227" t="inlineStr">
        <is>
          <t>x̄x̄x̄CCXXVI</t>
        </is>
      </c>
      <c r="C30227">
        <f>ROMAN(30226)</f>
        <v/>
      </c>
      <c r="D30227">
        <f>IF(B30227=C30227, "YES", "WRONG")</f>
        <v/>
      </c>
    </row>
    <row r="30228">
      <c r="A30228" t="n">
        <v>30227</v>
      </c>
      <c r="B30228" t="inlineStr">
        <is>
          <t>x̄x̄x̄CCXXVII</t>
        </is>
      </c>
      <c r="C30228">
        <f>ROMAN(30227)</f>
        <v/>
      </c>
      <c r="D30228">
        <f>IF(B30228=C30228, "YES", "WRONG")</f>
        <v/>
      </c>
    </row>
    <row r="30229">
      <c r="A30229" t="n">
        <v>30228</v>
      </c>
      <c r="B30229" t="inlineStr">
        <is>
          <t>x̄x̄x̄CCXXVIII</t>
        </is>
      </c>
      <c r="C30229">
        <f>ROMAN(30228)</f>
        <v/>
      </c>
      <c r="D30229">
        <f>IF(B30229=C30229, "YES", "WRONG")</f>
        <v/>
      </c>
    </row>
    <row r="30230">
      <c r="A30230" t="n">
        <v>30229</v>
      </c>
      <c r="B30230" t="inlineStr">
        <is>
          <t>x̄x̄x̄CCXXIX</t>
        </is>
      </c>
      <c r="C30230">
        <f>ROMAN(30229)</f>
        <v/>
      </c>
      <c r="D30230">
        <f>IF(B30230=C30230, "YES", "WRONG")</f>
        <v/>
      </c>
    </row>
    <row r="30231">
      <c r="A30231" t="n">
        <v>30230</v>
      </c>
      <c r="B30231" t="inlineStr">
        <is>
          <t>x̄x̄x̄CCXXX</t>
        </is>
      </c>
      <c r="C30231">
        <f>ROMAN(30230)</f>
        <v/>
      </c>
      <c r="D30231">
        <f>IF(B30231=C30231, "YES", "WRONG")</f>
        <v/>
      </c>
    </row>
    <row r="30232">
      <c r="A30232" t="n">
        <v>30231</v>
      </c>
      <c r="B30232" t="inlineStr">
        <is>
          <t>x̄x̄x̄CCXXXI</t>
        </is>
      </c>
      <c r="C30232">
        <f>ROMAN(30231)</f>
        <v/>
      </c>
      <c r="D30232">
        <f>IF(B30232=C30232, "YES", "WRONG")</f>
        <v/>
      </c>
    </row>
    <row r="30233">
      <c r="A30233" t="n">
        <v>30232</v>
      </c>
      <c r="B30233" t="inlineStr">
        <is>
          <t>x̄x̄x̄CCXXXII</t>
        </is>
      </c>
      <c r="C30233">
        <f>ROMAN(30232)</f>
        <v/>
      </c>
      <c r="D30233">
        <f>IF(B30233=C30233, "YES", "WRONG")</f>
        <v/>
      </c>
    </row>
    <row r="30234">
      <c r="A30234" t="n">
        <v>30233</v>
      </c>
      <c r="B30234" t="inlineStr">
        <is>
          <t>x̄x̄x̄CCXXXIII</t>
        </is>
      </c>
      <c r="C30234">
        <f>ROMAN(30233)</f>
        <v/>
      </c>
      <c r="D30234">
        <f>IF(B30234=C30234, "YES", "WRONG")</f>
        <v/>
      </c>
    </row>
    <row r="30235">
      <c r="A30235" t="n">
        <v>30234</v>
      </c>
      <c r="B30235" t="inlineStr">
        <is>
          <t>x̄x̄x̄CCXXXIV</t>
        </is>
      </c>
      <c r="C30235">
        <f>ROMAN(30234)</f>
        <v/>
      </c>
      <c r="D30235">
        <f>IF(B30235=C30235, "YES", "WRONG")</f>
        <v/>
      </c>
    </row>
    <row r="30236">
      <c r="A30236" t="n">
        <v>30235</v>
      </c>
      <c r="B30236" t="inlineStr">
        <is>
          <t>x̄x̄x̄CCXXXV</t>
        </is>
      </c>
      <c r="C30236">
        <f>ROMAN(30235)</f>
        <v/>
      </c>
      <c r="D30236">
        <f>IF(B30236=C30236, "YES", "WRONG")</f>
        <v/>
      </c>
    </row>
    <row r="30237">
      <c r="A30237" t="n">
        <v>30236</v>
      </c>
      <c r="B30237" t="inlineStr">
        <is>
          <t>x̄x̄x̄CCXXXVI</t>
        </is>
      </c>
      <c r="C30237">
        <f>ROMAN(30236)</f>
        <v/>
      </c>
      <c r="D30237">
        <f>IF(B30237=C30237, "YES", "WRONG")</f>
        <v/>
      </c>
    </row>
    <row r="30238">
      <c r="A30238" t="n">
        <v>30237</v>
      </c>
      <c r="B30238" t="inlineStr">
        <is>
          <t>x̄x̄x̄CCXXXVII</t>
        </is>
      </c>
      <c r="C30238">
        <f>ROMAN(30237)</f>
        <v/>
      </c>
      <c r="D30238">
        <f>IF(B30238=C30238, "YES", "WRONG")</f>
        <v/>
      </c>
    </row>
    <row r="30239">
      <c r="A30239" t="n">
        <v>30238</v>
      </c>
      <c r="B30239" t="inlineStr">
        <is>
          <t>x̄x̄x̄CCXXXVIII</t>
        </is>
      </c>
      <c r="C30239">
        <f>ROMAN(30238)</f>
        <v/>
      </c>
      <c r="D30239">
        <f>IF(B30239=C30239, "YES", "WRONG")</f>
        <v/>
      </c>
    </row>
    <row r="30240">
      <c r="A30240" t="n">
        <v>30239</v>
      </c>
      <c r="B30240" t="inlineStr">
        <is>
          <t>x̄x̄x̄CCXXXIX</t>
        </is>
      </c>
      <c r="C30240">
        <f>ROMAN(30239)</f>
        <v/>
      </c>
      <c r="D30240">
        <f>IF(B30240=C30240, "YES", "WRONG")</f>
        <v/>
      </c>
    </row>
    <row r="30241">
      <c r="A30241" t="n">
        <v>30240</v>
      </c>
      <c r="B30241" t="inlineStr">
        <is>
          <t>x̄x̄x̄CCXL</t>
        </is>
      </c>
      <c r="C30241">
        <f>ROMAN(30240)</f>
        <v/>
      </c>
      <c r="D30241">
        <f>IF(B30241=C30241, "YES", "WRONG")</f>
        <v/>
      </c>
    </row>
    <row r="30242">
      <c r="A30242" t="n">
        <v>30241</v>
      </c>
      <c r="B30242" t="inlineStr">
        <is>
          <t>x̄x̄x̄CCXLI</t>
        </is>
      </c>
      <c r="C30242">
        <f>ROMAN(30241)</f>
        <v/>
      </c>
      <c r="D30242">
        <f>IF(B30242=C30242, "YES", "WRONG")</f>
        <v/>
      </c>
    </row>
    <row r="30243">
      <c r="A30243" t="n">
        <v>30242</v>
      </c>
      <c r="B30243" t="inlineStr">
        <is>
          <t>x̄x̄x̄CCXLII</t>
        </is>
      </c>
      <c r="C30243">
        <f>ROMAN(30242)</f>
        <v/>
      </c>
      <c r="D30243">
        <f>IF(B30243=C30243, "YES", "WRONG")</f>
        <v/>
      </c>
    </row>
    <row r="30244">
      <c r="A30244" t="n">
        <v>30243</v>
      </c>
      <c r="B30244" t="inlineStr">
        <is>
          <t>x̄x̄x̄CCXLIII</t>
        </is>
      </c>
      <c r="C30244">
        <f>ROMAN(30243)</f>
        <v/>
      </c>
      <c r="D30244">
        <f>IF(B30244=C30244, "YES", "WRONG")</f>
        <v/>
      </c>
    </row>
    <row r="30245">
      <c r="A30245" t="n">
        <v>30244</v>
      </c>
      <c r="B30245" t="inlineStr">
        <is>
          <t>x̄x̄x̄CCXLIV</t>
        </is>
      </c>
      <c r="C30245">
        <f>ROMAN(30244)</f>
        <v/>
      </c>
      <c r="D30245">
        <f>IF(B30245=C30245, "YES", "WRONG")</f>
        <v/>
      </c>
    </row>
    <row r="30246">
      <c r="A30246" t="n">
        <v>30245</v>
      </c>
      <c r="B30246" t="inlineStr">
        <is>
          <t>x̄x̄x̄CCXLV</t>
        </is>
      </c>
      <c r="C30246">
        <f>ROMAN(30245)</f>
        <v/>
      </c>
      <c r="D30246">
        <f>IF(B30246=C30246, "YES", "WRONG")</f>
        <v/>
      </c>
    </row>
    <row r="30247">
      <c r="A30247" t="n">
        <v>30246</v>
      </c>
      <c r="B30247" t="inlineStr">
        <is>
          <t>x̄x̄x̄CCXLVI</t>
        </is>
      </c>
      <c r="C30247">
        <f>ROMAN(30246)</f>
        <v/>
      </c>
      <c r="D30247">
        <f>IF(B30247=C30247, "YES", "WRONG")</f>
        <v/>
      </c>
    </row>
    <row r="30248">
      <c r="A30248" t="n">
        <v>30247</v>
      </c>
      <c r="B30248" t="inlineStr">
        <is>
          <t>x̄x̄x̄CCXLVII</t>
        </is>
      </c>
      <c r="C30248">
        <f>ROMAN(30247)</f>
        <v/>
      </c>
      <c r="D30248">
        <f>IF(B30248=C30248, "YES", "WRONG")</f>
        <v/>
      </c>
    </row>
    <row r="30249">
      <c r="A30249" t="n">
        <v>30248</v>
      </c>
      <c r="B30249" t="inlineStr">
        <is>
          <t>x̄x̄x̄CCXLVIII</t>
        </is>
      </c>
      <c r="C30249">
        <f>ROMAN(30248)</f>
        <v/>
      </c>
      <c r="D30249">
        <f>IF(B30249=C30249, "YES", "WRONG")</f>
        <v/>
      </c>
    </row>
    <row r="30250">
      <c r="A30250" t="n">
        <v>30249</v>
      </c>
      <c r="B30250" t="inlineStr">
        <is>
          <t>x̄x̄x̄CCXLIX</t>
        </is>
      </c>
      <c r="C30250">
        <f>ROMAN(30249)</f>
        <v/>
      </c>
      <c r="D30250">
        <f>IF(B30250=C30250, "YES", "WRONG")</f>
        <v/>
      </c>
    </row>
    <row r="30251">
      <c r="A30251" t="n">
        <v>30250</v>
      </c>
      <c r="B30251" t="inlineStr">
        <is>
          <t>x̄x̄x̄CCL</t>
        </is>
      </c>
      <c r="C30251">
        <f>ROMAN(30250)</f>
        <v/>
      </c>
      <c r="D30251">
        <f>IF(B30251=C30251, "YES", "WRONG")</f>
        <v/>
      </c>
    </row>
    <row r="30252">
      <c r="A30252" t="n">
        <v>30251</v>
      </c>
      <c r="B30252" t="inlineStr">
        <is>
          <t>x̄x̄x̄CCLI</t>
        </is>
      </c>
      <c r="C30252">
        <f>ROMAN(30251)</f>
        <v/>
      </c>
      <c r="D30252">
        <f>IF(B30252=C30252, "YES", "WRONG")</f>
        <v/>
      </c>
    </row>
    <row r="30253">
      <c r="A30253" t="n">
        <v>30252</v>
      </c>
      <c r="B30253" t="inlineStr">
        <is>
          <t>x̄x̄x̄CCLII</t>
        </is>
      </c>
      <c r="C30253">
        <f>ROMAN(30252)</f>
        <v/>
      </c>
      <c r="D30253">
        <f>IF(B30253=C30253, "YES", "WRONG")</f>
        <v/>
      </c>
    </row>
    <row r="30254">
      <c r="A30254" t="n">
        <v>30253</v>
      </c>
      <c r="B30254" t="inlineStr">
        <is>
          <t>x̄x̄x̄CCLIII</t>
        </is>
      </c>
      <c r="C30254">
        <f>ROMAN(30253)</f>
        <v/>
      </c>
      <c r="D30254">
        <f>IF(B30254=C30254, "YES", "WRONG")</f>
        <v/>
      </c>
    </row>
    <row r="30255">
      <c r="A30255" t="n">
        <v>30254</v>
      </c>
      <c r="B30255" t="inlineStr">
        <is>
          <t>x̄x̄x̄CCLIV</t>
        </is>
      </c>
      <c r="C30255">
        <f>ROMAN(30254)</f>
        <v/>
      </c>
      <c r="D30255">
        <f>IF(B30255=C30255, "YES", "WRONG")</f>
        <v/>
      </c>
    </row>
    <row r="30256">
      <c r="A30256" t="n">
        <v>30255</v>
      </c>
      <c r="B30256" t="inlineStr">
        <is>
          <t>x̄x̄x̄CCLV</t>
        </is>
      </c>
      <c r="C30256">
        <f>ROMAN(30255)</f>
        <v/>
      </c>
      <c r="D30256">
        <f>IF(B30256=C30256, "YES", "WRONG")</f>
        <v/>
      </c>
    </row>
    <row r="30257">
      <c r="A30257" t="n">
        <v>30256</v>
      </c>
      <c r="B30257" t="inlineStr">
        <is>
          <t>x̄x̄x̄CCLVI</t>
        </is>
      </c>
      <c r="C30257">
        <f>ROMAN(30256)</f>
        <v/>
      </c>
      <c r="D30257">
        <f>IF(B30257=C30257, "YES", "WRONG")</f>
        <v/>
      </c>
    </row>
    <row r="30258">
      <c r="A30258" t="n">
        <v>30257</v>
      </c>
      <c r="B30258" t="inlineStr">
        <is>
          <t>x̄x̄x̄CCLVII</t>
        </is>
      </c>
      <c r="C30258">
        <f>ROMAN(30257)</f>
        <v/>
      </c>
      <c r="D30258">
        <f>IF(B30258=C30258, "YES", "WRONG")</f>
        <v/>
      </c>
    </row>
    <row r="30259">
      <c r="A30259" t="n">
        <v>30258</v>
      </c>
      <c r="B30259" t="inlineStr">
        <is>
          <t>x̄x̄x̄CCLVIII</t>
        </is>
      </c>
      <c r="C30259">
        <f>ROMAN(30258)</f>
        <v/>
      </c>
      <c r="D30259">
        <f>IF(B30259=C30259, "YES", "WRONG")</f>
        <v/>
      </c>
    </row>
    <row r="30260">
      <c r="A30260" t="n">
        <v>30259</v>
      </c>
      <c r="B30260" t="inlineStr">
        <is>
          <t>x̄x̄x̄CCLIX</t>
        </is>
      </c>
      <c r="C30260">
        <f>ROMAN(30259)</f>
        <v/>
      </c>
      <c r="D30260">
        <f>IF(B30260=C30260, "YES", "WRONG")</f>
        <v/>
      </c>
    </row>
    <row r="30261">
      <c r="A30261" t="n">
        <v>30260</v>
      </c>
      <c r="B30261" t="inlineStr">
        <is>
          <t>x̄x̄x̄CCLX</t>
        </is>
      </c>
      <c r="C30261">
        <f>ROMAN(30260)</f>
        <v/>
      </c>
      <c r="D30261">
        <f>IF(B30261=C30261, "YES", "WRONG")</f>
        <v/>
      </c>
    </row>
    <row r="30262">
      <c r="A30262" t="n">
        <v>30261</v>
      </c>
      <c r="B30262" t="inlineStr">
        <is>
          <t>x̄x̄x̄CCLXI</t>
        </is>
      </c>
      <c r="C30262">
        <f>ROMAN(30261)</f>
        <v/>
      </c>
      <c r="D30262">
        <f>IF(B30262=C30262, "YES", "WRONG")</f>
        <v/>
      </c>
    </row>
    <row r="30263">
      <c r="A30263" t="n">
        <v>30262</v>
      </c>
      <c r="B30263" t="inlineStr">
        <is>
          <t>x̄x̄x̄CCLXII</t>
        </is>
      </c>
      <c r="C30263">
        <f>ROMAN(30262)</f>
        <v/>
      </c>
      <c r="D30263">
        <f>IF(B30263=C30263, "YES", "WRONG")</f>
        <v/>
      </c>
    </row>
    <row r="30264">
      <c r="A30264" t="n">
        <v>30263</v>
      </c>
      <c r="B30264" t="inlineStr">
        <is>
          <t>x̄x̄x̄CCLXIII</t>
        </is>
      </c>
      <c r="C30264">
        <f>ROMAN(30263)</f>
        <v/>
      </c>
      <c r="D30264">
        <f>IF(B30264=C30264, "YES", "WRONG")</f>
        <v/>
      </c>
    </row>
    <row r="30265">
      <c r="A30265" t="n">
        <v>30264</v>
      </c>
      <c r="B30265" t="inlineStr">
        <is>
          <t>x̄x̄x̄CCLXIV</t>
        </is>
      </c>
      <c r="C30265">
        <f>ROMAN(30264)</f>
        <v/>
      </c>
      <c r="D30265">
        <f>IF(B30265=C30265, "YES", "WRONG")</f>
        <v/>
      </c>
    </row>
    <row r="30266">
      <c r="A30266" t="n">
        <v>30265</v>
      </c>
      <c r="B30266" t="inlineStr">
        <is>
          <t>x̄x̄x̄CCLXV</t>
        </is>
      </c>
      <c r="C30266">
        <f>ROMAN(30265)</f>
        <v/>
      </c>
      <c r="D30266">
        <f>IF(B30266=C30266, "YES", "WRONG")</f>
        <v/>
      </c>
    </row>
    <row r="30267">
      <c r="A30267" t="n">
        <v>30266</v>
      </c>
      <c r="B30267" t="inlineStr">
        <is>
          <t>x̄x̄x̄CCLXVI</t>
        </is>
      </c>
      <c r="C30267">
        <f>ROMAN(30266)</f>
        <v/>
      </c>
      <c r="D30267">
        <f>IF(B30267=C30267, "YES", "WRONG")</f>
        <v/>
      </c>
    </row>
    <row r="30268">
      <c r="A30268" t="n">
        <v>30267</v>
      </c>
      <c r="B30268" t="inlineStr">
        <is>
          <t>x̄x̄x̄CCLXVII</t>
        </is>
      </c>
      <c r="C30268">
        <f>ROMAN(30267)</f>
        <v/>
      </c>
      <c r="D30268">
        <f>IF(B30268=C30268, "YES", "WRONG")</f>
        <v/>
      </c>
    </row>
    <row r="30269">
      <c r="A30269" t="n">
        <v>30268</v>
      </c>
      <c r="B30269" t="inlineStr">
        <is>
          <t>x̄x̄x̄CCLXVIII</t>
        </is>
      </c>
      <c r="C30269">
        <f>ROMAN(30268)</f>
        <v/>
      </c>
      <c r="D30269">
        <f>IF(B30269=C30269, "YES", "WRONG")</f>
        <v/>
      </c>
    </row>
    <row r="30270">
      <c r="A30270" t="n">
        <v>30269</v>
      </c>
      <c r="B30270" t="inlineStr">
        <is>
          <t>x̄x̄x̄CCLXIX</t>
        </is>
      </c>
      <c r="C30270">
        <f>ROMAN(30269)</f>
        <v/>
      </c>
      <c r="D30270">
        <f>IF(B30270=C30270, "YES", "WRONG")</f>
        <v/>
      </c>
    </row>
    <row r="30271">
      <c r="A30271" t="n">
        <v>30270</v>
      </c>
      <c r="B30271" t="inlineStr">
        <is>
          <t>x̄x̄x̄CCLXX</t>
        </is>
      </c>
      <c r="C30271">
        <f>ROMAN(30270)</f>
        <v/>
      </c>
      <c r="D30271">
        <f>IF(B30271=C30271, "YES", "WRONG")</f>
        <v/>
      </c>
    </row>
    <row r="30272">
      <c r="A30272" t="n">
        <v>30271</v>
      </c>
      <c r="B30272" t="inlineStr">
        <is>
          <t>x̄x̄x̄CCLXXI</t>
        </is>
      </c>
      <c r="C30272">
        <f>ROMAN(30271)</f>
        <v/>
      </c>
      <c r="D30272">
        <f>IF(B30272=C30272, "YES", "WRONG")</f>
        <v/>
      </c>
    </row>
    <row r="30273">
      <c r="A30273" t="n">
        <v>30272</v>
      </c>
      <c r="B30273" t="inlineStr">
        <is>
          <t>x̄x̄x̄CCLXXII</t>
        </is>
      </c>
      <c r="C30273">
        <f>ROMAN(30272)</f>
        <v/>
      </c>
      <c r="D30273">
        <f>IF(B30273=C30273, "YES", "WRONG")</f>
        <v/>
      </c>
    </row>
    <row r="30274">
      <c r="A30274" t="n">
        <v>30273</v>
      </c>
      <c r="B30274" t="inlineStr">
        <is>
          <t>x̄x̄x̄CCLXXIII</t>
        </is>
      </c>
      <c r="C30274">
        <f>ROMAN(30273)</f>
        <v/>
      </c>
      <c r="D30274">
        <f>IF(B30274=C30274, "YES", "WRONG")</f>
        <v/>
      </c>
    </row>
    <row r="30275">
      <c r="A30275" t="n">
        <v>30274</v>
      </c>
      <c r="B30275" t="inlineStr">
        <is>
          <t>x̄x̄x̄CCLXXIV</t>
        </is>
      </c>
      <c r="C30275">
        <f>ROMAN(30274)</f>
        <v/>
      </c>
      <c r="D30275">
        <f>IF(B30275=C30275, "YES", "WRONG")</f>
        <v/>
      </c>
    </row>
    <row r="30276">
      <c r="A30276" t="n">
        <v>30275</v>
      </c>
      <c r="B30276" t="inlineStr">
        <is>
          <t>x̄x̄x̄CCLXXV</t>
        </is>
      </c>
      <c r="C30276">
        <f>ROMAN(30275)</f>
        <v/>
      </c>
      <c r="D30276">
        <f>IF(B30276=C30276, "YES", "WRONG")</f>
        <v/>
      </c>
    </row>
    <row r="30277">
      <c r="A30277" t="n">
        <v>30276</v>
      </c>
      <c r="B30277" t="inlineStr">
        <is>
          <t>x̄x̄x̄CCLXXVI</t>
        </is>
      </c>
      <c r="C30277">
        <f>ROMAN(30276)</f>
        <v/>
      </c>
      <c r="D30277">
        <f>IF(B30277=C30277, "YES", "WRONG")</f>
        <v/>
      </c>
    </row>
    <row r="30278">
      <c r="A30278" t="n">
        <v>30277</v>
      </c>
      <c r="B30278" t="inlineStr">
        <is>
          <t>x̄x̄x̄CCLXXVII</t>
        </is>
      </c>
      <c r="C30278">
        <f>ROMAN(30277)</f>
        <v/>
      </c>
      <c r="D30278">
        <f>IF(B30278=C30278, "YES", "WRONG")</f>
        <v/>
      </c>
    </row>
    <row r="30279">
      <c r="A30279" t="n">
        <v>30278</v>
      </c>
      <c r="B30279" t="inlineStr">
        <is>
          <t>x̄x̄x̄CCLXXVIII</t>
        </is>
      </c>
      <c r="C30279">
        <f>ROMAN(30278)</f>
        <v/>
      </c>
      <c r="D30279">
        <f>IF(B30279=C30279, "YES", "WRONG")</f>
        <v/>
      </c>
    </row>
    <row r="30280">
      <c r="A30280" t="n">
        <v>30279</v>
      </c>
      <c r="B30280" t="inlineStr">
        <is>
          <t>x̄x̄x̄CCLXXIX</t>
        </is>
      </c>
      <c r="C30280">
        <f>ROMAN(30279)</f>
        <v/>
      </c>
      <c r="D30280">
        <f>IF(B30280=C30280, "YES", "WRONG")</f>
        <v/>
      </c>
    </row>
    <row r="30281">
      <c r="A30281" t="n">
        <v>30280</v>
      </c>
      <c r="B30281" t="inlineStr">
        <is>
          <t>x̄x̄x̄CCLXXX</t>
        </is>
      </c>
      <c r="C30281">
        <f>ROMAN(30280)</f>
        <v/>
      </c>
      <c r="D30281">
        <f>IF(B30281=C30281, "YES", "WRONG")</f>
        <v/>
      </c>
    </row>
    <row r="30282">
      <c r="A30282" t="n">
        <v>30281</v>
      </c>
      <c r="B30282" t="inlineStr">
        <is>
          <t>x̄x̄x̄CCLXXXI</t>
        </is>
      </c>
      <c r="C30282">
        <f>ROMAN(30281)</f>
        <v/>
      </c>
      <c r="D30282">
        <f>IF(B30282=C30282, "YES", "WRONG")</f>
        <v/>
      </c>
    </row>
    <row r="30283">
      <c r="A30283" t="n">
        <v>30282</v>
      </c>
      <c r="B30283" t="inlineStr">
        <is>
          <t>x̄x̄x̄CCLXXXII</t>
        </is>
      </c>
      <c r="C30283">
        <f>ROMAN(30282)</f>
        <v/>
      </c>
      <c r="D30283">
        <f>IF(B30283=C30283, "YES", "WRONG")</f>
        <v/>
      </c>
    </row>
    <row r="30284">
      <c r="A30284" t="n">
        <v>30283</v>
      </c>
      <c r="B30284" t="inlineStr">
        <is>
          <t>x̄x̄x̄CCLXXXIII</t>
        </is>
      </c>
      <c r="C30284">
        <f>ROMAN(30283)</f>
        <v/>
      </c>
      <c r="D30284">
        <f>IF(B30284=C30284, "YES", "WRONG")</f>
        <v/>
      </c>
    </row>
    <row r="30285">
      <c r="A30285" t="n">
        <v>30284</v>
      </c>
      <c r="B30285" t="inlineStr">
        <is>
          <t>x̄x̄x̄CCLXXXIV</t>
        </is>
      </c>
      <c r="C30285">
        <f>ROMAN(30284)</f>
        <v/>
      </c>
      <c r="D30285">
        <f>IF(B30285=C30285, "YES", "WRONG")</f>
        <v/>
      </c>
    </row>
    <row r="30286">
      <c r="A30286" t="n">
        <v>30285</v>
      </c>
      <c r="B30286" t="inlineStr">
        <is>
          <t>x̄x̄x̄CCLXXXV</t>
        </is>
      </c>
      <c r="C30286">
        <f>ROMAN(30285)</f>
        <v/>
      </c>
      <c r="D30286">
        <f>IF(B30286=C30286, "YES", "WRONG")</f>
        <v/>
      </c>
    </row>
    <row r="30287">
      <c r="A30287" t="n">
        <v>30286</v>
      </c>
      <c r="B30287" t="inlineStr">
        <is>
          <t>x̄x̄x̄CCLXXXVI</t>
        </is>
      </c>
      <c r="C30287">
        <f>ROMAN(30286)</f>
        <v/>
      </c>
      <c r="D30287">
        <f>IF(B30287=C30287, "YES", "WRONG")</f>
        <v/>
      </c>
    </row>
    <row r="30288">
      <c r="A30288" t="n">
        <v>30287</v>
      </c>
      <c r="B30288" t="inlineStr">
        <is>
          <t>x̄x̄x̄CCLXXXVII</t>
        </is>
      </c>
      <c r="C30288">
        <f>ROMAN(30287)</f>
        <v/>
      </c>
      <c r="D30288">
        <f>IF(B30288=C30288, "YES", "WRONG")</f>
        <v/>
      </c>
    </row>
    <row r="30289">
      <c r="A30289" t="n">
        <v>30288</v>
      </c>
      <c r="B30289" t="inlineStr">
        <is>
          <t>x̄x̄x̄CCLXXXVIII</t>
        </is>
      </c>
      <c r="C30289">
        <f>ROMAN(30288)</f>
        <v/>
      </c>
      <c r="D30289">
        <f>IF(B30289=C30289, "YES", "WRONG")</f>
        <v/>
      </c>
    </row>
    <row r="30290">
      <c r="A30290" t="n">
        <v>30289</v>
      </c>
      <c r="B30290" t="inlineStr">
        <is>
          <t>x̄x̄x̄CCLXXXIX</t>
        </is>
      </c>
      <c r="C30290">
        <f>ROMAN(30289)</f>
        <v/>
      </c>
      <c r="D30290">
        <f>IF(B30290=C30290, "YES", "WRONG")</f>
        <v/>
      </c>
    </row>
    <row r="30291">
      <c r="A30291" t="n">
        <v>30290</v>
      </c>
      <c r="B30291" t="inlineStr">
        <is>
          <t>x̄x̄x̄CCXC</t>
        </is>
      </c>
      <c r="C30291">
        <f>ROMAN(30290)</f>
        <v/>
      </c>
      <c r="D30291">
        <f>IF(B30291=C30291, "YES", "WRONG")</f>
        <v/>
      </c>
    </row>
    <row r="30292">
      <c r="A30292" t="n">
        <v>30291</v>
      </c>
      <c r="B30292" t="inlineStr">
        <is>
          <t>x̄x̄x̄CCXCI</t>
        </is>
      </c>
      <c r="C30292">
        <f>ROMAN(30291)</f>
        <v/>
      </c>
      <c r="D30292">
        <f>IF(B30292=C30292, "YES", "WRONG")</f>
        <v/>
      </c>
    </row>
    <row r="30293">
      <c r="A30293" t="n">
        <v>30292</v>
      </c>
      <c r="B30293" t="inlineStr">
        <is>
          <t>x̄x̄x̄CCXCII</t>
        </is>
      </c>
      <c r="C30293">
        <f>ROMAN(30292)</f>
        <v/>
      </c>
      <c r="D30293">
        <f>IF(B30293=C30293, "YES", "WRONG")</f>
        <v/>
      </c>
    </row>
    <row r="30294">
      <c r="A30294" t="n">
        <v>30293</v>
      </c>
      <c r="B30294" t="inlineStr">
        <is>
          <t>x̄x̄x̄CCXCIII</t>
        </is>
      </c>
      <c r="C30294">
        <f>ROMAN(30293)</f>
        <v/>
      </c>
      <c r="D30294">
        <f>IF(B30294=C30294, "YES", "WRONG")</f>
        <v/>
      </c>
    </row>
    <row r="30295">
      <c r="A30295" t="n">
        <v>30294</v>
      </c>
      <c r="B30295" t="inlineStr">
        <is>
          <t>x̄x̄x̄CCXCIV</t>
        </is>
      </c>
      <c r="C30295">
        <f>ROMAN(30294)</f>
        <v/>
      </c>
      <c r="D30295">
        <f>IF(B30295=C30295, "YES", "WRONG")</f>
        <v/>
      </c>
    </row>
    <row r="30296">
      <c r="A30296" t="n">
        <v>30295</v>
      </c>
      <c r="B30296" t="inlineStr">
        <is>
          <t>x̄x̄x̄CCXCV</t>
        </is>
      </c>
      <c r="C30296">
        <f>ROMAN(30295)</f>
        <v/>
      </c>
      <c r="D30296">
        <f>IF(B30296=C30296, "YES", "WRONG")</f>
        <v/>
      </c>
    </row>
    <row r="30297">
      <c r="A30297" t="n">
        <v>30296</v>
      </c>
      <c r="B30297" t="inlineStr">
        <is>
          <t>x̄x̄x̄CCXCVI</t>
        </is>
      </c>
      <c r="C30297">
        <f>ROMAN(30296)</f>
        <v/>
      </c>
      <c r="D30297">
        <f>IF(B30297=C30297, "YES", "WRONG")</f>
        <v/>
      </c>
    </row>
    <row r="30298">
      <c r="A30298" t="n">
        <v>30297</v>
      </c>
      <c r="B30298" t="inlineStr">
        <is>
          <t>x̄x̄x̄CCXCVII</t>
        </is>
      </c>
      <c r="C30298">
        <f>ROMAN(30297)</f>
        <v/>
      </c>
      <c r="D30298">
        <f>IF(B30298=C30298, "YES", "WRONG")</f>
        <v/>
      </c>
    </row>
    <row r="30299">
      <c r="A30299" t="n">
        <v>30298</v>
      </c>
      <c r="B30299" t="inlineStr">
        <is>
          <t>x̄x̄x̄CCXCVIII</t>
        </is>
      </c>
      <c r="C30299">
        <f>ROMAN(30298)</f>
        <v/>
      </c>
      <c r="D30299">
        <f>IF(B30299=C30299, "YES", "WRONG")</f>
        <v/>
      </c>
    </row>
    <row r="30300">
      <c r="A30300" t="n">
        <v>30299</v>
      </c>
      <c r="B30300" t="inlineStr">
        <is>
          <t>x̄x̄x̄CCXCIX</t>
        </is>
      </c>
      <c r="C30300">
        <f>ROMAN(30299)</f>
        <v/>
      </c>
      <c r="D30300">
        <f>IF(B30300=C30300, "YES", "WRONG")</f>
        <v/>
      </c>
    </row>
    <row r="30301">
      <c r="A30301" t="n">
        <v>30300</v>
      </c>
      <c r="B30301" t="inlineStr">
        <is>
          <t>x̄x̄x̄CCC</t>
        </is>
      </c>
      <c r="C30301">
        <f>ROMAN(30300)</f>
        <v/>
      </c>
      <c r="D30301">
        <f>IF(B30301=C30301, "YES", "WRONG")</f>
        <v/>
      </c>
    </row>
    <row r="30302">
      <c r="A30302" t="n">
        <v>30301</v>
      </c>
      <c r="B30302" t="inlineStr">
        <is>
          <t>x̄x̄x̄CCCI</t>
        </is>
      </c>
      <c r="C30302">
        <f>ROMAN(30301)</f>
        <v/>
      </c>
      <c r="D30302">
        <f>IF(B30302=C30302, "YES", "WRONG")</f>
        <v/>
      </c>
    </row>
    <row r="30303">
      <c r="A30303" t="n">
        <v>30302</v>
      </c>
      <c r="B30303" t="inlineStr">
        <is>
          <t>x̄x̄x̄CCCII</t>
        </is>
      </c>
      <c r="C30303">
        <f>ROMAN(30302)</f>
        <v/>
      </c>
      <c r="D30303">
        <f>IF(B30303=C30303, "YES", "WRONG")</f>
        <v/>
      </c>
    </row>
    <row r="30304">
      <c r="A30304" t="n">
        <v>30303</v>
      </c>
      <c r="B30304" t="inlineStr">
        <is>
          <t>x̄x̄x̄CCCIII</t>
        </is>
      </c>
      <c r="C30304">
        <f>ROMAN(30303)</f>
        <v/>
      </c>
      <c r="D30304">
        <f>IF(B30304=C30304, "YES", "WRONG")</f>
        <v/>
      </c>
    </row>
    <row r="30305">
      <c r="A30305" t="n">
        <v>30304</v>
      </c>
      <c r="B30305" t="inlineStr">
        <is>
          <t>x̄x̄x̄CCCIV</t>
        </is>
      </c>
      <c r="C30305">
        <f>ROMAN(30304)</f>
        <v/>
      </c>
      <c r="D30305">
        <f>IF(B30305=C30305, "YES", "WRONG")</f>
        <v/>
      </c>
    </row>
    <row r="30306">
      <c r="A30306" t="n">
        <v>30305</v>
      </c>
      <c r="B30306" t="inlineStr">
        <is>
          <t>x̄x̄x̄CCCV</t>
        </is>
      </c>
      <c r="C30306">
        <f>ROMAN(30305)</f>
        <v/>
      </c>
      <c r="D30306">
        <f>IF(B30306=C30306, "YES", "WRONG")</f>
        <v/>
      </c>
    </row>
    <row r="30307">
      <c r="A30307" t="n">
        <v>30306</v>
      </c>
      <c r="B30307" t="inlineStr">
        <is>
          <t>x̄x̄x̄CCCVI</t>
        </is>
      </c>
      <c r="C30307">
        <f>ROMAN(30306)</f>
        <v/>
      </c>
      <c r="D30307">
        <f>IF(B30307=C30307, "YES", "WRONG")</f>
        <v/>
      </c>
    </row>
    <row r="30308">
      <c r="A30308" t="n">
        <v>30307</v>
      </c>
      <c r="B30308" t="inlineStr">
        <is>
          <t>x̄x̄x̄CCCVII</t>
        </is>
      </c>
      <c r="C30308">
        <f>ROMAN(30307)</f>
        <v/>
      </c>
      <c r="D30308">
        <f>IF(B30308=C30308, "YES", "WRONG")</f>
        <v/>
      </c>
    </row>
    <row r="30309">
      <c r="A30309" t="n">
        <v>30308</v>
      </c>
      <c r="B30309" t="inlineStr">
        <is>
          <t>x̄x̄x̄CCCVIII</t>
        </is>
      </c>
      <c r="C30309">
        <f>ROMAN(30308)</f>
        <v/>
      </c>
      <c r="D30309">
        <f>IF(B30309=C30309, "YES", "WRONG")</f>
        <v/>
      </c>
    </row>
    <row r="30310">
      <c r="A30310" t="n">
        <v>30309</v>
      </c>
      <c r="B30310" t="inlineStr">
        <is>
          <t>x̄x̄x̄CCCIX</t>
        </is>
      </c>
      <c r="C30310">
        <f>ROMAN(30309)</f>
        <v/>
      </c>
      <c r="D30310">
        <f>IF(B30310=C30310, "YES", "WRONG")</f>
        <v/>
      </c>
    </row>
    <row r="30311">
      <c r="A30311" t="n">
        <v>30310</v>
      </c>
      <c r="B30311" t="inlineStr">
        <is>
          <t>x̄x̄x̄CCCX</t>
        </is>
      </c>
      <c r="C30311">
        <f>ROMAN(30310)</f>
        <v/>
      </c>
      <c r="D30311">
        <f>IF(B30311=C30311, "YES", "WRONG")</f>
        <v/>
      </c>
    </row>
    <row r="30312">
      <c r="A30312" t="n">
        <v>30311</v>
      </c>
      <c r="B30312" t="inlineStr">
        <is>
          <t>x̄x̄x̄CCCXI</t>
        </is>
      </c>
      <c r="C30312">
        <f>ROMAN(30311)</f>
        <v/>
      </c>
      <c r="D30312">
        <f>IF(B30312=C30312, "YES", "WRONG")</f>
        <v/>
      </c>
    </row>
    <row r="30313">
      <c r="A30313" t="n">
        <v>30312</v>
      </c>
      <c r="B30313" t="inlineStr">
        <is>
          <t>x̄x̄x̄CCCXII</t>
        </is>
      </c>
      <c r="C30313">
        <f>ROMAN(30312)</f>
        <v/>
      </c>
      <c r="D30313">
        <f>IF(B30313=C30313, "YES", "WRONG")</f>
        <v/>
      </c>
    </row>
    <row r="30314">
      <c r="A30314" t="n">
        <v>30313</v>
      </c>
      <c r="B30314" t="inlineStr">
        <is>
          <t>x̄x̄x̄CCCXIII</t>
        </is>
      </c>
      <c r="C30314">
        <f>ROMAN(30313)</f>
        <v/>
      </c>
      <c r="D30314">
        <f>IF(B30314=C30314, "YES", "WRONG")</f>
        <v/>
      </c>
    </row>
    <row r="30315">
      <c r="A30315" t="n">
        <v>30314</v>
      </c>
      <c r="B30315" t="inlineStr">
        <is>
          <t>x̄x̄x̄CCCXIV</t>
        </is>
      </c>
      <c r="C30315">
        <f>ROMAN(30314)</f>
        <v/>
      </c>
      <c r="D30315">
        <f>IF(B30315=C30315, "YES", "WRONG")</f>
        <v/>
      </c>
    </row>
    <row r="30316">
      <c r="A30316" t="n">
        <v>30315</v>
      </c>
      <c r="B30316" t="inlineStr">
        <is>
          <t>x̄x̄x̄CCCXV</t>
        </is>
      </c>
      <c r="C30316">
        <f>ROMAN(30315)</f>
        <v/>
      </c>
      <c r="D30316">
        <f>IF(B30316=C30316, "YES", "WRONG")</f>
        <v/>
      </c>
    </row>
    <row r="30317">
      <c r="A30317" t="n">
        <v>30316</v>
      </c>
      <c r="B30317" t="inlineStr">
        <is>
          <t>x̄x̄x̄CCCXVI</t>
        </is>
      </c>
      <c r="C30317">
        <f>ROMAN(30316)</f>
        <v/>
      </c>
      <c r="D30317">
        <f>IF(B30317=C30317, "YES", "WRONG")</f>
        <v/>
      </c>
    </row>
    <row r="30318">
      <c r="A30318" t="n">
        <v>30317</v>
      </c>
      <c r="B30318" t="inlineStr">
        <is>
          <t>x̄x̄x̄CCCXVII</t>
        </is>
      </c>
      <c r="C30318">
        <f>ROMAN(30317)</f>
        <v/>
      </c>
      <c r="D30318">
        <f>IF(B30318=C30318, "YES", "WRONG")</f>
        <v/>
      </c>
    </row>
    <row r="30319">
      <c r="A30319" t="n">
        <v>30318</v>
      </c>
      <c r="B30319" t="inlineStr">
        <is>
          <t>x̄x̄x̄CCCXVIII</t>
        </is>
      </c>
      <c r="C30319">
        <f>ROMAN(30318)</f>
        <v/>
      </c>
      <c r="D30319">
        <f>IF(B30319=C30319, "YES", "WRONG")</f>
        <v/>
      </c>
    </row>
    <row r="30320">
      <c r="A30320" t="n">
        <v>30319</v>
      </c>
      <c r="B30320" t="inlineStr">
        <is>
          <t>x̄x̄x̄CCCXIX</t>
        </is>
      </c>
      <c r="C30320">
        <f>ROMAN(30319)</f>
        <v/>
      </c>
      <c r="D30320">
        <f>IF(B30320=C30320, "YES", "WRONG")</f>
        <v/>
      </c>
    </row>
    <row r="30321">
      <c r="A30321" t="n">
        <v>30320</v>
      </c>
      <c r="B30321" t="inlineStr">
        <is>
          <t>x̄x̄x̄CCCXX</t>
        </is>
      </c>
      <c r="C30321">
        <f>ROMAN(30320)</f>
        <v/>
      </c>
      <c r="D30321">
        <f>IF(B30321=C30321, "YES", "WRONG")</f>
        <v/>
      </c>
    </row>
    <row r="30322">
      <c r="A30322" t="n">
        <v>30321</v>
      </c>
      <c r="B30322" t="inlineStr">
        <is>
          <t>x̄x̄x̄CCCXXI</t>
        </is>
      </c>
      <c r="C30322">
        <f>ROMAN(30321)</f>
        <v/>
      </c>
      <c r="D30322">
        <f>IF(B30322=C30322, "YES", "WRONG")</f>
        <v/>
      </c>
    </row>
    <row r="30323">
      <c r="A30323" t="n">
        <v>30322</v>
      </c>
      <c r="B30323" t="inlineStr">
        <is>
          <t>x̄x̄x̄CCCXXII</t>
        </is>
      </c>
      <c r="C30323">
        <f>ROMAN(30322)</f>
        <v/>
      </c>
      <c r="D30323">
        <f>IF(B30323=C30323, "YES", "WRONG")</f>
        <v/>
      </c>
    </row>
    <row r="30324">
      <c r="A30324" t="n">
        <v>30323</v>
      </c>
      <c r="B30324" t="inlineStr">
        <is>
          <t>x̄x̄x̄CCCXXIII</t>
        </is>
      </c>
      <c r="C30324">
        <f>ROMAN(30323)</f>
        <v/>
      </c>
      <c r="D30324">
        <f>IF(B30324=C30324, "YES", "WRONG")</f>
        <v/>
      </c>
    </row>
    <row r="30325">
      <c r="A30325" t="n">
        <v>30324</v>
      </c>
      <c r="B30325" t="inlineStr">
        <is>
          <t>x̄x̄x̄CCCXXIV</t>
        </is>
      </c>
      <c r="C30325">
        <f>ROMAN(30324)</f>
        <v/>
      </c>
      <c r="D30325">
        <f>IF(B30325=C30325, "YES", "WRONG")</f>
        <v/>
      </c>
    </row>
    <row r="30326">
      <c r="A30326" t="n">
        <v>30325</v>
      </c>
      <c r="B30326" t="inlineStr">
        <is>
          <t>x̄x̄x̄CCCXXV</t>
        </is>
      </c>
      <c r="C30326">
        <f>ROMAN(30325)</f>
        <v/>
      </c>
      <c r="D30326">
        <f>IF(B30326=C30326, "YES", "WRONG")</f>
        <v/>
      </c>
    </row>
    <row r="30327">
      <c r="A30327" t="n">
        <v>30326</v>
      </c>
      <c r="B30327" t="inlineStr">
        <is>
          <t>x̄x̄x̄CCCXXVI</t>
        </is>
      </c>
      <c r="C30327">
        <f>ROMAN(30326)</f>
        <v/>
      </c>
      <c r="D30327">
        <f>IF(B30327=C30327, "YES", "WRONG")</f>
        <v/>
      </c>
    </row>
    <row r="30328">
      <c r="A30328" t="n">
        <v>30327</v>
      </c>
      <c r="B30328" t="inlineStr">
        <is>
          <t>x̄x̄x̄CCCXXVII</t>
        </is>
      </c>
      <c r="C30328">
        <f>ROMAN(30327)</f>
        <v/>
      </c>
      <c r="D30328">
        <f>IF(B30328=C30328, "YES", "WRONG")</f>
        <v/>
      </c>
    </row>
    <row r="30329">
      <c r="A30329" t="n">
        <v>30328</v>
      </c>
      <c r="B30329" t="inlineStr">
        <is>
          <t>x̄x̄x̄CCCXXVIII</t>
        </is>
      </c>
      <c r="C30329">
        <f>ROMAN(30328)</f>
        <v/>
      </c>
      <c r="D30329">
        <f>IF(B30329=C30329, "YES", "WRONG")</f>
        <v/>
      </c>
    </row>
    <row r="30330">
      <c r="A30330" t="n">
        <v>30329</v>
      </c>
      <c r="B30330" t="inlineStr">
        <is>
          <t>x̄x̄x̄CCCXXIX</t>
        </is>
      </c>
      <c r="C30330">
        <f>ROMAN(30329)</f>
        <v/>
      </c>
      <c r="D30330">
        <f>IF(B30330=C30330, "YES", "WRONG")</f>
        <v/>
      </c>
    </row>
    <row r="30331">
      <c r="A30331" t="n">
        <v>30330</v>
      </c>
      <c r="B30331" t="inlineStr">
        <is>
          <t>x̄x̄x̄CCCXXX</t>
        </is>
      </c>
      <c r="C30331">
        <f>ROMAN(30330)</f>
        <v/>
      </c>
      <c r="D30331">
        <f>IF(B30331=C30331, "YES", "WRONG")</f>
        <v/>
      </c>
    </row>
    <row r="30332">
      <c r="A30332" t="n">
        <v>30331</v>
      </c>
      <c r="B30332" t="inlineStr">
        <is>
          <t>x̄x̄x̄CCCXXXI</t>
        </is>
      </c>
      <c r="C30332">
        <f>ROMAN(30331)</f>
        <v/>
      </c>
      <c r="D30332">
        <f>IF(B30332=C30332, "YES", "WRONG")</f>
        <v/>
      </c>
    </row>
    <row r="30333">
      <c r="A30333" t="n">
        <v>30332</v>
      </c>
      <c r="B30333" t="inlineStr">
        <is>
          <t>x̄x̄x̄CCCXXXII</t>
        </is>
      </c>
      <c r="C30333">
        <f>ROMAN(30332)</f>
        <v/>
      </c>
      <c r="D30333">
        <f>IF(B30333=C30333, "YES", "WRONG")</f>
        <v/>
      </c>
    </row>
    <row r="30334">
      <c r="A30334" t="n">
        <v>30333</v>
      </c>
      <c r="B30334" t="inlineStr">
        <is>
          <t>x̄x̄x̄CCCXXXIII</t>
        </is>
      </c>
      <c r="C30334">
        <f>ROMAN(30333)</f>
        <v/>
      </c>
      <c r="D30334">
        <f>IF(B30334=C30334, "YES", "WRONG")</f>
        <v/>
      </c>
    </row>
    <row r="30335">
      <c r="A30335" t="n">
        <v>30334</v>
      </c>
      <c r="B30335" t="inlineStr">
        <is>
          <t>x̄x̄x̄CCCXXXIV</t>
        </is>
      </c>
      <c r="C30335">
        <f>ROMAN(30334)</f>
        <v/>
      </c>
      <c r="D30335">
        <f>IF(B30335=C30335, "YES", "WRONG")</f>
        <v/>
      </c>
    </row>
    <row r="30336">
      <c r="A30336" t="n">
        <v>30335</v>
      </c>
      <c r="B30336" t="inlineStr">
        <is>
          <t>x̄x̄x̄CCCXXXV</t>
        </is>
      </c>
      <c r="C30336">
        <f>ROMAN(30335)</f>
        <v/>
      </c>
      <c r="D30336">
        <f>IF(B30336=C30336, "YES", "WRONG")</f>
        <v/>
      </c>
    </row>
    <row r="30337">
      <c r="A30337" t="n">
        <v>30336</v>
      </c>
      <c r="B30337" t="inlineStr">
        <is>
          <t>x̄x̄x̄CCCXXXVI</t>
        </is>
      </c>
      <c r="C30337">
        <f>ROMAN(30336)</f>
        <v/>
      </c>
      <c r="D30337">
        <f>IF(B30337=C30337, "YES", "WRONG")</f>
        <v/>
      </c>
    </row>
    <row r="30338">
      <c r="A30338" t="n">
        <v>30337</v>
      </c>
      <c r="B30338" t="inlineStr">
        <is>
          <t>x̄x̄x̄CCCXXXVII</t>
        </is>
      </c>
      <c r="C30338">
        <f>ROMAN(30337)</f>
        <v/>
      </c>
      <c r="D30338">
        <f>IF(B30338=C30338, "YES", "WRONG")</f>
        <v/>
      </c>
    </row>
    <row r="30339">
      <c r="A30339" t="n">
        <v>30338</v>
      </c>
      <c r="B30339" t="inlineStr">
        <is>
          <t>x̄x̄x̄CCCXXXVIII</t>
        </is>
      </c>
      <c r="C30339">
        <f>ROMAN(30338)</f>
        <v/>
      </c>
      <c r="D30339">
        <f>IF(B30339=C30339, "YES", "WRONG")</f>
        <v/>
      </c>
    </row>
    <row r="30340">
      <c r="A30340" t="n">
        <v>30339</v>
      </c>
      <c r="B30340" t="inlineStr">
        <is>
          <t>x̄x̄x̄CCCXXXIX</t>
        </is>
      </c>
      <c r="C30340">
        <f>ROMAN(30339)</f>
        <v/>
      </c>
      <c r="D30340">
        <f>IF(B30340=C30340, "YES", "WRONG")</f>
        <v/>
      </c>
    </row>
    <row r="30341">
      <c r="A30341" t="n">
        <v>30340</v>
      </c>
      <c r="B30341" t="inlineStr">
        <is>
          <t>x̄x̄x̄CCCXL</t>
        </is>
      </c>
      <c r="C30341">
        <f>ROMAN(30340)</f>
        <v/>
      </c>
      <c r="D30341">
        <f>IF(B30341=C30341, "YES", "WRONG")</f>
        <v/>
      </c>
    </row>
    <row r="30342">
      <c r="A30342" t="n">
        <v>30341</v>
      </c>
      <c r="B30342" t="inlineStr">
        <is>
          <t>x̄x̄x̄CCCXLI</t>
        </is>
      </c>
      <c r="C30342">
        <f>ROMAN(30341)</f>
        <v/>
      </c>
      <c r="D30342">
        <f>IF(B30342=C30342, "YES", "WRONG")</f>
        <v/>
      </c>
    </row>
    <row r="30343">
      <c r="A30343" t="n">
        <v>30342</v>
      </c>
      <c r="B30343" t="inlineStr">
        <is>
          <t>x̄x̄x̄CCCXLII</t>
        </is>
      </c>
      <c r="C30343">
        <f>ROMAN(30342)</f>
        <v/>
      </c>
      <c r="D30343">
        <f>IF(B30343=C30343, "YES", "WRONG")</f>
        <v/>
      </c>
    </row>
    <row r="30344">
      <c r="A30344" t="n">
        <v>30343</v>
      </c>
      <c r="B30344" t="inlineStr">
        <is>
          <t>x̄x̄x̄CCCXLIII</t>
        </is>
      </c>
      <c r="C30344">
        <f>ROMAN(30343)</f>
        <v/>
      </c>
      <c r="D30344">
        <f>IF(B30344=C30344, "YES", "WRONG")</f>
        <v/>
      </c>
    </row>
    <row r="30345">
      <c r="A30345" t="n">
        <v>30344</v>
      </c>
      <c r="B30345" t="inlineStr">
        <is>
          <t>x̄x̄x̄CCCXLIV</t>
        </is>
      </c>
      <c r="C30345">
        <f>ROMAN(30344)</f>
        <v/>
      </c>
      <c r="D30345">
        <f>IF(B30345=C30345, "YES", "WRONG")</f>
        <v/>
      </c>
    </row>
    <row r="30346">
      <c r="A30346" t="n">
        <v>30345</v>
      </c>
      <c r="B30346" t="inlineStr">
        <is>
          <t>x̄x̄x̄CCCXLV</t>
        </is>
      </c>
      <c r="C30346">
        <f>ROMAN(30345)</f>
        <v/>
      </c>
      <c r="D30346">
        <f>IF(B30346=C30346, "YES", "WRONG")</f>
        <v/>
      </c>
    </row>
    <row r="30347">
      <c r="A30347" t="n">
        <v>30346</v>
      </c>
      <c r="B30347" t="inlineStr">
        <is>
          <t>x̄x̄x̄CCCXLVI</t>
        </is>
      </c>
      <c r="C30347">
        <f>ROMAN(30346)</f>
        <v/>
      </c>
      <c r="D30347">
        <f>IF(B30347=C30347, "YES", "WRONG")</f>
        <v/>
      </c>
    </row>
    <row r="30348">
      <c r="A30348" t="n">
        <v>30347</v>
      </c>
      <c r="B30348" t="inlineStr">
        <is>
          <t>x̄x̄x̄CCCXLVII</t>
        </is>
      </c>
      <c r="C30348">
        <f>ROMAN(30347)</f>
        <v/>
      </c>
      <c r="D30348">
        <f>IF(B30348=C30348, "YES", "WRONG")</f>
        <v/>
      </c>
    </row>
    <row r="30349">
      <c r="A30349" t="n">
        <v>30348</v>
      </c>
      <c r="B30349" t="inlineStr">
        <is>
          <t>x̄x̄x̄CCCXLVIII</t>
        </is>
      </c>
      <c r="C30349">
        <f>ROMAN(30348)</f>
        <v/>
      </c>
      <c r="D30349">
        <f>IF(B30349=C30349, "YES", "WRONG")</f>
        <v/>
      </c>
    </row>
    <row r="30350">
      <c r="A30350" t="n">
        <v>30349</v>
      </c>
      <c r="B30350" t="inlineStr">
        <is>
          <t>x̄x̄x̄CCCXLIX</t>
        </is>
      </c>
      <c r="C30350">
        <f>ROMAN(30349)</f>
        <v/>
      </c>
      <c r="D30350">
        <f>IF(B30350=C30350, "YES", "WRONG")</f>
        <v/>
      </c>
    </row>
    <row r="30351">
      <c r="A30351" t="n">
        <v>30350</v>
      </c>
      <c r="B30351" t="inlineStr">
        <is>
          <t>x̄x̄x̄CCCL</t>
        </is>
      </c>
      <c r="C30351">
        <f>ROMAN(30350)</f>
        <v/>
      </c>
      <c r="D30351">
        <f>IF(B30351=C30351, "YES", "WRONG")</f>
        <v/>
      </c>
    </row>
    <row r="30352">
      <c r="A30352" t="n">
        <v>30351</v>
      </c>
      <c r="B30352" t="inlineStr">
        <is>
          <t>x̄x̄x̄CCCLI</t>
        </is>
      </c>
      <c r="C30352">
        <f>ROMAN(30351)</f>
        <v/>
      </c>
      <c r="D30352">
        <f>IF(B30352=C30352, "YES", "WRONG")</f>
        <v/>
      </c>
    </row>
    <row r="30353">
      <c r="A30353" t="n">
        <v>30352</v>
      </c>
      <c r="B30353" t="inlineStr">
        <is>
          <t>x̄x̄x̄CCCLII</t>
        </is>
      </c>
      <c r="C30353">
        <f>ROMAN(30352)</f>
        <v/>
      </c>
      <c r="D30353">
        <f>IF(B30353=C30353, "YES", "WRONG")</f>
        <v/>
      </c>
    </row>
    <row r="30354">
      <c r="A30354" t="n">
        <v>30353</v>
      </c>
      <c r="B30354" t="inlineStr">
        <is>
          <t>x̄x̄x̄CCCLIII</t>
        </is>
      </c>
      <c r="C30354">
        <f>ROMAN(30353)</f>
        <v/>
      </c>
      <c r="D30354">
        <f>IF(B30354=C30354, "YES", "WRONG")</f>
        <v/>
      </c>
    </row>
    <row r="30355">
      <c r="A30355" t="n">
        <v>30354</v>
      </c>
      <c r="B30355" t="inlineStr">
        <is>
          <t>x̄x̄x̄CCCLIV</t>
        </is>
      </c>
      <c r="C30355">
        <f>ROMAN(30354)</f>
        <v/>
      </c>
      <c r="D30355">
        <f>IF(B30355=C30355, "YES", "WRONG")</f>
        <v/>
      </c>
    </row>
    <row r="30356">
      <c r="A30356" t="n">
        <v>30355</v>
      </c>
      <c r="B30356" t="inlineStr">
        <is>
          <t>x̄x̄x̄CCCLV</t>
        </is>
      </c>
      <c r="C30356">
        <f>ROMAN(30355)</f>
        <v/>
      </c>
      <c r="D30356">
        <f>IF(B30356=C30356, "YES", "WRONG")</f>
        <v/>
      </c>
    </row>
    <row r="30357">
      <c r="A30357" t="n">
        <v>30356</v>
      </c>
      <c r="B30357" t="inlineStr">
        <is>
          <t>x̄x̄x̄CCCLVI</t>
        </is>
      </c>
      <c r="C30357">
        <f>ROMAN(30356)</f>
        <v/>
      </c>
      <c r="D30357">
        <f>IF(B30357=C30357, "YES", "WRONG")</f>
        <v/>
      </c>
    </row>
    <row r="30358">
      <c r="A30358" t="n">
        <v>30357</v>
      </c>
      <c r="B30358" t="inlineStr">
        <is>
          <t>x̄x̄x̄CCCLVII</t>
        </is>
      </c>
      <c r="C30358">
        <f>ROMAN(30357)</f>
        <v/>
      </c>
      <c r="D30358">
        <f>IF(B30358=C30358, "YES", "WRONG")</f>
        <v/>
      </c>
    </row>
    <row r="30359">
      <c r="A30359" t="n">
        <v>30358</v>
      </c>
      <c r="B30359" t="inlineStr">
        <is>
          <t>x̄x̄x̄CCCLVIII</t>
        </is>
      </c>
      <c r="C30359">
        <f>ROMAN(30358)</f>
        <v/>
      </c>
      <c r="D30359">
        <f>IF(B30359=C30359, "YES", "WRONG")</f>
        <v/>
      </c>
    </row>
    <row r="30360">
      <c r="A30360" t="n">
        <v>30359</v>
      </c>
      <c r="B30360" t="inlineStr">
        <is>
          <t>x̄x̄x̄CCCLIX</t>
        </is>
      </c>
      <c r="C30360">
        <f>ROMAN(30359)</f>
        <v/>
      </c>
      <c r="D30360">
        <f>IF(B30360=C30360, "YES", "WRONG")</f>
        <v/>
      </c>
    </row>
    <row r="30361">
      <c r="A30361" t="n">
        <v>30360</v>
      </c>
      <c r="B30361" t="inlineStr">
        <is>
          <t>x̄x̄x̄CCCLX</t>
        </is>
      </c>
      <c r="C30361">
        <f>ROMAN(30360)</f>
        <v/>
      </c>
      <c r="D30361">
        <f>IF(B30361=C30361, "YES", "WRONG")</f>
        <v/>
      </c>
    </row>
    <row r="30362">
      <c r="A30362" t="n">
        <v>30361</v>
      </c>
      <c r="B30362" t="inlineStr">
        <is>
          <t>x̄x̄x̄CCCLXI</t>
        </is>
      </c>
      <c r="C30362">
        <f>ROMAN(30361)</f>
        <v/>
      </c>
      <c r="D30362">
        <f>IF(B30362=C30362, "YES", "WRONG")</f>
        <v/>
      </c>
    </row>
    <row r="30363">
      <c r="A30363" t="n">
        <v>30362</v>
      </c>
      <c r="B30363" t="inlineStr">
        <is>
          <t>x̄x̄x̄CCCLXII</t>
        </is>
      </c>
      <c r="C30363">
        <f>ROMAN(30362)</f>
        <v/>
      </c>
      <c r="D30363">
        <f>IF(B30363=C30363, "YES", "WRONG")</f>
        <v/>
      </c>
    </row>
    <row r="30364">
      <c r="A30364" t="n">
        <v>30363</v>
      </c>
      <c r="B30364" t="inlineStr">
        <is>
          <t>x̄x̄x̄CCCLXIII</t>
        </is>
      </c>
      <c r="C30364">
        <f>ROMAN(30363)</f>
        <v/>
      </c>
      <c r="D30364">
        <f>IF(B30364=C30364, "YES", "WRONG")</f>
        <v/>
      </c>
    </row>
    <row r="30365">
      <c r="A30365" t="n">
        <v>30364</v>
      </c>
      <c r="B30365" t="inlineStr">
        <is>
          <t>x̄x̄x̄CCCLXIV</t>
        </is>
      </c>
      <c r="C30365">
        <f>ROMAN(30364)</f>
        <v/>
      </c>
      <c r="D30365">
        <f>IF(B30365=C30365, "YES", "WRONG")</f>
        <v/>
      </c>
    </row>
    <row r="30366">
      <c r="A30366" t="n">
        <v>30365</v>
      </c>
      <c r="B30366" t="inlineStr">
        <is>
          <t>x̄x̄x̄CCCLXV</t>
        </is>
      </c>
      <c r="C30366">
        <f>ROMAN(30365)</f>
        <v/>
      </c>
      <c r="D30366">
        <f>IF(B30366=C30366, "YES", "WRONG")</f>
        <v/>
      </c>
    </row>
    <row r="30367">
      <c r="A30367" t="n">
        <v>30366</v>
      </c>
      <c r="B30367" t="inlineStr">
        <is>
          <t>x̄x̄x̄CCCLXVI</t>
        </is>
      </c>
      <c r="C30367">
        <f>ROMAN(30366)</f>
        <v/>
      </c>
      <c r="D30367">
        <f>IF(B30367=C30367, "YES", "WRONG")</f>
        <v/>
      </c>
    </row>
    <row r="30368">
      <c r="A30368" t="n">
        <v>30367</v>
      </c>
      <c r="B30368" t="inlineStr">
        <is>
          <t>x̄x̄x̄CCCLXVII</t>
        </is>
      </c>
      <c r="C30368">
        <f>ROMAN(30367)</f>
        <v/>
      </c>
      <c r="D30368">
        <f>IF(B30368=C30368, "YES", "WRONG")</f>
        <v/>
      </c>
    </row>
    <row r="30369">
      <c r="A30369" t="n">
        <v>30368</v>
      </c>
      <c r="B30369" t="inlineStr">
        <is>
          <t>x̄x̄x̄CCCLXVIII</t>
        </is>
      </c>
      <c r="C30369">
        <f>ROMAN(30368)</f>
        <v/>
      </c>
      <c r="D30369">
        <f>IF(B30369=C30369, "YES", "WRONG")</f>
        <v/>
      </c>
    </row>
    <row r="30370">
      <c r="A30370" t="n">
        <v>30369</v>
      </c>
      <c r="B30370" t="inlineStr">
        <is>
          <t>x̄x̄x̄CCCLXIX</t>
        </is>
      </c>
      <c r="C30370">
        <f>ROMAN(30369)</f>
        <v/>
      </c>
      <c r="D30370">
        <f>IF(B30370=C30370, "YES", "WRONG")</f>
        <v/>
      </c>
    </row>
    <row r="30371">
      <c r="A30371" t="n">
        <v>30370</v>
      </c>
      <c r="B30371" t="inlineStr">
        <is>
          <t>x̄x̄x̄CCCLXX</t>
        </is>
      </c>
      <c r="C30371">
        <f>ROMAN(30370)</f>
        <v/>
      </c>
      <c r="D30371">
        <f>IF(B30371=C30371, "YES", "WRONG")</f>
        <v/>
      </c>
    </row>
    <row r="30372">
      <c r="A30372" t="n">
        <v>30371</v>
      </c>
      <c r="B30372" t="inlineStr">
        <is>
          <t>x̄x̄x̄CCCLXXI</t>
        </is>
      </c>
      <c r="C30372">
        <f>ROMAN(30371)</f>
        <v/>
      </c>
      <c r="D30372">
        <f>IF(B30372=C30372, "YES", "WRONG")</f>
        <v/>
      </c>
    </row>
    <row r="30373">
      <c r="A30373" t="n">
        <v>30372</v>
      </c>
      <c r="B30373" t="inlineStr">
        <is>
          <t>x̄x̄x̄CCCLXXII</t>
        </is>
      </c>
      <c r="C30373">
        <f>ROMAN(30372)</f>
        <v/>
      </c>
      <c r="D30373">
        <f>IF(B30373=C30373, "YES", "WRONG")</f>
        <v/>
      </c>
    </row>
    <row r="30374">
      <c r="A30374" t="n">
        <v>30373</v>
      </c>
      <c r="B30374" t="inlineStr">
        <is>
          <t>x̄x̄x̄CCCLXXIII</t>
        </is>
      </c>
      <c r="C30374">
        <f>ROMAN(30373)</f>
        <v/>
      </c>
      <c r="D30374">
        <f>IF(B30374=C30374, "YES", "WRONG")</f>
        <v/>
      </c>
    </row>
    <row r="30375">
      <c r="A30375" t="n">
        <v>30374</v>
      </c>
      <c r="B30375" t="inlineStr">
        <is>
          <t>x̄x̄x̄CCCLXXIV</t>
        </is>
      </c>
      <c r="C30375">
        <f>ROMAN(30374)</f>
        <v/>
      </c>
      <c r="D30375">
        <f>IF(B30375=C30375, "YES", "WRONG")</f>
        <v/>
      </c>
    </row>
    <row r="30376">
      <c r="A30376" t="n">
        <v>30375</v>
      </c>
      <c r="B30376" t="inlineStr">
        <is>
          <t>x̄x̄x̄CCCLXXV</t>
        </is>
      </c>
      <c r="C30376">
        <f>ROMAN(30375)</f>
        <v/>
      </c>
      <c r="D30376">
        <f>IF(B30376=C30376, "YES", "WRONG")</f>
        <v/>
      </c>
    </row>
    <row r="30377">
      <c r="A30377" t="n">
        <v>30376</v>
      </c>
      <c r="B30377" t="inlineStr">
        <is>
          <t>x̄x̄x̄CCCLXXVI</t>
        </is>
      </c>
      <c r="C30377">
        <f>ROMAN(30376)</f>
        <v/>
      </c>
      <c r="D30377">
        <f>IF(B30377=C30377, "YES", "WRONG")</f>
        <v/>
      </c>
    </row>
    <row r="30378">
      <c r="A30378" t="n">
        <v>30377</v>
      </c>
      <c r="B30378" t="inlineStr">
        <is>
          <t>x̄x̄x̄CCCLXXVII</t>
        </is>
      </c>
      <c r="C30378">
        <f>ROMAN(30377)</f>
        <v/>
      </c>
      <c r="D30378">
        <f>IF(B30378=C30378, "YES", "WRONG")</f>
        <v/>
      </c>
    </row>
    <row r="30379">
      <c r="A30379" t="n">
        <v>30378</v>
      </c>
      <c r="B30379" t="inlineStr">
        <is>
          <t>x̄x̄x̄CCCLXXVIII</t>
        </is>
      </c>
      <c r="C30379">
        <f>ROMAN(30378)</f>
        <v/>
      </c>
      <c r="D30379">
        <f>IF(B30379=C30379, "YES", "WRONG")</f>
        <v/>
      </c>
    </row>
    <row r="30380">
      <c r="A30380" t="n">
        <v>30379</v>
      </c>
      <c r="B30380" t="inlineStr">
        <is>
          <t>x̄x̄x̄CCCLXXIX</t>
        </is>
      </c>
      <c r="C30380">
        <f>ROMAN(30379)</f>
        <v/>
      </c>
      <c r="D30380">
        <f>IF(B30380=C30380, "YES", "WRONG")</f>
        <v/>
      </c>
    </row>
    <row r="30381">
      <c r="A30381" t="n">
        <v>30380</v>
      </c>
      <c r="B30381" t="inlineStr">
        <is>
          <t>x̄x̄x̄CCCLXXX</t>
        </is>
      </c>
      <c r="C30381">
        <f>ROMAN(30380)</f>
        <v/>
      </c>
      <c r="D30381">
        <f>IF(B30381=C30381, "YES", "WRONG")</f>
        <v/>
      </c>
    </row>
    <row r="30382">
      <c r="A30382" t="n">
        <v>30381</v>
      </c>
      <c r="B30382" t="inlineStr">
        <is>
          <t>x̄x̄x̄CCCLXXXI</t>
        </is>
      </c>
      <c r="C30382">
        <f>ROMAN(30381)</f>
        <v/>
      </c>
      <c r="D30382">
        <f>IF(B30382=C30382, "YES", "WRONG")</f>
        <v/>
      </c>
    </row>
    <row r="30383">
      <c r="A30383" t="n">
        <v>30382</v>
      </c>
      <c r="B30383" t="inlineStr">
        <is>
          <t>x̄x̄x̄CCCLXXXII</t>
        </is>
      </c>
      <c r="C30383">
        <f>ROMAN(30382)</f>
        <v/>
      </c>
      <c r="D30383">
        <f>IF(B30383=C30383, "YES", "WRONG")</f>
        <v/>
      </c>
    </row>
    <row r="30384">
      <c r="A30384" t="n">
        <v>30383</v>
      </c>
      <c r="B30384" t="inlineStr">
        <is>
          <t>x̄x̄x̄CCCLXXXIII</t>
        </is>
      </c>
      <c r="C30384">
        <f>ROMAN(30383)</f>
        <v/>
      </c>
      <c r="D30384">
        <f>IF(B30384=C30384, "YES", "WRONG")</f>
        <v/>
      </c>
    </row>
    <row r="30385">
      <c r="A30385" t="n">
        <v>30384</v>
      </c>
      <c r="B30385" t="inlineStr">
        <is>
          <t>x̄x̄x̄CCCLXXXIV</t>
        </is>
      </c>
      <c r="C30385">
        <f>ROMAN(30384)</f>
        <v/>
      </c>
      <c r="D30385">
        <f>IF(B30385=C30385, "YES", "WRONG")</f>
        <v/>
      </c>
    </row>
    <row r="30386">
      <c r="A30386" t="n">
        <v>30385</v>
      </c>
      <c r="B30386" t="inlineStr">
        <is>
          <t>x̄x̄x̄CCCLXXXV</t>
        </is>
      </c>
      <c r="C30386">
        <f>ROMAN(30385)</f>
        <v/>
      </c>
      <c r="D30386">
        <f>IF(B30386=C30386, "YES", "WRONG")</f>
        <v/>
      </c>
    </row>
    <row r="30387">
      <c r="A30387" t="n">
        <v>30386</v>
      </c>
      <c r="B30387" t="inlineStr">
        <is>
          <t>x̄x̄x̄CCCLXXXVI</t>
        </is>
      </c>
      <c r="C30387">
        <f>ROMAN(30386)</f>
        <v/>
      </c>
      <c r="D30387">
        <f>IF(B30387=C30387, "YES", "WRONG")</f>
        <v/>
      </c>
    </row>
    <row r="30388">
      <c r="A30388" t="n">
        <v>30387</v>
      </c>
      <c r="B30388" t="inlineStr">
        <is>
          <t>x̄x̄x̄CCCLXXXVII</t>
        </is>
      </c>
      <c r="C30388">
        <f>ROMAN(30387)</f>
        <v/>
      </c>
      <c r="D30388">
        <f>IF(B30388=C30388, "YES", "WRONG")</f>
        <v/>
      </c>
    </row>
    <row r="30389">
      <c r="A30389" t="n">
        <v>30388</v>
      </c>
      <c r="B30389" t="inlineStr">
        <is>
          <t>x̄x̄x̄CCCLXXXVIII</t>
        </is>
      </c>
      <c r="C30389">
        <f>ROMAN(30388)</f>
        <v/>
      </c>
      <c r="D30389">
        <f>IF(B30389=C30389, "YES", "WRONG")</f>
        <v/>
      </c>
    </row>
    <row r="30390">
      <c r="A30390" t="n">
        <v>30389</v>
      </c>
      <c r="B30390" t="inlineStr">
        <is>
          <t>x̄x̄x̄CCCLXXXIX</t>
        </is>
      </c>
      <c r="C30390">
        <f>ROMAN(30389)</f>
        <v/>
      </c>
      <c r="D30390">
        <f>IF(B30390=C30390, "YES", "WRONG")</f>
        <v/>
      </c>
    </row>
    <row r="30391">
      <c r="A30391" t="n">
        <v>30390</v>
      </c>
      <c r="B30391" t="inlineStr">
        <is>
          <t>x̄x̄x̄CCCXC</t>
        </is>
      </c>
      <c r="C30391">
        <f>ROMAN(30390)</f>
        <v/>
      </c>
      <c r="D30391">
        <f>IF(B30391=C30391, "YES", "WRONG")</f>
        <v/>
      </c>
    </row>
    <row r="30392">
      <c r="A30392" t="n">
        <v>30391</v>
      </c>
      <c r="B30392" t="inlineStr">
        <is>
          <t>x̄x̄x̄CCCXCI</t>
        </is>
      </c>
      <c r="C30392">
        <f>ROMAN(30391)</f>
        <v/>
      </c>
      <c r="D30392">
        <f>IF(B30392=C30392, "YES", "WRONG")</f>
        <v/>
      </c>
    </row>
    <row r="30393">
      <c r="A30393" t="n">
        <v>30392</v>
      </c>
      <c r="B30393" t="inlineStr">
        <is>
          <t>x̄x̄x̄CCCXCII</t>
        </is>
      </c>
      <c r="C30393">
        <f>ROMAN(30392)</f>
        <v/>
      </c>
      <c r="D30393">
        <f>IF(B30393=C30393, "YES", "WRONG")</f>
        <v/>
      </c>
    </row>
    <row r="30394">
      <c r="A30394" t="n">
        <v>30393</v>
      </c>
      <c r="B30394" t="inlineStr">
        <is>
          <t>x̄x̄x̄CCCXCIII</t>
        </is>
      </c>
      <c r="C30394">
        <f>ROMAN(30393)</f>
        <v/>
      </c>
      <c r="D30394">
        <f>IF(B30394=C30394, "YES", "WRONG")</f>
        <v/>
      </c>
    </row>
    <row r="30395">
      <c r="A30395" t="n">
        <v>30394</v>
      </c>
      <c r="B30395" t="inlineStr">
        <is>
          <t>x̄x̄x̄CCCXCIV</t>
        </is>
      </c>
      <c r="C30395">
        <f>ROMAN(30394)</f>
        <v/>
      </c>
      <c r="D30395">
        <f>IF(B30395=C30395, "YES", "WRONG")</f>
        <v/>
      </c>
    </row>
    <row r="30396">
      <c r="A30396" t="n">
        <v>30395</v>
      </c>
      <c r="B30396" t="inlineStr">
        <is>
          <t>x̄x̄x̄CCCXCV</t>
        </is>
      </c>
      <c r="C30396">
        <f>ROMAN(30395)</f>
        <v/>
      </c>
      <c r="D30396">
        <f>IF(B30396=C30396, "YES", "WRONG")</f>
        <v/>
      </c>
    </row>
    <row r="30397">
      <c r="A30397" t="n">
        <v>30396</v>
      </c>
      <c r="B30397" t="inlineStr">
        <is>
          <t>x̄x̄x̄CCCXCVI</t>
        </is>
      </c>
      <c r="C30397">
        <f>ROMAN(30396)</f>
        <v/>
      </c>
      <c r="D30397">
        <f>IF(B30397=C30397, "YES", "WRONG")</f>
        <v/>
      </c>
    </row>
    <row r="30398">
      <c r="A30398" t="n">
        <v>30397</v>
      </c>
      <c r="B30398" t="inlineStr">
        <is>
          <t>x̄x̄x̄CCCXCVII</t>
        </is>
      </c>
      <c r="C30398">
        <f>ROMAN(30397)</f>
        <v/>
      </c>
      <c r="D30398">
        <f>IF(B30398=C30398, "YES", "WRONG")</f>
        <v/>
      </c>
    </row>
    <row r="30399">
      <c r="A30399" t="n">
        <v>30398</v>
      </c>
      <c r="B30399" t="inlineStr">
        <is>
          <t>x̄x̄x̄CCCXCVIII</t>
        </is>
      </c>
      <c r="C30399">
        <f>ROMAN(30398)</f>
        <v/>
      </c>
      <c r="D30399">
        <f>IF(B30399=C30399, "YES", "WRONG")</f>
        <v/>
      </c>
    </row>
    <row r="30400">
      <c r="A30400" t="n">
        <v>30399</v>
      </c>
      <c r="B30400" t="inlineStr">
        <is>
          <t>x̄x̄x̄CCCXCIX</t>
        </is>
      </c>
      <c r="C30400">
        <f>ROMAN(30399)</f>
        <v/>
      </c>
      <c r="D30400">
        <f>IF(B30400=C30400, "YES", "WRONG")</f>
        <v/>
      </c>
    </row>
    <row r="30401">
      <c r="A30401" t="n">
        <v>30400</v>
      </c>
      <c r="B30401" t="inlineStr">
        <is>
          <t>x̄x̄x̄CD</t>
        </is>
      </c>
      <c r="C30401">
        <f>ROMAN(30400)</f>
        <v/>
      </c>
      <c r="D30401">
        <f>IF(B30401=C30401, "YES", "WRONG")</f>
        <v/>
      </c>
    </row>
    <row r="30402">
      <c r="A30402" t="n">
        <v>30401</v>
      </c>
      <c r="B30402" t="inlineStr">
        <is>
          <t>x̄x̄x̄CDI</t>
        </is>
      </c>
      <c r="C30402">
        <f>ROMAN(30401)</f>
        <v/>
      </c>
      <c r="D30402">
        <f>IF(B30402=C30402, "YES", "WRONG")</f>
        <v/>
      </c>
    </row>
    <row r="30403">
      <c r="A30403" t="n">
        <v>30402</v>
      </c>
      <c r="B30403" t="inlineStr">
        <is>
          <t>x̄x̄x̄CDII</t>
        </is>
      </c>
      <c r="C30403">
        <f>ROMAN(30402)</f>
        <v/>
      </c>
      <c r="D30403">
        <f>IF(B30403=C30403, "YES", "WRONG")</f>
        <v/>
      </c>
    </row>
    <row r="30404">
      <c r="A30404" t="n">
        <v>30403</v>
      </c>
      <c r="B30404" t="inlineStr">
        <is>
          <t>x̄x̄x̄CDIII</t>
        </is>
      </c>
      <c r="C30404">
        <f>ROMAN(30403)</f>
        <v/>
      </c>
      <c r="D30404">
        <f>IF(B30404=C30404, "YES", "WRONG")</f>
        <v/>
      </c>
    </row>
    <row r="30405">
      <c r="A30405" t="n">
        <v>30404</v>
      </c>
      <c r="B30405" t="inlineStr">
        <is>
          <t>x̄x̄x̄CDIV</t>
        </is>
      </c>
      <c r="C30405">
        <f>ROMAN(30404)</f>
        <v/>
      </c>
      <c r="D30405">
        <f>IF(B30405=C30405, "YES", "WRONG")</f>
        <v/>
      </c>
    </row>
    <row r="30406">
      <c r="A30406" t="n">
        <v>30405</v>
      </c>
      <c r="B30406" t="inlineStr">
        <is>
          <t>x̄x̄x̄CDV</t>
        </is>
      </c>
      <c r="C30406">
        <f>ROMAN(30405)</f>
        <v/>
      </c>
      <c r="D30406">
        <f>IF(B30406=C30406, "YES", "WRONG")</f>
        <v/>
      </c>
    </row>
    <row r="30407">
      <c r="A30407" t="n">
        <v>30406</v>
      </c>
      <c r="B30407" t="inlineStr">
        <is>
          <t>x̄x̄x̄CDVI</t>
        </is>
      </c>
      <c r="C30407">
        <f>ROMAN(30406)</f>
        <v/>
      </c>
      <c r="D30407">
        <f>IF(B30407=C30407, "YES", "WRONG")</f>
        <v/>
      </c>
    </row>
    <row r="30408">
      <c r="A30408" t="n">
        <v>30407</v>
      </c>
      <c r="B30408" t="inlineStr">
        <is>
          <t>x̄x̄x̄CDVII</t>
        </is>
      </c>
      <c r="C30408">
        <f>ROMAN(30407)</f>
        <v/>
      </c>
      <c r="D30408">
        <f>IF(B30408=C30408, "YES", "WRONG")</f>
        <v/>
      </c>
    </row>
    <row r="30409">
      <c r="A30409" t="n">
        <v>30408</v>
      </c>
      <c r="B30409" t="inlineStr">
        <is>
          <t>x̄x̄x̄CDVIII</t>
        </is>
      </c>
      <c r="C30409">
        <f>ROMAN(30408)</f>
        <v/>
      </c>
      <c r="D30409">
        <f>IF(B30409=C30409, "YES", "WRONG")</f>
        <v/>
      </c>
    </row>
    <row r="30410">
      <c r="A30410" t="n">
        <v>30409</v>
      </c>
      <c r="B30410" t="inlineStr">
        <is>
          <t>x̄x̄x̄CDIX</t>
        </is>
      </c>
      <c r="C30410">
        <f>ROMAN(30409)</f>
        <v/>
      </c>
      <c r="D30410">
        <f>IF(B30410=C30410, "YES", "WRONG")</f>
        <v/>
      </c>
    </row>
    <row r="30411">
      <c r="A30411" t="n">
        <v>30410</v>
      </c>
      <c r="B30411" t="inlineStr">
        <is>
          <t>x̄x̄x̄CDX</t>
        </is>
      </c>
      <c r="C30411">
        <f>ROMAN(30410)</f>
        <v/>
      </c>
      <c r="D30411">
        <f>IF(B30411=C30411, "YES", "WRONG")</f>
        <v/>
      </c>
    </row>
    <row r="30412">
      <c r="A30412" t="n">
        <v>30411</v>
      </c>
      <c r="B30412" t="inlineStr">
        <is>
          <t>x̄x̄x̄CDXI</t>
        </is>
      </c>
      <c r="C30412">
        <f>ROMAN(30411)</f>
        <v/>
      </c>
      <c r="D30412">
        <f>IF(B30412=C30412, "YES", "WRONG")</f>
        <v/>
      </c>
    </row>
    <row r="30413">
      <c r="A30413" t="n">
        <v>30412</v>
      </c>
      <c r="B30413" t="inlineStr">
        <is>
          <t>x̄x̄x̄CDXII</t>
        </is>
      </c>
      <c r="C30413">
        <f>ROMAN(30412)</f>
        <v/>
      </c>
      <c r="D30413">
        <f>IF(B30413=C30413, "YES", "WRONG")</f>
        <v/>
      </c>
    </row>
    <row r="30414">
      <c r="A30414" t="n">
        <v>30413</v>
      </c>
      <c r="B30414" t="inlineStr">
        <is>
          <t>x̄x̄x̄CDXIII</t>
        </is>
      </c>
      <c r="C30414">
        <f>ROMAN(30413)</f>
        <v/>
      </c>
      <c r="D30414">
        <f>IF(B30414=C30414, "YES", "WRONG")</f>
        <v/>
      </c>
    </row>
    <row r="30415">
      <c r="A30415" t="n">
        <v>30414</v>
      </c>
      <c r="B30415" t="inlineStr">
        <is>
          <t>x̄x̄x̄CDXIV</t>
        </is>
      </c>
      <c r="C30415">
        <f>ROMAN(30414)</f>
        <v/>
      </c>
      <c r="D30415">
        <f>IF(B30415=C30415, "YES", "WRONG")</f>
        <v/>
      </c>
    </row>
    <row r="30416">
      <c r="A30416" t="n">
        <v>30415</v>
      </c>
      <c r="B30416" t="inlineStr">
        <is>
          <t>x̄x̄x̄CDXV</t>
        </is>
      </c>
      <c r="C30416">
        <f>ROMAN(30415)</f>
        <v/>
      </c>
      <c r="D30416">
        <f>IF(B30416=C30416, "YES", "WRONG")</f>
        <v/>
      </c>
    </row>
    <row r="30417">
      <c r="A30417" t="n">
        <v>30416</v>
      </c>
      <c r="B30417" t="inlineStr">
        <is>
          <t>x̄x̄x̄CDXVI</t>
        </is>
      </c>
      <c r="C30417">
        <f>ROMAN(30416)</f>
        <v/>
      </c>
      <c r="D30417">
        <f>IF(B30417=C30417, "YES", "WRONG")</f>
        <v/>
      </c>
    </row>
    <row r="30418">
      <c r="A30418" t="n">
        <v>30417</v>
      </c>
      <c r="B30418" t="inlineStr">
        <is>
          <t>x̄x̄x̄CDXVII</t>
        </is>
      </c>
      <c r="C30418">
        <f>ROMAN(30417)</f>
        <v/>
      </c>
      <c r="D30418">
        <f>IF(B30418=C30418, "YES", "WRONG")</f>
        <v/>
      </c>
    </row>
    <row r="30419">
      <c r="A30419" t="n">
        <v>30418</v>
      </c>
      <c r="B30419" t="inlineStr">
        <is>
          <t>x̄x̄x̄CDXVIII</t>
        </is>
      </c>
      <c r="C30419">
        <f>ROMAN(30418)</f>
        <v/>
      </c>
      <c r="D30419">
        <f>IF(B30419=C30419, "YES", "WRONG")</f>
        <v/>
      </c>
    </row>
    <row r="30420">
      <c r="A30420" t="n">
        <v>30419</v>
      </c>
      <c r="B30420" t="inlineStr">
        <is>
          <t>x̄x̄x̄CDXIX</t>
        </is>
      </c>
      <c r="C30420">
        <f>ROMAN(30419)</f>
        <v/>
      </c>
      <c r="D30420">
        <f>IF(B30420=C30420, "YES", "WRONG")</f>
        <v/>
      </c>
    </row>
    <row r="30421">
      <c r="A30421" t="n">
        <v>30420</v>
      </c>
      <c r="B30421" t="inlineStr">
        <is>
          <t>x̄x̄x̄CDXX</t>
        </is>
      </c>
      <c r="C30421">
        <f>ROMAN(30420)</f>
        <v/>
      </c>
      <c r="D30421">
        <f>IF(B30421=C30421, "YES", "WRONG")</f>
        <v/>
      </c>
    </row>
    <row r="30422">
      <c r="A30422" t="n">
        <v>30421</v>
      </c>
      <c r="B30422" t="inlineStr">
        <is>
          <t>x̄x̄x̄CDXXI</t>
        </is>
      </c>
      <c r="C30422">
        <f>ROMAN(30421)</f>
        <v/>
      </c>
      <c r="D30422">
        <f>IF(B30422=C30422, "YES", "WRONG")</f>
        <v/>
      </c>
    </row>
    <row r="30423">
      <c r="A30423" t="n">
        <v>30422</v>
      </c>
      <c r="B30423" t="inlineStr">
        <is>
          <t>x̄x̄x̄CDXXII</t>
        </is>
      </c>
      <c r="C30423">
        <f>ROMAN(30422)</f>
        <v/>
      </c>
      <c r="D30423">
        <f>IF(B30423=C30423, "YES", "WRONG")</f>
        <v/>
      </c>
    </row>
    <row r="30424">
      <c r="A30424" t="n">
        <v>30423</v>
      </c>
      <c r="B30424" t="inlineStr">
        <is>
          <t>x̄x̄x̄CDXXIII</t>
        </is>
      </c>
      <c r="C30424">
        <f>ROMAN(30423)</f>
        <v/>
      </c>
      <c r="D30424">
        <f>IF(B30424=C30424, "YES", "WRONG")</f>
        <v/>
      </c>
    </row>
    <row r="30425">
      <c r="A30425" t="n">
        <v>30424</v>
      </c>
      <c r="B30425" t="inlineStr">
        <is>
          <t>x̄x̄x̄CDXXIV</t>
        </is>
      </c>
      <c r="C30425">
        <f>ROMAN(30424)</f>
        <v/>
      </c>
      <c r="D30425">
        <f>IF(B30425=C30425, "YES", "WRONG")</f>
        <v/>
      </c>
    </row>
    <row r="30426">
      <c r="A30426" t="n">
        <v>30425</v>
      </c>
      <c r="B30426" t="inlineStr">
        <is>
          <t>x̄x̄x̄CDXXV</t>
        </is>
      </c>
      <c r="C30426">
        <f>ROMAN(30425)</f>
        <v/>
      </c>
      <c r="D30426">
        <f>IF(B30426=C30426, "YES", "WRONG")</f>
        <v/>
      </c>
    </row>
    <row r="30427">
      <c r="A30427" t="n">
        <v>30426</v>
      </c>
      <c r="B30427" t="inlineStr">
        <is>
          <t>x̄x̄x̄CDXXVI</t>
        </is>
      </c>
      <c r="C30427">
        <f>ROMAN(30426)</f>
        <v/>
      </c>
      <c r="D30427">
        <f>IF(B30427=C30427, "YES", "WRONG")</f>
        <v/>
      </c>
    </row>
    <row r="30428">
      <c r="A30428" t="n">
        <v>30427</v>
      </c>
      <c r="B30428" t="inlineStr">
        <is>
          <t>x̄x̄x̄CDXXVII</t>
        </is>
      </c>
      <c r="C30428">
        <f>ROMAN(30427)</f>
        <v/>
      </c>
      <c r="D30428">
        <f>IF(B30428=C30428, "YES", "WRONG")</f>
        <v/>
      </c>
    </row>
    <row r="30429">
      <c r="A30429" t="n">
        <v>30428</v>
      </c>
      <c r="B30429" t="inlineStr">
        <is>
          <t>x̄x̄x̄CDXXVIII</t>
        </is>
      </c>
      <c r="C30429">
        <f>ROMAN(30428)</f>
        <v/>
      </c>
      <c r="D30429">
        <f>IF(B30429=C30429, "YES", "WRONG")</f>
        <v/>
      </c>
    </row>
    <row r="30430">
      <c r="A30430" t="n">
        <v>30429</v>
      </c>
      <c r="B30430" t="inlineStr">
        <is>
          <t>x̄x̄x̄CDXXIX</t>
        </is>
      </c>
      <c r="C30430">
        <f>ROMAN(30429)</f>
        <v/>
      </c>
      <c r="D30430">
        <f>IF(B30430=C30430, "YES", "WRONG")</f>
        <v/>
      </c>
    </row>
    <row r="30431">
      <c r="A30431" t="n">
        <v>30430</v>
      </c>
      <c r="B30431" t="inlineStr">
        <is>
          <t>x̄x̄x̄CDXXX</t>
        </is>
      </c>
      <c r="C30431">
        <f>ROMAN(30430)</f>
        <v/>
      </c>
      <c r="D30431">
        <f>IF(B30431=C30431, "YES", "WRONG")</f>
        <v/>
      </c>
    </row>
    <row r="30432">
      <c r="A30432" t="n">
        <v>30431</v>
      </c>
      <c r="B30432" t="inlineStr">
        <is>
          <t>x̄x̄x̄CDXXXI</t>
        </is>
      </c>
      <c r="C30432">
        <f>ROMAN(30431)</f>
        <v/>
      </c>
      <c r="D30432">
        <f>IF(B30432=C30432, "YES", "WRONG")</f>
        <v/>
      </c>
    </row>
    <row r="30433">
      <c r="A30433" t="n">
        <v>30432</v>
      </c>
      <c r="B30433" t="inlineStr">
        <is>
          <t>x̄x̄x̄CDXXXII</t>
        </is>
      </c>
      <c r="C30433">
        <f>ROMAN(30432)</f>
        <v/>
      </c>
      <c r="D30433">
        <f>IF(B30433=C30433, "YES", "WRONG")</f>
        <v/>
      </c>
    </row>
    <row r="30434">
      <c r="A30434" t="n">
        <v>30433</v>
      </c>
      <c r="B30434" t="inlineStr">
        <is>
          <t>x̄x̄x̄CDXXXIII</t>
        </is>
      </c>
      <c r="C30434">
        <f>ROMAN(30433)</f>
        <v/>
      </c>
      <c r="D30434">
        <f>IF(B30434=C30434, "YES", "WRONG")</f>
        <v/>
      </c>
    </row>
    <row r="30435">
      <c r="A30435" t="n">
        <v>30434</v>
      </c>
      <c r="B30435" t="inlineStr">
        <is>
          <t>x̄x̄x̄CDXXXIV</t>
        </is>
      </c>
      <c r="C30435">
        <f>ROMAN(30434)</f>
        <v/>
      </c>
      <c r="D30435">
        <f>IF(B30435=C30435, "YES", "WRONG")</f>
        <v/>
      </c>
    </row>
    <row r="30436">
      <c r="A30436" t="n">
        <v>30435</v>
      </c>
      <c r="B30436" t="inlineStr">
        <is>
          <t>x̄x̄x̄CDXXXV</t>
        </is>
      </c>
      <c r="C30436">
        <f>ROMAN(30435)</f>
        <v/>
      </c>
      <c r="D30436">
        <f>IF(B30436=C30436, "YES", "WRONG")</f>
        <v/>
      </c>
    </row>
    <row r="30437">
      <c r="A30437" t="n">
        <v>30436</v>
      </c>
      <c r="B30437" t="inlineStr">
        <is>
          <t>x̄x̄x̄CDXXXVI</t>
        </is>
      </c>
      <c r="C30437">
        <f>ROMAN(30436)</f>
        <v/>
      </c>
      <c r="D30437">
        <f>IF(B30437=C30437, "YES", "WRONG")</f>
        <v/>
      </c>
    </row>
    <row r="30438">
      <c r="A30438" t="n">
        <v>30437</v>
      </c>
      <c r="B30438" t="inlineStr">
        <is>
          <t>x̄x̄x̄CDXXXVII</t>
        </is>
      </c>
      <c r="C30438">
        <f>ROMAN(30437)</f>
        <v/>
      </c>
      <c r="D30438">
        <f>IF(B30438=C30438, "YES", "WRONG")</f>
        <v/>
      </c>
    </row>
    <row r="30439">
      <c r="A30439" t="n">
        <v>30438</v>
      </c>
      <c r="B30439" t="inlineStr">
        <is>
          <t>x̄x̄x̄CDXXXVIII</t>
        </is>
      </c>
      <c r="C30439">
        <f>ROMAN(30438)</f>
        <v/>
      </c>
      <c r="D30439">
        <f>IF(B30439=C30439, "YES", "WRONG")</f>
        <v/>
      </c>
    </row>
    <row r="30440">
      <c r="A30440" t="n">
        <v>30439</v>
      </c>
      <c r="B30440" t="inlineStr">
        <is>
          <t>x̄x̄x̄CDXXXIX</t>
        </is>
      </c>
      <c r="C30440">
        <f>ROMAN(30439)</f>
        <v/>
      </c>
      <c r="D30440">
        <f>IF(B30440=C30440, "YES", "WRONG")</f>
        <v/>
      </c>
    </row>
    <row r="30441">
      <c r="A30441" t="n">
        <v>30440</v>
      </c>
      <c r="B30441" t="inlineStr">
        <is>
          <t>x̄x̄x̄CDXL</t>
        </is>
      </c>
      <c r="C30441">
        <f>ROMAN(30440)</f>
        <v/>
      </c>
      <c r="D30441">
        <f>IF(B30441=C30441, "YES", "WRONG")</f>
        <v/>
      </c>
    </row>
    <row r="30442">
      <c r="A30442" t="n">
        <v>30441</v>
      </c>
      <c r="B30442" t="inlineStr">
        <is>
          <t>x̄x̄x̄CDXLI</t>
        </is>
      </c>
      <c r="C30442">
        <f>ROMAN(30441)</f>
        <v/>
      </c>
      <c r="D30442">
        <f>IF(B30442=C30442, "YES", "WRONG")</f>
        <v/>
      </c>
    </row>
    <row r="30443">
      <c r="A30443" t="n">
        <v>30442</v>
      </c>
      <c r="B30443" t="inlineStr">
        <is>
          <t>x̄x̄x̄CDXLII</t>
        </is>
      </c>
      <c r="C30443">
        <f>ROMAN(30442)</f>
        <v/>
      </c>
      <c r="D30443">
        <f>IF(B30443=C30443, "YES", "WRONG")</f>
        <v/>
      </c>
    </row>
    <row r="30444">
      <c r="A30444" t="n">
        <v>30443</v>
      </c>
      <c r="B30444" t="inlineStr">
        <is>
          <t>x̄x̄x̄CDXLIII</t>
        </is>
      </c>
      <c r="C30444">
        <f>ROMAN(30443)</f>
        <v/>
      </c>
      <c r="D30444">
        <f>IF(B30444=C30444, "YES", "WRONG")</f>
        <v/>
      </c>
    </row>
    <row r="30445">
      <c r="A30445" t="n">
        <v>30444</v>
      </c>
      <c r="B30445" t="inlineStr">
        <is>
          <t>x̄x̄x̄CDXLIV</t>
        </is>
      </c>
      <c r="C30445">
        <f>ROMAN(30444)</f>
        <v/>
      </c>
      <c r="D30445">
        <f>IF(B30445=C30445, "YES", "WRONG")</f>
        <v/>
      </c>
    </row>
    <row r="30446">
      <c r="A30446" t="n">
        <v>30445</v>
      </c>
      <c r="B30446" t="inlineStr">
        <is>
          <t>x̄x̄x̄CDXLV</t>
        </is>
      </c>
      <c r="C30446">
        <f>ROMAN(30445)</f>
        <v/>
      </c>
      <c r="D30446">
        <f>IF(B30446=C30446, "YES", "WRONG")</f>
        <v/>
      </c>
    </row>
    <row r="30447">
      <c r="A30447" t="n">
        <v>30446</v>
      </c>
      <c r="B30447" t="inlineStr">
        <is>
          <t>x̄x̄x̄CDXLVI</t>
        </is>
      </c>
      <c r="C30447">
        <f>ROMAN(30446)</f>
        <v/>
      </c>
      <c r="D30447">
        <f>IF(B30447=C30447, "YES", "WRONG")</f>
        <v/>
      </c>
    </row>
    <row r="30448">
      <c r="A30448" t="n">
        <v>30447</v>
      </c>
      <c r="B30448" t="inlineStr">
        <is>
          <t>x̄x̄x̄CDXLVII</t>
        </is>
      </c>
      <c r="C30448">
        <f>ROMAN(30447)</f>
        <v/>
      </c>
      <c r="D30448">
        <f>IF(B30448=C30448, "YES", "WRONG")</f>
        <v/>
      </c>
    </row>
    <row r="30449">
      <c r="A30449" t="n">
        <v>30448</v>
      </c>
      <c r="B30449" t="inlineStr">
        <is>
          <t>x̄x̄x̄CDXLVIII</t>
        </is>
      </c>
      <c r="C30449">
        <f>ROMAN(30448)</f>
        <v/>
      </c>
      <c r="D30449">
        <f>IF(B30449=C30449, "YES", "WRONG")</f>
        <v/>
      </c>
    </row>
    <row r="30450">
      <c r="A30450" t="n">
        <v>30449</v>
      </c>
      <c r="B30450" t="inlineStr">
        <is>
          <t>x̄x̄x̄CDXLIX</t>
        </is>
      </c>
      <c r="C30450">
        <f>ROMAN(30449)</f>
        <v/>
      </c>
      <c r="D30450">
        <f>IF(B30450=C30450, "YES", "WRONG")</f>
        <v/>
      </c>
    </row>
    <row r="30451">
      <c r="A30451" t="n">
        <v>30450</v>
      </c>
      <c r="B30451" t="inlineStr">
        <is>
          <t>x̄x̄x̄CDL</t>
        </is>
      </c>
      <c r="C30451">
        <f>ROMAN(30450)</f>
        <v/>
      </c>
      <c r="D30451">
        <f>IF(B30451=C30451, "YES", "WRONG")</f>
        <v/>
      </c>
    </row>
    <row r="30452">
      <c r="A30452" t="n">
        <v>30451</v>
      </c>
      <c r="B30452" t="inlineStr">
        <is>
          <t>x̄x̄x̄CDLI</t>
        </is>
      </c>
      <c r="C30452">
        <f>ROMAN(30451)</f>
        <v/>
      </c>
      <c r="D30452">
        <f>IF(B30452=C30452, "YES", "WRONG")</f>
        <v/>
      </c>
    </row>
    <row r="30453">
      <c r="A30453" t="n">
        <v>30452</v>
      </c>
      <c r="B30453" t="inlineStr">
        <is>
          <t>x̄x̄x̄CDLII</t>
        </is>
      </c>
      <c r="C30453">
        <f>ROMAN(30452)</f>
        <v/>
      </c>
      <c r="D30453">
        <f>IF(B30453=C30453, "YES", "WRONG")</f>
        <v/>
      </c>
    </row>
    <row r="30454">
      <c r="A30454" t="n">
        <v>30453</v>
      </c>
      <c r="B30454" t="inlineStr">
        <is>
          <t>x̄x̄x̄CDLIII</t>
        </is>
      </c>
      <c r="C30454">
        <f>ROMAN(30453)</f>
        <v/>
      </c>
      <c r="D30454">
        <f>IF(B30454=C30454, "YES", "WRONG")</f>
        <v/>
      </c>
    </row>
    <row r="30455">
      <c r="A30455" t="n">
        <v>30454</v>
      </c>
      <c r="B30455" t="inlineStr">
        <is>
          <t>x̄x̄x̄CDLIV</t>
        </is>
      </c>
      <c r="C30455">
        <f>ROMAN(30454)</f>
        <v/>
      </c>
      <c r="D30455">
        <f>IF(B30455=C30455, "YES", "WRONG")</f>
        <v/>
      </c>
    </row>
    <row r="30456">
      <c r="A30456" t="n">
        <v>30455</v>
      </c>
      <c r="B30456" t="inlineStr">
        <is>
          <t>x̄x̄x̄CDLV</t>
        </is>
      </c>
      <c r="C30456">
        <f>ROMAN(30455)</f>
        <v/>
      </c>
      <c r="D30456">
        <f>IF(B30456=C30456, "YES", "WRONG")</f>
        <v/>
      </c>
    </row>
    <row r="30457">
      <c r="A30457" t="n">
        <v>30456</v>
      </c>
      <c r="B30457" t="inlineStr">
        <is>
          <t>x̄x̄x̄CDLVI</t>
        </is>
      </c>
      <c r="C30457">
        <f>ROMAN(30456)</f>
        <v/>
      </c>
      <c r="D30457">
        <f>IF(B30457=C30457, "YES", "WRONG")</f>
        <v/>
      </c>
    </row>
    <row r="30458">
      <c r="A30458" t="n">
        <v>30457</v>
      </c>
      <c r="B30458" t="inlineStr">
        <is>
          <t>x̄x̄x̄CDLVII</t>
        </is>
      </c>
      <c r="C30458">
        <f>ROMAN(30457)</f>
        <v/>
      </c>
      <c r="D30458">
        <f>IF(B30458=C30458, "YES", "WRONG")</f>
        <v/>
      </c>
    </row>
    <row r="30459">
      <c r="A30459" t="n">
        <v>30458</v>
      </c>
      <c r="B30459" t="inlineStr">
        <is>
          <t>x̄x̄x̄CDLVIII</t>
        </is>
      </c>
      <c r="C30459">
        <f>ROMAN(30458)</f>
        <v/>
      </c>
      <c r="D30459">
        <f>IF(B30459=C30459, "YES", "WRONG")</f>
        <v/>
      </c>
    </row>
    <row r="30460">
      <c r="A30460" t="n">
        <v>30459</v>
      </c>
      <c r="B30460" t="inlineStr">
        <is>
          <t>x̄x̄x̄CDLIX</t>
        </is>
      </c>
      <c r="C30460">
        <f>ROMAN(30459)</f>
        <v/>
      </c>
      <c r="D30460">
        <f>IF(B30460=C30460, "YES", "WRONG")</f>
        <v/>
      </c>
    </row>
    <row r="30461">
      <c r="A30461" t="n">
        <v>30460</v>
      </c>
      <c r="B30461" t="inlineStr">
        <is>
          <t>x̄x̄x̄CDLX</t>
        </is>
      </c>
      <c r="C30461">
        <f>ROMAN(30460)</f>
        <v/>
      </c>
      <c r="D30461">
        <f>IF(B30461=C30461, "YES", "WRONG")</f>
        <v/>
      </c>
    </row>
    <row r="30462">
      <c r="A30462" t="n">
        <v>30461</v>
      </c>
      <c r="B30462" t="inlineStr">
        <is>
          <t>x̄x̄x̄CDLXI</t>
        </is>
      </c>
      <c r="C30462">
        <f>ROMAN(30461)</f>
        <v/>
      </c>
      <c r="D30462">
        <f>IF(B30462=C30462, "YES", "WRONG")</f>
        <v/>
      </c>
    </row>
    <row r="30463">
      <c r="A30463" t="n">
        <v>30462</v>
      </c>
      <c r="B30463" t="inlineStr">
        <is>
          <t>x̄x̄x̄CDLXII</t>
        </is>
      </c>
      <c r="C30463">
        <f>ROMAN(30462)</f>
        <v/>
      </c>
      <c r="D30463">
        <f>IF(B30463=C30463, "YES", "WRONG")</f>
        <v/>
      </c>
    </row>
    <row r="30464">
      <c r="A30464" t="n">
        <v>30463</v>
      </c>
      <c r="B30464" t="inlineStr">
        <is>
          <t>x̄x̄x̄CDLXIII</t>
        </is>
      </c>
      <c r="C30464">
        <f>ROMAN(30463)</f>
        <v/>
      </c>
      <c r="D30464">
        <f>IF(B30464=C30464, "YES", "WRONG")</f>
        <v/>
      </c>
    </row>
    <row r="30465">
      <c r="A30465" t="n">
        <v>30464</v>
      </c>
      <c r="B30465" t="inlineStr">
        <is>
          <t>x̄x̄x̄CDLXIV</t>
        </is>
      </c>
      <c r="C30465">
        <f>ROMAN(30464)</f>
        <v/>
      </c>
      <c r="D30465">
        <f>IF(B30465=C30465, "YES", "WRONG")</f>
        <v/>
      </c>
    </row>
    <row r="30466">
      <c r="A30466" t="n">
        <v>30465</v>
      </c>
      <c r="B30466" t="inlineStr">
        <is>
          <t>x̄x̄x̄CDLXV</t>
        </is>
      </c>
      <c r="C30466">
        <f>ROMAN(30465)</f>
        <v/>
      </c>
      <c r="D30466">
        <f>IF(B30466=C30466, "YES", "WRONG")</f>
        <v/>
      </c>
    </row>
    <row r="30467">
      <c r="A30467" t="n">
        <v>30466</v>
      </c>
      <c r="B30467" t="inlineStr">
        <is>
          <t>x̄x̄x̄CDLXVI</t>
        </is>
      </c>
      <c r="C30467">
        <f>ROMAN(30466)</f>
        <v/>
      </c>
      <c r="D30467">
        <f>IF(B30467=C30467, "YES", "WRONG")</f>
        <v/>
      </c>
    </row>
    <row r="30468">
      <c r="A30468" t="n">
        <v>30467</v>
      </c>
      <c r="B30468" t="inlineStr">
        <is>
          <t>x̄x̄x̄CDLXVII</t>
        </is>
      </c>
      <c r="C30468">
        <f>ROMAN(30467)</f>
        <v/>
      </c>
      <c r="D30468">
        <f>IF(B30468=C30468, "YES", "WRONG")</f>
        <v/>
      </c>
    </row>
    <row r="30469">
      <c r="A30469" t="n">
        <v>30468</v>
      </c>
      <c r="B30469" t="inlineStr">
        <is>
          <t>x̄x̄x̄CDLXVIII</t>
        </is>
      </c>
      <c r="C30469">
        <f>ROMAN(30468)</f>
        <v/>
      </c>
      <c r="D30469">
        <f>IF(B30469=C30469, "YES", "WRONG")</f>
        <v/>
      </c>
    </row>
    <row r="30470">
      <c r="A30470" t="n">
        <v>30469</v>
      </c>
      <c r="B30470" t="inlineStr">
        <is>
          <t>x̄x̄x̄CDLXIX</t>
        </is>
      </c>
      <c r="C30470">
        <f>ROMAN(30469)</f>
        <v/>
      </c>
      <c r="D30470">
        <f>IF(B30470=C30470, "YES", "WRONG")</f>
        <v/>
      </c>
    </row>
    <row r="30471">
      <c r="A30471" t="n">
        <v>30470</v>
      </c>
      <c r="B30471" t="inlineStr">
        <is>
          <t>x̄x̄x̄CDLXX</t>
        </is>
      </c>
      <c r="C30471">
        <f>ROMAN(30470)</f>
        <v/>
      </c>
      <c r="D30471">
        <f>IF(B30471=C30471, "YES", "WRONG")</f>
        <v/>
      </c>
    </row>
    <row r="30472">
      <c r="A30472" t="n">
        <v>30471</v>
      </c>
      <c r="B30472" t="inlineStr">
        <is>
          <t>x̄x̄x̄CDLXXI</t>
        </is>
      </c>
      <c r="C30472">
        <f>ROMAN(30471)</f>
        <v/>
      </c>
      <c r="D30472">
        <f>IF(B30472=C30472, "YES", "WRONG")</f>
        <v/>
      </c>
    </row>
    <row r="30473">
      <c r="A30473" t="n">
        <v>30472</v>
      </c>
      <c r="B30473" t="inlineStr">
        <is>
          <t>x̄x̄x̄CDLXXII</t>
        </is>
      </c>
      <c r="C30473">
        <f>ROMAN(30472)</f>
        <v/>
      </c>
      <c r="D30473">
        <f>IF(B30473=C30473, "YES", "WRONG")</f>
        <v/>
      </c>
    </row>
    <row r="30474">
      <c r="A30474" t="n">
        <v>30473</v>
      </c>
      <c r="B30474" t="inlineStr">
        <is>
          <t>x̄x̄x̄CDLXXIII</t>
        </is>
      </c>
      <c r="C30474">
        <f>ROMAN(30473)</f>
        <v/>
      </c>
      <c r="D30474">
        <f>IF(B30474=C30474, "YES", "WRONG")</f>
        <v/>
      </c>
    </row>
    <row r="30475">
      <c r="A30475" t="n">
        <v>30474</v>
      </c>
      <c r="B30475" t="inlineStr">
        <is>
          <t>x̄x̄x̄CDLXXIV</t>
        </is>
      </c>
      <c r="C30475">
        <f>ROMAN(30474)</f>
        <v/>
      </c>
      <c r="D30475">
        <f>IF(B30475=C30475, "YES", "WRONG")</f>
        <v/>
      </c>
    </row>
    <row r="30476">
      <c r="A30476" t="n">
        <v>30475</v>
      </c>
      <c r="B30476" t="inlineStr">
        <is>
          <t>x̄x̄x̄CDLXXV</t>
        </is>
      </c>
      <c r="C30476">
        <f>ROMAN(30475)</f>
        <v/>
      </c>
      <c r="D30476">
        <f>IF(B30476=C30476, "YES", "WRONG")</f>
        <v/>
      </c>
    </row>
    <row r="30477">
      <c r="A30477" t="n">
        <v>30476</v>
      </c>
      <c r="B30477" t="inlineStr">
        <is>
          <t>x̄x̄x̄CDLXXVI</t>
        </is>
      </c>
      <c r="C30477">
        <f>ROMAN(30476)</f>
        <v/>
      </c>
      <c r="D30477">
        <f>IF(B30477=C30477, "YES", "WRONG")</f>
        <v/>
      </c>
    </row>
    <row r="30478">
      <c r="A30478" t="n">
        <v>30477</v>
      </c>
      <c r="B30478" t="inlineStr">
        <is>
          <t>x̄x̄x̄CDLXXVII</t>
        </is>
      </c>
      <c r="C30478">
        <f>ROMAN(30477)</f>
        <v/>
      </c>
      <c r="D30478">
        <f>IF(B30478=C30478, "YES", "WRONG")</f>
        <v/>
      </c>
    </row>
    <row r="30479">
      <c r="A30479" t="n">
        <v>30478</v>
      </c>
      <c r="B30479" t="inlineStr">
        <is>
          <t>x̄x̄x̄CDLXXVIII</t>
        </is>
      </c>
      <c r="C30479">
        <f>ROMAN(30478)</f>
        <v/>
      </c>
      <c r="D30479">
        <f>IF(B30479=C30479, "YES", "WRONG")</f>
        <v/>
      </c>
    </row>
    <row r="30480">
      <c r="A30480" t="n">
        <v>30479</v>
      </c>
      <c r="B30480" t="inlineStr">
        <is>
          <t>x̄x̄x̄CDLXXIX</t>
        </is>
      </c>
      <c r="C30480">
        <f>ROMAN(30479)</f>
        <v/>
      </c>
      <c r="D30480">
        <f>IF(B30480=C30480, "YES", "WRONG")</f>
        <v/>
      </c>
    </row>
    <row r="30481">
      <c r="A30481" t="n">
        <v>30480</v>
      </c>
      <c r="B30481" t="inlineStr">
        <is>
          <t>x̄x̄x̄CDLXXX</t>
        </is>
      </c>
      <c r="C30481">
        <f>ROMAN(30480)</f>
        <v/>
      </c>
      <c r="D30481">
        <f>IF(B30481=C30481, "YES", "WRONG")</f>
        <v/>
      </c>
    </row>
    <row r="30482">
      <c r="A30482" t="n">
        <v>30481</v>
      </c>
      <c r="B30482" t="inlineStr">
        <is>
          <t>x̄x̄x̄CDLXXXI</t>
        </is>
      </c>
      <c r="C30482">
        <f>ROMAN(30481)</f>
        <v/>
      </c>
      <c r="D30482">
        <f>IF(B30482=C30482, "YES", "WRONG")</f>
        <v/>
      </c>
    </row>
    <row r="30483">
      <c r="A30483" t="n">
        <v>30482</v>
      </c>
      <c r="B30483" t="inlineStr">
        <is>
          <t>x̄x̄x̄CDLXXXII</t>
        </is>
      </c>
      <c r="C30483">
        <f>ROMAN(30482)</f>
        <v/>
      </c>
      <c r="D30483">
        <f>IF(B30483=C30483, "YES", "WRONG")</f>
        <v/>
      </c>
    </row>
    <row r="30484">
      <c r="A30484" t="n">
        <v>30483</v>
      </c>
      <c r="B30484" t="inlineStr">
        <is>
          <t>x̄x̄x̄CDLXXXIII</t>
        </is>
      </c>
      <c r="C30484">
        <f>ROMAN(30483)</f>
        <v/>
      </c>
      <c r="D30484">
        <f>IF(B30484=C30484, "YES", "WRONG")</f>
        <v/>
      </c>
    </row>
    <row r="30485">
      <c r="A30485" t="n">
        <v>30484</v>
      </c>
      <c r="B30485" t="inlineStr">
        <is>
          <t>x̄x̄x̄CDLXXXIV</t>
        </is>
      </c>
      <c r="C30485">
        <f>ROMAN(30484)</f>
        <v/>
      </c>
      <c r="D30485">
        <f>IF(B30485=C30485, "YES", "WRONG")</f>
        <v/>
      </c>
    </row>
    <row r="30486">
      <c r="A30486" t="n">
        <v>30485</v>
      </c>
      <c r="B30486" t="inlineStr">
        <is>
          <t>x̄x̄x̄CDLXXXV</t>
        </is>
      </c>
      <c r="C30486">
        <f>ROMAN(30485)</f>
        <v/>
      </c>
      <c r="D30486">
        <f>IF(B30486=C30486, "YES", "WRONG")</f>
        <v/>
      </c>
    </row>
    <row r="30487">
      <c r="A30487" t="n">
        <v>30486</v>
      </c>
      <c r="B30487" t="inlineStr">
        <is>
          <t>x̄x̄x̄CDLXXXVI</t>
        </is>
      </c>
      <c r="C30487">
        <f>ROMAN(30486)</f>
        <v/>
      </c>
      <c r="D30487">
        <f>IF(B30487=C30487, "YES", "WRONG")</f>
        <v/>
      </c>
    </row>
    <row r="30488">
      <c r="A30488" t="n">
        <v>30487</v>
      </c>
      <c r="B30488" t="inlineStr">
        <is>
          <t>x̄x̄x̄CDLXXXVII</t>
        </is>
      </c>
      <c r="C30488">
        <f>ROMAN(30487)</f>
        <v/>
      </c>
      <c r="D30488">
        <f>IF(B30488=C30488, "YES", "WRONG")</f>
        <v/>
      </c>
    </row>
    <row r="30489">
      <c r="A30489" t="n">
        <v>30488</v>
      </c>
      <c r="B30489" t="inlineStr">
        <is>
          <t>x̄x̄x̄CDLXXXVIII</t>
        </is>
      </c>
      <c r="C30489">
        <f>ROMAN(30488)</f>
        <v/>
      </c>
      <c r="D30489">
        <f>IF(B30489=C30489, "YES", "WRONG")</f>
        <v/>
      </c>
    </row>
    <row r="30490">
      <c r="A30490" t="n">
        <v>30489</v>
      </c>
      <c r="B30490" t="inlineStr">
        <is>
          <t>x̄x̄x̄CDLXXXIX</t>
        </is>
      </c>
      <c r="C30490">
        <f>ROMAN(30489)</f>
        <v/>
      </c>
      <c r="D30490">
        <f>IF(B30490=C30490, "YES", "WRONG")</f>
        <v/>
      </c>
    </row>
    <row r="30491">
      <c r="A30491" t="n">
        <v>30490</v>
      </c>
      <c r="B30491" t="inlineStr">
        <is>
          <t>x̄x̄x̄CDXC</t>
        </is>
      </c>
      <c r="C30491">
        <f>ROMAN(30490)</f>
        <v/>
      </c>
      <c r="D30491">
        <f>IF(B30491=C30491, "YES", "WRONG")</f>
        <v/>
      </c>
    </row>
    <row r="30492">
      <c r="A30492" t="n">
        <v>30491</v>
      </c>
      <c r="B30492" t="inlineStr">
        <is>
          <t>x̄x̄x̄CDXCI</t>
        </is>
      </c>
      <c r="C30492">
        <f>ROMAN(30491)</f>
        <v/>
      </c>
      <c r="D30492">
        <f>IF(B30492=C30492, "YES", "WRONG")</f>
        <v/>
      </c>
    </row>
    <row r="30493">
      <c r="A30493" t="n">
        <v>30492</v>
      </c>
      <c r="B30493" t="inlineStr">
        <is>
          <t>x̄x̄x̄CDXCII</t>
        </is>
      </c>
      <c r="C30493">
        <f>ROMAN(30492)</f>
        <v/>
      </c>
      <c r="D30493">
        <f>IF(B30493=C30493, "YES", "WRONG")</f>
        <v/>
      </c>
    </row>
    <row r="30494">
      <c r="A30494" t="n">
        <v>30493</v>
      </c>
      <c r="B30494" t="inlineStr">
        <is>
          <t>x̄x̄x̄CDXCIII</t>
        </is>
      </c>
      <c r="C30494">
        <f>ROMAN(30493)</f>
        <v/>
      </c>
      <c r="D30494">
        <f>IF(B30494=C30494, "YES", "WRONG")</f>
        <v/>
      </c>
    </row>
    <row r="30495">
      <c r="A30495" t="n">
        <v>30494</v>
      </c>
      <c r="B30495" t="inlineStr">
        <is>
          <t>x̄x̄x̄CDXCIV</t>
        </is>
      </c>
      <c r="C30495">
        <f>ROMAN(30494)</f>
        <v/>
      </c>
      <c r="D30495">
        <f>IF(B30495=C30495, "YES", "WRONG")</f>
        <v/>
      </c>
    </row>
    <row r="30496">
      <c r="A30496" t="n">
        <v>30495</v>
      </c>
      <c r="B30496" t="inlineStr">
        <is>
          <t>x̄x̄x̄CDXCV</t>
        </is>
      </c>
      <c r="C30496">
        <f>ROMAN(30495)</f>
        <v/>
      </c>
      <c r="D30496">
        <f>IF(B30496=C30496, "YES", "WRONG")</f>
        <v/>
      </c>
    </row>
    <row r="30497">
      <c r="A30497" t="n">
        <v>30496</v>
      </c>
      <c r="B30497" t="inlineStr">
        <is>
          <t>x̄x̄x̄CDXCVI</t>
        </is>
      </c>
      <c r="C30497">
        <f>ROMAN(30496)</f>
        <v/>
      </c>
      <c r="D30497">
        <f>IF(B30497=C30497, "YES", "WRONG")</f>
        <v/>
      </c>
    </row>
    <row r="30498">
      <c r="A30498" t="n">
        <v>30497</v>
      </c>
      <c r="B30498" t="inlineStr">
        <is>
          <t>x̄x̄x̄CDXCVII</t>
        </is>
      </c>
      <c r="C30498">
        <f>ROMAN(30497)</f>
        <v/>
      </c>
      <c r="D30498">
        <f>IF(B30498=C30498, "YES", "WRONG")</f>
        <v/>
      </c>
    </row>
    <row r="30499">
      <c r="A30499" t="n">
        <v>30498</v>
      </c>
      <c r="B30499" t="inlineStr">
        <is>
          <t>x̄x̄x̄CDXCVIII</t>
        </is>
      </c>
      <c r="C30499">
        <f>ROMAN(30498)</f>
        <v/>
      </c>
      <c r="D30499">
        <f>IF(B30499=C30499, "YES", "WRONG")</f>
        <v/>
      </c>
    </row>
    <row r="30500">
      <c r="A30500" t="n">
        <v>30499</v>
      </c>
      <c r="B30500" t="inlineStr">
        <is>
          <t>x̄x̄x̄CDXCIX</t>
        </is>
      </c>
      <c r="C30500">
        <f>ROMAN(30499)</f>
        <v/>
      </c>
      <c r="D30500">
        <f>IF(B30500=C30500, "YES", "WRONG")</f>
        <v/>
      </c>
    </row>
    <row r="30501">
      <c r="A30501" t="n">
        <v>30500</v>
      </c>
      <c r="B30501" t="inlineStr">
        <is>
          <t>x̄x̄x̄D</t>
        </is>
      </c>
      <c r="C30501">
        <f>ROMAN(30500)</f>
        <v/>
      </c>
      <c r="D30501">
        <f>IF(B30501=C30501, "YES", "WRONG")</f>
        <v/>
      </c>
    </row>
    <row r="30502">
      <c r="A30502" t="n">
        <v>30501</v>
      </c>
      <c r="B30502" t="inlineStr">
        <is>
          <t>x̄x̄x̄DI</t>
        </is>
      </c>
      <c r="C30502">
        <f>ROMAN(30501)</f>
        <v/>
      </c>
      <c r="D30502">
        <f>IF(B30502=C30502, "YES", "WRONG")</f>
        <v/>
      </c>
    </row>
    <row r="30503">
      <c r="A30503" t="n">
        <v>30502</v>
      </c>
      <c r="B30503" t="inlineStr">
        <is>
          <t>x̄x̄x̄DII</t>
        </is>
      </c>
      <c r="C30503">
        <f>ROMAN(30502)</f>
        <v/>
      </c>
      <c r="D30503">
        <f>IF(B30503=C30503, "YES", "WRONG")</f>
        <v/>
      </c>
    </row>
    <row r="30504">
      <c r="A30504" t="n">
        <v>30503</v>
      </c>
      <c r="B30504" t="inlineStr">
        <is>
          <t>x̄x̄x̄DIII</t>
        </is>
      </c>
      <c r="C30504">
        <f>ROMAN(30503)</f>
        <v/>
      </c>
      <c r="D30504">
        <f>IF(B30504=C30504, "YES", "WRONG")</f>
        <v/>
      </c>
    </row>
    <row r="30505">
      <c r="A30505" t="n">
        <v>30504</v>
      </c>
      <c r="B30505" t="inlineStr">
        <is>
          <t>x̄x̄x̄DIV</t>
        </is>
      </c>
      <c r="C30505">
        <f>ROMAN(30504)</f>
        <v/>
      </c>
      <c r="D30505">
        <f>IF(B30505=C30505, "YES", "WRONG")</f>
        <v/>
      </c>
    </row>
    <row r="30506">
      <c r="A30506" t="n">
        <v>30505</v>
      </c>
      <c r="B30506" t="inlineStr">
        <is>
          <t>x̄x̄x̄DV</t>
        </is>
      </c>
      <c r="C30506">
        <f>ROMAN(30505)</f>
        <v/>
      </c>
      <c r="D30506">
        <f>IF(B30506=C30506, "YES", "WRONG")</f>
        <v/>
      </c>
    </row>
    <row r="30507">
      <c r="A30507" t="n">
        <v>30506</v>
      </c>
      <c r="B30507" t="inlineStr">
        <is>
          <t>x̄x̄x̄DVI</t>
        </is>
      </c>
      <c r="C30507">
        <f>ROMAN(30506)</f>
        <v/>
      </c>
      <c r="D30507">
        <f>IF(B30507=C30507, "YES", "WRONG")</f>
        <v/>
      </c>
    </row>
    <row r="30508">
      <c r="A30508" t="n">
        <v>30507</v>
      </c>
      <c r="B30508" t="inlineStr">
        <is>
          <t>x̄x̄x̄DVII</t>
        </is>
      </c>
      <c r="C30508">
        <f>ROMAN(30507)</f>
        <v/>
      </c>
      <c r="D30508">
        <f>IF(B30508=C30508, "YES", "WRONG")</f>
        <v/>
      </c>
    </row>
    <row r="30509">
      <c r="A30509" t="n">
        <v>30508</v>
      </c>
      <c r="B30509" t="inlineStr">
        <is>
          <t>x̄x̄x̄DVIII</t>
        </is>
      </c>
      <c r="C30509">
        <f>ROMAN(30508)</f>
        <v/>
      </c>
      <c r="D30509">
        <f>IF(B30509=C30509, "YES", "WRONG")</f>
        <v/>
      </c>
    </row>
    <row r="30510">
      <c r="A30510" t="n">
        <v>30509</v>
      </c>
      <c r="B30510" t="inlineStr">
        <is>
          <t>x̄x̄x̄DIX</t>
        </is>
      </c>
      <c r="C30510">
        <f>ROMAN(30509)</f>
        <v/>
      </c>
      <c r="D30510">
        <f>IF(B30510=C30510, "YES", "WRONG")</f>
        <v/>
      </c>
    </row>
    <row r="30511">
      <c r="A30511" t="n">
        <v>30510</v>
      </c>
      <c r="B30511" t="inlineStr">
        <is>
          <t>x̄x̄x̄DX</t>
        </is>
      </c>
      <c r="C30511">
        <f>ROMAN(30510)</f>
        <v/>
      </c>
      <c r="D30511">
        <f>IF(B30511=C30511, "YES", "WRONG")</f>
        <v/>
      </c>
    </row>
    <row r="30512">
      <c r="A30512" t="n">
        <v>30511</v>
      </c>
      <c r="B30512" t="inlineStr">
        <is>
          <t>x̄x̄x̄DXI</t>
        </is>
      </c>
      <c r="C30512">
        <f>ROMAN(30511)</f>
        <v/>
      </c>
      <c r="D30512">
        <f>IF(B30512=C30512, "YES", "WRONG")</f>
        <v/>
      </c>
    </row>
    <row r="30513">
      <c r="A30513" t="n">
        <v>30512</v>
      </c>
      <c r="B30513" t="inlineStr">
        <is>
          <t>x̄x̄x̄DXII</t>
        </is>
      </c>
      <c r="C30513">
        <f>ROMAN(30512)</f>
        <v/>
      </c>
      <c r="D30513">
        <f>IF(B30513=C30513, "YES", "WRONG")</f>
        <v/>
      </c>
    </row>
    <row r="30514">
      <c r="A30514" t="n">
        <v>30513</v>
      </c>
      <c r="B30514" t="inlineStr">
        <is>
          <t>x̄x̄x̄DXIII</t>
        </is>
      </c>
      <c r="C30514">
        <f>ROMAN(30513)</f>
        <v/>
      </c>
      <c r="D30514">
        <f>IF(B30514=C30514, "YES", "WRONG")</f>
        <v/>
      </c>
    </row>
    <row r="30515">
      <c r="A30515" t="n">
        <v>30514</v>
      </c>
      <c r="B30515" t="inlineStr">
        <is>
          <t>x̄x̄x̄DXIV</t>
        </is>
      </c>
      <c r="C30515">
        <f>ROMAN(30514)</f>
        <v/>
      </c>
      <c r="D30515">
        <f>IF(B30515=C30515, "YES", "WRONG")</f>
        <v/>
      </c>
    </row>
    <row r="30516">
      <c r="A30516" t="n">
        <v>30515</v>
      </c>
      <c r="B30516" t="inlineStr">
        <is>
          <t>x̄x̄x̄DXV</t>
        </is>
      </c>
      <c r="C30516">
        <f>ROMAN(30515)</f>
        <v/>
      </c>
      <c r="D30516">
        <f>IF(B30516=C30516, "YES", "WRONG")</f>
        <v/>
      </c>
    </row>
    <row r="30517">
      <c r="A30517" t="n">
        <v>30516</v>
      </c>
      <c r="B30517" t="inlineStr">
        <is>
          <t>x̄x̄x̄DXVI</t>
        </is>
      </c>
      <c r="C30517">
        <f>ROMAN(30516)</f>
        <v/>
      </c>
      <c r="D30517">
        <f>IF(B30517=C30517, "YES", "WRONG")</f>
        <v/>
      </c>
    </row>
    <row r="30518">
      <c r="A30518" t="n">
        <v>30517</v>
      </c>
      <c r="B30518" t="inlineStr">
        <is>
          <t>x̄x̄x̄DXVII</t>
        </is>
      </c>
      <c r="C30518">
        <f>ROMAN(30517)</f>
        <v/>
      </c>
      <c r="D30518">
        <f>IF(B30518=C30518, "YES", "WRONG")</f>
        <v/>
      </c>
    </row>
    <row r="30519">
      <c r="A30519" t="n">
        <v>30518</v>
      </c>
      <c r="B30519" t="inlineStr">
        <is>
          <t>x̄x̄x̄DXVIII</t>
        </is>
      </c>
      <c r="C30519">
        <f>ROMAN(30518)</f>
        <v/>
      </c>
      <c r="D30519">
        <f>IF(B30519=C30519, "YES", "WRONG")</f>
        <v/>
      </c>
    </row>
    <row r="30520">
      <c r="A30520" t="n">
        <v>30519</v>
      </c>
      <c r="B30520" t="inlineStr">
        <is>
          <t>x̄x̄x̄DXIX</t>
        </is>
      </c>
      <c r="C30520">
        <f>ROMAN(30519)</f>
        <v/>
      </c>
      <c r="D30520">
        <f>IF(B30520=C30520, "YES", "WRONG")</f>
        <v/>
      </c>
    </row>
    <row r="30521">
      <c r="A30521" t="n">
        <v>30520</v>
      </c>
      <c r="B30521" t="inlineStr">
        <is>
          <t>x̄x̄x̄DXX</t>
        </is>
      </c>
      <c r="C30521">
        <f>ROMAN(30520)</f>
        <v/>
      </c>
      <c r="D30521">
        <f>IF(B30521=C30521, "YES", "WRONG")</f>
        <v/>
      </c>
    </row>
    <row r="30522">
      <c r="A30522" t="n">
        <v>30521</v>
      </c>
      <c r="B30522" t="inlineStr">
        <is>
          <t>x̄x̄x̄DXXI</t>
        </is>
      </c>
      <c r="C30522">
        <f>ROMAN(30521)</f>
        <v/>
      </c>
      <c r="D30522">
        <f>IF(B30522=C30522, "YES", "WRONG")</f>
        <v/>
      </c>
    </row>
    <row r="30523">
      <c r="A30523" t="n">
        <v>30522</v>
      </c>
      <c r="B30523" t="inlineStr">
        <is>
          <t>x̄x̄x̄DXXII</t>
        </is>
      </c>
      <c r="C30523">
        <f>ROMAN(30522)</f>
        <v/>
      </c>
      <c r="D30523">
        <f>IF(B30523=C30523, "YES", "WRONG")</f>
        <v/>
      </c>
    </row>
    <row r="30524">
      <c r="A30524" t="n">
        <v>30523</v>
      </c>
      <c r="B30524" t="inlineStr">
        <is>
          <t>x̄x̄x̄DXXIII</t>
        </is>
      </c>
      <c r="C30524">
        <f>ROMAN(30523)</f>
        <v/>
      </c>
      <c r="D30524">
        <f>IF(B30524=C30524, "YES", "WRONG")</f>
        <v/>
      </c>
    </row>
    <row r="30525">
      <c r="A30525" t="n">
        <v>30524</v>
      </c>
      <c r="B30525" t="inlineStr">
        <is>
          <t>x̄x̄x̄DXXIV</t>
        </is>
      </c>
      <c r="C30525">
        <f>ROMAN(30524)</f>
        <v/>
      </c>
      <c r="D30525">
        <f>IF(B30525=C30525, "YES", "WRONG")</f>
        <v/>
      </c>
    </row>
    <row r="30526">
      <c r="A30526" t="n">
        <v>30525</v>
      </c>
      <c r="B30526" t="inlineStr">
        <is>
          <t>x̄x̄x̄DXXV</t>
        </is>
      </c>
      <c r="C30526">
        <f>ROMAN(30525)</f>
        <v/>
      </c>
      <c r="D30526">
        <f>IF(B30526=C30526, "YES", "WRONG")</f>
        <v/>
      </c>
    </row>
    <row r="30527">
      <c r="A30527" t="n">
        <v>30526</v>
      </c>
      <c r="B30527" t="inlineStr">
        <is>
          <t>x̄x̄x̄DXXVI</t>
        </is>
      </c>
      <c r="C30527">
        <f>ROMAN(30526)</f>
        <v/>
      </c>
      <c r="D30527">
        <f>IF(B30527=C30527, "YES", "WRONG")</f>
        <v/>
      </c>
    </row>
    <row r="30528">
      <c r="A30528" t="n">
        <v>30527</v>
      </c>
      <c r="B30528" t="inlineStr">
        <is>
          <t>x̄x̄x̄DXXVII</t>
        </is>
      </c>
      <c r="C30528">
        <f>ROMAN(30527)</f>
        <v/>
      </c>
      <c r="D30528">
        <f>IF(B30528=C30528, "YES", "WRONG")</f>
        <v/>
      </c>
    </row>
    <row r="30529">
      <c r="A30529" t="n">
        <v>30528</v>
      </c>
      <c r="B30529" t="inlineStr">
        <is>
          <t>x̄x̄x̄DXXVIII</t>
        </is>
      </c>
      <c r="C30529">
        <f>ROMAN(30528)</f>
        <v/>
      </c>
      <c r="D30529">
        <f>IF(B30529=C30529, "YES", "WRONG")</f>
        <v/>
      </c>
    </row>
    <row r="30530">
      <c r="A30530" t="n">
        <v>30529</v>
      </c>
      <c r="B30530" t="inlineStr">
        <is>
          <t>x̄x̄x̄DXXIX</t>
        </is>
      </c>
      <c r="C30530">
        <f>ROMAN(30529)</f>
        <v/>
      </c>
      <c r="D30530">
        <f>IF(B30530=C30530, "YES", "WRONG")</f>
        <v/>
      </c>
    </row>
    <row r="30531">
      <c r="A30531" t="n">
        <v>30530</v>
      </c>
      <c r="B30531" t="inlineStr">
        <is>
          <t>x̄x̄x̄DXXX</t>
        </is>
      </c>
      <c r="C30531">
        <f>ROMAN(30530)</f>
        <v/>
      </c>
      <c r="D30531">
        <f>IF(B30531=C30531, "YES", "WRONG")</f>
        <v/>
      </c>
    </row>
    <row r="30532">
      <c r="A30532" t="n">
        <v>30531</v>
      </c>
      <c r="B30532" t="inlineStr">
        <is>
          <t>x̄x̄x̄DXXXI</t>
        </is>
      </c>
      <c r="C30532">
        <f>ROMAN(30531)</f>
        <v/>
      </c>
      <c r="D30532">
        <f>IF(B30532=C30532, "YES", "WRONG")</f>
        <v/>
      </c>
    </row>
    <row r="30533">
      <c r="A30533" t="n">
        <v>30532</v>
      </c>
      <c r="B30533" t="inlineStr">
        <is>
          <t>x̄x̄x̄DXXXII</t>
        </is>
      </c>
      <c r="C30533">
        <f>ROMAN(30532)</f>
        <v/>
      </c>
      <c r="D30533">
        <f>IF(B30533=C30533, "YES", "WRONG")</f>
        <v/>
      </c>
    </row>
    <row r="30534">
      <c r="A30534" t="n">
        <v>30533</v>
      </c>
      <c r="B30534" t="inlineStr">
        <is>
          <t>x̄x̄x̄DXXXIII</t>
        </is>
      </c>
      <c r="C30534">
        <f>ROMAN(30533)</f>
        <v/>
      </c>
      <c r="D30534">
        <f>IF(B30534=C30534, "YES", "WRONG")</f>
        <v/>
      </c>
    </row>
    <row r="30535">
      <c r="A30535" t="n">
        <v>30534</v>
      </c>
      <c r="B30535" t="inlineStr">
        <is>
          <t>x̄x̄x̄DXXXIV</t>
        </is>
      </c>
      <c r="C30535">
        <f>ROMAN(30534)</f>
        <v/>
      </c>
      <c r="D30535">
        <f>IF(B30535=C30535, "YES", "WRONG")</f>
        <v/>
      </c>
    </row>
    <row r="30536">
      <c r="A30536" t="n">
        <v>30535</v>
      </c>
      <c r="B30536" t="inlineStr">
        <is>
          <t>x̄x̄x̄DXXXV</t>
        </is>
      </c>
      <c r="C30536">
        <f>ROMAN(30535)</f>
        <v/>
      </c>
      <c r="D30536">
        <f>IF(B30536=C30536, "YES", "WRONG")</f>
        <v/>
      </c>
    </row>
    <row r="30537">
      <c r="A30537" t="n">
        <v>30536</v>
      </c>
      <c r="B30537" t="inlineStr">
        <is>
          <t>x̄x̄x̄DXXXVI</t>
        </is>
      </c>
      <c r="C30537">
        <f>ROMAN(30536)</f>
        <v/>
      </c>
      <c r="D30537">
        <f>IF(B30537=C30537, "YES", "WRONG")</f>
        <v/>
      </c>
    </row>
    <row r="30538">
      <c r="A30538" t="n">
        <v>30537</v>
      </c>
      <c r="B30538" t="inlineStr">
        <is>
          <t>x̄x̄x̄DXXXVII</t>
        </is>
      </c>
      <c r="C30538">
        <f>ROMAN(30537)</f>
        <v/>
      </c>
      <c r="D30538">
        <f>IF(B30538=C30538, "YES", "WRONG")</f>
        <v/>
      </c>
    </row>
    <row r="30539">
      <c r="A30539" t="n">
        <v>30538</v>
      </c>
      <c r="B30539" t="inlineStr">
        <is>
          <t>x̄x̄x̄DXXXVIII</t>
        </is>
      </c>
      <c r="C30539">
        <f>ROMAN(30538)</f>
        <v/>
      </c>
      <c r="D30539">
        <f>IF(B30539=C30539, "YES", "WRONG")</f>
        <v/>
      </c>
    </row>
    <row r="30540">
      <c r="A30540" t="n">
        <v>30539</v>
      </c>
      <c r="B30540" t="inlineStr">
        <is>
          <t>x̄x̄x̄DXXXIX</t>
        </is>
      </c>
      <c r="C30540">
        <f>ROMAN(30539)</f>
        <v/>
      </c>
      <c r="D30540">
        <f>IF(B30540=C30540, "YES", "WRONG")</f>
        <v/>
      </c>
    </row>
    <row r="30541">
      <c r="A30541" t="n">
        <v>30540</v>
      </c>
      <c r="B30541" t="inlineStr">
        <is>
          <t>x̄x̄x̄DXL</t>
        </is>
      </c>
      <c r="C30541">
        <f>ROMAN(30540)</f>
        <v/>
      </c>
      <c r="D30541">
        <f>IF(B30541=C30541, "YES", "WRONG")</f>
        <v/>
      </c>
    </row>
    <row r="30542">
      <c r="A30542" t="n">
        <v>30541</v>
      </c>
      <c r="B30542" t="inlineStr">
        <is>
          <t>x̄x̄x̄DXLI</t>
        </is>
      </c>
      <c r="C30542">
        <f>ROMAN(30541)</f>
        <v/>
      </c>
      <c r="D30542">
        <f>IF(B30542=C30542, "YES", "WRONG")</f>
        <v/>
      </c>
    </row>
    <row r="30543">
      <c r="A30543" t="n">
        <v>30542</v>
      </c>
      <c r="B30543" t="inlineStr">
        <is>
          <t>x̄x̄x̄DXLII</t>
        </is>
      </c>
      <c r="C30543">
        <f>ROMAN(30542)</f>
        <v/>
      </c>
      <c r="D30543">
        <f>IF(B30543=C30543, "YES", "WRONG")</f>
        <v/>
      </c>
    </row>
    <row r="30544">
      <c r="A30544" t="n">
        <v>30543</v>
      </c>
      <c r="B30544" t="inlineStr">
        <is>
          <t>x̄x̄x̄DXLIII</t>
        </is>
      </c>
      <c r="C30544">
        <f>ROMAN(30543)</f>
        <v/>
      </c>
      <c r="D30544">
        <f>IF(B30544=C30544, "YES", "WRONG")</f>
        <v/>
      </c>
    </row>
    <row r="30545">
      <c r="A30545" t="n">
        <v>30544</v>
      </c>
      <c r="B30545" t="inlineStr">
        <is>
          <t>x̄x̄x̄DXLIV</t>
        </is>
      </c>
      <c r="C30545">
        <f>ROMAN(30544)</f>
        <v/>
      </c>
      <c r="D30545">
        <f>IF(B30545=C30545, "YES", "WRONG")</f>
        <v/>
      </c>
    </row>
    <row r="30546">
      <c r="A30546" t="n">
        <v>30545</v>
      </c>
      <c r="B30546" t="inlineStr">
        <is>
          <t>x̄x̄x̄DXLV</t>
        </is>
      </c>
      <c r="C30546">
        <f>ROMAN(30545)</f>
        <v/>
      </c>
      <c r="D30546">
        <f>IF(B30546=C30546, "YES", "WRONG")</f>
        <v/>
      </c>
    </row>
    <row r="30547">
      <c r="A30547" t="n">
        <v>30546</v>
      </c>
      <c r="B30547" t="inlineStr">
        <is>
          <t>x̄x̄x̄DXLVI</t>
        </is>
      </c>
      <c r="C30547">
        <f>ROMAN(30546)</f>
        <v/>
      </c>
      <c r="D30547">
        <f>IF(B30547=C30547, "YES", "WRONG")</f>
        <v/>
      </c>
    </row>
    <row r="30548">
      <c r="A30548" t="n">
        <v>30547</v>
      </c>
      <c r="B30548" t="inlineStr">
        <is>
          <t>x̄x̄x̄DXLVII</t>
        </is>
      </c>
      <c r="C30548">
        <f>ROMAN(30547)</f>
        <v/>
      </c>
      <c r="D30548">
        <f>IF(B30548=C30548, "YES", "WRONG")</f>
        <v/>
      </c>
    </row>
    <row r="30549">
      <c r="A30549" t="n">
        <v>30548</v>
      </c>
      <c r="B30549" t="inlineStr">
        <is>
          <t>x̄x̄x̄DXLVIII</t>
        </is>
      </c>
      <c r="C30549">
        <f>ROMAN(30548)</f>
        <v/>
      </c>
      <c r="D30549">
        <f>IF(B30549=C30549, "YES", "WRONG")</f>
        <v/>
      </c>
    </row>
    <row r="30550">
      <c r="A30550" t="n">
        <v>30549</v>
      </c>
      <c r="B30550" t="inlineStr">
        <is>
          <t>x̄x̄x̄DXLIX</t>
        </is>
      </c>
      <c r="C30550">
        <f>ROMAN(30549)</f>
        <v/>
      </c>
      <c r="D30550">
        <f>IF(B30550=C30550, "YES", "WRONG")</f>
        <v/>
      </c>
    </row>
    <row r="30551">
      <c r="A30551" t="n">
        <v>30550</v>
      </c>
      <c r="B30551" t="inlineStr">
        <is>
          <t>x̄x̄x̄DL</t>
        </is>
      </c>
      <c r="C30551">
        <f>ROMAN(30550)</f>
        <v/>
      </c>
      <c r="D30551">
        <f>IF(B30551=C30551, "YES", "WRONG")</f>
        <v/>
      </c>
    </row>
    <row r="30552">
      <c r="A30552" t="n">
        <v>30551</v>
      </c>
      <c r="B30552" t="inlineStr">
        <is>
          <t>x̄x̄x̄DLI</t>
        </is>
      </c>
      <c r="C30552">
        <f>ROMAN(30551)</f>
        <v/>
      </c>
      <c r="D30552">
        <f>IF(B30552=C30552, "YES", "WRONG")</f>
        <v/>
      </c>
    </row>
    <row r="30553">
      <c r="A30553" t="n">
        <v>30552</v>
      </c>
      <c r="B30553" t="inlineStr">
        <is>
          <t>x̄x̄x̄DLII</t>
        </is>
      </c>
      <c r="C30553">
        <f>ROMAN(30552)</f>
        <v/>
      </c>
      <c r="D30553">
        <f>IF(B30553=C30553, "YES", "WRONG")</f>
        <v/>
      </c>
    </row>
    <row r="30554">
      <c r="A30554" t="n">
        <v>30553</v>
      </c>
      <c r="B30554" t="inlineStr">
        <is>
          <t>x̄x̄x̄DLIII</t>
        </is>
      </c>
      <c r="C30554">
        <f>ROMAN(30553)</f>
        <v/>
      </c>
      <c r="D30554">
        <f>IF(B30554=C30554, "YES", "WRONG")</f>
        <v/>
      </c>
    </row>
    <row r="30555">
      <c r="A30555" t="n">
        <v>30554</v>
      </c>
      <c r="B30555" t="inlineStr">
        <is>
          <t>x̄x̄x̄DLIV</t>
        </is>
      </c>
      <c r="C30555">
        <f>ROMAN(30554)</f>
        <v/>
      </c>
      <c r="D30555">
        <f>IF(B30555=C30555, "YES", "WRONG")</f>
        <v/>
      </c>
    </row>
    <row r="30556">
      <c r="A30556" t="n">
        <v>30555</v>
      </c>
      <c r="B30556" t="inlineStr">
        <is>
          <t>x̄x̄x̄DLV</t>
        </is>
      </c>
      <c r="C30556">
        <f>ROMAN(30555)</f>
        <v/>
      </c>
      <c r="D30556">
        <f>IF(B30556=C30556, "YES", "WRONG")</f>
        <v/>
      </c>
    </row>
    <row r="30557">
      <c r="A30557" t="n">
        <v>30556</v>
      </c>
      <c r="B30557" t="inlineStr">
        <is>
          <t>x̄x̄x̄DLVI</t>
        </is>
      </c>
      <c r="C30557">
        <f>ROMAN(30556)</f>
        <v/>
      </c>
      <c r="D30557">
        <f>IF(B30557=C30557, "YES", "WRONG")</f>
        <v/>
      </c>
    </row>
    <row r="30558">
      <c r="A30558" t="n">
        <v>30557</v>
      </c>
      <c r="B30558" t="inlineStr">
        <is>
          <t>x̄x̄x̄DLVII</t>
        </is>
      </c>
      <c r="C30558">
        <f>ROMAN(30557)</f>
        <v/>
      </c>
      <c r="D30558">
        <f>IF(B30558=C30558, "YES", "WRONG")</f>
        <v/>
      </c>
    </row>
    <row r="30559">
      <c r="A30559" t="n">
        <v>30558</v>
      </c>
      <c r="B30559" t="inlineStr">
        <is>
          <t>x̄x̄x̄DLVIII</t>
        </is>
      </c>
      <c r="C30559">
        <f>ROMAN(30558)</f>
        <v/>
      </c>
      <c r="D30559">
        <f>IF(B30559=C30559, "YES", "WRONG")</f>
        <v/>
      </c>
    </row>
    <row r="30560">
      <c r="A30560" t="n">
        <v>30559</v>
      </c>
      <c r="B30560" t="inlineStr">
        <is>
          <t>x̄x̄x̄DLIX</t>
        </is>
      </c>
      <c r="C30560">
        <f>ROMAN(30559)</f>
        <v/>
      </c>
      <c r="D30560">
        <f>IF(B30560=C30560, "YES", "WRONG")</f>
        <v/>
      </c>
    </row>
    <row r="30561">
      <c r="A30561" t="n">
        <v>30560</v>
      </c>
      <c r="B30561" t="inlineStr">
        <is>
          <t>x̄x̄x̄DLX</t>
        </is>
      </c>
      <c r="C30561">
        <f>ROMAN(30560)</f>
        <v/>
      </c>
      <c r="D30561">
        <f>IF(B30561=C30561, "YES", "WRONG")</f>
        <v/>
      </c>
    </row>
    <row r="30562">
      <c r="A30562" t="n">
        <v>30561</v>
      </c>
      <c r="B30562" t="inlineStr">
        <is>
          <t>x̄x̄x̄DLXI</t>
        </is>
      </c>
      <c r="C30562">
        <f>ROMAN(30561)</f>
        <v/>
      </c>
      <c r="D30562">
        <f>IF(B30562=C30562, "YES", "WRONG")</f>
        <v/>
      </c>
    </row>
    <row r="30563">
      <c r="A30563" t="n">
        <v>30562</v>
      </c>
      <c r="B30563" t="inlineStr">
        <is>
          <t>x̄x̄x̄DLXII</t>
        </is>
      </c>
      <c r="C30563">
        <f>ROMAN(30562)</f>
        <v/>
      </c>
      <c r="D30563">
        <f>IF(B30563=C30563, "YES", "WRONG")</f>
        <v/>
      </c>
    </row>
    <row r="30564">
      <c r="A30564" t="n">
        <v>30563</v>
      </c>
      <c r="B30564" t="inlineStr">
        <is>
          <t>x̄x̄x̄DLXIII</t>
        </is>
      </c>
      <c r="C30564">
        <f>ROMAN(30563)</f>
        <v/>
      </c>
      <c r="D30564">
        <f>IF(B30564=C30564, "YES", "WRONG")</f>
        <v/>
      </c>
    </row>
    <row r="30565">
      <c r="A30565" t="n">
        <v>30564</v>
      </c>
      <c r="B30565" t="inlineStr">
        <is>
          <t>x̄x̄x̄DLXIV</t>
        </is>
      </c>
      <c r="C30565">
        <f>ROMAN(30564)</f>
        <v/>
      </c>
      <c r="D30565">
        <f>IF(B30565=C30565, "YES", "WRONG")</f>
        <v/>
      </c>
    </row>
    <row r="30566">
      <c r="A30566" t="n">
        <v>30565</v>
      </c>
      <c r="B30566" t="inlineStr">
        <is>
          <t>x̄x̄x̄DLXV</t>
        </is>
      </c>
      <c r="C30566">
        <f>ROMAN(30565)</f>
        <v/>
      </c>
      <c r="D30566">
        <f>IF(B30566=C30566, "YES", "WRONG")</f>
        <v/>
      </c>
    </row>
    <row r="30567">
      <c r="A30567" t="n">
        <v>30566</v>
      </c>
      <c r="B30567" t="inlineStr">
        <is>
          <t>x̄x̄x̄DLXVI</t>
        </is>
      </c>
      <c r="C30567">
        <f>ROMAN(30566)</f>
        <v/>
      </c>
      <c r="D30567">
        <f>IF(B30567=C30567, "YES", "WRONG")</f>
        <v/>
      </c>
    </row>
    <row r="30568">
      <c r="A30568" t="n">
        <v>30567</v>
      </c>
      <c r="B30568" t="inlineStr">
        <is>
          <t>x̄x̄x̄DLXVII</t>
        </is>
      </c>
      <c r="C30568">
        <f>ROMAN(30567)</f>
        <v/>
      </c>
      <c r="D30568">
        <f>IF(B30568=C30568, "YES", "WRONG")</f>
        <v/>
      </c>
    </row>
    <row r="30569">
      <c r="A30569" t="n">
        <v>30568</v>
      </c>
      <c r="B30569" t="inlineStr">
        <is>
          <t>x̄x̄x̄DLXVIII</t>
        </is>
      </c>
      <c r="C30569">
        <f>ROMAN(30568)</f>
        <v/>
      </c>
      <c r="D30569">
        <f>IF(B30569=C30569, "YES", "WRONG")</f>
        <v/>
      </c>
    </row>
    <row r="30570">
      <c r="A30570" t="n">
        <v>30569</v>
      </c>
      <c r="B30570" t="inlineStr">
        <is>
          <t>x̄x̄x̄DLXIX</t>
        </is>
      </c>
      <c r="C30570">
        <f>ROMAN(30569)</f>
        <v/>
      </c>
      <c r="D30570">
        <f>IF(B30570=C30570, "YES", "WRONG")</f>
        <v/>
      </c>
    </row>
    <row r="30571">
      <c r="A30571" t="n">
        <v>30570</v>
      </c>
      <c r="B30571" t="inlineStr">
        <is>
          <t>x̄x̄x̄DLXX</t>
        </is>
      </c>
      <c r="C30571">
        <f>ROMAN(30570)</f>
        <v/>
      </c>
      <c r="D30571">
        <f>IF(B30571=C30571, "YES", "WRONG")</f>
        <v/>
      </c>
    </row>
    <row r="30572">
      <c r="A30572" t="n">
        <v>30571</v>
      </c>
      <c r="B30572" t="inlineStr">
        <is>
          <t>x̄x̄x̄DLXXI</t>
        </is>
      </c>
      <c r="C30572">
        <f>ROMAN(30571)</f>
        <v/>
      </c>
      <c r="D30572">
        <f>IF(B30572=C30572, "YES", "WRONG")</f>
        <v/>
      </c>
    </row>
    <row r="30573">
      <c r="A30573" t="n">
        <v>30572</v>
      </c>
      <c r="B30573" t="inlineStr">
        <is>
          <t>x̄x̄x̄DLXXII</t>
        </is>
      </c>
      <c r="C30573">
        <f>ROMAN(30572)</f>
        <v/>
      </c>
      <c r="D30573">
        <f>IF(B30573=C30573, "YES", "WRONG")</f>
        <v/>
      </c>
    </row>
    <row r="30574">
      <c r="A30574" t="n">
        <v>30573</v>
      </c>
      <c r="B30574" t="inlineStr">
        <is>
          <t>x̄x̄x̄DLXXIII</t>
        </is>
      </c>
      <c r="C30574">
        <f>ROMAN(30573)</f>
        <v/>
      </c>
      <c r="D30574">
        <f>IF(B30574=C30574, "YES", "WRONG")</f>
        <v/>
      </c>
    </row>
    <row r="30575">
      <c r="A30575" t="n">
        <v>30574</v>
      </c>
      <c r="B30575" t="inlineStr">
        <is>
          <t>x̄x̄x̄DLXXIV</t>
        </is>
      </c>
      <c r="C30575">
        <f>ROMAN(30574)</f>
        <v/>
      </c>
      <c r="D30575">
        <f>IF(B30575=C30575, "YES", "WRONG")</f>
        <v/>
      </c>
    </row>
    <row r="30576">
      <c r="A30576" t="n">
        <v>30575</v>
      </c>
      <c r="B30576" t="inlineStr">
        <is>
          <t>x̄x̄x̄DLXXV</t>
        </is>
      </c>
      <c r="C30576">
        <f>ROMAN(30575)</f>
        <v/>
      </c>
      <c r="D30576">
        <f>IF(B30576=C30576, "YES", "WRONG")</f>
        <v/>
      </c>
    </row>
    <row r="30577">
      <c r="A30577" t="n">
        <v>30576</v>
      </c>
      <c r="B30577" t="inlineStr">
        <is>
          <t>x̄x̄x̄DLXXVI</t>
        </is>
      </c>
      <c r="C30577">
        <f>ROMAN(30576)</f>
        <v/>
      </c>
      <c r="D30577">
        <f>IF(B30577=C30577, "YES", "WRONG")</f>
        <v/>
      </c>
    </row>
    <row r="30578">
      <c r="A30578" t="n">
        <v>30577</v>
      </c>
      <c r="B30578" t="inlineStr">
        <is>
          <t>x̄x̄x̄DLXXVII</t>
        </is>
      </c>
      <c r="C30578">
        <f>ROMAN(30577)</f>
        <v/>
      </c>
      <c r="D30578">
        <f>IF(B30578=C30578, "YES", "WRONG")</f>
        <v/>
      </c>
    </row>
    <row r="30579">
      <c r="A30579" t="n">
        <v>30578</v>
      </c>
      <c r="B30579" t="inlineStr">
        <is>
          <t>x̄x̄x̄DLXXVIII</t>
        </is>
      </c>
      <c r="C30579">
        <f>ROMAN(30578)</f>
        <v/>
      </c>
      <c r="D30579">
        <f>IF(B30579=C30579, "YES", "WRONG")</f>
        <v/>
      </c>
    </row>
    <row r="30580">
      <c r="A30580" t="n">
        <v>30579</v>
      </c>
      <c r="B30580" t="inlineStr">
        <is>
          <t>x̄x̄x̄DLXXIX</t>
        </is>
      </c>
      <c r="C30580">
        <f>ROMAN(30579)</f>
        <v/>
      </c>
      <c r="D30580">
        <f>IF(B30580=C30580, "YES", "WRONG")</f>
        <v/>
      </c>
    </row>
    <row r="30581">
      <c r="A30581" t="n">
        <v>30580</v>
      </c>
      <c r="B30581" t="inlineStr">
        <is>
          <t>x̄x̄x̄DLXXX</t>
        </is>
      </c>
      <c r="C30581">
        <f>ROMAN(30580)</f>
        <v/>
      </c>
      <c r="D30581">
        <f>IF(B30581=C30581, "YES", "WRONG")</f>
        <v/>
      </c>
    </row>
    <row r="30582">
      <c r="A30582" t="n">
        <v>30581</v>
      </c>
      <c r="B30582" t="inlineStr">
        <is>
          <t>x̄x̄x̄DLXXXI</t>
        </is>
      </c>
      <c r="C30582">
        <f>ROMAN(30581)</f>
        <v/>
      </c>
      <c r="D30582">
        <f>IF(B30582=C30582, "YES", "WRONG")</f>
        <v/>
      </c>
    </row>
    <row r="30583">
      <c r="A30583" t="n">
        <v>30582</v>
      </c>
      <c r="B30583" t="inlineStr">
        <is>
          <t>x̄x̄x̄DLXXXII</t>
        </is>
      </c>
      <c r="C30583">
        <f>ROMAN(30582)</f>
        <v/>
      </c>
      <c r="D30583">
        <f>IF(B30583=C30583, "YES", "WRONG")</f>
        <v/>
      </c>
    </row>
    <row r="30584">
      <c r="A30584" t="n">
        <v>30583</v>
      </c>
      <c r="B30584" t="inlineStr">
        <is>
          <t>x̄x̄x̄DLXXXIII</t>
        </is>
      </c>
      <c r="C30584">
        <f>ROMAN(30583)</f>
        <v/>
      </c>
      <c r="D30584">
        <f>IF(B30584=C30584, "YES", "WRONG")</f>
        <v/>
      </c>
    </row>
    <row r="30585">
      <c r="A30585" t="n">
        <v>30584</v>
      </c>
      <c r="B30585" t="inlineStr">
        <is>
          <t>x̄x̄x̄DLXXXIV</t>
        </is>
      </c>
      <c r="C30585">
        <f>ROMAN(30584)</f>
        <v/>
      </c>
      <c r="D30585">
        <f>IF(B30585=C30585, "YES", "WRONG")</f>
        <v/>
      </c>
    </row>
    <row r="30586">
      <c r="A30586" t="n">
        <v>30585</v>
      </c>
      <c r="B30586" t="inlineStr">
        <is>
          <t>x̄x̄x̄DLXXXV</t>
        </is>
      </c>
      <c r="C30586">
        <f>ROMAN(30585)</f>
        <v/>
      </c>
      <c r="D30586">
        <f>IF(B30586=C30586, "YES", "WRONG")</f>
        <v/>
      </c>
    </row>
    <row r="30587">
      <c r="A30587" t="n">
        <v>30586</v>
      </c>
      <c r="B30587" t="inlineStr">
        <is>
          <t>x̄x̄x̄DLXXXVI</t>
        </is>
      </c>
      <c r="C30587">
        <f>ROMAN(30586)</f>
        <v/>
      </c>
      <c r="D30587">
        <f>IF(B30587=C30587, "YES", "WRONG")</f>
        <v/>
      </c>
    </row>
    <row r="30588">
      <c r="A30588" t="n">
        <v>30587</v>
      </c>
      <c r="B30588" t="inlineStr">
        <is>
          <t>x̄x̄x̄DLXXXVII</t>
        </is>
      </c>
      <c r="C30588">
        <f>ROMAN(30587)</f>
        <v/>
      </c>
      <c r="D30588">
        <f>IF(B30588=C30588, "YES", "WRONG")</f>
        <v/>
      </c>
    </row>
    <row r="30589">
      <c r="A30589" t="n">
        <v>30588</v>
      </c>
      <c r="B30589" t="inlineStr">
        <is>
          <t>x̄x̄x̄DLXXXVIII</t>
        </is>
      </c>
      <c r="C30589">
        <f>ROMAN(30588)</f>
        <v/>
      </c>
      <c r="D30589">
        <f>IF(B30589=C30589, "YES", "WRONG")</f>
        <v/>
      </c>
    </row>
    <row r="30590">
      <c r="A30590" t="n">
        <v>30589</v>
      </c>
      <c r="B30590" t="inlineStr">
        <is>
          <t>x̄x̄x̄DLXXXIX</t>
        </is>
      </c>
      <c r="C30590">
        <f>ROMAN(30589)</f>
        <v/>
      </c>
      <c r="D30590">
        <f>IF(B30590=C30590, "YES", "WRONG")</f>
        <v/>
      </c>
    </row>
    <row r="30591">
      <c r="A30591" t="n">
        <v>30590</v>
      </c>
      <c r="B30591" t="inlineStr">
        <is>
          <t>x̄x̄x̄DXC</t>
        </is>
      </c>
      <c r="C30591">
        <f>ROMAN(30590)</f>
        <v/>
      </c>
      <c r="D30591">
        <f>IF(B30591=C30591, "YES", "WRONG")</f>
        <v/>
      </c>
    </row>
    <row r="30592">
      <c r="A30592" t="n">
        <v>30591</v>
      </c>
      <c r="B30592" t="inlineStr">
        <is>
          <t>x̄x̄x̄DXCI</t>
        </is>
      </c>
      <c r="C30592">
        <f>ROMAN(30591)</f>
        <v/>
      </c>
      <c r="D30592">
        <f>IF(B30592=C30592, "YES", "WRONG")</f>
        <v/>
      </c>
    </row>
    <row r="30593">
      <c r="A30593" t="n">
        <v>30592</v>
      </c>
      <c r="B30593" t="inlineStr">
        <is>
          <t>x̄x̄x̄DXCII</t>
        </is>
      </c>
      <c r="C30593">
        <f>ROMAN(30592)</f>
        <v/>
      </c>
      <c r="D30593">
        <f>IF(B30593=C30593, "YES", "WRONG")</f>
        <v/>
      </c>
    </row>
    <row r="30594">
      <c r="A30594" t="n">
        <v>30593</v>
      </c>
      <c r="B30594" t="inlineStr">
        <is>
          <t>x̄x̄x̄DXCIII</t>
        </is>
      </c>
      <c r="C30594">
        <f>ROMAN(30593)</f>
        <v/>
      </c>
      <c r="D30594">
        <f>IF(B30594=C30594, "YES", "WRONG")</f>
        <v/>
      </c>
    </row>
    <row r="30595">
      <c r="A30595" t="n">
        <v>30594</v>
      </c>
      <c r="B30595" t="inlineStr">
        <is>
          <t>x̄x̄x̄DXCIV</t>
        </is>
      </c>
      <c r="C30595">
        <f>ROMAN(30594)</f>
        <v/>
      </c>
      <c r="D30595">
        <f>IF(B30595=C30595, "YES", "WRONG")</f>
        <v/>
      </c>
    </row>
    <row r="30596">
      <c r="A30596" t="n">
        <v>30595</v>
      </c>
      <c r="B30596" t="inlineStr">
        <is>
          <t>x̄x̄x̄DXCV</t>
        </is>
      </c>
      <c r="C30596">
        <f>ROMAN(30595)</f>
        <v/>
      </c>
      <c r="D30596">
        <f>IF(B30596=C30596, "YES", "WRONG")</f>
        <v/>
      </c>
    </row>
    <row r="30597">
      <c r="A30597" t="n">
        <v>30596</v>
      </c>
      <c r="B30597" t="inlineStr">
        <is>
          <t>x̄x̄x̄DXCVI</t>
        </is>
      </c>
      <c r="C30597">
        <f>ROMAN(30596)</f>
        <v/>
      </c>
      <c r="D30597">
        <f>IF(B30597=C30597, "YES", "WRONG")</f>
        <v/>
      </c>
    </row>
    <row r="30598">
      <c r="A30598" t="n">
        <v>30597</v>
      </c>
      <c r="B30598" t="inlineStr">
        <is>
          <t>x̄x̄x̄DXCVII</t>
        </is>
      </c>
      <c r="C30598">
        <f>ROMAN(30597)</f>
        <v/>
      </c>
      <c r="D30598">
        <f>IF(B30598=C30598, "YES", "WRONG")</f>
        <v/>
      </c>
    </row>
    <row r="30599">
      <c r="A30599" t="n">
        <v>30598</v>
      </c>
      <c r="B30599" t="inlineStr">
        <is>
          <t>x̄x̄x̄DXCVIII</t>
        </is>
      </c>
      <c r="C30599">
        <f>ROMAN(30598)</f>
        <v/>
      </c>
      <c r="D30599">
        <f>IF(B30599=C30599, "YES", "WRONG")</f>
        <v/>
      </c>
    </row>
    <row r="30600">
      <c r="A30600" t="n">
        <v>30599</v>
      </c>
      <c r="B30600" t="inlineStr">
        <is>
          <t>x̄x̄x̄DXCIX</t>
        </is>
      </c>
      <c r="C30600">
        <f>ROMAN(30599)</f>
        <v/>
      </c>
      <c r="D30600">
        <f>IF(B30600=C30600, "YES", "WRONG")</f>
        <v/>
      </c>
    </row>
    <row r="30601">
      <c r="A30601" t="n">
        <v>30600</v>
      </c>
      <c r="B30601" t="inlineStr">
        <is>
          <t>x̄x̄x̄DC</t>
        </is>
      </c>
      <c r="C30601">
        <f>ROMAN(30600)</f>
        <v/>
      </c>
      <c r="D30601">
        <f>IF(B30601=C30601, "YES", "WRONG")</f>
        <v/>
      </c>
    </row>
    <row r="30602">
      <c r="A30602" t="n">
        <v>30601</v>
      </c>
      <c r="B30602" t="inlineStr">
        <is>
          <t>x̄x̄x̄DCI</t>
        </is>
      </c>
      <c r="C30602">
        <f>ROMAN(30601)</f>
        <v/>
      </c>
      <c r="D30602">
        <f>IF(B30602=C30602, "YES", "WRONG")</f>
        <v/>
      </c>
    </row>
    <row r="30603">
      <c r="A30603" t="n">
        <v>30602</v>
      </c>
      <c r="B30603" t="inlineStr">
        <is>
          <t>x̄x̄x̄DCII</t>
        </is>
      </c>
      <c r="C30603">
        <f>ROMAN(30602)</f>
        <v/>
      </c>
      <c r="D30603">
        <f>IF(B30603=C30603, "YES", "WRONG")</f>
        <v/>
      </c>
    </row>
    <row r="30604">
      <c r="A30604" t="n">
        <v>30603</v>
      </c>
      <c r="B30604" t="inlineStr">
        <is>
          <t>x̄x̄x̄DCIII</t>
        </is>
      </c>
      <c r="C30604">
        <f>ROMAN(30603)</f>
        <v/>
      </c>
      <c r="D30604">
        <f>IF(B30604=C30604, "YES", "WRONG")</f>
        <v/>
      </c>
    </row>
    <row r="30605">
      <c r="A30605" t="n">
        <v>30604</v>
      </c>
      <c r="B30605" t="inlineStr">
        <is>
          <t>x̄x̄x̄DCIV</t>
        </is>
      </c>
      <c r="C30605">
        <f>ROMAN(30604)</f>
        <v/>
      </c>
      <c r="D30605">
        <f>IF(B30605=C30605, "YES", "WRONG")</f>
        <v/>
      </c>
    </row>
    <row r="30606">
      <c r="A30606" t="n">
        <v>30605</v>
      </c>
      <c r="B30606" t="inlineStr">
        <is>
          <t>x̄x̄x̄DCV</t>
        </is>
      </c>
      <c r="C30606">
        <f>ROMAN(30605)</f>
        <v/>
      </c>
      <c r="D30606">
        <f>IF(B30606=C30606, "YES", "WRONG")</f>
        <v/>
      </c>
    </row>
    <row r="30607">
      <c r="A30607" t="n">
        <v>30606</v>
      </c>
      <c r="B30607" t="inlineStr">
        <is>
          <t>x̄x̄x̄DCVI</t>
        </is>
      </c>
      <c r="C30607">
        <f>ROMAN(30606)</f>
        <v/>
      </c>
      <c r="D30607">
        <f>IF(B30607=C30607, "YES", "WRONG")</f>
        <v/>
      </c>
    </row>
    <row r="30608">
      <c r="A30608" t="n">
        <v>30607</v>
      </c>
      <c r="B30608" t="inlineStr">
        <is>
          <t>x̄x̄x̄DCVII</t>
        </is>
      </c>
      <c r="C30608">
        <f>ROMAN(30607)</f>
        <v/>
      </c>
      <c r="D30608">
        <f>IF(B30608=C30608, "YES", "WRONG")</f>
        <v/>
      </c>
    </row>
    <row r="30609">
      <c r="A30609" t="n">
        <v>30608</v>
      </c>
      <c r="B30609" t="inlineStr">
        <is>
          <t>x̄x̄x̄DCVIII</t>
        </is>
      </c>
      <c r="C30609">
        <f>ROMAN(30608)</f>
        <v/>
      </c>
      <c r="D30609">
        <f>IF(B30609=C30609, "YES", "WRONG")</f>
        <v/>
      </c>
    </row>
    <row r="30610">
      <c r="A30610" t="n">
        <v>30609</v>
      </c>
      <c r="B30610" t="inlineStr">
        <is>
          <t>x̄x̄x̄DCIX</t>
        </is>
      </c>
      <c r="C30610">
        <f>ROMAN(30609)</f>
        <v/>
      </c>
      <c r="D30610">
        <f>IF(B30610=C30610, "YES", "WRONG")</f>
        <v/>
      </c>
    </row>
    <row r="30611">
      <c r="A30611" t="n">
        <v>30610</v>
      </c>
      <c r="B30611" t="inlineStr">
        <is>
          <t>x̄x̄x̄DCX</t>
        </is>
      </c>
      <c r="C30611">
        <f>ROMAN(30610)</f>
        <v/>
      </c>
      <c r="D30611">
        <f>IF(B30611=C30611, "YES", "WRONG")</f>
        <v/>
      </c>
    </row>
    <row r="30612">
      <c r="A30612" t="n">
        <v>30611</v>
      </c>
      <c r="B30612" t="inlineStr">
        <is>
          <t>x̄x̄x̄DCXI</t>
        </is>
      </c>
      <c r="C30612">
        <f>ROMAN(30611)</f>
        <v/>
      </c>
      <c r="D30612">
        <f>IF(B30612=C30612, "YES", "WRONG")</f>
        <v/>
      </c>
    </row>
    <row r="30613">
      <c r="A30613" t="n">
        <v>30612</v>
      </c>
      <c r="B30613" t="inlineStr">
        <is>
          <t>x̄x̄x̄DCXII</t>
        </is>
      </c>
      <c r="C30613">
        <f>ROMAN(30612)</f>
        <v/>
      </c>
      <c r="D30613">
        <f>IF(B30613=C30613, "YES", "WRONG")</f>
        <v/>
      </c>
    </row>
    <row r="30614">
      <c r="A30614" t="n">
        <v>30613</v>
      </c>
      <c r="B30614" t="inlineStr">
        <is>
          <t>x̄x̄x̄DCXIII</t>
        </is>
      </c>
      <c r="C30614">
        <f>ROMAN(30613)</f>
        <v/>
      </c>
      <c r="D30614">
        <f>IF(B30614=C30614, "YES", "WRONG")</f>
        <v/>
      </c>
    </row>
    <row r="30615">
      <c r="A30615" t="n">
        <v>30614</v>
      </c>
      <c r="B30615" t="inlineStr">
        <is>
          <t>x̄x̄x̄DCXIV</t>
        </is>
      </c>
      <c r="C30615">
        <f>ROMAN(30614)</f>
        <v/>
      </c>
      <c r="D30615">
        <f>IF(B30615=C30615, "YES", "WRONG")</f>
        <v/>
      </c>
    </row>
    <row r="30616">
      <c r="A30616" t="n">
        <v>30615</v>
      </c>
      <c r="B30616" t="inlineStr">
        <is>
          <t>x̄x̄x̄DCXV</t>
        </is>
      </c>
      <c r="C30616">
        <f>ROMAN(30615)</f>
        <v/>
      </c>
      <c r="D30616">
        <f>IF(B30616=C30616, "YES", "WRONG")</f>
        <v/>
      </c>
    </row>
    <row r="30617">
      <c r="A30617" t="n">
        <v>30616</v>
      </c>
      <c r="B30617" t="inlineStr">
        <is>
          <t>x̄x̄x̄DCXVI</t>
        </is>
      </c>
      <c r="C30617">
        <f>ROMAN(30616)</f>
        <v/>
      </c>
      <c r="D30617">
        <f>IF(B30617=C30617, "YES", "WRONG")</f>
        <v/>
      </c>
    </row>
    <row r="30618">
      <c r="A30618" t="n">
        <v>30617</v>
      </c>
      <c r="B30618" t="inlineStr">
        <is>
          <t>x̄x̄x̄DCXVII</t>
        </is>
      </c>
      <c r="C30618">
        <f>ROMAN(30617)</f>
        <v/>
      </c>
      <c r="D30618">
        <f>IF(B30618=C30618, "YES", "WRONG")</f>
        <v/>
      </c>
    </row>
    <row r="30619">
      <c r="A30619" t="n">
        <v>30618</v>
      </c>
      <c r="B30619" t="inlineStr">
        <is>
          <t>x̄x̄x̄DCXVIII</t>
        </is>
      </c>
      <c r="C30619">
        <f>ROMAN(30618)</f>
        <v/>
      </c>
      <c r="D30619">
        <f>IF(B30619=C30619, "YES", "WRONG")</f>
        <v/>
      </c>
    </row>
    <row r="30620">
      <c r="A30620" t="n">
        <v>30619</v>
      </c>
      <c r="B30620" t="inlineStr">
        <is>
          <t>x̄x̄x̄DCXIX</t>
        </is>
      </c>
      <c r="C30620">
        <f>ROMAN(30619)</f>
        <v/>
      </c>
      <c r="D30620">
        <f>IF(B30620=C30620, "YES", "WRONG")</f>
        <v/>
      </c>
    </row>
    <row r="30621">
      <c r="A30621" t="n">
        <v>30620</v>
      </c>
      <c r="B30621" t="inlineStr">
        <is>
          <t>x̄x̄x̄DCXX</t>
        </is>
      </c>
      <c r="C30621">
        <f>ROMAN(30620)</f>
        <v/>
      </c>
      <c r="D30621">
        <f>IF(B30621=C30621, "YES", "WRONG")</f>
        <v/>
      </c>
    </row>
    <row r="30622">
      <c r="A30622" t="n">
        <v>30621</v>
      </c>
      <c r="B30622" t="inlineStr">
        <is>
          <t>x̄x̄x̄DCXXI</t>
        </is>
      </c>
      <c r="C30622">
        <f>ROMAN(30621)</f>
        <v/>
      </c>
      <c r="D30622">
        <f>IF(B30622=C30622, "YES", "WRONG")</f>
        <v/>
      </c>
    </row>
    <row r="30623">
      <c r="A30623" t="n">
        <v>30622</v>
      </c>
      <c r="B30623" t="inlineStr">
        <is>
          <t>x̄x̄x̄DCXXII</t>
        </is>
      </c>
      <c r="C30623">
        <f>ROMAN(30622)</f>
        <v/>
      </c>
      <c r="D30623">
        <f>IF(B30623=C30623, "YES", "WRONG")</f>
        <v/>
      </c>
    </row>
    <row r="30624">
      <c r="A30624" t="n">
        <v>30623</v>
      </c>
      <c r="B30624" t="inlineStr">
        <is>
          <t>x̄x̄x̄DCXXIII</t>
        </is>
      </c>
      <c r="C30624">
        <f>ROMAN(30623)</f>
        <v/>
      </c>
      <c r="D30624">
        <f>IF(B30624=C30624, "YES", "WRONG")</f>
        <v/>
      </c>
    </row>
    <row r="30625">
      <c r="A30625" t="n">
        <v>30624</v>
      </c>
      <c r="B30625" t="inlineStr">
        <is>
          <t>x̄x̄x̄DCXXIV</t>
        </is>
      </c>
      <c r="C30625">
        <f>ROMAN(30624)</f>
        <v/>
      </c>
      <c r="D30625">
        <f>IF(B30625=C30625, "YES", "WRONG")</f>
        <v/>
      </c>
    </row>
    <row r="30626">
      <c r="A30626" t="n">
        <v>30625</v>
      </c>
      <c r="B30626" t="inlineStr">
        <is>
          <t>x̄x̄x̄DCXXV</t>
        </is>
      </c>
      <c r="C30626">
        <f>ROMAN(30625)</f>
        <v/>
      </c>
      <c r="D30626">
        <f>IF(B30626=C30626, "YES", "WRONG")</f>
        <v/>
      </c>
    </row>
    <row r="30627">
      <c r="A30627" t="n">
        <v>30626</v>
      </c>
      <c r="B30627" t="inlineStr">
        <is>
          <t>x̄x̄x̄DCXXVI</t>
        </is>
      </c>
      <c r="C30627">
        <f>ROMAN(30626)</f>
        <v/>
      </c>
      <c r="D30627">
        <f>IF(B30627=C30627, "YES", "WRONG")</f>
        <v/>
      </c>
    </row>
    <row r="30628">
      <c r="A30628" t="n">
        <v>30627</v>
      </c>
      <c r="B30628" t="inlineStr">
        <is>
          <t>x̄x̄x̄DCXXVII</t>
        </is>
      </c>
      <c r="C30628">
        <f>ROMAN(30627)</f>
        <v/>
      </c>
      <c r="D30628">
        <f>IF(B30628=C30628, "YES", "WRONG")</f>
        <v/>
      </c>
    </row>
    <row r="30629">
      <c r="A30629" t="n">
        <v>30628</v>
      </c>
      <c r="B30629" t="inlineStr">
        <is>
          <t>x̄x̄x̄DCXXVIII</t>
        </is>
      </c>
      <c r="C30629">
        <f>ROMAN(30628)</f>
        <v/>
      </c>
      <c r="D30629">
        <f>IF(B30629=C30629, "YES", "WRONG")</f>
        <v/>
      </c>
    </row>
    <row r="30630">
      <c r="A30630" t="n">
        <v>30629</v>
      </c>
      <c r="B30630" t="inlineStr">
        <is>
          <t>x̄x̄x̄DCXXIX</t>
        </is>
      </c>
      <c r="C30630">
        <f>ROMAN(30629)</f>
        <v/>
      </c>
      <c r="D30630">
        <f>IF(B30630=C30630, "YES", "WRONG")</f>
        <v/>
      </c>
    </row>
    <row r="30631">
      <c r="A30631" t="n">
        <v>30630</v>
      </c>
      <c r="B30631" t="inlineStr">
        <is>
          <t>x̄x̄x̄DCXXX</t>
        </is>
      </c>
      <c r="C30631">
        <f>ROMAN(30630)</f>
        <v/>
      </c>
      <c r="D30631">
        <f>IF(B30631=C30631, "YES", "WRONG")</f>
        <v/>
      </c>
    </row>
    <row r="30632">
      <c r="A30632" t="n">
        <v>30631</v>
      </c>
      <c r="B30632" t="inlineStr">
        <is>
          <t>x̄x̄x̄DCXXXI</t>
        </is>
      </c>
      <c r="C30632">
        <f>ROMAN(30631)</f>
        <v/>
      </c>
      <c r="D30632">
        <f>IF(B30632=C30632, "YES", "WRONG")</f>
        <v/>
      </c>
    </row>
    <row r="30633">
      <c r="A30633" t="n">
        <v>30632</v>
      </c>
      <c r="B30633" t="inlineStr">
        <is>
          <t>x̄x̄x̄DCXXXII</t>
        </is>
      </c>
      <c r="C30633">
        <f>ROMAN(30632)</f>
        <v/>
      </c>
      <c r="D30633">
        <f>IF(B30633=C30633, "YES", "WRONG")</f>
        <v/>
      </c>
    </row>
    <row r="30634">
      <c r="A30634" t="n">
        <v>30633</v>
      </c>
      <c r="B30634" t="inlineStr">
        <is>
          <t>x̄x̄x̄DCXXXIII</t>
        </is>
      </c>
      <c r="C30634">
        <f>ROMAN(30633)</f>
        <v/>
      </c>
      <c r="D30634">
        <f>IF(B30634=C30634, "YES", "WRONG")</f>
        <v/>
      </c>
    </row>
    <row r="30635">
      <c r="A30635" t="n">
        <v>30634</v>
      </c>
      <c r="B30635" t="inlineStr">
        <is>
          <t>x̄x̄x̄DCXXXIV</t>
        </is>
      </c>
      <c r="C30635">
        <f>ROMAN(30634)</f>
        <v/>
      </c>
      <c r="D30635">
        <f>IF(B30635=C30635, "YES", "WRONG")</f>
        <v/>
      </c>
    </row>
    <row r="30636">
      <c r="A30636" t="n">
        <v>30635</v>
      </c>
      <c r="B30636" t="inlineStr">
        <is>
          <t>x̄x̄x̄DCXXXV</t>
        </is>
      </c>
      <c r="C30636">
        <f>ROMAN(30635)</f>
        <v/>
      </c>
      <c r="D30636">
        <f>IF(B30636=C30636, "YES", "WRONG")</f>
        <v/>
      </c>
    </row>
    <row r="30637">
      <c r="A30637" t="n">
        <v>30636</v>
      </c>
      <c r="B30637" t="inlineStr">
        <is>
          <t>x̄x̄x̄DCXXXVI</t>
        </is>
      </c>
      <c r="C30637">
        <f>ROMAN(30636)</f>
        <v/>
      </c>
      <c r="D30637">
        <f>IF(B30637=C30637, "YES", "WRONG")</f>
        <v/>
      </c>
    </row>
    <row r="30638">
      <c r="A30638" t="n">
        <v>30637</v>
      </c>
      <c r="B30638" t="inlineStr">
        <is>
          <t>x̄x̄x̄DCXXXVII</t>
        </is>
      </c>
      <c r="C30638">
        <f>ROMAN(30637)</f>
        <v/>
      </c>
      <c r="D30638">
        <f>IF(B30638=C30638, "YES", "WRONG")</f>
        <v/>
      </c>
    </row>
    <row r="30639">
      <c r="A30639" t="n">
        <v>30638</v>
      </c>
      <c r="B30639" t="inlineStr">
        <is>
          <t>x̄x̄x̄DCXXXVIII</t>
        </is>
      </c>
      <c r="C30639">
        <f>ROMAN(30638)</f>
        <v/>
      </c>
      <c r="D30639">
        <f>IF(B30639=C30639, "YES", "WRONG")</f>
        <v/>
      </c>
    </row>
    <row r="30640">
      <c r="A30640" t="n">
        <v>30639</v>
      </c>
      <c r="B30640" t="inlineStr">
        <is>
          <t>x̄x̄x̄DCXXXIX</t>
        </is>
      </c>
      <c r="C30640">
        <f>ROMAN(30639)</f>
        <v/>
      </c>
      <c r="D30640">
        <f>IF(B30640=C30640, "YES", "WRONG")</f>
        <v/>
      </c>
    </row>
    <row r="30641">
      <c r="A30641" t="n">
        <v>30640</v>
      </c>
      <c r="B30641" t="inlineStr">
        <is>
          <t>x̄x̄x̄DCXL</t>
        </is>
      </c>
      <c r="C30641">
        <f>ROMAN(30640)</f>
        <v/>
      </c>
      <c r="D30641">
        <f>IF(B30641=C30641, "YES", "WRONG")</f>
        <v/>
      </c>
    </row>
    <row r="30642">
      <c r="A30642" t="n">
        <v>30641</v>
      </c>
      <c r="B30642" t="inlineStr">
        <is>
          <t>x̄x̄x̄DCXLI</t>
        </is>
      </c>
      <c r="C30642">
        <f>ROMAN(30641)</f>
        <v/>
      </c>
      <c r="D30642">
        <f>IF(B30642=C30642, "YES", "WRONG")</f>
        <v/>
      </c>
    </row>
    <row r="30643">
      <c r="A30643" t="n">
        <v>30642</v>
      </c>
      <c r="B30643" t="inlineStr">
        <is>
          <t>x̄x̄x̄DCXLII</t>
        </is>
      </c>
      <c r="C30643">
        <f>ROMAN(30642)</f>
        <v/>
      </c>
      <c r="D30643">
        <f>IF(B30643=C30643, "YES", "WRONG")</f>
        <v/>
      </c>
    </row>
    <row r="30644">
      <c r="A30644" t="n">
        <v>30643</v>
      </c>
      <c r="B30644" t="inlineStr">
        <is>
          <t>x̄x̄x̄DCXLIII</t>
        </is>
      </c>
      <c r="C30644">
        <f>ROMAN(30643)</f>
        <v/>
      </c>
      <c r="D30644">
        <f>IF(B30644=C30644, "YES", "WRONG")</f>
        <v/>
      </c>
    </row>
    <row r="30645">
      <c r="A30645" t="n">
        <v>30644</v>
      </c>
      <c r="B30645" t="inlineStr">
        <is>
          <t>x̄x̄x̄DCXLIV</t>
        </is>
      </c>
      <c r="C30645">
        <f>ROMAN(30644)</f>
        <v/>
      </c>
      <c r="D30645">
        <f>IF(B30645=C30645, "YES", "WRONG")</f>
        <v/>
      </c>
    </row>
    <row r="30646">
      <c r="A30646" t="n">
        <v>30645</v>
      </c>
      <c r="B30646" t="inlineStr">
        <is>
          <t>x̄x̄x̄DCXLV</t>
        </is>
      </c>
      <c r="C30646">
        <f>ROMAN(30645)</f>
        <v/>
      </c>
      <c r="D30646">
        <f>IF(B30646=C30646, "YES", "WRONG")</f>
        <v/>
      </c>
    </row>
    <row r="30647">
      <c r="A30647" t="n">
        <v>30646</v>
      </c>
      <c r="B30647" t="inlineStr">
        <is>
          <t>x̄x̄x̄DCXLVI</t>
        </is>
      </c>
      <c r="C30647">
        <f>ROMAN(30646)</f>
        <v/>
      </c>
      <c r="D30647">
        <f>IF(B30647=C30647, "YES", "WRONG")</f>
        <v/>
      </c>
    </row>
    <row r="30648">
      <c r="A30648" t="n">
        <v>30647</v>
      </c>
      <c r="B30648" t="inlineStr">
        <is>
          <t>x̄x̄x̄DCXLVII</t>
        </is>
      </c>
      <c r="C30648">
        <f>ROMAN(30647)</f>
        <v/>
      </c>
      <c r="D30648">
        <f>IF(B30648=C30648, "YES", "WRONG")</f>
        <v/>
      </c>
    </row>
    <row r="30649">
      <c r="A30649" t="n">
        <v>30648</v>
      </c>
      <c r="B30649" t="inlineStr">
        <is>
          <t>x̄x̄x̄DCXLVIII</t>
        </is>
      </c>
      <c r="C30649">
        <f>ROMAN(30648)</f>
        <v/>
      </c>
      <c r="D30649">
        <f>IF(B30649=C30649, "YES", "WRONG")</f>
        <v/>
      </c>
    </row>
    <row r="30650">
      <c r="A30650" t="n">
        <v>30649</v>
      </c>
      <c r="B30650" t="inlineStr">
        <is>
          <t>x̄x̄x̄DCXLIX</t>
        </is>
      </c>
      <c r="C30650">
        <f>ROMAN(30649)</f>
        <v/>
      </c>
      <c r="D30650">
        <f>IF(B30650=C30650, "YES", "WRONG")</f>
        <v/>
      </c>
    </row>
    <row r="30651">
      <c r="A30651" t="n">
        <v>30650</v>
      </c>
      <c r="B30651" t="inlineStr">
        <is>
          <t>x̄x̄x̄DCL</t>
        </is>
      </c>
      <c r="C30651">
        <f>ROMAN(30650)</f>
        <v/>
      </c>
      <c r="D30651">
        <f>IF(B30651=C30651, "YES", "WRONG")</f>
        <v/>
      </c>
    </row>
    <row r="30652">
      <c r="A30652" t="n">
        <v>30651</v>
      </c>
      <c r="B30652" t="inlineStr">
        <is>
          <t>x̄x̄x̄DCLI</t>
        </is>
      </c>
      <c r="C30652">
        <f>ROMAN(30651)</f>
        <v/>
      </c>
      <c r="D30652">
        <f>IF(B30652=C30652, "YES", "WRONG")</f>
        <v/>
      </c>
    </row>
    <row r="30653">
      <c r="A30653" t="n">
        <v>30652</v>
      </c>
      <c r="B30653" t="inlineStr">
        <is>
          <t>x̄x̄x̄DCLII</t>
        </is>
      </c>
      <c r="C30653">
        <f>ROMAN(30652)</f>
        <v/>
      </c>
      <c r="D30653">
        <f>IF(B30653=C30653, "YES", "WRONG")</f>
        <v/>
      </c>
    </row>
    <row r="30654">
      <c r="A30654" t="n">
        <v>30653</v>
      </c>
      <c r="B30654" t="inlineStr">
        <is>
          <t>x̄x̄x̄DCLIII</t>
        </is>
      </c>
      <c r="C30654">
        <f>ROMAN(30653)</f>
        <v/>
      </c>
      <c r="D30654">
        <f>IF(B30654=C30654, "YES", "WRONG")</f>
        <v/>
      </c>
    </row>
    <row r="30655">
      <c r="A30655" t="n">
        <v>30654</v>
      </c>
      <c r="B30655" t="inlineStr">
        <is>
          <t>x̄x̄x̄DCLIV</t>
        </is>
      </c>
      <c r="C30655">
        <f>ROMAN(30654)</f>
        <v/>
      </c>
      <c r="D30655">
        <f>IF(B30655=C30655, "YES", "WRONG")</f>
        <v/>
      </c>
    </row>
    <row r="30656">
      <c r="A30656" t="n">
        <v>30655</v>
      </c>
      <c r="B30656" t="inlineStr">
        <is>
          <t>x̄x̄x̄DCLV</t>
        </is>
      </c>
      <c r="C30656">
        <f>ROMAN(30655)</f>
        <v/>
      </c>
      <c r="D30656">
        <f>IF(B30656=C30656, "YES", "WRONG")</f>
        <v/>
      </c>
    </row>
    <row r="30657">
      <c r="A30657" t="n">
        <v>30656</v>
      </c>
      <c r="B30657" t="inlineStr">
        <is>
          <t>x̄x̄x̄DCLVI</t>
        </is>
      </c>
      <c r="C30657">
        <f>ROMAN(30656)</f>
        <v/>
      </c>
      <c r="D30657">
        <f>IF(B30657=C30657, "YES", "WRONG")</f>
        <v/>
      </c>
    </row>
    <row r="30658">
      <c r="A30658" t="n">
        <v>30657</v>
      </c>
      <c r="B30658" t="inlineStr">
        <is>
          <t>x̄x̄x̄DCLVII</t>
        </is>
      </c>
      <c r="C30658">
        <f>ROMAN(30657)</f>
        <v/>
      </c>
      <c r="D30658">
        <f>IF(B30658=C30658, "YES", "WRONG")</f>
        <v/>
      </c>
    </row>
    <row r="30659">
      <c r="A30659" t="n">
        <v>30658</v>
      </c>
      <c r="B30659" t="inlineStr">
        <is>
          <t>x̄x̄x̄DCLVIII</t>
        </is>
      </c>
      <c r="C30659">
        <f>ROMAN(30658)</f>
        <v/>
      </c>
      <c r="D30659">
        <f>IF(B30659=C30659, "YES", "WRONG")</f>
        <v/>
      </c>
    </row>
    <row r="30660">
      <c r="A30660" t="n">
        <v>30659</v>
      </c>
      <c r="B30660" t="inlineStr">
        <is>
          <t>x̄x̄x̄DCLIX</t>
        </is>
      </c>
      <c r="C30660">
        <f>ROMAN(30659)</f>
        <v/>
      </c>
      <c r="D30660">
        <f>IF(B30660=C30660, "YES", "WRONG")</f>
        <v/>
      </c>
    </row>
    <row r="30661">
      <c r="A30661" t="n">
        <v>30660</v>
      </c>
      <c r="B30661" t="inlineStr">
        <is>
          <t>x̄x̄x̄DCLX</t>
        </is>
      </c>
      <c r="C30661">
        <f>ROMAN(30660)</f>
        <v/>
      </c>
      <c r="D30661">
        <f>IF(B30661=C30661, "YES", "WRONG")</f>
        <v/>
      </c>
    </row>
    <row r="30662">
      <c r="A30662" t="n">
        <v>30661</v>
      </c>
      <c r="B30662" t="inlineStr">
        <is>
          <t>x̄x̄x̄DCLXI</t>
        </is>
      </c>
      <c r="C30662">
        <f>ROMAN(30661)</f>
        <v/>
      </c>
      <c r="D30662">
        <f>IF(B30662=C30662, "YES", "WRONG")</f>
        <v/>
      </c>
    </row>
    <row r="30663">
      <c r="A30663" t="n">
        <v>30662</v>
      </c>
      <c r="B30663" t="inlineStr">
        <is>
          <t>x̄x̄x̄DCLXII</t>
        </is>
      </c>
      <c r="C30663">
        <f>ROMAN(30662)</f>
        <v/>
      </c>
      <c r="D30663">
        <f>IF(B30663=C30663, "YES", "WRONG")</f>
        <v/>
      </c>
    </row>
    <row r="30664">
      <c r="A30664" t="n">
        <v>30663</v>
      </c>
      <c r="B30664" t="inlineStr">
        <is>
          <t>x̄x̄x̄DCLXIII</t>
        </is>
      </c>
      <c r="C30664">
        <f>ROMAN(30663)</f>
        <v/>
      </c>
      <c r="D30664">
        <f>IF(B30664=C30664, "YES", "WRONG")</f>
        <v/>
      </c>
    </row>
    <row r="30665">
      <c r="A30665" t="n">
        <v>30664</v>
      </c>
      <c r="B30665" t="inlineStr">
        <is>
          <t>x̄x̄x̄DCLXIV</t>
        </is>
      </c>
      <c r="C30665">
        <f>ROMAN(30664)</f>
        <v/>
      </c>
      <c r="D30665">
        <f>IF(B30665=C30665, "YES", "WRONG")</f>
        <v/>
      </c>
    </row>
    <row r="30666">
      <c r="A30666" t="n">
        <v>30665</v>
      </c>
      <c r="B30666" t="inlineStr">
        <is>
          <t>x̄x̄x̄DCLXV</t>
        </is>
      </c>
      <c r="C30666">
        <f>ROMAN(30665)</f>
        <v/>
      </c>
      <c r="D30666">
        <f>IF(B30666=C30666, "YES", "WRONG")</f>
        <v/>
      </c>
    </row>
    <row r="30667">
      <c r="A30667" t="n">
        <v>30666</v>
      </c>
      <c r="B30667" t="inlineStr">
        <is>
          <t>x̄x̄x̄DCLXVI</t>
        </is>
      </c>
      <c r="C30667">
        <f>ROMAN(30666)</f>
        <v/>
      </c>
      <c r="D30667">
        <f>IF(B30667=C30667, "YES", "WRONG")</f>
        <v/>
      </c>
    </row>
    <row r="30668">
      <c r="A30668" t="n">
        <v>30667</v>
      </c>
      <c r="B30668" t="inlineStr">
        <is>
          <t>x̄x̄x̄DCLXVII</t>
        </is>
      </c>
      <c r="C30668">
        <f>ROMAN(30667)</f>
        <v/>
      </c>
      <c r="D30668">
        <f>IF(B30668=C30668, "YES", "WRONG")</f>
        <v/>
      </c>
    </row>
    <row r="30669">
      <c r="A30669" t="n">
        <v>30668</v>
      </c>
      <c r="B30669" t="inlineStr">
        <is>
          <t>x̄x̄x̄DCLXVIII</t>
        </is>
      </c>
      <c r="C30669">
        <f>ROMAN(30668)</f>
        <v/>
      </c>
      <c r="D30669">
        <f>IF(B30669=C30669, "YES", "WRONG")</f>
        <v/>
      </c>
    </row>
    <row r="30670">
      <c r="A30670" t="n">
        <v>30669</v>
      </c>
      <c r="B30670" t="inlineStr">
        <is>
          <t>x̄x̄x̄DCLXIX</t>
        </is>
      </c>
      <c r="C30670">
        <f>ROMAN(30669)</f>
        <v/>
      </c>
      <c r="D30670">
        <f>IF(B30670=C30670, "YES", "WRONG")</f>
        <v/>
      </c>
    </row>
    <row r="30671">
      <c r="A30671" t="n">
        <v>30670</v>
      </c>
      <c r="B30671" t="inlineStr">
        <is>
          <t>x̄x̄x̄DCLXX</t>
        </is>
      </c>
      <c r="C30671">
        <f>ROMAN(30670)</f>
        <v/>
      </c>
      <c r="D30671">
        <f>IF(B30671=C30671, "YES", "WRONG")</f>
        <v/>
      </c>
    </row>
    <row r="30672">
      <c r="A30672" t="n">
        <v>30671</v>
      </c>
      <c r="B30672" t="inlineStr">
        <is>
          <t>x̄x̄x̄DCLXXI</t>
        </is>
      </c>
      <c r="C30672">
        <f>ROMAN(30671)</f>
        <v/>
      </c>
      <c r="D30672">
        <f>IF(B30672=C30672, "YES", "WRONG")</f>
        <v/>
      </c>
    </row>
    <row r="30673">
      <c r="A30673" t="n">
        <v>30672</v>
      </c>
      <c r="B30673" t="inlineStr">
        <is>
          <t>x̄x̄x̄DCLXXII</t>
        </is>
      </c>
      <c r="C30673">
        <f>ROMAN(30672)</f>
        <v/>
      </c>
      <c r="D30673">
        <f>IF(B30673=C30673, "YES", "WRONG")</f>
        <v/>
      </c>
    </row>
    <row r="30674">
      <c r="A30674" t="n">
        <v>30673</v>
      </c>
      <c r="B30674" t="inlineStr">
        <is>
          <t>x̄x̄x̄DCLXXIII</t>
        </is>
      </c>
      <c r="C30674">
        <f>ROMAN(30673)</f>
        <v/>
      </c>
      <c r="D30674">
        <f>IF(B30674=C30674, "YES", "WRONG")</f>
        <v/>
      </c>
    </row>
    <row r="30675">
      <c r="A30675" t="n">
        <v>30674</v>
      </c>
      <c r="B30675" t="inlineStr">
        <is>
          <t>x̄x̄x̄DCLXXIV</t>
        </is>
      </c>
      <c r="C30675">
        <f>ROMAN(30674)</f>
        <v/>
      </c>
      <c r="D30675">
        <f>IF(B30675=C30675, "YES", "WRONG")</f>
        <v/>
      </c>
    </row>
    <row r="30676">
      <c r="A30676" t="n">
        <v>30675</v>
      </c>
      <c r="B30676" t="inlineStr">
        <is>
          <t>x̄x̄x̄DCLXXV</t>
        </is>
      </c>
      <c r="C30676">
        <f>ROMAN(30675)</f>
        <v/>
      </c>
      <c r="D30676">
        <f>IF(B30676=C30676, "YES", "WRONG")</f>
        <v/>
      </c>
    </row>
    <row r="30677">
      <c r="A30677" t="n">
        <v>30676</v>
      </c>
      <c r="B30677" t="inlineStr">
        <is>
          <t>x̄x̄x̄DCLXXVI</t>
        </is>
      </c>
      <c r="C30677">
        <f>ROMAN(30676)</f>
        <v/>
      </c>
      <c r="D30677">
        <f>IF(B30677=C30677, "YES", "WRONG")</f>
        <v/>
      </c>
    </row>
    <row r="30678">
      <c r="A30678" t="n">
        <v>30677</v>
      </c>
      <c r="B30678" t="inlineStr">
        <is>
          <t>x̄x̄x̄DCLXXVII</t>
        </is>
      </c>
      <c r="C30678">
        <f>ROMAN(30677)</f>
        <v/>
      </c>
      <c r="D30678">
        <f>IF(B30678=C30678, "YES", "WRONG")</f>
        <v/>
      </c>
    </row>
    <row r="30679">
      <c r="A30679" t="n">
        <v>30678</v>
      </c>
      <c r="B30679" t="inlineStr">
        <is>
          <t>x̄x̄x̄DCLXXVIII</t>
        </is>
      </c>
      <c r="C30679">
        <f>ROMAN(30678)</f>
        <v/>
      </c>
      <c r="D30679">
        <f>IF(B30679=C30679, "YES", "WRONG")</f>
        <v/>
      </c>
    </row>
    <row r="30680">
      <c r="A30680" t="n">
        <v>30679</v>
      </c>
      <c r="B30680" t="inlineStr">
        <is>
          <t>x̄x̄x̄DCLXXIX</t>
        </is>
      </c>
      <c r="C30680">
        <f>ROMAN(30679)</f>
        <v/>
      </c>
      <c r="D30680">
        <f>IF(B30680=C30680, "YES", "WRONG")</f>
        <v/>
      </c>
    </row>
    <row r="30681">
      <c r="A30681" t="n">
        <v>30680</v>
      </c>
      <c r="B30681" t="inlineStr">
        <is>
          <t>x̄x̄x̄DCLXXX</t>
        </is>
      </c>
      <c r="C30681">
        <f>ROMAN(30680)</f>
        <v/>
      </c>
      <c r="D30681">
        <f>IF(B30681=C30681, "YES", "WRONG")</f>
        <v/>
      </c>
    </row>
    <row r="30682">
      <c r="A30682" t="n">
        <v>30681</v>
      </c>
      <c r="B30682" t="inlineStr">
        <is>
          <t>x̄x̄x̄DCLXXXI</t>
        </is>
      </c>
      <c r="C30682">
        <f>ROMAN(30681)</f>
        <v/>
      </c>
      <c r="D30682">
        <f>IF(B30682=C30682, "YES", "WRONG")</f>
        <v/>
      </c>
    </row>
    <row r="30683">
      <c r="A30683" t="n">
        <v>30682</v>
      </c>
      <c r="B30683" t="inlineStr">
        <is>
          <t>x̄x̄x̄DCLXXXII</t>
        </is>
      </c>
      <c r="C30683">
        <f>ROMAN(30682)</f>
        <v/>
      </c>
      <c r="D30683">
        <f>IF(B30683=C30683, "YES", "WRONG")</f>
        <v/>
      </c>
    </row>
    <row r="30684">
      <c r="A30684" t="n">
        <v>30683</v>
      </c>
      <c r="B30684" t="inlineStr">
        <is>
          <t>x̄x̄x̄DCLXXXIII</t>
        </is>
      </c>
      <c r="C30684">
        <f>ROMAN(30683)</f>
        <v/>
      </c>
      <c r="D30684">
        <f>IF(B30684=C30684, "YES", "WRONG")</f>
        <v/>
      </c>
    </row>
    <row r="30685">
      <c r="A30685" t="n">
        <v>30684</v>
      </c>
      <c r="B30685" t="inlineStr">
        <is>
          <t>x̄x̄x̄DCLXXXIV</t>
        </is>
      </c>
      <c r="C30685">
        <f>ROMAN(30684)</f>
        <v/>
      </c>
      <c r="D30685">
        <f>IF(B30685=C30685, "YES", "WRONG")</f>
        <v/>
      </c>
    </row>
    <row r="30686">
      <c r="A30686" t="n">
        <v>30685</v>
      </c>
      <c r="B30686" t="inlineStr">
        <is>
          <t>x̄x̄x̄DCLXXXV</t>
        </is>
      </c>
      <c r="C30686">
        <f>ROMAN(30685)</f>
        <v/>
      </c>
      <c r="D30686">
        <f>IF(B30686=C30686, "YES", "WRONG")</f>
        <v/>
      </c>
    </row>
    <row r="30687">
      <c r="A30687" t="n">
        <v>30686</v>
      </c>
      <c r="B30687" t="inlineStr">
        <is>
          <t>x̄x̄x̄DCLXXXVI</t>
        </is>
      </c>
      <c r="C30687">
        <f>ROMAN(30686)</f>
        <v/>
      </c>
      <c r="D30687">
        <f>IF(B30687=C30687, "YES", "WRONG")</f>
        <v/>
      </c>
    </row>
    <row r="30688">
      <c r="A30688" t="n">
        <v>30687</v>
      </c>
      <c r="B30688" t="inlineStr">
        <is>
          <t>x̄x̄x̄DCLXXXVII</t>
        </is>
      </c>
      <c r="C30688">
        <f>ROMAN(30687)</f>
        <v/>
      </c>
      <c r="D30688">
        <f>IF(B30688=C30688, "YES", "WRONG")</f>
        <v/>
      </c>
    </row>
    <row r="30689">
      <c r="A30689" t="n">
        <v>30688</v>
      </c>
      <c r="B30689" t="inlineStr">
        <is>
          <t>x̄x̄x̄DCLXXXVIII</t>
        </is>
      </c>
      <c r="C30689">
        <f>ROMAN(30688)</f>
        <v/>
      </c>
      <c r="D30689">
        <f>IF(B30689=C30689, "YES", "WRONG")</f>
        <v/>
      </c>
    </row>
    <row r="30690">
      <c r="A30690" t="n">
        <v>30689</v>
      </c>
      <c r="B30690" t="inlineStr">
        <is>
          <t>x̄x̄x̄DCLXXXIX</t>
        </is>
      </c>
      <c r="C30690">
        <f>ROMAN(30689)</f>
        <v/>
      </c>
      <c r="D30690">
        <f>IF(B30690=C30690, "YES", "WRONG")</f>
        <v/>
      </c>
    </row>
    <row r="30691">
      <c r="A30691" t="n">
        <v>30690</v>
      </c>
      <c r="B30691" t="inlineStr">
        <is>
          <t>x̄x̄x̄DCXC</t>
        </is>
      </c>
      <c r="C30691">
        <f>ROMAN(30690)</f>
        <v/>
      </c>
      <c r="D30691">
        <f>IF(B30691=C30691, "YES", "WRONG")</f>
        <v/>
      </c>
    </row>
    <row r="30692">
      <c r="A30692" t="n">
        <v>30691</v>
      </c>
      <c r="B30692" t="inlineStr">
        <is>
          <t>x̄x̄x̄DCXCI</t>
        </is>
      </c>
      <c r="C30692">
        <f>ROMAN(30691)</f>
        <v/>
      </c>
      <c r="D30692">
        <f>IF(B30692=C30692, "YES", "WRONG")</f>
        <v/>
      </c>
    </row>
    <row r="30693">
      <c r="A30693" t="n">
        <v>30692</v>
      </c>
      <c r="B30693" t="inlineStr">
        <is>
          <t>x̄x̄x̄DCXCII</t>
        </is>
      </c>
      <c r="C30693">
        <f>ROMAN(30692)</f>
        <v/>
      </c>
      <c r="D30693">
        <f>IF(B30693=C30693, "YES", "WRONG")</f>
        <v/>
      </c>
    </row>
    <row r="30694">
      <c r="A30694" t="n">
        <v>30693</v>
      </c>
      <c r="B30694" t="inlineStr">
        <is>
          <t>x̄x̄x̄DCXCIII</t>
        </is>
      </c>
      <c r="C30694">
        <f>ROMAN(30693)</f>
        <v/>
      </c>
      <c r="D30694">
        <f>IF(B30694=C30694, "YES", "WRONG")</f>
        <v/>
      </c>
    </row>
    <row r="30695">
      <c r="A30695" t="n">
        <v>30694</v>
      </c>
      <c r="B30695" t="inlineStr">
        <is>
          <t>x̄x̄x̄DCXCIV</t>
        </is>
      </c>
      <c r="C30695">
        <f>ROMAN(30694)</f>
        <v/>
      </c>
      <c r="D30695">
        <f>IF(B30695=C30695, "YES", "WRONG")</f>
        <v/>
      </c>
    </row>
    <row r="30696">
      <c r="A30696" t="n">
        <v>30695</v>
      </c>
      <c r="B30696" t="inlineStr">
        <is>
          <t>x̄x̄x̄DCXCV</t>
        </is>
      </c>
      <c r="C30696">
        <f>ROMAN(30695)</f>
        <v/>
      </c>
      <c r="D30696">
        <f>IF(B30696=C30696, "YES", "WRONG")</f>
        <v/>
      </c>
    </row>
    <row r="30697">
      <c r="A30697" t="n">
        <v>30696</v>
      </c>
      <c r="B30697" t="inlineStr">
        <is>
          <t>x̄x̄x̄DCXCVI</t>
        </is>
      </c>
      <c r="C30697">
        <f>ROMAN(30696)</f>
        <v/>
      </c>
      <c r="D30697">
        <f>IF(B30697=C30697, "YES", "WRONG")</f>
        <v/>
      </c>
    </row>
    <row r="30698">
      <c r="A30698" t="n">
        <v>30697</v>
      </c>
      <c r="B30698" t="inlineStr">
        <is>
          <t>x̄x̄x̄DCXCVII</t>
        </is>
      </c>
      <c r="C30698">
        <f>ROMAN(30697)</f>
        <v/>
      </c>
      <c r="D30698">
        <f>IF(B30698=C30698, "YES", "WRONG")</f>
        <v/>
      </c>
    </row>
    <row r="30699">
      <c r="A30699" t="n">
        <v>30698</v>
      </c>
      <c r="B30699" t="inlineStr">
        <is>
          <t>x̄x̄x̄DCXCVIII</t>
        </is>
      </c>
      <c r="C30699">
        <f>ROMAN(30698)</f>
        <v/>
      </c>
      <c r="D30699">
        <f>IF(B30699=C30699, "YES", "WRONG")</f>
        <v/>
      </c>
    </row>
    <row r="30700">
      <c r="A30700" t="n">
        <v>30699</v>
      </c>
      <c r="B30700" t="inlineStr">
        <is>
          <t>x̄x̄x̄DCXCIX</t>
        </is>
      </c>
      <c r="C30700">
        <f>ROMAN(30699)</f>
        <v/>
      </c>
      <c r="D30700">
        <f>IF(B30700=C30700, "YES", "WRONG")</f>
        <v/>
      </c>
    </row>
    <row r="30701">
      <c r="A30701" t="n">
        <v>30700</v>
      </c>
      <c r="B30701" t="inlineStr">
        <is>
          <t>x̄x̄x̄DCC</t>
        </is>
      </c>
      <c r="C30701">
        <f>ROMAN(30700)</f>
        <v/>
      </c>
      <c r="D30701">
        <f>IF(B30701=C30701, "YES", "WRONG")</f>
        <v/>
      </c>
    </row>
    <row r="30702">
      <c r="A30702" t="n">
        <v>30701</v>
      </c>
      <c r="B30702" t="inlineStr">
        <is>
          <t>x̄x̄x̄DCCI</t>
        </is>
      </c>
      <c r="C30702">
        <f>ROMAN(30701)</f>
        <v/>
      </c>
      <c r="D30702">
        <f>IF(B30702=C30702, "YES", "WRONG")</f>
        <v/>
      </c>
    </row>
    <row r="30703">
      <c r="A30703" t="n">
        <v>30702</v>
      </c>
      <c r="B30703" t="inlineStr">
        <is>
          <t>x̄x̄x̄DCCII</t>
        </is>
      </c>
      <c r="C30703">
        <f>ROMAN(30702)</f>
        <v/>
      </c>
      <c r="D30703">
        <f>IF(B30703=C30703, "YES", "WRONG")</f>
        <v/>
      </c>
    </row>
    <row r="30704">
      <c r="A30704" t="n">
        <v>30703</v>
      </c>
      <c r="B30704" t="inlineStr">
        <is>
          <t>x̄x̄x̄DCCIII</t>
        </is>
      </c>
      <c r="C30704">
        <f>ROMAN(30703)</f>
        <v/>
      </c>
      <c r="D30704">
        <f>IF(B30704=C30704, "YES", "WRONG")</f>
        <v/>
      </c>
    </row>
    <row r="30705">
      <c r="A30705" t="n">
        <v>30704</v>
      </c>
      <c r="B30705" t="inlineStr">
        <is>
          <t>x̄x̄x̄DCCIV</t>
        </is>
      </c>
      <c r="C30705">
        <f>ROMAN(30704)</f>
        <v/>
      </c>
      <c r="D30705">
        <f>IF(B30705=C30705, "YES", "WRONG")</f>
        <v/>
      </c>
    </row>
    <row r="30706">
      <c r="A30706" t="n">
        <v>30705</v>
      </c>
      <c r="B30706" t="inlineStr">
        <is>
          <t>x̄x̄x̄DCCV</t>
        </is>
      </c>
      <c r="C30706">
        <f>ROMAN(30705)</f>
        <v/>
      </c>
      <c r="D30706">
        <f>IF(B30706=C30706, "YES", "WRONG")</f>
        <v/>
      </c>
    </row>
    <row r="30707">
      <c r="A30707" t="n">
        <v>30706</v>
      </c>
      <c r="B30707" t="inlineStr">
        <is>
          <t>x̄x̄x̄DCCVI</t>
        </is>
      </c>
      <c r="C30707">
        <f>ROMAN(30706)</f>
        <v/>
      </c>
      <c r="D30707">
        <f>IF(B30707=C30707, "YES", "WRONG")</f>
        <v/>
      </c>
    </row>
    <row r="30708">
      <c r="A30708" t="n">
        <v>30707</v>
      </c>
      <c r="B30708" t="inlineStr">
        <is>
          <t>x̄x̄x̄DCCVII</t>
        </is>
      </c>
      <c r="C30708">
        <f>ROMAN(30707)</f>
        <v/>
      </c>
      <c r="D30708">
        <f>IF(B30708=C30708, "YES", "WRONG")</f>
        <v/>
      </c>
    </row>
    <row r="30709">
      <c r="A30709" t="n">
        <v>30708</v>
      </c>
      <c r="B30709" t="inlineStr">
        <is>
          <t>x̄x̄x̄DCCVIII</t>
        </is>
      </c>
      <c r="C30709">
        <f>ROMAN(30708)</f>
        <v/>
      </c>
      <c r="D30709">
        <f>IF(B30709=C30709, "YES", "WRONG")</f>
        <v/>
      </c>
    </row>
    <row r="30710">
      <c r="A30710" t="n">
        <v>30709</v>
      </c>
      <c r="B30710" t="inlineStr">
        <is>
          <t>x̄x̄x̄DCCIX</t>
        </is>
      </c>
      <c r="C30710">
        <f>ROMAN(30709)</f>
        <v/>
      </c>
      <c r="D30710">
        <f>IF(B30710=C30710, "YES", "WRONG")</f>
        <v/>
      </c>
    </row>
    <row r="30711">
      <c r="A30711" t="n">
        <v>30710</v>
      </c>
      <c r="B30711" t="inlineStr">
        <is>
          <t>x̄x̄x̄DCCX</t>
        </is>
      </c>
      <c r="C30711">
        <f>ROMAN(30710)</f>
        <v/>
      </c>
      <c r="D30711">
        <f>IF(B30711=C30711, "YES", "WRONG")</f>
        <v/>
      </c>
    </row>
    <row r="30712">
      <c r="A30712" t="n">
        <v>30711</v>
      </c>
      <c r="B30712" t="inlineStr">
        <is>
          <t>x̄x̄x̄DCCXI</t>
        </is>
      </c>
      <c r="C30712">
        <f>ROMAN(30711)</f>
        <v/>
      </c>
      <c r="D30712">
        <f>IF(B30712=C30712, "YES", "WRONG")</f>
        <v/>
      </c>
    </row>
    <row r="30713">
      <c r="A30713" t="n">
        <v>30712</v>
      </c>
      <c r="B30713" t="inlineStr">
        <is>
          <t>x̄x̄x̄DCCXII</t>
        </is>
      </c>
      <c r="C30713">
        <f>ROMAN(30712)</f>
        <v/>
      </c>
      <c r="D30713">
        <f>IF(B30713=C30713, "YES", "WRONG")</f>
        <v/>
      </c>
    </row>
    <row r="30714">
      <c r="A30714" t="n">
        <v>30713</v>
      </c>
      <c r="B30714" t="inlineStr">
        <is>
          <t>x̄x̄x̄DCCXIII</t>
        </is>
      </c>
      <c r="C30714">
        <f>ROMAN(30713)</f>
        <v/>
      </c>
      <c r="D30714">
        <f>IF(B30714=C30714, "YES", "WRONG")</f>
        <v/>
      </c>
    </row>
    <row r="30715">
      <c r="A30715" t="n">
        <v>30714</v>
      </c>
      <c r="B30715" t="inlineStr">
        <is>
          <t>x̄x̄x̄DCCXIV</t>
        </is>
      </c>
      <c r="C30715">
        <f>ROMAN(30714)</f>
        <v/>
      </c>
      <c r="D30715">
        <f>IF(B30715=C30715, "YES", "WRONG")</f>
        <v/>
      </c>
    </row>
    <row r="30716">
      <c r="A30716" t="n">
        <v>30715</v>
      </c>
      <c r="B30716" t="inlineStr">
        <is>
          <t>x̄x̄x̄DCCXV</t>
        </is>
      </c>
      <c r="C30716">
        <f>ROMAN(30715)</f>
        <v/>
      </c>
      <c r="D30716">
        <f>IF(B30716=C30716, "YES", "WRONG")</f>
        <v/>
      </c>
    </row>
    <row r="30717">
      <c r="A30717" t="n">
        <v>30716</v>
      </c>
      <c r="B30717" t="inlineStr">
        <is>
          <t>x̄x̄x̄DCCXVI</t>
        </is>
      </c>
      <c r="C30717">
        <f>ROMAN(30716)</f>
        <v/>
      </c>
      <c r="D30717">
        <f>IF(B30717=C30717, "YES", "WRONG")</f>
        <v/>
      </c>
    </row>
    <row r="30718">
      <c r="A30718" t="n">
        <v>30717</v>
      </c>
      <c r="B30718" t="inlineStr">
        <is>
          <t>x̄x̄x̄DCCXVII</t>
        </is>
      </c>
      <c r="C30718">
        <f>ROMAN(30717)</f>
        <v/>
      </c>
      <c r="D30718">
        <f>IF(B30718=C30718, "YES", "WRONG")</f>
        <v/>
      </c>
    </row>
    <row r="30719">
      <c r="A30719" t="n">
        <v>30718</v>
      </c>
      <c r="B30719" t="inlineStr">
        <is>
          <t>x̄x̄x̄DCCXVIII</t>
        </is>
      </c>
      <c r="C30719">
        <f>ROMAN(30718)</f>
        <v/>
      </c>
      <c r="D30719">
        <f>IF(B30719=C30719, "YES", "WRONG")</f>
        <v/>
      </c>
    </row>
    <row r="30720">
      <c r="A30720" t="n">
        <v>30719</v>
      </c>
      <c r="B30720" t="inlineStr">
        <is>
          <t>x̄x̄x̄DCCXIX</t>
        </is>
      </c>
      <c r="C30720">
        <f>ROMAN(30719)</f>
        <v/>
      </c>
      <c r="D30720">
        <f>IF(B30720=C30720, "YES", "WRONG")</f>
        <v/>
      </c>
    </row>
    <row r="30721">
      <c r="A30721" t="n">
        <v>30720</v>
      </c>
      <c r="B30721" t="inlineStr">
        <is>
          <t>x̄x̄x̄DCCXX</t>
        </is>
      </c>
      <c r="C30721">
        <f>ROMAN(30720)</f>
        <v/>
      </c>
      <c r="D30721">
        <f>IF(B30721=C30721, "YES", "WRONG")</f>
        <v/>
      </c>
    </row>
    <row r="30722">
      <c r="A30722" t="n">
        <v>30721</v>
      </c>
      <c r="B30722" t="inlineStr">
        <is>
          <t>x̄x̄x̄DCCXXI</t>
        </is>
      </c>
      <c r="C30722">
        <f>ROMAN(30721)</f>
        <v/>
      </c>
      <c r="D30722">
        <f>IF(B30722=C30722, "YES", "WRONG")</f>
        <v/>
      </c>
    </row>
    <row r="30723">
      <c r="A30723" t="n">
        <v>30722</v>
      </c>
      <c r="B30723" t="inlineStr">
        <is>
          <t>x̄x̄x̄DCCXXII</t>
        </is>
      </c>
      <c r="C30723">
        <f>ROMAN(30722)</f>
        <v/>
      </c>
      <c r="D30723">
        <f>IF(B30723=C30723, "YES", "WRONG")</f>
        <v/>
      </c>
    </row>
    <row r="30724">
      <c r="A30724" t="n">
        <v>30723</v>
      </c>
      <c r="B30724" t="inlineStr">
        <is>
          <t>x̄x̄x̄DCCXXIII</t>
        </is>
      </c>
      <c r="C30724">
        <f>ROMAN(30723)</f>
        <v/>
      </c>
      <c r="D30724">
        <f>IF(B30724=C30724, "YES", "WRONG")</f>
        <v/>
      </c>
    </row>
    <row r="30725">
      <c r="A30725" t="n">
        <v>30724</v>
      </c>
      <c r="B30725" t="inlineStr">
        <is>
          <t>x̄x̄x̄DCCXXIV</t>
        </is>
      </c>
      <c r="C30725">
        <f>ROMAN(30724)</f>
        <v/>
      </c>
      <c r="D30725">
        <f>IF(B30725=C30725, "YES", "WRONG")</f>
        <v/>
      </c>
    </row>
    <row r="30726">
      <c r="A30726" t="n">
        <v>30725</v>
      </c>
      <c r="B30726" t="inlineStr">
        <is>
          <t>x̄x̄x̄DCCXXV</t>
        </is>
      </c>
      <c r="C30726">
        <f>ROMAN(30725)</f>
        <v/>
      </c>
      <c r="D30726">
        <f>IF(B30726=C30726, "YES", "WRONG")</f>
        <v/>
      </c>
    </row>
    <row r="30727">
      <c r="A30727" t="n">
        <v>30726</v>
      </c>
      <c r="B30727" t="inlineStr">
        <is>
          <t>x̄x̄x̄DCCXXVI</t>
        </is>
      </c>
      <c r="C30727">
        <f>ROMAN(30726)</f>
        <v/>
      </c>
      <c r="D30727">
        <f>IF(B30727=C30727, "YES", "WRONG")</f>
        <v/>
      </c>
    </row>
    <row r="30728">
      <c r="A30728" t="n">
        <v>30727</v>
      </c>
      <c r="B30728" t="inlineStr">
        <is>
          <t>x̄x̄x̄DCCXXVII</t>
        </is>
      </c>
      <c r="C30728">
        <f>ROMAN(30727)</f>
        <v/>
      </c>
      <c r="D30728">
        <f>IF(B30728=C30728, "YES", "WRONG")</f>
        <v/>
      </c>
    </row>
    <row r="30729">
      <c r="A30729" t="n">
        <v>30728</v>
      </c>
      <c r="B30729" t="inlineStr">
        <is>
          <t>x̄x̄x̄DCCXXVIII</t>
        </is>
      </c>
      <c r="C30729">
        <f>ROMAN(30728)</f>
        <v/>
      </c>
      <c r="D30729">
        <f>IF(B30729=C30729, "YES", "WRONG")</f>
        <v/>
      </c>
    </row>
    <row r="30730">
      <c r="A30730" t="n">
        <v>30729</v>
      </c>
      <c r="B30730" t="inlineStr">
        <is>
          <t>x̄x̄x̄DCCXXIX</t>
        </is>
      </c>
      <c r="C30730">
        <f>ROMAN(30729)</f>
        <v/>
      </c>
      <c r="D30730">
        <f>IF(B30730=C30730, "YES", "WRONG")</f>
        <v/>
      </c>
    </row>
    <row r="30731">
      <c r="A30731" t="n">
        <v>30730</v>
      </c>
      <c r="B30731" t="inlineStr">
        <is>
          <t>x̄x̄x̄DCCXXX</t>
        </is>
      </c>
      <c r="C30731">
        <f>ROMAN(30730)</f>
        <v/>
      </c>
      <c r="D30731">
        <f>IF(B30731=C30731, "YES", "WRONG")</f>
        <v/>
      </c>
    </row>
    <row r="30732">
      <c r="A30732" t="n">
        <v>30731</v>
      </c>
      <c r="B30732" t="inlineStr">
        <is>
          <t>x̄x̄x̄DCCXXXI</t>
        </is>
      </c>
      <c r="C30732">
        <f>ROMAN(30731)</f>
        <v/>
      </c>
      <c r="D30732">
        <f>IF(B30732=C30732, "YES", "WRONG")</f>
        <v/>
      </c>
    </row>
    <row r="30733">
      <c r="A30733" t="n">
        <v>30732</v>
      </c>
      <c r="B30733" t="inlineStr">
        <is>
          <t>x̄x̄x̄DCCXXXII</t>
        </is>
      </c>
      <c r="C30733">
        <f>ROMAN(30732)</f>
        <v/>
      </c>
      <c r="D30733">
        <f>IF(B30733=C30733, "YES", "WRONG")</f>
        <v/>
      </c>
    </row>
    <row r="30734">
      <c r="A30734" t="n">
        <v>30733</v>
      </c>
      <c r="B30734" t="inlineStr">
        <is>
          <t>x̄x̄x̄DCCXXXIII</t>
        </is>
      </c>
      <c r="C30734">
        <f>ROMAN(30733)</f>
        <v/>
      </c>
      <c r="D30734">
        <f>IF(B30734=C30734, "YES", "WRONG")</f>
        <v/>
      </c>
    </row>
    <row r="30735">
      <c r="A30735" t="n">
        <v>30734</v>
      </c>
      <c r="B30735" t="inlineStr">
        <is>
          <t>x̄x̄x̄DCCXXXIV</t>
        </is>
      </c>
      <c r="C30735">
        <f>ROMAN(30734)</f>
        <v/>
      </c>
      <c r="D30735">
        <f>IF(B30735=C30735, "YES", "WRONG")</f>
        <v/>
      </c>
    </row>
    <row r="30736">
      <c r="A30736" t="n">
        <v>30735</v>
      </c>
      <c r="B30736" t="inlineStr">
        <is>
          <t>x̄x̄x̄DCCXXXV</t>
        </is>
      </c>
      <c r="C30736">
        <f>ROMAN(30735)</f>
        <v/>
      </c>
      <c r="D30736">
        <f>IF(B30736=C30736, "YES", "WRONG")</f>
        <v/>
      </c>
    </row>
    <row r="30737">
      <c r="A30737" t="n">
        <v>30736</v>
      </c>
      <c r="B30737" t="inlineStr">
        <is>
          <t>x̄x̄x̄DCCXXXVI</t>
        </is>
      </c>
      <c r="C30737">
        <f>ROMAN(30736)</f>
        <v/>
      </c>
      <c r="D30737">
        <f>IF(B30737=C30737, "YES", "WRONG")</f>
        <v/>
      </c>
    </row>
    <row r="30738">
      <c r="A30738" t="n">
        <v>30737</v>
      </c>
      <c r="B30738" t="inlineStr">
        <is>
          <t>x̄x̄x̄DCCXXXVII</t>
        </is>
      </c>
      <c r="C30738">
        <f>ROMAN(30737)</f>
        <v/>
      </c>
      <c r="D30738">
        <f>IF(B30738=C30738, "YES", "WRONG")</f>
        <v/>
      </c>
    </row>
    <row r="30739">
      <c r="A30739" t="n">
        <v>30738</v>
      </c>
      <c r="B30739" t="inlineStr">
        <is>
          <t>x̄x̄x̄DCCXXXVIII</t>
        </is>
      </c>
      <c r="C30739">
        <f>ROMAN(30738)</f>
        <v/>
      </c>
      <c r="D30739">
        <f>IF(B30739=C30739, "YES", "WRONG")</f>
        <v/>
      </c>
    </row>
    <row r="30740">
      <c r="A30740" t="n">
        <v>30739</v>
      </c>
      <c r="B30740" t="inlineStr">
        <is>
          <t>x̄x̄x̄DCCXXXIX</t>
        </is>
      </c>
      <c r="C30740">
        <f>ROMAN(30739)</f>
        <v/>
      </c>
      <c r="D30740">
        <f>IF(B30740=C30740, "YES", "WRONG")</f>
        <v/>
      </c>
    </row>
    <row r="30741">
      <c r="A30741" t="n">
        <v>30740</v>
      </c>
      <c r="B30741" t="inlineStr">
        <is>
          <t>x̄x̄x̄DCCXL</t>
        </is>
      </c>
      <c r="C30741">
        <f>ROMAN(30740)</f>
        <v/>
      </c>
      <c r="D30741">
        <f>IF(B30741=C30741, "YES", "WRONG")</f>
        <v/>
      </c>
    </row>
    <row r="30742">
      <c r="A30742" t="n">
        <v>30741</v>
      </c>
      <c r="B30742" t="inlineStr">
        <is>
          <t>x̄x̄x̄DCCXLI</t>
        </is>
      </c>
      <c r="C30742">
        <f>ROMAN(30741)</f>
        <v/>
      </c>
      <c r="D30742">
        <f>IF(B30742=C30742, "YES", "WRONG")</f>
        <v/>
      </c>
    </row>
    <row r="30743">
      <c r="A30743" t="n">
        <v>30742</v>
      </c>
      <c r="B30743" t="inlineStr">
        <is>
          <t>x̄x̄x̄DCCXLII</t>
        </is>
      </c>
      <c r="C30743">
        <f>ROMAN(30742)</f>
        <v/>
      </c>
      <c r="D30743">
        <f>IF(B30743=C30743, "YES", "WRONG")</f>
        <v/>
      </c>
    </row>
    <row r="30744">
      <c r="A30744" t="n">
        <v>30743</v>
      </c>
      <c r="B30744" t="inlineStr">
        <is>
          <t>x̄x̄x̄DCCXLIII</t>
        </is>
      </c>
      <c r="C30744">
        <f>ROMAN(30743)</f>
        <v/>
      </c>
      <c r="D30744">
        <f>IF(B30744=C30744, "YES", "WRONG")</f>
        <v/>
      </c>
    </row>
    <row r="30745">
      <c r="A30745" t="n">
        <v>30744</v>
      </c>
      <c r="B30745" t="inlineStr">
        <is>
          <t>x̄x̄x̄DCCXLIV</t>
        </is>
      </c>
      <c r="C30745">
        <f>ROMAN(30744)</f>
        <v/>
      </c>
      <c r="D30745">
        <f>IF(B30745=C30745, "YES", "WRONG")</f>
        <v/>
      </c>
    </row>
    <row r="30746">
      <c r="A30746" t="n">
        <v>30745</v>
      </c>
      <c r="B30746" t="inlineStr">
        <is>
          <t>x̄x̄x̄DCCXLV</t>
        </is>
      </c>
      <c r="C30746">
        <f>ROMAN(30745)</f>
        <v/>
      </c>
      <c r="D30746">
        <f>IF(B30746=C30746, "YES", "WRONG")</f>
        <v/>
      </c>
    </row>
    <row r="30747">
      <c r="A30747" t="n">
        <v>30746</v>
      </c>
      <c r="B30747" t="inlineStr">
        <is>
          <t>x̄x̄x̄DCCXLVI</t>
        </is>
      </c>
      <c r="C30747">
        <f>ROMAN(30746)</f>
        <v/>
      </c>
      <c r="D30747">
        <f>IF(B30747=C30747, "YES", "WRONG")</f>
        <v/>
      </c>
    </row>
    <row r="30748">
      <c r="A30748" t="n">
        <v>30747</v>
      </c>
      <c r="B30748" t="inlineStr">
        <is>
          <t>x̄x̄x̄DCCXLVII</t>
        </is>
      </c>
      <c r="C30748">
        <f>ROMAN(30747)</f>
        <v/>
      </c>
      <c r="D30748">
        <f>IF(B30748=C30748, "YES", "WRONG")</f>
        <v/>
      </c>
    </row>
    <row r="30749">
      <c r="A30749" t="n">
        <v>30748</v>
      </c>
      <c r="B30749" t="inlineStr">
        <is>
          <t>x̄x̄x̄DCCXLVIII</t>
        </is>
      </c>
      <c r="C30749">
        <f>ROMAN(30748)</f>
        <v/>
      </c>
      <c r="D30749">
        <f>IF(B30749=C30749, "YES", "WRONG")</f>
        <v/>
      </c>
    </row>
    <row r="30750">
      <c r="A30750" t="n">
        <v>30749</v>
      </c>
      <c r="B30750" t="inlineStr">
        <is>
          <t>x̄x̄x̄DCCXLIX</t>
        </is>
      </c>
      <c r="C30750">
        <f>ROMAN(30749)</f>
        <v/>
      </c>
      <c r="D30750">
        <f>IF(B30750=C30750, "YES", "WRONG")</f>
        <v/>
      </c>
    </row>
    <row r="30751">
      <c r="A30751" t="n">
        <v>30750</v>
      </c>
      <c r="B30751" t="inlineStr">
        <is>
          <t>x̄x̄x̄DCCL</t>
        </is>
      </c>
      <c r="C30751">
        <f>ROMAN(30750)</f>
        <v/>
      </c>
      <c r="D30751">
        <f>IF(B30751=C30751, "YES", "WRONG")</f>
        <v/>
      </c>
    </row>
    <row r="30752">
      <c r="A30752" t="n">
        <v>30751</v>
      </c>
      <c r="B30752" t="inlineStr">
        <is>
          <t>x̄x̄x̄DCCLI</t>
        </is>
      </c>
      <c r="C30752">
        <f>ROMAN(30751)</f>
        <v/>
      </c>
      <c r="D30752">
        <f>IF(B30752=C30752, "YES", "WRONG")</f>
        <v/>
      </c>
    </row>
    <row r="30753">
      <c r="A30753" t="n">
        <v>30752</v>
      </c>
      <c r="B30753" t="inlineStr">
        <is>
          <t>x̄x̄x̄DCCLII</t>
        </is>
      </c>
      <c r="C30753">
        <f>ROMAN(30752)</f>
        <v/>
      </c>
      <c r="D30753">
        <f>IF(B30753=C30753, "YES", "WRONG")</f>
        <v/>
      </c>
    </row>
    <row r="30754">
      <c r="A30754" t="n">
        <v>30753</v>
      </c>
      <c r="B30754" t="inlineStr">
        <is>
          <t>x̄x̄x̄DCCLIII</t>
        </is>
      </c>
      <c r="C30754">
        <f>ROMAN(30753)</f>
        <v/>
      </c>
      <c r="D30754">
        <f>IF(B30754=C30754, "YES", "WRONG")</f>
        <v/>
      </c>
    </row>
    <row r="30755">
      <c r="A30755" t="n">
        <v>30754</v>
      </c>
      <c r="B30755" t="inlineStr">
        <is>
          <t>x̄x̄x̄DCCLIV</t>
        </is>
      </c>
      <c r="C30755">
        <f>ROMAN(30754)</f>
        <v/>
      </c>
      <c r="D30755">
        <f>IF(B30755=C30755, "YES", "WRONG")</f>
        <v/>
      </c>
    </row>
    <row r="30756">
      <c r="A30756" t="n">
        <v>30755</v>
      </c>
      <c r="B30756" t="inlineStr">
        <is>
          <t>x̄x̄x̄DCCLV</t>
        </is>
      </c>
      <c r="C30756">
        <f>ROMAN(30755)</f>
        <v/>
      </c>
      <c r="D30756">
        <f>IF(B30756=C30756, "YES", "WRONG")</f>
        <v/>
      </c>
    </row>
    <row r="30757">
      <c r="A30757" t="n">
        <v>30756</v>
      </c>
      <c r="B30757" t="inlineStr">
        <is>
          <t>x̄x̄x̄DCCLVI</t>
        </is>
      </c>
      <c r="C30757">
        <f>ROMAN(30756)</f>
        <v/>
      </c>
      <c r="D30757">
        <f>IF(B30757=C30757, "YES", "WRONG")</f>
        <v/>
      </c>
    </row>
    <row r="30758">
      <c r="A30758" t="n">
        <v>30757</v>
      </c>
      <c r="B30758" t="inlineStr">
        <is>
          <t>x̄x̄x̄DCCLVII</t>
        </is>
      </c>
      <c r="C30758">
        <f>ROMAN(30757)</f>
        <v/>
      </c>
      <c r="D30758">
        <f>IF(B30758=C30758, "YES", "WRONG")</f>
        <v/>
      </c>
    </row>
    <row r="30759">
      <c r="A30759" t="n">
        <v>30758</v>
      </c>
      <c r="B30759" t="inlineStr">
        <is>
          <t>x̄x̄x̄DCCLVIII</t>
        </is>
      </c>
      <c r="C30759">
        <f>ROMAN(30758)</f>
        <v/>
      </c>
      <c r="D30759">
        <f>IF(B30759=C30759, "YES", "WRONG")</f>
        <v/>
      </c>
    </row>
    <row r="30760">
      <c r="A30760" t="n">
        <v>30759</v>
      </c>
      <c r="B30760" t="inlineStr">
        <is>
          <t>x̄x̄x̄DCCLIX</t>
        </is>
      </c>
      <c r="C30760">
        <f>ROMAN(30759)</f>
        <v/>
      </c>
      <c r="D30760">
        <f>IF(B30760=C30760, "YES", "WRONG")</f>
        <v/>
      </c>
    </row>
    <row r="30761">
      <c r="A30761" t="n">
        <v>30760</v>
      </c>
      <c r="B30761" t="inlineStr">
        <is>
          <t>x̄x̄x̄DCCLX</t>
        </is>
      </c>
      <c r="C30761">
        <f>ROMAN(30760)</f>
        <v/>
      </c>
      <c r="D30761">
        <f>IF(B30761=C30761, "YES", "WRONG")</f>
        <v/>
      </c>
    </row>
    <row r="30762">
      <c r="A30762" t="n">
        <v>30761</v>
      </c>
      <c r="B30762" t="inlineStr">
        <is>
          <t>x̄x̄x̄DCCLXI</t>
        </is>
      </c>
      <c r="C30762">
        <f>ROMAN(30761)</f>
        <v/>
      </c>
      <c r="D30762">
        <f>IF(B30762=C30762, "YES", "WRONG")</f>
        <v/>
      </c>
    </row>
    <row r="30763">
      <c r="A30763" t="n">
        <v>30762</v>
      </c>
      <c r="B30763" t="inlineStr">
        <is>
          <t>x̄x̄x̄DCCLXII</t>
        </is>
      </c>
      <c r="C30763">
        <f>ROMAN(30762)</f>
        <v/>
      </c>
      <c r="D30763">
        <f>IF(B30763=C30763, "YES", "WRONG")</f>
        <v/>
      </c>
    </row>
    <row r="30764">
      <c r="A30764" t="n">
        <v>30763</v>
      </c>
      <c r="B30764" t="inlineStr">
        <is>
          <t>x̄x̄x̄DCCLXIII</t>
        </is>
      </c>
      <c r="C30764">
        <f>ROMAN(30763)</f>
        <v/>
      </c>
      <c r="D30764">
        <f>IF(B30764=C30764, "YES", "WRONG")</f>
        <v/>
      </c>
    </row>
    <row r="30765">
      <c r="A30765" t="n">
        <v>30764</v>
      </c>
      <c r="B30765" t="inlineStr">
        <is>
          <t>x̄x̄x̄DCCLXIV</t>
        </is>
      </c>
      <c r="C30765">
        <f>ROMAN(30764)</f>
        <v/>
      </c>
      <c r="D30765">
        <f>IF(B30765=C30765, "YES", "WRONG")</f>
        <v/>
      </c>
    </row>
    <row r="30766">
      <c r="A30766" t="n">
        <v>30765</v>
      </c>
      <c r="B30766" t="inlineStr">
        <is>
          <t>x̄x̄x̄DCCLXV</t>
        </is>
      </c>
      <c r="C30766">
        <f>ROMAN(30765)</f>
        <v/>
      </c>
      <c r="D30766">
        <f>IF(B30766=C30766, "YES", "WRONG")</f>
        <v/>
      </c>
    </row>
    <row r="30767">
      <c r="A30767" t="n">
        <v>30766</v>
      </c>
      <c r="B30767" t="inlineStr">
        <is>
          <t>x̄x̄x̄DCCLXVI</t>
        </is>
      </c>
      <c r="C30767">
        <f>ROMAN(30766)</f>
        <v/>
      </c>
      <c r="D30767">
        <f>IF(B30767=C30767, "YES", "WRONG")</f>
        <v/>
      </c>
    </row>
    <row r="30768">
      <c r="A30768" t="n">
        <v>30767</v>
      </c>
      <c r="B30768" t="inlineStr">
        <is>
          <t>x̄x̄x̄DCCLXVII</t>
        </is>
      </c>
      <c r="C30768">
        <f>ROMAN(30767)</f>
        <v/>
      </c>
      <c r="D30768">
        <f>IF(B30768=C30768, "YES", "WRONG")</f>
        <v/>
      </c>
    </row>
    <row r="30769">
      <c r="A30769" t="n">
        <v>30768</v>
      </c>
      <c r="B30769" t="inlineStr">
        <is>
          <t>x̄x̄x̄DCCLXVIII</t>
        </is>
      </c>
      <c r="C30769">
        <f>ROMAN(30768)</f>
        <v/>
      </c>
      <c r="D30769">
        <f>IF(B30769=C30769, "YES", "WRONG")</f>
        <v/>
      </c>
    </row>
    <row r="30770">
      <c r="A30770" t="n">
        <v>30769</v>
      </c>
      <c r="B30770" t="inlineStr">
        <is>
          <t>x̄x̄x̄DCCLXIX</t>
        </is>
      </c>
      <c r="C30770">
        <f>ROMAN(30769)</f>
        <v/>
      </c>
      <c r="D30770">
        <f>IF(B30770=C30770, "YES", "WRONG")</f>
        <v/>
      </c>
    </row>
    <row r="30771">
      <c r="A30771" t="n">
        <v>30770</v>
      </c>
      <c r="B30771" t="inlineStr">
        <is>
          <t>x̄x̄x̄DCCLXX</t>
        </is>
      </c>
      <c r="C30771">
        <f>ROMAN(30770)</f>
        <v/>
      </c>
      <c r="D30771">
        <f>IF(B30771=C30771, "YES", "WRONG")</f>
        <v/>
      </c>
    </row>
    <row r="30772">
      <c r="A30772" t="n">
        <v>30771</v>
      </c>
      <c r="B30772" t="inlineStr">
        <is>
          <t>x̄x̄x̄DCCLXXI</t>
        </is>
      </c>
      <c r="C30772">
        <f>ROMAN(30771)</f>
        <v/>
      </c>
      <c r="D30772">
        <f>IF(B30772=C30772, "YES", "WRONG")</f>
        <v/>
      </c>
    </row>
    <row r="30773">
      <c r="A30773" t="n">
        <v>30772</v>
      </c>
      <c r="B30773" t="inlineStr">
        <is>
          <t>x̄x̄x̄DCCLXXII</t>
        </is>
      </c>
      <c r="C30773">
        <f>ROMAN(30772)</f>
        <v/>
      </c>
      <c r="D30773">
        <f>IF(B30773=C30773, "YES", "WRONG")</f>
        <v/>
      </c>
    </row>
    <row r="30774">
      <c r="A30774" t="n">
        <v>30773</v>
      </c>
      <c r="B30774" t="inlineStr">
        <is>
          <t>x̄x̄x̄DCCLXXIII</t>
        </is>
      </c>
      <c r="C30774">
        <f>ROMAN(30773)</f>
        <v/>
      </c>
      <c r="D30774">
        <f>IF(B30774=C30774, "YES", "WRONG")</f>
        <v/>
      </c>
    </row>
    <row r="30775">
      <c r="A30775" t="n">
        <v>30774</v>
      </c>
      <c r="B30775" t="inlineStr">
        <is>
          <t>x̄x̄x̄DCCLXXIV</t>
        </is>
      </c>
      <c r="C30775">
        <f>ROMAN(30774)</f>
        <v/>
      </c>
      <c r="D30775">
        <f>IF(B30775=C30775, "YES", "WRONG")</f>
        <v/>
      </c>
    </row>
    <row r="30776">
      <c r="A30776" t="n">
        <v>30775</v>
      </c>
      <c r="B30776" t="inlineStr">
        <is>
          <t>x̄x̄x̄DCCLXXV</t>
        </is>
      </c>
      <c r="C30776">
        <f>ROMAN(30775)</f>
        <v/>
      </c>
      <c r="D30776">
        <f>IF(B30776=C30776, "YES", "WRONG")</f>
        <v/>
      </c>
    </row>
    <row r="30777">
      <c r="A30777" t="n">
        <v>30776</v>
      </c>
      <c r="B30777" t="inlineStr">
        <is>
          <t>x̄x̄x̄DCCLXXVI</t>
        </is>
      </c>
      <c r="C30777">
        <f>ROMAN(30776)</f>
        <v/>
      </c>
      <c r="D30777">
        <f>IF(B30777=C30777, "YES", "WRONG")</f>
        <v/>
      </c>
    </row>
    <row r="30778">
      <c r="A30778" t="n">
        <v>30777</v>
      </c>
      <c r="B30778" t="inlineStr">
        <is>
          <t>x̄x̄x̄DCCLXXVII</t>
        </is>
      </c>
      <c r="C30778">
        <f>ROMAN(30777)</f>
        <v/>
      </c>
      <c r="D30778">
        <f>IF(B30778=C30778, "YES", "WRONG")</f>
        <v/>
      </c>
    </row>
    <row r="30779">
      <c r="A30779" t="n">
        <v>30778</v>
      </c>
      <c r="B30779" t="inlineStr">
        <is>
          <t>x̄x̄x̄DCCLXXVIII</t>
        </is>
      </c>
      <c r="C30779">
        <f>ROMAN(30778)</f>
        <v/>
      </c>
      <c r="D30779">
        <f>IF(B30779=C30779, "YES", "WRONG")</f>
        <v/>
      </c>
    </row>
    <row r="30780">
      <c r="A30780" t="n">
        <v>30779</v>
      </c>
      <c r="B30780" t="inlineStr">
        <is>
          <t>x̄x̄x̄DCCLXXIX</t>
        </is>
      </c>
      <c r="C30780">
        <f>ROMAN(30779)</f>
        <v/>
      </c>
      <c r="D30780">
        <f>IF(B30780=C30780, "YES", "WRONG")</f>
        <v/>
      </c>
    </row>
    <row r="30781">
      <c r="A30781" t="n">
        <v>30780</v>
      </c>
      <c r="B30781" t="inlineStr">
        <is>
          <t>x̄x̄x̄DCCLXXX</t>
        </is>
      </c>
      <c r="C30781">
        <f>ROMAN(30780)</f>
        <v/>
      </c>
      <c r="D30781">
        <f>IF(B30781=C30781, "YES", "WRONG")</f>
        <v/>
      </c>
    </row>
    <row r="30782">
      <c r="A30782" t="n">
        <v>30781</v>
      </c>
      <c r="B30782" t="inlineStr">
        <is>
          <t>x̄x̄x̄DCCLXXXI</t>
        </is>
      </c>
      <c r="C30782">
        <f>ROMAN(30781)</f>
        <v/>
      </c>
      <c r="D30782">
        <f>IF(B30782=C30782, "YES", "WRONG")</f>
        <v/>
      </c>
    </row>
    <row r="30783">
      <c r="A30783" t="n">
        <v>30782</v>
      </c>
      <c r="B30783" t="inlineStr">
        <is>
          <t>x̄x̄x̄DCCLXXXII</t>
        </is>
      </c>
      <c r="C30783">
        <f>ROMAN(30782)</f>
        <v/>
      </c>
      <c r="D30783">
        <f>IF(B30783=C30783, "YES", "WRONG")</f>
        <v/>
      </c>
    </row>
    <row r="30784">
      <c r="A30784" t="n">
        <v>30783</v>
      </c>
      <c r="B30784" t="inlineStr">
        <is>
          <t>x̄x̄x̄DCCLXXXIII</t>
        </is>
      </c>
      <c r="C30784">
        <f>ROMAN(30783)</f>
        <v/>
      </c>
      <c r="D30784">
        <f>IF(B30784=C30784, "YES", "WRONG")</f>
        <v/>
      </c>
    </row>
    <row r="30785">
      <c r="A30785" t="n">
        <v>30784</v>
      </c>
      <c r="B30785" t="inlineStr">
        <is>
          <t>x̄x̄x̄DCCLXXXIV</t>
        </is>
      </c>
      <c r="C30785">
        <f>ROMAN(30784)</f>
        <v/>
      </c>
      <c r="D30785">
        <f>IF(B30785=C30785, "YES", "WRONG")</f>
        <v/>
      </c>
    </row>
    <row r="30786">
      <c r="A30786" t="n">
        <v>30785</v>
      </c>
      <c r="B30786" t="inlineStr">
        <is>
          <t>x̄x̄x̄DCCLXXXV</t>
        </is>
      </c>
      <c r="C30786">
        <f>ROMAN(30785)</f>
        <v/>
      </c>
      <c r="D30786">
        <f>IF(B30786=C30786, "YES", "WRONG")</f>
        <v/>
      </c>
    </row>
    <row r="30787">
      <c r="A30787" t="n">
        <v>30786</v>
      </c>
      <c r="B30787" t="inlineStr">
        <is>
          <t>x̄x̄x̄DCCLXXXVI</t>
        </is>
      </c>
      <c r="C30787">
        <f>ROMAN(30786)</f>
        <v/>
      </c>
      <c r="D30787">
        <f>IF(B30787=C30787, "YES", "WRONG")</f>
        <v/>
      </c>
    </row>
    <row r="30788">
      <c r="A30788" t="n">
        <v>30787</v>
      </c>
      <c r="B30788" t="inlineStr">
        <is>
          <t>x̄x̄x̄DCCLXXXVII</t>
        </is>
      </c>
      <c r="C30788">
        <f>ROMAN(30787)</f>
        <v/>
      </c>
      <c r="D30788">
        <f>IF(B30788=C30788, "YES", "WRONG")</f>
        <v/>
      </c>
    </row>
    <row r="30789">
      <c r="A30789" t="n">
        <v>30788</v>
      </c>
      <c r="B30789" t="inlineStr">
        <is>
          <t>x̄x̄x̄DCCLXXXVIII</t>
        </is>
      </c>
      <c r="C30789">
        <f>ROMAN(30788)</f>
        <v/>
      </c>
      <c r="D30789">
        <f>IF(B30789=C30789, "YES", "WRONG")</f>
        <v/>
      </c>
    </row>
    <row r="30790">
      <c r="A30790" t="n">
        <v>30789</v>
      </c>
      <c r="B30790" t="inlineStr">
        <is>
          <t>x̄x̄x̄DCCLXXXIX</t>
        </is>
      </c>
      <c r="C30790">
        <f>ROMAN(30789)</f>
        <v/>
      </c>
      <c r="D30790">
        <f>IF(B30790=C30790, "YES", "WRONG")</f>
        <v/>
      </c>
    </row>
    <row r="30791">
      <c r="A30791" t="n">
        <v>30790</v>
      </c>
      <c r="B30791" t="inlineStr">
        <is>
          <t>x̄x̄x̄DCCXC</t>
        </is>
      </c>
      <c r="C30791">
        <f>ROMAN(30790)</f>
        <v/>
      </c>
      <c r="D30791">
        <f>IF(B30791=C30791, "YES", "WRONG")</f>
        <v/>
      </c>
    </row>
    <row r="30792">
      <c r="A30792" t="n">
        <v>30791</v>
      </c>
      <c r="B30792" t="inlineStr">
        <is>
          <t>x̄x̄x̄DCCXCI</t>
        </is>
      </c>
      <c r="C30792">
        <f>ROMAN(30791)</f>
        <v/>
      </c>
      <c r="D30792">
        <f>IF(B30792=C30792, "YES", "WRONG")</f>
        <v/>
      </c>
    </row>
    <row r="30793">
      <c r="A30793" t="n">
        <v>30792</v>
      </c>
      <c r="B30793" t="inlineStr">
        <is>
          <t>x̄x̄x̄DCCXCII</t>
        </is>
      </c>
      <c r="C30793">
        <f>ROMAN(30792)</f>
        <v/>
      </c>
      <c r="D30793">
        <f>IF(B30793=C30793, "YES", "WRONG")</f>
        <v/>
      </c>
    </row>
    <row r="30794">
      <c r="A30794" t="n">
        <v>30793</v>
      </c>
      <c r="B30794" t="inlineStr">
        <is>
          <t>x̄x̄x̄DCCXCIII</t>
        </is>
      </c>
      <c r="C30794">
        <f>ROMAN(30793)</f>
        <v/>
      </c>
      <c r="D30794">
        <f>IF(B30794=C30794, "YES", "WRONG")</f>
        <v/>
      </c>
    </row>
    <row r="30795">
      <c r="A30795" t="n">
        <v>30794</v>
      </c>
      <c r="B30795" t="inlineStr">
        <is>
          <t>x̄x̄x̄DCCXCIV</t>
        </is>
      </c>
      <c r="C30795">
        <f>ROMAN(30794)</f>
        <v/>
      </c>
      <c r="D30795">
        <f>IF(B30795=C30795, "YES", "WRONG")</f>
        <v/>
      </c>
    </row>
    <row r="30796">
      <c r="A30796" t="n">
        <v>30795</v>
      </c>
      <c r="B30796" t="inlineStr">
        <is>
          <t>x̄x̄x̄DCCXCV</t>
        </is>
      </c>
      <c r="C30796">
        <f>ROMAN(30795)</f>
        <v/>
      </c>
      <c r="D30796">
        <f>IF(B30796=C30796, "YES", "WRONG")</f>
        <v/>
      </c>
    </row>
    <row r="30797">
      <c r="A30797" t="n">
        <v>30796</v>
      </c>
      <c r="B30797" t="inlineStr">
        <is>
          <t>x̄x̄x̄DCCXCVI</t>
        </is>
      </c>
      <c r="C30797">
        <f>ROMAN(30796)</f>
        <v/>
      </c>
      <c r="D30797">
        <f>IF(B30797=C30797, "YES", "WRONG")</f>
        <v/>
      </c>
    </row>
    <row r="30798">
      <c r="A30798" t="n">
        <v>30797</v>
      </c>
      <c r="B30798" t="inlineStr">
        <is>
          <t>x̄x̄x̄DCCXCVII</t>
        </is>
      </c>
      <c r="C30798">
        <f>ROMAN(30797)</f>
        <v/>
      </c>
      <c r="D30798">
        <f>IF(B30798=C30798, "YES", "WRONG")</f>
        <v/>
      </c>
    </row>
    <row r="30799">
      <c r="A30799" t="n">
        <v>30798</v>
      </c>
      <c r="B30799" t="inlineStr">
        <is>
          <t>x̄x̄x̄DCCXCVIII</t>
        </is>
      </c>
      <c r="C30799">
        <f>ROMAN(30798)</f>
        <v/>
      </c>
      <c r="D30799">
        <f>IF(B30799=C30799, "YES", "WRONG")</f>
        <v/>
      </c>
    </row>
    <row r="30800">
      <c r="A30800" t="n">
        <v>30799</v>
      </c>
      <c r="B30800" t="inlineStr">
        <is>
          <t>x̄x̄x̄DCCXCIX</t>
        </is>
      </c>
      <c r="C30800">
        <f>ROMAN(30799)</f>
        <v/>
      </c>
      <c r="D30800">
        <f>IF(B30800=C30800, "YES", "WRONG")</f>
        <v/>
      </c>
    </row>
    <row r="30801">
      <c r="A30801" t="n">
        <v>30800</v>
      </c>
      <c r="B30801" t="inlineStr">
        <is>
          <t>x̄x̄x̄DCCC</t>
        </is>
      </c>
      <c r="C30801">
        <f>ROMAN(30800)</f>
        <v/>
      </c>
      <c r="D30801">
        <f>IF(B30801=C30801, "YES", "WRONG")</f>
        <v/>
      </c>
    </row>
    <row r="30802">
      <c r="A30802" t="n">
        <v>30801</v>
      </c>
      <c r="B30802" t="inlineStr">
        <is>
          <t>x̄x̄x̄DCCCI</t>
        </is>
      </c>
      <c r="C30802">
        <f>ROMAN(30801)</f>
        <v/>
      </c>
      <c r="D30802">
        <f>IF(B30802=C30802, "YES", "WRONG")</f>
        <v/>
      </c>
    </row>
    <row r="30803">
      <c r="A30803" t="n">
        <v>30802</v>
      </c>
      <c r="B30803" t="inlineStr">
        <is>
          <t>x̄x̄x̄DCCCII</t>
        </is>
      </c>
      <c r="C30803">
        <f>ROMAN(30802)</f>
        <v/>
      </c>
      <c r="D30803">
        <f>IF(B30803=C30803, "YES", "WRONG")</f>
        <v/>
      </c>
    </row>
    <row r="30804">
      <c r="A30804" t="n">
        <v>30803</v>
      </c>
      <c r="B30804" t="inlineStr">
        <is>
          <t>x̄x̄x̄DCCCIII</t>
        </is>
      </c>
      <c r="C30804">
        <f>ROMAN(30803)</f>
        <v/>
      </c>
      <c r="D30804">
        <f>IF(B30804=C30804, "YES", "WRONG")</f>
        <v/>
      </c>
    </row>
    <row r="30805">
      <c r="A30805" t="n">
        <v>30804</v>
      </c>
      <c r="B30805" t="inlineStr">
        <is>
          <t>x̄x̄x̄DCCCIV</t>
        </is>
      </c>
      <c r="C30805">
        <f>ROMAN(30804)</f>
        <v/>
      </c>
      <c r="D30805">
        <f>IF(B30805=C30805, "YES", "WRONG")</f>
        <v/>
      </c>
    </row>
    <row r="30806">
      <c r="A30806" t="n">
        <v>30805</v>
      </c>
      <c r="B30806" t="inlineStr">
        <is>
          <t>x̄x̄x̄DCCCV</t>
        </is>
      </c>
      <c r="C30806">
        <f>ROMAN(30805)</f>
        <v/>
      </c>
      <c r="D30806">
        <f>IF(B30806=C30806, "YES", "WRONG")</f>
        <v/>
      </c>
    </row>
    <row r="30807">
      <c r="A30807" t="n">
        <v>30806</v>
      </c>
      <c r="B30807" t="inlineStr">
        <is>
          <t>x̄x̄x̄DCCCVI</t>
        </is>
      </c>
      <c r="C30807">
        <f>ROMAN(30806)</f>
        <v/>
      </c>
      <c r="D30807">
        <f>IF(B30807=C30807, "YES", "WRONG")</f>
        <v/>
      </c>
    </row>
    <row r="30808">
      <c r="A30808" t="n">
        <v>30807</v>
      </c>
      <c r="B30808" t="inlineStr">
        <is>
          <t>x̄x̄x̄DCCCVII</t>
        </is>
      </c>
      <c r="C30808">
        <f>ROMAN(30807)</f>
        <v/>
      </c>
      <c r="D30808">
        <f>IF(B30808=C30808, "YES", "WRONG")</f>
        <v/>
      </c>
    </row>
    <row r="30809">
      <c r="A30809" t="n">
        <v>30808</v>
      </c>
      <c r="B30809" t="inlineStr">
        <is>
          <t>x̄x̄x̄DCCCVIII</t>
        </is>
      </c>
      <c r="C30809">
        <f>ROMAN(30808)</f>
        <v/>
      </c>
      <c r="D30809">
        <f>IF(B30809=C30809, "YES", "WRONG")</f>
        <v/>
      </c>
    </row>
    <row r="30810">
      <c r="A30810" t="n">
        <v>30809</v>
      </c>
      <c r="B30810" t="inlineStr">
        <is>
          <t>x̄x̄x̄DCCCIX</t>
        </is>
      </c>
      <c r="C30810">
        <f>ROMAN(30809)</f>
        <v/>
      </c>
      <c r="D30810">
        <f>IF(B30810=C30810, "YES", "WRONG")</f>
        <v/>
      </c>
    </row>
    <row r="30811">
      <c r="A30811" t="n">
        <v>30810</v>
      </c>
      <c r="B30811" t="inlineStr">
        <is>
          <t>x̄x̄x̄DCCCX</t>
        </is>
      </c>
      <c r="C30811">
        <f>ROMAN(30810)</f>
        <v/>
      </c>
      <c r="D30811">
        <f>IF(B30811=C30811, "YES", "WRONG")</f>
        <v/>
      </c>
    </row>
    <row r="30812">
      <c r="A30812" t="n">
        <v>30811</v>
      </c>
      <c r="B30812" t="inlineStr">
        <is>
          <t>x̄x̄x̄DCCCXI</t>
        </is>
      </c>
      <c r="C30812">
        <f>ROMAN(30811)</f>
        <v/>
      </c>
      <c r="D30812">
        <f>IF(B30812=C30812, "YES", "WRONG")</f>
        <v/>
      </c>
    </row>
    <row r="30813">
      <c r="A30813" t="n">
        <v>30812</v>
      </c>
      <c r="B30813" t="inlineStr">
        <is>
          <t>x̄x̄x̄DCCCXII</t>
        </is>
      </c>
      <c r="C30813">
        <f>ROMAN(30812)</f>
        <v/>
      </c>
      <c r="D30813">
        <f>IF(B30813=C30813, "YES", "WRONG")</f>
        <v/>
      </c>
    </row>
    <row r="30814">
      <c r="A30814" t="n">
        <v>30813</v>
      </c>
      <c r="B30814" t="inlineStr">
        <is>
          <t>x̄x̄x̄DCCCXIII</t>
        </is>
      </c>
      <c r="C30814">
        <f>ROMAN(30813)</f>
        <v/>
      </c>
      <c r="D30814">
        <f>IF(B30814=C30814, "YES", "WRONG")</f>
        <v/>
      </c>
    </row>
    <row r="30815">
      <c r="A30815" t="n">
        <v>30814</v>
      </c>
      <c r="B30815" t="inlineStr">
        <is>
          <t>x̄x̄x̄DCCCXIV</t>
        </is>
      </c>
      <c r="C30815">
        <f>ROMAN(30814)</f>
        <v/>
      </c>
      <c r="D30815">
        <f>IF(B30815=C30815, "YES", "WRONG")</f>
        <v/>
      </c>
    </row>
    <row r="30816">
      <c r="A30816" t="n">
        <v>30815</v>
      </c>
      <c r="B30816" t="inlineStr">
        <is>
          <t>x̄x̄x̄DCCCXV</t>
        </is>
      </c>
      <c r="C30816">
        <f>ROMAN(30815)</f>
        <v/>
      </c>
      <c r="D30816">
        <f>IF(B30816=C30816, "YES", "WRONG")</f>
        <v/>
      </c>
    </row>
    <row r="30817">
      <c r="A30817" t="n">
        <v>30816</v>
      </c>
      <c r="B30817" t="inlineStr">
        <is>
          <t>x̄x̄x̄DCCCXVI</t>
        </is>
      </c>
      <c r="C30817">
        <f>ROMAN(30816)</f>
        <v/>
      </c>
      <c r="D30817">
        <f>IF(B30817=C30817, "YES", "WRONG")</f>
        <v/>
      </c>
    </row>
    <row r="30818">
      <c r="A30818" t="n">
        <v>30817</v>
      </c>
      <c r="B30818" t="inlineStr">
        <is>
          <t>x̄x̄x̄DCCCXVII</t>
        </is>
      </c>
      <c r="C30818">
        <f>ROMAN(30817)</f>
        <v/>
      </c>
      <c r="D30818">
        <f>IF(B30818=C30818, "YES", "WRONG")</f>
        <v/>
      </c>
    </row>
    <row r="30819">
      <c r="A30819" t="n">
        <v>30818</v>
      </c>
      <c r="B30819" t="inlineStr">
        <is>
          <t>x̄x̄x̄DCCCXVIII</t>
        </is>
      </c>
      <c r="C30819">
        <f>ROMAN(30818)</f>
        <v/>
      </c>
      <c r="D30819">
        <f>IF(B30819=C30819, "YES", "WRONG")</f>
        <v/>
      </c>
    </row>
    <row r="30820">
      <c r="A30820" t="n">
        <v>30819</v>
      </c>
      <c r="B30820" t="inlineStr">
        <is>
          <t>x̄x̄x̄DCCCXIX</t>
        </is>
      </c>
      <c r="C30820">
        <f>ROMAN(30819)</f>
        <v/>
      </c>
      <c r="D30820">
        <f>IF(B30820=C30820, "YES", "WRONG")</f>
        <v/>
      </c>
    </row>
    <row r="30821">
      <c r="A30821" t="n">
        <v>30820</v>
      </c>
      <c r="B30821" t="inlineStr">
        <is>
          <t>x̄x̄x̄DCCCXX</t>
        </is>
      </c>
      <c r="C30821">
        <f>ROMAN(30820)</f>
        <v/>
      </c>
      <c r="D30821">
        <f>IF(B30821=C30821, "YES", "WRONG")</f>
        <v/>
      </c>
    </row>
    <row r="30822">
      <c r="A30822" t="n">
        <v>30821</v>
      </c>
      <c r="B30822" t="inlineStr">
        <is>
          <t>x̄x̄x̄DCCCXXI</t>
        </is>
      </c>
      <c r="C30822">
        <f>ROMAN(30821)</f>
        <v/>
      </c>
      <c r="D30822">
        <f>IF(B30822=C30822, "YES", "WRONG")</f>
        <v/>
      </c>
    </row>
    <row r="30823">
      <c r="A30823" t="n">
        <v>30822</v>
      </c>
      <c r="B30823" t="inlineStr">
        <is>
          <t>x̄x̄x̄DCCCXXII</t>
        </is>
      </c>
      <c r="C30823">
        <f>ROMAN(30822)</f>
        <v/>
      </c>
      <c r="D30823">
        <f>IF(B30823=C30823, "YES", "WRONG")</f>
        <v/>
      </c>
    </row>
    <row r="30824">
      <c r="A30824" t="n">
        <v>30823</v>
      </c>
      <c r="B30824" t="inlineStr">
        <is>
          <t>x̄x̄x̄DCCCXXIII</t>
        </is>
      </c>
      <c r="C30824">
        <f>ROMAN(30823)</f>
        <v/>
      </c>
      <c r="D30824">
        <f>IF(B30824=C30824, "YES", "WRONG")</f>
        <v/>
      </c>
    </row>
    <row r="30825">
      <c r="A30825" t="n">
        <v>30824</v>
      </c>
      <c r="B30825" t="inlineStr">
        <is>
          <t>x̄x̄x̄DCCCXXIV</t>
        </is>
      </c>
      <c r="C30825">
        <f>ROMAN(30824)</f>
        <v/>
      </c>
      <c r="D30825">
        <f>IF(B30825=C30825, "YES", "WRONG")</f>
        <v/>
      </c>
    </row>
    <row r="30826">
      <c r="A30826" t="n">
        <v>30825</v>
      </c>
      <c r="B30826" t="inlineStr">
        <is>
          <t>x̄x̄x̄DCCCXXV</t>
        </is>
      </c>
      <c r="C30826">
        <f>ROMAN(30825)</f>
        <v/>
      </c>
      <c r="D30826">
        <f>IF(B30826=C30826, "YES", "WRONG")</f>
        <v/>
      </c>
    </row>
    <row r="30827">
      <c r="A30827" t="n">
        <v>30826</v>
      </c>
      <c r="B30827" t="inlineStr">
        <is>
          <t>x̄x̄x̄DCCCXXVI</t>
        </is>
      </c>
      <c r="C30827">
        <f>ROMAN(30826)</f>
        <v/>
      </c>
      <c r="D30827">
        <f>IF(B30827=C30827, "YES", "WRONG")</f>
        <v/>
      </c>
    </row>
    <row r="30828">
      <c r="A30828" t="n">
        <v>30827</v>
      </c>
      <c r="B30828" t="inlineStr">
        <is>
          <t>x̄x̄x̄DCCCXXVII</t>
        </is>
      </c>
      <c r="C30828">
        <f>ROMAN(30827)</f>
        <v/>
      </c>
      <c r="D30828">
        <f>IF(B30828=C30828, "YES", "WRONG")</f>
        <v/>
      </c>
    </row>
    <row r="30829">
      <c r="A30829" t="n">
        <v>30828</v>
      </c>
      <c r="B30829" t="inlineStr">
        <is>
          <t>x̄x̄x̄DCCCXXVIII</t>
        </is>
      </c>
      <c r="C30829">
        <f>ROMAN(30828)</f>
        <v/>
      </c>
      <c r="D30829">
        <f>IF(B30829=C30829, "YES", "WRONG")</f>
        <v/>
      </c>
    </row>
    <row r="30830">
      <c r="A30830" t="n">
        <v>30829</v>
      </c>
      <c r="B30830" t="inlineStr">
        <is>
          <t>x̄x̄x̄DCCCXXIX</t>
        </is>
      </c>
      <c r="C30830">
        <f>ROMAN(30829)</f>
        <v/>
      </c>
      <c r="D30830">
        <f>IF(B30830=C30830, "YES", "WRONG")</f>
        <v/>
      </c>
    </row>
    <row r="30831">
      <c r="A30831" t="n">
        <v>30830</v>
      </c>
      <c r="B30831" t="inlineStr">
        <is>
          <t>x̄x̄x̄DCCCXXX</t>
        </is>
      </c>
      <c r="C30831">
        <f>ROMAN(30830)</f>
        <v/>
      </c>
      <c r="D30831">
        <f>IF(B30831=C30831, "YES", "WRONG")</f>
        <v/>
      </c>
    </row>
    <row r="30832">
      <c r="A30832" t="n">
        <v>30831</v>
      </c>
      <c r="B30832" t="inlineStr">
        <is>
          <t>x̄x̄x̄DCCCXXXI</t>
        </is>
      </c>
      <c r="C30832">
        <f>ROMAN(30831)</f>
        <v/>
      </c>
      <c r="D30832">
        <f>IF(B30832=C30832, "YES", "WRONG")</f>
        <v/>
      </c>
    </row>
    <row r="30833">
      <c r="A30833" t="n">
        <v>30832</v>
      </c>
      <c r="B30833" t="inlineStr">
        <is>
          <t>x̄x̄x̄DCCCXXXII</t>
        </is>
      </c>
      <c r="C30833">
        <f>ROMAN(30832)</f>
        <v/>
      </c>
      <c r="D30833">
        <f>IF(B30833=C30833, "YES", "WRONG")</f>
        <v/>
      </c>
    </row>
    <row r="30834">
      <c r="A30834" t="n">
        <v>30833</v>
      </c>
      <c r="B30834" t="inlineStr">
        <is>
          <t>x̄x̄x̄DCCCXXXIII</t>
        </is>
      </c>
      <c r="C30834">
        <f>ROMAN(30833)</f>
        <v/>
      </c>
      <c r="D30834">
        <f>IF(B30834=C30834, "YES", "WRONG")</f>
        <v/>
      </c>
    </row>
    <row r="30835">
      <c r="A30835" t="n">
        <v>30834</v>
      </c>
      <c r="B30835" t="inlineStr">
        <is>
          <t>x̄x̄x̄DCCCXXXIV</t>
        </is>
      </c>
      <c r="C30835">
        <f>ROMAN(30834)</f>
        <v/>
      </c>
      <c r="D30835">
        <f>IF(B30835=C30835, "YES", "WRONG")</f>
        <v/>
      </c>
    </row>
    <row r="30836">
      <c r="A30836" t="n">
        <v>30835</v>
      </c>
      <c r="B30836" t="inlineStr">
        <is>
          <t>x̄x̄x̄DCCCXXXV</t>
        </is>
      </c>
      <c r="C30836">
        <f>ROMAN(30835)</f>
        <v/>
      </c>
      <c r="D30836">
        <f>IF(B30836=C30836, "YES", "WRONG")</f>
        <v/>
      </c>
    </row>
    <row r="30837">
      <c r="A30837" t="n">
        <v>30836</v>
      </c>
      <c r="B30837" t="inlineStr">
        <is>
          <t>x̄x̄x̄DCCCXXXVI</t>
        </is>
      </c>
      <c r="C30837">
        <f>ROMAN(30836)</f>
        <v/>
      </c>
      <c r="D30837">
        <f>IF(B30837=C30837, "YES", "WRONG")</f>
        <v/>
      </c>
    </row>
    <row r="30838">
      <c r="A30838" t="n">
        <v>30837</v>
      </c>
      <c r="B30838" t="inlineStr">
        <is>
          <t>x̄x̄x̄DCCCXXXVII</t>
        </is>
      </c>
      <c r="C30838">
        <f>ROMAN(30837)</f>
        <v/>
      </c>
      <c r="D30838">
        <f>IF(B30838=C30838, "YES", "WRONG")</f>
        <v/>
      </c>
    </row>
    <row r="30839">
      <c r="A30839" t="n">
        <v>30838</v>
      </c>
      <c r="B30839" t="inlineStr">
        <is>
          <t>x̄x̄x̄DCCCXXXVIII</t>
        </is>
      </c>
      <c r="C30839">
        <f>ROMAN(30838)</f>
        <v/>
      </c>
      <c r="D30839">
        <f>IF(B30839=C30839, "YES", "WRONG")</f>
        <v/>
      </c>
    </row>
    <row r="30840">
      <c r="A30840" t="n">
        <v>30839</v>
      </c>
      <c r="B30840" t="inlineStr">
        <is>
          <t>x̄x̄x̄DCCCXXXIX</t>
        </is>
      </c>
      <c r="C30840">
        <f>ROMAN(30839)</f>
        <v/>
      </c>
      <c r="D30840">
        <f>IF(B30840=C30840, "YES", "WRONG")</f>
        <v/>
      </c>
    </row>
    <row r="30841">
      <c r="A30841" t="n">
        <v>30840</v>
      </c>
      <c r="B30841" t="inlineStr">
        <is>
          <t>x̄x̄x̄DCCCXL</t>
        </is>
      </c>
      <c r="C30841">
        <f>ROMAN(30840)</f>
        <v/>
      </c>
      <c r="D30841">
        <f>IF(B30841=C30841, "YES", "WRONG")</f>
        <v/>
      </c>
    </row>
    <row r="30842">
      <c r="A30842" t="n">
        <v>30841</v>
      </c>
      <c r="B30842" t="inlineStr">
        <is>
          <t>x̄x̄x̄DCCCXLI</t>
        </is>
      </c>
      <c r="C30842">
        <f>ROMAN(30841)</f>
        <v/>
      </c>
      <c r="D30842">
        <f>IF(B30842=C30842, "YES", "WRONG")</f>
        <v/>
      </c>
    </row>
    <row r="30843">
      <c r="A30843" t="n">
        <v>30842</v>
      </c>
      <c r="B30843" t="inlineStr">
        <is>
          <t>x̄x̄x̄DCCCXLII</t>
        </is>
      </c>
      <c r="C30843">
        <f>ROMAN(30842)</f>
        <v/>
      </c>
      <c r="D30843">
        <f>IF(B30843=C30843, "YES", "WRONG")</f>
        <v/>
      </c>
    </row>
    <row r="30844">
      <c r="A30844" t="n">
        <v>30843</v>
      </c>
      <c r="B30844" t="inlineStr">
        <is>
          <t>x̄x̄x̄DCCCXLIII</t>
        </is>
      </c>
      <c r="C30844">
        <f>ROMAN(30843)</f>
        <v/>
      </c>
      <c r="D30844">
        <f>IF(B30844=C30844, "YES", "WRONG")</f>
        <v/>
      </c>
    </row>
    <row r="30845">
      <c r="A30845" t="n">
        <v>30844</v>
      </c>
      <c r="B30845" t="inlineStr">
        <is>
          <t>x̄x̄x̄DCCCXLIV</t>
        </is>
      </c>
      <c r="C30845">
        <f>ROMAN(30844)</f>
        <v/>
      </c>
      <c r="D30845">
        <f>IF(B30845=C30845, "YES", "WRONG")</f>
        <v/>
      </c>
    </row>
    <row r="30846">
      <c r="A30846" t="n">
        <v>30845</v>
      </c>
      <c r="B30846" t="inlineStr">
        <is>
          <t>x̄x̄x̄DCCCXLV</t>
        </is>
      </c>
      <c r="C30846">
        <f>ROMAN(30845)</f>
        <v/>
      </c>
      <c r="D30846">
        <f>IF(B30846=C30846, "YES", "WRONG")</f>
        <v/>
      </c>
    </row>
    <row r="30847">
      <c r="A30847" t="n">
        <v>30846</v>
      </c>
      <c r="B30847" t="inlineStr">
        <is>
          <t>x̄x̄x̄DCCCXLVI</t>
        </is>
      </c>
      <c r="C30847">
        <f>ROMAN(30846)</f>
        <v/>
      </c>
      <c r="D30847">
        <f>IF(B30847=C30847, "YES", "WRONG")</f>
        <v/>
      </c>
    </row>
    <row r="30848">
      <c r="A30848" t="n">
        <v>30847</v>
      </c>
      <c r="B30848" t="inlineStr">
        <is>
          <t>x̄x̄x̄DCCCXLVII</t>
        </is>
      </c>
      <c r="C30848">
        <f>ROMAN(30847)</f>
        <v/>
      </c>
      <c r="D30848">
        <f>IF(B30848=C30848, "YES", "WRONG")</f>
        <v/>
      </c>
    </row>
    <row r="30849">
      <c r="A30849" t="n">
        <v>30848</v>
      </c>
      <c r="B30849" t="inlineStr">
        <is>
          <t>x̄x̄x̄DCCCXLVIII</t>
        </is>
      </c>
      <c r="C30849">
        <f>ROMAN(30848)</f>
        <v/>
      </c>
      <c r="D30849">
        <f>IF(B30849=C30849, "YES", "WRONG")</f>
        <v/>
      </c>
    </row>
    <row r="30850">
      <c r="A30850" t="n">
        <v>30849</v>
      </c>
      <c r="B30850" t="inlineStr">
        <is>
          <t>x̄x̄x̄DCCCXLIX</t>
        </is>
      </c>
      <c r="C30850">
        <f>ROMAN(30849)</f>
        <v/>
      </c>
      <c r="D30850">
        <f>IF(B30850=C30850, "YES", "WRONG")</f>
        <v/>
      </c>
    </row>
    <row r="30851">
      <c r="A30851" t="n">
        <v>30850</v>
      </c>
      <c r="B30851" t="inlineStr">
        <is>
          <t>x̄x̄x̄DCCCL</t>
        </is>
      </c>
      <c r="C30851">
        <f>ROMAN(30850)</f>
        <v/>
      </c>
      <c r="D30851">
        <f>IF(B30851=C30851, "YES", "WRONG")</f>
        <v/>
      </c>
    </row>
    <row r="30852">
      <c r="A30852" t="n">
        <v>30851</v>
      </c>
      <c r="B30852" t="inlineStr">
        <is>
          <t>x̄x̄x̄DCCCLI</t>
        </is>
      </c>
      <c r="C30852">
        <f>ROMAN(30851)</f>
        <v/>
      </c>
      <c r="D30852">
        <f>IF(B30852=C30852, "YES", "WRONG")</f>
        <v/>
      </c>
    </row>
    <row r="30853">
      <c r="A30853" t="n">
        <v>30852</v>
      </c>
      <c r="B30853" t="inlineStr">
        <is>
          <t>x̄x̄x̄DCCCLII</t>
        </is>
      </c>
      <c r="C30853">
        <f>ROMAN(30852)</f>
        <v/>
      </c>
      <c r="D30853">
        <f>IF(B30853=C30853, "YES", "WRONG")</f>
        <v/>
      </c>
    </row>
    <row r="30854">
      <c r="A30854" t="n">
        <v>30853</v>
      </c>
      <c r="B30854" t="inlineStr">
        <is>
          <t>x̄x̄x̄DCCCLIII</t>
        </is>
      </c>
      <c r="C30854">
        <f>ROMAN(30853)</f>
        <v/>
      </c>
      <c r="D30854">
        <f>IF(B30854=C30854, "YES", "WRONG")</f>
        <v/>
      </c>
    </row>
    <row r="30855">
      <c r="A30855" t="n">
        <v>30854</v>
      </c>
      <c r="B30855" t="inlineStr">
        <is>
          <t>x̄x̄x̄DCCCLIV</t>
        </is>
      </c>
      <c r="C30855">
        <f>ROMAN(30854)</f>
        <v/>
      </c>
      <c r="D30855">
        <f>IF(B30855=C30855, "YES", "WRONG")</f>
        <v/>
      </c>
    </row>
    <row r="30856">
      <c r="A30856" t="n">
        <v>30855</v>
      </c>
      <c r="B30856" t="inlineStr">
        <is>
          <t>x̄x̄x̄DCCCLV</t>
        </is>
      </c>
      <c r="C30856">
        <f>ROMAN(30855)</f>
        <v/>
      </c>
      <c r="D30856">
        <f>IF(B30856=C30856, "YES", "WRONG")</f>
        <v/>
      </c>
    </row>
    <row r="30857">
      <c r="A30857" t="n">
        <v>30856</v>
      </c>
      <c r="B30857" t="inlineStr">
        <is>
          <t>x̄x̄x̄DCCCLVI</t>
        </is>
      </c>
      <c r="C30857">
        <f>ROMAN(30856)</f>
        <v/>
      </c>
      <c r="D30857">
        <f>IF(B30857=C30857, "YES", "WRONG")</f>
        <v/>
      </c>
    </row>
    <row r="30858">
      <c r="A30858" t="n">
        <v>30857</v>
      </c>
      <c r="B30858" t="inlineStr">
        <is>
          <t>x̄x̄x̄DCCCLVII</t>
        </is>
      </c>
      <c r="C30858">
        <f>ROMAN(30857)</f>
        <v/>
      </c>
      <c r="D30858">
        <f>IF(B30858=C30858, "YES", "WRONG")</f>
        <v/>
      </c>
    </row>
    <row r="30859">
      <c r="A30859" t="n">
        <v>30858</v>
      </c>
      <c r="B30859" t="inlineStr">
        <is>
          <t>x̄x̄x̄DCCCLVIII</t>
        </is>
      </c>
      <c r="C30859">
        <f>ROMAN(30858)</f>
        <v/>
      </c>
      <c r="D30859">
        <f>IF(B30859=C30859, "YES", "WRONG")</f>
        <v/>
      </c>
    </row>
    <row r="30860">
      <c r="A30860" t="n">
        <v>30859</v>
      </c>
      <c r="B30860" t="inlineStr">
        <is>
          <t>x̄x̄x̄DCCCLIX</t>
        </is>
      </c>
      <c r="C30860">
        <f>ROMAN(30859)</f>
        <v/>
      </c>
      <c r="D30860">
        <f>IF(B30860=C30860, "YES", "WRONG")</f>
        <v/>
      </c>
    </row>
    <row r="30861">
      <c r="A30861" t="n">
        <v>30860</v>
      </c>
      <c r="B30861" t="inlineStr">
        <is>
          <t>x̄x̄x̄DCCCLX</t>
        </is>
      </c>
      <c r="C30861">
        <f>ROMAN(30860)</f>
        <v/>
      </c>
      <c r="D30861">
        <f>IF(B30861=C30861, "YES", "WRONG")</f>
        <v/>
      </c>
    </row>
    <row r="30862">
      <c r="A30862" t="n">
        <v>30861</v>
      </c>
      <c r="B30862" t="inlineStr">
        <is>
          <t>x̄x̄x̄DCCCLXI</t>
        </is>
      </c>
      <c r="C30862">
        <f>ROMAN(30861)</f>
        <v/>
      </c>
      <c r="D30862">
        <f>IF(B30862=C30862, "YES", "WRONG")</f>
        <v/>
      </c>
    </row>
    <row r="30863">
      <c r="A30863" t="n">
        <v>30862</v>
      </c>
      <c r="B30863" t="inlineStr">
        <is>
          <t>x̄x̄x̄DCCCLXII</t>
        </is>
      </c>
      <c r="C30863">
        <f>ROMAN(30862)</f>
        <v/>
      </c>
      <c r="D30863">
        <f>IF(B30863=C30863, "YES", "WRONG")</f>
        <v/>
      </c>
    </row>
    <row r="30864">
      <c r="A30864" t="n">
        <v>30863</v>
      </c>
      <c r="B30864" t="inlineStr">
        <is>
          <t>x̄x̄x̄DCCCLXIII</t>
        </is>
      </c>
      <c r="C30864">
        <f>ROMAN(30863)</f>
        <v/>
      </c>
      <c r="D30864">
        <f>IF(B30864=C30864, "YES", "WRONG")</f>
        <v/>
      </c>
    </row>
    <row r="30865">
      <c r="A30865" t="n">
        <v>30864</v>
      </c>
      <c r="B30865" t="inlineStr">
        <is>
          <t>x̄x̄x̄DCCCLXIV</t>
        </is>
      </c>
      <c r="C30865">
        <f>ROMAN(30864)</f>
        <v/>
      </c>
      <c r="D30865">
        <f>IF(B30865=C30865, "YES", "WRONG")</f>
        <v/>
      </c>
    </row>
    <row r="30866">
      <c r="A30866" t="n">
        <v>30865</v>
      </c>
      <c r="B30866" t="inlineStr">
        <is>
          <t>x̄x̄x̄DCCCLXV</t>
        </is>
      </c>
      <c r="C30866">
        <f>ROMAN(30865)</f>
        <v/>
      </c>
      <c r="D30866">
        <f>IF(B30866=C30866, "YES", "WRONG")</f>
        <v/>
      </c>
    </row>
    <row r="30867">
      <c r="A30867" t="n">
        <v>30866</v>
      </c>
      <c r="B30867" t="inlineStr">
        <is>
          <t>x̄x̄x̄DCCCLXVI</t>
        </is>
      </c>
      <c r="C30867">
        <f>ROMAN(30866)</f>
        <v/>
      </c>
      <c r="D30867">
        <f>IF(B30867=C30867, "YES", "WRONG")</f>
        <v/>
      </c>
    </row>
    <row r="30868">
      <c r="A30868" t="n">
        <v>30867</v>
      </c>
      <c r="B30868" t="inlineStr">
        <is>
          <t>x̄x̄x̄DCCCLXVII</t>
        </is>
      </c>
      <c r="C30868">
        <f>ROMAN(30867)</f>
        <v/>
      </c>
      <c r="D30868">
        <f>IF(B30868=C30868, "YES", "WRONG")</f>
        <v/>
      </c>
    </row>
    <row r="30869">
      <c r="A30869" t="n">
        <v>30868</v>
      </c>
      <c r="B30869" t="inlineStr">
        <is>
          <t>x̄x̄x̄DCCCLXVIII</t>
        </is>
      </c>
      <c r="C30869">
        <f>ROMAN(30868)</f>
        <v/>
      </c>
      <c r="D30869">
        <f>IF(B30869=C30869, "YES", "WRONG")</f>
        <v/>
      </c>
    </row>
    <row r="30870">
      <c r="A30870" t="n">
        <v>30869</v>
      </c>
      <c r="B30870" t="inlineStr">
        <is>
          <t>x̄x̄x̄DCCCLXIX</t>
        </is>
      </c>
      <c r="C30870">
        <f>ROMAN(30869)</f>
        <v/>
      </c>
      <c r="D30870">
        <f>IF(B30870=C30870, "YES", "WRONG")</f>
        <v/>
      </c>
    </row>
    <row r="30871">
      <c r="A30871" t="n">
        <v>30870</v>
      </c>
      <c r="B30871" t="inlineStr">
        <is>
          <t>x̄x̄x̄DCCCLXX</t>
        </is>
      </c>
      <c r="C30871">
        <f>ROMAN(30870)</f>
        <v/>
      </c>
      <c r="D30871">
        <f>IF(B30871=C30871, "YES", "WRONG")</f>
        <v/>
      </c>
    </row>
    <row r="30872">
      <c r="A30872" t="n">
        <v>30871</v>
      </c>
      <c r="B30872" t="inlineStr">
        <is>
          <t>x̄x̄x̄DCCCLXXI</t>
        </is>
      </c>
      <c r="C30872">
        <f>ROMAN(30871)</f>
        <v/>
      </c>
      <c r="D30872">
        <f>IF(B30872=C30872, "YES", "WRONG")</f>
        <v/>
      </c>
    </row>
    <row r="30873">
      <c r="A30873" t="n">
        <v>30872</v>
      </c>
      <c r="B30873" t="inlineStr">
        <is>
          <t>x̄x̄x̄DCCCLXXII</t>
        </is>
      </c>
      <c r="C30873">
        <f>ROMAN(30872)</f>
        <v/>
      </c>
      <c r="D30873">
        <f>IF(B30873=C30873, "YES", "WRONG")</f>
        <v/>
      </c>
    </row>
    <row r="30874">
      <c r="A30874" t="n">
        <v>30873</v>
      </c>
      <c r="B30874" t="inlineStr">
        <is>
          <t>x̄x̄x̄DCCCLXXIII</t>
        </is>
      </c>
      <c r="C30874">
        <f>ROMAN(30873)</f>
        <v/>
      </c>
      <c r="D30874">
        <f>IF(B30874=C30874, "YES", "WRONG")</f>
        <v/>
      </c>
    </row>
    <row r="30875">
      <c r="A30875" t="n">
        <v>30874</v>
      </c>
      <c r="B30875" t="inlineStr">
        <is>
          <t>x̄x̄x̄DCCCLXXIV</t>
        </is>
      </c>
      <c r="C30875">
        <f>ROMAN(30874)</f>
        <v/>
      </c>
      <c r="D30875">
        <f>IF(B30875=C30875, "YES", "WRONG")</f>
        <v/>
      </c>
    </row>
    <row r="30876">
      <c r="A30876" t="n">
        <v>30875</v>
      </c>
      <c r="B30876" t="inlineStr">
        <is>
          <t>x̄x̄x̄DCCCLXXV</t>
        </is>
      </c>
      <c r="C30876">
        <f>ROMAN(30875)</f>
        <v/>
      </c>
      <c r="D30876">
        <f>IF(B30876=C30876, "YES", "WRONG")</f>
        <v/>
      </c>
    </row>
    <row r="30877">
      <c r="A30877" t="n">
        <v>30876</v>
      </c>
      <c r="B30877" t="inlineStr">
        <is>
          <t>x̄x̄x̄DCCCLXXVI</t>
        </is>
      </c>
      <c r="C30877">
        <f>ROMAN(30876)</f>
        <v/>
      </c>
      <c r="D30877">
        <f>IF(B30877=C30877, "YES", "WRONG")</f>
        <v/>
      </c>
    </row>
    <row r="30878">
      <c r="A30878" t="n">
        <v>30877</v>
      </c>
      <c r="B30878" t="inlineStr">
        <is>
          <t>x̄x̄x̄DCCCLXXVII</t>
        </is>
      </c>
      <c r="C30878">
        <f>ROMAN(30877)</f>
        <v/>
      </c>
      <c r="D30878">
        <f>IF(B30878=C30878, "YES", "WRONG")</f>
        <v/>
      </c>
    </row>
    <row r="30879">
      <c r="A30879" t="n">
        <v>30878</v>
      </c>
      <c r="B30879" t="inlineStr">
        <is>
          <t>x̄x̄x̄DCCCLXXVIII</t>
        </is>
      </c>
      <c r="C30879">
        <f>ROMAN(30878)</f>
        <v/>
      </c>
      <c r="D30879">
        <f>IF(B30879=C30879, "YES", "WRONG")</f>
        <v/>
      </c>
    </row>
    <row r="30880">
      <c r="A30880" t="n">
        <v>30879</v>
      </c>
      <c r="B30880" t="inlineStr">
        <is>
          <t>x̄x̄x̄DCCCLXXIX</t>
        </is>
      </c>
      <c r="C30880">
        <f>ROMAN(30879)</f>
        <v/>
      </c>
      <c r="D30880">
        <f>IF(B30880=C30880, "YES", "WRONG")</f>
        <v/>
      </c>
    </row>
    <row r="30881">
      <c r="A30881" t="n">
        <v>30880</v>
      </c>
      <c r="B30881" t="inlineStr">
        <is>
          <t>x̄x̄x̄DCCCLXXX</t>
        </is>
      </c>
      <c r="C30881">
        <f>ROMAN(30880)</f>
        <v/>
      </c>
      <c r="D30881">
        <f>IF(B30881=C30881, "YES", "WRONG")</f>
        <v/>
      </c>
    </row>
    <row r="30882">
      <c r="A30882" t="n">
        <v>30881</v>
      </c>
      <c r="B30882" t="inlineStr">
        <is>
          <t>x̄x̄x̄DCCCLXXXI</t>
        </is>
      </c>
      <c r="C30882">
        <f>ROMAN(30881)</f>
        <v/>
      </c>
      <c r="D30882">
        <f>IF(B30882=C30882, "YES", "WRONG")</f>
        <v/>
      </c>
    </row>
    <row r="30883">
      <c r="A30883" t="n">
        <v>30882</v>
      </c>
      <c r="B30883" t="inlineStr">
        <is>
          <t>x̄x̄x̄DCCCLXXXII</t>
        </is>
      </c>
      <c r="C30883">
        <f>ROMAN(30882)</f>
        <v/>
      </c>
      <c r="D30883">
        <f>IF(B30883=C30883, "YES", "WRONG")</f>
        <v/>
      </c>
    </row>
    <row r="30884">
      <c r="A30884" t="n">
        <v>30883</v>
      </c>
      <c r="B30884" t="inlineStr">
        <is>
          <t>x̄x̄x̄DCCCLXXXIII</t>
        </is>
      </c>
      <c r="C30884">
        <f>ROMAN(30883)</f>
        <v/>
      </c>
      <c r="D30884">
        <f>IF(B30884=C30884, "YES", "WRONG")</f>
        <v/>
      </c>
    </row>
    <row r="30885">
      <c r="A30885" t="n">
        <v>30884</v>
      </c>
      <c r="B30885" t="inlineStr">
        <is>
          <t>x̄x̄x̄DCCCLXXXIV</t>
        </is>
      </c>
      <c r="C30885">
        <f>ROMAN(30884)</f>
        <v/>
      </c>
      <c r="D30885">
        <f>IF(B30885=C30885, "YES", "WRONG")</f>
        <v/>
      </c>
    </row>
    <row r="30886">
      <c r="A30886" t="n">
        <v>30885</v>
      </c>
      <c r="B30886" t="inlineStr">
        <is>
          <t>x̄x̄x̄DCCCLXXXV</t>
        </is>
      </c>
      <c r="C30886">
        <f>ROMAN(30885)</f>
        <v/>
      </c>
      <c r="D30886">
        <f>IF(B30886=C30886, "YES", "WRONG")</f>
        <v/>
      </c>
    </row>
    <row r="30887">
      <c r="A30887" t="n">
        <v>30886</v>
      </c>
      <c r="B30887" t="inlineStr">
        <is>
          <t>x̄x̄x̄DCCCLXXXVI</t>
        </is>
      </c>
      <c r="C30887">
        <f>ROMAN(30886)</f>
        <v/>
      </c>
      <c r="D30887">
        <f>IF(B30887=C30887, "YES", "WRONG")</f>
        <v/>
      </c>
    </row>
    <row r="30888">
      <c r="A30888" t="n">
        <v>30887</v>
      </c>
      <c r="B30888" t="inlineStr">
        <is>
          <t>x̄x̄x̄DCCCLXXXVII</t>
        </is>
      </c>
      <c r="C30888">
        <f>ROMAN(30887)</f>
        <v/>
      </c>
      <c r="D30888">
        <f>IF(B30888=C30888, "YES", "WRONG")</f>
        <v/>
      </c>
    </row>
    <row r="30889">
      <c r="A30889" t="n">
        <v>30888</v>
      </c>
      <c r="B30889" t="inlineStr">
        <is>
          <t>x̄x̄x̄DCCCLXXXVIII</t>
        </is>
      </c>
      <c r="C30889">
        <f>ROMAN(30888)</f>
        <v/>
      </c>
      <c r="D30889">
        <f>IF(B30889=C30889, "YES", "WRONG")</f>
        <v/>
      </c>
    </row>
    <row r="30890">
      <c r="A30890" t="n">
        <v>30889</v>
      </c>
      <c r="B30890" t="inlineStr">
        <is>
          <t>x̄x̄x̄DCCCLXXXIX</t>
        </is>
      </c>
      <c r="C30890">
        <f>ROMAN(30889)</f>
        <v/>
      </c>
      <c r="D30890">
        <f>IF(B30890=C30890, "YES", "WRONG")</f>
        <v/>
      </c>
    </row>
    <row r="30891">
      <c r="A30891" t="n">
        <v>30890</v>
      </c>
      <c r="B30891" t="inlineStr">
        <is>
          <t>x̄x̄x̄DCCCXC</t>
        </is>
      </c>
      <c r="C30891">
        <f>ROMAN(30890)</f>
        <v/>
      </c>
      <c r="D30891">
        <f>IF(B30891=C30891, "YES", "WRONG")</f>
        <v/>
      </c>
    </row>
    <row r="30892">
      <c r="A30892" t="n">
        <v>30891</v>
      </c>
      <c r="B30892" t="inlineStr">
        <is>
          <t>x̄x̄x̄DCCCXCI</t>
        </is>
      </c>
      <c r="C30892">
        <f>ROMAN(30891)</f>
        <v/>
      </c>
      <c r="D30892">
        <f>IF(B30892=C30892, "YES", "WRONG")</f>
        <v/>
      </c>
    </row>
    <row r="30893">
      <c r="A30893" t="n">
        <v>30892</v>
      </c>
      <c r="B30893" t="inlineStr">
        <is>
          <t>x̄x̄x̄DCCCXCII</t>
        </is>
      </c>
      <c r="C30893">
        <f>ROMAN(30892)</f>
        <v/>
      </c>
      <c r="D30893">
        <f>IF(B30893=C30893, "YES", "WRONG")</f>
        <v/>
      </c>
    </row>
    <row r="30894">
      <c r="A30894" t="n">
        <v>30893</v>
      </c>
      <c r="B30894" t="inlineStr">
        <is>
          <t>x̄x̄x̄DCCCXCIII</t>
        </is>
      </c>
      <c r="C30894">
        <f>ROMAN(30893)</f>
        <v/>
      </c>
      <c r="D30894">
        <f>IF(B30894=C30894, "YES", "WRONG")</f>
        <v/>
      </c>
    </row>
    <row r="30895">
      <c r="A30895" t="n">
        <v>30894</v>
      </c>
      <c r="B30895" t="inlineStr">
        <is>
          <t>x̄x̄x̄DCCCXCIV</t>
        </is>
      </c>
      <c r="C30895">
        <f>ROMAN(30894)</f>
        <v/>
      </c>
      <c r="D30895">
        <f>IF(B30895=C30895, "YES", "WRONG")</f>
        <v/>
      </c>
    </row>
    <row r="30896">
      <c r="A30896" t="n">
        <v>30895</v>
      </c>
      <c r="B30896" t="inlineStr">
        <is>
          <t>x̄x̄x̄DCCCXCV</t>
        </is>
      </c>
      <c r="C30896">
        <f>ROMAN(30895)</f>
        <v/>
      </c>
      <c r="D30896">
        <f>IF(B30896=C30896, "YES", "WRONG")</f>
        <v/>
      </c>
    </row>
    <row r="30897">
      <c r="A30897" t="n">
        <v>30896</v>
      </c>
      <c r="B30897" t="inlineStr">
        <is>
          <t>x̄x̄x̄DCCCXCVI</t>
        </is>
      </c>
      <c r="C30897">
        <f>ROMAN(30896)</f>
        <v/>
      </c>
      <c r="D30897">
        <f>IF(B30897=C30897, "YES", "WRONG")</f>
        <v/>
      </c>
    </row>
    <row r="30898">
      <c r="A30898" t="n">
        <v>30897</v>
      </c>
      <c r="B30898" t="inlineStr">
        <is>
          <t>x̄x̄x̄DCCCXCVII</t>
        </is>
      </c>
      <c r="C30898">
        <f>ROMAN(30897)</f>
        <v/>
      </c>
      <c r="D30898">
        <f>IF(B30898=C30898, "YES", "WRONG")</f>
        <v/>
      </c>
    </row>
    <row r="30899">
      <c r="A30899" t="n">
        <v>30898</v>
      </c>
      <c r="B30899" t="inlineStr">
        <is>
          <t>x̄x̄x̄DCCCXCVIII</t>
        </is>
      </c>
      <c r="C30899">
        <f>ROMAN(30898)</f>
        <v/>
      </c>
      <c r="D30899">
        <f>IF(B30899=C30899, "YES", "WRONG")</f>
        <v/>
      </c>
    </row>
    <row r="30900">
      <c r="A30900" t="n">
        <v>30899</v>
      </c>
      <c r="B30900" t="inlineStr">
        <is>
          <t>x̄x̄x̄DCCCXCIX</t>
        </is>
      </c>
      <c r="C30900">
        <f>ROMAN(30899)</f>
        <v/>
      </c>
      <c r="D30900">
        <f>IF(B30900=C30900, "YES", "WRONG")</f>
        <v/>
      </c>
    </row>
    <row r="30901">
      <c r="A30901" t="n">
        <v>30900</v>
      </c>
      <c r="B30901" t="inlineStr">
        <is>
          <t>x̄x̄x̄CM</t>
        </is>
      </c>
      <c r="C30901">
        <f>ROMAN(30900)</f>
        <v/>
      </c>
      <c r="D30901">
        <f>IF(B30901=C30901, "YES", "WRONG")</f>
        <v/>
      </c>
    </row>
    <row r="30902">
      <c r="A30902" t="n">
        <v>30901</v>
      </c>
      <c r="B30902" t="inlineStr">
        <is>
          <t>x̄x̄x̄CMI</t>
        </is>
      </c>
      <c r="C30902">
        <f>ROMAN(30901)</f>
        <v/>
      </c>
      <c r="D30902">
        <f>IF(B30902=C30902, "YES", "WRONG")</f>
        <v/>
      </c>
    </row>
    <row r="30903">
      <c r="A30903" t="n">
        <v>30902</v>
      </c>
      <c r="B30903" t="inlineStr">
        <is>
          <t>x̄x̄x̄CMII</t>
        </is>
      </c>
      <c r="C30903">
        <f>ROMAN(30902)</f>
        <v/>
      </c>
      <c r="D30903">
        <f>IF(B30903=C30903, "YES", "WRONG")</f>
        <v/>
      </c>
    </row>
    <row r="30904">
      <c r="A30904" t="n">
        <v>30903</v>
      </c>
      <c r="B30904" t="inlineStr">
        <is>
          <t>x̄x̄x̄CMIII</t>
        </is>
      </c>
      <c r="C30904">
        <f>ROMAN(30903)</f>
        <v/>
      </c>
      <c r="D30904">
        <f>IF(B30904=C30904, "YES", "WRONG")</f>
        <v/>
      </c>
    </row>
    <row r="30905">
      <c r="A30905" t="n">
        <v>30904</v>
      </c>
      <c r="B30905" t="inlineStr">
        <is>
          <t>x̄x̄x̄CMIV</t>
        </is>
      </c>
      <c r="C30905">
        <f>ROMAN(30904)</f>
        <v/>
      </c>
      <c r="D30905">
        <f>IF(B30905=C30905, "YES", "WRONG")</f>
        <v/>
      </c>
    </row>
    <row r="30906">
      <c r="A30906" t="n">
        <v>30905</v>
      </c>
      <c r="B30906" t="inlineStr">
        <is>
          <t>x̄x̄x̄CMV</t>
        </is>
      </c>
      <c r="C30906">
        <f>ROMAN(30905)</f>
        <v/>
      </c>
      <c r="D30906">
        <f>IF(B30906=C30906, "YES", "WRONG")</f>
        <v/>
      </c>
    </row>
    <row r="30907">
      <c r="A30907" t="n">
        <v>30906</v>
      </c>
      <c r="B30907" t="inlineStr">
        <is>
          <t>x̄x̄x̄CMVI</t>
        </is>
      </c>
      <c r="C30907">
        <f>ROMAN(30906)</f>
        <v/>
      </c>
      <c r="D30907">
        <f>IF(B30907=C30907, "YES", "WRONG")</f>
        <v/>
      </c>
    </row>
    <row r="30908">
      <c r="A30908" t="n">
        <v>30907</v>
      </c>
      <c r="B30908" t="inlineStr">
        <is>
          <t>x̄x̄x̄CMVII</t>
        </is>
      </c>
      <c r="C30908">
        <f>ROMAN(30907)</f>
        <v/>
      </c>
      <c r="D30908">
        <f>IF(B30908=C30908, "YES", "WRONG")</f>
        <v/>
      </c>
    </row>
    <row r="30909">
      <c r="A30909" t="n">
        <v>30908</v>
      </c>
      <c r="B30909" t="inlineStr">
        <is>
          <t>x̄x̄x̄CMVIII</t>
        </is>
      </c>
      <c r="C30909">
        <f>ROMAN(30908)</f>
        <v/>
      </c>
      <c r="D30909">
        <f>IF(B30909=C30909, "YES", "WRONG")</f>
        <v/>
      </c>
    </row>
    <row r="30910">
      <c r="A30910" t="n">
        <v>30909</v>
      </c>
      <c r="B30910" t="inlineStr">
        <is>
          <t>x̄x̄x̄CMIX</t>
        </is>
      </c>
      <c r="C30910">
        <f>ROMAN(30909)</f>
        <v/>
      </c>
      <c r="D30910">
        <f>IF(B30910=C30910, "YES", "WRONG")</f>
        <v/>
      </c>
    </row>
    <row r="30911">
      <c r="A30911" t="n">
        <v>30910</v>
      </c>
      <c r="B30911" t="inlineStr">
        <is>
          <t>x̄x̄x̄CMX</t>
        </is>
      </c>
      <c r="C30911">
        <f>ROMAN(30910)</f>
        <v/>
      </c>
      <c r="D30911">
        <f>IF(B30911=C30911, "YES", "WRONG")</f>
        <v/>
      </c>
    </row>
    <row r="30912">
      <c r="A30912" t="n">
        <v>30911</v>
      </c>
      <c r="B30912" t="inlineStr">
        <is>
          <t>x̄x̄x̄CMXI</t>
        </is>
      </c>
      <c r="C30912">
        <f>ROMAN(30911)</f>
        <v/>
      </c>
      <c r="D30912">
        <f>IF(B30912=C30912, "YES", "WRONG")</f>
        <v/>
      </c>
    </row>
    <row r="30913">
      <c r="A30913" t="n">
        <v>30912</v>
      </c>
      <c r="B30913" t="inlineStr">
        <is>
          <t>x̄x̄x̄CMXII</t>
        </is>
      </c>
      <c r="C30913">
        <f>ROMAN(30912)</f>
        <v/>
      </c>
      <c r="D30913">
        <f>IF(B30913=C30913, "YES", "WRONG")</f>
        <v/>
      </c>
    </row>
    <row r="30914">
      <c r="A30914" t="n">
        <v>30913</v>
      </c>
      <c r="B30914" t="inlineStr">
        <is>
          <t>x̄x̄x̄CMXIII</t>
        </is>
      </c>
      <c r="C30914">
        <f>ROMAN(30913)</f>
        <v/>
      </c>
      <c r="D30914">
        <f>IF(B30914=C30914, "YES", "WRONG")</f>
        <v/>
      </c>
    </row>
    <row r="30915">
      <c r="A30915" t="n">
        <v>30914</v>
      </c>
      <c r="B30915" t="inlineStr">
        <is>
          <t>x̄x̄x̄CMXIV</t>
        </is>
      </c>
      <c r="C30915">
        <f>ROMAN(30914)</f>
        <v/>
      </c>
      <c r="D30915">
        <f>IF(B30915=C30915, "YES", "WRONG")</f>
        <v/>
      </c>
    </row>
    <row r="30916">
      <c r="A30916" t="n">
        <v>30915</v>
      </c>
      <c r="B30916" t="inlineStr">
        <is>
          <t>x̄x̄x̄CMXV</t>
        </is>
      </c>
      <c r="C30916">
        <f>ROMAN(30915)</f>
        <v/>
      </c>
      <c r="D30916">
        <f>IF(B30916=C30916, "YES", "WRONG")</f>
        <v/>
      </c>
    </row>
    <row r="30917">
      <c r="A30917" t="n">
        <v>30916</v>
      </c>
      <c r="B30917" t="inlineStr">
        <is>
          <t>x̄x̄x̄CMXVI</t>
        </is>
      </c>
      <c r="C30917">
        <f>ROMAN(30916)</f>
        <v/>
      </c>
      <c r="D30917">
        <f>IF(B30917=C30917, "YES", "WRONG")</f>
        <v/>
      </c>
    </row>
    <row r="30918">
      <c r="A30918" t="n">
        <v>30917</v>
      </c>
      <c r="B30918" t="inlineStr">
        <is>
          <t>x̄x̄x̄CMXVII</t>
        </is>
      </c>
      <c r="C30918">
        <f>ROMAN(30917)</f>
        <v/>
      </c>
      <c r="D30918">
        <f>IF(B30918=C30918, "YES", "WRONG")</f>
        <v/>
      </c>
    </row>
    <row r="30919">
      <c r="A30919" t="n">
        <v>30918</v>
      </c>
      <c r="B30919" t="inlineStr">
        <is>
          <t>x̄x̄x̄CMXVIII</t>
        </is>
      </c>
      <c r="C30919">
        <f>ROMAN(30918)</f>
        <v/>
      </c>
      <c r="D30919">
        <f>IF(B30919=C30919, "YES", "WRONG")</f>
        <v/>
      </c>
    </row>
    <row r="30920">
      <c r="A30920" t="n">
        <v>30919</v>
      </c>
      <c r="B30920" t="inlineStr">
        <is>
          <t>x̄x̄x̄CMXIX</t>
        </is>
      </c>
      <c r="C30920">
        <f>ROMAN(30919)</f>
        <v/>
      </c>
      <c r="D30920">
        <f>IF(B30920=C30920, "YES", "WRONG")</f>
        <v/>
      </c>
    </row>
    <row r="30921">
      <c r="A30921" t="n">
        <v>30920</v>
      </c>
      <c r="B30921" t="inlineStr">
        <is>
          <t>x̄x̄x̄CMXX</t>
        </is>
      </c>
      <c r="C30921">
        <f>ROMAN(30920)</f>
        <v/>
      </c>
      <c r="D30921">
        <f>IF(B30921=C30921, "YES", "WRONG")</f>
        <v/>
      </c>
    </row>
    <row r="30922">
      <c r="A30922" t="n">
        <v>30921</v>
      </c>
      <c r="B30922" t="inlineStr">
        <is>
          <t>x̄x̄x̄CMXXI</t>
        </is>
      </c>
      <c r="C30922">
        <f>ROMAN(30921)</f>
        <v/>
      </c>
      <c r="D30922">
        <f>IF(B30922=C30922, "YES", "WRONG")</f>
        <v/>
      </c>
    </row>
    <row r="30923">
      <c r="A30923" t="n">
        <v>30922</v>
      </c>
      <c r="B30923" t="inlineStr">
        <is>
          <t>x̄x̄x̄CMXXII</t>
        </is>
      </c>
      <c r="C30923">
        <f>ROMAN(30922)</f>
        <v/>
      </c>
      <c r="D30923">
        <f>IF(B30923=C30923, "YES", "WRONG")</f>
        <v/>
      </c>
    </row>
    <row r="30924">
      <c r="A30924" t="n">
        <v>30923</v>
      </c>
      <c r="B30924" t="inlineStr">
        <is>
          <t>x̄x̄x̄CMXXIII</t>
        </is>
      </c>
      <c r="C30924">
        <f>ROMAN(30923)</f>
        <v/>
      </c>
      <c r="D30924">
        <f>IF(B30924=C30924, "YES", "WRONG")</f>
        <v/>
      </c>
    </row>
    <row r="30925">
      <c r="A30925" t="n">
        <v>30924</v>
      </c>
      <c r="B30925" t="inlineStr">
        <is>
          <t>x̄x̄x̄CMXXIV</t>
        </is>
      </c>
      <c r="C30925">
        <f>ROMAN(30924)</f>
        <v/>
      </c>
      <c r="D30925">
        <f>IF(B30925=C30925, "YES", "WRONG")</f>
        <v/>
      </c>
    </row>
    <row r="30926">
      <c r="A30926" t="n">
        <v>30925</v>
      </c>
      <c r="B30926" t="inlineStr">
        <is>
          <t>x̄x̄x̄CMXXV</t>
        </is>
      </c>
      <c r="C30926">
        <f>ROMAN(30925)</f>
        <v/>
      </c>
      <c r="D30926">
        <f>IF(B30926=C30926, "YES", "WRONG")</f>
        <v/>
      </c>
    </row>
    <row r="30927">
      <c r="A30927" t="n">
        <v>30926</v>
      </c>
      <c r="B30927" t="inlineStr">
        <is>
          <t>x̄x̄x̄CMXXVI</t>
        </is>
      </c>
      <c r="C30927">
        <f>ROMAN(30926)</f>
        <v/>
      </c>
      <c r="D30927">
        <f>IF(B30927=C30927, "YES", "WRONG")</f>
        <v/>
      </c>
    </row>
    <row r="30928">
      <c r="A30928" t="n">
        <v>30927</v>
      </c>
      <c r="B30928" t="inlineStr">
        <is>
          <t>x̄x̄x̄CMXXVII</t>
        </is>
      </c>
      <c r="C30928">
        <f>ROMAN(30927)</f>
        <v/>
      </c>
      <c r="D30928">
        <f>IF(B30928=C30928, "YES", "WRONG")</f>
        <v/>
      </c>
    </row>
    <row r="30929">
      <c r="A30929" t="n">
        <v>30928</v>
      </c>
      <c r="B30929" t="inlineStr">
        <is>
          <t>x̄x̄x̄CMXXVIII</t>
        </is>
      </c>
      <c r="C30929">
        <f>ROMAN(30928)</f>
        <v/>
      </c>
      <c r="D30929">
        <f>IF(B30929=C30929, "YES", "WRONG")</f>
        <v/>
      </c>
    </row>
    <row r="30930">
      <c r="A30930" t="n">
        <v>30929</v>
      </c>
      <c r="B30930" t="inlineStr">
        <is>
          <t>x̄x̄x̄CMXXIX</t>
        </is>
      </c>
      <c r="C30930">
        <f>ROMAN(30929)</f>
        <v/>
      </c>
      <c r="D30930">
        <f>IF(B30930=C30930, "YES", "WRONG")</f>
        <v/>
      </c>
    </row>
    <row r="30931">
      <c r="A30931" t="n">
        <v>30930</v>
      </c>
      <c r="B30931" t="inlineStr">
        <is>
          <t>x̄x̄x̄CMXXX</t>
        </is>
      </c>
      <c r="C30931">
        <f>ROMAN(30930)</f>
        <v/>
      </c>
      <c r="D30931">
        <f>IF(B30931=C30931, "YES", "WRONG")</f>
        <v/>
      </c>
    </row>
    <row r="30932">
      <c r="A30932" t="n">
        <v>30931</v>
      </c>
      <c r="B30932" t="inlineStr">
        <is>
          <t>x̄x̄x̄CMXXXI</t>
        </is>
      </c>
      <c r="C30932">
        <f>ROMAN(30931)</f>
        <v/>
      </c>
      <c r="D30932">
        <f>IF(B30932=C30932, "YES", "WRONG")</f>
        <v/>
      </c>
    </row>
    <row r="30933">
      <c r="A30933" t="n">
        <v>30932</v>
      </c>
      <c r="B30933" t="inlineStr">
        <is>
          <t>x̄x̄x̄CMXXXII</t>
        </is>
      </c>
      <c r="C30933">
        <f>ROMAN(30932)</f>
        <v/>
      </c>
      <c r="D30933">
        <f>IF(B30933=C30933, "YES", "WRONG")</f>
        <v/>
      </c>
    </row>
    <row r="30934">
      <c r="A30934" t="n">
        <v>30933</v>
      </c>
      <c r="B30934" t="inlineStr">
        <is>
          <t>x̄x̄x̄CMXXXIII</t>
        </is>
      </c>
      <c r="C30934">
        <f>ROMAN(30933)</f>
        <v/>
      </c>
      <c r="D30934">
        <f>IF(B30934=C30934, "YES", "WRONG")</f>
        <v/>
      </c>
    </row>
    <row r="30935">
      <c r="A30935" t="n">
        <v>30934</v>
      </c>
      <c r="B30935" t="inlineStr">
        <is>
          <t>x̄x̄x̄CMXXXIV</t>
        </is>
      </c>
      <c r="C30935">
        <f>ROMAN(30934)</f>
        <v/>
      </c>
      <c r="D30935">
        <f>IF(B30935=C30935, "YES", "WRONG")</f>
        <v/>
      </c>
    </row>
    <row r="30936">
      <c r="A30936" t="n">
        <v>30935</v>
      </c>
      <c r="B30936" t="inlineStr">
        <is>
          <t>x̄x̄x̄CMXXXV</t>
        </is>
      </c>
      <c r="C30936">
        <f>ROMAN(30935)</f>
        <v/>
      </c>
      <c r="D30936">
        <f>IF(B30936=C30936, "YES", "WRONG")</f>
        <v/>
      </c>
    </row>
    <row r="30937">
      <c r="A30937" t="n">
        <v>30936</v>
      </c>
      <c r="B30937" t="inlineStr">
        <is>
          <t>x̄x̄x̄CMXXXVI</t>
        </is>
      </c>
      <c r="C30937">
        <f>ROMAN(30936)</f>
        <v/>
      </c>
      <c r="D30937">
        <f>IF(B30937=C30937, "YES", "WRONG")</f>
        <v/>
      </c>
    </row>
    <row r="30938">
      <c r="A30938" t="n">
        <v>30937</v>
      </c>
      <c r="B30938" t="inlineStr">
        <is>
          <t>x̄x̄x̄CMXXXVII</t>
        </is>
      </c>
      <c r="C30938">
        <f>ROMAN(30937)</f>
        <v/>
      </c>
      <c r="D30938">
        <f>IF(B30938=C30938, "YES", "WRONG")</f>
        <v/>
      </c>
    </row>
    <row r="30939">
      <c r="A30939" t="n">
        <v>30938</v>
      </c>
      <c r="B30939" t="inlineStr">
        <is>
          <t>x̄x̄x̄CMXXXVIII</t>
        </is>
      </c>
      <c r="C30939">
        <f>ROMAN(30938)</f>
        <v/>
      </c>
      <c r="D30939">
        <f>IF(B30939=C30939, "YES", "WRONG")</f>
        <v/>
      </c>
    </row>
    <row r="30940">
      <c r="A30940" t="n">
        <v>30939</v>
      </c>
      <c r="B30940" t="inlineStr">
        <is>
          <t>x̄x̄x̄CMXXXIX</t>
        </is>
      </c>
      <c r="C30940">
        <f>ROMAN(30939)</f>
        <v/>
      </c>
      <c r="D30940">
        <f>IF(B30940=C30940, "YES", "WRONG")</f>
        <v/>
      </c>
    </row>
    <row r="30941">
      <c r="A30941" t="n">
        <v>30940</v>
      </c>
      <c r="B30941" t="inlineStr">
        <is>
          <t>x̄x̄x̄CMXL</t>
        </is>
      </c>
      <c r="C30941">
        <f>ROMAN(30940)</f>
        <v/>
      </c>
      <c r="D30941">
        <f>IF(B30941=C30941, "YES", "WRONG")</f>
        <v/>
      </c>
    </row>
    <row r="30942">
      <c r="A30942" t="n">
        <v>30941</v>
      </c>
      <c r="B30942" t="inlineStr">
        <is>
          <t>x̄x̄x̄CMXLI</t>
        </is>
      </c>
      <c r="C30942">
        <f>ROMAN(30941)</f>
        <v/>
      </c>
      <c r="D30942">
        <f>IF(B30942=C30942, "YES", "WRONG")</f>
        <v/>
      </c>
    </row>
    <row r="30943">
      <c r="A30943" t="n">
        <v>30942</v>
      </c>
      <c r="B30943" t="inlineStr">
        <is>
          <t>x̄x̄x̄CMXLII</t>
        </is>
      </c>
      <c r="C30943">
        <f>ROMAN(30942)</f>
        <v/>
      </c>
      <c r="D30943">
        <f>IF(B30943=C30943, "YES", "WRONG")</f>
        <v/>
      </c>
    </row>
    <row r="30944">
      <c r="A30944" t="n">
        <v>30943</v>
      </c>
      <c r="B30944" t="inlineStr">
        <is>
          <t>x̄x̄x̄CMXLIII</t>
        </is>
      </c>
      <c r="C30944">
        <f>ROMAN(30943)</f>
        <v/>
      </c>
      <c r="D30944">
        <f>IF(B30944=C30944, "YES", "WRONG")</f>
        <v/>
      </c>
    </row>
    <row r="30945">
      <c r="A30945" t="n">
        <v>30944</v>
      </c>
      <c r="B30945" t="inlineStr">
        <is>
          <t>x̄x̄x̄CMXLIV</t>
        </is>
      </c>
      <c r="C30945">
        <f>ROMAN(30944)</f>
        <v/>
      </c>
      <c r="D30945">
        <f>IF(B30945=C30945, "YES", "WRONG")</f>
        <v/>
      </c>
    </row>
    <row r="30946">
      <c r="A30946" t="n">
        <v>30945</v>
      </c>
      <c r="B30946" t="inlineStr">
        <is>
          <t>x̄x̄x̄CMXLV</t>
        </is>
      </c>
      <c r="C30946">
        <f>ROMAN(30945)</f>
        <v/>
      </c>
      <c r="D30946">
        <f>IF(B30946=C30946, "YES", "WRONG")</f>
        <v/>
      </c>
    </row>
    <row r="30947">
      <c r="A30947" t="n">
        <v>30946</v>
      </c>
      <c r="B30947" t="inlineStr">
        <is>
          <t>x̄x̄x̄CMXLVI</t>
        </is>
      </c>
      <c r="C30947">
        <f>ROMAN(30946)</f>
        <v/>
      </c>
      <c r="D30947">
        <f>IF(B30947=C30947, "YES", "WRONG")</f>
        <v/>
      </c>
    </row>
    <row r="30948">
      <c r="A30948" t="n">
        <v>30947</v>
      </c>
      <c r="B30948" t="inlineStr">
        <is>
          <t>x̄x̄x̄CMXLVII</t>
        </is>
      </c>
      <c r="C30948">
        <f>ROMAN(30947)</f>
        <v/>
      </c>
      <c r="D30948">
        <f>IF(B30948=C30948, "YES", "WRONG")</f>
        <v/>
      </c>
    </row>
    <row r="30949">
      <c r="A30949" t="n">
        <v>30948</v>
      </c>
      <c r="B30949" t="inlineStr">
        <is>
          <t>x̄x̄x̄CMXLVIII</t>
        </is>
      </c>
      <c r="C30949">
        <f>ROMAN(30948)</f>
        <v/>
      </c>
      <c r="D30949">
        <f>IF(B30949=C30949, "YES", "WRONG")</f>
        <v/>
      </c>
    </row>
    <row r="30950">
      <c r="A30950" t="n">
        <v>30949</v>
      </c>
      <c r="B30950" t="inlineStr">
        <is>
          <t>x̄x̄x̄CMXLIX</t>
        </is>
      </c>
      <c r="C30950">
        <f>ROMAN(30949)</f>
        <v/>
      </c>
      <c r="D30950">
        <f>IF(B30950=C30950, "YES", "WRONG")</f>
        <v/>
      </c>
    </row>
    <row r="30951">
      <c r="A30951" t="n">
        <v>30950</v>
      </c>
      <c r="B30951" t="inlineStr">
        <is>
          <t>x̄x̄x̄CML</t>
        </is>
      </c>
      <c r="C30951">
        <f>ROMAN(30950)</f>
        <v/>
      </c>
      <c r="D30951">
        <f>IF(B30951=C30951, "YES", "WRONG")</f>
        <v/>
      </c>
    </row>
    <row r="30952">
      <c r="A30952" t="n">
        <v>30951</v>
      </c>
      <c r="B30952" t="inlineStr">
        <is>
          <t>x̄x̄x̄CMLI</t>
        </is>
      </c>
      <c r="C30952">
        <f>ROMAN(30951)</f>
        <v/>
      </c>
      <c r="D30952">
        <f>IF(B30952=C30952, "YES", "WRONG")</f>
        <v/>
      </c>
    </row>
    <row r="30953">
      <c r="A30953" t="n">
        <v>30952</v>
      </c>
      <c r="B30953" t="inlineStr">
        <is>
          <t>x̄x̄x̄CMLII</t>
        </is>
      </c>
      <c r="C30953">
        <f>ROMAN(30952)</f>
        <v/>
      </c>
      <c r="D30953">
        <f>IF(B30953=C30953, "YES", "WRONG")</f>
        <v/>
      </c>
    </row>
    <row r="30954">
      <c r="A30954" t="n">
        <v>30953</v>
      </c>
      <c r="B30954" t="inlineStr">
        <is>
          <t>x̄x̄x̄CMLIII</t>
        </is>
      </c>
      <c r="C30954">
        <f>ROMAN(30953)</f>
        <v/>
      </c>
      <c r="D30954">
        <f>IF(B30954=C30954, "YES", "WRONG")</f>
        <v/>
      </c>
    </row>
    <row r="30955">
      <c r="A30955" t="n">
        <v>30954</v>
      </c>
      <c r="B30955" t="inlineStr">
        <is>
          <t>x̄x̄x̄CMLIV</t>
        </is>
      </c>
      <c r="C30955">
        <f>ROMAN(30954)</f>
        <v/>
      </c>
      <c r="D30955">
        <f>IF(B30955=C30955, "YES", "WRONG")</f>
        <v/>
      </c>
    </row>
    <row r="30956">
      <c r="A30956" t="n">
        <v>30955</v>
      </c>
      <c r="B30956" t="inlineStr">
        <is>
          <t>x̄x̄x̄CMLV</t>
        </is>
      </c>
      <c r="C30956">
        <f>ROMAN(30955)</f>
        <v/>
      </c>
      <c r="D30956">
        <f>IF(B30956=C30956, "YES", "WRONG")</f>
        <v/>
      </c>
    </row>
    <row r="30957">
      <c r="A30957" t="n">
        <v>30956</v>
      </c>
      <c r="B30957" t="inlineStr">
        <is>
          <t>x̄x̄x̄CMLVI</t>
        </is>
      </c>
      <c r="C30957">
        <f>ROMAN(30956)</f>
        <v/>
      </c>
      <c r="D30957">
        <f>IF(B30957=C30957, "YES", "WRONG")</f>
        <v/>
      </c>
    </row>
    <row r="30958">
      <c r="A30958" t="n">
        <v>30957</v>
      </c>
      <c r="B30958" t="inlineStr">
        <is>
          <t>x̄x̄x̄CMLVII</t>
        </is>
      </c>
      <c r="C30958">
        <f>ROMAN(30957)</f>
        <v/>
      </c>
      <c r="D30958">
        <f>IF(B30958=C30958, "YES", "WRONG")</f>
        <v/>
      </c>
    </row>
    <row r="30959">
      <c r="A30959" t="n">
        <v>30958</v>
      </c>
      <c r="B30959" t="inlineStr">
        <is>
          <t>x̄x̄x̄CMLVIII</t>
        </is>
      </c>
      <c r="C30959">
        <f>ROMAN(30958)</f>
        <v/>
      </c>
      <c r="D30959">
        <f>IF(B30959=C30959, "YES", "WRONG")</f>
        <v/>
      </c>
    </row>
    <row r="30960">
      <c r="A30960" t="n">
        <v>30959</v>
      </c>
      <c r="B30960" t="inlineStr">
        <is>
          <t>x̄x̄x̄CMLIX</t>
        </is>
      </c>
      <c r="C30960">
        <f>ROMAN(30959)</f>
        <v/>
      </c>
      <c r="D30960">
        <f>IF(B30960=C30960, "YES", "WRONG")</f>
        <v/>
      </c>
    </row>
    <row r="30961">
      <c r="A30961" t="n">
        <v>30960</v>
      </c>
      <c r="B30961" t="inlineStr">
        <is>
          <t>x̄x̄x̄CMLX</t>
        </is>
      </c>
      <c r="C30961">
        <f>ROMAN(30960)</f>
        <v/>
      </c>
      <c r="D30961">
        <f>IF(B30961=C30961, "YES", "WRONG")</f>
        <v/>
      </c>
    </row>
    <row r="30962">
      <c r="A30962" t="n">
        <v>30961</v>
      </c>
      <c r="B30962" t="inlineStr">
        <is>
          <t>x̄x̄x̄CMLXI</t>
        </is>
      </c>
      <c r="C30962">
        <f>ROMAN(30961)</f>
        <v/>
      </c>
      <c r="D30962">
        <f>IF(B30962=C30962, "YES", "WRONG")</f>
        <v/>
      </c>
    </row>
    <row r="30963">
      <c r="A30963" t="n">
        <v>30962</v>
      </c>
      <c r="B30963" t="inlineStr">
        <is>
          <t>x̄x̄x̄CMLXII</t>
        </is>
      </c>
      <c r="C30963">
        <f>ROMAN(30962)</f>
        <v/>
      </c>
      <c r="D30963">
        <f>IF(B30963=C30963, "YES", "WRONG")</f>
        <v/>
      </c>
    </row>
    <row r="30964">
      <c r="A30964" t="n">
        <v>30963</v>
      </c>
      <c r="B30964" t="inlineStr">
        <is>
          <t>x̄x̄x̄CMLXIII</t>
        </is>
      </c>
      <c r="C30964">
        <f>ROMAN(30963)</f>
        <v/>
      </c>
      <c r="D30964">
        <f>IF(B30964=C30964, "YES", "WRONG")</f>
        <v/>
      </c>
    </row>
    <row r="30965">
      <c r="A30965" t="n">
        <v>30964</v>
      </c>
      <c r="B30965" t="inlineStr">
        <is>
          <t>x̄x̄x̄CMLXIV</t>
        </is>
      </c>
      <c r="C30965">
        <f>ROMAN(30964)</f>
        <v/>
      </c>
      <c r="D30965">
        <f>IF(B30965=C30965, "YES", "WRONG")</f>
        <v/>
      </c>
    </row>
    <row r="30966">
      <c r="A30966" t="n">
        <v>30965</v>
      </c>
      <c r="B30966" t="inlineStr">
        <is>
          <t>x̄x̄x̄CMLXV</t>
        </is>
      </c>
      <c r="C30966">
        <f>ROMAN(30965)</f>
        <v/>
      </c>
      <c r="D30966">
        <f>IF(B30966=C30966, "YES", "WRONG")</f>
        <v/>
      </c>
    </row>
    <row r="30967">
      <c r="A30967" t="n">
        <v>30966</v>
      </c>
      <c r="B30967" t="inlineStr">
        <is>
          <t>x̄x̄x̄CMLXVI</t>
        </is>
      </c>
      <c r="C30967">
        <f>ROMAN(30966)</f>
        <v/>
      </c>
      <c r="D30967">
        <f>IF(B30967=C30967, "YES", "WRONG")</f>
        <v/>
      </c>
    </row>
    <row r="30968">
      <c r="A30968" t="n">
        <v>30967</v>
      </c>
      <c r="B30968" t="inlineStr">
        <is>
          <t>x̄x̄x̄CMLXVII</t>
        </is>
      </c>
      <c r="C30968">
        <f>ROMAN(30967)</f>
        <v/>
      </c>
      <c r="D30968">
        <f>IF(B30968=C30968, "YES", "WRONG")</f>
        <v/>
      </c>
    </row>
    <row r="30969">
      <c r="A30969" t="n">
        <v>30968</v>
      </c>
      <c r="B30969" t="inlineStr">
        <is>
          <t>x̄x̄x̄CMLXVIII</t>
        </is>
      </c>
      <c r="C30969">
        <f>ROMAN(30968)</f>
        <v/>
      </c>
      <c r="D30969">
        <f>IF(B30969=C30969, "YES", "WRONG")</f>
        <v/>
      </c>
    </row>
    <row r="30970">
      <c r="A30970" t="n">
        <v>30969</v>
      </c>
      <c r="B30970" t="inlineStr">
        <is>
          <t>x̄x̄x̄CMLXIX</t>
        </is>
      </c>
      <c r="C30970">
        <f>ROMAN(30969)</f>
        <v/>
      </c>
      <c r="D30970">
        <f>IF(B30970=C30970, "YES", "WRONG")</f>
        <v/>
      </c>
    </row>
    <row r="30971">
      <c r="A30971" t="n">
        <v>30970</v>
      </c>
      <c r="B30971" t="inlineStr">
        <is>
          <t>x̄x̄x̄CMLXX</t>
        </is>
      </c>
      <c r="C30971">
        <f>ROMAN(30970)</f>
        <v/>
      </c>
      <c r="D30971">
        <f>IF(B30971=C30971, "YES", "WRONG")</f>
        <v/>
      </c>
    </row>
    <row r="30972">
      <c r="A30972" t="n">
        <v>30971</v>
      </c>
      <c r="B30972" t="inlineStr">
        <is>
          <t>x̄x̄x̄CMLXXI</t>
        </is>
      </c>
      <c r="C30972">
        <f>ROMAN(30971)</f>
        <v/>
      </c>
      <c r="D30972">
        <f>IF(B30972=C30972, "YES", "WRONG")</f>
        <v/>
      </c>
    </row>
    <row r="30973">
      <c r="A30973" t="n">
        <v>30972</v>
      </c>
      <c r="B30973" t="inlineStr">
        <is>
          <t>x̄x̄x̄CMLXXII</t>
        </is>
      </c>
      <c r="C30973">
        <f>ROMAN(30972)</f>
        <v/>
      </c>
      <c r="D30973">
        <f>IF(B30973=C30973, "YES", "WRONG")</f>
        <v/>
      </c>
    </row>
    <row r="30974">
      <c r="A30974" t="n">
        <v>30973</v>
      </c>
      <c r="B30974" t="inlineStr">
        <is>
          <t>x̄x̄x̄CMLXXIII</t>
        </is>
      </c>
      <c r="C30974">
        <f>ROMAN(30973)</f>
        <v/>
      </c>
      <c r="D30974">
        <f>IF(B30974=C30974, "YES", "WRONG")</f>
        <v/>
      </c>
    </row>
    <row r="30975">
      <c r="A30975" t="n">
        <v>30974</v>
      </c>
      <c r="B30975" t="inlineStr">
        <is>
          <t>x̄x̄x̄CMLXXIV</t>
        </is>
      </c>
      <c r="C30975">
        <f>ROMAN(30974)</f>
        <v/>
      </c>
      <c r="D30975">
        <f>IF(B30975=C30975, "YES", "WRONG")</f>
        <v/>
      </c>
    </row>
    <row r="30976">
      <c r="A30976" t="n">
        <v>30975</v>
      </c>
      <c r="B30976" t="inlineStr">
        <is>
          <t>x̄x̄x̄CMLXXV</t>
        </is>
      </c>
      <c r="C30976">
        <f>ROMAN(30975)</f>
        <v/>
      </c>
      <c r="D30976">
        <f>IF(B30976=C30976, "YES", "WRONG")</f>
        <v/>
      </c>
    </row>
    <row r="30977">
      <c r="A30977" t="n">
        <v>30976</v>
      </c>
      <c r="B30977" t="inlineStr">
        <is>
          <t>x̄x̄x̄CMLXXVI</t>
        </is>
      </c>
      <c r="C30977">
        <f>ROMAN(30976)</f>
        <v/>
      </c>
      <c r="D30977">
        <f>IF(B30977=C30977, "YES", "WRONG")</f>
        <v/>
      </c>
    </row>
    <row r="30978">
      <c r="A30978" t="n">
        <v>30977</v>
      </c>
      <c r="B30978" t="inlineStr">
        <is>
          <t>x̄x̄x̄CMLXXVII</t>
        </is>
      </c>
      <c r="C30978">
        <f>ROMAN(30977)</f>
        <v/>
      </c>
      <c r="D30978">
        <f>IF(B30978=C30978, "YES", "WRONG")</f>
        <v/>
      </c>
    </row>
    <row r="30979">
      <c r="A30979" t="n">
        <v>30978</v>
      </c>
      <c r="B30979" t="inlineStr">
        <is>
          <t>x̄x̄x̄CMLXXVIII</t>
        </is>
      </c>
      <c r="C30979">
        <f>ROMAN(30978)</f>
        <v/>
      </c>
      <c r="D30979">
        <f>IF(B30979=C30979, "YES", "WRONG")</f>
        <v/>
      </c>
    </row>
    <row r="30980">
      <c r="A30980" t="n">
        <v>30979</v>
      </c>
      <c r="B30980" t="inlineStr">
        <is>
          <t>x̄x̄x̄CMLXXIX</t>
        </is>
      </c>
      <c r="C30980">
        <f>ROMAN(30979)</f>
        <v/>
      </c>
      <c r="D30980">
        <f>IF(B30980=C30980, "YES", "WRONG")</f>
        <v/>
      </c>
    </row>
    <row r="30981">
      <c r="A30981" t="n">
        <v>30980</v>
      </c>
      <c r="B30981" t="inlineStr">
        <is>
          <t>x̄x̄x̄CMLXXX</t>
        </is>
      </c>
      <c r="C30981">
        <f>ROMAN(30980)</f>
        <v/>
      </c>
      <c r="D30981">
        <f>IF(B30981=C30981, "YES", "WRONG")</f>
        <v/>
      </c>
    </row>
    <row r="30982">
      <c r="A30982" t="n">
        <v>30981</v>
      </c>
      <c r="B30982" t="inlineStr">
        <is>
          <t>x̄x̄x̄CMLXXXI</t>
        </is>
      </c>
      <c r="C30982">
        <f>ROMAN(30981)</f>
        <v/>
      </c>
      <c r="D30982">
        <f>IF(B30982=C30982, "YES", "WRONG")</f>
        <v/>
      </c>
    </row>
    <row r="30983">
      <c r="A30983" t="n">
        <v>30982</v>
      </c>
      <c r="B30983" t="inlineStr">
        <is>
          <t>x̄x̄x̄CMLXXXII</t>
        </is>
      </c>
      <c r="C30983">
        <f>ROMAN(30982)</f>
        <v/>
      </c>
      <c r="D30983">
        <f>IF(B30983=C30983, "YES", "WRONG")</f>
        <v/>
      </c>
    </row>
    <row r="30984">
      <c r="A30984" t="n">
        <v>30983</v>
      </c>
      <c r="B30984" t="inlineStr">
        <is>
          <t>x̄x̄x̄CMLXXXIII</t>
        </is>
      </c>
      <c r="C30984">
        <f>ROMAN(30983)</f>
        <v/>
      </c>
      <c r="D30984">
        <f>IF(B30984=C30984, "YES", "WRONG")</f>
        <v/>
      </c>
    </row>
    <row r="30985">
      <c r="A30985" t="n">
        <v>30984</v>
      </c>
      <c r="B30985" t="inlineStr">
        <is>
          <t>x̄x̄x̄CMLXXXIV</t>
        </is>
      </c>
      <c r="C30985">
        <f>ROMAN(30984)</f>
        <v/>
      </c>
      <c r="D30985">
        <f>IF(B30985=C30985, "YES", "WRONG")</f>
        <v/>
      </c>
    </row>
    <row r="30986">
      <c r="A30986" t="n">
        <v>30985</v>
      </c>
      <c r="B30986" t="inlineStr">
        <is>
          <t>x̄x̄x̄CMLXXXV</t>
        </is>
      </c>
      <c r="C30986">
        <f>ROMAN(30985)</f>
        <v/>
      </c>
      <c r="D30986">
        <f>IF(B30986=C30986, "YES", "WRONG")</f>
        <v/>
      </c>
    </row>
    <row r="30987">
      <c r="A30987" t="n">
        <v>30986</v>
      </c>
      <c r="B30987" t="inlineStr">
        <is>
          <t>x̄x̄x̄CMLXXXVI</t>
        </is>
      </c>
      <c r="C30987">
        <f>ROMAN(30986)</f>
        <v/>
      </c>
      <c r="D30987">
        <f>IF(B30987=C30987, "YES", "WRONG")</f>
        <v/>
      </c>
    </row>
    <row r="30988">
      <c r="A30988" t="n">
        <v>30987</v>
      </c>
      <c r="B30988" t="inlineStr">
        <is>
          <t>x̄x̄x̄CMLXXXVII</t>
        </is>
      </c>
      <c r="C30988">
        <f>ROMAN(30987)</f>
        <v/>
      </c>
      <c r="D30988">
        <f>IF(B30988=C30988, "YES", "WRONG")</f>
        <v/>
      </c>
    </row>
    <row r="30989">
      <c r="A30989" t="n">
        <v>30988</v>
      </c>
      <c r="B30989" t="inlineStr">
        <is>
          <t>x̄x̄x̄CMLXXXVIII</t>
        </is>
      </c>
      <c r="C30989">
        <f>ROMAN(30988)</f>
        <v/>
      </c>
      <c r="D30989">
        <f>IF(B30989=C30989, "YES", "WRONG")</f>
        <v/>
      </c>
    </row>
    <row r="30990">
      <c r="A30990" t="n">
        <v>30989</v>
      </c>
      <c r="B30990" t="inlineStr">
        <is>
          <t>x̄x̄x̄CMLXXXIX</t>
        </is>
      </c>
      <c r="C30990">
        <f>ROMAN(30989)</f>
        <v/>
      </c>
      <c r="D30990">
        <f>IF(B30990=C30990, "YES", "WRONG")</f>
        <v/>
      </c>
    </row>
    <row r="30991">
      <c r="A30991" t="n">
        <v>30990</v>
      </c>
      <c r="B30991" t="inlineStr">
        <is>
          <t>x̄x̄x̄CMXC</t>
        </is>
      </c>
      <c r="C30991">
        <f>ROMAN(30990)</f>
        <v/>
      </c>
      <c r="D30991">
        <f>IF(B30991=C30991, "YES", "WRONG")</f>
        <v/>
      </c>
    </row>
    <row r="30992">
      <c r="A30992" t="n">
        <v>30991</v>
      </c>
      <c r="B30992" t="inlineStr">
        <is>
          <t>x̄x̄x̄CMXCI</t>
        </is>
      </c>
      <c r="C30992">
        <f>ROMAN(30991)</f>
        <v/>
      </c>
      <c r="D30992">
        <f>IF(B30992=C30992, "YES", "WRONG")</f>
        <v/>
      </c>
    </row>
    <row r="30993">
      <c r="A30993" t="n">
        <v>30992</v>
      </c>
      <c r="B30993" t="inlineStr">
        <is>
          <t>x̄x̄x̄CMXCII</t>
        </is>
      </c>
      <c r="C30993">
        <f>ROMAN(30992)</f>
        <v/>
      </c>
      <c r="D30993">
        <f>IF(B30993=C30993, "YES", "WRONG")</f>
        <v/>
      </c>
    </row>
    <row r="30994">
      <c r="A30994" t="n">
        <v>30993</v>
      </c>
      <c r="B30994" t="inlineStr">
        <is>
          <t>x̄x̄x̄CMXCIII</t>
        </is>
      </c>
      <c r="C30994">
        <f>ROMAN(30993)</f>
        <v/>
      </c>
      <c r="D30994">
        <f>IF(B30994=C30994, "YES", "WRONG")</f>
        <v/>
      </c>
    </row>
    <row r="30995">
      <c r="A30995" t="n">
        <v>30994</v>
      </c>
      <c r="B30995" t="inlineStr">
        <is>
          <t>x̄x̄x̄CMXCIV</t>
        </is>
      </c>
      <c r="C30995">
        <f>ROMAN(30994)</f>
        <v/>
      </c>
      <c r="D30995">
        <f>IF(B30995=C30995, "YES", "WRONG")</f>
        <v/>
      </c>
    </row>
    <row r="30996">
      <c r="A30996" t="n">
        <v>30995</v>
      </c>
      <c r="B30996" t="inlineStr">
        <is>
          <t>x̄x̄x̄CMXCV</t>
        </is>
      </c>
      <c r="C30996">
        <f>ROMAN(30995)</f>
        <v/>
      </c>
      <c r="D30996">
        <f>IF(B30996=C30996, "YES", "WRONG")</f>
        <v/>
      </c>
    </row>
    <row r="30997">
      <c r="A30997" t="n">
        <v>30996</v>
      </c>
      <c r="B30997" t="inlineStr">
        <is>
          <t>x̄x̄x̄CMXCVI</t>
        </is>
      </c>
      <c r="C30997">
        <f>ROMAN(30996)</f>
        <v/>
      </c>
      <c r="D30997">
        <f>IF(B30997=C30997, "YES", "WRONG")</f>
        <v/>
      </c>
    </row>
    <row r="30998">
      <c r="A30998" t="n">
        <v>30997</v>
      </c>
      <c r="B30998" t="inlineStr">
        <is>
          <t>x̄x̄x̄CMXCVII</t>
        </is>
      </c>
      <c r="C30998">
        <f>ROMAN(30997)</f>
        <v/>
      </c>
      <c r="D30998">
        <f>IF(B30998=C30998, "YES", "WRONG")</f>
        <v/>
      </c>
    </row>
    <row r="30999">
      <c r="A30999" t="n">
        <v>30998</v>
      </c>
      <c r="B30999" t="inlineStr">
        <is>
          <t>x̄x̄x̄CMXCVIII</t>
        </is>
      </c>
      <c r="C30999">
        <f>ROMAN(30998)</f>
        <v/>
      </c>
      <c r="D30999">
        <f>IF(B30999=C30999, "YES", "WRONG")</f>
        <v/>
      </c>
    </row>
    <row r="31000">
      <c r="A31000" t="n">
        <v>30999</v>
      </c>
      <c r="B31000" t="inlineStr">
        <is>
          <t>x̄x̄x̄CMXCIX</t>
        </is>
      </c>
      <c r="C31000">
        <f>ROMAN(30999)</f>
        <v/>
      </c>
      <c r="D31000">
        <f>IF(B31000=C31000, "YES", "WRONG")</f>
        <v/>
      </c>
    </row>
    <row r="31001">
      <c r="A31001" t="n">
        <v>31000</v>
      </c>
      <c r="B31001" t="inlineStr">
        <is>
          <t>x̄x̄x̄M</t>
        </is>
      </c>
      <c r="C31001">
        <f>ROMAN(31000)</f>
        <v/>
      </c>
      <c r="D31001">
        <f>IF(B31001=C31001, "YES", "WRONG")</f>
        <v/>
      </c>
    </row>
    <row r="31002">
      <c r="A31002" t="n">
        <v>31001</v>
      </c>
      <c r="B31002" t="inlineStr">
        <is>
          <t>x̄x̄x̄MI</t>
        </is>
      </c>
      <c r="C31002">
        <f>ROMAN(31001)</f>
        <v/>
      </c>
      <c r="D31002">
        <f>IF(B31002=C31002, "YES", "WRONG")</f>
        <v/>
      </c>
    </row>
    <row r="31003">
      <c r="A31003" t="n">
        <v>31002</v>
      </c>
      <c r="B31003" t="inlineStr">
        <is>
          <t>x̄x̄x̄MII</t>
        </is>
      </c>
      <c r="C31003">
        <f>ROMAN(31002)</f>
        <v/>
      </c>
      <c r="D31003">
        <f>IF(B31003=C31003, "YES", "WRONG")</f>
        <v/>
      </c>
    </row>
    <row r="31004">
      <c r="A31004" t="n">
        <v>31003</v>
      </c>
      <c r="B31004" t="inlineStr">
        <is>
          <t>x̄x̄x̄MIII</t>
        </is>
      </c>
      <c r="C31004">
        <f>ROMAN(31003)</f>
        <v/>
      </c>
      <c r="D31004">
        <f>IF(B31004=C31004, "YES", "WRONG")</f>
        <v/>
      </c>
    </row>
    <row r="31005">
      <c r="A31005" t="n">
        <v>31004</v>
      </c>
      <c r="B31005" t="inlineStr">
        <is>
          <t>x̄x̄x̄MIV</t>
        </is>
      </c>
      <c r="C31005">
        <f>ROMAN(31004)</f>
        <v/>
      </c>
      <c r="D31005">
        <f>IF(B31005=C31005, "YES", "WRONG")</f>
        <v/>
      </c>
    </row>
    <row r="31006">
      <c r="A31006" t="n">
        <v>31005</v>
      </c>
      <c r="B31006" t="inlineStr">
        <is>
          <t>x̄x̄x̄MV</t>
        </is>
      </c>
      <c r="C31006">
        <f>ROMAN(31005)</f>
        <v/>
      </c>
      <c r="D31006">
        <f>IF(B31006=C31006, "YES", "WRONG")</f>
        <v/>
      </c>
    </row>
    <row r="31007">
      <c r="A31007" t="n">
        <v>31006</v>
      </c>
      <c r="B31007" t="inlineStr">
        <is>
          <t>x̄x̄x̄MVI</t>
        </is>
      </c>
      <c r="C31007">
        <f>ROMAN(31006)</f>
        <v/>
      </c>
      <c r="D31007">
        <f>IF(B31007=C31007, "YES", "WRONG")</f>
        <v/>
      </c>
    </row>
    <row r="31008">
      <c r="A31008" t="n">
        <v>31007</v>
      </c>
      <c r="B31008" t="inlineStr">
        <is>
          <t>x̄x̄x̄MVII</t>
        </is>
      </c>
      <c r="C31008">
        <f>ROMAN(31007)</f>
        <v/>
      </c>
      <c r="D31008">
        <f>IF(B31008=C31008, "YES", "WRONG")</f>
        <v/>
      </c>
    </row>
    <row r="31009">
      <c r="A31009" t="n">
        <v>31008</v>
      </c>
      <c r="B31009" t="inlineStr">
        <is>
          <t>x̄x̄x̄MVIII</t>
        </is>
      </c>
      <c r="C31009">
        <f>ROMAN(31008)</f>
        <v/>
      </c>
      <c r="D31009">
        <f>IF(B31009=C31009, "YES", "WRONG")</f>
        <v/>
      </c>
    </row>
    <row r="31010">
      <c r="A31010" t="n">
        <v>31009</v>
      </c>
      <c r="B31010" t="inlineStr">
        <is>
          <t>x̄x̄x̄MIX</t>
        </is>
      </c>
      <c r="C31010">
        <f>ROMAN(31009)</f>
        <v/>
      </c>
      <c r="D31010">
        <f>IF(B31010=C31010, "YES", "WRONG")</f>
        <v/>
      </c>
    </row>
    <row r="31011">
      <c r="A31011" t="n">
        <v>31010</v>
      </c>
      <c r="B31011" t="inlineStr">
        <is>
          <t>x̄x̄x̄MX</t>
        </is>
      </c>
      <c r="C31011">
        <f>ROMAN(31010)</f>
        <v/>
      </c>
      <c r="D31011">
        <f>IF(B31011=C31011, "YES", "WRONG")</f>
        <v/>
      </c>
    </row>
    <row r="31012">
      <c r="A31012" t="n">
        <v>31011</v>
      </c>
      <c r="B31012" t="inlineStr">
        <is>
          <t>x̄x̄x̄MXI</t>
        </is>
      </c>
      <c r="C31012">
        <f>ROMAN(31011)</f>
        <v/>
      </c>
      <c r="D31012">
        <f>IF(B31012=C31012, "YES", "WRONG")</f>
        <v/>
      </c>
    </row>
    <row r="31013">
      <c r="A31013" t="n">
        <v>31012</v>
      </c>
      <c r="B31013" t="inlineStr">
        <is>
          <t>x̄x̄x̄MXII</t>
        </is>
      </c>
      <c r="C31013">
        <f>ROMAN(31012)</f>
        <v/>
      </c>
      <c r="D31013">
        <f>IF(B31013=C31013, "YES", "WRONG")</f>
        <v/>
      </c>
    </row>
    <row r="31014">
      <c r="A31014" t="n">
        <v>31013</v>
      </c>
      <c r="B31014" t="inlineStr">
        <is>
          <t>x̄x̄x̄MXIII</t>
        </is>
      </c>
      <c r="C31014">
        <f>ROMAN(31013)</f>
        <v/>
      </c>
      <c r="D31014">
        <f>IF(B31014=C31014, "YES", "WRONG")</f>
        <v/>
      </c>
    </row>
    <row r="31015">
      <c r="A31015" t="n">
        <v>31014</v>
      </c>
      <c r="B31015" t="inlineStr">
        <is>
          <t>x̄x̄x̄MXIV</t>
        </is>
      </c>
      <c r="C31015">
        <f>ROMAN(31014)</f>
        <v/>
      </c>
      <c r="D31015">
        <f>IF(B31015=C31015, "YES", "WRONG")</f>
        <v/>
      </c>
    </row>
    <row r="31016">
      <c r="A31016" t="n">
        <v>31015</v>
      </c>
      <c r="B31016" t="inlineStr">
        <is>
          <t>x̄x̄x̄MXV</t>
        </is>
      </c>
      <c r="C31016">
        <f>ROMAN(31015)</f>
        <v/>
      </c>
      <c r="D31016">
        <f>IF(B31016=C31016, "YES", "WRONG")</f>
        <v/>
      </c>
    </row>
    <row r="31017">
      <c r="A31017" t="n">
        <v>31016</v>
      </c>
      <c r="B31017" t="inlineStr">
        <is>
          <t>x̄x̄x̄MXVI</t>
        </is>
      </c>
      <c r="C31017">
        <f>ROMAN(31016)</f>
        <v/>
      </c>
      <c r="D31017">
        <f>IF(B31017=C31017, "YES", "WRONG")</f>
        <v/>
      </c>
    </row>
    <row r="31018">
      <c r="A31018" t="n">
        <v>31017</v>
      </c>
      <c r="B31018" t="inlineStr">
        <is>
          <t>x̄x̄x̄MXVII</t>
        </is>
      </c>
      <c r="C31018">
        <f>ROMAN(31017)</f>
        <v/>
      </c>
      <c r="D31018">
        <f>IF(B31018=C31018, "YES", "WRONG")</f>
        <v/>
      </c>
    </row>
    <row r="31019">
      <c r="A31019" t="n">
        <v>31018</v>
      </c>
      <c r="B31019" t="inlineStr">
        <is>
          <t>x̄x̄x̄MXVIII</t>
        </is>
      </c>
      <c r="C31019">
        <f>ROMAN(31018)</f>
        <v/>
      </c>
      <c r="D31019">
        <f>IF(B31019=C31019, "YES", "WRONG")</f>
        <v/>
      </c>
    </row>
    <row r="31020">
      <c r="A31020" t="n">
        <v>31019</v>
      </c>
      <c r="B31020" t="inlineStr">
        <is>
          <t>x̄x̄x̄MXIX</t>
        </is>
      </c>
      <c r="C31020">
        <f>ROMAN(31019)</f>
        <v/>
      </c>
      <c r="D31020">
        <f>IF(B31020=C31020, "YES", "WRONG")</f>
        <v/>
      </c>
    </row>
    <row r="31021">
      <c r="A31021" t="n">
        <v>31020</v>
      </c>
      <c r="B31021" t="inlineStr">
        <is>
          <t>x̄x̄x̄MXX</t>
        </is>
      </c>
      <c r="C31021">
        <f>ROMAN(31020)</f>
        <v/>
      </c>
      <c r="D31021">
        <f>IF(B31021=C31021, "YES", "WRONG")</f>
        <v/>
      </c>
    </row>
    <row r="31022">
      <c r="A31022" t="n">
        <v>31021</v>
      </c>
      <c r="B31022" t="inlineStr">
        <is>
          <t>x̄x̄x̄MXXI</t>
        </is>
      </c>
      <c r="C31022">
        <f>ROMAN(31021)</f>
        <v/>
      </c>
      <c r="D31022">
        <f>IF(B31022=C31022, "YES", "WRONG")</f>
        <v/>
      </c>
    </row>
    <row r="31023">
      <c r="A31023" t="n">
        <v>31022</v>
      </c>
      <c r="B31023" t="inlineStr">
        <is>
          <t>x̄x̄x̄MXXII</t>
        </is>
      </c>
      <c r="C31023">
        <f>ROMAN(31022)</f>
        <v/>
      </c>
      <c r="D31023">
        <f>IF(B31023=C31023, "YES", "WRONG")</f>
        <v/>
      </c>
    </row>
    <row r="31024">
      <c r="A31024" t="n">
        <v>31023</v>
      </c>
      <c r="B31024" t="inlineStr">
        <is>
          <t>x̄x̄x̄MXXIII</t>
        </is>
      </c>
      <c r="C31024">
        <f>ROMAN(31023)</f>
        <v/>
      </c>
      <c r="D31024">
        <f>IF(B31024=C31024, "YES", "WRONG")</f>
        <v/>
      </c>
    </row>
    <row r="31025">
      <c r="A31025" t="n">
        <v>31024</v>
      </c>
      <c r="B31025" t="inlineStr">
        <is>
          <t>x̄x̄x̄MXXIV</t>
        </is>
      </c>
      <c r="C31025">
        <f>ROMAN(31024)</f>
        <v/>
      </c>
      <c r="D31025">
        <f>IF(B31025=C31025, "YES", "WRONG")</f>
        <v/>
      </c>
    </row>
    <row r="31026">
      <c r="A31026" t="n">
        <v>31025</v>
      </c>
      <c r="B31026" t="inlineStr">
        <is>
          <t>x̄x̄x̄MXXV</t>
        </is>
      </c>
      <c r="C31026">
        <f>ROMAN(31025)</f>
        <v/>
      </c>
      <c r="D31026">
        <f>IF(B31026=C31026, "YES", "WRONG")</f>
        <v/>
      </c>
    </row>
    <row r="31027">
      <c r="A31027" t="n">
        <v>31026</v>
      </c>
      <c r="B31027" t="inlineStr">
        <is>
          <t>x̄x̄x̄MXXVI</t>
        </is>
      </c>
      <c r="C31027">
        <f>ROMAN(31026)</f>
        <v/>
      </c>
      <c r="D31027">
        <f>IF(B31027=C31027, "YES", "WRONG")</f>
        <v/>
      </c>
    </row>
    <row r="31028">
      <c r="A31028" t="n">
        <v>31027</v>
      </c>
      <c r="B31028" t="inlineStr">
        <is>
          <t>x̄x̄x̄MXXVII</t>
        </is>
      </c>
      <c r="C31028">
        <f>ROMAN(31027)</f>
        <v/>
      </c>
      <c r="D31028">
        <f>IF(B31028=C31028, "YES", "WRONG")</f>
        <v/>
      </c>
    </row>
    <row r="31029">
      <c r="A31029" t="n">
        <v>31028</v>
      </c>
      <c r="B31029" t="inlineStr">
        <is>
          <t>x̄x̄x̄MXXVIII</t>
        </is>
      </c>
      <c r="C31029">
        <f>ROMAN(31028)</f>
        <v/>
      </c>
      <c r="D31029">
        <f>IF(B31029=C31029, "YES", "WRONG")</f>
        <v/>
      </c>
    </row>
    <row r="31030">
      <c r="A31030" t="n">
        <v>31029</v>
      </c>
      <c r="B31030" t="inlineStr">
        <is>
          <t>x̄x̄x̄MXXIX</t>
        </is>
      </c>
      <c r="C31030">
        <f>ROMAN(31029)</f>
        <v/>
      </c>
      <c r="D31030">
        <f>IF(B31030=C31030, "YES", "WRONG")</f>
        <v/>
      </c>
    </row>
    <row r="31031">
      <c r="A31031" t="n">
        <v>31030</v>
      </c>
      <c r="B31031" t="inlineStr">
        <is>
          <t>x̄x̄x̄MXXX</t>
        </is>
      </c>
      <c r="C31031">
        <f>ROMAN(31030)</f>
        <v/>
      </c>
      <c r="D31031">
        <f>IF(B31031=C31031, "YES", "WRONG")</f>
        <v/>
      </c>
    </row>
    <row r="31032">
      <c r="A31032" t="n">
        <v>31031</v>
      </c>
      <c r="B31032" t="inlineStr">
        <is>
          <t>x̄x̄x̄MXXXI</t>
        </is>
      </c>
      <c r="C31032">
        <f>ROMAN(31031)</f>
        <v/>
      </c>
      <c r="D31032">
        <f>IF(B31032=C31032, "YES", "WRONG")</f>
        <v/>
      </c>
    </row>
    <row r="31033">
      <c r="A31033" t="n">
        <v>31032</v>
      </c>
      <c r="B31033" t="inlineStr">
        <is>
          <t>x̄x̄x̄MXXXII</t>
        </is>
      </c>
      <c r="C31033">
        <f>ROMAN(31032)</f>
        <v/>
      </c>
      <c r="D31033">
        <f>IF(B31033=C31033, "YES", "WRONG")</f>
        <v/>
      </c>
    </row>
    <row r="31034">
      <c r="A31034" t="n">
        <v>31033</v>
      </c>
      <c r="B31034" t="inlineStr">
        <is>
          <t>x̄x̄x̄MXXXIII</t>
        </is>
      </c>
      <c r="C31034">
        <f>ROMAN(31033)</f>
        <v/>
      </c>
      <c r="D31034">
        <f>IF(B31034=C31034, "YES", "WRONG")</f>
        <v/>
      </c>
    </row>
    <row r="31035">
      <c r="A31035" t="n">
        <v>31034</v>
      </c>
      <c r="B31035" t="inlineStr">
        <is>
          <t>x̄x̄x̄MXXXIV</t>
        </is>
      </c>
      <c r="C31035">
        <f>ROMAN(31034)</f>
        <v/>
      </c>
      <c r="D31035">
        <f>IF(B31035=C31035, "YES", "WRONG")</f>
        <v/>
      </c>
    </row>
    <row r="31036">
      <c r="A31036" t="n">
        <v>31035</v>
      </c>
      <c r="B31036" t="inlineStr">
        <is>
          <t>x̄x̄x̄MXXXV</t>
        </is>
      </c>
      <c r="C31036">
        <f>ROMAN(31035)</f>
        <v/>
      </c>
      <c r="D31036">
        <f>IF(B31036=C31036, "YES", "WRONG")</f>
        <v/>
      </c>
    </row>
    <row r="31037">
      <c r="A31037" t="n">
        <v>31036</v>
      </c>
      <c r="B31037" t="inlineStr">
        <is>
          <t>x̄x̄x̄MXXXVI</t>
        </is>
      </c>
      <c r="C31037">
        <f>ROMAN(31036)</f>
        <v/>
      </c>
      <c r="D31037">
        <f>IF(B31037=C31037, "YES", "WRONG")</f>
        <v/>
      </c>
    </row>
    <row r="31038">
      <c r="A31038" t="n">
        <v>31037</v>
      </c>
      <c r="B31038" t="inlineStr">
        <is>
          <t>x̄x̄x̄MXXXVII</t>
        </is>
      </c>
      <c r="C31038">
        <f>ROMAN(31037)</f>
        <v/>
      </c>
      <c r="D31038">
        <f>IF(B31038=C31038, "YES", "WRONG")</f>
        <v/>
      </c>
    </row>
    <row r="31039">
      <c r="A31039" t="n">
        <v>31038</v>
      </c>
      <c r="B31039" t="inlineStr">
        <is>
          <t>x̄x̄x̄MXXXVIII</t>
        </is>
      </c>
      <c r="C31039">
        <f>ROMAN(31038)</f>
        <v/>
      </c>
      <c r="D31039">
        <f>IF(B31039=C31039, "YES", "WRONG")</f>
        <v/>
      </c>
    </row>
    <row r="31040">
      <c r="A31040" t="n">
        <v>31039</v>
      </c>
      <c r="B31040" t="inlineStr">
        <is>
          <t>x̄x̄x̄MXXXIX</t>
        </is>
      </c>
      <c r="C31040">
        <f>ROMAN(31039)</f>
        <v/>
      </c>
      <c r="D31040">
        <f>IF(B31040=C31040, "YES", "WRONG")</f>
        <v/>
      </c>
    </row>
    <row r="31041">
      <c r="A31041" t="n">
        <v>31040</v>
      </c>
      <c r="B31041" t="inlineStr">
        <is>
          <t>x̄x̄x̄MXL</t>
        </is>
      </c>
      <c r="C31041">
        <f>ROMAN(31040)</f>
        <v/>
      </c>
      <c r="D31041">
        <f>IF(B31041=C31041, "YES", "WRONG")</f>
        <v/>
      </c>
    </row>
    <row r="31042">
      <c r="A31042" t="n">
        <v>31041</v>
      </c>
      <c r="B31042" t="inlineStr">
        <is>
          <t>x̄x̄x̄MXLI</t>
        </is>
      </c>
      <c r="C31042">
        <f>ROMAN(31041)</f>
        <v/>
      </c>
      <c r="D31042">
        <f>IF(B31042=C31042, "YES", "WRONG")</f>
        <v/>
      </c>
    </row>
    <row r="31043">
      <c r="A31043" t="n">
        <v>31042</v>
      </c>
      <c r="B31043" t="inlineStr">
        <is>
          <t>x̄x̄x̄MXLII</t>
        </is>
      </c>
      <c r="C31043">
        <f>ROMAN(31042)</f>
        <v/>
      </c>
      <c r="D31043">
        <f>IF(B31043=C31043, "YES", "WRONG")</f>
        <v/>
      </c>
    </row>
    <row r="31044">
      <c r="A31044" t="n">
        <v>31043</v>
      </c>
      <c r="B31044" t="inlineStr">
        <is>
          <t>x̄x̄x̄MXLIII</t>
        </is>
      </c>
      <c r="C31044">
        <f>ROMAN(31043)</f>
        <v/>
      </c>
      <c r="D31044">
        <f>IF(B31044=C31044, "YES", "WRONG")</f>
        <v/>
      </c>
    </row>
    <row r="31045">
      <c r="A31045" t="n">
        <v>31044</v>
      </c>
      <c r="B31045" t="inlineStr">
        <is>
          <t>x̄x̄x̄MXLIV</t>
        </is>
      </c>
      <c r="C31045">
        <f>ROMAN(31044)</f>
        <v/>
      </c>
      <c r="D31045">
        <f>IF(B31045=C31045, "YES", "WRONG")</f>
        <v/>
      </c>
    </row>
    <row r="31046">
      <c r="A31046" t="n">
        <v>31045</v>
      </c>
      <c r="B31046" t="inlineStr">
        <is>
          <t>x̄x̄x̄MXLV</t>
        </is>
      </c>
      <c r="C31046">
        <f>ROMAN(31045)</f>
        <v/>
      </c>
      <c r="D31046">
        <f>IF(B31046=C31046, "YES", "WRONG")</f>
        <v/>
      </c>
    </row>
    <row r="31047">
      <c r="A31047" t="n">
        <v>31046</v>
      </c>
      <c r="B31047" t="inlineStr">
        <is>
          <t>x̄x̄x̄MXLVI</t>
        </is>
      </c>
      <c r="C31047">
        <f>ROMAN(31046)</f>
        <v/>
      </c>
      <c r="D31047">
        <f>IF(B31047=C31047, "YES", "WRONG")</f>
        <v/>
      </c>
    </row>
    <row r="31048">
      <c r="A31048" t="n">
        <v>31047</v>
      </c>
      <c r="B31048" t="inlineStr">
        <is>
          <t>x̄x̄x̄MXLVII</t>
        </is>
      </c>
      <c r="C31048">
        <f>ROMAN(31047)</f>
        <v/>
      </c>
      <c r="D31048">
        <f>IF(B31048=C31048, "YES", "WRONG")</f>
        <v/>
      </c>
    </row>
    <row r="31049">
      <c r="A31049" t="n">
        <v>31048</v>
      </c>
      <c r="B31049" t="inlineStr">
        <is>
          <t>x̄x̄x̄MXLVIII</t>
        </is>
      </c>
      <c r="C31049">
        <f>ROMAN(31048)</f>
        <v/>
      </c>
      <c r="D31049">
        <f>IF(B31049=C31049, "YES", "WRONG")</f>
        <v/>
      </c>
    </row>
    <row r="31050">
      <c r="A31050" t="n">
        <v>31049</v>
      </c>
      <c r="B31050" t="inlineStr">
        <is>
          <t>x̄x̄x̄MXLIX</t>
        </is>
      </c>
      <c r="C31050">
        <f>ROMAN(31049)</f>
        <v/>
      </c>
      <c r="D31050">
        <f>IF(B31050=C31050, "YES", "WRONG")</f>
        <v/>
      </c>
    </row>
    <row r="31051">
      <c r="A31051" t="n">
        <v>31050</v>
      </c>
      <c r="B31051" t="inlineStr">
        <is>
          <t>x̄x̄x̄ML</t>
        </is>
      </c>
      <c r="C31051">
        <f>ROMAN(31050)</f>
        <v/>
      </c>
      <c r="D31051">
        <f>IF(B31051=C31051, "YES", "WRONG")</f>
        <v/>
      </c>
    </row>
    <row r="31052">
      <c r="A31052" t="n">
        <v>31051</v>
      </c>
      <c r="B31052" t="inlineStr">
        <is>
          <t>x̄x̄x̄MLI</t>
        </is>
      </c>
      <c r="C31052">
        <f>ROMAN(31051)</f>
        <v/>
      </c>
      <c r="D31052">
        <f>IF(B31052=C31052, "YES", "WRONG")</f>
        <v/>
      </c>
    </row>
    <row r="31053">
      <c r="A31053" t="n">
        <v>31052</v>
      </c>
      <c r="B31053" t="inlineStr">
        <is>
          <t>x̄x̄x̄MLII</t>
        </is>
      </c>
      <c r="C31053">
        <f>ROMAN(31052)</f>
        <v/>
      </c>
      <c r="D31053">
        <f>IF(B31053=C31053, "YES", "WRONG")</f>
        <v/>
      </c>
    </row>
    <row r="31054">
      <c r="A31054" t="n">
        <v>31053</v>
      </c>
      <c r="B31054" t="inlineStr">
        <is>
          <t>x̄x̄x̄MLIII</t>
        </is>
      </c>
      <c r="C31054">
        <f>ROMAN(31053)</f>
        <v/>
      </c>
      <c r="D31054">
        <f>IF(B31054=C31054, "YES", "WRONG")</f>
        <v/>
      </c>
    </row>
    <row r="31055">
      <c r="A31055" t="n">
        <v>31054</v>
      </c>
      <c r="B31055" t="inlineStr">
        <is>
          <t>x̄x̄x̄MLIV</t>
        </is>
      </c>
      <c r="C31055">
        <f>ROMAN(31054)</f>
        <v/>
      </c>
      <c r="D31055">
        <f>IF(B31055=C31055, "YES", "WRONG")</f>
        <v/>
      </c>
    </row>
    <row r="31056">
      <c r="A31056" t="n">
        <v>31055</v>
      </c>
      <c r="B31056" t="inlineStr">
        <is>
          <t>x̄x̄x̄MLV</t>
        </is>
      </c>
      <c r="C31056">
        <f>ROMAN(31055)</f>
        <v/>
      </c>
      <c r="D31056">
        <f>IF(B31056=C31056, "YES", "WRONG")</f>
        <v/>
      </c>
    </row>
    <row r="31057">
      <c r="A31057" t="n">
        <v>31056</v>
      </c>
      <c r="B31057" t="inlineStr">
        <is>
          <t>x̄x̄x̄MLVI</t>
        </is>
      </c>
      <c r="C31057">
        <f>ROMAN(31056)</f>
        <v/>
      </c>
      <c r="D31057">
        <f>IF(B31057=C31057, "YES", "WRONG")</f>
        <v/>
      </c>
    </row>
    <row r="31058">
      <c r="A31058" t="n">
        <v>31057</v>
      </c>
      <c r="B31058" t="inlineStr">
        <is>
          <t>x̄x̄x̄MLVII</t>
        </is>
      </c>
      <c r="C31058">
        <f>ROMAN(31057)</f>
        <v/>
      </c>
      <c r="D31058">
        <f>IF(B31058=C31058, "YES", "WRONG")</f>
        <v/>
      </c>
    </row>
    <row r="31059">
      <c r="A31059" t="n">
        <v>31058</v>
      </c>
      <c r="B31059" t="inlineStr">
        <is>
          <t>x̄x̄x̄MLVIII</t>
        </is>
      </c>
      <c r="C31059">
        <f>ROMAN(31058)</f>
        <v/>
      </c>
      <c r="D31059">
        <f>IF(B31059=C31059, "YES", "WRONG")</f>
        <v/>
      </c>
    </row>
    <row r="31060">
      <c r="A31060" t="n">
        <v>31059</v>
      </c>
      <c r="B31060" t="inlineStr">
        <is>
          <t>x̄x̄x̄MLIX</t>
        </is>
      </c>
      <c r="C31060">
        <f>ROMAN(31059)</f>
        <v/>
      </c>
      <c r="D31060">
        <f>IF(B31060=C31060, "YES", "WRONG")</f>
        <v/>
      </c>
    </row>
    <row r="31061">
      <c r="A31061" t="n">
        <v>31060</v>
      </c>
      <c r="B31061" t="inlineStr">
        <is>
          <t>x̄x̄x̄MLX</t>
        </is>
      </c>
      <c r="C31061">
        <f>ROMAN(31060)</f>
        <v/>
      </c>
      <c r="D31061">
        <f>IF(B31061=C31061, "YES", "WRONG")</f>
        <v/>
      </c>
    </row>
    <row r="31062">
      <c r="A31062" t="n">
        <v>31061</v>
      </c>
      <c r="B31062" t="inlineStr">
        <is>
          <t>x̄x̄x̄MLXI</t>
        </is>
      </c>
      <c r="C31062">
        <f>ROMAN(31061)</f>
        <v/>
      </c>
      <c r="D31062">
        <f>IF(B31062=C31062, "YES", "WRONG")</f>
        <v/>
      </c>
    </row>
    <row r="31063">
      <c r="A31063" t="n">
        <v>31062</v>
      </c>
      <c r="B31063" t="inlineStr">
        <is>
          <t>x̄x̄x̄MLXII</t>
        </is>
      </c>
      <c r="C31063">
        <f>ROMAN(31062)</f>
        <v/>
      </c>
      <c r="D31063">
        <f>IF(B31063=C31063, "YES", "WRONG")</f>
        <v/>
      </c>
    </row>
    <row r="31064">
      <c r="A31064" t="n">
        <v>31063</v>
      </c>
      <c r="B31064" t="inlineStr">
        <is>
          <t>x̄x̄x̄MLXIII</t>
        </is>
      </c>
      <c r="C31064">
        <f>ROMAN(31063)</f>
        <v/>
      </c>
      <c r="D31064">
        <f>IF(B31064=C31064, "YES", "WRONG")</f>
        <v/>
      </c>
    </row>
    <row r="31065">
      <c r="A31065" t="n">
        <v>31064</v>
      </c>
      <c r="B31065" t="inlineStr">
        <is>
          <t>x̄x̄x̄MLXIV</t>
        </is>
      </c>
      <c r="C31065">
        <f>ROMAN(31064)</f>
        <v/>
      </c>
      <c r="D31065">
        <f>IF(B31065=C31065, "YES", "WRONG")</f>
        <v/>
      </c>
    </row>
    <row r="31066">
      <c r="A31066" t="n">
        <v>31065</v>
      </c>
      <c r="B31066" t="inlineStr">
        <is>
          <t>x̄x̄x̄MLXV</t>
        </is>
      </c>
      <c r="C31066">
        <f>ROMAN(31065)</f>
        <v/>
      </c>
      <c r="D31066">
        <f>IF(B31066=C31066, "YES", "WRONG")</f>
        <v/>
      </c>
    </row>
    <row r="31067">
      <c r="A31067" t="n">
        <v>31066</v>
      </c>
      <c r="B31067" t="inlineStr">
        <is>
          <t>x̄x̄x̄MLXVI</t>
        </is>
      </c>
      <c r="C31067">
        <f>ROMAN(31066)</f>
        <v/>
      </c>
      <c r="D31067">
        <f>IF(B31067=C31067, "YES", "WRONG")</f>
        <v/>
      </c>
    </row>
    <row r="31068">
      <c r="A31068" t="n">
        <v>31067</v>
      </c>
      <c r="B31068" t="inlineStr">
        <is>
          <t>x̄x̄x̄MLXVII</t>
        </is>
      </c>
      <c r="C31068">
        <f>ROMAN(31067)</f>
        <v/>
      </c>
      <c r="D31068">
        <f>IF(B31068=C31068, "YES", "WRONG")</f>
        <v/>
      </c>
    </row>
    <row r="31069">
      <c r="A31069" t="n">
        <v>31068</v>
      </c>
      <c r="B31069" t="inlineStr">
        <is>
          <t>x̄x̄x̄MLXVIII</t>
        </is>
      </c>
      <c r="C31069">
        <f>ROMAN(31068)</f>
        <v/>
      </c>
      <c r="D31069">
        <f>IF(B31069=C31069, "YES", "WRONG")</f>
        <v/>
      </c>
    </row>
    <row r="31070">
      <c r="A31070" t="n">
        <v>31069</v>
      </c>
      <c r="B31070" t="inlineStr">
        <is>
          <t>x̄x̄x̄MLXIX</t>
        </is>
      </c>
      <c r="C31070">
        <f>ROMAN(31069)</f>
        <v/>
      </c>
      <c r="D31070">
        <f>IF(B31070=C31070, "YES", "WRONG")</f>
        <v/>
      </c>
    </row>
    <row r="31071">
      <c r="A31071" t="n">
        <v>31070</v>
      </c>
      <c r="B31071" t="inlineStr">
        <is>
          <t>x̄x̄x̄MLXX</t>
        </is>
      </c>
      <c r="C31071">
        <f>ROMAN(31070)</f>
        <v/>
      </c>
      <c r="D31071">
        <f>IF(B31071=C31071, "YES", "WRONG")</f>
        <v/>
      </c>
    </row>
    <row r="31072">
      <c r="A31072" t="n">
        <v>31071</v>
      </c>
      <c r="B31072" t="inlineStr">
        <is>
          <t>x̄x̄x̄MLXXI</t>
        </is>
      </c>
      <c r="C31072">
        <f>ROMAN(31071)</f>
        <v/>
      </c>
      <c r="D31072">
        <f>IF(B31072=C31072, "YES", "WRONG")</f>
        <v/>
      </c>
    </row>
    <row r="31073">
      <c r="A31073" t="n">
        <v>31072</v>
      </c>
      <c r="B31073" t="inlineStr">
        <is>
          <t>x̄x̄x̄MLXXII</t>
        </is>
      </c>
      <c r="C31073">
        <f>ROMAN(31072)</f>
        <v/>
      </c>
      <c r="D31073">
        <f>IF(B31073=C31073, "YES", "WRONG")</f>
        <v/>
      </c>
    </row>
    <row r="31074">
      <c r="A31074" t="n">
        <v>31073</v>
      </c>
      <c r="B31074" t="inlineStr">
        <is>
          <t>x̄x̄x̄MLXXIII</t>
        </is>
      </c>
      <c r="C31074">
        <f>ROMAN(31073)</f>
        <v/>
      </c>
      <c r="D31074">
        <f>IF(B31074=C31074, "YES", "WRONG")</f>
        <v/>
      </c>
    </row>
    <row r="31075">
      <c r="A31075" t="n">
        <v>31074</v>
      </c>
      <c r="B31075" t="inlineStr">
        <is>
          <t>x̄x̄x̄MLXXIV</t>
        </is>
      </c>
      <c r="C31075">
        <f>ROMAN(31074)</f>
        <v/>
      </c>
      <c r="D31075">
        <f>IF(B31075=C31075, "YES", "WRONG")</f>
        <v/>
      </c>
    </row>
    <row r="31076">
      <c r="A31076" t="n">
        <v>31075</v>
      </c>
      <c r="B31076" t="inlineStr">
        <is>
          <t>x̄x̄x̄MLXXV</t>
        </is>
      </c>
      <c r="C31076">
        <f>ROMAN(31075)</f>
        <v/>
      </c>
      <c r="D31076">
        <f>IF(B31076=C31076, "YES", "WRONG")</f>
        <v/>
      </c>
    </row>
    <row r="31077">
      <c r="A31077" t="n">
        <v>31076</v>
      </c>
      <c r="B31077" t="inlineStr">
        <is>
          <t>x̄x̄x̄MLXXVI</t>
        </is>
      </c>
      <c r="C31077">
        <f>ROMAN(31076)</f>
        <v/>
      </c>
      <c r="D31077">
        <f>IF(B31077=C31077, "YES", "WRONG")</f>
        <v/>
      </c>
    </row>
    <row r="31078">
      <c r="A31078" t="n">
        <v>31077</v>
      </c>
      <c r="B31078" t="inlineStr">
        <is>
          <t>x̄x̄x̄MLXXVII</t>
        </is>
      </c>
      <c r="C31078">
        <f>ROMAN(31077)</f>
        <v/>
      </c>
      <c r="D31078">
        <f>IF(B31078=C31078, "YES", "WRONG")</f>
        <v/>
      </c>
    </row>
    <row r="31079">
      <c r="A31079" t="n">
        <v>31078</v>
      </c>
      <c r="B31079" t="inlineStr">
        <is>
          <t>x̄x̄x̄MLXXVIII</t>
        </is>
      </c>
      <c r="C31079">
        <f>ROMAN(31078)</f>
        <v/>
      </c>
      <c r="D31079">
        <f>IF(B31079=C31079, "YES", "WRONG")</f>
        <v/>
      </c>
    </row>
    <row r="31080">
      <c r="A31080" t="n">
        <v>31079</v>
      </c>
      <c r="B31080" t="inlineStr">
        <is>
          <t>x̄x̄x̄MLXXIX</t>
        </is>
      </c>
      <c r="C31080">
        <f>ROMAN(31079)</f>
        <v/>
      </c>
      <c r="D31080">
        <f>IF(B31080=C31080, "YES", "WRONG")</f>
        <v/>
      </c>
    </row>
    <row r="31081">
      <c r="A31081" t="n">
        <v>31080</v>
      </c>
      <c r="B31081" t="inlineStr">
        <is>
          <t>x̄x̄x̄MLXXX</t>
        </is>
      </c>
      <c r="C31081">
        <f>ROMAN(31080)</f>
        <v/>
      </c>
      <c r="D31081">
        <f>IF(B31081=C31081, "YES", "WRONG")</f>
        <v/>
      </c>
    </row>
    <row r="31082">
      <c r="A31082" t="n">
        <v>31081</v>
      </c>
      <c r="B31082" t="inlineStr">
        <is>
          <t>x̄x̄x̄MLXXXI</t>
        </is>
      </c>
      <c r="C31082">
        <f>ROMAN(31081)</f>
        <v/>
      </c>
      <c r="D31082">
        <f>IF(B31082=C31082, "YES", "WRONG")</f>
        <v/>
      </c>
    </row>
    <row r="31083">
      <c r="A31083" t="n">
        <v>31082</v>
      </c>
      <c r="B31083" t="inlineStr">
        <is>
          <t>x̄x̄x̄MLXXXII</t>
        </is>
      </c>
      <c r="C31083">
        <f>ROMAN(31082)</f>
        <v/>
      </c>
      <c r="D31083">
        <f>IF(B31083=C31083, "YES", "WRONG")</f>
        <v/>
      </c>
    </row>
    <row r="31084">
      <c r="A31084" t="n">
        <v>31083</v>
      </c>
      <c r="B31084" t="inlineStr">
        <is>
          <t>x̄x̄x̄MLXXXIII</t>
        </is>
      </c>
      <c r="C31084">
        <f>ROMAN(31083)</f>
        <v/>
      </c>
      <c r="D31084">
        <f>IF(B31084=C31084, "YES", "WRONG")</f>
        <v/>
      </c>
    </row>
    <row r="31085">
      <c r="A31085" t="n">
        <v>31084</v>
      </c>
      <c r="B31085" t="inlineStr">
        <is>
          <t>x̄x̄x̄MLXXXIV</t>
        </is>
      </c>
      <c r="C31085">
        <f>ROMAN(31084)</f>
        <v/>
      </c>
      <c r="D31085">
        <f>IF(B31085=C31085, "YES", "WRONG")</f>
        <v/>
      </c>
    </row>
    <row r="31086">
      <c r="A31086" t="n">
        <v>31085</v>
      </c>
      <c r="B31086" t="inlineStr">
        <is>
          <t>x̄x̄x̄MLXXXV</t>
        </is>
      </c>
      <c r="C31086">
        <f>ROMAN(31085)</f>
        <v/>
      </c>
      <c r="D31086">
        <f>IF(B31086=C31086, "YES", "WRONG")</f>
        <v/>
      </c>
    </row>
    <row r="31087">
      <c r="A31087" t="n">
        <v>31086</v>
      </c>
      <c r="B31087" t="inlineStr">
        <is>
          <t>x̄x̄x̄MLXXXVI</t>
        </is>
      </c>
      <c r="C31087">
        <f>ROMAN(31086)</f>
        <v/>
      </c>
      <c r="D31087">
        <f>IF(B31087=C31087, "YES", "WRONG")</f>
        <v/>
      </c>
    </row>
    <row r="31088">
      <c r="A31088" t="n">
        <v>31087</v>
      </c>
      <c r="B31088" t="inlineStr">
        <is>
          <t>x̄x̄x̄MLXXXVII</t>
        </is>
      </c>
      <c r="C31088">
        <f>ROMAN(31087)</f>
        <v/>
      </c>
      <c r="D31088">
        <f>IF(B31088=C31088, "YES", "WRONG")</f>
        <v/>
      </c>
    </row>
    <row r="31089">
      <c r="A31089" t="n">
        <v>31088</v>
      </c>
      <c r="B31089" t="inlineStr">
        <is>
          <t>x̄x̄x̄MLXXXVIII</t>
        </is>
      </c>
      <c r="C31089">
        <f>ROMAN(31088)</f>
        <v/>
      </c>
      <c r="D31089">
        <f>IF(B31089=C31089, "YES", "WRONG")</f>
        <v/>
      </c>
    </row>
    <row r="31090">
      <c r="A31090" t="n">
        <v>31089</v>
      </c>
      <c r="B31090" t="inlineStr">
        <is>
          <t>x̄x̄x̄MLXXXIX</t>
        </is>
      </c>
      <c r="C31090">
        <f>ROMAN(31089)</f>
        <v/>
      </c>
      <c r="D31090">
        <f>IF(B31090=C31090, "YES", "WRONG")</f>
        <v/>
      </c>
    </row>
    <row r="31091">
      <c r="A31091" t="n">
        <v>31090</v>
      </c>
      <c r="B31091" t="inlineStr">
        <is>
          <t>x̄x̄x̄MXC</t>
        </is>
      </c>
      <c r="C31091">
        <f>ROMAN(31090)</f>
        <v/>
      </c>
      <c r="D31091">
        <f>IF(B31091=C31091, "YES", "WRONG")</f>
        <v/>
      </c>
    </row>
    <row r="31092">
      <c r="A31092" t="n">
        <v>31091</v>
      </c>
      <c r="B31092" t="inlineStr">
        <is>
          <t>x̄x̄x̄MXCI</t>
        </is>
      </c>
      <c r="C31092">
        <f>ROMAN(31091)</f>
        <v/>
      </c>
      <c r="D31092">
        <f>IF(B31092=C31092, "YES", "WRONG")</f>
        <v/>
      </c>
    </row>
    <row r="31093">
      <c r="A31093" t="n">
        <v>31092</v>
      </c>
      <c r="B31093" t="inlineStr">
        <is>
          <t>x̄x̄x̄MXCII</t>
        </is>
      </c>
      <c r="C31093">
        <f>ROMAN(31092)</f>
        <v/>
      </c>
      <c r="D31093">
        <f>IF(B31093=C31093, "YES", "WRONG")</f>
        <v/>
      </c>
    </row>
    <row r="31094">
      <c r="A31094" t="n">
        <v>31093</v>
      </c>
      <c r="B31094" t="inlineStr">
        <is>
          <t>x̄x̄x̄MXCIII</t>
        </is>
      </c>
      <c r="C31094">
        <f>ROMAN(31093)</f>
        <v/>
      </c>
      <c r="D31094">
        <f>IF(B31094=C31094, "YES", "WRONG")</f>
        <v/>
      </c>
    </row>
    <row r="31095">
      <c r="A31095" t="n">
        <v>31094</v>
      </c>
      <c r="B31095" t="inlineStr">
        <is>
          <t>x̄x̄x̄MXCIV</t>
        </is>
      </c>
      <c r="C31095">
        <f>ROMAN(31094)</f>
        <v/>
      </c>
      <c r="D31095">
        <f>IF(B31095=C31095, "YES", "WRONG")</f>
        <v/>
      </c>
    </row>
    <row r="31096">
      <c r="A31096" t="n">
        <v>31095</v>
      </c>
      <c r="B31096" t="inlineStr">
        <is>
          <t>x̄x̄x̄MXCV</t>
        </is>
      </c>
      <c r="C31096">
        <f>ROMAN(31095)</f>
        <v/>
      </c>
      <c r="D31096">
        <f>IF(B31096=C31096, "YES", "WRONG")</f>
        <v/>
      </c>
    </row>
    <row r="31097">
      <c r="A31097" t="n">
        <v>31096</v>
      </c>
      <c r="B31097" t="inlineStr">
        <is>
          <t>x̄x̄x̄MXCVI</t>
        </is>
      </c>
      <c r="C31097">
        <f>ROMAN(31096)</f>
        <v/>
      </c>
      <c r="D31097">
        <f>IF(B31097=C31097, "YES", "WRONG")</f>
        <v/>
      </c>
    </row>
    <row r="31098">
      <c r="A31098" t="n">
        <v>31097</v>
      </c>
      <c r="B31098" t="inlineStr">
        <is>
          <t>x̄x̄x̄MXCVII</t>
        </is>
      </c>
      <c r="C31098">
        <f>ROMAN(31097)</f>
        <v/>
      </c>
      <c r="D31098">
        <f>IF(B31098=C31098, "YES", "WRONG")</f>
        <v/>
      </c>
    </row>
    <row r="31099">
      <c r="A31099" t="n">
        <v>31098</v>
      </c>
      <c r="B31099" t="inlineStr">
        <is>
          <t>x̄x̄x̄MXCVIII</t>
        </is>
      </c>
      <c r="C31099">
        <f>ROMAN(31098)</f>
        <v/>
      </c>
      <c r="D31099">
        <f>IF(B31099=C31099, "YES", "WRONG")</f>
        <v/>
      </c>
    </row>
    <row r="31100">
      <c r="A31100" t="n">
        <v>31099</v>
      </c>
      <c r="B31100" t="inlineStr">
        <is>
          <t>x̄x̄x̄MXCIX</t>
        </is>
      </c>
      <c r="C31100">
        <f>ROMAN(31099)</f>
        <v/>
      </c>
      <c r="D31100">
        <f>IF(B31100=C31100, "YES", "WRONG")</f>
        <v/>
      </c>
    </row>
    <row r="31101">
      <c r="A31101" t="n">
        <v>31100</v>
      </c>
      <c r="B31101" t="inlineStr">
        <is>
          <t>x̄x̄x̄MC</t>
        </is>
      </c>
      <c r="C31101">
        <f>ROMAN(31100)</f>
        <v/>
      </c>
      <c r="D31101">
        <f>IF(B31101=C31101, "YES", "WRONG")</f>
        <v/>
      </c>
    </row>
    <row r="31102">
      <c r="A31102" t="n">
        <v>31101</v>
      </c>
      <c r="B31102" t="inlineStr">
        <is>
          <t>x̄x̄x̄MCI</t>
        </is>
      </c>
      <c r="C31102">
        <f>ROMAN(31101)</f>
        <v/>
      </c>
      <c r="D31102">
        <f>IF(B31102=C31102, "YES", "WRONG")</f>
        <v/>
      </c>
    </row>
    <row r="31103">
      <c r="A31103" t="n">
        <v>31102</v>
      </c>
      <c r="B31103" t="inlineStr">
        <is>
          <t>x̄x̄x̄MCII</t>
        </is>
      </c>
      <c r="C31103">
        <f>ROMAN(31102)</f>
        <v/>
      </c>
      <c r="D31103">
        <f>IF(B31103=C31103, "YES", "WRONG")</f>
        <v/>
      </c>
    </row>
    <row r="31104">
      <c r="A31104" t="n">
        <v>31103</v>
      </c>
      <c r="B31104" t="inlineStr">
        <is>
          <t>x̄x̄x̄MCIII</t>
        </is>
      </c>
      <c r="C31104">
        <f>ROMAN(31103)</f>
        <v/>
      </c>
      <c r="D31104">
        <f>IF(B31104=C31104, "YES", "WRONG")</f>
        <v/>
      </c>
    </row>
    <row r="31105">
      <c r="A31105" t="n">
        <v>31104</v>
      </c>
      <c r="B31105" t="inlineStr">
        <is>
          <t>x̄x̄x̄MCIV</t>
        </is>
      </c>
      <c r="C31105">
        <f>ROMAN(31104)</f>
        <v/>
      </c>
      <c r="D31105">
        <f>IF(B31105=C31105, "YES", "WRONG")</f>
        <v/>
      </c>
    </row>
    <row r="31106">
      <c r="A31106" t="n">
        <v>31105</v>
      </c>
      <c r="B31106" t="inlineStr">
        <is>
          <t>x̄x̄x̄MCV</t>
        </is>
      </c>
      <c r="C31106">
        <f>ROMAN(31105)</f>
        <v/>
      </c>
      <c r="D31106">
        <f>IF(B31106=C31106, "YES", "WRONG")</f>
        <v/>
      </c>
    </row>
    <row r="31107">
      <c r="A31107" t="n">
        <v>31106</v>
      </c>
      <c r="B31107" t="inlineStr">
        <is>
          <t>x̄x̄x̄MCVI</t>
        </is>
      </c>
      <c r="C31107">
        <f>ROMAN(31106)</f>
        <v/>
      </c>
      <c r="D31107">
        <f>IF(B31107=C31107, "YES", "WRONG")</f>
        <v/>
      </c>
    </row>
    <row r="31108">
      <c r="A31108" t="n">
        <v>31107</v>
      </c>
      <c r="B31108" t="inlineStr">
        <is>
          <t>x̄x̄x̄MCVII</t>
        </is>
      </c>
      <c r="C31108">
        <f>ROMAN(31107)</f>
        <v/>
      </c>
      <c r="D31108">
        <f>IF(B31108=C31108, "YES", "WRONG")</f>
        <v/>
      </c>
    </row>
    <row r="31109">
      <c r="A31109" t="n">
        <v>31108</v>
      </c>
      <c r="B31109" t="inlineStr">
        <is>
          <t>x̄x̄x̄MCVIII</t>
        </is>
      </c>
      <c r="C31109">
        <f>ROMAN(31108)</f>
        <v/>
      </c>
      <c r="D31109">
        <f>IF(B31109=C31109, "YES", "WRONG")</f>
        <v/>
      </c>
    </row>
    <row r="31110">
      <c r="A31110" t="n">
        <v>31109</v>
      </c>
      <c r="B31110" t="inlineStr">
        <is>
          <t>x̄x̄x̄MCIX</t>
        </is>
      </c>
      <c r="C31110">
        <f>ROMAN(31109)</f>
        <v/>
      </c>
      <c r="D31110">
        <f>IF(B31110=C31110, "YES", "WRONG")</f>
        <v/>
      </c>
    </row>
    <row r="31111">
      <c r="A31111" t="n">
        <v>31110</v>
      </c>
      <c r="B31111" t="inlineStr">
        <is>
          <t>x̄x̄x̄MCX</t>
        </is>
      </c>
      <c r="C31111">
        <f>ROMAN(31110)</f>
        <v/>
      </c>
      <c r="D31111">
        <f>IF(B31111=C31111, "YES", "WRONG")</f>
        <v/>
      </c>
    </row>
    <row r="31112">
      <c r="A31112" t="n">
        <v>31111</v>
      </c>
      <c r="B31112" t="inlineStr">
        <is>
          <t>x̄x̄x̄MCXI</t>
        </is>
      </c>
      <c r="C31112">
        <f>ROMAN(31111)</f>
        <v/>
      </c>
      <c r="D31112">
        <f>IF(B31112=C31112, "YES", "WRONG")</f>
        <v/>
      </c>
    </row>
    <row r="31113">
      <c r="A31113" t="n">
        <v>31112</v>
      </c>
      <c r="B31113" t="inlineStr">
        <is>
          <t>x̄x̄x̄MCXII</t>
        </is>
      </c>
      <c r="C31113">
        <f>ROMAN(31112)</f>
        <v/>
      </c>
      <c r="D31113">
        <f>IF(B31113=C31113, "YES", "WRONG")</f>
        <v/>
      </c>
    </row>
    <row r="31114">
      <c r="A31114" t="n">
        <v>31113</v>
      </c>
      <c r="B31114" t="inlineStr">
        <is>
          <t>x̄x̄x̄MCXIII</t>
        </is>
      </c>
      <c r="C31114">
        <f>ROMAN(31113)</f>
        <v/>
      </c>
      <c r="D31114">
        <f>IF(B31114=C31114, "YES", "WRONG")</f>
        <v/>
      </c>
    </row>
    <row r="31115">
      <c r="A31115" t="n">
        <v>31114</v>
      </c>
      <c r="B31115" t="inlineStr">
        <is>
          <t>x̄x̄x̄MCXIV</t>
        </is>
      </c>
      <c r="C31115">
        <f>ROMAN(31114)</f>
        <v/>
      </c>
      <c r="D31115">
        <f>IF(B31115=C31115, "YES", "WRONG")</f>
        <v/>
      </c>
    </row>
    <row r="31116">
      <c r="A31116" t="n">
        <v>31115</v>
      </c>
      <c r="B31116" t="inlineStr">
        <is>
          <t>x̄x̄x̄MCXV</t>
        </is>
      </c>
      <c r="C31116">
        <f>ROMAN(31115)</f>
        <v/>
      </c>
      <c r="D31116">
        <f>IF(B31116=C31116, "YES", "WRONG")</f>
        <v/>
      </c>
    </row>
    <row r="31117">
      <c r="A31117" t="n">
        <v>31116</v>
      </c>
      <c r="B31117" t="inlineStr">
        <is>
          <t>x̄x̄x̄MCXVI</t>
        </is>
      </c>
      <c r="C31117">
        <f>ROMAN(31116)</f>
        <v/>
      </c>
      <c r="D31117">
        <f>IF(B31117=C31117, "YES", "WRONG")</f>
        <v/>
      </c>
    </row>
    <row r="31118">
      <c r="A31118" t="n">
        <v>31117</v>
      </c>
      <c r="B31118" t="inlineStr">
        <is>
          <t>x̄x̄x̄MCXVII</t>
        </is>
      </c>
      <c r="C31118">
        <f>ROMAN(31117)</f>
        <v/>
      </c>
      <c r="D31118">
        <f>IF(B31118=C31118, "YES", "WRONG")</f>
        <v/>
      </c>
    </row>
    <row r="31119">
      <c r="A31119" t="n">
        <v>31118</v>
      </c>
      <c r="B31119" t="inlineStr">
        <is>
          <t>x̄x̄x̄MCXVIII</t>
        </is>
      </c>
      <c r="C31119">
        <f>ROMAN(31118)</f>
        <v/>
      </c>
      <c r="D31119">
        <f>IF(B31119=C31119, "YES", "WRONG")</f>
        <v/>
      </c>
    </row>
    <row r="31120">
      <c r="A31120" t="n">
        <v>31119</v>
      </c>
      <c r="B31120" t="inlineStr">
        <is>
          <t>x̄x̄x̄MCXIX</t>
        </is>
      </c>
      <c r="C31120">
        <f>ROMAN(31119)</f>
        <v/>
      </c>
      <c r="D31120">
        <f>IF(B31120=C31120, "YES", "WRONG")</f>
        <v/>
      </c>
    </row>
    <row r="31121">
      <c r="A31121" t="n">
        <v>31120</v>
      </c>
      <c r="B31121" t="inlineStr">
        <is>
          <t>x̄x̄x̄MCXX</t>
        </is>
      </c>
      <c r="C31121">
        <f>ROMAN(31120)</f>
        <v/>
      </c>
      <c r="D31121">
        <f>IF(B31121=C31121, "YES", "WRONG")</f>
        <v/>
      </c>
    </row>
    <row r="31122">
      <c r="A31122" t="n">
        <v>31121</v>
      </c>
      <c r="B31122" t="inlineStr">
        <is>
          <t>x̄x̄x̄MCXXI</t>
        </is>
      </c>
      <c r="C31122">
        <f>ROMAN(31121)</f>
        <v/>
      </c>
      <c r="D31122">
        <f>IF(B31122=C31122, "YES", "WRONG")</f>
        <v/>
      </c>
    </row>
    <row r="31123">
      <c r="A31123" t="n">
        <v>31122</v>
      </c>
      <c r="B31123" t="inlineStr">
        <is>
          <t>x̄x̄x̄MCXXII</t>
        </is>
      </c>
      <c r="C31123">
        <f>ROMAN(31122)</f>
        <v/>
      </c>
      <c r="D31123">
        <f>IF(B31123=C31123, "YES", "WRONG")</f>
        <v/>
      </c>
    </row>
    <row r="31124">
      <c r="A31124" t="n">
        <v>31123</v>
      </c>
      <c r="B31124" t="inlineStr">
        <is>
          <t>x̄x̄x̄MCXXIII</t>
        </is>
      </c>
      <c r="C31124">
        <f>ROMAN(31123)</f>
        <v/>
      </c>
      <c r="D31124">
        <f>IF(B31124=C31124, "YES", "WRONG")</f>
        <v/>
      </c>
    </row>
    <row r="31125">
      <c r="A31125" t="n">
        <v>31124</v>
      </c>
      <c r="B31125" t="inlineStr">
        <is>
          <t>x̄x̄x̄MCXXIV</t>
        </is>
      </c>
      <c r="C31125">
        <f>ROMAN(31124)</f>
        <v/>
      </c>
      <c r="D31125">
        <f>IF(B31125=C31125, "YES", "WRONG")</f>
        <v/>
      </c>
    </row>
    <row r="31126">
      <c r="A31126" t="n">
        <v>31125</v>
      </c>
      <c r="B31126" t="inlineStr">
        <is>
          <t>x̄x̄x̄MCXXV</t>
        </is>
      </c>
      <c r="C31126">
        <f>ROMAN(31125)</f>
        <v/>
      </c>
      <c r="D31126">
        <f>IF(B31126=C31126, "YES", "WRONG")</f>
        <v/>
      </c>
    </row>
    <row r="31127">
      <c r="A31127" t="n">
        <v>31126</v>
      </c>
      <c r="B31127" t="inlineStr">
        <is>
          <t>x̄x̄x̄MCXXVI</t>
        </is>
      </c>
      <c r="C31127">
        <f>ROMAN(31126)</f>
        <v/>
      </c>
      <c r="D31127">
        <f>IF(B31127=C31127, "YES", "WRONG")</f>
        <v/>
      </c>
    </row>
    <row r="31128">
      <c r="A31128" t="n">
        <v>31127</v>
      </c>
      <c r="B31128" t="inlineStr">
        <is>
          <t>x̄x̄x̄MCXXVII</t>
        </is>
      </c>
      <c r="C31128">
        <f>ROMAN(31127)</f>
        <v/>
      </c>
      <c r="D31128">
        <f>IF(B31128=C31128, "YES", "WRONG")</f>
        <v/>
      </c>
    </row>
    <row r="31129">
      <c r="A31129" t="n">
        <v>31128</v>
      </c>
      <c r="B31129" t="inlineStr">
        <is>
          <t>x̄x̄x̄MCXXVIII</t>
        </is>
      </c>
      <c r="C31129">
        <f>ROMAN(31128)</f>
        <v/>
      </c>
      <c r="D31129">
        <f>IF(B31129=C31129, "YES", "WRONG")</f>
        <v/>
      </c>
    </row>
    <row r="31130">
      <c r="A31130" t="n">
        <v>31129</v>
      </c>
      <c r="B31130" t="inlineStr">
        <is>
          <t>x̄x̄x̄MCXXIX</t>
        </is>
      </c>
      <c r="C31130">
        <f>ROMAN(31129)</f>
        <v/>
      </c>
      <c r="D31130">
        <f>IF(B31130=C31130, "YES", "WRONG")</f>
        <v/>
      </c>
    </row>
    <row r="31131">
      <c r="A31131" t="n">
        <v>31130</v>
      </c>
      <c r="B31131" t="inlineStr">
        <is>
          <t>x̄x̄x̄MCXXX</t>
        </is>
      </c>
      <c r="C31131">
        <f>ROMAN(31130)</f>
        <v/>
      </c>
      <c r="D31131">
        <f>IF(B31131=C31131, "YES", "WRONG")</f>
        <v/>
      </c>
    </row>
    <row r="31132">
      <c r="A31132" t="n">
        <v>31131</v>
      </c>
      <c r="B31132" t="inlineStr">
        <is>
          <t>x̄x̄x̄MCXXXI</t>
        </is>
      </c>
      <c r="C31132">
        <f>ROMAN(31131)</f>
        <v/>
      </c>
      <c r="D31132">
        <f>IF(B31132=C31132, "YES", "WRONG")</f>
        <v/>
      </c>
    </row>
    <row r="31133">
      <c r="A31133" t="n">
        <v>31132</v>
      </c>
      <c r="B31133" t="inlineStr">
        <is>
          <t>x̄x̄x̄MCXXXII</t>
        </is>
      </c>
      <c r="C31133">
        <f>ROMAN(31132)</f>
        <v/>
      </c>
      <c r="D31133">
        <f>IF(B31133=C31133, "YES", "WRONG")</f>
        <v/>
      </c>
    </row>
    <row r="31134">
      <c r="A31134" t="n">
        <v>31133</v>
      </c>
      <c r="B31134" t="inlineStr">
        <is>
          <t>x̄x̄x̄MCXXXIII</t>
        </is>
      </c>
      <c r="C31134">
        <f>ROMAN(31133)</f>
        <v/>
      </c>
      <c r="D31134">
        <f>IF(B31134=C31134, "YES", "WRONG")</f>
        <v/>
      </c>
    </row>
    <row r="31135">
      <c r="A31135" t="n">
        <v>31134</v>
      </c>
      <c r="B31135" t="inlineStr">
        <is>
          <t>x̄x̄x̄MCXXXIV</t>
        </is>
      </c>
      <c r="C31135">
        <f>ROMAN(31134)</f>
        <v/>
      </c>
      <c r="D31135">
        <f>IF(B31135=C31135, "YES", "WRONG")</f>
        <v/>
      </c>
    </row>
    <row r="31136">
      <c r="A31136" t="n">
        <v>31135</v>
      </c>
      <c r="B31136" t="inlineStr">
        <is>
          <t>x̄x̄x̄MCXXXV</t>
        </is>
      </c>
      <c r="C31136">
        <f>ROMAN(31135)</f>
        <v/>
      </c>
      <c r="D31136">
        <f>IF(B31136=C31136, "YES", "WRONG")</f>
        <v/>
      </c>
    </row>
    <row r="31137">
      <c r="A31137" t="n">
        <v>31136</v>
      </c>
      <c r="B31137" t="inlineStr">
        <is>
          <t>x̄x̄x̄MCXXXVI</t>
        </is>
      </c>
      <c r="C31137">
        <f>ROMAN(31136)</f>
        <v/>
      </c>
      <c r="D31137">
        <f>IF(B31137=C31137, "YES", "WRONG")</f>
        <v/>
      </c>
    </row>
    <row r="31138">
      <c r="A31138" t="n">
        <v>31137</v>
      </c>
      <c r="B31138" t="inlineStr">
        <is>
          <t>x̄x̄x̄MCXXXVII</t>
        </is>
      </c>
      <c r="C31138">
        <f>ROMAN(31137)</f>
        <v/>
      </c>
      <c r="D31138">
        <f>IF(B31138=C31138, "YES", "WRONG")</f>
        <v/>
      </c>
    </row>
    <row r="31139">
      <c r="A31139" t="n">
        <v>31138</v>
      </c>
      <c r="B31139" t="inlineStr">
        <is>
          <t>x̄x̄x̄MCXXXVIII</t>
        </is>
      </c>
      <c r="C31139">
        <f>ROMAN(31138)</f>
        <v/>
      </c>
      <c r="D31139">
        <f>IF(B31139=C31139, "YES", "WRONG")</f>
        <v/>
      </c>
    </row>
    <row r="31140">
      <c r="A31140" t="n">
        <v>31139</v>
      </c>
      <c r="B31140" t="inlineStr">
        <is>
          <t>x̄x̄x̄MCXXXIX</t>
        </is>
      </c>
      <c r="C31140">
        <f>ROMAN(31139)</f>
        <v/>
      </c>
      <c r="D31140">
        <f>IF(B31140=C31140, "YES", "WRONG")</f>
        <v/>
      </c>
    </row>
    <row r="31141">
      <c r="A31141" t="n">
        <v>31140</v>
      </c>
      <c r="B31141" t="inlineStr">
        <is>
          <t>x̄x̄x̄MCXL</t>
        </is>
      </c>
      <c r="C31141">
        <f>ROMAN(31140)</f>
        <v/>
      </c>
      <c r="D31141">
        <f>IF(B31141=C31141, "YES", "WRONG")</f>
        <v/>
      </c>
    </row>
    <row r="31142">
      <c r="A31142" t="n">
        <v>31141</v>
      </c>
      <c r="B31142" t="inlineStr">
        <is>
          <t>x̄x̄x̄MCXLI</t>
        </is>
      </c>
      <c r="C31142">
        <f>ROMAN(31141)</f>
        <v/>
      </c>
      <c r="D31142">
        <f>IF(B31142=C31142, "YES", "WRONG")</f>
        <v/>
      </c>
    </row>
    <row r="31143">
      <c r="A31143" t="n">
        <v>31142</v>
      </c>
      <c r="B31143" t="inlineStr">
        <is>
          <t>x̄x̄x̄MCXLII</t>
        </is>
      </c>
      <c r="C31143">
        <f>ROMAN(31142)</f>
        <v/>
      </c>
      <c r="D31143">
        <f>IF(B31143=C31143, "YES", "WRONG")</f>
        <v/>
      </c>
    </row>
    <row r="31144">
      <c r="A31144" t="n">
        <v>31143</v>
      </c>
      <c r="B31144" t="inlineStr">
        <is>
          <t>x̄x̄x̄MCXLIII</t>
        </is>
      </c>
      <c r="C31144">
        <f>ROMAN(31143)</f>
        <v/>
      </c>
      <c r="D31144">
        <f>IF(B31144=C31144, "YES", "WRONG")</f>
        <v/>
      </c>
    </row>
    <row r="31145">
      <c r="A31145" t="n">
        <v>31144</v>
      </c>
      <c r="B31145" t="inlineStr">
        <is>
          <t>x̄x̄x̄MCXLIV</t>
        </is>
      </c>
      <c r="C31145">
        <f>ROMAN(31144)</f>
        <v/>
      </c>
      <c r="D31145">
        <f>IF(B31145=C31145, "YES", "WRONG")</f>
        <v/>
      </c>
    </row>
    <row r="31146">
      <c r="A31146" t="n">
        <v>31145</v>
      </c>
      <c r="B31146" t="inlineStr">
        <is>
          <t>x̄x̄x̄MCXLV</t>
        </is>
      </c>
      <c r="C31146">
        <f>ROMAN(31145)</f>
        <v/>
      </c>
      <c r="D31146">
        <f>IF(B31146=C31146, "YES", "WRONG")</f>
        <v/>
      </c>
    </row>
    <row r="31147">
      <c r="A31147" t="n">
        <v>31146</v>
      </c>
      <c r="B31147" t="inlineStr">
        <is>
          <t>x̄x̄x̄MCXLVI</t>
        </is>
      </c>
      <c r="C31147">
        <f>ROMAN(31146)</f>
        <v/>
      </c>
      <c r="D31147">
        <f>IF(B31147=C31147, "YES", "WRONG")</f>
        <v/>
      </c>
    </row>
    <row r="31148">
      <c r="A31148" t="n">
        <v>31147</v>
      </c>
      <c r="B31148" t="inlineStr">
        <is>
          <t>x̄x̄x̄MCXLVII</t>
        </is>
      </c>
      <c r="C31148">
        <f>ROMAN(31147)</f>
        <v/>
      </c>
      <c r="D31148">
        <f>IF(B31148=C31148, "YES", "WRONG")</f>
        <v/>
      </c>
    </row>
    <row r="31149">
      <c r="A31149" t="n">
        <v>31148</v>
      </c>
      <c r="B31149" t="inlineStr">
        <is>
          <t>x̄x̄x̄MCXLVIII</t>
        </is>
      </c>
      <c r="C31149">
        <f>ROMAN(31148)</f>
        <v/>
      </c>
      <c r="D31149">
        <f>IF(B31149=C31149, "YES", "WRONG")</f>
        <v/>
      </c>
    </row>
    <row r="31150">
      <c r="A31150" t="n">
        <v>31149</v>
      </c>
      <c r="B31150" t="inlineStr">
        <is>
          <t>x̄x̄x̄MCXLIX</t>
        </is>
      </c>
      <c r="C31150">
        <f>ROMAN(31149)</f>
        <v/>
      </c>
      <c r="D31150">
        <f>IF(B31150=C31150, "YES", "WRONG")</f>
        <v/>
      </c>
    </row>
    <row r="31151">
      <c r="A31151" t="n">
        <v>31150</v>
      </c>
      <c r="B31151" t="inlineStr">
        <is>
          <t>x̄x̄x̄MCL</t>
        </is>
      </c>
      <c r="C31151">
        <f>ROMAN(31150)</f>
        <v/>
      </c>
      <c r="D31151">
        <f>IF(B31151=C31151, "YES", "WRONG")</f>
        <v/>
      </c>
    </row>
    <row r="31152">
      <c r="A31152" t="n">
        <v>31151</v>
      </c>
      <c r="B31152" t="inlineStr">
        <is>
          <t>x̄x̄x̄MCLI</t>
        </is>
      </c>
      <c r="C31152">
        <f>ROMAN(31151)</f>
        <v/>
      </c>
      <c r="D31152">
        <f>IF(B31152=C31152, "YES", "WRONG")</f>
        <v/>
      </c>
    </row>
    <row r="31153">
      <c r="A31153" t="n">
        <v>31152</v>
      </c>
      <c r="B31153" t="inlineStr">
        <is>
          <t>x̄x̄x̄MCLII</t>
        </is>
      </c>
      <c r="C31153">
        <f>ROMAN(31152)</f>
        <v/>
      </c>
      <c r="D31153">
        <f>IF(B31153=C31153, "YES", "WRONG")</f>
        <v/>
      </c>
    </row>
    <row r="31154">
      <c r="A31154" t="n">
        <v>31153</v>
      </c>
      <c r="B31154" t="inlineStr">
        <is>
          <t>x̄x̄x̄MCLIII</t>
        </is>
      </c>
      <c r="C31154">
        <f>ROMAN(31153)</f>
        <v/>
      </c>
      <c r="D31154">
        <f>IF(B31154=C31154, "YES", "WRONG")</f>
        <v/>
      </c>
    </row>
    <row r="31155">
      <c r="A31155" t="n">
        <v>31154</v>
      </c>
      <c r="B31155" t="inlineStr">
        <is>
          <t>x̄x̄x̄MCLIV</t>
        </is>
      </c>
      <c r="C31155">
        <f>ROMAN(31154)</f>
        <v/>
      </c>
      <c r="D31155">
        <f>IF(B31155=C31155, "YES", "WRONG")</f>
        <v/>
      </c>
    </row>
    <row r="31156">
      <c r="A31156" t="n">
        <v>31155</v>
      </c>
      <c r="B31156" t="inlineStr">
        <is>
          <t>x̄x̄x̄MCLV</t>
        </is>
      </c>
      <c r="C31156">
        <f>ROMAN(31155)</f>
        <v/>
      </c>
      <c r="D31156">
        <f>IF(B31156=C31156, "YES", "WRONG")</f>
        <v/>
      </c>
    </row>
    <row r="31157">
      <c r="A31157" t="n">
        <v>31156</v>
      </c>
      <c r="B31157" t="inlineStr">
        <is>
          <t>x̄x̄x̄MCLVI</t>
        </is>
      </c>
      <c r="C31157">
        <f>ROMAN(31156)</f>
        <v/>
      </c>
      <c r="D31157">
        <f>IF(B31157=C31157, "YES", "WRONG")</f>
        <v/>
      </c>
    </row>
    <row r="31158">
      <c r="A31158" t="n">
        <v>31157</v>
      </c>
      <c r="B31158" t="inlineStr">
        <is>
          <t>x̄x̄x̄MCLVII</t>
        </is>
      </c>
      <c r="C31158">
        <f>ROMAN(31157)</f>
        <v/>
      </c>
      <c r="D31158">
        <f>IF(B31158=C31158, "YES", "WRONG")</f>
        <v/>
      </c>
    </row>
    <row r="31159">
      <c r="A31159" t="n">
        <v>31158</v>
      </c>
      <c r="B31159" t="inlineStr">
        <is>
          <t>x̄x̄x̄MCLVIII</t>
        </is>
      </c>
      <c r="C31159">
        <f>ROMAN(31158)</f>
        <v/>
      </c>
      <c r="D31159">
        <f>IF(B31159=C31159, "YES", "WRONG")</f>
        <v/>
      </c>
    </row>
    <row r="31160">
      <c r="A31160" t="n">
        <v>31159</v>
      </c>
      <c r="B31160" t="inlineStr">
        <is>
          <t>x̄x̄x̄MCLIX</t>
        </is>
      </c>
      <c r="C31160">
        <f>ROMAN(31159)</f>
        <v/>
      </c>
      <c r="D31160">
        <f>IF(B31160=C31160, "YES", "WRONG")</f>
        <v/>
      </c>
    </row>
    <row r="31161">
      <c r="A31161" t="n">
        <v>31160</v>
      </c>
      <c r="B31161" t="inlineStr">
        <is>
          <t>x̄x̄x̄MCLX</t>
        </is>
      </c>
      <c r="C31161">
        <f>ROMAN(31160)</f>
        <v/>
      </c>
      <c r="D31161">
        <f>IF(B31161=C31161, "YES", "WRONG")</f>
        <v/>
      </c>
    </row>
    <row r="31162">
      <c r="A31162" t="n">
        <v>31161</v>
      </c>
      <c r="B31162" t="inlineStr">
        <is>
          <t>x̄x̄x̄MCLXI</t>
        </is>
      </c>
      <c r="C31162">
        <f>ROMAN(31161)</f>
        <v/>
      </c>
      <c r="D31162">
        <f>IF(B31162=C31162, "YES", "WRONG")</f>
        <v/>
      </c>
    </row>
    <row r="31163">
      <c r="A31163" t="n">
        <v>31162</v>
      </c>
      <c r="B31163" t="inlineStr">
        <is>
          <t>x̄x̄x̄MCLXII</t>
        </is>
      </c>
      <c r="C31163">
        <f>ROMAN(31162)</f>
        <v/>
      </c>
      <c r="D31163">
        <f>IF(B31163=C31163, "YES", "WRONG")</f>
        <v/>
      </c>
    </row>
    <row r="31164">
      <c r="A31164" t="n">
        <v>31163</v>
      </c>
      <c r="B31164" t="inlineStr">
        <is>
          <t>x̄x̄x̄MCLXIII</t>
        </is>
      </c>
      <c r="C31164">
        <f>ROMAN(31163)</f>
        <v/>
      </c>
      <c r="D31164">
        <f>IF(B31164=C31164, "YES", "WRONG")</f>
        <v/>
      </c>
    </row>
    <row r="31165">
      <c r="A31165" t="n">
        <v>31164</v>
      </c>
      <c r="B31165" t="inlineStr">
        <is>
          <t>x̄x̄x̄MCLXIV</t>
        </is>
      </c>
      <c r="C31165">
        <f>ROMAN(31164)</f>
        <v/>
      </c>
      <c r="D31165">
        <f>IF(B31165=C31165, "YES", "WRONG")</f>
        <v/>
      </c>
    </row>
    <row r="31166">
      <c r="A31166" t="n">
        <v>31165</v>
      </c>
      <c r="B31166" t="inlineStr">
        <is>
          <t>x̄x̄x̄MCLXV</t>
        </is>
      </c>
      <c r="C31166">
        <f>ROMAN(31165)</f>
        <v/>
      </c>
      <c r="D31166">
        <f>IF(B31166=C31166, "YES", "WRONG")</f>
        <v/>
      </c>
    </row>
    <row r="31167">
      <c r="A31167" t="n">
        <v>31166</v>
      </c>
      <c r="B31167" t="inlineStr">
        <is>
          <t>x̄x̄x̄MCLXVI</t>
        </is>
      </c>
      <c r="C31167">
        <f>ROMAN(31166)</f>
        <v/>
      </c>
      <c r="D31167">
        <f>IF(B31167=C31167, "YES", "WRONG")</f>
        <v/>
      </c>
    </row>
    <row r="31168">
      <c r="A31168" t="n">
        <v>31167</v>
      </c>
      <c r="B31168" t="inlineStr">
        <is>
          <t>x̄x̄x̄MCLXVII</t>
        </is>
      </c>
      <c r="C31168">
        <f>ROMAN(31167)</f>
        <v/>
      </c>
      <c r="D31168">
        <f>IF(B31168=C31168, "YES", "WRONG")</f>
        <v/>
      </c>
    </row>
    <row r="31169">
      <c r="A31169" t="n">
        <v>31168</v>
      </c>
      <c r="B31169" t="inlineStr">
        <is>
          <t>x̄x̄x̄MCLXVIII</t>
        </is>
      </c>
      <c r="C31169">
        <f>ROMAN(31168)</f>
        <v/>
      </c>
      <c r="D31169">
        <f>IF(B31169=C31169, "YES", "WRONG")</f>
        <v/>
      </c>
    </row>
    <row r="31170">
      <c r="A31170" t="n">
        <v>31169</v>
      </c>
      <c r="B31170" t="inlineStr">
        <is>
          <t>x̄x̄x̄MCLXIX</t>
        </is>
      </c>
      <c r="C31170">
        <f>ROMAN(31169)</f>
        <v/>
      </c>
      <c r="D31170">
        <f>IF(B31170=C31170, "YES", "WRONG")</f>
        <v/>
      </c>
    </row>
    <row r="31171">
      <c r="A31171" t="n">
        <v>31170</v>
      </c>
      <c r="B31171" t="inlineStr">
        <is>
          <t>x̄x̄x̄MCLXX</t>
        </is>
      </c>
      <c r="C31171">
        <f>ROMAN(31170)</f>
        <v/>
      </c>
      <c r="D31171">
        <f>IF(B31171=C31171, "YES", "WRONG")</f>
        <v/>
      </c>
    </row>
    <row r="31172">
      <c r="A31172" t="n">
        <v>31171</v>
      </c>
      <c r="B31172" t="inlineStr">
        <is>
          <t>x̄x̄x̄MCLXXI</t>
        </is>
      </c>
      <c r="C31172">
        <f>ROMAN(31171)</f>
        <v/>
      </c>
      <c r="D31172">
        <f>IF(B31172=C31172, "YES", "WRONG")</f>
        <v/>
      </c>
    </row>
    <row r="31173">
      <c r="A31173" t="n">
        <v>31172</v>
      </c>
      <c r="B31173" t="inlineStr">
        <is>
          <t>x̄x̄x̄MCLXXII</t>
        </is>
      </c>
      <c r="C31173">
        <f>ROMAN(31172)</f>
        <v/>
      </c>
      <c r="D31173">
        <f>IF(B31173=C31173, "YES", "WRONG")</f>
        <v/>
      </c>
    </row>
    <row r="31174">
      <c r="A31174" t="n">
        <v>31173</v>
      </c>
      <c r="B31174" t="inlineStr">
        <is>
          <t>x̄x̄x̄MCLXXIII</t>
        </is>
      </c>
      <c r="C31174">
        <f>ROMAN(31173)</f>
        <v/>
      </c>
      <c r="D31174">
        <f>IF(B31174=C31174, "YES", "WRONG")</f>
        <v/>
      </c>
    </row>
    <row r="31175">
      <c r="A31175" t="n">
        <v>31174</v>
      </c>
      <c r="B31175" t="inlineStr">
        <is>
          <t>x̄x̄x̄MCLXXIV</t>
        </is>
      </c>
      <c r="C31175">
        <f>ROMAN(31174)</f>
        <v/>
      </c>
      <c r="D31175">
        <f>IF(B31175=C31175, "YES", "WRONG")</f>
        <v/>
      </c>
    </row>
    <row r="31176">
      <c r="A31176" t="n">
        <v>31175</v>
      </c>
      <c r="B31176" t="inlineStr">
        <is>
          <t>x̄x̄x̄MCLXXV</t>
        </is>
      </c>
      <c r="C31176">
        <f>ROMAN(31175)</f>
        <v/>
      </c>
      <c r="D31176">
        <f>IF(B31176=C31176, "YES", "WRONG")</f>
        <v/>
      </c>
    </row>
    <row r="31177">
      <c r="A31177" t="n">
        <v>31176</v>
      </c>
      <c r="B31177" t="inlineStr">
        <is>
          <t>x̄x̄x̄MCLXXVI</t>
        </is>
      </c>
      <c r="C31177">
        <f>ROMAN(31176)</f>
        <v/>
      </c>
      <c r="D31177">
        <f>IF(B31177=C31177, "YES", "WRONG")</f>
        <v/>
      </c>
    </row>
    <row r="31178">
      <c r="A31178" t="n">
        <v>31177</v>
      </c>
      <c r="B31178" t="inlineStr">
        <is>
          <t>x̄x̄x̄MCLXXVII</t>
        </is>
      </c>
      <c r="C31178">
        <f>ROMAN(31177)</f>
        <v/>
      </c>
      <c r="D31178">
        <f>IF(B31178=C31178, "YES", "WRONG")</f>
        <v/>
      </c>
    </row>
    <row r="31179">
      <c r="A31179" t="n">
        <v>31178</v>
      </c>
      <c r="B31179" t="inlineStr">
        <is>
          <t>x̄x̄x̄MCLXXVIII</t>
        </is>
      </c>
      <c r="C31179">
        <f>ROMAN(31178)</f>
        <v/>
      </c>
      <c r="D31179">
        <f>IF(B31179=C31179, "YES", "WRONG")</f>
        <v/>
      </c>
    </row>
    <row r="31180">
      <c r="A31180" t="n">
        <v>31179</v>
      </c>
      <c r="B31180" t="inlineStr">
        <is>
          <t>x̄x̄x̄MCLXXIX</t>
        </is>
      </c>
      <c r="C31180">
        <f>ROMAN(31179)</f>
        <v/>
      </c>
      <c r="D31180">
        <f>IF(B31180=C31180, "YES", "WRONG")</f>
        <v/>
      </c>
    </row>
    <row r="31181">
      <c r="A31181" t="n">
        <v>31180</v>
      </c>
      <c r="B31181" t="inlineStr">
        <is>
          <t>x̄x̄x̄MCLXXX</t>
        </is>
      </c>
      <c r="C31181">
        <f>ROMAN(31180)</f>
        <v/>
      </c>
      <c r="D31181">
        <f>IF(B31181=C31181, "YES", "WRONG")</f>
        <v/>
      </c>
    </row>
    <row r="31182">
      <c r="A31182" t="n">
        <v>31181</v>
      </c>
      <c r="B31182" t="inlineStr">
        <is>
          <t>x̄x̄x̄MCLXXXI</t>
        </is>
      </c>
      <c r="C31182">
        <f>ROMAN(31181)</f>
        <v/>
      </c>
      <c r="D31182">
        <f>IF(B31182=C31182, "YES", "WRONG")</f>
        <v/>
      </c>
    </row>
    <row r="31183">
      <c r="A31183" t="n">
        <v>31182</v>
      </c>
      <c r="B31183" t="inlineStr">
        <is>
          <t>x̄x̄x̄MCLXXXII</t>
        </is>
      </c>
      <c r="C31183">
        <f>ROMAN(31182)</f>
        <v/>
      </c>
      <c r="D31183">
        <f>IF(B31183=C31183, "YES", "WRONG")</f>
        <v/>
      </c>
    </row>
    <row r="31184">
      <c r="A31184" t="n">
        <v>31183</v>
      </c>
      <c r="B31184" t="inlineStr">
        <is>
          <t>x̄x̄x̄MCLXXXIII</t>
        </is>
      </c>
      <c r="C31184">
        <f>ROMAN(31183)</f>
        <v/>
      </c>
      <c r="D31184">
        <f>IF(B31184=C31184, "YES", "WRONG")</f>
        <v/>
      </c>
    </row>
    <row r="31185">
      <c r="A31185" t="n">
        <v>31184</v>
      </c>
      <c r="B31185" t="inlineStr">
        <is>
          <t>x̄x̄x̄MCLXXXIV</t>
        </is>
      </c>
      <c r="C31185">
        <f>ROMAN(31184)</f>
        <v/>
      </c>
      <c r="D31185">
        <f>IF(B31185=C31185, "YES", "WRONG")</f>
        <v/>
      </c>
    </row>
    <row r="31186">
      <c r="A31186" t="n">
        <v>31185</v>
      </c>
      <c r="B31186" t="inlineStr">
        <is>
          <t>x̄x̄x̄MCLXXXV</t>
        </is>
      </c>
      <c r="C31186">
        <f>ROMAN(31185)</f>
        <v/>
      </c>
      <c r="D31186">
        <f>IF(B31186=C31186, "YES", "WRONG")</f>
        <v/>
      </c>
    </row>
    <row r="31187">
      <c r="A31187" t="n">
        <v>31186</v>
      </c>
      <c r="B31187" t="inlineStr">
        <is>
          <t>x̄x̄x̄MCLXXXVI</t>
        </is>
      </c>
      <c r="C31187">
        <f>ROMAN(31186)</f>
        <v/>
      </c>
      <c r="D31187">
        <f>IF(B31187=C31187, "YES", "WRONG")</f>
        <v/>
      </c>
    </row>
    <row r="31188">
      <c r="A31188" t="n">
        <v>31187</v>
      </c>
      <c r="B31188" t="inlineStr">
        <is>
          <t>x̄x̄x̄MCLXXXVII</t>
        </is>
      </c>
      <c r="C31188">
        <f>ROMAN(31187)</f>
        <v/>
      </c>
      <c r="D31188">
        <f>IF(B31188=C31188, "YES", "WRONG")</f>
        <v/>
      </c>
    </row>
    <row r="31189">
      <c r="A31189" t="n">
        <v>31188</v>
      </c>
      <c r="B31189" t="inlineStr">
        <is>
          <t>x̄x̄x̄MCLXXXVIII</t>
        </is>
      </c>
      <c r="C31189">
        <f>ROMAN(31188)</f>
        <v/>
      </c>
      <c r="D31189">
        <f>IF(B31189=C31189, "YES", "WRONG")</f>
        <v/>
      </c>
    </row>
    <row r="31190">
      <c r="A31190" t="n">
        <v>31189</v>
      </c>
      <c r="B31190" t="inlineStr">
        <is>
          <t>x̄x̄x̄MCLXXXIX</t>
        </is>
      </c>
      <c r="C31190">
        <f>ROMAN(31189)</f>
        <v/>
      </c>
      <c r="D31190">
        <f>IF(B31190=C31190, "YES", "WRONG")</f>
        <v/>
      </c>
    </row>
    <row r="31191">
      <c r="A31191" t="n">
        <v>31190</v>
      </c>
      <c r="B31191" t="inlineStr">
        <is>
          <t>x̄x̄x̄MCXC</t>
        </is>
      </c>
      <c r="C31191">
        <f>ROMAN(31190)</f>
        <v/>
      </c>
      <c r="D31191">
        <f>IF(B31191=C31191, "YES", "WRONG")</f>
        <v/>
      </c>
    </row>
    <row r="31192">
      <c r="A31192" t="n">
        <v>31191</v>
      </c>
      <c r="B31192" t="inlineStr">
        <is>
          <t>x̄x̄x̄MCXCI</t>
        </is>
      </c>
      <c r="C31192">
        <f>ROMAN(31191)</f>
        <v/>
      </c>
      <c r="D31192">
        <f>IF(B31192=C31192, "YES", "WRONG")</f>
        <v/>
      </c>
    </row>
    <row r="31193">
      <c r="A31193" t="n">
        <v>31192</v>
      </c>
      <c r="B31193" t="inlineStr">
        <is>
          <t>x̄x̄x̄MCXCII</t>
        </is>
      </c>
      <c r="C31193">
        <f>ROMAN(31192)</f>
        <v/>
      </c>
      <c r="D31193">
        <f>IF(B31193=C31193, "YES", "WRONG")</f>
        <v/>
      </c>
    </row>
    <row r="31194">
      <c r="A31194" t="n">
        <v>31193</v>
      </c>
      <c r="B31194" t="inlineStr">
        <is>
          <t>x̄x̄x̄MCXCIII</t>
        </is>
      </c>
      <c r="C31194">
        <f>ROMAN(31193)</f>
        <v/>
      </c>
      <c r="D31194">
        <f>IF(B31194=C31194, "YES", "WRONG")</f>
        <v/>
      </c>
    </row>
    <row r="31195">
      <c r="A31195" t="n">
        <v>31194</v>
      </c>
      <c r="B31195" t="inlineStr">
        <is>
          <t>x̄x̄x̄MCXCIV</t>
        </is>
      </c>
      <c r="C31195">
        <f>ROMAN(31194)</f>
        <v/>
      </c>
      <c r="D31195">
        <f>IF(B31195=C31195, "YES", "WRONG")</f>
        <v/>
      </c>
    </row>
    <row r="31196">
      <c r="A31196" t="n">
        <v>31195</v>
      </c>
      <c r="B31196" t="inlineStr">
        <is>
          <t>x̄x̄x̄MCXCV</t>
        </is>
      </c>
      <c r="C31196">
        <f>ROMAN(31195)</f>
        <v/>
      </c>
      <c r="D31196">
        <f>IF(B31196=C31196, "YES", "WRONG")</f>
        <v/>
      </c>
    </row>
    <row r="31197">
      <c r="A31197" t="n">
        <v>31196</v>
      </c>
      <c r="B31197" t="inlineStr">
        <is>
          <t>x̄x̄x̄MCXCVI</t>
        </is>
      </c>
      <c r="C31197">
        <f>ROMAN(31196)</f>
        <v/>
      </c>
      <c r="D31197">
        <f>IF(B31197=C31197, "YES", "WRONG")</f>
        <v/>
      </c>
    </row>
    <row r="31198">
      <c r="A31198" t="n">
        <v>31197</v>
      </c>
      <c r="B31198" t="inlineStr">
        <is>
          <t>x̄x̄x̄MCXCVII</t>
        </is>
      </c>
      <c r="C31198">
        <f>ROMAN(31197)</f>
        <v/>
      </c>
      <c r="D31198">
        <f>IF(B31198=C31198, "YES", "WRONG")</f>
        <v/>
      </c>
    </row>
    <row r="31199">
      <c r="A31199" t="n">
        <v>31198</v>
      </c>
      <c r="B31199" t="inlineStr">
        <is>
          <t>x̄x̄x̄MCXCVIII</t>
        </is>
      </c>
      <c r="C31199">
        <f>ROMAN(31198)</f>
        <v/>
      </c>
      <c r="D31199">
        <f>IF(B31199=C31199, "YES", "WRONG")</f>
        <v/>
      </c>
    </row>
    <row r="31200">
      <c r="A31200" t="n">
        <v>31199</v>
      </c>
      <c r="B31200" t="inlineStr">
        <is>
          <t>x̄x̄x̄MCXCIX</t>
        </is>
      </c>
      <c r="C31200">
        <f>ROMAN(31199)</f>
        <v/>
      </c>
      <c r="D31200">
        <f>IF(B31200=C31200, "YES", "WRONG")</f>
        <v/>
      </c>
    </row>
    <row r="31201">
      <c r="A31201" t="n">
        <v>31200</v>
      </c>
      <c r="B31201" t="inlineStr">
        <is>
          <t>x̄x̄x̄MCC</t>
        </is>
      </c>
      <c r="C31201">
        <f>ROMAN(31200)</f>
        <v/>
      </c>
      <c r="D31201">
        <f>IF(B31201=C31201, "YES", "WRONG")</f>
        <v/>
      </c>
    </row>
    <row r="31202">
      <c r="A31202" t="n">
        <v>31201</v>
      </c>
      <c r="B31202" t="inlineStr">
        <is>
          <t>x̄x̄x̄MCCI</t>
        </is>
      </c>
      <c r="C31202">
        <f>ROMAN(31201)</f>
        <v/>
      </c>
      <c r="D31202">
        <f>IF(B31202=C31202, "YES", "WRONG")</f>
        <v/>
      </c>
    </row>
    <row r="31203">
      <c r="A31203" t="n">
        <v>31202</v>
      </c>
      <c r="B31203" t="inlineStr">
        <is>
          <t>x̄x̄x̄MCCII</t>
        </is>
      </c>
      <c r="C31203">
        <f>ROMAN(31202)</f>
        <v/>
      </c>
      <c r="D31203">
        <f>IF(B31203=C31203, "YES", "WRONG")</f>
        <v/>
      </c>
    </row>
    <row r="31204">
      <c r="A31204" t="n">
        <v>31203</v>
      </c>
      <c r="B31204" t="inlineStr">
        <is>
          <t>x̄x̄x̄MCCIII</t>
        </is>
      </c>
      <c r="C31204">
        <f>ROMAN(31203)</f>
        <v/>
      </c>
      <c r="D31204">
        <f>IF(B31204=C31204, "YES", "WRONG")</f>
        <v/>
      </c>
    </row>
    <row r="31205">
      <c r="A31205" t="n">
        <v>31204</v>
      </c>
      <c r="B31205" t="inlineStr">
        <is>
          <t>x̄x̄x̄MCCIV</t>
        </is>
      </c>
      <c r="C31205">
        <f>ROMAN(31204)</f>
        <v/>
      </c>
      <c r="D31205">
        <f>IF(B31205=C31205, "YES", "WRONG")</f>
        <v/>
      </c>
    </row>
    <row r="31206">
      <c r="A31206" t="n">
        <v>31205</v>
      </c>
      <c r="B31206" t="inlineStr">
        <is>
          <t>x̄x̄x̄MCCV</t>
        </is>
      </c>
      <c r="C31206">
        <f>ROMAN(31205)</f>
        <v/>
      </c>
      <c r="D31206">
        <f>IF(B31206=C31206, "YES", "WRONG")</f>
        <v/>
      </c>
    </row>
    <row r="31207">
      <c r="A31207" t="n">
        <v>31206</v>
      </c>
      <c r="B31207" t="inlineStr">
        <is>
          <t>x̄x̄x̄MCCVI</t>
        </is>
      </c>
      <c r="C31207">
        <f>ROMAN(31206)</f>
        <v/>
      </c>
      <c r="D31207">
        <f>IF(B31207=C31207, "YES", "WRONG")</f>
        <v/>
      </c>
    </row>
    <row r="31208">
      <c r="A31208" t="n">
        <v>31207</v>
      </c>
      <c r="B31208" t="inlineStr">
        <is>
          <t>x̄x̄x̄MCCVII</t>
        </is>
      </c>
      <c r="C31208">
        <f>ROMAN(31207)</f>
        <v/>
      </c>
      <c r="D31208">
        <f>IF(B31208=C31208, "YES", "WRONG")</f>
        <v/>
      </c>
    </row>
    <row r="31209">
      <c r="A31209" t="n">
        <v>31208</v>
      </c>
      <c r="B31209" t="inlineStr">
        <is>
          <t>x̄x̄x̄MCCVIII</t>
        </is>
      </c>
      <c r="C31209">
        <f>ROMAN(31208)</f>
        <v/>
      </c>
      <c r="D31209">
        <f>IF(B31209=C31209, "YES", "WRONG")</f>
        <v/>
      </c>
    </row>
    <row r="31210">
      <c r="A31210" t="n">
        <v>31209</v>
      </c>
      <c r="B31210" t="inlineStr">
        <is>
          <t>x̄x̄x̄MCCIX</t>
        </is>
      </c>
      <c r="C31210">
        <f>ROMAN(31209)</f>
        <v/>
      </c>
      <c r="D31210">
        <f>IF(B31210=C31210, "YES", "WRONG")</f>
        <v/>
      </c>
    </row>
    <row r="31211">
      <c r="A31211" t="n">
        <v>31210</v>
      </c>
      <c r="B31211" t="inlineStr">
        <is>
          <t>x̄x̄x̄MCCX</t>
        </is>
      </c>
      <c r="C31211">
        <f>ROMAN(31210)</f>
        <v/>
      </c>
      <c r="D31211">
        <f>IF(B31211=C31211, "YES", "WRONG")</f>
        <v/>
      </c>
    </row>
    <row r="31212">
      <c r="A31212" t="n">
        <v>31211</v>
      </c>
      <c r="B31212" t="inlineStr">
        <is>
          <t>x̄x̄x̄MCCXI</t>
        </is>
      </c>
      <c r="C31212">
        <f>ROMAN(31211)</f>
        <v/>
      </c>
      <c r="D31212">
        <f>IF(B31212=C31212, "YES", "WRONG")</f>
        <v/>
      </c>
    </row>
    <row r="31213">
      <c r="A31213" t="n">
        <v>31212</v>
      </c>
      <c r="B31213" t="inlineStr">
        <is>
          <t>x̄x̄x̄MCCXII</t>
        </is>
      </c>
      <c r="C31213">
        <f>ROMAN(31212)</f>
        <v/>
      </c>
      <c r="D31213">
        <f>IF(B31213=C31213, "YES", "WRONG")</f>
        <v/>
      </c>
    </row>
    <row r="31214">
      <c r="A31214" t="n">
        <v>31213</v>
      </c>
      <c r="B31214" t="inlineStr">
        <is>
          <t>x̄x̄x̄MCCXIII</t>
        </is>
      </c>
      <c r="C31214">
        <f>ROMAN(31213)</f>
        <v/>
      </c>
      <c r="D31214">
        <f>IF(B31214=C31214, "YES", "WRONG")</f>
        <v/>
      </c>
    </row>
    <row r="31215">
      <c r="A31215" t="n">
        <v>31214</v>
      </c>
      <c r="B31215" t="inlineStr">
        <is>
          <t>x̄x̄x̄MCCXIV</t>
        </is>
      </c>
      <c r="C31215">
        <f>ROMAN(31214)</f>
        <v/>
      </c>
      <c r="D31215">
        <f>IF(B31215=C31215, "YES", "WRONG")</f>
        <v/>
      </c>
    </row>
    <row r="31216">
      <c r="A31216" t="n">
        <v>31215</v>
      </c>
      <c r="B31216" t="inlineStr">
        <is>
          <t>x̄x̄x̄MCCXV</t>
        </is>
      </c>
      <c r="C31216">
        <f>ROMAN(31215)</f>
        <v/>
      </c>
      <c r="D31216">
        <f>IF(B31216=C31216, "YES", "WRONG")</f>
        <v/>
      </c>
    </row>
    <row r="31217">
      <c r="A31217" t="n">
        <v>31216</v>
      </c>
      <c r="B31217" t="inlineStr">
        <is>
          <t>x̄x̄x̄MCCXVI</t>
        </is>
      </c>
      <c r="C31217">
        <f>ROMAN(31216)</f>
        <v/>
      </c>
      <c r="D31217">
        <f>IF(B31217=C31217, "YES", "WRONG")</f>
        <v/>
      </c>
    </row>
    <row r="31218">
      <c r="A31218" t="n">
        <v>31217</v>
      </c>
      <c r="B31218" t="inlineStr">
        <is>
          <t>x̄x̄x̄MCCXVII</t>
        </is>
      </c>
      <c r="C31218">
        <f>ROMAN(31217)</f>
        <v/>
      </c>
      <c r="D31218">
        <f>IF(B31218=C31218, "YES", "WRONG")</f>
        <v/>
      </c>
    </row>
    <row r="31219">
      <c r="A31219" t="n">
        <v>31218</v>
      </c>
      <c r="B31219" t="inlineStr">
        <is>
          <t>x̄x̄x̄MCCXVIII</t>
        </is>
      </c>
      <c r="C31219">
        <f>ROMAN(31218)</f>
        <v/>
      </c>
      <c r="D31219">
        <f>IF(B31219=C31219, "YES", "WRONG")</f>
        <v/>
      </c>
    </row>
    <row r="31220">
      <c r="A31220" t="n">
        <v>31219</v>
      </c>
      <c r="B31220" t="inlineStr">
        <is>
          <t>x̄x̄x̄MCCXIX</t>
        </is>
      </c>
      <c r="C31220">
        <f>ROMAN(31219)</f>
        <v/>
      </c>
      <c r="D31220">
        <f>IF(B31220=C31220, "YES", "WRONG")</f>
        <v/>
      </c>
    </row>
    <row r="31221">
      <c r="A31221" t="n">
        <v>31220</v>
      </c>
      <c r="B31221" t="inlineStr">
        <is>
          <t>x̄x̄x̄MCCXX</t>
        </is>
      </c>
      <c r="C31221">
        <f>ROMAN(31220)</f>
        <v/>
      </c>
      <c r="D31221">
        <f>IF(B31221=C31221, "YES", "WRONG")</f>
        <v/>
      </c>
    </row>
    <row r="31222">
      <c r="A31222" t="n">
        <v>31221</v>
      </c>
      <c r="B31222" t="inlineStr">
        <is>
          <t>x̄x̄x̄MCCXXI</t>
        </is>
      </c>
      <c r="C31222">
        <f>ROMAN(31221)</f>
        <v/>
      </c>
      <c r="D31222">
        <f>IF(B31222=C31222, "YES", "WRONG")</f>
        <v/>
      </c>
    </row>
    <row r="31223">
      <c r="A31223" t="n">
        <v>31222</v>
      </c>
      <c r="B31223" t="inlineStr">
        <is>
          <t>x̄x̄x̄MCCXXII</t>
        </is>
      </c>
      <c r="C31223">
        <f>ROMAN(31222)</f>
        <v/>
      </c>
      <c r="D31223">
        <f>IF(B31223=C31223, "YES", "WRONG")</f>
        <v/>
      </c>
    </row>
    <row r="31224">
      <c r="A31224" t="n">
        <v>31223</v>
      </c>
      <c r="B31224" t="inlineStr">
        <is>
          <t>x̄x̄x̄MCCXXIII</t>
        </is>
      </c>
      <c r="C31224">
        <f>ROMAN(31223)</f>
        <v/>
      </c>
      <c r="D31224">
        <f>IF(B31224=C31224, "YES", "WRONG")</f>
        <v/>
      </c>
    </row>
    <row r="31225">
      <c r="A31225" t="n">
        <v>31224</v>
      </c>
      <c r="B31225" t="inlineStr">
        <is>
          <t>x̄x̄x̄MCCXXIV</t>
        </is>
      </c>
      <c r="C31225">
        <f>ROMAN(31224)</f>
        <v/>
      </c>
      <c r="D31225">
        <f>IF(B31225=C31225, "YES", "WRONG")</f>
        <v/>
      </c>
    </row>
    <row r="31226">
      <c r="A31226" t="n">
        <v>31225</v>
      </c>
      <c r="B31226" t="inlineStr">
        <is>
          <t>x̄x̄x̄MCCXXV</t>
        </is>
      </c>
      <c r="C31226">
        <f>ROMAN(31225)</f>
        <v/>
      </c>
      <c r="D31226">
        <f>IF(B31226=C31226, "YES", "WRONG")</f>
        <v/>
      </c>
    </row>
    <row r="31227">
      <c r="A31227" t="n">
        <v>31226</v>
      </c>
      <c r="B31227" t="inlineStr">
        <is>
          <t>x̄x̄x̄MCCXXVI</t>
        </is>
      </c>
      <c r="C31227">
        <f>ROMAN(31226)</f>
        <v/>
      </c>
      <c r="D31227">
        <f>IF(B31227=C31227, "YES", "WRONG")</f>
        <v/>
      </c>
    </row>
    <row r="31228">
      <c r="A31228" t="n">
        <v>31227</v>
      </c>
      <c r="B31228" t="inlineStr">
        <is>
          <t>x̄x̄x̄MCCXXVII</t>
        </is>
      </c>
      <c r="C31228">
        <f>ROMAN(31227)</f>
        <v/>
      </c>
      <c r="D31228">
        <f>IF(B31228=C31228, "YES", "WRONG")</f>
        <v/>
      </c>
    </row>
    <row r="31229">
      <c r="A31229" t="n">
        <v>31228</v>
      </c>
      <c r="B31229" t="inlineStr">
        <is>
          <t>x̄x̄x̄MCCXXVIII</t>
        </is>
      </c>
      <c r="C31229">
        <f>ROMAN(31228)</f>
        <v/>
      </c>
      <c r="D31229">
        <f>IF(B31229=C31229, "YES", "WRONG")</f>
        <v/>
      </c>
    </row>
    <row r="31230">
      <c r="A31230" t="n">
        <v>31229</v>
      </c>
      <c r="B31230" t="inlineStr">
        <is>
          <t>x̄x̄x̄MCCXXIX</t>
        </is>
      </c>
      <c r="C31230">
        <f>ROMAN(31229)</f>
        <v/>
      </c>
      <c r="D31230">
        <f>IF(B31230=C31230, "YES", "WRONG")</f>
        <v/>
      </c>
    </row>
    <row r="31231">
      <c r="A31231" t="n">
        <v>31230</v>
      </c>
      <c r="B31231" t="inlineStr">
        <is>
          <t>x̄x̄x̄MCCXXX</t>
        </is>
      </c>
      <c r="C31231">
        <f>ROMAN(31230)</f>
        <v/>
      </c>
      <c r="D31231">
        <f>IF(B31231=C31231, "YES", "WRONG")</f>
        <v/>
      </c>
    </row>
    <row r="31232">
      <c r="A31232" t="n">
        <v>31231</v>
      </c>
      <c r="B31232" t="inlineStr">
        <is>
          <t>x̄x̄x̄MCCXXXI</t>
        </is>
      </c>
      <c r="C31232">
        <f>ROMAN(31231)</f>
        <v/>
      </c>
      <c r="D31232">
        <f>IF(B31232=C31232, "YES", "WRONG")</f>
        <v/>
      </c>
    </row>
    <row r="31233">
      <c r="A31233" t="n">
        <v>31232</v>
      </c>
      <c r="B31233" t="inlineStr">
        <is>
          <t>x̄x̄x̄MCCXXXII</t>
        </is>
      </c>
      <c r="C31233">
        <f>ROMAN(31232)</f>
        <v/>
      </c>
      <c r="D31233">
        <f>IF(B31233=C31233, "YES", "WRONG")</f>
        <v/>
      </c>
    </row>
    <row r="31234">
      <c r="A31234" t="n">
        <v>31233</v>
      </c>
      <c r="B31234" t="inlineStr">
        <is>
          <t>x̄x̄x̄MCCXXXIII</t>
        </is>
      </c>
      <c r="C31234">
        <f>ROMAN(31233)</f>
        <v/>
      </c>
      <c r="D31234">
        <f>IF(B31234=C31234, "YES", "WRONG")</f>
        <v/>
      </c>
    </row>
    <row r="31235">
      <c r="A31235" t="n">
        <v>31234</v>
      </c>
      <c r="B31235" t="inlineStr">
        <is>
          <t>x̄x̄x̄MCCXXXIV</t>
        </is>
      </c>
      <c r="C31235">
        <f>ROMAN(31234)</f>
        <v/>
      </c>
      <c r="D31235">
        <f>IF(B31235=C31235, "YES", "WRONG")</f>
        <v/>
      </c>
    </row>
    <row r="31236">
      <c r="A31236" t="n">
        <v>31235</v>
      </c>
      <c r="B31236" t="inlineStr">
        <is>
          <t>x̄x̄x̄MCCXXXV</t>
        </is>
      </c>
      <c r="C31236">
        <f>ROMAN(31235)</f>
        <v/>
      </c>
      <c r="D31236">
        <f>IF(B31236=C31236, "YES", "WRONG")</f>
        <v/>
      </c>
    </row>
    <row r="31237">
      <c r="A31237" t="n">
        <v>31236</v>
      </c>
      <c r="B31237" t="inlineStr">
        <is>
          <t>x̄x̄x̄MCCXXXVI</t>
        </is>
      </c>
      <c r="C31237">
        <f>ROMAN(31236)</f>
        <v/>
      </c>
      <c r="D31237">
        <f>IF(B31237=C31237, "YES", "WRONG")</f>
        <v/>
      </c>
    </row>
    <row r="31238">
      <c r="A31238" t="n">
        <v>31237</v>
      </c>
      <c r="B31238" t="inlineStr">
        <is>
          <t>x̄x̄x̄MCCXXXVII</t>
        </is>
      </c>
      <c r="C31238">
        <f>ROMAN(31237)</f>
        <v/>
      </c>
      <c r="D31238">
        <f>IF(B31238=C31238, "YES", "WRONG")</f>
        <v/>
      </c>
    </row>
    <row r="31239">
      <c r="A31239" t="n">
        <v>31238</v>
      </c>
      <c r="B31239" t="inlineStr">
        <is>
          <t>x̄x̄x̄MCCXXXVIII</t>
        </is>
      </c>
      <c r="C31239">
        <f>ROMAN(31238)</f>
        <v/>
      </c>
      <c r="D31239">
        <f>IF(B31239=C31239, "YES", "WRONG")</f>
        <v/>
      </c>
    </row>
    <row r="31240">
      <c r="A31240" t="n">
        <v>31239</v>
      </c>
      <c r="B31240" t="inlineStr">
        <is>
          <t>x̄x̄x̄MCCXXXIX</t>
        </is>
      </c>
      <c r="C31240">
        <f>ROMAN(31239)</f>
        <v/>
      </c>
      <c r="D31240">
        <f>IF(B31240=C31240, "YES", "WRONG")</f>
        <v/>
      </c>
    </row>
    <row r="31241">
      <c r="A31241" t="n">
        <v>31240</v>
      </c>
      <c r="B31241" t="inlineStr">
        <is>
          <t>x̄x̄x̄MCCXL</t>
        </is>
      </c>
      <c r="C31241">
        <f>ROMAN(31240)</f>
        <v/>
      </c>
      <c r="D31241">
        <f>IF(B31241=C31241, "YES", "WRONG")</f>
        <v/>
      </c>
    </row>
    <row r="31242">
      <c r="A31242" t="n">
        <v>31241</v>
      </c>
      <c r="B31242" t="inlineStr">
        <is>
          <t>x̄x̄x̄MCCXLI</t>
        </is>
      </c>
      <c r="C31242">
        <f>ROMAN(31241)</f>
        <v/>
      </c>
      <c r="D31242">
        <f>IF(B31242=C31242, "YES", "WRONG")</f>
        <v/>
      </c>
    </row>
    <row r="31243">
      <c r="A31243" t="n">
        <v>31242</v>
      </c>
      <c r="B31243" t="inlineStr">
        <is>
          <t>x̄x̄x̄MCCXLII</t>
        </is>
      </c>
      <c r="C31243">
        <f>ROMAN(31242)</f>
        <v/>
      </c>
      <c r="D31243">
        <f>IF(B31243=C31243, "YES", "WRONG")</f>
        <v/>
      </c>
    </row>
    <row r="31244">
      <c r="A31244" t="n">
        <v>31243</v>
      </c>
      <c r="B31244" t="inlineStr">
        <is>
          <t>x̄x̄x̄MCCXLIII</t>
        </is>
      </c>
      <c r="C31244">
        <f>ROMAN(31243)</f>
        <v/>
      </c>
      <c r="D31244">
        <f>IF(B31244=C31244, "YES", "WRONG")</f>
        <v/>
      </c>
    </row>
    <row r="31245">
      <c r="A31245" t="n">
        <v>31244</v>
      </c>
      <c r="B31245" t="inlineStr">
        <is>
          <t>x̄x̄x̄MCCXLIV</t>
        </is>
      </c>
      <c r="C31245">
        <f>ROMAN(31244)</f>
        <v/>
      </c>
      <c r="D31245">
        <f>IF(B31245=C31245, "YES", "WRONG")</f>
        <v/>
      </c>
    </row>
    <row r="31246">
      <c r="A31246" t="n">
        <v>31245</v>
      </c>
      <c r="B31246" t="inlineStr">
        <is>
          <t>x̄x̄x̄MCCXLV</t>
        </is>
      </c>
      <c r="C31246">
        <f>ROMAN(31245)</f>
        <v/>
      </c>
      <c r="D31246">
        <f>IF(B31246=C31246, "YES", "WRONG")</f>
        <v/>
      </c>
    </row>
    <row r="31247">
      <c r="A31247" t="n">
        <v>31246</v>
      </c>
      <c r="B31247" t="inlineStr">
        <is>
          <t>x̄x̄x̄MCCXLVI</t>
        </is>
      </c>
      <c r="C31247">
        <f>ROMAN(31246)</f>
        <v/>
      </c>
      <c r="D31247">
        <f>IF(B31247=C31247, "YES", "WRONG")</f>
        <v/>
      </c>
    </row>
    <row r="31248">
      <c r="A31248" t="n">
        <v>31247</v>
      </c>
      <c r="B31248" t="inlineStr">
        <is>
          <t>x̄x̄x̄MCCXLVII</t>
        </is>
      </c>
      <c r="C31248">
        <f>ROMAN(31247)</f>
        <v/>
      </c>
      <c r="D31248">
        <f>IF(B31248=C31248, "YES", "WRONG")</f>
        <v/>
      </c>
    </row>
    <row r="31249">
      <c r="A31249" t="n">
        <v>31248</v>
      </c>
      <c r="B31249" t="inlineStr">
        <is>
          <t>x̄x̄x̄MCCXLVIII</t>
        </is>
      </c>
      <c r="C31249">
        <f>ROMAN(31248)</f>
        <v/>
      </c>
      <c r="D31249">
        <f>IF(B31249=C31249, "YES", "WRONG")</f>
        <v/>
      </c>
    </row>
    <row r="31250">
      <c r="A31250" t="n">
        <v>31249</v>
      </c>
      <c r="B31250" t="inlineStr">
        <is>
          <t>x̄x̄x̄MCCXLIX</t>
        </is>
      </c>
      <c r="C31250">
        <f>ROMAN(31249)</f>
        <v/>
      </c>
      <c r="D31250">
        <f>IF(B31250=C31250, "YES", "WRONG")</f>
        <v/>
      </c>
    </row>
    <row r="31251">
      <c r="A31251" t="n">
        <v>31250</v>
      </c>
      <c r="B31251" t="inlineStr">
        <is>
          <t>x̄x̄x̄MCCL</t>
        </is>
      </c>
      <c r="C31251">
        <f>ROMAN(31250)</f>
        <v/>
      </c>
      <c r="D31251">
        <f>IF(B31251=C31251, "YES", "WRONG")</f>
        <v/>
      </c>
    </row>
    <row r="31252">
      <c r="A31252" t="n">
        <v>31251</v>
      </c>
      <c r="B31252" t="inlineStr">
        <is>
          <t>x̄x̄x̄MCCLI</t>
        </is>
      </c>
      <c r="C31252">
        <f>ROMAN(31251)</f>
        <v/>
      </c>
      <c r="D31252">
        <f>IF(B31252=C31252, "YES", "WRONG")</f>
        <v/>
      </c>
    </row>
    <row r="31253">
      <c r="A31253" t="n">
        <v>31252</v>
      </c>
      <c r="B31253" t="inlineStr">
        <is>
          <t>x̄x̄x̄MCCLII</t>
        </is>
      </c>
      <c r="C31253">
        <f>ROMAN(31252)</f>
        <v/>
      </c>
      <c r="D31253">
        <f>IF(B31253=C31253, "YES", "WRONG")</f>
        <v/>
      </c>
    </row>
    <row r="31254">
      <c r="A31254" t="n">
        <v>31253</v>
      </c>
      <c r="B31254" t="inlineStr">
        <is>
          <t>x̄x̄x̄MCCLIII</t>
        </is>
      </c>
      <c r="C31254">
        <f>ROMAN(31253)</f>
        <v/>
      </c>
      <c r="D31254">
        <f>IF(B31254=C31254, "YES", "WRONG")</f>
        <v/>
      </c>
    </row>
    <row r="31255">
      <c r="A31255" t="n">
        <v>31254</v>
      </c>
      <c r="B31255" t="inlineStr">
        <is>
          <t>x̄x̄x̄MCCLIV</t>
        </is>
      </c>
      <c r="C31255">
        <f>ROMAN(31254)</f>
        <v/>
      </c>
      <c r="D31255">
        <f>IF(B31255=C31255, "YES", "WRONG")</f>
        <v/>
      </c>
    </row>
    <row r="31256">
      <c r="A31256" t="n">
        <v>31255</v>
      </c>
      <c r="B31256" t="inlineStr">
        <is>
          <t>x̄x̄x̄MCCLV</t>
        </is>
      </c>
      <c r="C31256">
        <f>ROMAN(31255)</f>
        <v/>
      </c>
      <c r="D31256">
        <f>IF(B31256=C31256, "YES", "WRONG")</f>
        <v/>
      </c>
    </row>
    <row r="31257">
      <c r="A31257" t="n">
        <v>31256</v>
      </c>
      <c r="B31257" t="inlineStr">
        <is>
          <t>x̄x̄x̄MCCLVI</t>
        </is>
      </c>
      <c r="C31257">
        <f>ROMAN(31256)</f>
        <v/>
      </c>
      <c r="D31257">
        <f>IF(B31257=C31257, "YES", "WRONG")</f>
        <v/>
      </c>
    </row>
    <row r="31258">
      <c r="A31258" t="n">
        <v>31257</v>
      </c>
      <c r="B31258" t="inlineStr">
        <is>
          <t>x̄x̄x̄MCCLVII</t>
        </is>
      </c>
      <c r="C31258">
        <f>ROMAN(31257)</f>
        <v/>
      </c>
      <c r="D31258">
        <f>IF(B31258=C31258, "YES", "WRONG")</f>
        <v/>
      </c>
    </row>
    <row r="31259">
      <c r="A31259" t="n">
        <v>31258</v>
      </c>
      <c r="B31259" t="inlineStr">
        <is>
          <t>x̄x̄x̄MCCLVIII</t>
        </is>
      </c>
      <c r="C31259">
        <f>ROMAN(31258)</f>
        <v/>
      </c>
      <c r="D31259">
        <f>IF(B31259=C31259, "YES", "WRONG")</f>
        <v/>
      </c>
    </row>
    <row r="31260">
      <c r="A31260" t="n">
        <v>31259</v>
      </c>
      <c r="B31260" t="inlineStr">
        <is>
          <t>x̄x̄x̄MCCLIX</t>
        </is>
      </c>
      <c r="C31260">
        <f>ROMAN(31259)</f>
        <v/>
      </c>
      <c r="D31260">
        <f>IF(B31260=C31260, "YES", "WRONG")</f>
        <v/>
      </c>
    </row>
    <row r="31261">
      <c r="A31261" t="n">
        <v>31260</v>
      </c>
      <c r="B31261" t="inlineStr">
        <is>
          <t>x̄x̄x̄MCCLX</t>
        </is>
      </c>
      <c r="C31261">
        <f>ROMAN(31260)</f>
        <v/>
      </c>
      <c r="D31261">
        <f>IF(B31261=C31261, "YES", "WRONG")</f>
        <v/>
      </c>
    </row>
    <row r="31262">
      <c r="A31262" t="n">
        <v>31261</v>
      </c>
      <c r="B31262" t="inlineStr">
        <is>
          <t>x̄x̄x̄MCCLXI</t>
        </is>
      </c>
      <c r="C31262">
        <f>ROMAN(31261)</f>
        <v/>
      </c>
      <c r="D31262">
        <f>IF(B31262=C31262, "YES", "WRONG")</f>
        <v/>
      </c>
    </row>
    <row r="31263">
      <c r="A31263" t="n">
        <v>31262</v>
      </c>
      <c r="B31263" t="inlineStr">
        <is>
          <t>x̄x̄x̄MCCLXII</t>
        </is>
      </c>
      <c r="C31263">
        <f>ROMAN(31262)</f>
        <v/>
      </c>
      <c r="D31263">
        <f>IF(B31263=C31263, "YES", "WRONG")</f>
        <v/>
      </c>
    </row>
    <row r="31264">
      <c r="A31264" t="n">
        <v>31263</v>
      </c>
      <c r="B31264" t="inlineStr">
        <is>
          <t>x̄x̄x̄MCCLXIII</t>
        </is>
      </c>
      <c r="C31264">
        <f>ROMAN(31263)</f>
        <v/>
      </c>
      <c r="D31264">
        <f>IF(B31264=C31264, "YES", "WRONG")</f>
        <v/>
      </c>
    </row>
    <row r="31265">
      <c r="A31265" t="n">
        <v>31264</v>
      </c>
      <c r="B31265" t="inlineStr">
        <is>
          <t>x̄x̄x̄MCCLXIV</t>
        </is>
      </c>
      <c r="C31265">
        <f>ROMAN(31264)</f>
        <v/>
      </c>
      <c r="D31265">
        <f>IF(B31265=C31265, "YES", "WRONG")</f>
        <v/>
      </c>
    </row>
    <row r="31266">
      <c r="A31266" t="n">
        <v>31265</v>
      </c>
      <c r="B31266" t="inlineStr">
        <is>
          <t>x̄x̄x̄MCCLXV</t>
        </is>
      </c>
      <c r="C31266">
        <f>ROMAN(31265)</f>
        <v/>
      </c>
      <c r="D31266">
        <f>IF(B31266=C31266, "YES", "WRONG")</f>
        <v/>
      </c>
    </row>
    <row r="31267">
      <c r="A31267" t="n">
        <v>31266</v>
      </c>
      <c r="B31267" t="inlineStr">
        <is>
          <t>x̄x̄x̄MCCLXVI</t>
        </is>
      </c>
      <c r="C31267">
        <f>ROMAN(31266)</f>
        <v/>
      </c>
      <c r="D31267">
        <f>IF(B31267=C31267, "YES", "WRONG")</f>
        <v/>
      </c>
    </row>
    <row r="31268">
      <c r="A31268" t="n">
        <v>31267</v>
      </c>
      <c r="B31268" t="inlineStr">
        <is>
          <t>x̄x̄x̄MCCLXVII</t>
        </is>
      </c>
      <c r="C31268">
        <f>ROMAN(31267)</f>
        <v/>
      </c>
      <c r="D31268">
        <f>IF(B31268=C31268, "YES", "WRONG")</f>
        <v/>
      </c>
    </row>
    <row r="31269">
      <c r="A31269" t="n">
        <v>31268</v>
      </c>
      <c r="B31269" t="inlineStr">
        <is>
          <t>x̄x̄x̄MCCLXVIII</t>
        </is>
      </c>
      <c r="C31269">
        <f>ROMAN(31268)</f>
        <v/>
      </c>
      <c r="D31269">
        <f>IF(B31269=C31269, "YES", "WRONG")</f>
        <v/>
      </c>
    </row>
    <row r="31270">
      <c r="A31270" t="n">
        <v>31269</v>
      </c>
      <c r="B31270" t="inlineStr">
        <is>
          <t>x̄x̄x̄MCCLXIX</t>
        </is>
      </c>
      <c r="C31270">
        <f>ROMAN(31269)</f>
        <v/>
      </c>
      <c r="D31270">
        <f>IF(B31270=C31270, "YES", "WRONG")</f>
        <v/>
      </c>
    </row>
    <row r="31271">
      <c r="A31271" t="n">
        <v>31270</v>
      </c>
      <c r="B31271" t="inlineStr">
        <is>
          <t>x̄x̄x̄MCCLXX</t>
        </is>
      </c>
      <c r="C31271">
        <f>ROMAN(31270)</f>
        <v/>
      </c>
      <c r="D31271">
        <f>IF(B31271=C31271, "YES", "WRONG")</f>
        <v/>
      </c>
    </row>
    <row r="31272">
      <c r="A31272" t="n">
        <v>31271</v>
      </c>
      <c r="B31272" t="inlineStr">
        <is>
          <t>x̄x̄x̄MCCLXXI</t>
        </is>
      </c>
      <c r="C31272">
        <f>ROMAN(31271)</f>
        <v/>
      </c>
      <c r="D31272">
        <f>IF(B31272=C31272, "YES", "WRONG")</f>
        <v/>
      </c>
    </row>
    <row r="31273">
      <c r="A31273" t="n">
        <v>31272</v>
      </c>
      <c r="B31273" t="inlineStr">
        <is>
          <t>x̄x̄x̄MCCLXXII</t>
        </is>
      </c>
      <c r="C31273">
        <f>ROMAN(31272)</f>
        <v/>
      </c>
      <c r="D31273">
        <f>IF(B31273=C31273, "YES", "WRONG")</f>
        <v/>
      </c>
    </row>
    <row r="31274">
      <c r="A31274" t="n">
        <v>31273</v>
      </c>
      <c r="B31274" t="inlineStr">
        <is>
          <t>x̄x̄x̄MCCLXXIII</t>
        </is>
      </c>
      <c r="C31274">
        <f>ROMAN(31273)</f>
        <v/>
      </c>
      <c r="D31274">
        <f>IF(B31274=C31274, "YES", "WRONG")</f>
        <v/>
      </c>
    </row>
    <row r="31275">
      <c r="A31275" t="n">
        <v>31274</v>
      </c>
      <c r="B31275" t="inlineStr">
        <is>
          <t>x̄x̄x̄MCCLXXIV</t>
        </is>
      </c>
      <c r="C31275">
        <f>ROMAN(31274)</f>
        <v/>
      </c>
      <c r="D31275">
        <f>IF(B31275=C31275, "YES", "WRONG")</f>
        <v/>
      </c>
    </row>
    <row r="31276">
      <c r="A31276" t="n">
        <v>31275</v>
      </c>
      <c r="B31276" t="inlineStr">
        <is>
          <t>x̄x̄x̄MCCLXXV</t>
        </is>
      </c>
      <c r="C31276">
        <f>ROMAN(31275)</f>
        <v/>
      </c>
      <c r="D31276">
        <f>IF(B31276=C31276, "YES", "WRONG")</f>
        <v/>
      </c>
    </row>
    <row r="31277">
      <c r="A31277" t="n">
        <v>31276</v>
      </c>
      <c r="B31277" t="inlineStr">
        <is>
          <t>x̄x̄x̄MCCLXXVI</t>
        </is>
      </c>
      <c r="C31277">
        <f>ROMAN(31276)</f>
        <v/>
      </c>
      <c r="D31277">
        <f>IF(B31277=C31277, "YES", "WRONG")</f>
        <v/>
      </c>
    </row>
    <row r="31278">
      <c r="A31278" t="n">
        <v>31277</v>
      </c>
      <c r="B31278" t="inlineStr">
        <is>
          <t>x̄x̄x̄MCCLXXVII</t>
        </is>
      </c>
      <c r="C31278">
        <f>ROMAN(31277)</f>
        <v/>
      </c>
      <c r="D31278">
        <f>IF(B31278=C31278, "YES", "WRONG")</f>
        <v/>
      </c>
    </row>
    <row r="31279">
      <c r="A31279" t="n">
        <v>31278</v>
      </c>
      <c r="B31279" t="inlineStr">
        <is>
          <t>x̄x̄x̄MCCLXXVIII</t>
        </is>
      </c>
      <c r="C31279">
        <f>ROMAN(31278)</f>
        <v/>
      </c>
      <c r="D31279">
        <f>IF(B31279=C31279, "YES", "WRONG")</f>
        <v/>
      </c>
    </row>
    <row r="31280">
      <c r="A31280" t="n">
        <v>31279</v>
      </c>
      <c r="B31280" t="inlineStr">
        <is>
          <t>x̄x̄x̄MCCLXXIX</t>
        </is>
      </c>
      <c r="C31280">
        <f>ROMAN(31279)</f>
        <v/>
      </c>
      <c r="D31280">
        <f>IF(B31280=C31280, "YES", "WRONG")</f>
        <v/>
      </c>
    </row>
    <row r="31281">
      <c r="A31281" t="n">
        <v>31280</v>
      </c>
      <c r="B31281" t="inlineStr">
        <is>
          <t>x̄x̄x̄MCCLXXX</t>
        </is>
      </c>
      <c r="C31281">
        <f>ROMAN(31280)</f>
        <v/>
      </c>
      <c r="D31281">
        <f>IF(B31281=C31281, "YES", "WRONG")</f>
        <v/>
      </c>
    </row>
    <row r="31282">
      <c r="A31282" t="n">
        <v>31281</v>
      </c>
      <c r="B31282" t="inlineStr">
        <is>
          <t>x̄x̄x̄MCCLXXXI</t>
        </is>
      </c>
      <c r="C31282">
        <f>ROMAN(31281)</f>
        <v/>
      </c>
      <c r="D31282">
        <f>IF(B31282=C31282, "YES", "WRONG")</f>
        <v/>
      </c>
    </row>
    <row r="31283">
      <c r="A31283" t="n">
        <v>31282</v>
      </c>
      <c r="B31283" t="inlineStr">
        <is>
          <t>x̄x̄x̄MCCLXXXII</t>
        </is>
      </c>
      <c r="C31283">
        <f>ROMAN(31282)</f>
        <v/>
      </c>
      <c r="D31283">
        <f>IF(B31283=C31283, "YES", "WRONG")</f>
        <v/>
      </c>
    </row>
    <row r="31284">
      <c r="A31284" t="n">
        <v>31283</v>
      </c>
      <c r="B31284" t="inlineStr">
        <is>
          <t>x̄x̄x̄MCCLXXXIII</t>
        </is>
      </c>
      <c r="C31284">
        <f>ROMAN(31283)</f>
        <v/>
      </c>
      <c r="D31284">
        <f>IF(B31284=C31284, "YES", "WRONG")</f>
        <v/>
      </c>
    </row>
    <row r="31285">
      <c r="A31285" t="n">
        <v>31284</v>
      </c>
      <c r="B31285" t="inlineStr">
        <is>
          <t>x̄x̄x̄MCCLXXXIV</t>
        </is>
      </c>
      <c r="C31285">
        <f>ROMAN(31284)</f>
        <v/>
      </c>
      <c r="D31285">
        <f>IF(B31285=C31285, "YES", "WRONG")</f>
        <v/>
      </c>
    </row>
    <row r="31286">
      <c r="A31286" t="n">
        <v>31285</v>
      </c>
      <c r="B31286" t="inlineStr">
        <is>
          <t>x̄x̄x̄MCCLXXXV</t>
        </is>
      </c>
      <c r="C31286">
        <f>ROMAN(31285)</f>
        <v/>
      </c>
      <c r="D31286">
        <f>IF(B31286=C31286, "YES", "WRONG")</f>
        <v/>
      </c>
    </row>
    <row r="31287">
      <c r="A31287" t="n">
        <v>31286</v>
      </c>
      <c r="B31287" t="inlineStr">
        <is>
          <t>x̄x̄x̄MCCLXXXVI</t>
        </is>
      </c>
      <c r="C31287">
        <f>ROMAN(31286)</f>
        <v/>
      </c>
      <c r="D31287">
        <f>IF(B31287=C31287, "YES", "WRONG")</f>
        <v/>
      </c>
    </row>
    <row r="31288">
      <c r="A31288" t="n">
        <v>31287</v>
      </c>
      <c r="B31288" t="inlineStr">
        <is>
          <t>x̄x̄x̄MCCLXXXVII</t>
        </is>
      </c>
      <c r="C31288">
        <f>ROMAN(31287)</f>
        <v/>
      </c>
      <c r="D31288">
        <f>IF(B31288=C31288, "YES", "WRONG")</f>
        <v/>
      </c>
    </row>
    <row r="31289">
      <c r="A31289" t="n">
        <v>31288</v>
      </c>
      <c r="B31289" t="inlineStr">
        <is>
          <t>x̄x̄x̄MCCLXXXVIII</t>
        </is>
      </c>
      <c r="C31289">
        <f>ROMAN(31288)</f>
        <v/>
      </c>
      <c r="D31289">
        <f>IF(B31289=C31289, "YES", "WRONG")</f>
        <v/>
      </c>
    </row>
    <row r="31290">
      <c r="A31290" t="n">
        <v>31289</v>
      </c>
      <c r="B31290" t="inlineStr">
        <is>
          <t>x̄x̄x̄MCCLXXXIX</t>
        </is>
      </c>
      <c r="C31290">
        <f>ROMAN(31289)</f>
        <v/>
      </c>
      <c r="D31290">
        <f>IF(B31290=C31290, "YES", "WRONG")</f>
        <v/>
      </c>
    </row>
    <row r="31291">
      <c r="A31291" t="n">
        <v>31290</v>
      </c>
      <c r="B31291" t="inlineStr">
        <is>
          <t>x̄x̄x̄MCCXC</t>
        </is>
      </c>
      <c r="C31291">
        <f>ROMAN(31290)</f>
        <v/>
      </c>
      <c r="D31291">
        <f>IF(B31291=C31291, "YES", "WRONG")</f>
        <v/>
      </c>
    </row>
    <row r="31292">
      <c r="A31292" t="n">
        <v>31291</v>
      </c>
      <c r="B31292" t="inlineStr">
        <is>
          <t>x̄x̄x̄MCCXCI</t>
        </is>
      </c>
      <c r="C31292">
        <f>ROMAN(31291)</f>
        <v/>
      </c>
      <c r="D31292">
        <f>IF(B31292=C31292, "YES", "WRONG")</f>
        <v/>
      </c>
    </row>
    <row r="31293">
      <c r="A31293" t="n">
        <v>31292</v>
      </c>
      <c r="B31293" t="inlineStr">
        <is>
          <t>x̄x̄x̄MCCXCII</t>
        </is>
      </c>
      <c r="C31293">
        <f>ROMAN(31292)</f>
        <v/>
      </c>
      <c r="D31293">
        <f>IF(B31293=C31293, "YES", "WRONG")</f>
        <v/>
      </c>
    </row>
    <row r="31294">
      <c r="A31294" t="n">
        <v>31293</v>
      </c>
      <c r="B31294" t="inlineStr">
        <is>
          <t>x̄x̄x̄MCCXCIII</t>
        </is>
      </c>
      <c r="C31294">
        <f>ROMAN(31293)</f>
        <v/>
      </c>
      <c r="D31294">
        <f>IF(B31294=C31294, "YES", "WRONG")</f>
        <v/>
      </c>
    </row>
    <row r="31295">
      <c r="A31295" t="n">
        <v>31294</v>
      </c>
      <c r="B31295" t="inlineStr">
        <is>
          <t>x̄x̄x̄MCCXCIV</t>
        </is>
      </c>
      <c r="C31295">
        <f>ROMAN(31294)</f>
        <v/>
      </c>
      <c r="D31295">
        <f>IF(B31295=C31295, "YES", "WRONG")</f>
        <v/>
      </c>
    </row>
    <row r="31296">
      <c r="A31296" t="n">
        <v>31295</v>
      </c>
      <c r="B31296" t="inlineStr">
        <is>
          <t>x̄x̄x̄MCCXCV</t>
        </is>
      </c>
      <c r="C31296">
        <f>ROMAN(31295)</f>
        <v/>
      </c>
      <c r="D31296">
        <f>IF(B31296=C31296, "YES", "WRONG")</f>
        <v/>
      </c>
    </row>
    <row r="31297">
      <c r="A31297" t="n">
        <v>31296</v>
      </c>
      <c r="B31297" t="inlineStr">
        <is>
          <t>x̄x̄x̄MCCXCVI</t>
        </is>
      </c>
      <c r="C31297">
        <f>ROMAN(31296)</f>
        <v/>
      </c>
      <c r="D31297">
        <f>IF(B31297=C31297, "YES", "WRONG")</f>
        <v/>
      </c>
    </row>
    <row r="31298">
      <c r="A31298" t="n">
        <v>31297</v>
      </c>
      <c r="B31298" t="inlineStr">
        <is>
          <t>x̄x̄x̄MCCXCVII</t>
        </is>
      </c>
      <c r="C31298">
        <f>ROMAN(31297)</f>
        <v/>
      </c>
      <c r="D31298">
        <f>IF(B31298=C31298, "YES", "WRONG")</f>
        <v/>
      </c>
    </row>
    <row r="31299">
      <c r="A31299" t="n">
        <v>31298</v>
      </c>
      <c r="B31299" t="inlineStr">
        <is>
          <t>x̄x̄x̄MCCXCVIII</t>
        </is>
      </c>
      <c r="C31299">
        <f>ROMAN(31298)</f>
        <v/>
      </c>
      <c r="D31299">
        <f>IF(B31299=C31299, "YES", "WRONG")</f>
        <v/>
      </c>
    </row>
    <row r="31300">
      <c r="A31300" t="n">
        <v>31299</v>
      </c>
      <c r="B31300" t="inlineStr">
        <is>
          <t>x̄x̄x̄MCCXCIX</t>
        </is>
      </c>
      <c r="C31300">
        <f>ROMAN(31299)</f>
        <v/>
      </c>
      <c r="D31300">
        <f>IF(B31300=C31300, "YES", "WRONG")</f>
        <v/>
      </c>
    </row>
    <row r="31301">
      <c r="A31301" t="n">
        <v>31300</v>
      </c>
      <c r="B31301" t="inlineStr">
        <is>
          <t>x̄x̄x̄MCCC</t>
        </is>
      </c>
      <c r="C31301">
        <f>ROMAN(31300)</f>
        <v/>
      </c>
      <c r="D31301">
        <f>IF(B31301=C31301, "YES", "WRONG")</f>
        <v/>
      </c>
    </row>
    <row r="31302">
      <c r="A31302" t="n">
        <v>31301</v>
      </c>
      <c r="B31302" t="inlineStr">
        <is>
          <t>x̄x̄x̄MCCCI</t>
        </is>
      </c>
      <c r="C31302">
        <f>ROMAN(31301)</f>
        <v/>
      </c>
      <c r="D31302">
        <f>IF(B31302=C31302, "YES", "WRONG")</f>
        <v/>
      </c>
    </row>
    <row r="31303">
      <c r="A31303" t="n">
        <v>31302</v>
      </c>
      <c r="B31303" t="inlineStr">
        <is>
          <t>x̄x̄x̄MCCCII</t>
        </is>
      </c>
      <c r="C31303">
        <f>ROMAN(31302)</f>
        <v/>
      </c>
      <c r="D31303">
        <f>IF(B31303=C31303, "YES", "WRONG")</f>
        <v/>
      </c>
    </row>
    <row r="31304">
      <c r="A31304" t="n">
        <v>31303</v>
      </c>
      <c r="B31304" t="inlineStr">
        <is>
          <t>x̄x̄x̄MCCCIII</t>
        </is>
      </c>
      <c r="C31304">
        <f>ROMAN(31303)</f>
        <v/>
      </c>
      <c r="D31304">
        <f>IF(B31304=C31304, "YES", "WRONG")</f>
        <v/>
      </c>
    </row>
    <row r="31305">
      <c r="A31305" t="n">
        <v>31304</v>
      </c>
      <c r="B31305" t="inlineStr">
        <is>
          <t>x̄x̄x̄MCCCIV</t>
        </is>
      </c>
      <c r="C31305">
        <f>ROMAN(31304)</f>
        <v/>
      </c>
      <c r="D31305">
        <f>IF(B31305=C31305, "YES", "WRONG")</f>
        <v/>
      </c>
    </row>
    <row r="31306">
      <c r="A31306" t="n">
        <v>31305</v>
      </c>
      <c r="B31306" t="inlineStr">
        <is>
          <t>x̄x̄x̄MCCCV</t>
        </is>
      </c>
      <c r="C31306">
        <f>ROMAN(31305)</f>
        <v/>
      </c>
      <c r="D31306">
        <f>IF(B31306=C31306, "YES", "WRONG")</f>
        <v/>
      </c>
    </row>
    <row r="31307">
      <c r="A31307" t="n">
        <v>31306</v>
      </c>
      <c r="B31307" t="inlineStr">
        <is>
          <t>x̄x̄x̄MCCCVI</t>
        </is>
      </c>
      <c r="C31307">
        <f>ROMAN(31306)</f>
        <v/>
      </c>
      <c r="D31307">
        <f>IF(B31307=C31307, "YES", "WRONG")</f>
        <v/>
      </c>
    </row>
    <row r="31308">
      <c r="A31308" t="n">
        <v>31307</v>
      </c>
      <c r="B31308" t="inlineStr">
        <is>
          <t>x̄x̄x̄MCCCVII</t>
        </is>
      </c>
      <c r="C31308">
        <f>ROMAN(31307)</f>
        <v/>
      </c>
      <c r="D31308">
        <f>IF(B31308=C31308, "YES", "WRONG")</f>
        <v/>
      </c>
    </row>
    <row r="31309">
      <c r="A31309" t="n">
        <v>31308</v>
      </c>
      <c r="B31309" t="inlineStr">
        <is>
          <t>x̄x̄x̄MCCCVIII</t>
        </is>
      </c>
      <c r="C31309">
        <f>ROMAN(31308)</f>
        <v/>
      </c>
      <c r="D31309">
        <f>IF(B31309=C31309, "YES", "WRONG")</f>
        <v/>
      </c>
    </row>
    <row r="31310">
      <c r="A31310" t="n">
        <v>31309</v>
      </c>
      <c r="B31310" t="inlineStr">
        <is>
          <t>x̄x̄x̄MCCCIX</t>
        </is>
      </c>
      <c r="C31310">
        <f>ROMAN(31309)</f>
        <v/>
      </c>
      <c r="D31310">
        <f>IF(B31310=C31310, "YES", "WRONG")</f>
        <v/>
      </c>
    </row>
    <row r="31311">
      <c r="A31311" t="n">
        <v>31310</v>
      </c>
      <c r="B31311" t="inlineStr">
        <is>
          <t>x̄x̄x̄MCCCX</t>
        </is>
      </c>
      <c r="C31311">
        <f>ROMAN(31310)</f>
        <v/>
      </c>
      <c r="D31311">
        <f>IF(B31311=C31311, "YES", "WRONG")</f>
        <v/>
      </c>
    </row>
    <row r="31312">
      <c r="A31312" t="n">
        <v>31311</v>
      </c>
      <c r="B31312" t="inlineStr">
        <is>
          <t>x̄x̄x̄MCCCXI</t>
        </is>
      </c>
      <c r="C31312">
        <f>ROMAN(31311)</f>
        <v/>
      </c>
      <c r="D31312">
        <f>IF(B31312=C31312, "YES", "WRONG")</f>
        <v/>
      </c>
    </row>
    <row r="31313">
      <c r="A31313" t="n">
        <v>31312</v>
      </c>
      <c r="B31313" t="inlineStr">
        <is>
          <t>x̄x̄x̄MCCCXII</t>
        </is>
      </c>
      <c r="C31313">
        <f>ROMAN(31312)</f>
        <v/>
      </c>
      <c r="D31313">
        <f>IF(B31313=C31313, "YES", "WRONG")</f>
        <v/>
      </c>
    </row>
    <row r="31314">
      <c r="A31314" t="n">
        <v>31313</v>
      </c>
      <c r="B31314" t="inlineStr">
        <is>
          <t>x̄x̄x̄MCCCXIII</t>
        </is>
      </c>
      <c r="C31314">
        <f>ROMAN(31313)</f>
        <v/>
      </c>
      <c r="D31314">
        <f>IF(B31314=C31314, "YES", "WRONG")</f>
        <v/>
      </c>
    </row>
    <row r="31315">
      <c r="A31315" t="n">
        <v>31314</v>
      </c>
      <c r="B31315" t="inlineStr">
        <is>
          <t>x̄x̄x̄MCCCXIV</t>
        </is>
      </c>
      <c r="C31315">
        <f>ROMAN(31314)</f>
        <v/>
      </c>
      <c r="D31315">
        <f>IF(B31315=C31315, "YES", "WRONG")</f>
        <v/>
      </c>
    </row>
    <row r="31316">
      <c r="A31316" t="n">
        <v>31315</v>
      </c>
      <c r="B31316" t="inlineStr">
        <is>
          <t>x̄x̄x̄MCCCXV</t>
        </is>
      </c>
      <c r="C31316">
        <f>ROMAN(31315)</f>
        <v/>
      </c>
      <c r="D31316">
        <f>IF(B31316=C31316, "YES", "WRONG")</f>
        <v/>
      </c>
    </row>
    <row r="31317">
      <c r="A31317" t="n">
        <v>31316</v>
      </c>
      <c r="B31317" t="inlineStr">
        <is>
          <t>x̄x̄x̄MCCCXVI</t>
        </is>
      </c>
      <c r="C31317">
        <f>ROMAN(31316)</f>
        <v/>
      </c>
      <c r="D31317">
        <f>IF(B31317=C31317, "YES", "WRONG")</f>
        <v/>
      </c>
    </row>
    <row r="31318">
      <c r="A31318" t="n">
        <v>31317</v>
      </c>
      <c r="B31318" t="inlineStr">
        <is>
          <t>x̄x̄x̄MCCCXVII</t>
        </is>
      </c>
      <c r="C31318">
        <f>ROMAN(31317)</f>
        <v/>
      </c>
      <c r="D31318">
        <f>IF(B31318=C31318, "YES", "WRONG")</f>
        <v/>
      </c>
    </row>
    <row r="31319">
      <c r="A31319" t="n">
        <v>31318</v>
      </c>
      <c r="B31319" t="inlineStr">
        <is>
          <t>x̄x̄x̄MCCCXVIII</t>
        </is>
      </c>
      <c r="C31319">
        <f>ROMAN(31318)</f>
        <v/>
      </c>
      <c r="D31319">
        <f>IF(B31319=C31319, "YES", "WRONG")</f>
        <v/>
      </c>
    </row>
    <row r="31320">
      <c r="A31320" t="n">
        <v>31319</v>
      </c>
      <c r="B31320" t="inlineStr">
        <is>
          <t>x̄x̄x̄MCCCXIX</t>
        </is>
      </c>
      <c r="C31320">
        <f>ROMAN(31319)</f>
        <v/>
      </c>
      <c r="D31320">
        <f>IF(B31320=C31320, "YES", "WRONG")</f>
        <v/>
      </c>
    </row>
    <row r="31321">
      <c r="A31321" t="n">
        <v>31320</v>
      </c>
      <c r="B31321" t="inlineStr">
        <is>
          <t>x̄x̄x̄MCCCXX</t>
        </is>
      </c>
      <c r="C31321">
        <f>ROMAN(31320)</f>
        <v/>
      </c>
      <c r="D31321">
        <f>IF(B31321=C31321, "YES", "WRONG")</f>
        <v/>
      </c>
    </row>
    <row r="31322">
      <c r="A31322" t="n">
        <v>31321</v>
      </c>
      <c r="B31322" t="inlineStr">
        <is>
          <t>x̄x̄x̄MCCCXXI</t>
        </is>
      </c>
      <c r="C31322">
        <f>ROMAN(31321)</f>
        <v/>
      </c>
      <c r="D31322">
        <f>IF(B31322=C31322, "YES", "WRONG")</f>
        <v/>
      </c>
    </row>
    <row r="31323">
      <c r="A31323" t="n">
        <v>31322</v>
      </c>
      <c r="B31323" t="inlineStr">
        <is>
          <t>x̄x̄x̄MCCCXXII</t>
        </is>
      </c>
      <c r="C31323">
        <f>ROMAN(31322)</f>
        <v/>
      </c>
      <c r="D31323">
        <f>IF(B31323=C31323, "YES", "WRONG")</f>
        <v/>
      </c>
    </row>
    <row r="31324">
      <c r="A31324" t="n">
        <v>31323</v>
      </c>
      <c r="B31324" t="inlineStr">
        <is>
          <t>x̄x̄x̄MCCCXXIII</t>
        </is>
      </c>
      <c r="C31324">
        <f>ROMAN(31323)</f>
        <v/>
      </c>
      <c r="D31324">
        <f>IF(B31324=C31324, "YES", "WRONG")</f>
        <v/>
      </c>
    </row>
    <row r="31325">
      <c r="A31325" t="n">
        <v>31324</v>
      </c>
      <c r="B31325" t="inlineStr">
        <is>
          <t>x̄x̄x̄MCCCXXIV</t>
        </is>
      </c>
      <c r="C31325">
        <f>ROMAN(31324)</f>
        <v/>
      </c>
      <c r="D31325">
        <f>IF(B31325=C31325, "YES", "WRONG")</f>
        <v/>
      </c>
    </row>
    <row r="31326">
      <c r="A31326" t="n">
        <v>31325</v>
      </c>
      <c r="B31326" t="inlineStr">
        <is>
          <t>x̄x̄x̄MCCCXXV</t>
        </is>
      </c>
      <c r="C31326">
        <f>ROMAN(31325)</f>
        <v/>
      </c>
      <c r="D31326">
        <f>IF(B31326=C31326, "YES", "WRONG")</f>
        <v/>
      </c>
    </row>
    <row r="31327">
      <c r="A31327" t="n">
        <v>31326</v>
      </c>
      <c r="B31327" t="inlineStr">
        <is>
          <t>x̄x̄x̄MCCCXXVI</t>
        </is>
      </c>
      <c r="C31327">
        <f>ROMAN(31326)</f>
        <v/>
      </c>
      <c r="D31327">
        <f>IF(B31327=C31327, "YES", "WRONG")</f>
        <v/>
      </c>
    </row>
    <row r="31328">
      <c r="A31328" t="n">
        <v>31327</v>
      </c>
      <c r="B31328" t="inlineStr">
        <is>
          <t>x̄x̄x̄MCCCXXVII</t>
        </is>
      </c>
      <c r="C31328">
        <f>ROMAN(31327)</f>
        <v/>
      </c>
      <c r="D31328">
        <f>IF(B31328=C31328, "YES", "WRONG")</f>
        <v/>
      </c>
    </row>
    <row r="31329">
      <c r="A31329" t="n">
        <v>31328</v>
      </c>
      <c r="B31329" t="inlineStr">
        <is>
          <t>x̄x̄x̄MCCCXXVIII</t>
        </is>
      </c>
      <c r="C31329">
        <f>ROMAN(31328)</f>
        <v/>
      </c>
      <c r="D31329">
        <f>IF(B31329=C31329, "YES", "WRONG")</f>
        <v/>
      </c>
    </row>
    <row r="31330">
      <c r="A31330" t="n">
        <v>31329</v>
      </c>
      <c r="B31330" t="inlineStr">
        <is>
          <t>x̄x̄x̄MCCCXXIX</t>
        </is>
      </c>
      <c r="C31330">
        <f>ROMAN(31329)</f>
        <v/>
      </c>
      <c r="D31330">
        <f>IF(B31330=C31330, "YES", "WRONG")</f>
        <v/>
      </c>
    </row>
    <row r="31331">
      <c r="A31331" t="n">
        <v>31330</v>
      </c>
      <c r="B31331" t="inlineStr">
        <is>
          <t>x̄x̄x̄MCCCXXX</t>
        </is>
      </c>
      <c r="C31331">
        <f>ROMAN(31330)</f>
        <v/>
      </c>
      <c r="D31331">
        <f>IF(B31331=C31331, "YES", "WRONG")</f>
        <v/>
      </c>
    </row>
    <row r="31332">
      <c r="A31332" t="n">
        <v>31331</v>
      </c>
      <c r="B31332" t="inlineStr">
        <is>
          <t>x̄x̄x̄MCCCXXXI</t>
        </is>
      </c>
      <c r="C31332">
        <f>ROMAN(31331)</f>
        <v/>
      </c>
      <c r="D31332">
        <f>IF(B31332=C31332, "YES", "WRONG")</f>
        <v/>
      </c>
    </row>
    <row r="31333">
      <c r="A31333" t="n">
        <v>31332</v>
      </c>
      <c r="B31333" t="inlineStr">
        <is>
          <t>x̄x̄x̄MCCCXXXII</t>
        </is>
      </c>
      <c r="C31333">
        <f>ROMAN(31332)</f>
        <v/>
      </c>
      <c r="D31333">
        <f>IF(B31333=C31333, "YES", "WRONG")</f>
        <v/>
      </c>
    </row>
    <row r="31334">
      <c r="A31334" t="n">
        <v>31333</v>
      </c>
      <c r="B31334" t="inlineStr">
        <is>
          <t>x̄x̄x̄MCCCXXXIII</t>
        </is>
      </c>
      <c r="C31334">
        <f>ROMAN(31333)</f>
        <v/>
      </c>
      <c r="D31334">
        <f>IF(B31334=C31334, "YES", "WRONG")</f>
        <v/>
      </c>
    </row>
    <row r="31335">
      <c r="A31335" t="n">
        <v>31334</v>
      </c>
      <c r="B31335" t="inlineStr">
        <is>
          <t>x̄x̄x̄MCCCXXXIV</t>
        </is>
      </c>
      <c r="C31335">
        <f>ROMAN(31334)</f>
        <v/>
      </c>
      <c r="D31335">
        <f>IF(B31335=C31335, "YES", "WRONG")</f>
        <v/>
      </c>
    </row>
    <row r="31336">
      <c r="A31336" t="n">
        <v>31335</v>
      </c>
      <c r="B31336" t="inlineStr">
        <is>
          <t>x̄x̄x̄MCCCXXXV</t>
        </is>
      </c>
      <c r="C31336">
        <f>ROMAN(31335)</f>
        <v/>
      </c>
      <c r="D31336">
        <f>IF(B31336=C31336, "YES", "WRONG")</f>
        <v/>
      </c>
    </row>
    <row r="31337">
      <c r="A31337" t="n">
        <v>31336</v>
      </c>
      <c r="B31337" t="inlineStr">
        <is>
          <t>x̄x̄x̄MCCCXXXVI</t>
        </is>
      </c>
      <c r="C31337">
        <f>ROMAN(31336)</f>
        <v/>
      </c>
      <c r="D31337">
        <f>IF(B31337=C31337, "YES", "WRONG")</f>
        <v/>
      </c>
    </row>
    <row r="31338">
      <c r="A31338" t="n">
        <v>31337</v>
      </c>
      <c r="B31338" t="inlineStr">
        <is>
          <t>x̄x̄x̄MCCCXXXVII</t>
        </is>
      </c>
      <c r="C31338">
        <f>ROMAN(31337)</f>
        <v/>
      </c>
      <c r="D31338">
        <f>IF(B31338=C31338, "YES", "WRONG")</f>
        <v/>
      </c>
    </row>
    <row r="31339">
      <c r="A31339" t="n">
        <v>31338</v>
      </c>
      <c r="B31339" t="inlineStr">
        <is>
          <t>x̄x̄x̄MCCCXXXVIII</t>
        </is>
      </c>
      <c r="C31339">
        <f>ROMAN(31338)</f>
        <v/>
      </c>
      <c r="D31339">
        <f>IF(B31339=C31339, "YES", "WRONG")</f>
        <v/>
      </c>
    </row>
    <row r="31340">
      <c r="A31340" t="n">
        <v>31339</v>
      </c>
      <c r="B31340" t="inlineStr">
        <is>
          <t>x̄x̄x̄MCCCXXXIX</t>
        </is>
      </c>
      <c r="C31340">
        <f>ROMAN(31339)</f>
        <v/>
      </c>
      <c r="D31340">
        <f>IF(B31340=C31340, "YES", "WRONG")</f>
        <v/>
      </c>
    </row>
    <row r="31341">
      <c r="A31341" t="n">
        <v>31340</v>
      </c>
      <c r="B31341" t="inlineStr">
        <is>
          <t>x̄x̄x̄MCCCXL</t>
        </is>
      </c>
      <c r="C31341">
        <f>ROMAN(31340)</f>
        <v/>
      </c>
      <c r="D31341">
        <f>IF(B31341=C31341, "YES", "WRONG")</f>
        <v/>
      </c>
    </row>
    <row r="31342">
      <c r="A31342" t="n">
        <v>31341</v>
      </c>
      <c r="B31342" t="inlineStr">
        <is>
          <t>x̄x̄x̄MCCCXLI</t>
        </is>
      </c>
      <c r="C31342">
        <f>ROMAN(31341)</f>
        <v/>
      </c>
      <c r="D31342">
        <f>IF(B31342=C31342, "YES", "WRONG")</f>
        <v/>
      </c>
    </row>
    <row r="31343">
      <c r="A31343" t="n">
        <v>31342</v>
      </c>
      <c r="B31343" t="inlineStr">
        <is>
          <t>x̄x̄x̄MCCCXLII</t>
        </is>
      </c>
      <c r="C31343">
        <f>ROMAN(31342)</f>
        <v/>
      </c>
      <c r="D31343">
        <f>IF(B31343=C31343, "YES", "WRONG")</f>
        <v/>
      </c>
    </row>
    <row r="31344">
      <c r="A31344" t="n">
        <v>31343</v>
      </c>
      <c r="B31344" t="inlineStr">
        <is>
          <t>x̄x̄x̄MCCCXLIII</t>
        </is>
      </c>
      <c r="C31344">
        <f>ROMAN(31343)</f>
        <v/>
      </c>
      <c r="D31344">
        <f>IF(B31344=C31344, "YES", "WRONG")</f>
        <v/>
      </c>
    </row>
    <row r="31345">
      <c r="A31345" t="n">
        <v>31344</v>
      </c>
      <c r="B31345" t="inlineStr">
        <is>
          <t>x̄x̄x̄MCCCXLIV</t>
        </is>
      </c>
      <c r="C31345">
        <f>ROMAN(31344)</f>
        <v/>
      </c>
      <c r="D31345">
        <f>IF(B31345=C31345, "YES", "WRONG")</f>
        <v/>
      </c>
    </row>
    <row r="31346">
      <c r="A31346" t="n">
        <v>31345</v>
      </c>
      <c r="B31346" t="inlineStr">
        <is>
          <t>x̄x̄x̄MCCCXLV</t>
        </is>
      </c>
      <c r="C31346">
        <f>ROMAN(31345)</f>
        <v/>
      </c>
      <c r="D31346">
        <f>IF(B31346=C31346, "YES", "WRONG")</f>
        <v/>
      </c>
    </row>
    <row r="31347">
      <c r="A31347" t="n">
        <v>31346</v>
      </c>
      <c r="B31347" t="inlineStr">
        <is>
          <t>x̄x̄x̄MCCCXLVI</t>
        </is>
      </c>
      <c r="C31347">
        <f>ROMAN(31346)</f>
        <v/>
      </c>
      <c r="D31347">
        <f>IF(B31347=C31347, "YES", "WRONG")</f>
        <v/>
      </c>
    </row>
    <row r="31348">
      <c r="A31348" t="n">
        <v>31347</v>
      </c>
      <c r="B31348" t="inlineStr">
        <is>
          <t>x̄x̄x̄MCCCXLVII</t>
        </is>
      </c>
      <c r="C31348">
        <f>ROMAN(31347)</f>
        <v/>
      </c>
      <c r="D31348">
        <f>IF(B31348=C31348, "YES", "WRONG")</f>
        <v/>
      </c>
    </row>
    <row r="31349">
      <c r="A31349" t="n">
        <v>31348</v>
      </c>
      <c r="B31349" t="inlineStr">
        <is>
          <t>x̄x̄x̄MCCCXLVIII</t>
        </is>
      </c>
      <c r="C31349">
        <f>ROMAN(31348)</f>
        <v/>
      </c>
      <c r="D31349">
        <f>IF(B31349=C31349, "YES", "WRONG")</f>
        <v/>
      </c>
    </row>
    <row r="31350">
      <c r="A31350" t="n">
        <v>31349</v>
      </c>
      <c r="B31350" t="inlineStr">
        <is>
          <t>x̄x̄x̄MCCCXLIX</t>
        </is>
      </c>
      <c r="C31350">
        <f>ROMAN(31349)</f>
        <v/>
      </c>
      <c r="D31350">
        <f>IF(B31350=C31350, "YES", "WRONG")</f>
        <v/>
      </c>
    </row>
    <row r="31351">
      <c r="A31351" t="n">
        <v>31350</v>
      </c>
      <c r="B31351" t="inlineStr">
        <is>
          <t>x̄x̄x̄MCCCL</t>
        </is>
      </c>
      <c r="C31351">
        <f>ROMAN(31350)</f>
        <v/>
      </c>
      <c r="D31351">
        <f>IF(B31351=C31351, "YES", "WRONG")</f>
        <v/>
      </c>
    </row>
    <row r="31352">
      <c r="A31352" t="n">
        <v>31351</v>
      </c>
      <c r="B31352" t="inlineStr">
        <is>
          <t>x̄x̄x̄MCCCLI</t>
        </is>
      </c>
      <c r="C31352">
        <f>ROMAN(31351)</f>
        <v/>
      </c>
      <c r="D31352">
        <f>IF(B31352=C31352, "YES", "WRONG")</f>
        <v/>
      </c>
    </row>
    <row r="31353">
      <c r="A31353" t="n">
        <v>31352</v>
      </c>
      <c r="B31353" t="inlineStr">
        <is>
          <t>x̄x̄x̄MCCCLII</t>
        </is>
      </c>
      <c r="C31353">
        <f>ROMAN(31352)</f>
        <v/>
      </c>
      <c r="D31353">
        <f>IF(B31353=C31353, "YES", "WRONG")</f>
        <v/>
      </c>
    </row>
    <row r="31354">
      <c r="A31354" t="n">
        <v>31353</v>
      </c>
      <c r="B31354" t="inlineStr">
        <is>
          <t>x̄x̄x̄MCCCLIII</t>
        </is>
      </c>
      <c r="C31354">
        <f>ROMAN(31353)</f>
        <v/>
      </c>
      <c r="D31354">
        <f>IF(B31354=C31354, "YES", "WRONG")</f>
        <v/>
      </c>
    </row>
    <row r="31355">
      <c r="A31355" t="n">
        <v>31354</v>
      </c>
      <c r="B31355" t="inlineStr">
        <is>
          <t>x̄x̄x̄MCCCLIV</t>
        </is>
      </c>
      <c r="C31355">
        <f>ROMAN(31354)</f>
        <v/>
      </c>
      <c r="D31355">
        <f>IF(B31355=C31355, "YES", "WRONG")</f>
        <v/>
      </c>
    </row>
    <row r="31356">
      <c r="A31356" t="n">
        <v>31355</v>
      </c>
      <c r="B31356" t="inlineStr">
        <is>
          <t>x̄x̄x̄MCCCLV</t>
        </is>
      </c>
      <c r="C31356">
        <f>ROMAN(31355)</f>
        <v/>
      </c>
      <c r="D31356">
        <f>IF(B31356=C31356, "YES", "WRONG")</f>
        <v/>
      </c>
    </row>
    <row r="31357">
      <c r="A31357" t="n">
        <v>31356</v>
      </c>
      <c r="B31357" t="inlineStr">
        <is>
          <t>x̄x̄x̄MCCCLVI</t>
        </is>
      </c>
      <c r="C31357">
        <f>ROMAN(31356)</f>
        <v/>
      </c>
      <c r="D31357">
        <f>IF(B31357=C31357, "YES", "WRONG")</f>
        <v/>
      </c>
    </row>
    <row r="31358">
      <c r="A31358" t="n">
        <v>31357</v>
      </c>
      <c r="B31358" t="inlineStr">
        <is>
          <t>x̄x̄x̄MCCCLVII</t>
        </is>
      </c>
      <c r="C31358">
        <f>ROMAN(31357)</f>
        <v/>
      </c>
      <c r="D31358">
        <f>IF(B31358=C31358, "YES", "WRONG")</f>
        <v/>
      </c>
    </row>
    <row r="31359">
      <c r="A31359" t="n">
        <v>31358</v>
      </c>
      <c r="B31359" t="inlineStr">
        <is>
          <t>x̄x̄x̄MCCCLVIII</t>
        </is>
      </c>
      <c r="C31359">
        <f>ROMAN(31358)</f>
        <v/>
      </c>
      <c r="D31359">
        <f>IF(B31359=C31359, "YES", "WRONG")</f>
        <v/>
      </c>
    </row>
    <row r="31360">
      <c r="A31360" t="n">
        <v>31359</v>
      </c>
      <c r="B31360" t="inlineStr">
        <is>
          <t>x̄x̄x̄MCCCLIX</t>
        </is>
      </c>
      <c r="C31360">
        <f>ROMAN(31359)</f>
        <v/>
      </c>
      <c r="D31360">
        <f>IF(B31360=C31360, "YES", "WRONG")</f>
        <v/>
      </c>
    </row>
    <row r="31361">
      <c r="A31361" t="n">
        <v>31360</v>
      </c>
      <c r="B31361" t="inlineStr">
        <is>
          <t>x̄x̄x̄MCCCLX</t>
        </is>
      </c>
      <c r="C31361">
        <f>ROMAN(31360)</f>
        <v/>
      </c>
      <c r="D31361">
        <f>IF(B31361=C31361, "YES", "WRONG")</f>
        <v/>
      </c>
    </row>
    <row r="31362">
      <c r="A31362" t="n">
        <v>31361</v>
      </c>
      <c r="B31362" t="inlineStr">
        <is>
          <t>x̄x̄x̄MCCCLXI</t>
        </is>
      </c>
      <c r="C31362">
        <f>ROMAN(31361)</f>
        <v/>
      </c>
      <c r="D31362">
        <f>IF(B31362=C31362, "YES", "WRONG")</f>
        <v/>
      </c>
    </row>
    <row r="31363">
      <c r="A31363" t="n">
        <v>31362</v>
      </c>
      <c r="B31363" t="inlineStr">
        <is>
          <t>x̄x̄x̄MCCCLXII</t>
        </is>
      </c>
      <c r="C31363">
        <f>ROMAN(31362)</f>
        <v/>
      </c>
      <c r="D31363">
        <f>IF(B31363=C31363, "YES", "WRONG")</f>
        <v/>
      </c>
    </row>
    <row r="31364">
      <c r="A31364" t="n">
        <v>31363</v>
      </c>
      <c r="B31364" t="inlineStr">
        <is>
          <t>x̄x̄x̄MCCCLXIII</t>
        </is>
      </c>
      <c r="C31364">
        <f>ROMAN(31363)</f>
        <v/>
      </c>
      <c r="D31364">
        <f>IF(B31364=C31364, "YES", "WRONG")</f>
        <v/>
      </c>
    </row>
    <row r="31365">
      <c r="A31365" t="n">
        <v>31364</v>
      </c>
      <c r="B31365" t="inlineStr">
        <is>
          <t>x̄x̄x̄MCCCLXIV</t>
        </is>
      </c>
      <c r="C31365">
        <f>ROMAN(31364)</f>
        <v/>
      </c>
      <c r="D31365">
        <f>IF(B31365=C31365, "YES", "WRONG")</f>
        <v/>
      </c>
    </row>
    <row r="31366">
      <c r="A31366" t="n">
        <v>31365</v>
      </c>
      <c r="B31366" t="inlineStr">
        <is>
          <t>x̄x̄x̄MCCCLXV</t>
        </is>
      </c>
      <c r="C31366">
        <f>ROMAN(31365)</f>
        <v/>
      </c>
      <c r="D31366">
        <f>IF(B31366=C31366, "YES", "WRONG")</f>
        <v/>
      </c>
    </row>
    <row r="31367">
      <c r="A31367" t="n">
        <v>31366</v>
      </c>
      <c r="B31367" t="inlineStr">
        <is>
          <t>x̄x̄x̄MCCCLXVI</t>
        </is>
      </c>
      <c r="C31367">
        <f>ROMAN(31366)</f>
        <v/>
      </c>
      <c r="D31367">
        <f>IF(B31367=C31367, "YES", "WRONG")</f>
        <v/>
      </c>
    </row>
    <row r="31368">
      <c r="A31368" t="n">
        <v>31367</v>
      </c>
      <c r="B31368" t="inlineStr">
        <is>
          <t>x̄x̄x̄MCCCLXVII</t>
        </is>
      </c>
      <c r="C31368">
        <f>ROMAN(31367)</f>
        <v/>
      </c>
      <c r="D31368">
        <f>IF(B31368=C31368, "YES", "WRONG")</f>
        <v/>
      </c>
    </row>
    <row r="31369">
      <c r="A31369" t="n">
        <v>31368</v>
      </c>
      <c r="B31369" t="inlineStr">
        <is>
          <t>x̄x̄x̄MCCCLXVIII</t>
        </is>
      </c>
      <c r="C31369">
        <f>ROMAN(31368)</f>
        <v/>
      </c>
      <c r="D31369">
        <f>IF(B31369=C31369, "YES", "WRONG")</f>
        <v/>
      </c>
    </row>
    <row r="31370">
      <c r="A31370" t="n">
        <v>31369</v>
      </c>
      <c r="B31370" t="inlineStr">
        <is>
          <t>x̄x̄x̄MCCCLXIX</t>
        </is>
      </c>
      <c r="C31370">
        <f>ROMAN(31369)</f>
        <v/>
      </c>
      <c r="D31370">
        <f>IF(B31370=C31370, "YES", "WRONG")</f>
        <v/>
      </c>
    </row>
    <row r="31371">
      <c r="A31371" t="n">
        <v>31370</v>
      </c>
      <c r="B31371" t="inlineStr">
        <is>
          <t>x̄x̄x̄MCCCLXX</t>
        </is>
      </c>
      <c r="C31371">
        <f>ROMAN(31370)</f>
        <v/>
      </c>
      <c r="D31371">
        <f>IF(B31371=C31371, "YES", "WRONG")</f>
        <v/>
      </c>
    </row>
    <row r="31372">
      <c r="A31372" t="n">
        <v>31371</v>
      </c>
      <c r="B31372" t="inlineStr">
        <is>
          <t>x̄x̄x̄MCCCLXXI</t>
        </is>
      </c>
      <c r="C31372">
        <f>ROMAN(31371)</f>
        <v/>
      </c>
      <c r="D31372">
        <f>IF(B31372=C31372, "YES", "WRONG")</f>
        <v/>
      </c>
    </row>
    <row r="31373">
      <c r="A31373" t="n">
        <v>31372</v>
      </c>
      <c r="B31373" t="inlineStr">
        <is>
          <t>x̄x̄x̄MCCCLXXII</t>
        </is>
      </c>
      <c r="C31373">
        <f>ROMAN(31372)</f>
        <v/>
      </c>
      <c r="D31373">
        <f>IF(B31373=C31373, "YES", "WRONG")</f>
        <v/>
      </c>
    </row>
    <row r="31374">
      <c r="A31374" t="n">
        <v>31373</v>
      </c>
      <c r="B31374" t="inlineStr">
        <is>
          <t>x̄x̄x̄MCCCLXXIII</t>
        </is>
      </c>
      <c r="C31374">
        <f>ROMAN(31373)</f>
        <v/>
      </c>
      <c r="D31374">
        <f>IF(B31374=C31374, "YES", "WRONG")</f>
        <v/>
      </c>
    </row>
    <row r="31375">
      <c r="A31375" t="n">
        <v>31374</v>
      </c>
      <c r="B31375" t="inlineStr">
        <is>
          <t>x̄x̄x̄MCCCLXXIV</t>
        </is>
      </c>
      <c r="C31375">
        <f>ROMAN(31374)</f>
        <v/>
      </c>
      <c r="D31375">
        <f>IF(B31375=C31375, "YES", "WRONG")</f>
        <v/>
      </c>
    </row>
    <row r="31376">
      <c r="A31376" t="n">
        <v>31375</v>
      </c>
      <c r="B31376" t="inlineStr">
        <is>
          <t>x̄x̄x̄MCCCLXXV</t>
        </is>
      </c>
      <c r="C31376">
        <f>ROMAN(31375)</f>
        <v/>
      </c>
      <c r="D31376">
        <f>IF(B31376=C31376, "YES", "WRONG")</f>
        <v/>
      </c>
    </row>
    <row r="31377">
      <c r="A31377" t="n">
        <v>31376</v>
      </c>
      <c r="B31377" t="inlineStr">
        <is>
          <t>x̄x̄x̄MCCCLXXVI</t>
        </is>
      </c>
      <c r="C31377">
        <f>ROMAN(31376)</f>
        <v/>
      </c>
      <c r="D31377">
        <f>IF(B31377=C31377, "YES", "WRONG")</f>
        <v/>
      </c>
    </row>
    <row r="31378">
      <c r="A31378" t="n">
        <v>31377</v>
      </c>
      <c r="B31378" t="inlineStr">
        <is>
          <t>x̄x̄x̄MCCCLXXVII</t>
        </is>
      </c>
      <c r="C31378">
        <f>ROMAN(31377)</f>
        <v/>
      </c>
      <c r="D31378">
        <f>IF(B31378=C31378, "YES", "WRONG")</f>
        <v/>
      </c>
    </row>
    <row r="31379">
      <c r="A31379" t="n">
        <v>31378</v>
      </c>
      <c r="B31379" t="inlineStr">
        <is>
          <t>x̄x̄x̄MCCCLXXVIII</t>
        </is>
      </c>
      <c r="C31379">
        <f>ROMAN(31378)</f>
        <v/>
      </c>
      <c r="D31379">
        <f>IF(B31379=C31379, "YES", "WRONG")</f>
        <v/>
      </c>
    </row>
    <row r="31380">
      <c r="A31380" t="n">
        <v>31379</v>
      </c>
      <c r="B31380" t="inlineStr">
        <is>
          <t>x̄x̄x̄MCCCLXXIX</t>
        </is>
      </c>
      <c r="C31380">
        <f>ROMAN(31379)</f>
        <v/>
      </c>
      <c r="D31380">
        <f>IF(B31380=C31380, "YES", "WRONG")</f>
        <v/>
      </c>
    </row>
    <row r="31381">
      <c r="A31381" t="n">
        <v>31380</v>
      </c>
      <c r="B31381" t="inlineStr">
        <is>
          <t>x̄x̄x̄MCCCLXXX</t>
        </is>
      </c>
      <c r="C31381">
        <f>ROMAN(31380)</f>
        <v/>
      </c>
      <c r="D31381">
        <f>IF(B31381=C31381, "YES", "WRONG")</f>
        <v/>
      </c>
    </row>
    <row r="31382">
      <c r="A31382" t="n">
        <v>31381</v>
      </c>
      <c r="B31382" t="inlineStr">
        <is>
          <t>x̄x̄x̄MCCCLXXXI</t>
        </is>
      </c>
      <c r="C31382">
        <f>ROMAN(31381)</f>
        <v/>
      </c>
      <c r="D31382">
        <f>IF(B31382=C31382, "YES", "WRONG")</f>
        <v/>
      </c>
    </row>
    <row r="31383">
      <c r="A31383" t="n">
        <v>31382</v>
      </c>
      <c r="B31383" t="inlineStr">
        <is>
          <t>x̄x̄x̄MCCCLXXXII</t>
        </is>
      </c>
      <c r="C31383">
        <f>ROMAN(31382)</f>
        <v/>
      </c>
      <c r="D31383">
        <f>IF(B31383=C31383, "YES", "WRONG")</f>
        <v/>
      </c>
    </row>
    <row r="31384">
      <c r="A31384" t="n">
        <v>31383</v>
      </c>
      <c r="B31384" t="inlineStr">
        <is>
          <t>x̄x̄x̄MCCCLXXXIII</t>
        </is>
      </c>
      <c r="C31384">
        <f>ROMAN(31383)</f>
        <v/>
      </c>
      <c r="D31384">
        <f>IF(B31384=C31384, "YES", "WRONG")</f>
        <v/>
      </c>
    </row>
    <row r="31385">
      <c r="A31385" t="n">
        <v>31384</v>
      </c>
      <c r="B31385" t="inlineStr">
        <is>
          <t>x̄x̄x̄MCCCLXXXIV</t>
        </is>
      </c>
      <c r="C31385">
        <f>ROMAN(31384)</f>
        <v/>
      </c>
      <c r="D31385">
        <f>IF(B31385=C31385, "YES", "WRONG")</f>
        <v/>
      </c>
    </row>
    <row r="31386">
      <c r="A31386" t="n">
        <v>31385</v>
      </c>
      <c r="B31386" t="inlineStr">
        <is>
          <t>x̄x̄x̄MCCCLXXXV</t>
        </is>
      </c>
      <c r="C31386">
        <f>ROMAN(31385)</f>
        <v/>
      </c>
      <c r="D31386">
        <f>IF(B31386=C31386, "YES", "WRONG")</f>
        <v/>
      </c>
    </row>
    <row r="31387">
      <c r="A31387" t="n">
        <v>31386</v>
      </c>
      <c r="B31387" t="inlineStr">
        <is>
          <t>x̄x̄x̄MCCCLXXXVI</t>
        </is>
      </c>
      <c r="C31387">
        <f>ROMAN(31386)</f>
        <v/>
      </c>
      <c r="D31387">
        <f>IF(B31387=C31387, "YES", "WRONG")</f>
        <v/>
      </c>
    </row>
    <row r="31388">
      <c r="A31388" t="n">
        <v>31387</v>
      </c>
      <c r="B31388" t="inlineStr">
        <is>
          <t>x̄x̄x̄MCCCLXXXVII</t>
        </is>
      </c>
      <c r="C31388">
        <f>ROMAN(31387)</f>
        <v/>
      </c>
      <c r="D31388">
        <f>IF(B31388=C31388, "YES", "WRONG")</f>
        <v/>
      </c>
    </row>
    <row r="31389">
      <c r="A31389" t="n">
        <v>31388</v>
      </c>
      <c r="B31389" t="inlineStr">
        <is>
          <t>x̄x̄x̄MCCCLXXXVIII</t>
        </is>
      </c>
      <c r="C31389">
        <f>ROMAN(31388)</f>
        <v/>
      </c>
      <c r="D31389">
        <f>IF(B31389=C31389, "YES", "WRONG")</f>
        <v/>
      </c>
    </row>
    <row r="31390">
      <c r="A31390" t="n">
        <v>31389</v>
      </c>
      <c r="B31390" t="inlineStr">
        <is>
          <t>x̄x̄x̄MCCCLXXXIX</t>
        </is>
      </c>
      <c r="C31390">
        <f>ROMAN(31389)</f>
        <v/>
      </c>
      <c r="D31390">
        <f>IF(B31390=C31390, "YES", "WRONG")</f>
        <v/>
      </c>
    </row>
    <row r="31391">
      <c r="A31391" t="n">
        <v>31390</v>
      </c>
      <c r="B31391" t="inlineStr">
        <is>
          <t>x̄x̄x̄MCCCXC</t>
        </is>
      </c>
      <c r="C31391">
        <f>ROMAN(31390)</f>
        <v/>
      </c>
      <c r="D31391">
        <f>IF(B31391=C31391, "YES", "WRONG")</f>
        <v/>
      </c>
    </row>
    <row r="31392">
      <c r="A31392" t="n">
        <v>31391</v>
      </c>
      <c r="B31392" t="inlineStr">
        <is>
          <t>x̄x̄x̄MCCCXCI</t>
        </is>
      </c>
      <c r="C31392">
        <f>ROMAN(31391)</f>
        <v/>
      </c>
      <c r="D31392">
        <f>IF(B31392=C31392, "YES", "WRONG")</f>
        <v/>
      </c>
    </row>
    <row r="31393">
      <c r="A31393" t="n">
        <v>31392</v>
      </c>
      <c r="B31393" t="inlineStr">
        <is>
          <t>x̄x̄x̄MCCCXCII</t>
        </is>
      </c>
      <c r="C31393">
        <f>ROMAN(31392)</f>
        <v/>
      </c>
      <c r="D31393">
        <f>IF(B31393=C31393, "YES", "WRONG")</f>
        <v/>
      </c>
    </row>
    <row r="31394">
      <c r="A31394" t="n">
        <v>31393</v>
      </c>
      <c r="B31394" t="inlineStr">
        <is>
          <t>x̄x̄x̄MCCCXCIII</t>
        </is>
      </c>
      <c r="C31394">
        <f>ROMAN(31393)</f>
        <v/>
      </c>
      <c r="D31394">
        <f>IF(B31394=C31394, "YES", "WRONG")</f>
        <v/>
      </c>
    </row>
    <row r="31395">
      <c r="A31395" t="n">
        <v>31394</v>
      </c>
      <c r="B31395" t="inlineStr">
        <is>
          <t>x̄x̄x̄MCCCXCIV</t>
        </is>
      </c>
      <c r="C31395">
        <f>ROMAN(31394)</f>
        <v/>
      </c>
      <c r="D31395">
        <f>IF(B31395=C31395, "YES", "WRONG")</f>
        <v/>
      </c>
    </row>
    <row r="31396">
      <c r="A31396" t="n">
        <v>31395</v>
      </c>
      <c r="B31396" t="inlineStr">
        <is>
          <t>x̄x̄x̄MCCCXCV</t>
        </is>
      </c>
      <c r="C31396">
        <f>ROMAN(31395)</f>
        <v/>
      </c>
      <c r="D31396">
        <f>IF(B31396=C31396, "YES", "WRONG")</f>
        <v/>
      </c>
    </row>
    <row r="31397">
      <c r="A31397" t="n">
        <v>31396</v>
      </c>
      <c r="B31397" t="inlineStr">
        <is>
          <t>x̄x̄x̄MCCCXCVI</t>
        </is>
      </c>
      <c r="C31397">
        <f>ROMAN(31396)</f>
        <v/>
      </c>
      <c r="D31397">
        <f>IF(B31397=C31397, "YES", "WRONG")</f>
        <v/>
      </c>
    </row>
    <row r="31398">
      <c r="A31398" t="n">
        <v>31397</v>
      </c>
      <c r="B31398" t="inlineStr">
        <is>
          <t>x̄x̄x̄MCCCXCVII</t>
        </is>
      </c>
      <c r="C31398">
        <f>ROMAN(31397)</f>
        <v/>
      </c>
      <c r="D31398">
        <f>IF(B31398=C31398, "YES", "WRONG")</f>
        <v/>
      </c>
    </row>
    <row r="31399">
      <c r="A31399" t="n">
        <v>31398</v>
      </c>
      <c r="B31399" t="inlineStr">
        <is>
          <t>x̄x̄x̄MCCCXCVIII</t>
        </is>
      </c>
      <c r="C31399">
        <f>ROMAN(31398)</f>
        <v/>
      </c>
      <c r="D31399">
        <f>IF(B31399=C31399, "YES", "WRONG")</f>
        <v/>
      </c>
    </row>
    <row r="31400">
      <c r="A31400" t="n">
        <v>31399</v>
      </c>
      <c r="B31400" t="inlineStr">
        <is>
          <t>x̄x̄x̄MCCCXCIX</t>
        </is>
      </c>
      <c r="C31400">
        <f>ROMAN(31399)</f>
        <v/>
      </c>
      <c r="D31400">
        <f>IF(B31400=C31400, "YES", "WRONG")</f>
        <v/>
      </c>
    </row>
    <row r="31401">
      <c r="A31401" t="n">
        <v>31400</v>
      </c>
      <c r="B31401" t="inlineStr">
        <is>
          <t>x̄x̄x̄MCD</t>
        </is>
      </c>
      <c r="C31401">
        <f>ROMAN(31400)</f>
        <v/>
      </c>
      <c r="D31401">
        <f>IF(B31401=C31401, "YES", "WRONG")</f>
        <v/>
      </c>
    </row>
    <row r="31402">
      <c r="A31402" t="n">
        <v>31401</v>
      </c>
      <c r="B31402" t="inlineStr">
        <is>
          <t>x̄x̄x̄MCDI</t>
        </is>
      </c>
      <c r="C31402">
        <f>ROMAN(31401)</f>
        <v/>
      </c>
      <c r="D31402">
        <f>IF(B31402=C31402, "YES", "WRONG")</f>
        <v/>
      </c>
    </row>
    <row r="31403">
      <c r="A31403" t="n">
        <v>31402</v>
      </c>
      <c r="B31403" t="inlineStr">
        <is>
          <t>x̄x̄x̄MCDII</t>
        </is>
      </c>
      <c r="C31403">
        <f>ROMAN(31402)</f>
        <v/>
      </c>
      <c r="D31403">
        <f>IF(B31403=C31403, "YES", "WRONG")</f>
        <v/>
      </c>
    </row>
    <row r="31404">
      <c r="A31404" t="n">
        <v>31403</v>
      </c>
      <c r="B31404" t="inlineStr">
        <is>
          <t>x̄x̄x̄MCDIII</t>
        </is>
      </c>
      <c r="C31404">
        <f>ROMAN(31403)</f>
        <v/>
      </c>
      <c r="D31404">
        <f>IF(B31404=C31404, "YES", "WRONG")</f>
        <v/>
      </c>
    </row>
    <row r="31405">
      <c r="A31405" t="n">
        <v>31404</v>
      </c>
      <c r="B31405" t="inlineStr">
        <is>
          <t>x̄x̄x̄MCDIV</t>
        </is>
      </c>
      <c r="C31405">
        <f>ROMAN(31404)</f>
        <v/>
      </c>
      <c r="D31405">
        <f>IF(B31405=C31405, "YES", "WRONG")</f>
        <v/>
      </c>
    </row>
    <row r="31406">
      <c r="A31406" t="n">
        <v>31405</v>
      </c>
      <c r="B31406" t="inlineStr">
        <is>
          <t>x̄x̄x̄MCDV</t>
        </is>
      </c>
      <c r="C31406">
        <f>ROMAN(31405)</f>
        <v/>
      </c>
      <c r="D31406">
        <f>IF(B31406=C31406, "YES", "WRONG")</f>
        <v/>
      </c>
    </row>
    <row r="31407">
      <c r="A31407" t="n">
        <v>31406</v>
      </c>
      <c r="B31407" t="inlineStr">
        <is>
          <t>x̄x̄x̄MCDVI</t>
        </is>
      </c>
      <c r="C31407">
        <f>ROMAN(31406)</f>
        <v/>
      </c>
      <c r="D31407">
        <f>IF(B31407=C31407, "YES", "WRONG")</f>
        <v/>
      </c>
    </row>
    <row r="31408">
      <c r="A31408" t="n">
        <v>31407</v>
      </c>
      <c r="B31408" t="inlineStr">
        <is>
          <t>x̄x̄x̄MCDVII</t>
        </is>
      </c>
      <c r="C31408">
        <f>ROMAN(31407)</f>
        <v/>
      </c>
      <c r="D31408">
        <f>IF(B31408=C31408, "YES", "WRONG")</f>
        <v/>
      </c>
    </row>
    <row r="31409">
      <c r="A31409" t="n">
        <v>31408</v>
      </c>
      <c r="B31409" t="inlineStr">
        <is>
          <t>x̄x̄x̄MCDVIII</t>
        </is>
      </c>
      <c r="C31409">
        <f>ROMAN(31408)</f>
        <v/>
      </c>
      <c r="D31409">
        <f>IF(B31409=C31409, "YES", "WRONG")</f>
        <v/>
      </c>
    </row>
    <row r="31410">
      <c r="A31410" t="n">
        <v>31409</v>
      </c>
      <c r="B31410" t="inlineStr">
        <is>
          <t>x̄x̄x̄MCDIX</t>
        </is>
      </c>
      <c r="C31410">
        <f>ROMAN(31409)</f>
        <v/>
      </c>
      <c r="D31410">
        <f>IF(B31410=C31410, "YES", "WRONG")</f>
        <v/>
      </c>
    </row>
    <row r="31411">
      <c r="A31411" t="n">
        <v>31410</v>
      </c>
      <c r="B31411" t="inlineStr">
        <is>
          <t>x̄x̄x̄MCDX</t>
        </is>
      </c>
      <c r="C31411">
        <f>ROMAN(31410)</f>
        <v/>
      </c>
      <c r="D31411">
        <f>IF(B31411=C31411, "YES", "WRONG")</f>
        <v/>
      </c>
    </row>
    <row r="31412">
      <c r="A31412" t="n">
        <v>31411</v>
      </c>
      <c r="B31412" t="inlineStr">
        <is>
          <t>x̄x̄x̄MCDXI</t>
        </is>
      </c>
      <c r="C31412">
        <f>ROMAN(31411)</f>
        <v/>
      </c>
      <c r="D31412">
        <f>IF(B31412=C31412, "YES", "WRONG")</f>
        <v/>
      </c>
    </row>
    <row r="31413">
      <c r="A31413" t="n">
        <v>31412</v>
      </c>
      <c r="B31413" t="inlineStr">
        <is>
          <t>x̄x̄x̄MCDXII</t>
        </is>
      </c>
      <c r="C31413">
        <f>ROMAN(31412)</f>
        <v/>
      </c>
      <c r="D31413">
        <f>IF(B31413=C31413, "YES", "WRONG")</f>
        <v/>
      </c>
    </row>
    <row r="31414">
      <c r="A31414" t="n">
        <v>31413</v>
      </c>
      <c r="B31414" t="inlineStr">
        <is>
          <t>x̄x̄x̄MCDXIII</t>
        </is>
      </c>
      <c r="C31414">
        <f>ROMAN(31413)</f>
        <v/>
      </c>
      <c r="D31414">
        <f>IF(B31414=C31414, "YES", "WRONG")</f>
        <v/>
      </c>
    </row>
    <row r="31415">
      <c r="A31415" t="n">
        <v>31414</v>
      </c>
      <c r="B31415" t="inlineStr">
        <is>
          <t>x̄x̄x̄MCDXIV</t>
        </is>
      </c>
      <c r="C31415">
        <f>ROMAN(31414)</f>
        <v/>
      </c>
      <c r="D31415">
        <f>IF(B31415=C31415, "YES", "WRONG")</f>
        <v/>
      </c>
    </row>
    <row r="31416">
      <c r="A31416" t="n">
        <v>31415</v>
      </c>
      <c r="B31416" t="inlineStr">
        <is>
          <t>x̄x̄x̄MCDXV</t>
        </is>
      </c>
      <c r="C31416">
        <f>ROMAN(31415)</f>
        <v/>
      </c>
      <c r="D31416">
        <f>IF(B31416=C31416, "YES", "WRONG")</f>
        <v/>
      </c>
    </row>
    <row r="31417">
      <c r="A31417" t="n">
        <v>31416</v>
      </c>
      <c r="B31417" t="inlineStr">
        <is>
          <t>x̄x̄x̄MCDXVI</t>
        </is>
      </c>
      <c r="C31417">
        <f>ROMAN(31416)</f>
        <v/>
      </c>
      <c r="D31417">
        <f>IF(B31417=C31417, "YES", "WRONG")</f>
        <v/>
      </c>
    </row>
    <row r="31418">
      <c r="A31418" t="n">
        <v>31417</v>
      </c>
      <c r="B31418" t="inlineStr">
        <is>
          <t>x̄x̄x̄MCDXVII</t>
        </is>
      </c>
      <c r="C31418">
        <f>ROMAN(31417)</f>
        <v/>
      </c>
      <c r="D31418">
        <f>IF(B31418=C31418, "YES", "WRONG")</f>
        <v/>
      </c>
    </row>
    <row r="31419">
      <c r="A31419" t="n">
        <v>31418</v>
      </c>
      <c r="B31419" t="inlineStr">
        <is>
          <t>x̄x̄x̄MCDXVIII</t>
        </is>
      </c>
      <c r="C31419">
        <f>ROMAN(31418)</f>
        <v/>
      </c>
      <c r="D31419">
        <f>IF(B31419=C31419, "YES", "WRONG")</f>
        <v/>
      </c>
    </row>
    <row r="31420">
      <c r="A31420" t="n">
        <v>31419</v>
      </c>
      <c r="B31420" t="inlineStr">
        <is>
          <t>x̄x̄x̄MCDXIX</t>
        </is>
      </c>
      <c r="C31420">
        <f>ROMAN(31419)</f>
        <v/>
      </c>
      <c r="D31420">
        <f>IF(B31420=C31420, "YES", "WRONG")</f>
        <v/>
      </c>
    </row>
    <row r="31421">
      <c r="A31421" t="n">
        <v>31420</v>
      </c>
      <c r="B31421" t="inlineStr">
        <is>
          <t>x̄x̄x̄MCDXX</t>
        </is>
      </c>
      <c r="C31421">
        <f>ROMAN(31420)</f>
        <v/>
      </c>
      <c r="D31421">
        <f>IF(B31421=C31421, "YES", "WRONG")</f>
        <v/>
      </c>
    </row>
    <row r="31422">
      <c r="A31422" t="n">
        <v>31421</v>
      </c>
      <c r="B31422" t="inlineStr">
        <is>
          <t>x̄x̄x̄MCDXXI</t>
        </is>
      </c>
      <c r="C31422">
        <f>ROMAN(31421)</f>
        <v/>
      </c>
      <c r="D31422">
        <f>IF(B31422=C31422, "YES", "WRONG")</f>
        <v/>
      </c>
    </row>
    <row r="31423">
      <c r="A31423" t="n">
        <v>31422</v>
      </c>
      <c r="B31423" t="inlineStr">
        <is>
          <t>x̄x̄x̄MCDXXII</t>
        </is>
      </c>
      <c r="C31423">
        <f>ROMAN(31422)</f>
        <v/>
      </c>
      <c r="D31423">
        <f>IF(B31423=C31423, "YES", "WRONG")</f>
        <v/>
      </c>
    </row>
    <row r="31424">
      <c r="A31424" t="n">
        <v>31423</v>
      </c>
      <c r="B31424" t="inlineStr">
        <is>
          <t>x̄x̄x̄MCDXXIII</t>
        </is>
      </c>
      <c r="C31424">
        <f>ROMAN(31423)</f>
        <v/>
      </c>
      <c r="D31424">
        <f>IF(B31424=C31424, "YES", "WRONG")</f>
        <v/>
      </c>
    </row>
    <row r="31425">
      <c r="A31425" t="n">
        <v>31424</v>
      </c>
      <c r="B31425" t="inlineStr">
        <is>
          <t>x̄x̄x̄MCDXXIV</t>
        </is>
      </c>
      <c r="C31425">
        <f>ROMAN(31424)</f>
        <v/>
      </c>
      <c r="D31425">
        <f>IF(B31425=C31425, "YES", "WRONG")</f>
        <v/>
      </c>
    </row>
    <row r="31426">
      <c r="A31426" t="n">
        <v>31425</v>
      </c>
      <c r="B31426" t="inlineStr">
        <is>
          <t>x̄x̄x̄MCDXXV</t>
        </is>
      </c>
      <c r="C31426">
        <f>ROMAN(31425)</f>
        <v/>
      </c>
      <c r="D31426">
        <f>IF(B31426=C31426, "YES", "WRONG")</f>
        <v/>
      </c>
    </row>
    <row r="31427">
      <c r="A31427" t="n">
        <v>31426</v>
      </c>
      <c r="B31427" t="inlineStr">
        <is>
          <t>x̄x̄x̄MCDXXVI</t>
        </is>
      </c>
      <c r="C31427">
        <f>ROMAN(31426)</f>
        <v/>
      </c>
      <c r="D31427">
        <f>IF(B31427=C31427, "YES", "WRONG")</f>
        <v/>
      </c>
    </row>
    <row r="31428">
      <c r="A31428" t="n">
        <v>31427</v>
      </c>
      <c r="B31428" t="inlineStr">
        <is>
          <t>x̄x̄x̄MCDXXVII</t>
        </is>
      </c>
      <c r="C31428">
        <f>ROMAN(31427)</f>
        <v/>
      </c>
      <c r="D31428">
        <f>IF(B31428=C31428, "YES", "WRONG")</f>
        <v/>
      </c>
    </row>
    <row r="31429">
      <c r="A31429" t="n">
        <v>31428</v>
      </c>
      <c r="B31429" t="inlineStr">
        <is>
          <t>x̄x̄x̄MCDXXVIII</t>
        </is>
      </c>
      <c r="C31429">
        <f>ROMAN(31428)</f>
        <v/>
      </c>
      <c r="D31429">
        <f>IF(B31429=C31429, "YES", "WRONG")</f>
        <v/>
      </c>
    </row>
    <row r="31430">
      <c r="A31430" t="n">
        <v>31429</v>
      </c>
      <c r="B31430" t="inlineStr">
        <is>
          <t>x̄x̄x̄MCDXXIX</t>
        </is>
      </c>
      <c r="C31430">
        <f>ROMAN(31429)</f>
        <v/>
      </c>
      <c r="D31430">
        <f>IF(B31430=C31430, "YES", "WRONG")</f>
        <v/>
      </c>
    </row>
    <row r="31431">
      <c r="A31431" t="n">
        <v>31430</v>
      </c>
      <c r="B31431" t="inlineStr">
        <is>
          <t>x̄x̄x̄MCDXXX</t>
        </is>
      </c>
      <c r="C31431">
        <f>ROMAN(31430)</f>
        <v/>
      </c>
      <c r="D31431">
        <f>IF(B31431=C31431, "YES", "WRONG")</f>
        <v/>
      </c>
    </row>
    <row r="31432">
      <c r="A31432" t="n">
        <v>31431</v>
      </c>
      <c r="B31432" t="inlineStr">
        <is>
          <t>x̄x̄x̄MCDXXXI</t>
        </is>
      </c>
      <c r="C31432">
        <f>ROMAN(31431)</f>
        <v/>
      </c>
      <c r="D31432">
        <f>IF(B31432=C31432, "YES", "WRONG")</f>
        <v/>
      </c>
    </row>
    <row r="31433">
      <c r="A31433" t="n">
        <v>31432</v>
      </c>
      <c r="B31433" t="inlineStr">
        <is>
          <t>x̄x̄x̄MCDXXXII</t>
        </is>
      </c>
      <c r="C31433">
        <f>ROMAN(31432)</f>
        <v/>
      </c>
      <c r="D31433">
        <f>IF(B31433=C31433, "YES", "WRONG")</f>
        <v/>
      </c>
    </row>
    <row r="31434">
      <c r="A31434" t="n">
        <v>31433</v>
      </c>
      <c r="B31434" t="inlineStr">
        <is>
          <t>x̄x̄x̄MCDXXXIII</t>
        </is>
      </c>
      <c r="C31434">
        <f>ROMAN(31433)</f>
        <v/>
      </c>
      <c r="D31434">
        <f>IF(B31434=C31434, "YES", "WRONG")</f>
        <v/>
      </c>
    </row>
    <row r="31435">
      <c r="A31435" t="n">
        <v>31434</v>
      </c>
      <c r="B31435" t="inlineStr">
        <is>
          <t>x̄x̄x̄MCDXXXIV</t>
        </is>
      </c>
      <c r="C31435">
        <f>ROMAN(31434)</f>
        <v/>
      </c>
      <c r="D31435">
        <f>IF(B31435=C31435, "YES", "WRONG")</f>
        <v/>
      </c>
    </row>
    <row r="31436">
      <c r="A31436" t="n">
        <v>31435</v>
      </c>
      <c r="B31436" t="inlineStr">
        <is>
          <t>x̄x̄x̄MCDXXXV</t>
        </is>
      </c>
      <c r="C31436">
        <f>ROMAN(31435)</f>
        <v/>
      </c>
      <c r="D31436">
        <f>IF(B31436=C31436, "YES", "WRONG")</f>
        <v/>
      </c>
    </row>
    <row r="31437">
      <c r="A31437" t="n">
        <v>31436</v>
      </c>
      <c r="B31437" t="inlineStr">
        <is>
          <t>x̄x̄x̄MCDXXXVI</t>
        </is>
      </c>
      <c r="C31437">
        <f>ROMAN(31436)</f>
        <v/>
      </c>
      <c r="D31437">
        <f>IF(B31437=C31437, "YES", "WRONG")</f>
        <v/>
      </c>
    </row>
    <row r="31438">
      <c r="A31438" t="n">
        <v>31437</v>
      </c>
      <c r="B31438" t="inlineStr">
        <is>
          <t>x̄x̄x̄MCDXXXVII</t>
        </is>
      </c>
      <c r="C31438">
        <f>ROMAN(31437)</f>
        <v/>
      </c>
      <c r="D31438">
        <f>IF(B31438=C31438, "YES", "WRONG")</f>
        <v/>
      </c>
    </row>
    <row r="31439">
      <c r="A31439" t="n">
        <v>31438</v>
      </c>
      <c r="B31439" t="inlineStr">
        <is>
          <t>x̄x̄x̄MCDXXXVIII</t>
        </is>
      </c>
      <c r="C31439">
        <f>ROMAN(31438)</f>
        <v/>
      </c>
      <c r="D31439">
        <f>IF(B31439=C31439, "YES", "WRONG")</f>
        <v/>
      </c>
    </row>
    <row r="31440">
      <c r="A31440" t="n">
        <v>31439</v>
      </c>
      <c r="B31440" t="inlineStr">
        <is>
          <t>x̄x̄x̄MCDXXXIX</t>
        </is>
      </c>
      <c r="C31440">
        <f>ROMAN(31439)</f>
        <v/>
      </c>
      <c r="D31440">
        <f>IF(B31440=C31440, "YES", "WRONG")</f>
        <v/>
      </c>
    </row>
    <row r="31441">
      <c r="A31441" t="n">
        <v>31440</v>
      </c>
      <c r="B31441" t="inlineStr">
        <is>
          <t>x̄x̄x̄MCDXL</t>
        </is>
      </c>
      <c r="C31441">
        <f>ROMAN(31440)</f>
        <v/>
      </c>
      <c r="D31441">
        <f>IF(B31441=C31441, "YES", "WRONG")</f>
        <v/>
      </c>
    </row>
    <row r="31442">
      <c r="A31442" t="n">
        <v>31441</v>
      </c>
      <c r="B31442" t="inlineStr">
        <is>
          <t>x̄x̄x̄MCDXLI</t>
        </is>
      </c>
      <c r="C31442">
        <f>ROMAN(31441)</f>
        <v/>
      </c>
      <c r="D31442">
        <f>IF(B31442=C31442, "YES", "WRONG")</f>
        <v/>
      </c>
    </row>
    <row r="31443">
      <c r="A31443" t="n">
        <v>31442</v>
      </c>
      <c r="B31443" t="inlineStr">
        <is>
          <t>x̄x̄x̄MCDXLII</t>
        </is>
      </c>
      <c r="C31443">
        <f>ROMAN(31442)</f>
        <v/>
      </c>
      <c r="D31443">
        <f>IF(B31443=C31443, "YES", "WRONG")</f>
        <v/>
      </c>
    </row>
    <row r="31444">
      <c r="A31444" t="n">
        <v>31443</v>
      </c>
      <c r="B31444" t="inlineStr">
        <is>
          <t>x̄x̄x̄MCDXLIII</t>
        </is>
      </c>
      <c r="C31444">
        <f>ROMAN(31443)</f>
        <v/>
      </c>
      <c r="D31444">
        <f>IF(B31444=C31444, "YES", "WRONG")</f>
        <v/>
      </c>
    </row>
    <row r="31445">
      <c r="A31445" t="n">
        <v>31444</v>
      </c>
      <c r="B31445" t="inlineStr">
        <is>
          <t>x̄x̄x̄MCDXLIV</t>
        </is>
      </c>
      <c r="C31445">
        <f>ROMAN(31444)</f>
        <v/>
      </c>
      <c r="D31445">
        <f>IF(B31445=C31445, "YES", "WRONG")</f>
        <v/>
      </c>
    </row>
    <row r="31446">
      <c r="A31446" t="n">
        <v>31445</v>
      </c>
      <c r="B31446" t="inlineStr">
        <is>
          <t>x̄x̄x̄MCDXLV</t>
        </is>
      </c>
      <c r="C31446">
        <f>ROMAN(31445)</f>
        <v/>
      </c>
      <c r="D31446">
        <f>IF(B31446=C31446, "YES", "WRONG")</f>
        <v/>
      </c>
    </row>
    <row r="31447">
      <c r="A31447" t="n">
        <v>31446</v>
      </c>
      <c r="B31447" t="inlineStr">
        <is>
          <t>x̄x̄x̄MCDXLVI</t>
        </is>
      </c>
      <c r="C31447">
        <f>ROMAN(31446)</f>
        <v/>
      </c>
      <c r="D31447">
        <f>IF(B31447=C31447, "YES", "WRONG")</f>
        <v/>
      </c>
    </row>
    <row r="31448">
      <c r="A31448" t="n">
        <v>31447</v>
      </c>
      <c r="B31448" t="inlineStr">
        <is>
          <t>x̄x̄x̄MCDXLVII</t>
        </is>
      </c>
      <c r="C31448">
        <f>ROMAN(31447)</f>
        <v/>
      </c>
      <c r="D31448">
        <f>IF(B31448=C31448, "YES", "WRONG")</f>
        <v/>
      </c>
    </row>
    <row r="31449">
      <c r="A31449" t="n">
        <v>31448</v>
      </c>
      <c r="B31449" t="inlineStr">
        <is>
          <t>x̄x̄x̄MCDXLVIII</t>
        </is>
      </c>
      <c r="C31449">
        <f>ROMAN(31448)</f>
        <v/>
      </c>
      <c r="D31449">
        <f>IF(B31449=C31449, "YES", "WRONG")</f>
        <v/>
      </c>
    </row>
    <row r="31450">
      <c r="A31450" t="n">
        <v>31449</v>
      </c>
      <c r="B31450" t="inlineStr">
        <is>
          <t>x̄x̄x̄MCDXLIX</t>
        </is>
      </c>
      <c r="C31450">
        <f>ROMAN(31449)</f>
        <v/>
      </c>
      <c r="D31450">
        <f>IF(B31450=C31450, "YES", "WRONG")</f>
        <v/>
      </c>
    </row>
    <row r="31451">
      <c r="A31451" t="n">
        <v>31450</v>
      </c>
      <c r="B31451" t="inlineStr">
        <is>
          <t>x̄x̄x̄MCDL</t>
        </is>
      </c>
      <c r="C31451">
        <f>ROMAN(31450)</f>
        <v/>
      </c>
      <c r="D31451">
        <f>IF(B31451=C31451, "YES", "WRONG")</f>
        <v/>
      </c>
    </row>
    <row r="31452">
      <c r="A31452" t="n">
        <v>31451</v>
      </c>
      <c r="B31452" t="inlineStr">
        <is>
          <t>x̄x̄x̄MCDLI</t>
        </is>
      </c>
      <c r="C31452">
        <f>ROMAN(31451)</f>
        <v/>
      </c>
      <c r="D31452">
        <f>IF(B31452=C31452, "YES", "WRONG")</f>
        <v/>
      </c>
    </row>
    <row r="31453">
      <c r="A31453" t="n">
        <v>31452</v>
      </c>
      <c r="B31453" t="inlineStr">
        <is>
          <t>x̄x̄x̄MCDLII</t>
        </is>
      </c>
      <c r="C31453">
        <f>ROMAN(31452)</f>
        <v/>
      </c>
      <c r="D31453">
        <f>IF(B31453=C31453, "YES", "WRONG")</f>
        <v/>
      </c>
    </row>
    <row r="31454">
      <c r="A31454" t="n">
        <v>31453</v>
      </c>
      <c r="B31454" t="inlineStr">
        <is>
          <t>x̄x̄x̄MCDLIII</t>
        </is>
      </c>
      <c r="C31454">
        <f>ROMAN(31453)</f>
        <v/>
      </c>
      <c r="D31454">
        <f>IF(B31454=C31454, "YES", "WRONG")</f>
        <v/>
      </c>
    </row>
    <row r="31455">
      <c r="A31455" t="n">
        <v>31454</v>
      </c>
      <c r="B31455" t="inlineStr">
        <is>
          <t>x̄x̄x̄MCDLIV</t>
        </is>
      </c>
      <c r="C31455">
        <f>ROMAN(31454)</f>
        <v/>
      </c>
      <c r="D31455">
        <f>IF(B31455=C31455, "YES", "WRONG")</f>
        <v/>
      </c>
    </row>
    <row r="31456">
      <c r="A31456" t="n">
        <v>31455</v>
      </c>
      <c r="B31456" t="inlineStr">
        <is>
          <t>x̄x̄x̄MCDLV</t>
        </is>
      </c>
      <c r="C31456">
        <f>ROMAN(31455)</f>
        <v/>
      </c>
      <c r="D31456">
        <f>IF(B31456=C31456, "YES", "WRONG")</f>
        <v/>
      </c>
    </row>
    <row r="31457">
      <c r="A31457" t="n">
        <v>31456</v>
      </c>
      <c r="B31457" t="inlineStr">
        <is>
          <t>x̄x̄x̄MCDLVI</t>
        </is>
      </c>
      <c r="C31457">
        <f>ROMAN(31456)</f>
        <v/>
      </c>
      <c r="D31457">
        <f>IF(B31457=C31457, "YES", "WRONG")</f>
        <v/>
      </c>
    </row>
    <row r="31458">
      <c r="A31458" t="n">
        <v>31457</v>
      </c>
      <c r="B31458" t="inlineStr">
        <is>
          <t>x̄x̄x̄MCDLVII</t>
        </is>
      </c>
      <c r="C31458">
        <f>ROMAN(31457)</f>
        <v/>
      </c>
      <c r="D31458">
        <f>IF(B31458=C31458, "YES", "WRONG")</f>
        <v/>
      </c>
    </row>
    <row r="31459">
      <c r="A31459" t="n">
        <v>31458</v>
      </c>
      <c r="B31459" t="inlineStr">
        <is>
          <t>x̄x̄x̄MCDLVIII</t>
        </is>
      </c>
      <c r="C31459">
        <f>ROMAN(31458)</f>
        <v/>
      </c>
      <c r="D31459">
        <f>IF(B31459=C31459, "YES", "WRONG")</f>
        <v/>
      </c>
    </row>
    <row r="31460">
      <c r="A31460" t="n">
        <v>31459</v>
      </c>
      <c r="B31460" t="inlineStr">
        <is>
          <t>x̄x̄x̄MCDLIX</t>
        </is>
      </c>
      <c r="C31460">
        <f>ROMAN(31459)</f>
        <v/>
      </c>
      <c r="D31460">
        <f>IF(B31460=C31460, "YES", "WRONG")</f>
        <v/>
      </c>
    </row>
    <row r="31461">
      <c r="A31461" t="n">
        <v>31460</v>
      </c>
      <c r="B31461" t="inlineStr">
        <is>
          <t>x̄x̄x̄MCDLX</t>
        </is>
      </c>
      <c r="C31461">
        <f>ROMAN(31460)</f>
        <v/>
      </c>
      <c r="D31461">
        <f>IF(B31461=C31461, "YES", "WRONG")</f>
        <v/>
      </c>
    </row>
    <row r="31462">
      <c r="A31462" t="n">
        <v>31461</v>
      </c>
      <c r="B31462" t="inlineStr">
        <is>
          <t>x̄x̄x̄MCDLXI</t>
        </is>
      </c>
      <c r="C31462">
        <f>ROMAN(31461)</f>
        <v/>
      </c>
      <c r="D31462">
        <f>IF(B31462=C31462, "YES", "WRONG")</f>
        <v/>
      </c>
    </row>
    <row r="31463">
      <c r="A31463" t="n">
        <v>31462</v>
      </c>
      <c r="B31463" t="inlineStr">
        <is>
          <t>x̄x̄x̄MCDLXII</t>
        </is>
      </c>
      <c r="C31463">
        <f>ROMAN(31462)</f>
        <v/>
      </c>
      <c r="D31463">
        <f>IF(B31463=C31463, "YES", "WRONG")</f>
        <v/>
      </c>
    </row>
    <row r="31464">
      <c r="A31464" t="n">
        <v>31463</v>
      </c>
      <c r="B31464" t="inlineStr">
        <is>
          <t>x̄x̄x̄MCDLXIII</t>
        </is>
      </c>
      <c r="C31464">
        <f>ROMAN(31463)</f>
        <v/>
      </c>
      <c r="D31464">
        <f>IF(B31464=C31464, "YES", "WRONG")</f>
        <v/>
      </c>
    </row>
    <row r="31465">
      <c r="A31465" t="n">
        <v>31464</v>
      </c>
      <c r="B31465" t="inlineStr">
        <is>
          <t>x̄x̄x̄MCDLXIV</t>
        </is>
      </c>
      <c r="C31465">
        <f>ROMAN(31464)</f>
        <v/>
      </c>
      <c r="D31465">
        <f>IF(B31465=C31465, "YES", "WRONG")</f>
        <v/>
      </c>
    </row>
    <row r="31466">
      <c r="A31466" t="n">
        <v>31465</v>
      </c>
      <c r="B31466" t="inlineStr">
        <is>
          <t>x̄x̄x̄MCDLXV</t>
        </is>
      </c>
      <c r="C31466">
        <f>ROMAN(31465)</f>
        <v/>
      </c>
      <c r="D31466">
        <f>IF(B31466=C31466, "YES", "WRONG")</f>
        <v/>
      </c>
    </row>
    <row r="31467">
      <c r="A31467" t="n">
        <v>31466</v>
      </c>
      <c r="B31467" t="inlineStr">
        <is>
          <t>x̄x̄x̄MCDLXVI</t>
        </is>
      </c>
      <c r="C31467">
        <f>ROMAN(31466)</f>
        <v/>
      </c>
      <c r="D31467">
        <f>IF(B31467=C31467, "YES", "WRONG")</f>
        <v/>
      </c>
    </row>
    <row r="31468">
      <c r="A31468" t="n">
        <v>31467</v>
      </c>
      <c r="B31468" t="inlineStr">
        <is>
          <t>x̄x̄x̄MCDLXVII</t>
        </is>
      </c>
      <c r="C31468">
        <f>ROMAN(31467)</f>
        <v/>
      </c>
      <c r="D31468">
        <f>IF(B31468=C31468, "YES", "WRONG")</f>
        <v/>
      </c>
    </row>
    <row r="31469">
      <c r="A31469" t="n">
        <v>31468</v>
      </c>
      <c r="B31469" t="inlineStr">
        <is>
          <t>x̄x̄x̄MCDLXVIII</t>
        </is>
      </c>
      <c r="C31469">
        <f>ROMAN(31468)</f>
        <v/>
      </c>
      <c r="D31469">
        <f>IF(B31469=C31469, "YES", "WRONG")</f>
        <v/>
      </c>
    </row>
    <row r="31470">
      <c r="A31470" t="n">
        <v>31469</v>
      </c>
      <c r="B31470" t="inlineStr">
        <is>
          <t>x̄x̄x̄MCDLXIX</t>
        </is>
      </c>
      <c r="C31470">
        <f>ROMAN(31469)</f>
        <v/>
      </c>
      <c r="D31470">
        <f>IF(B31470=C31470, "YES", "WRONG")</f>
        <v/>
      </c>
    </row>
    <row r="31471">
      <c r="A31471" t="n">
        <v>31470</v>
      </c>
      <c r="B31471" t="inlineStr">
        <is>
          <t>x̄x̄x̄MCDLXX</t>
        </is>
      </c>
      <c r="C31471">
        <f>ROMAN(31470)</f>
        <v/>
      </c>
      <c r="D31471">
        <f>IF(B31471=C31471, "YES", "WRONG")</f>
        <v/>
      </c>
    </row>
    <row r="31472">
      <c r="A31472" t="n">
        <v>31471</v>
      </c>
      <c r="B31472" t="inlineStr">
        <is>
          <t>x̄x̄x̄MCDLXXI</t>
        </is>
      </c>
      <c r="C31472">
        <f>ROMAN(31471)</f>
        <v/>
      </c>
      <c r="D31472">
        <f>IF(B31472=C31472, "YES", "WRONG")</f>
        <v/>
      </c>
    </row>
    <row r="31473">
      <c r="A31473" t="n">
        <v>31472</v>
      </c>
      <c r="B31473" t="inlineStr">
        <is>
          <t>x̄x̄x̄MCDLXXII</t>
        </is>
      </c>
      <c r="C31473">
        <f>ROMAN(31472)</f>
        <v/>
      </c>
      <c r="D31473">
        <f>IF(B31473=C31473, "YES", "WRONG")</f>
        <v/>
      </c>
    </row>
    <row r="31474">
      <c r="A31474" t="n">
        <v>31473</v>
      </c>
      <c r="B31474" t="inlineStr">
        <is>
          <t>x̄x̄x̄MCDLXXIII</t>
        </is>
      </c>
      <c r="C31474">
        <f>ROMAN(31473)</f>
        <v/>
      </c>
      <c r="D31474">
        <f>IF(B31474=C31474, "YES", "WRONG")</f>
        <v/>
      </c>
    </row>
    <row r="31475">
      <c r="A31475" t="n">
        <v>31474</v>
      </c>
      <c r="B31475" t="inlineStr">
        <is>
          <t>x̄x̄x̄MCDLXXIV</t>
        </is>
      </c>
      <c r="C31475">
        <f>ROMAN(31474)</f>
        <v/>
      </c>
      <c r="D31475">
        <f>IF(B31475=C31475, "YES", "WRONG")</f>
        <v/>
      </c>
    </row>
    <row r="31476">
      <c r="A31476" t="n">
        <v>31475</v>
      </c>
      <c r="B31476" t="inlineStr">
        <is>
          <t>x̄x̄x̄MCDLXXV</t>
        </is>
      </c>
      <c r="C31476">
        <f>ROMAN(31475)</f>
        <v/>
      </c>
      <c r="D31476">
        <f>IF(B31476=C31476, "YES", "WRONG")</f>
        <v/>
      </c>
    </row>
    <row r="31477">
      <c r="A31477" t="n">
        <v>31476</v>
      </c>
      <c r="B31477" t="inlineStr">
        <is>
          <t>x̄x̄x̄MCDLXXVI</t>
        </is>
      </c>
      <c r="C31477">
        <f>ROMAN(31476)</f>
        <v/>
      </c>
      <c r="D31477">
        <f>IF(B31477=C31477, "YES", "WRONG")</f>
        <v/>
      </c>
    </row>
    <row r="31478">
      <c r="A31478" t="n">
        <v>31477</v>
      </c>
      <c r="B31478" t="inlineStr">
        <is>
          <t>x̄x̄x̄MCDLXXVII</t>
        </is>
      </c>
      <c r="C31478">
        <f>ROMAN(31477)</f>
        <v/>
      </c>
      <c r="D31478">
        <f>IF(B31478=C31478, "YES", "WRONG")</f>
        <v/>
      </c>
    </row>
    <row r="31479">
      <c r="A31479" t="n">
        <v>31478</v>
      </c>
      <c r="B31479" t="inlineStr">
        <is>
          <t>x̄x̄x̄MCDLXXVIII</t>
        </is>
      </c>
      <c r="C31479">
        <f>ROMAN(31478)</f>
        <v/>
      </c>
      <c r="D31479">
        <f>IF(B31479=C31479, "YES", "WRONG")</f>
        <v/>
      </c>
    </row>
    <row r="31480">
      <c r="A31480" t="n">
        <v>31479</v>
      </c>
      <c r="B31480" t="inlineStr">
        <is>
          <t>x̄x̄x̄MCDLXXIX</t>
        </is>
      </c>
      <c r="C31480">
        <f>ROMAN(31479)</f>
        <v/>
      </c>
      <c r="D31480">
        <f>IF(B31480=C31480, "YES", "WRONG")</f>
        <v/>
      </c>
    </row>
    <row r="31481">
      <c r="A31481" t="n">
        <v>31480</v>
      </c>
      <c r="B31481" t="inlineStr">
        <is>
          <t>x̄x̄x̄MCDLXXX</t>
        </is>
      </c>
      <c r="C31481">
        <f>ROMAN(31480)</f>
        <v/>
      </c>
      <c r="D31481">
        <f>IF(B31481=C31481, "YES", "WRONG")</f>
        <v/>
      </c>
    </row>
    <row r="31482">
      <c r="A31482" t="n">
        <v>31481</v>
      </c>
      <c r="B31482" t="inlineStr">
        <is>
          <t>x̄x̄x̄MCDLXXXI</t>
        </is>
      </c>
      <c r="C31482">
        <f>ROMAN(31481)</f>
        <v/>
      </c>
      <c r="D31482">
        <f>IF(B31482=C31482, "YES", "WRONG")</f>
        <v/>
      </c>
    </row>
    <row r="31483">
      <c r="A31483" t="n">
        <v>31482</v>
      </c>
      <c r="B31483" t="inlineStr">
        <is>
          <t>x̄x̄x̄MCDLXXXII</t>
        </is>
      </c>
      <c r="C31483">
        <f>ROMAN(31482)</f>
        <v/>
      </c>
      <c r="D31483">
        <f>IF(B31483=C31483, "YES", "WRONG")</f>
        <v/>
      </c>
    </row>
    <row r="31484">
      <c r="A31484" t="n">
        <v>31483</v>
      </c>
      <c r="B31484" t="inlineStr">
        <is>
          <t>x̄x̄x̄MCDLXXXIII</t>
        </is>
      </c>
      <c r="C31484">
        <f>ROMAN(31483)</f>
        <v/>
      </c>
      <c r="D31484">
        <f>IF(B31484=C31484, "YES", "WRONG")</f>
        <v/>
      </c>
    </row>
    <row r="31485">
      <c r="A31485" t="n">
        <v>31484</v>
      </c>
      <c r="B31485" t="inlineStr">
        <is>
          <t>x̄x̄x̄MCDLXXXIV</t>
        </is>
      </c>
      <c r="C31485">
        <f>ROMAN(31484)</f>
        <v/>
      </c>
      <c r="D31485">
        <f>IF(B31485=C31485, "YES", "WRONG")</f>
        <v/>
      </c>
    </row>
    <row r="31486">
      <c r="A31486" t="n">
        <v>31485</v>
      </c>
      <c r="B31486" t="inlineStr">
        <is>
          <t>x̄x̄x̄MCDLXXXV</t>
        </is>
      </c>
      <c r="C31486">
        <f>ROMAN(31485)</f>
        <v/>
      </c>
      <c r="D31486">
        <f>IF(B31486=C31486, "YES", "WRONG")</f>
        <v/>
      </c>
    </row>
    <row r="31487">
      <c r="A31487" t="n">
        <v>31486</v>
      </c>
      <c r="B31487" t="inlineStr">
        <is>
          <t>x̄x̄x̄MCDLXXXVI</t>
        </is>
      </c>
      <c r="C31487">
        <f>ROMAN(31486)</f>
        <v/>
      </c>
      <c r="D31487">
        <f>IF(B31487=C31487, "YES", "WRONG")</f>
        <v/>
      </c>
    </row>
    <row r="31488">
      <c r="A31488" t="n">
        <v>31487</v>
      </c>
      <c r="B31488" t="inlineStr">
        <is>
          <t>x̄x̄x̄MCDLXXXVII</t>
        </is>
      </c>
      <c r="C31488">
        <f>ROMAN(31487)</f>
        <v/>
      </c>
      <c r="D31488">
        <f>IF(B31488=C31488, "YES", "WRONG")</f>
        <v/>
      </c>
    </row>
    <row r="31489">
      <c r="A31489" t="n">
        <v>31488</v>
      </c>
      <c r="B31489" t="inlineStr">
        <is>
          <t>x̄x̄x̄MCDLXXXVIII</t>
        </is>
      </c>
      <c r="C31489">
        <f>ROMAN(31488)</f>
        <v/>
      </c>
      <c r="D31489">
        <f>IF(B31489=C31489, "YES", "WRONG")</f>
        <v/>
      </c>
    </row>
    <row r="31490">
      <c r="A31490" t="n">
        <v>31489</v>
      </c>
      <c r="B31490" t="inlineStr">
        <is>
          <t>x̄x̄x̄MCDLXXXIX</t>
        </is>
      </c>
      <c r="C31490">
        <f>ROMAN(31489)</f>
        <v/>
      </c>
      <c r="D31490">
        <f>IF(B31490=C31490, "YES", "WRONG")</f>
        <v/>
      </c>
    </row>
    <row r="31491">
      <c r="A31491" t="n">
        <v>31490</v>
      </c>
      <c r="B31491" t="inlineStr">
        <is>
          <t>x̄x̄x̄MCDXC</t>
        </is>
      </c>
      <c r="C31491">
        <f>ROMAN(31490)</f>
        <v/>
      </c>
      <c r="D31491">
        <f>IF(B31491=C31491, "YES", "WRONG")</f>
        <v/>
      </c>
    </row>
    <row r="31492">
      <c r="A31492" t="n">
        <v>31491</v>
      </c>
      <c r="B31492" t="inlineStr">
        <is>
          <t>x̄x̄x̄MCDXCI</t>
        </is>
      </c>
      <c r="C31492">
        <f>ROMAN(31491)</f>
        <v/>
      </c>
      <c r="D31492">
        <f>IF(B31492=C31492, "YES", "WRONG")</f>
        <v/>
      </c>
    </row>
    <row r="31493">
      <c r="A31493" t="n">
        <v>31492</v>
      </c>
      <c r="B31493" t="inlineStr">
        <is>
          <t>x̄x̄x̄MCDXCII</t>
        </is>
      </c>
      <c r="C31493">
        <f>ROMAN(31492)</f>
        <v/>
      </c>
      <c r="D31493">
        <f>IF(B31493=C31493, "YES", "WRONG")</f>
        <v/>
      </c>
    </row>
    <row r="31494">
      <c r="A31494" t="n">
        <v>31493</v>
      </c>
      <c r="B31494" t="inlineStr">
        <is>
          <t>x̄x̄x̄MCDXCIII</t>
        </is>
      </c>
      <c r="C31494">
        <f>ROMAN(31493)</f>
        <v/>
      </c>
      <c r="D31494">
        <f>IF(B31494=C31494, "YES", "WRONG")</f>
        <v/>
      </c>
    </row>
    <row r="31495">
      <c r="A31495" t="n">
        <v>31494</v>
      </c>
      <c r="B31495" t="inlineStr">
        <is>
          <t>x̄x̄x̄MCDXCIV</t>
        </is>
      </c>
      <c r="C31495">
        <f>ROMAN(31494)</f>
        <v/>
      </c>
      <c r="D31495">
        <f>IF(B31495=C31495, "YES", "WRONG")</f>
        <v/>
      </c>
    </row>
    <row r="31496">
      <c r="A31496" t="n">
        <v>31495</v>
      </c>
      <c r="B31496" t="inlineStr">
        <is>
          <t>x̄x̄x̄MCDXCV</t>
        </is>
      </c>
      <c r="C31496">
        <f>ROMAN(31495)</f>
        <v/>
      </c>
      <c r="D31496">
        <f>IF(B31496=C31496, "YES", "WRONG")</f>
        <v/>
      </c>
    </row>
    <row r="31497">
      <c r="A31497" t="n">
        <v>31496</v>
      </c>
      <c r="B31497" t="inlineStr">
        <is>
          <t>x̄x̄x̄MCDXCVI</t>
        </is>
      </c>
      <c r="C31497">
        <f>ROMAN(31496)</f>
        <v/>
      </c>
      <c r="D31497">
        <f>IF(B31497=C31497, "YES", "WRONG")</f>
        <v/>
      </c>
    </row>
    <row r="31498">
      <c r="A31498" t="n">
        <v>31497</v>
      </c>
      <c r="B31498" t="inlineStr">
        <is>
          <t>x̄x̄x̄MCDXCVII</t>
        </is>
      </c>
      <c r="C31498">
        <f>ROMAN(31497)</f>
        <v/>
      </c>
      <c r="D31498">
        <f>IF(B31498=C31498, "YES", "WRONG")</f>
        <v/>
      </c>
    </row>
    <row r="31499">
      <c r="A31499" t="n">
        <v>31498</v>
      </c>
      <c r="B31499" t="inlineStr">
        <is>
          <t>x̄x̄x̄MCDXCVIII</t>
        </is>
      </c>
      <c r="C31499">
        <f>ROMAN(31498)</f>
        <v/>
      </c>
      <c r="D31499">
        <f>IF(B31499=C31499, "YES", "WRONG")</f>
        <v/>
      </c>
    </row>
    <row r="31500">
      <c r="A31500" t="n">
        <v>31499</v>
      </c>
      <c r="B31500" t="inlineStr">
        <is>
          <t>x̄x̄x̄MCDXCIX</t>
        </is>
      </c>
      <c r="C31500">
        <f>ROMAN(31499)</f>
        <v/>
      </c>
      <c r="D31500">
        <f>IF(B31500=C31500, "YES", "WRONG")</f>
        <v/>
      </c>
    </row>
    <row r="31501">
      <c r="A31501" t="n">
        <v>31500</v>
      </c>
      <c r="B31501" t="inlineStr">
        <is>
          <t>x̄x̄x̄MD</t>
        </is>
      </c>
      <c r="C31501">
        <f>ROMAN(31500)</f>
        <v/>
      </c>
      <c r="D31501">
        <f>IF(B31501=C31501, "YES", "WRONG")</f>
        <v/>
      </c>
    </row>
    <row r="31502">
      <c r="A31502" t="n">
        <v>31501</v>
      </c>
      <c r="B31502" t="inlineStr">
        <is>
          <t>x̄x̄x̄MDI</t>
        </is>
      </c>
      <c r="C31502">
        <f>ROMAN(31501)</f>
        <v/>
      </c>
      <c r="D31502">
        <f>IF(B31502=C31502, "YES", "WRONG")</f>
        <v/>
      </c>
    </row>
    <row r="31503">
      <c r="A31503" t="n">
        <v>31502</v>
      </c>
      <c r="B31503" t="inlineStr">
        <is>
          <t>x̄x̄x̄MDII</t>
        </is>
      </c>
      <c r="C31503">
        <f>ROMAN(31502)</f>
        <v/>
      </c>
      <c r="D31503">
        <f>IF(B31503=C31503, "YES", "WRONG")</f>
        <v/>
      </c>
    </row>
    <row r="31504">
      <c r="A31504" t="n">
        <v>31503</v>
      </c>
      <c r="B31504" t="inlineStr">
        <is>
          <t>x̄x̄x̄MDIII</t>
        </is>
      </c>
      <c r="C31504">
        <f>ROMAN(31503)</f>
        <v/>
      </c>
      <c r="D31504">
        <f>IF(B31504=C31504, "YES", "WRONG")</f>
        <v/>
      </c>
    </row>
    <row r="31505">
      <c r="A31505" t="n">
        <v>31504</v>
      </c>
      <c r="B31505" t="inlineStr">
        <is>
          <t>x̄x̄x̄MDIV</t>
        </is>
      </c>
      <c r="C31505">
        <f>ROMAN(31504)</f>
        <v/>
      </c>
      <c r="D31505">
        <f>IF(B31505=C31505, "YES", "WRONG")</f>
        <v/>
      </c>
    </row>
    <row r="31506">
      <c r="A31506" t="n">
        <v>31505</v>
      </c>
      <c r="B31506" t="inlineStr">
        <is>
          <t>x̄x̄x̄MDV</t>
        </is>
      </c>
      <c r="C31506">
        <f>ROMAN(31505)</f>
        <v/>
      </c>
      <c r="D31506">
        <f>IF(B31506=C31506, "YES", "WRONG")</f>
        <v/>
      </c>
    </row>
    <row r="31507">
      <c r="A31507" t="n">
        <v>31506</v>
      </c>
      <c r="B31507" t="inlineStr">
        <is>
          <t>x̄x̄x̄MDVI</t>
        </is>
      </c>
      <c r="C31507">
        <f>ROMAN(31506)</f>
        <v/>
      </c>
      <c r="D31507">
        <f>IF(B31507=C31507, "YES", "WRONG")</f>
        <v/>
      </c>
    </row>
    <row r="31508">
      <c r="A31508" t="n">
        <v>31507</v>
      </c>
      <c r="B31508" t="inlineStr">
        <is>
          <t>x̄x̄x̄MDVII</t>
        </is>
      </c>
      <c r="C31508">
        <f>ROMAN(31507)</f>
        <v/>
      </c>
      <c r="D31508">
        <f>IF(B31508=C31508, "YES", "WRONG")</f>
        <v/>
      </c>
    </row>
    <row r="31509">
      <c r="A31509" t="n">
        <v>31508</v>
      </c>
      <c r="B31509" t="inlineStr">
        <is>
          <t>x̄x̄x̄MDVIII</t>
        </is>
      </c>
      <c r="C31509">
        <f>ROMAN(31508)</f>
        <v/>
      </c>
      <c r="D31509">
        <f>IF(B31509=C31509, "YES", "WRONG")</f>
        <v/>
      </c>
    </row>
    <row r="31510">
      <c r="A31510" t="n">
        <v>31509</v>
      </c>
      <c r="B31510" t="inlineStr">
        <is>
          <t>x̄x̄x̄MDIX</t>
        </is>
      </c>
      <c r="C31510">
        <f>ROMAN(31509)</f>
        <v/>
      </c>
      <c r="D31510">
        <f>IF(B31510=C31510, "YES", "WRONG")</f>
        <v/>
      </c>
    </row>
    <row r="31511">
      <c r="A31511" t="n">
        <v>31510</v>
      </c>
      <c r="B31511" t="inlineStr">
        <is>
          <t>x̄x̄x̄MDX</t>
        </is>
      </c>
      <c r="C31511">
        <f>ROMAN(31510)</f>
        <v/>
      </c>
      <c r="D31511">
        <f>IF(B31511=C31511, "YES", "WRONG")</f>
        <v/>
      </c>
    </row>
    <row r="31512">
      <c r="A31512" t="n">
        <v>31511</v>
      </c>
      <c r="B31512" t="inlineStr">
        <is>
          <t>x̄x̄x̄MDXI</t>
        </is>
      </c>
      <c r="C31512">
        <f>ROMAN(31511)</f>
        <v/>
      </c>
      <c r="D31512">
        <f>IF(B31512=C31512, "YES", "WRONG")</f>
        <v/>
      </c>
    </row>
    <row r="31513">
      <c r="A31513" t="n">
        <v>31512</v>
      </c>
      <c r="B31513" t="inlineStr">
        <is>
          <t>x̄x̄x̄MDXII</t>
        </is>
      </c>
      <c r="C31513">
        <f>ROMAN(31512)</f>
        <v/>
      </c>
      <c r="D31513">
        <f>IF(B31513=C31513, "YES", "WRONG")</f>
        <v/>
      </c>
    </row>
    <row r="31514">
      <c r="A31514" t="n">
        <v>31513</v>
      </c>
      <c r="B31514" t="inlineStr">
        <is>
          <t>x̄x̄x̄MDXIII</t>
        </is>
      </c>
      <c r="C31514">
        <f>ROMAN(31513)</f>
        <v/>
      </c>
      <c r="D31514">
        <f>IF(B31514=C31514, "YES", "WRONG")</f>
        <v/>
      </c>
    </row>
    <row r="31515">
      <c r="A31515" t="n">
        <v>31514</v>
      </c>
      <c r="B31515" t="inlineStr">
        <is>
          <t>x̄x̄x̄MDXIV</t>
        </is>
      </c>
      <c r="C31515">
        <f>ROMAN(31514)</f>
        <v/>
      </c>
      <c r="D31515">
        <f>IF(B31515=C31515, "YES", "WRONG")</f>
        <v/>
      </c>
    </row>
    <row r="31516">
      <c r="A31516" t="n">
        <v>31515</v>
      </c>
      <c r="B31516" t="inlineStr">
        <is>
          <t>x̄x̄x̄MDXV</t>
        </is>
      </c>
      <c r="C31516">
        <f>ROMAN(31515)</f>
        <v/>
      </c>
      <c r="D31516">
        <f>IF(B31516=C31516, "YES", "WRONG")</f>
        <v/>
      </c>
    </row>
    <row r="31517">
      <c r="A31517" t="n">
        <v>31516</v>
      </c>
      <c r="B31517" t="inlineStr">
        <is>
          <t>x̄x̄x̄MDXVI</t>
        </is>
      </c>
      <c r="C31517">
        <f>ROMAN(31516)</f>
        <v/>
      </c>
      <c r="D31517">
        <f>IF(B31517=C31517, "YES", "WRONG")</f>
        <v/>
      </c>
    </row>
    <row r="31518">
      <c r="A31518" t="n">
        <v>31517</v>
      </c>
      <c r="B31518" t="inlineStr">
        <is>
          <t>x̄x̄x̄MDXVII</t>
        </is>
      </c>
      <c r="C31518">
        <f>ROMAN(31517)</f>
        <v/>
      </c>
      <c r="D31518">
        <f>IF(B31518=C31518, "YES", "WRONG")</f>
        <v/>
      </c>
    </row>
    <row r="31519">
      <c r="A31519" t="n">
        <v>31518</v>
      </c>
      <c r="B31519" t="inlineStr">
        <is>
          <t>x̄x̄x̄MDXVIII</t>
        </is>
      </c>
      <c r="C31519">
        <f>ROMAN(31518)</f>
        <v/>
      </c>
      <c r="D31519">
        <f>IF(B31519=C31519, "YES", "WRONG")</f>
        <v/>
      </c>
    </row>
    <row r="31520">
      <c r="A31520" t="n">
        <v>31519</v>
      </c>
      <c r="B31520" t="inlineStr">
        <is>
          <t>x̄x̄x̄MDXIX</t>
        </is>
      </c>
      <c r="C31520">
        <f>ROMAN(31519)</f>
        <v/>
      </c>
      <c r="D31520">
        <f>IF(B31520=C31520, "YES", "WRONG")</f>
        <v/>
      </c>
    </row>
    <row r="31521">
      <c r="A31521" t="n">
        <v>31520</v>
      </c>
      <c r="B31521" t="inlineStr">
        <is>
          <t>x̄x̄x̄MDXX</t>
        </is>
      </c>
      <c r="C31521">
        <f>ROMAN(31520)</f>
        <v/>
      </c>
      <c r="D31521">
        <f>IF(B31521=C31521, "YES", "WRONG")</f>
        <v/>
      </c>
    </row>
    <row r="31522">
      <c r="A31522" t="n">
        <v>31521</v>
      </c>
      <c r="B31522" t="inlineStr">
        <is>
          <t>x̄x̄x̄MDXXI</t>
        </is>
      </c>
      <c r="C31522">
        <f>ROMAN(31521)</f>
        <v/>
      </c>
      <c r="D31522">
        <f>IF(B31522=C31522, "YES", "WRONG")</f>
        <v/>
      </c>
    </row>
    <row r="31523">
      <c r="A31523" t="n">
        <v>31522</v>
      </c>
      <c r="B31523" t="inlineStr">
        <is>
          <t>x̄x̄x̄MDXXII</t>
        </is>
      </c>
      <c r="C31523">
        <f>ROMAN(31522)</f>
        <v/>
      </c>
      <c r="D31523">
        <f>IF(B31523=C31523, "YES", "WRONG")</f>
        <v/>
      </c>
    </row>
    <row r="31524">
      <c r="A31524" t="n">
        <v>31523</v>
      </c>
      <c r="B31524" t="inlineStr">
        <is>
          <t>x̄x̄x̄MDXXIII</t>
        </is>
      </c>
      <c r="C31524">
        <f>ROMAN(31523)</f>
        <v/>
      </c>
      <c r="D31524">
        <f>IF(B31524=C31524, "YES", "WRONG")</f>
        <v/>
      </c>
    </row>
    <row r="31525">
      <c r="A31525" t="n">
        <v>31524</v>
      </c>
      <c r="B31525" t="inlineStr">
        <is>
          <t>x̄x̄x̄MDXXIV</t>
        </is>
      </c>
      <c r="C31525">
        <f>ROMAN(31524)</f>
        <v/>
      </c>
      <c r="D31525">
        <f>IF(B31525=C31525, "YES", "WRONG")</f>
        <v/>
      </c>
    </row>
    <row r="31526">
      <c r="A31526" t="n">
        <v>31525</v>
      </c>
      <c r="B31526" t="inlineStr">
        <is>
          <t>x̄x̄x̄MDXXV</t>
        </is>
      </c>
      <c r="C31526">
        <f>ROMAN(31525)</f>
        <v/>
      </c>
      <c r="D31526">
        <f>IF(B31526=C31526, "YES", "WRONG")</f>
        <v/>
      </c>
    </row>
    <row r="31527">
      <c r="A31527" t="n">
        <v>31526</v>
      </c>
      <c r="B31527" t="inlineStr">
        <is>
          <t>x̄x̄x̄MDXXVI</t>
        </is>
      </c>
      <c r="C31527">
        <f>ROMAN(31526)</f>
        <v/>
      </c>
      <c r="D31527">
        <f>IF(B31527=C31527, "YES", "WRONG")</f>
        <v/>
      </c>
    </row>
    <row r="31528">
      <c r="A31528" t="n">
        <v>31527</v>
      </c>
      <c r="B31528" t="inlineStr">
        <is>
          <t>x̄x̄x̄MDXXVII</t>
        </is>
      </c>
      <c r="C31528">
        <f>ROMAN(31527)</f>
        <v/>
      </c>
      <c r="D31528">
        <f>IF(B31528=C31528, "YES", "WRONG")</f>
        <v/>
      </c>
    </row>
    <row r="31529">
      <c r="A31529" t="n">
        <v>31528</v>
      </c>
      <c r="B31529" t="inlineStr">
        <is>
          <t>x̄x̄x̄MDXXVIII</t>
        </is>
      </c>
      <c r="C31529">
        <f>ROMAN(31528)</f>
        <v/>
      </c>
      <c r="D31529">
        <f>IF(B31529=C31529, "YES", "WRONG")</f>
        <v/>
      </c>
    </row>
    <row r="31530">
      <c r="A31530" t="n">
        <v>31529</v>
      </c>
      <c r="B31530" t="inlineStr">
        <is>
          <t>x̄x̄x̄MDXXIX</t>
        </is>
      </c>
      <c r="C31530">
        <f>ROMAN(31529)</f>
        <v/>
      </c>
      <c r="D31530">
        <f>IF(B31530=C31530, "YES", "WRONG")</f>
        <v/>
      </c>
    </row>
    <row r="31531">
      <c r="A31531" t="n">
        <v>31530</v>
      </c>
      <c r="B31531" t="inlineStr">
        <is>
          <t>x̄x̄x̄MDXXX</t>
        </is>
      </c>
      <c r="C31531">
        <f>ROMAN(31530)</f>
        <v/>
      </c>
      <c r="D31531">
        <f>IF(B31531=C31531, "YES", "WRONG")</f>
        <v/>
      </c>
    </row>
    <row r="31532">
      <c r="A31532" t="n">
        <v>31531</v>
      </c>
      <c r="B31532" t="inlineStr">
        <is>
          <t>x̄x̄x̄MDXXXI</t>
        </is>
      </c>
      <c r="C31532">
        <f>ROMAN(31531)</f>
        <v/>
      </c>
      <c r="D31532">
        <f>IF(B31532=C31532, "YES", "WRONG")</f>
        <v/>
      </c>
    </row>
    <row r="31533">
      <c r="A31533" t="n">
        <v>31532</v>
      </c>
      <c r="B31533" t="inlineStr">
        <is>
          <t>x̄x̄x̄MDXXXII</t>
        </is>
      </c>
      <c r="C31533">
        <f>ROMAN(31532)</f>
        <v/>
      </c>
      <c r="D31533">
        <f>IF(B31533=C31533, "YES", "WRONG")</f>
        <v/>
      </c>
    </row>
    <row r="31534">
      <c r="A31534" t="n">
        <v>31533</v>
      </c>
      <c r="B31534" t="inlineStr">
        <is>
          <t>x̄x̄x̄MDXXXIII</t>
        </is>
      </c>
      <c r="C31534">
        <f>ROMAN(31533)</f>
        <v/>
      </c>
      <c r="D31534">
        <f>IF(B31534=C31534, "YES", "WRONG")</f>
        <v/>
      </c>
    </row>
    <row r="31535">
      <c r="A31535" t="n">
        <v>31534</v>
      </c>
      <c r="B31535" t="inlineStr">
        <is>
          <t>x̄x̄x̄MDXXXIV</t>
        </is>
      </c>
      <c r="C31535">
        <f>ROMAN(31534)</f>
        <v/>
      </c>
      <c r="D31535">
        <f>IF(B31535=C31535, "YES", "WRONG")</f>
        <v/>
      </c>
    </row>
    <row r="31536">
      <c r="A31536" t="n">
        <v>31535</v>
      </c>
      <c r="B31536" t="inlineStr">
        <is>
          <t>x̄x̄x̄MDXXXV</t>
        </is>
      </c>
      <c r="C31536">
        <f>ROMAN(31535)</f>
        <v/>
      </c>
      <c r="D31536">
        <f>IF(B31536=C31536, "YES", "WRONG")</f>
        <v/>
      </c>
    </row>
    <row r="31537">
      <c r="A31537" t="n">
        <v>31536</v>
      </c>
      <c r="B31537" t="inlineStr">
        <is>
          <t>x̄x̄x̄MDXXXVI</t>
        </is>
      </c>
      <c r="C31537">
        <f>ROMAN(31536)</f>
        <v/>
      </c>
      <c r="D31537">
        <f>IF(B31537=C31537, "YES", "WRONG")</f>
        <v/>
      </c>
    </row>
    <row r="31538">
      <c r="A31538" t="n">
        <v>31537</v>
      </c>
      <c r="B31538" t="inlineStr">
        <is>
          <t>x̄x̄x̄MDXXXVII</t>
        </is>
      </c>
      <c r="C31538">
        <f>ROMAN(31537)</f>
        <v/>
      </c>
      <c r="D31538">
        <f>IF(B31538=C31538, "YES", "WRONG")</f>
        <v/>
      </c>
    </row>
    <row r="31539">
      <c r="A31539" t="n">
        <v>31538</v>
      </c>
      <c r="B31539" t="inlineStr">
        <is>
          <t>x̄x̄x̄MDXXXVIII</t>
        </is>
      </c>
      <c r="C31539">
        <f>ROMAN(31538)</f>
        <v/>
      </c>
      <c r="D31539">
        <f>IF(B31539=C31539, "YES", "WRONG")</f>
        <v/>
      </c>
    </row>
    <row r="31540">
      <c r="A31540" t="n">
        <v>31539</v>
      </c>
      <c r="B31540" t="inlineStr">
        <is>
          <t>x̄x̄x̄MDXXXIX</t>
        </is>
      </c>
      <c r="C31540">
        <f>ROMAN(31539)</f>
        <v/>
      </c>
      <c r="D31540">
        <f>IF(B31540=C31540, "YES", "WRONG")</f>
        <v/>
      </c>
    </row>
    <row r="31541">
      <c r="A31541" t="n">
        <v>31540</v>
      </c>
      <c r="B31541" t="inlineStr">
        <is>
          <t>x̄x̄x̄MDXL</t>
        </is>
      </c>
      <c r="C31541">
        <f>ROMAN(31540)</f>
        <v/>
      </c>
      <c r="D31541">
        <f>IF(B31541=C31541, "YES", "WRONG")</f>
        <v/>
      </c>
    </row>
    <row r="31542">
      <c r="A31542" t="n">
        <v>31541</v>
      </c>
      <c r="B31542" t="inlineStr">
        <is>
          <t>x̄x̄x̄MDXLI</t>
        </is>
      </c>
      <c r="C31542">
        <f>ROMAN(31541)</f>
        <v/>
      </c>
      <c r="D31542">
        <f>IF(B31542=C31542, "YES", "WRONG")</f>
        <v/>
      </c>
    </row>
    <row r="31543">
      <c r="A31543" t="n">
        <v>31542</v>
      </c>
      <c r="B31543" t="inlineStr">
        <is>
          <t>x̄x̄x̄MDXLII</t>
        </is>
      </c>
      <c r="C31543">
        <f>ROMAN(31542)</f>
        <v/>
      </c>
      <c r="D31543">
        <f>IF(B31543=C31543, "YES", "WRONG")</f>
        <v/>
      </c>
    </row>
    <row r="31544">
      <c r="A31544" t="n">
        <v>31543</v>
      </c>
      <c r="B31544" t="inlineStr">
        <is>
          <t>x̄x̄x̄MDXLIII</t>
        </is>
      </c>
      <c r="C31544">
        <f>ROMAN(31543)</f>
        <v/>
      </c>
      <c r="D31544">
        <f>IF(B31544=C31544, "YES", "WRONG")</f>
        <v/>
      </c>
    </row>
    <row r="31545">
      <c r="A31545" t="n">
        <v>31544</v>
      </c>
      <c r="B31545" t="inlineStr">
        <is>
          <t>x̄x̄x̄MDXLIV</t>
        </is>
      </c>
      <c r="C31545">
        <f>ROMAN(31544)</f>
        <v/>
      </c>
      <c r="D31545">
        <f>IF(B31545=C31545, "YES", "WRONG")</f>
        <v/>
      </c>
    </row>
    <row r="31546">
      <c r="A31546" t="n">
        <v>31545</v>
      </c>
      <c r="B31546" t="inlineStr">
        <is>
          <t>x̄x̄x̄MDXLV</t>
        </is>
      </c>
      <c r="C31546">
        <f>ROMAN(31545)</f>
        <v/>
      </c>
      <c r="D31546">
        <f>IF(B31546=C31546, "YES", "WRONG")</f>
        <v/>
      </c>
    </row>
    <row r="31547">
      <c r="A31547" t="n">
        <v>31546</v>
      </c>
      <c r="B31547" t="inlineStr">
        <is>
          <t>x̄x̄x̄MDXLVI</t>
        </is>
      </c>
      <c r="C31547">
        <f>ROMAN(31546)</f>
        <v/>
      </c>
      <c r="D31547">
        <f>IF(B31547=C31547, "YES", "WRONG")</f>
        <v/>
      </c>
    </row>
    <row r="31548">
      <c r="A31548" t="n">
        <v>31547</v>
      </c>
      <c r="B31548" t="inlineStr">
        <is>
          <t>x̄x̄x̄MDXLVII</t>
        </is>
      </c>
      <c r="C31548">
        <f>ROMAN(31547)</f>
        <v/>
      </c>
      <c r="D31548">
        <f>IF(B31548=C31548, "YES", "WRONG")</f>
        <v/>
      </c>
    </row>
    <row r="31549">
      <c r="A31549" t="n">
        <v>31548</v>
      </c>
      <c r="B31549" t="inlineStr">
        <is>
          <t>x̄x̄x̄MDXLVIII</t>
        </is>
      </c>
      <c r="C31549">
        <f>ROMAN(31548)</f>
        <v/>
      </c>
      <c r="D31549">
        <f>IF(B31549=C31549, "YES", "WRONG")</f>
        <v/>
      </c>
    </row>
    <row r="31550">
      <c r="A31550" t="n">
        <v>31549</v>
      </c>
      <c r="B31550" t="inlineStr">
        <is>
          <t>x̄x̄x̄MDXLIX</t>
        </is>
      </c>
      <c r="C31550">
        <f>ROMAN(31549)</f>
        <v/>
      </c>
      <c r="D31550">
        <f>IF(B31550=C31550, "YES", "WRONG")</f>
        <v/>
      </c>
    </row>
    <row r="31551">
      <c r="A31551" t="n">
        <v>31550</v>
      </c>
      <c r="B31551" t="inlineStr">
        <is>
          <t>x̄x̄x̄MDL</t>
        </is>
      </c>
      <c r="C31551">
        <f>ROMAN(31550)</f>
        <v/>
      </c>
      <c r="D31551">
        <f>IF(B31551=C31551, "YES", "WRONG")</f>
        <v/>
      </c>
    </row>
    <row r="31552">
      <c r="A31552" t="n">
        <v>31551</v>
      </c>
      <c r="B31552" t="inlineStr">
        <is>
          <t>x̄x̄x̄MDLI</t>
        </is>
      </c>
      <c r="C31552">
        <f>ROMAN(31551)</f>
        <v/>
      </c>
      <c r="D31552">
        <f>IF(B31552=C31552, "YES", "WRONG")</f>
        <v/>
      </c>
    </row>
    <row r="31553">
      <c r="A31553" t="n">
        <v>31552</v>
      </c>
      <c r="B31553" t="inlineStr">
        <is>
          <t>x̄x̄x̄MDLII</t>
        </is>
      </c>
      <c r="C31553">
        <f>ROMAN(31552)</f>
        <v/>
      </c>
      <c r="D31553">
        <f>IF(B31553=C31553, "YES", "WRONG")</f>
        <v/>
      </c>
    </row>
    <row r="31554">
      <c r="A31554" t="n">
        <v>31553</v>
      </c>
      <c r="B31554" t="inlineStr">
        <is>
          <t>x̄x̄x̄MDLIII</t>
        </is>
      </c>
      <c r="C31554">
        <f>ROMAN(31553)</f>
        <v/>
      </c>
      <c r="D31554">
        <f>IF(B31554=C31554, "YES", "WRONG")</f>
        <v/>
      </c>
    </row>
    <row r="31555">
      <c r="A31555" t="n">
        <v>31554</v>
      </c>
      <c r="B31555" t="inlineStr">
        <is>
          <t>x̄x̄x̄MDLIV</t>
        </is>
      </c>
      <c r="C31555">
        <f>ROMAN(31554)</f>
        <v/>
      </c>
      <c r="D31555">
        <f>IF(B31555=C31555, "YES", "WRONG")</f>
        <v/>
      </c>
    </row>
    <row r="31556">
      <c r="A31556" t="n">
        <v>31555</v>
      </c>
      <c r="B31556" t="inlineStr">
        <is>
          <t>x̄x̄x̄MDLV</t>
        </is>
      </c>
      <c r="C31556">
        <f>ROMAN(31555)</f>
        <v/>
      </c>
      <c r="D31556">
        <f>IF(B31556=C31556, "YES", "WRONG")</f>
        <v/>
      </c>
    </row>
    <row r="31557">
      <c r="A31557" t="n">
        <v>31556</v>
      </c>
      <c r="B31557" t="inlineStr">
        <is>
          <t>x̄x̄x̄MDLVI</t>
        </is>
      </c>
      <c r="C31557">
        <f>ROMAN(31556)</f>
        <v/>
      </c>
      <c r="D31557">
        <f>IF(B31557=C31557, "YES", "WRONG")</f>
        <v/>
      </c>
    </row>
    <row r="31558">
      <c r="A31558" t="n">
        <v>31557</v>
      </c>
      <c r="B31558" t="inlineStr">
        <is>
          <t>x̄x̄x̄MDLVII</t>
        </is>
      </c>
      <c r="C31558">
        <f>ROMAN(31557)</f>
        <v/>
      </c>
      <c r="D31558">
        <f>IF(B31558=C31558, "YES", "WRONG")</f>
        <v/>
      </c>
    </row>
    <row r="31559">
      <c r="A31559" t="n">
        <v>31558</v>
      </c>
      <c r="B31559" t="inlineStr">
        <is>
          <t>x̄x̄x̄MDLVIII</t>
        </is>
      </c>
      <c r="C31559">
        <f>ROMAN(31558)</f>
        <v/>
      </c>
      <c r="D31559">
        <f>IF(B31559=C31559, "YES", "WRONG")</f>
        <v/>
      </c>
    </row>
    <row r="31560">
      <c r="A31560" t="n">
        <v>31559</v>
      </c>
      <c r="B31560" t="inlineStr">
        <is>
          <t>x̄x̄x̄MDLIX</t>
        </is>
      </c>
      <c r="C31560">
        <f>ROMAN(31559)</f>
        <v/>
      </c>
      <c r="D31560">
        <f>IF(B31560=C31560, "YES", "WRONG")</f>
        <v/>
      </c>
    </row>
    <row r="31561">
      <c r="A31561" t="n">
        <v>31560</v>
      </c>
      <c r="B31561" t="inlineStr">
        <is>
          <t>x̄x̄x̄MDLX</t>
        </is>
      </c>
      <c r="C31561">
        <f>ROMAN(31560)</f>
        <v/>
      </c>
      <c r="D31561">
        <f>IF(B31561=C31561, "YES", "WRONG")</f>
        <v/>
      </c>
    </row>
    <row r="31562">
      <c r="A31562" t="n">
        <v>31561</v>
      </c>
      <c r="B31562" t="inlineStr">
        <is>
          <t>x̄x̄x̄MDLXI</t>
        </is>
      </c>
      <c r="C31562">
        <f>ROMAN(31561)</f>
        <v/>
      </c>
      <c r="D31562">
        <f>IF(B31562=C31562, "YES", "WRONG")</f>
        <v/>
      </c>
    </row>
    <row r="31563">
      <c r="A31563" t="n">
        <v>31562</v>
      </c>
      <c r="B31563" t="inlineStr">
        <is>
          <t>x̄x̄x̄MDLXII</t>
        </is>
      </c>
      <c r="C31563">
        <f>ROMAN(31562)</f>
        <v/>
      </c>
      <c r="D31563">
        <f>IF(B31563=C31563, "YES", "WRONG")</f>
        <v/>
      </c>
    </row>
    <row r="31564">
      <c r="A31564" t="n">
        <v>31563</v>
      </c>
      <c r="B31564" t="inlineStr">
        <is>
          <t>x̄x̄x̄MDLXIII</t>
        </is>
      </c>
      <c r="C31564">
        <f>ROMAN(31563)</f>
        <v/>
      </c>
      <c r="D31564">
        <f>IF(B31564=C31564, "YES", "WRONG")</f>
        <v/>
      </c>
    </row>
    <row r="31565">
      <c r="A31565" t="n">
        <v>31564</v>
      </c>
      <c r="B31565" t="inlineStr">
        <is>
          <t>x̄x̄x̄MDLXIV</t>
        </is>
      </c>
      <c r="C31565">
        <f>ROMAN(31564)</f>
        <v/>
      </c>
      <c r="D31565">
        <f>IF(B31565=C31565, "YES", "WRONG")</f>
        <v/>
      </c>
    </row>
    <row r="31566">
      <c r="A31566" t="n">
        <v>31565</v>
      </c>
      <c r="B31566" t="inlineStr">
        <is>
          <t>x̄x̄x̄MDLXV</t>
        </is>
      </c>
      <c r="C31566">
        <f>ROMAN(31565)</f>
        <v/>
      </c>
      <c r="D31566">
        <f>IF(B31566=C31566, "YES", "WRONG")</f>
        <v/>
      </c>
    </row>
    <row r="31567">
      <c r="A31567" t="n">
        <v>31566</v>
      </c>
      <c r="B31567" t="inlineStr">
        <is>
          <t>x̄x̄x̄MDLXVI</t>
        </is>
      </c>
      <c r="C31567">
        <f>ROMAN(31566)</f>
        <v/>
      </c>
      <c r="D31567">
        <f>IF(B31567=C31567, "YES", "WRONG")</f>
        <v/>
      </c>
    </row>
    <row r="31568">
      <c r="A31568" t="n">
        <v>31567</v>
      </c>
      <c r="B31568" t="inlineStr">
        <is>
          <t>x̄x̄x̄MDLXVII</t>
        </is>
      </c>
      <c r="C31568">
        <f>ROMAN(31567)</f>
        <v/>
      </c>
      <c r="D31568">
        <f>IF(B31568=C31568, "YES", "WRONG")</f>
        <v/>
      </c>
    </row>
    <row r="31569">
      <c r="A31569" t="n">
        <v>31568</v>
      </c>
      <c r="B31569" t="inlineStr">
        <is>
          <t>x̄x̄x̄MDLXVIII</t>
        </is>
      </c>
      <c r="C31569">
        <f>ROMAN(31568)</f>
        <v/>
      </c>
      <c r="D31569">
        <f>IF(B31569=C31569, "YES", "WRONG")</f>
        <v/>
      </c>
    </row>
    <row r="31570">
      <c r="A31570" t="n">
        <v>31569</v>
      </c>
      <c r="B31570" t="inlineStr">
        <is>
          <t>x̄x̄x̄MDLXIX</t>
        </is>
      </c>
      <c r="C31570">
        <f>ROMAN(31569)</f>
        <v/>
      </c>
      <c r="D31570">
        <f>IF(B31570=C31570, "YES", "WRONG")</f>
        <v/>
      </c>
    </row>
    <row r="31571">
      <c r="A31571" t="n">
        <v>31570</v>
      </c>
      <c r="B31571" t="inlineStr">
        <is>
          <t>x̄x̄x̄MDLXX</t>
        </is>
      </c>
      <c r="C31571">
        <f>ROMAN(31570)</f>
        <v/>
      </c>
      <c r="D31571">
        <f>IF(B31571=C31571, "YES", "WRONG")</f>
        <v/>
      </c>
    </row>
    <row r="31572">
      <c r="A31572" t="n">
        <v>31571</v>
      </c>
      <c r="B31572" t="inlineStr">
        <is>
          <t>x̄x̄x̄MDLXXI</t>
        </is>
      </c>
      <c r="C31572">
        <f>ROMAN(31571)</f>
        <v/>
      </c>
      <c r="D31572">
        <f>IF(B31572=C31572, "YES", "WRONG")</f>
        <v/>
      </c>
    </row>
    <row r="31573">
      <c r="A31573" t="n">
        <v>31572</v>
      </c>
      <c r="B31573" t="inlineStr">
        <is>
          <t>x̄x̄x̄MDLXXII</t>
        </is>
      </c>
      <c r="C31573">
        <f>ROMAN(31572)</f>
        <v/>
      </c>
      <c r="D31573">
        <f>IF(B31573=C31573, "YES", "WRONG")</f>
        <v/>
      </c>
    </row>
    <row r="31574">
      <c r="A31574" t="n">
        <v>31573</v>
      </c>
      <c r="B31574" t="inlineStr">
        <is>
          <t>x̄x̄x̄MDLXXIII</t>
        </is>
      </c>
      <c r="C31574">
        <f>ROMAN(31573)</f>
        <v/>
      </c>
      <c r="D31574">
        <f>IF(B31574=C31574, "YES", "WRONG")</f>
        <v/>
      </c>
    </row>
    <row r="31575">
      <c r="A31575" t="n">
        <v>31574</v>
      </c>
      <c r="B31575" t="inlineStr">
        <is>
          <t>x̄x̄x̄MDLXXIV</t>
        </is>
      </c>
      <c r="C31575">
        <f>ROMAN(31574)</f>
        <v/>
      </c>
      <c r="D31575">
        <f>IF(B31575=C31575, "YES", "WRONG")</f>
        <v/>
      </c>
    </row>
    <row r="31576">
      <c r="A31576" t="n">
        <v>31575</v>
      </c>
      <c r="B31576" t="inlineStr">
        <is>
          <t>x̄x̄x̄MDLXXV</t>
        </is>
      </c>
      <c r="C31576">
        <f>ROMAN(31575)</f>
        <v/>
      </c>
      <c r="D31576">
        <f>IF(B31576=C31576, "YES", "WRONG")</f>
        <v/>
      </c>
    </row>
    <row r="31577">
      <c r="A31577" t="n">
        <v>31576</v>
      </c>
      <c r="B31577" t="inlineStr">
        <is>
          <t>x̄x̄x̄MDLXXVI</t>
        </is>
      </c>
      <c r="C31577">
        <f>ROMAN(31576)</f>
        <v/>
      </c>
      <c r="D31577">
        <f>IF(B31577=C31577, "YES", "WRONG")</f>
        <v/>
      </c>
    </row>
    <row r="31578">
      <c r="A31578" t="n">
        <v>31577</v>
      </c>
      <c r="B31578" t="inlineStr">
        <is>
          <t>x̄x̄x̄MDLXXVII</t>
        </is>
      </c>
      <c r="C31578">
        <f>ROMAN(31577)</f>
        <v/>
      </c>
      <c r="D31578">
        <f>IF(B31578=C31578, "YES", "WRONG")</f>
        <v/>
      </c>
    </row>
    <row r="31579">
      <c r="A31579" t="n">
        <v>31578</v>
      </c>
      <c r="B31579" t="inlineStr">
        <is>
          <t>x̄x̄x̄MDLXXVIII</t>
        </is>
      </c>
      <c r="C31579">
        <f>ROMAN(31578)</f>
        <v/>
      </c>
      <c r="D31579">
        <f>IF(B31579=C31579, "YES", "WRONG")</f>
        <v/>
      </c>
    </row>
    <row r="31580">
      <c r="A31580" t="n">
        <v>31579</v>
      </c>
      <c r="B31580" t="inlineStr">
        <is>
          <t>x̄x̄x̄MDLXXIX</t>
        </is>
      </c>
      <c r="C31580">
        <f>ROMAN(31579)</f>
        <v/>
      </c>
      <c r="D31580">
        <f>IF(B31580=C31580, "YES", "WRONG")</f>
        <v/>
      </c>
    </row>
    <row r="31581">
      <c r="A31581" t="n">
        <v>31580</v>
      </c>
      <c r="B31581" t="inlineStr">
        <is>
          <t>x̄x̄x̄MDLXXX</t>
        </is>
      </c>
      <c r="C31581">
        <f>ROMAN(31580)</f>
        <v/>
      </c>
      <c r="D31581">
        <f>IF(B31581=C31581, "YES", "WRONG")</f>
        <v/>
      </c>
    </row>
    <row r="31582">
      <c r="A31582" t="n">
        <v>31581</v>
      </c>
      <c r="B31582" t="inlineStr">
        <is>
          <t>x̄x̄x̄MDLXXXI</t>
        </is>
      </c>
      <c r="C31582">
        <f>ROMAN(31581)</f>
        <v/>
      </c>
      <c r="D31582">
        <f>IF(B31582=C31582, "YES", "WRONG")</f>
        <v/>
      </c>
    </row>
    <row r="31583">
      <c r="A31583" t="n">
        <v>31582</v>
      </c>
      <c r="B31583" t="inlineStr">
        <is>
          <t>x̄x̄x̄MDLXXXII</t>
        </is>
      </c>
      <c r="C31583">
        <f>ROMAN(31582)</f>
        <v/>
      </c>
      <c r="D31583">
        <f>IF(B31583=C31583, "YES", "WRONG")</f>
        <v/>
      </c>
    </row>
    <row r="31584">
      <c r="A31584" t="n">
        <v>31583</v>
      </c>
      <c r="B31584" t="inlineStr">
        <is>
          <t>x̄x̄x̄MDLXXXIII</t>
        </is>
      </c>
      <c r="C31584">
        <f>ROMAN(31583)</f>
        <v/>
      </c>
      <c r="D31584">
        <f>IF(B31584=C31584, "YES", "WRONG")</f>
        <v/>
      </c>
    </row>
    <row r="31585">
      <c r="A31585" t="n">
        <v>31584</v>
      </c>
      <c r="B31585" t="inlineStr">
        <is>
          <t>x̄x̄x̄MDLXXXIV</t>
        </is>
      </c>
      <c r="C31585">
        <f>ROMAN(31584)</f>
        <v/>
      </c>
      <c r="D31585">
        <f>IF(B31585=C31585, "YES", "WRONG")</f>
        <v/>
      </c>
    </row>
    <row r="31586">
      <c r="A31586" t="n">
        <v>31585</v>
      </c>
      <c r="B31586" t="inlineStr">
        <is>
          <t>x̄x̄x̄MDLXXXV</t>
        </is>
      </c>
      <c r="C31586">
        <f>ROMAN(31585)</f>
        <v/>
      </c>
      <c r="D31586">
        <f>IF(B31586=C31586, "YES", "WRONG")</f>
        <v/>
      </c>
    </row>
    <row r="31587">
      <c r="A31587" t="n">
        <v>31586</v>
      </c>
      <c r="B31587" t="inlineStr">
        <is>
          <t>x̄x̄x̄MDLXXXVI</t>
        </is>
      </c>
      <c r="C31587">
        <f>ROMAN(31586)</f>
        <v/>
      </c>
      <c r="D31587">
        <f>IF(B31587=C31587, "YES", "WRONG")</f>
        <v/>
      </c>
    </row>
    <row r="31588">
      <c r="A31588" t="n">
        <v>31587</v>
      </c>
      <c r="B31588" t="inlineStr">
        <is>
          <t>x̄x̄x̄MDLXXXVII</t>
        </is>
      </c>
      <c r="C31588">
        <f>ROMAN(31587)</f>
        <v/>
      </c>
      <c r="D31588">
        <f>IF(B31588=C31588, "YES", "WRONG")</f>
        <v/>
      </c>
    </row>
    <row r="31589">
      <c r="A31589" t="n">
        <v>31588</v>
      </c>
      <c r="B31589" t="inlineStr">
        <is>
          <t>x̄x̄x̄MDLXXXVIII</t>
        </is>
      </c>
      <c r="C31589">
        <f>ROMAN(31588)</f>
        <v/>
      </c>
      <c r="D31589">
        <f>IF(B31589=C31589, "YES", "WRONG")</f>
        <v/>
      </c>
    </row>
    <row r="31590">
      <c r="A31590" t="n">
        <v>31589</v>
      </c>
      <c r="B31590" t="inlineStr">
        <is>
          <t>x̄x̄x̄MDLXXXIX</t>
        </is>
      </c>
      <c r="C31590">
        <f>ROMAN(31589)</f>
        <v/>
      </c>
      <c r="D31590">
        <f>IF(B31590=C31590, "YES", "WRONG")</f>
        <v/>
      </c>
    </row>
    <row r="31591">
      <c r="A31591" t="n">
        <v>31590</v>
      </c>
      <c r="B31591" t="inlineStr">
        <is>
          <t>x̄x̄x̄MDXC</t>
        </is>
      </c>
      <c r="C31591">
        <f>ROMAN(31590)</f>
        <v/>
      </c>
      <c r="D31591">
        <f>IF(B31591=C31591, "YES", "WRONG")</f>
        <v/>
      </c>
    </row>
    <row r="31592">
      <c r="A31592" t="n">
        <v>31591</v>
      </c>
      <c r="B31592" t="inlineStr">
        <is>
          <t>x̄x̄x̄MDXCI</t>
        </is>
      </c>
      <c r="C31592">
        <f>ROMAN(31591)</f>
        <v/>
      </c>
      <c r="D31592">
        <f>IF(B31592=C31592, "YES", "WRONG")</f>
        <v/>
      </c>
    </row>
    <row r="31593">
      <c r="A31593" t="n">
        <v>31592</v>
      </c>
      <c r="B31593" t="inlineStr">
        <is>
          <t>x̄x̄x̄MDXCII</t>
        </is>
      </c>
      <c r="C31593">
        <f>ROMAN(31592)</f>
        <v/>
      </c>
      <c r="D31593">
        <f>IF(B31593=C31593, "YES", "WRONG")</f>
        <v/>
      </c>
    </row>
    <row r="31594">
      <c r="A31594" t="n">
        <v>31593</v>
      </c>
      <c r="B31594" t="inlineStr">
        <is>
          <t>x̄x̄x̄MDXCIII</t>
        </is>
      </c>
      <c r="C31594">
        <f>ROMAN(31593)</f>
        <v/>
      </c>
      <c r="D31594">
        <f>IF(B31594=C31594, "YES", "WRONG")</f>
        <v/>
      </c>
    </row>
    <row r="31595">
      <c r="A31595" t="n">
        <v>31594</v>
      </c>
      <c r="B31595" t="inlineStr">
        <is>
          <t>x̄x̄x̄MDXCIV</t>
        </is>
      </c>
      <c r="C31595">
        <f>ROMAN(31594)</f>
        <v/>
      </c>
      <c r="D31595">
        <f>IF(B31595=C31595, "YES", "WRONG")</f>
        <v/>
      </c>
    </row>
    <row r="31596">
      <c r="A31596" t="n">
        <v>31595</v>
      </c>
      <c r="B31596" t="inlineStr">
        <is>
          <t>x̄x̄x̄MDXCV</t>
        </is>
      </c>
      <c r="C31596">
        <f>ROMAN(31595)</f>
        <v/>
      </c>
      <c r="D31596">
        <f>IF(B31596=C31596, "YES", "WRONG")</f>
        <v/>
      </c>
    </row>
    <row r="31597">
      <c r="A31597" t="n">
        <v>31596</v>
      </c>
      <c r="B31597" t="inlineStr">
        <is>
          <t>x̄x̄x̄MDXCVI</t>
        </is>
      </c>
      <c r="C31597">
        <f>ROMAN(31596)</f>
        <v/>
      </c>
      <c r="D31597">
        <f>IF(B31597=C31597, "YES", "WRONG")</f>
        <v/>
      </c>
    </row>
    <row r="31598">
      <c r="A31598" t="n">
        <v>31597</v>
      </c>
      <c r="B31598" t="inlineStr">
        <is>
          <t>x̄x̄x̄MDXCVII</t>
        </is>
      </c>
      <c r="C31598">
        <f>ROMAN(31597)</f>
        <v/>
      </c>
      <c r="D31598">
        <f>IF(B31598=C31598, "YES", "WRONG")</f>
        <v/>
      </c>
    </row>
    <row r="31599">
      <c r="A31599" t="n">
        <v>31598</v>
      </c>
      <c r="B31599" t="inlineStr">
        <is>
          <t>x̄x̄x̄MDXCVIII</t>
        </is>
      </c>
      <c r="C31599">
        <f>ROMAN(31598)</f>
        <v/>
      </c>
      <c r="D31599">
        <f>IF(B31599=C31599, "YES", "WRONG")</f>
        <v/>
      </c>
    </row>
    <row r="31600">
      <c r="A31600" t="n">
        <v>31599</v>
      </c>
      <c r="B31600" t="inlineStr">
        <is>
          <t>x̄x̄x̄MDXCIX</t>
        </is>
      </c>
      <c r="C31600">
        <f>ROMAN(31599)</f>
        <v/>
      </c>
      <c r="D31600">
        <f>IF(B31600=C31600, "YES", "WRONG")</f>
        <v/>
      </c>
    </row>
    <row r="31601">
      <c r="A31601" t="n">
        <v>31600</v>
      </c>
      <c r="B31601" t="inlineStr">
        <is>
          <t>x̄x̄x̄MDC</t>
        </is>
      </c>
      <c r="C31601">
        <f>ROMAN(31600)</f>
        <v/>
      </c>
      <c r="D31601">
        <f>IF(B31601=C31601, "YES", "WRONG")</f>
        <v/>
      </c>
    </row>
    <row r="31602">
      <c r="A31602" t="n">
        <v>31601</v>
      </c>
      <c r="B31602" t="inlineStr">
        <is>
          <t>x̄x̄x̄MDCI</t>
        </is>
      </c>
      <c r="C31602">
        <f>ROMAN(31601)</f>
        <v/>
      </c>
      <c r="D31602">
        <f>IF(B31602=C31602, "YES", "WRONG")</f>
        <v/>
      </c>
    </row>
    <row r="31603">
      <c r="A31603" t="n">
        <v>31602</v>
      </c>
      <c r="B31603" t="inlineStr">
        <is>
          <t>x̄x̄x̄MDCII</t>
        </is>
      </c>
      <c r="C31603">
        <f>ROMAN(31602)</f>
        <v/>
      </c>
      <c r="D31603">
        <f>IF(B31603=C31603, "YES", "WRONG")</f>
        <v/>
      </c>
    </row>
    <row r="31604">
      <c r="A31604" t="n">
        <v>31603</v>
      </c>
      <c r="B31604" t="inlineStr">
        <is>
          <t>x̄x̄x̄MDCIII</t>
        </is>
      </c>
      <c r="C31604">
        <f>ROMAN(31603)</f>
        <v/>
      </c>
      <c r="D31604">
        <f>IF(B31604=C31604, "YES", "WRONG")</f>
        <v/>
      </c>
    </row>
    <row r="31605">
      <c r="A31605" t="n">
        <v>31604</v>
      </c>
      <c r="B31605" t="inlineStr">
        <is>
          <t>x̄x̄x̄MDCIV</t>
        </is>
      </c>
      <c r="C31605">
        <f>ROMAN(31604)</f>
        <v/>
      </c>
      <c r="D31605">
        <f>IF(B31605=C31605, "YES", "WRONG")</f>
        <v/>
      </c>
    </row>
    <row r="31606">
      <c r="A31606" t="n">
        <v>31605</v>
      </c>
      <c r="B31606" t="inlineStr">
        <is>
          <t>x̄x̄x̄MDCV</t>
        </is>
      </c>
      <c r="C31606">
        <f>ROMAN(31605)</f>
        <v/>
      </c>
      <c r="D31606">
        <f>IF(B31606=C31606, "YES", "WRONG")</f>
        <v/>
      </c>
    </row>
    <row r="31607">
      <c r="A31607" t="n">
        <v>31606</v>
      </c>
      <c r="B31607" t="inlineStr">
        <is>
          <t>x̄x̄x̄MDCVI</t>
        </is>
      </c>
      <c r="C31607">
        <f>ROMAN(31606)</f>
        <v/>
      </c>
      <c r="D31607">
        <f>IF(B31607=C31607, "YES", "WRONG")</f>
        <v/>
      </c>
    </row>
    <row r="31608">
      <c r="A31608" t="n">
        <v>31607</v>
      </c>
      <c r="B31608" t="inlineStr">
        <is>
          <t>x̄x̄x̄MDCVII</t>
        </is>
      </c>
      <c r="C31608">
        <f>ROMAN(31607)</f>
        <v/>
      </c>
      <c r="D31608">
        <f>IF(B31608=C31608, "YES", "WRONG")</f>
        <v/>
      </c>
    </row>
    <row r="31609">
      <c r="A31609" t="n">
        <v>31608</v>
      </c>
      <c r="B31609" t="inlineStr">
        <is>
          <t>x̄x̄x̄MDCVIII</t>
        </is>
      </c>
      <c r="C31609">
        <f>ROMAN(31608)</f>
        <v/>
      </c>
      <c r="D31609">
        <f>IF(B31609=C31609, "YES", "WRONG")</f>
        <v/>
      </c>
    </row>
    <row r="31610">
      <c r="A31610" t="n">
        <v>31609</v>
      </c>
      <c r="B31610" t="inlineStr">
        <is>
          <t>x̄x̄x̄MDCIX</t>
        </is>
      </c>
      <c r="C31610">
        <f>ROMAN(31609)</f>
        <v/>
      </c>
      <c r="D31610">
        <f>IF(B31610=C31610, "YES", "WRONG")</f>
        <v/>
      </c>
    </row>
    <row r="31611">
      <c r="A31611" t="n">
        <v>31610</v>
      </c>
      <c r="B31611" t="inlineStr">
        <is>
          <t>x̄x̄x̄MDCX</t>
        </is>
      </c>
      <c r="C31611">
        <f>ROMAN(31610)</f>
        <v/>
      </c>
      <c r="D31611">
        <f>IF(B31611=C31611, "YES", "WRONG")</f>
        <v/>
      </c>
    </row>
    <row r="31612">
      <c r="A31612" t="n">
        <v>31611</v>
      </c>
      <c r="B31612" t="inlineStr">
        <is>
          <t>x̄x̄x̄MDCXI</t>
        </is>
      </c>
      <c r="C31612">
        <f>ROMAN(31611)</f>
        <v/>
      </c>
      <c r="D31612">
        <f>IF(B31612=C31612, "YES", "WRONG")</f>
        <v/>
      </c>
    </row>
    <row r="31613">
      <c r="A31613" t="n">
        <v>31612</v>
      </c>
      <c r="B31613" t="inlineStr">
        <is>
          <t>x̄x̄x̄MDCXII</t>
        </is>
      </c>
      <c r="C31613">
        <f>ROMAN(31612)</f>
        <v/>
      </c>
      <c r="D31613">
        <f>IF(B31613=C31613, "YES", "WRONG")</f>
        <v/>
      </c>
    </row>
    <row r="31614">
      <c r="A31614" t="n">
        <v>31613</v>
      </c>
      <c r="B31614" t="inlineStr">
        <is>
          <t>x̄x̄x̄MDCXIII</t>
        </is>
      </c>
      <c r="C31614">
        <f>ROMAN(31613)</f>
        <v/>
      </c>
      <c r="D31614">
        <f>IF(B31614=C31614, "YES", "WRONG")</f>
        <v/>
      </c>
    </row>
    <row r="31615">
      <c r="A31615" t="n">
        <v>31614</v>
      </c>
      <c r="B31615" t="inlineStr">
        <is>
          <t>x̄x̄x̄MDCXIV</t>
        </is>
      </c>
      <c r="C31615">
        <f>ROMAN(31614)</f>
        <v/>
      </c>
      <c r="D31615">
        <f>IF(B31615=C31615, "YES", "WRONG")</f>
        <v/>
      </c>
    </row>
    <row r="31616">
      <c r="A31616" t="n">
        <v>31615</v>
      </c>
      <c r="B31616" t="inlineStr">
        <is>
          <t>x̄x̄x̄MDCXV</t>
        </is>
      </c>
      <c r="C31616">
        <f>ROMAN(31615)</f>
        <v/>
      </c>
      <c r="D31616">
        <f>IF(B31616=C31616, "YES", "WRONG")</f>
        <v/>
      </c>
    </row>
    <row r="31617">
      <c r="A31617" t="n">
        <v>31616</v>
      </c>
      <c r="B31617" t="inlineStr">
        <is>
          <t>x̄x̄x̄MDCXVI</t>
        </is>
      </c>
      <c r="C31617">
        <f>ROMAN(31616)</f>
        <v/>
      </c>
      <c r="D31617">
        <f>IF(B31617=C31617, "YES", "WRONG")</f>
        <v/>
      </c>
    </row>
    <row r="31618">
      <c r="A31618" t="n">
        <v>31617</v>
      </c>
      <c r="B31618" t="inlineStr">
        <is>
          <t>x̄x̄x̄MDCXVII</t>
        </is>
      </c>
      <c r="C31618">
        <f>ROMAN(31617)</f>
        <v/>
      </c>
      <c r="D31618">
        <f>IF(B31618=C31618, "YES", "WRONG")</f>
        <v/>
      </c>
    </row>
    <row r="31619">
      <c r="A31619" t="n">
        <v>31618</v>
      </c>
      <c r="B31619" t="inlineStr">
        <is>
          <t>x̄x̄x̄MDCXVIII</t>
        </is>
      </c>
      <c r="C31619">
        <f>ROMAN(31618)</f>
        <v/>
      </c>
      <c r="D31619">
        <f>IF(B31619=C31619, "YES", "WRONG")</f>
        <v/>
      </c>
    </row>
    <row r="31620">
      <c r="A31620" t="n">
        <v>31619</v>
      </c>
      <c r="B31620" t="inlineStr">
        <is>
          <t>x̄x̄x̄MDCXIX</t>
        </is>
      </c>
      <c r="C31620">
        <f>ROMAN(31619)</f>
        <v/>
      </c>
      <c r="D31620">
        <f>IF(B31620=C31620, "YES", "WRONG")</f>
        <v/>
      </c>
    </row>
    <row r="31621">
      <c r="A31621" t="n">
        <v>31620</v>
      </c>
      <c r="B31621" t="inlineStr">
        <is>
          <t>x̄x̄x̄MDCXX</t>
        </is>
      </c>
      <c r="C31621">
        <f>ROMAN(31620)</f>
        <v/>
      </c>
      <c r="D31621">
        <f>IF(B31621=C31621, "YES", "WRONG")</f>
        <v/>
      </c>
    </row>
    <row r="31622">
      <c r="A31622" t="n">
        <v>31621</v>
      </c>
      <c r="B31622" t="inlineStr">
        <is>
          <t>x̄x̄x̄MDCXXI</t>
        </is>
      </c>
      <c r="C31622">
        <f>ROMAN(31621)</f>
        <v/>
      </c>
      <c r="D31622">
        <f>IF(B31622=C31622, "YES", "WRONG")</f>
        <v/>
      </c>
    </row>
    <row r="31623">
      <c r="A31623" t="n">
        <v>31622</v>
      </c>
      <c r="B31623" t="inlineStr">
        <is>
          <t>x̄x̄x̄MDCXXII</t>
        </is>
      </c>
      <c r="C31623">
        <f>ROMAN(31622)</f>
        <v/>
      </c>
      <c r="D31623">
        <f>IF(B31623=C31623, "YES", "WRONG")</f>
        <v/>
      </c>
    </row>
    <row r="31624">
      <c r="A31624" t="n">
        <v>31623</v>
      </c>
      <c r="B31624" t="inlineStr">
        <is>
          <t>x̄x̄x̄MDCXXIII</t>
        </is>
      </c>
      <c r="C31624">
        <f>ROMAN(31623)</f>
        <v/>
      </c>
      <c r="D31624">
        <f>IF(B31624=C31624, "YES", "WRONG")</f>
        <v/>
      </c>
    </row>
    <row r="31625">
      <c r="A31625" t="n">
        <v>31624</v>
      </c>
      <c r="B31625" t="inlineStr">
        <is>
          <t>x̄x̄x̄MDCXXIV</t>
        </is>
      </c>
      <c r="C31625">
        <f>ROMAN(31624)</f>
        <v/>
      </c>
      <c r="D31625">
        <f>IF(B31625=C31625, "YES", "WRONG")</f>
        <v/>
      </c>
    </row>
    <row r="31626">
      <c r="A31626" t="n">
        <v>31625</v>
      </c>
      <c r="B31626" t="inlineStr">
        <is>
          <t>x̄x̄x̄MDCXXV</t>
        </is>
      </c>
      <c r="C31626">
        <f>ROMAN(31625)</f>
        <v/>
      </c>
      <c r="D31626">
        <f>IF(B31626=C31626, "YES", "WRONG")</f>
        <v/>
      </c>
    </row>
    <row r="31627">
      <c r="A31627" t="n">
        <v>31626</v>
      </c>
      <c r="B31627" t="inlineStr">
        <is>
          <t>x̄x̄x̄MDCXXVI</t>
        </is>
      </c>
      <c r="C31627">
        <f>ROMAN(31626)</f>
        <v/>
      </c>
      <c r="D31627">
        <f>IF(B31627=C31627, "YES", "WRONG")</f>
        <v/>
      </c>
    </row>
    <row r="31628">
      <c r="A31628" t="n">
        <v>31627</v>
      </c>
      <c r="B31628" t="inlineStr">
        <is>
          <t>x̄x̄x̄MDCXXVII</t>
        </is>
      </c>
      <c r="C31628">
        <f>ROMAN(31627)</f>
        <v/>
      </c>
      <c r="D31628">
        <f>IF(B31628=C31628, "YES", "WRONG")</f>
        <v/>
      </c>
    </row>
    <row r="31629">
      <c r="A31629" t="n">
        <v>31628</v>
      </c>
      <c r="B31629" t="inlineStr">
        <is>
          <t>x̄x̄x̄MDCXXVIII</t>
        </is>
      </c>
      <c r="C31629">
        <f>ROMAN(31628)</f>
        <v/>
      </c>
      <c r="D31629">
        <f>IF(B31629=C31629, "YES", "WRONG")</f>
        <v/>
      </c>
    </row>
    <row r="31630">
      <c r="A31630" t="n">
        <v>31629</v>
      </c>
      <c r="B31630" t="inlineStr">
        <is>
          <t>x̄x̄x̄MDCXXIX</t>
        </is>
      </c>
      <c r="C31630">
        <f>ROMAN(31629)</f>
        <v/>
      </c>
      <c r="D31630">
        <f>IF(B31630=C31630, "YES", "WRONG")</f>
        <v/>
      </c>
    </row>
    <row r="31631">
      <c r="A31631" t="n">
        <v>31630</v>
      </c>
      <c r="B31631" t="inlineStr">
        <is>
          <t>x̄x̄x̄MDCXXX</t>
        </is>
      </c>
      <c r="C31631">
        <f>ROMAN(31630)</f>
        <v/>
      </c>
      <c r="D31631">
        <f>IF(B31631=C31631, "YES", "WRONG")</f>
        <v/>
      </c>
    </row>
    <row r="31632">
      <c r="A31632" t="n">
        <v>31631</v>
      </c>
      <c r="B31632" t="inlineStr">
        <is>
          <t>x̄x̄x̄MDCXXXI</t>
        </is>
      </c>
      <c r="C31632">
        <f>ROMAN(31631)</f>
        <v/>
      </c>
      <c r="D31632">
        <f>IF(B31632=C31632, "YES", "WRONG")</f>
        <v/>
      </c>
    </row>
    <row r="31633">
      <c r="A31633" t="n">
        <v>31632</v>
      </c>
      <c r="B31633" t="inlineStr">
        <is>
          <t>x̄x̄x̄MDCXXXII</t>
        </is>
      </c>
      <c r="C31633">
        <f>ROMAN(31632)</f>
        <v/>
      </c>
      <c r="D31633">
        <f>IF(B31633=C31633, "YES", "WRONG")</f>
        <v/>
      </c>
    </row>
    <row r="31634">
      <c r="A31634" t="n">
        <v>31633</v>
      </c>
      <c r="B31634" t="inlineStr">
        <is>
          <t>x̄x̄x̄MDCXXXIII</t>
        </is>
      </c>
      <c r="C31634">
        <f>ROMAN(31633)</f>
        <v/>
      </c>
      <c r="D31634">
        <f>IF(B31634=C31634, "YES", "WRONG")</f>
        <v/>
      </c>
    </row>
    <row r="31635">
      <c r="A31635" t="n">
        <v>31634</v>
      </c>
      <c r="B31635" t="inlineStr">
        <is>
          <t>x̄x̄x̄MDCXXXIV</t>
        </is>
      </c>
      <c r="C31635">
        <f>ROMAN(31634)</f>
        <v/>
      </c>
      <c r="D31635">
        <f>IF(B31635=C31635, "YES", "WRONG")</f>
        <v/>
      </c>
    </row>
    <row r="31636">
      <c r="A31636" t="n">
        <v>31635</v>
      </c>
      <c r="B31636" t="inlineStr">
        <is>
          <t>x̄x̄x̄MDCXXXV</t>
        </is>
      </c>
      <c r="C31636">
        <f>ROMAN(31635)</f>
        <v/>
      </c>
      <c r="D31636">
        <f>IF(B31636=C31636, "YES", "WRONG")</f>
        <v/>
      </c>
    </row>
    <row r="31637">
      <c r="A31637" t="n">
        <v>31636</v>
      </c>
      <c r="B31637" t="inlineStr">
        <is>
          <t>x̄x̄x̄MDCXXXVI</t>
        </is>
      </c>
      <c r="C31637">
        <f>ROMAN(31636)</f>
        <v/>
      </c>
      <c r="D31637">
        <f>IF(B31637=C31637, "YES", "WRONG")</f>
        <v/>
      </c>
    </row>
    <row r="31638">
      <c r="A31638" t="n">
        <v>31637</v>
      </c>
      <c r="B31638" t="inlineStr">
        <is>
          <t>x̄x̄x̄MDCXXXVII</t>
        </is>
      </c>
      <c r="C31638">
        <f>ROMAN(31637)</f>
        <v/>
      </c>
      <c r="D31638">
        <f>IF(B31638=C31638, "YES", "WRONG")</f>
        <v/>
      </c>
    </row>
    <row r="31639">
      <c r="A31639" t="n">
        <v>31638</v>
      </c>
      <c r="B31639" t="inlineStr">
        <is>
          <t>x̄x̄x̄MDCXXXVIII</t>
        </is>
      </c>
      <c r="C31639">
        <f>ROMAN(31638)</f>
        <v/>
      </c>
      <c r="D31639">
        <f>IF(B31639=C31639, "YES", "WRONG")</f>
        <v/>
      </c>
    </row>
    <row r="31640">
      <c r="A31640" t="n">
        <v>31639</v>
      </c>
      <c r="B31640" t="inlineStr">
        <is>
          <t>x̄x̄x̄MDCXXXIX</t>
        </is>
      </c>
      <c r="C31640">
        <f>ROMAN(31639)</f>
        <v/>
      </c>
      <c r="D31640">
        <f>IF(B31640=C31640, "YES", "WRONG")</f>
        <v/>
      </c>
    </row>
    <row r="31641">
      <c r="A31641" t="n">
        <v>31640</v>
      </c>
      <c r="B31641" t="inlineStr">
        <is>
          <t>x̄x̄x̄MDCXL</t>
        </is>
      </c>
      <c r="C31641">
        <f>ROMAN(31640)</f>
        <v/>
      </c>
      <c r="D31641">
        <f>IF(B31641=C31641, "YES", "WRONG")</f>
        <v/>
      </c>
    </row>
    <row r="31642">
      <c r="A31642" t="n">
        <v>31641</v>
      </c>
      <c r="B31642" t="inlineStr">
        <is>
          <t>x̄x̄x̄MDCXLI</t>
        </is>
      </c>
      <c r="C31642">
        <f>ROMAN(31641)</f>
        <v/>
      </c>
      <c r="D31642">
        <f>IF(B31642=C31642, "YES", "WRONG")</f>
        <v/>
      </c>
    </row>
    <row r="31643">
      <c r="A31643" t="n">
        <v>31642</v>
      </c>
      <c r="B31643" t="inlineStr">
        <is>
          <t>x̄x̄x̄MDCXLII</t>
        </is>
      </c>
      <c r="C31643">
        <f>ROMAN(31642)</f>
        <v/>
      </c>
      <c r="D31643">
        <f>IF(B31643=C31643, "YES", "WRONG")</f>
        <v/>
      </c>
    </row>
    <row r="31644">
      <c r="A31644" t="n">
        <v>31643</v>
      </c>
      <c r="B31644" t="inlineStr">
        <is>
          <t>x̄x̄x̄MDCXLIII</t>
        </is>
      </c>
      <c r="C31644">
        <f>ROMAN(31643)</f>
        <v/>
      </c>
      <c r="D31644">
        <f>IF(B31644=C31644, "YES", "WRONG")</f>
        <v/>
      </c>
    </row>
    <row r="31645">
      <c r="A31645" t="n">
        <v>31644</v>
      </c>
      <c r="B31645" t="inlineStr">
        <is>
          <t>x̄x̄x̄MDCXLIV</t>
        </is>
      </c>
      <c r="C31645">
        <f>ROMAN(31644)</f>
        <v/>
      </c>
      <c r="D31645">
        <f>IF(B31645=C31645, "YES", "WRONG")</f>
        <v/>
      </c>
    </row>
    <row r="31646">
      <c r="A31646" t="n">
        <v>31645</v>
      </c>
      <c r="B31646" t="inlineStr">
        <is>
          <t>x̄x̄x̄MDCXLV</t>
        </is>
      </c>
      <c r="C31646">
        <f>ROMAN(31645)</f>
        <v/>
      </c>
      <c r="D31646">
        <f>IF(B31646=C31646, "YES", "WRONG")</f>
        <v/>
      </c>
    </row>
    <row r="31647">
      <c r="A31647" t="n">
        <v>31646</v>
      </c>
      <c r="B31647" t="inlineStr">
        <is>
          <t>x̄x̄x̄MDCXLVI</t>
        </is>
      </c>
      <c r="C31647">
        <f>ROMAN(31646)</f>
        <v/>
      </c>
      <c r="D31647">
        <f>IF(B31647=C31647, "YES", "WRONG")</f>
        <v/>
      </c>
    </row>
    <row r="31648">
      <c r="A31648" t="n">
        <v>31647</v>
      </c>
      <c r="B31648" t="inlineStr">
        <is>
          <t>x̄x̄x̄MDCXLVII</t>
        </is>
      </c>
      <c r="C31648">
        <f>ROMAN(31647)</f>
        <v/>
      </c>
      <c r="D31648">
        <f>IF(B31648=C31648, "YES", "WRONG")</f>
        <v/>
      </c>
    </row>
    <row r="31649">
      <c r="A31649" t="n">
        <v>31648</v>
      </c>
      <c r="B31649" t="inlineStr">
        <is>
          <t>x̄x̄x̄MDCXLVIII</t>
        </is>
      </c>
      <c r="C31649">
        <f>ROMAN(31648)</f>
        <v/>
      </c>
      <c r="D31649">
        <f>IF(B31649=C31649, "YES", "WRONG")</f>
        <v/>
      </c>
    </row>
    <row r="31650">
      <c r="A31650" t="n">
        <v>31649</v>
      </c>
      <c r="B31650" t="inlineStr">
        <is>
          <t>x̄x̄x̄MDCXLIX</t>
        </is>
      </c>
      <c r="C31650">
        <f>ROMAN(31649)</f>
        <v/>
      </c>
      <c r="D31650">
        <f>IF(B31650=C31650, "YES", "WRONG")</f>
        <v/>
      </c>
    </row>
    <row r="31651">
      <c r="A31651" t="n">
        <v>31650</v>
      </c>
      <c r="B31651" t="inlineStr">
        <is>
          <t>x̄x̄x̄MDCL</t>
        </is>
      </c>
      <c r="C31651">
        <f>ROMAN(31650)</f>
        <v/>
      </c>
      <c r="D31651">
        <f>IF(B31651=C31651, "YES", "WRONG")</f>
        <v/>
      </c>
    </row>
    <row r="31652">
      <c r="A31652" t="n">
        <v>31651</v>
      </c>
      <c r="B31652" t="inlineStr">
        <is>
          <t>x̄x̄x̄MDCLI</t>
        </is>
      </c>
      <c r="C31652">
        <f>ROMAN(31651)</f>
        <v/>
      </c>
      <c r="D31652">
        <f>IF(B31652=C31652, "YES", "WRONG")</f>
        <v/>
      </c>
    </row>
    <row r="31653">
      <c r="A31653" t="n">
        <v>31652</v>
      </c>
      <c r="B31653" t="inlineStr">
        <is>
          <t>x̄x̄x̄MDCLII</t>
        </is>
      </c>
      <c r="C31653">
        <f>ROMAN(31652)</f>
        <v/>
      </c>
      <c r="D31653">
        <f>IF(B31653=C31653, "YES", "WRONG")</f>
        <v/>
      </c>
    </row>
    <row r="31654">
      <c r="A31654" t="n">
        <v>31653</v>
      </c>
      <c r="B31654" t="inlineStr">
        <is>
          <t>x̄x̄x̄MDCLIII</t>
        </is>
      </c>
      <c r="C31654">
        <f>ROMAN(31653)</f>
        <v/>
      </c>
      <c r="D31654">
        <f>IF(B31654=C31654, "YES", "WRONG")</f>
        <v/>
      </c>
    </row>
    <row r="31655">
      <c r="A31655" t="n">
        <v>31654</v>
      </c>
      <c r="B31655" t="inlineStr">
        <is>
          <t>x̄x̄x̄MDCLIV</t>
        </is>
      </c>
      <c r="C31655">
        <f>ROMAN(31654)</f>
        <v/>
      </c>
      <c r="D31655">
        <f>IF(B31655=C31655, "YES", "WRONG")</f>
        <v/>
      </c>
    </row>
    <row r="31656">
      <c r="A31656" t="n">
        <v>31655</v>
      </c>
      <c r="B31656" t="inlineStr">
        <is>
          <t>x̄x̄x̄MDCLV</t>
        </is>
      </c>
      <c r="C31656">
        <f>ROMAN(31655)</f>
        <v/>
      </c>
      <c r="D31656">
        <f>IF(B31656=C31656, "YES", "WRONG")</f>
        <v/>
      </c>
    </row>
    <row r="31657">
      <c r="A31657" t="n">
        <v>31656</v>
      </c>
      <c r="B31657" t="inlineStr">
        <is>
          <t>x̄x̄x̄MDCLVI</t>
        </is>
      </c>
      <c r="C31657">
        <f>ROMAN(31656)</f>
        <v/>
      </c>
      <c r="D31657">
        <f>IF(B31657=C31657, "YES", "WRONG")</f>
        <v/>
      </c>
    </row>
    <row r="31658">
      <c r="A31658" t="n">
        <v>31657</v>
      </c>
      <c r="B31658" t="inlineStr">
        <is>
          <t>x̄x̄x̄MDCLVII</t>
        </is>
      </c>
      <c r="C31658">
        <f>ROMAN(31657)</f>
        <v/>
      </c>
      <c r="D31658">
        <f>IF(B31658=C31658, "YES", "WRONG")</f>
        <v/>
      </c>
    </row>
    <row r="31659">
      <c r="A31659" t="n">
        <v>31658</v>
      </c>
      <c r="B31659" t="inlineStr">
        <is>
          <t>x̄x̄x̄MDCLVIII</t>
        </is>
      </c>
      <c r="C31659">
        <f>ROMAN(31658)</f>
        <v/>
      </c>
      <c r="D31659">
        <f>IF(B31659=C31659, "YES", "WRONG")</f>
        <v/>
      </c>
    </row>
    <row r="31660">
      <c r="A31660" t="n">
        <v>31659</v>
      </c>
      <c r="B31660" t="inlineStr">
        <is>
          <t>x̄x̄x̄MDCLIX</t>
        </is>
      </c>
      <c r="C31660">
        <f>ROMAN(31659)</f>
        <v/>
      </c>
      <c r="D31660">
        <f>IF(B31660=C31660, "YES", "WRONG")</f>
        <v/>
      </c>
    </row>
    <row r="31661">
      <c r="A31661" t="n">
        <v>31660</v>
      </c>
      <c r="B31661" t="inlineStr">
        <is>
          <t>x̄x̄x̄MDCLX</t>
        </is>
      </c>
      <c r="C31661">
        <f>ROMAN(31660)</f>
        <v/>
      </c>
      <c r="D31661">
        <f>IF(B31661=C31661, "YES", "WRONG")</f>
        <v/>
      </c>
    </row>
    <row r="31662">
      <c r="A31662" t="n">
        <v>31661</v>
      </c>
      <c r="B31662" t="inlineStr">
        <is>
          <t>x̄x̄x̄MDCLXI</t>
        </is>
      </c>
      <c r="C31662">
        <f>ROMAN(31661)</f>
        <v/>
      </c>
      <c r="D31662">
        <f>IF(B31662=C31662, "YES", "WRONG")</f>
        <v/>
      </c>
    </row>
    <row r="31663">
      <c r="A31663" t="n">
        <v>31662</v>
      </c>
      <c r="B31663" t="inlineStr">
        <is>
          <t>x̄x̄x̄MDCLXII</t>
        </is>
      </c>
      <c r="C31663">
        <f>ROMAN(31662)</f>
        <v/>
      </c>
      <c r="D31663">
        <f>IF(B31663=C31663, "YES", "WRONG")</f>
        <v/>
      </c>
    </row>
    <row r="31664">
      <c r="A31664" t="n">
        <v>31663</v>
      </c>
      <c r="B31664" t="inlineStr">
        <is>
          <t>x̄x̄x̄MDCLXIII</t>
        </is>
      </c>
      <c r="C31664">
        <f>ROMAN(31663)</f>
        <v/>
      </c>
      <c r="D31664">
        <f>IF(B31664=C31664, "YES", "WRONG")</f>
        <v/>
      </c>
    </row>
    <row r="31665">
      <c r="A31665" t="n">
        <v>31664</v>
      </c>
      <c r="B31665" t="inlineStr">
        <is>
          <t>x̄x̄x̄MDCLXIV</t>
        </is>
      </c>
      <c r="C31665">
        <f>ROMAN(31664)</f>
        <v/>
      </c>
      <c r="D31665">
        <f>IF(B31665=C31665, "YES", "WRONG")</f>
        <v/>
      </c>
    </row>
    <row r="31666">
      <c r="A31666" t="n">
        <v>31665</v>
      </c>
      <c r="B31666" t="inlineStr">
        <is>
          <t>x̄x̄x̄MDCLXV</t>
        </is>
      </c>
      <c r="C31666">
        <f>ROMAN(31665)</f>
        <v/>
      </c>
      <c r="D31666">
        <f>IF(B31666=C31666, "YES", "WRONG")</f>
        <v/>
      </c>
    </row>
    <row r="31667">
      <c r="A31667" t="n">
        <v>31666</v>
      </c>
      <c r="B31667" t="inlineStr">
        <is>
          <t>x̄x̄x̄MDCLXVI</t>
        </is>
      </c>
      <c r="C31667">
        <f>ROMAN(31666)</f>
        <v/>
      </c>
      <c r="D31667">
        <f>IF(B31667=C31667, "YES", "WRONG")</f>
        <v/>
      </c>
    </row>
    <row r="31668">
      <c r="A31668" t="n">
        <v>31667</v>
      </c>
      <c r="B31668" t="inlineStr">
        <is>
          <t>x̄x̄x̄MDCLXVII</t>
        </is>
      </c>
      <c r="C31668">
        <f>ROMAN(31667)</f>
        <v/>
      </c>
      <c r="D31668">
        <f>IF(B31668=C31668, "YES", "WRONG")</f>
        <v/>
      </c>
    </row>
    <row r="31669">
      <c r="A31669" t="n">
        <v>31668</v>
      </c>
      <c r="B31669" t="inlineStr">
        <is>
          <t>x̄x̄x̄MDCLXVIII</t>
        </is>
      </c>
      <c r="C31669">
        <f>ROMAN(31668)</f>
        <v/>
      </c>
      <c r="D31669">
        <f>IF(B31669=C31669, "YES", "WRONG")</f>
        <v/>
      </c>
    </row>
    <row r="31670">
      <c r="A31670" t="n">
        <v>31669</v>
      </c>
      <c r="B31670" t="inlineStr">
        <is>
          <t>x̄x̄x̄MDCLXIX</t>
        </is>
      </c>
      <c r="C31670">
        <f>ROMAN(31669)</f>
        <v/>
      </c>
      <c r="D31670">
        <f>IF(B31670=C31670, "YES", "WRONG")</f>
        <v/>
      </c>
    </row>
    <row r="31671">
      <c r="A31671" t="n">
        <v>31670</v>
      </c>
      <c r="B31671" t="inlineStr">
        <is>
          <t>x̄x̄x̄MDCLXX</t>
        </is>
      </c>
      <c r="C31671">
        <f>ROMAN(31670)</f>
        <v/>
      </c>
      <c r="D31671">
        <f>IF(B31671=C31671, "YES", "WRONG")</f>
        <v/>
      </c>
    </row>
    <row r="31672">
      <c r="A31672" t="n">
        <v>31671</v>
      </c>
      <c r="B31672" t="inlineStr">
        <is>
          <t>x̄x̄x̄MDCLXXI</t>
        </is>
      </c>
      <c r="C31672">
        <f>ROMAN(31671)</f>
        <v/>
      </c>
      <c r="D31672">
        <f>IF(B31672=C31672, "YES", "WRONG")</f>
        <v/>
      </c>
    </row>
    <row r="31673">
      <c r="A31673" t="n">
        <v>31672</v>
      </c>
      <c r="B31673" t="inlineStr">
        <is>
          <t>x̄x̄x̄MDCLXXII</t>
        </is>
      </c>
      <c r="C31673">
        <f>ROMAN(31672)</f>
        <v/>
      </c>
      <c r="D31673">
        <f>IF(B31673=C31673, "YES", "WRONG")</f>
        <v/>
      </c>
    </row>
    <row r="31674">
      <c r="A31674" t="n">
        <v>31673</v>
      </c>
      <c r="B31674" t="inlineStr">
        <is>
          <t>x̄x̄x̄MDCLXXIII</t>
        </is>
      </c>
      <c r="C31674">
        <f>ROMAN(31673)</f>
        <v/>
      </c>
      <c r="D31674">
        <f>IF(B31674=C31674, "YES", "WRONG")</f>
        <v/>
      </c>
    </row>
    <row r="31675">
      <c r="A31675" t="n">
        <v>31674</v>
      </c>
      <c r="B31675" t="inlineStr">
        <is>
          <t>x̄x̄x̄MDCLXXIV</t>
        </is>
      </c>
      <c r="C31675">
        <f>ROMAN(31674)</f>
        <v/>
      </c>
      <c r="D31675">
        <f>IF(B31675=C31675, "YES", "WRONG")</f>
        <v/>
      </c>
    </row>
    <row r="31676">
      <c r="A31676" t="n">
        <v>31675</v>
      </c>
      <c r="B31676" t="inlineStr">
        <is>
          <t>x̄x̄x̄MDCLXXV</t>
        </is>
      </c>
      <c r="C31676">
        <f>ROMAN(31675)</f>
        <v/>
      </c>
      <c r="D31676">
        <f>IF(B31676=C31676, "YES", "WRONG")</f>
        <v/>
      </c>
    </row>
    <row r="31677">
      <c r="A31677" t="n">
        <v>31676</v>
      </c>
      <c r="B31677" t="inlineStr">
        <is>
          <t>x̄x̄x̄MDCLXXVI</t>
        </is>
      </c>
      <c r="C31677">
        <f>ROMAN(31676)</f>
        <v/>
      </c>
      <c r="D31677">
        <f>IF(B31677=C31677, "YES", "WRONG")</f>
        <v/>
      </c>
    </row>
    <row r="31678">
      <c r="A31678" t="n">
        <v>31677</v>
      </c>
      <c r="B31678" t="inlineStr">
        <is>
          <t>x̄x̄x̄MDCLXXVII</t>
        </is>
      </c>
      <c r="C31678">
        <f>ROMAN(31677)</f>
        <v/>
      </c>
      <c r="D31678">
        <f>IF(B31678=C31678, "YES", "WRONG")</f>
        <v/>
      </c>
    </row>
    <row r="31679">
      <c r="A31679" t="n">
        <v>31678</v>
      </c>
      <c r="B31679" t="inlineStr">
        <is>
          <t>x̄x̄x̄MDCLXXVIII</t>
        </is>
      </c>
      <c r="C31679">
        <f>ROMAN(31678)</f>
        <v/>
      </c>
      <c r="D31679">
        <f>IF(B31679=C31679, "YES", "WRONG")</f>
        <v/>
      </c>
    </row>
    <row r="31680">
      <c r="A31680" t="n">
        <v>31679</v>
      </c>
      <c r="B31680" t="inlineStr">
        <is>
          <t>x̄x̄x̄MDCLXXIX</t>
        </is>
      </c>
      <c r="C31680">
        <f>ROMAN(31679)</f>
        <v/>
      </c>
      <c r="D31680">
        <f>IF(B31680=C31680, "YES", "WRONG")</f>
        <v/>
      </c>
    </row>
    <row r="31681">
      <c r="A31681" t="n">
        <v>31680</v>
      </c>
      <c r="B31681" t="inlineStr">
        <is>
          <t>x̄x̄x̄MDCLXXX</t>
        </is>
      </c>
      <c r="C31681">
        <f>ROMAN(31680)</f>
        <v/>
      </c>
      <c r="D31681">
        <f>IF(B31681=C31681, "YES", "WRONG")</f>
        <v/>
      </c>
    </row>
    <row r="31682">
      <c r="A31682" t="n">
        <v>31681</v>
      </c>
      <c r="B31682" t="inlineStr">
        <is>
          <t>x̄x̄x̄MDCLXXXI</t>
        </is>
      </c>
      <c r="C31682">
        <f>ROMAN(31681)</f>
        <v/>
      </c>
      <c r="D31682">
        <f>IF(B31682=C31682, "YES", "WRONG")</f>
        <v/>
      </c>
    </row>
    <row r="31683">
      <c r="A31683" t="n">
        <v>31682</v>
      </c>
      <c r="B31683" t="inlineStr">
        <is>
          <t>x̄x̄x̄MDCLXXXII</t>
        </is>
      </c>
      <c r="C31683">
        <f>ROMAN(31682)</f>
        <v/>
      </c>
      <c r="D31683">
        <f>IF(B31683=C31683, "YES", "WRONG")</f>
        <v/>
      </c>
    </row>
    <row r="31684">
      <c r="A31684" t="n">
        <v>31683</v>
      </c>
      <c r="B31684" t="inlineStr">
        <is>
          <t>x̄x̄x̄MDCLXXXIII</t>
        </is>
      </c>
      <c r="C31684">
        <f>ROMAN(31683)</f>
        <v/>
      </c>
      <c r="D31684">
        <f>IF(B31684=C31684, "YES", "WRONG")</f>
        <v/>
      </c>
    </row>
    <row r="31685">
      <c r="A31685" t="n">
        <v>31684</v>
      </c>
      <c r="B31685" t="inlineStr">
        <is>
          <t>x̄x̄x̄MDCLXXXIV</t>
        </is>
      </c>
      <c r="C31685">
        <f>ROMAN(31684)</f>
        <v/>
      </c>
      <c r="D31685">
        <f>IF(B31685=C31685, "YES", "WRONG")</f>
        <v/>
      </c>
    </row>
    <row r="31686">
      <c r="A31686" t="n">
        <v>31685</v>
      </c>
      <c r="B31686" t="inlineStr">
        <is>
          <t>x̄x̄x̄MDCLXXXV</t>
        </is>
      </c>
      <c r="C31686">
        <f>ROMAN(31685)</f>
        <v/>
      </c>
      <c r="D31686">
        <f>IF(B31686=C31686, "YES", "WRONG")</f>
        <v/>
      </c>
    </row>
    <row r="31687">
      <c r="A31687" t="n">
        <v>31686</v>
      </c>
      <c r="B31687" t="inlineStr">
        <is>
          <t>x̄x̄x̄MDCLXXXVI</t>
        </is>
      </c>
      <c r="C31687">
        <f>ROMAN(31686)</f>
        <v/>
      </c>
      <c r="D31687">
        <f>IF(B31687=C31687, "YES", "WRONG")</f>
        <v/>
      </c>
    </row>
    <row r="31688">
      <c r="A31688" t="n">
        <v>31687</v>
      </c>
      <c r="B31688" t="inlineStr">
        <is>
          <t>x̄x̄x̄MDCLXXXVII</t>
        </is>
      </c>
      <c r="C31688">
        <f>ROMAN(31687)</f>
        <v/>
      </c>
      <c r="D31688">
        <f>IF(B31688=C31688, "YES", "WRONG")</f>
        <v/>
      </c>
    </row>
    <row r="31689">
      <c r="A31689" t="n">
        <v>31688</v>
      </c>
      <c r="B31689" t="inlineStr">
        <is>
          <t>x̄x̄x̄MDCLXXXVIII</t>
        </is>
      </c>
      <c r="C31689">
        <f>ROMAN(31688)</f>
        <v/>
      </c>
      <c r="D31689">
        <f>IF(B31689=C31689, "YES", "WRONG")</f>
        <v/>
      </c>
    </row>
    <row r="31690">
      <c r="A31690" t="n">
        <v>31689</v>
      </c>
      <c r="B31690" t="inlineStr">
        <is>
          <t>x̄x̄x̄MDCLXXXIX</t>
        </is>
      </c>
      <c r="C31690">
        <f>ROMAN(31689)</f>
        <v/>
      </c>
      <c r="D31690">
        <f>IF(B31690=C31690, "YES", "WRONG")</f>
        <v/>
      </c>
    </row>
    <row r="31691">
      <c r="A31691" t="n">
        <v>31690</v>
      </c>
      <c r="B31691" t="inlineStr">
        <is>
          <t>x̄x̄x̄MDCXC</t>
        </is>
      </c>
      <c r="C31691">
        <f>ROMAN(31690)</f>
        <v/>
      </c>
      <c r="D31691">
        <f>IF(B31691=C31691, "YES", "WRONG")</f>
        <v/>
      </c>
    </row>
    <row r="31692">
      <c r="A31692" t="n">
        <v>31691</v>
      </c>
      <c r="B31692" t="inlineStr">
        <is>
          <t>x̄x̄x̄MDCXCI</t>
        </is>
      </c>
      <c r="C31692">
        <f>ROMAN(31691)</f>
        <v/>
      </c>
      <c r="D31692">
        <f>IF(B31692=C31692, "YES", "WRONG")</f>
        <v/>
      </c>
    </row>
    <row r="31693">
      <c r="A31693" t="n">
        <v>31692</v>
      </c>
      <c r="B31693" t="inlineStr">
        <is>
          <t>x̄x̄x̄MDCXCII</t>
        </is>
      </c>
      <c r="C31693">
        <f>ROMAN(31692)</f>
        <v/>
      </c>
      <c r="D31693">
        <f>IF(B31693=C31693, "YES", "WRONG")</f>
        <v/>
      </c>
    </row>
    <row r="31694">
      <c r="A31694" t="n">
        <v>31693</v>
      </c>
      <c r="B31694" t="inlineStr">
        <is>
          <t>x̄x̄x̄MDCXCIII</t>
        </is>
      </c>
      <c r="C31694">
        <f>ROMAN(31693)</f>
        <v/>
      </c>
      <c r="D31694">
        <f>IF(B31694=C31694, "YES", "WRONG")</f>
        <v/>
      </c>
    </row>
    <row r="31695">
      <c r="A31695" t="n">
        <v>31694</v>
      </c>
      <c r="B31695" t="inlineStr">
        <is>
          <t>x̄x̄x̄MDCXCIV</t>
        </is>
      </c>
      <c r="C31695">
        <f>ROMAN(31694)</f>
        <v/>
      </c>
      <c r="D31695">
        <f>IF(B31695=C31695, "YES", "WRONG")</f>
        <v/>
      </c>
    </row>
    <row r="31696">
      <c r="A31696" t="n">
        <v>31695</v>
      </c>
      <c r="B31696" t="inlineStr">
        <is>
          <t>x̄x̄x̄MDCXCV</t>
        </is>
      </c>
      <c r="C31696">
        <f>ROMAN(31695)</f>
        <v/>
      </c>
      <c r="D31696">
        <f>IF(B31696=C31696, "YES", "WRONG")</f>
        <v/>
      </c>
    </row>
    <row r="31697">
      <c r="A31697" t="n">
        <v>31696</v>
      </c>
      <c r="B31697" t="inlineStr">
        <is>
          <t>x̄x̄x̄MDCXCVI</t>
        </is>
      </c>
      <c r="C31697">
        <f>ROMAN(31696)</f>
        <v/>
      </c>
      <c r="D31697">
        <f>IF(B31697=C31697, "YES", "WRONG")</f>
        <v/>
      </c>
    </row>
    <row r="31698">
      <c r="A31698" t="n">
        <v>31697</v>
      </c>
      <c r="B31698" t="inlineStr">
        <is>
          <t>x̄x̄x̄MDCXCVII</t>
        </is>
      </c>
      <c r="C31698">
        <f>ROMAN(31697)</f>
        <v/>
      </c>
      <c r="D31698">
        <f>IF(B31698=C31698, "YES", "WRONG")</f>
        <v/>
      </c>
    </row>
    <row r="31699">
      <c r="A31699" t="n">
        <v>31698</v>
      </c>
      <c r="B31699" t="inlineStr">
        <is>
          <t>x̄x̄x̄MDCXCVIII</t>
        </is>
      </c>
      <c r="C31699">
        <f>ROMAN(31698)</f>
        <v/>
      </c>
      <c r="D31699">
        <f>IF(B31699=C31699, "YES", "WRONG")</f>
        <v/>
      </c>
    </row>
    <row r="31700">
      <c r="A31700" t="n">
        <v>31699</v>
      </c>
      <c r="B31700" t="inlineStr">
        <is>
          <t>x̄x̄x̄MDCXCIX</t>
        </is>
      </c>
      <c r="C31700">
        <f>ROMAN(31699)</f>
        <v/>
      </c>
      <c r="D31700">
        <f>IF(B31700=C31700, "YES", "WRONG")</f>
        <v/>
      </c>
    </row>
    <row r="31701">
      <c r="A31701" t="n">
        <v>31700</v>
      </c>
      <c r="B31701" t="inlineStr">
        <is>
          <t>x̄x̄x̄MDCC</t>
        </is>
      </c>
      <c r="C31701">
        <f>ROMAN(31700)</f>
        <v/>
      </c>
      <c r="D31701">
        <f>IF(B31701=C31701, "YES", "WRONG")</f>
        <v/>
      </c>
    </row>
    <row r="31702">
      <c r="A31702" t="n">
        <v>31701</v>
      </c>
      <c r="B31702" t="inlineStr">
        <is>
          <t>x̄x̄x̄MDCCI</t>
        </is>
      </c>
      <c r="C31702">
        <f>ROMAN(31701)</f>
        <v/>
      </c>
      <c r="D31702">
        <f>IF(B31702=C31702, "YES", "WRONG")</f>
        <v/>
      </c>
    </row>
    <row r="31703">
      <c r="A31703" t="n">
        <v>31702</v>
      </c>
      <c r="B31703" t="inlineStr">
        <is>
          <t>x̄x̄x̄MDCCII</t>
        </is>
      </c>
      <c r="C31703">
        <f>ROMAN(31702)</f>
        <v/>
      </c>
      <c r="D31703">
        <f>IF(B31703=C31703, "YES", "WRONG")</f>
        <v/>
      </c>
    </row>
    <row r="31704">
      <c r="A31704" t="n">
        <v>31703</v>
      </c>
      <c r="B31704" t="inlineStr">
        <is>
          <t>x̄x̄x̄MDCCIII</t>
        </is>
      </c>
      <c r="C31704">
        <f>ROMAN(31703)</f>
        <v/>
      </c>
      <c r="D31704">
        <f>IF(B31704=C31704, "YES", "WRONG")</f>
        <v/>
      </c>
    </row>
    <row r="31705">
      <c r="A31705" t="n">
        <v>31704</v>
      </c>
      <c r="B31705" t="inlineStr">
        <is>
          <t>x̄x̄x̄MDCCIV</t>
        </is>
      </c>
      <c r="C31705">
        <f>ROMAN(31704)</f>
        <v/>
      </c>
      <c r="D31705">
        <f>IF(B31705=C31705, "YES", "WRONG")</f>
        <v/>
      </c>
    </row>
    <row r="31706">
      <c r="A31706" t="n">
        <v>31705</v>
      </c>
      <c r="B31706" t="inlineStr">
        <is>
          <t>x̄x̄x̄MDCCV</t>
        </is>
      </c>
      <c r="C31706">
        <f>ROMAN(31705)</f>
        <v/>
      </c>
      <c r="D31706">
        <f>IF(B31706=C31706, "YES", "WRONG")</f>
        <v/>
      </c>
    </row>
    <row r="31707">
      <c r="A31707" t="n">
        <v>31706</v>
      </c>
      <c r="B31707" t="inlineStr">
        <is>
          <t>x̄x̄x̄MDCCVI</t>
        </is>
      </c>
      <c r="C31707">
        <f>ROMAN(31706)</f>
        <v/>
      </c>
      <c r="D31707">
        <f>IF(B31707=C31707, "YES", "WRONG")</f>
        <v/>
      </c>
    </row>
    <row r="31708">
      <c r="A31708" t="n">
        <v>31707</v>
      </c>
      <c r="B31708" t="inlineStr">
        <is>
          <t>x̄x̄x̄MDCCVII</t>
        </is>
      </c>
      <c r="C31708">
        <f>ROMAN(31707)</f>
        <v/>
      </c>
      <c r="D31708">
        <f>IF(B31708=C31708, "YES", "WRONG")</f>
        <v/>
      </c>
    </row>
    <row r="31709">
      <c r="A31709" t="n">
        <v>31708</v>
      </c>
      <c r="B31709" t="inlineStr">
        <is>
          <t>x̄x̄x̄MDCCVIII</t>
        </is>
      </c>
      <c r="C31709">
        <f>ROMAN(31708)</f>
        <v/>
      </c>
      <c r="D31709">
        <f>IF(B31709=C31709, "YES", "WRONG")</f>
        <v/>
      </c>
    </row>
    <row r="31710">
      <c r="A31710" t="n">
        <v>31709</v>
      </c>
      <c r="B31710" t="inlineStr">
        <is>
          <t>x̄x̄x̄MDCCIX</t>
        </is>
      </c>
      <c r="C31710">
        <f>ROMAN(31709)</f>
        <v/>
      </c>
      <c r="D31710">
        <f>IF(B31710=C31710, "YES", "WRONG")</f>
        <v/>
      </c>
    </row>
    <row r="31711">
      <c r="A31711" t="n">
        <v>31710</v>
      </c>
      <c r="B31711" t="inlineStr">
        <is>
          <t>x̄x̄x̄MDCCX</t>
        </is>
      </c>
      <c r="C31711">
        <f>ROMAN(31710)</f>
        <v/>
      </c>
      <c r="D31711">
        <f>IF(B31711=C31711, "YES", "WRONG")</f>
        <v/>
      </c>
    </row>
    <row r="31712">
      <c r="A31712" t="n">
        <v>31711</v>
      </c>
      <c r="B31712" t="inlineStr">
        <is>
          <t>x̄x̄x̄MDCCXI</t>
        </is>
      </c>
      <c r="C31712">
        <f>ROMAN(31711)</f>
        <v/>
      </c>
      <c r="D31712">
        <f>IF(B31712=C31712, "YES", "WRONG")</f>
        <v/>
      </c>
    </row>
    <row r="31713">
      <c r="A31713" t="n">
        <v>31712</v>
      </c>
      <c r="B31713" t="inlineStr">
        <is>
          <t>x̄x̄x̄MDCCXII</t>
        </is>
      </c>
      <c r="C31713">
        <f>ROMAN(31712)</f>
        <v/>
      </c>
      <c r="D31713">
        <f>IF(B31713=C31713, "YES", "WRONG")</f>
        <v/>
      </c>
    </row>
    <row r="31714">
      <c r="A31714" t="n">
        <v>31713</v>
      </c>
      <c r="B31714" t="inlineStr">
        <is>
          <t>x̄x̄x̄MDCCXIII</t>
        </is>
      </c>
      <c r="C31714">
        <f>ROMAN(31713)</f>
        <v/>
      </c>
      <c r="D31714">
        <f>IF(B31714=C31714, "YES", "WRONG")</f>
        <v/>
      </c>
    </row>
    <row r="31715">
      <c r="A31715" t="n">
        <v>31714</v>
      </c>
      <c r="B31715" t="inlineStr">
        <is>
          <t>x̄x̄x̄MDCCXIV</t>
        </is>
      </c>
      <c r="C31715">
        <f>ROMAN(31714)</f>
        <v/>
      </c>
      <c r="D31715">
        <f>IF(B31715=C31715, "YES", "WRONG")</f>
        <v/>
      </c>
    </row>
    <row r="31716">
      <c r="A31716" t="n">
        <v>31715</v>
      </c>
      <c r="B31716" t="inlineStr">
        <is>
          <t>x̄x̄x̄MDCCXV</t>
        </is>
      </c>
      <c r="C31716">
        <f>ROMAN(31715)</f>
        <v/>
      </c>
      <c r="D31716">
        <f>IF(B31716=C31716, "YES", "WRONG")</f>
        <v/>
      </c>
    </row>
    <row r="31717">
      <c r="A31717" t="n">
        <v>31716</v>
      </c>
      <c r="B31717" t="inlineStr">
        <is>
          <t>x̄x̄x̄MDCCXVI</t>
        </is>
      </c>
      <c r="C31717">
        <f>ROMAN(31716)</f>
        <v/>
      </c>
      <c r="D31717">
        <f>IF(B31717=C31717, "YES", "WRONG")</f>
        <v/>
      </c>
    </row>
    <row r="31718">
      <c r="A31718" t="n">
        <v>31717</v>
      </c>
      <c r="B31718" t="inlineStr">
        <is>
          <t>x̄x̄x̄MDCCXVII</t>
        </is>
      </c>
      <c r="C31718">
        <f>ROMAN(31717)</f>
        <v/>
      </c>
      <c r="D31718">
        <f>IF(B31718=C31718, "YES", "WRONG")</f>
        <v/>
      </c>
    </row>
    <row r="31719">
      <c r="A31719" t="n">
        <v>31718</v>
      </c>
      <c r="B31719" t="inlineStr">
        <is>
          <t>x̄x̄x̄MDCCXVIII</t>
        </is>
      </c>
      <c r="C31719">
        <f>ROMAN(31718)</f>
        <v/>
      </c>
      <c r="D31719">
        <f>IF(B31719=C31719, "YES", "WRONG")</f>
        <v/>
      </c>
    </row>
    <row r="31720">
      <c r="A31720" t="n">
        <v>31719</v>
      </c>
      <c r="B31720" t="inlineStr">
        <is>
          <t>x̄x̄x̄MDCCXIX</t>
        </is>
      </c>
      <c r="C31720">
        <f>ROMAN(31719)</f>
        <v/>
      </c>
      <c r="D31720">
        <f>IF(B31720=C31720, "YES", "WRONG")</f>
        <v/>
      </c>
    </row>
    <row r="31721">
      <c r="A31721" t="n">
        <v>31720</v>
      </c>
      <c r="B31721" t="inlineStr">
        <is>
          <t>x̄x̄x̄MDCCXX</t>
        </is>
      </c>
      <c r="C31721">
        <f>ROMAN(31720)</f>
        <v/>
      </c>
      <c r="D31721">
        <f>IF(B31721=C31721, "YES", "WRONG")</f>
        <v/>
      </c>
    </row>
    <row r="31722">
      <c r="A31722" t="n">
        <v>31721</v>
      </c>
      <c r="B31722" t="inlineStr">
        <is>
          <t>x̄x̄x̄MDCCXXI</t>
        </is>
      </c>
      <c r="C31722">
        <f>ROMAN(31721)</f>
        <v/>
      </c>
      <c r="D31722">
        <f>IF(B31722=C31722, "YES", "WRONG")</f>
        <v/>
      </c>
    </row>
    <row r="31723">
      <c r="A31723" t="n">
        <v>31722</v>
      </c>
      <c r="B31723" t="inlineStr">
        <is>
          <t>x̄x̄x̄MDCCXXII</t>
        </is>
      </c>
      <c r="C31723">
        <f>ROMAN(31722)</f>
        <v/>
      </c>
      <c r="D31723">
        <f>IF(B31723=C31723, "YES", "WRONG")</f>
        <v/>
      </c>
    </row>
    <row r="31724">
      <c r="A31724" t="n">
        <v>31723</v>
      </c>
      <c r="B31724" t="inlineStr">
        <is>
          <t>x̄x̄x̄MDCCXXIII</t>
        </is>
      </c>
      <c r="C31724">
        <f>ROMAN(31723)</f>
        <v/>
      </c>
      <c r="D31724">
        <f>IF(B31724=C31724, "YES", "WRONG")</f>
        <v/>
      </c>
    </row>
    <row r="31725">
      <c r="A31725" t="n">
        <v>31724</v>
      </c>
      <c r="B31725" t="inlineStr">
        <is>
          <t>x̄x̄x̄MDCCXXIV</t>
        </is>
      </c>
      <c r="C31725">
        <f>ROMAN(31724)</f>
        <v/>
      </c>
      <c r="D31725">
        <f>IF(B31725=C31725, "YES", "WRONG")</f>
        <v/>
      </c>
    </row>
    <row r="31726">
      <c r="A31726" t="n">
        <v>31725</v>
      </c>
      <c r="B31726" t="inlineStr">
        <is>
          <t>x̄x̄x̄MDCCXXV</t>
        </is>
      </c>
      <c r="C31726">
        <f>ROMAN(31725)</f>
        <v/>
      </c>
      <c r="D31726">
        <f>IF(B31726=C31726, "YES", "WRONG")</f>
        <v/>
      </c>
    </row>
    <row r="31727">
      <c r="A31727" t="n">
        <v>31726</v>
      </c>
      <c r="B31727" t="inlineStr">
        <is>
          <t>x̄x̄x̄MDCCXXVI</t>
        </is>
      </c>
      <c r="C31727">
        <f>ROMAN(31726)</f>
        <v/>
      </c>
      <c r="D31727">
        <f>IF(B31727=C31727, "YES", "WRONG")</f>
        <v/>
      </c>
    </row>
    <row r="31728">
      <c r="A31728" t="n">
        <v>31727</v>
      </c>
      <c r="B31728" t="inlineStr">
        <is>
          <t>x̄x̄x̄MDCCXXVII</t>
        </is>
      </c>
      <c r="C31728">
        <f>ROMAN(31727)</f>
        <v/>
      </c>
      <c r="D31728">
        <f>IF(B31728=C31728, "YES", "WRONG")</f>
        <v/>
      </c>
    </row>
    <row r="31729">
      <c r="A31729" t="n">
        <v>31728</v>
      </c>
      <c r="B31729" t="inlineStr">
        <is>
          <t>x̄x̄x̄MDCCXXVIII</t>
        </is>
      </c>
      <c r="C31729">
        <f>ROMAN(31728)</f>
        <v/>
      </c>
      <c r="D31729">
        <f>IF(B31729=C31729, "YES", "WRONG")</f>
        <v/>
      </c>
    </row>
    <row r="31730">
      <c r="A31730" t="n">
        <v>31729</v>
      </c>
      <c r="B31730" t="inlineStr">
        <is>
          <t>x̄x̄x̄MDCCXXIX</t>
        </is>
      </c>
      <c r="C31730">
        <f>ROMAN(31729)</f>
        <v/>
      </c>
      <c r="D31730">
        <f>IF(B31730=C31730, "YES", "WRONG")</f>
        <v/>
      </c>
    </row>
    <row r="31731">
      <c r="A31731" t="n">
        <v>31730</v>
      </c>
      <c r="B31731" t="inlineStr">
        <is>
          <t>x̄x̄x̄MDCCXXX</t>
        </is>
      </c>
      <c r="C31731">
        <f>ROMAN(31730)</f>
        <v/>
      </c>
      <c r="D31731">
        <f>IF(B31731=C31731, "YES", "WRONG")</f>
        <v/>
      </c>
    </row>
    <row r="31732">
      <c r="A31732" t="n">
        <v>31731</v>
      </c>
      <c r="B31732" t="inlineStr">
        <is>
          <t>x̄x̄x̄MDCCXXXI</t>
        </is>
      </c>
      <c r="C31732">
        <f>ROMAN(31731)</f>
        <v/>
      </c>
      <c r="D31732">
        <f>IF(B31732=C31732, "YES", "WRONG")</f>
        <v/>
      </c>
    </row>
    <row r="31733">
      <c r="A31733" t="n">
        <v>31732</v>
      </c>
      <c r="B31733" t="inlineStr">
        <is>
          <t>x̄x̄x̄MDCCXXXII</t>
        </is>
      </c>
      <c r="C31733">
        <f>ROMAN(31732)</f>
        <v/>
      </c>
      <c r="D31733">
        <f>IF(B31733=C31733, "YES", "WRONG")</f>
        <v/>
      </c>
    </row>
    <row r="31734">
      <c r="A31734" t="n">
        <v>31733</v>
      </c>
      <c r="B31734" t="inlineStr">
        <is>
          <t>x̄x̄x̄MDCCXXXIII</t>
        </is>
      </c>
      <c r="C31734">
        <f>ROMAN(31733)</f>
        <v/>
      </c>
      <c r="D31734">
        <f>IF(B31734=C31734, "YES", "WRONG")</f>
        <v/>
      </c>
    </row>
    <row r="31735">
      <c r="A31735" t="n">
        <v>31734</v>
      </c>
      <c r="B31735" t="inlineStr">
        <is>
          <t>x̄x̄x̄MDCCXXXIV</t>
        </is>
      </c>
      <c r="C31735">
        <f>ROMAN(31734)</f>
        <v/>
      </c>
      <c r="D31735">
        <f>IF(B31735=C31735, "YES", "WRONG")</f>
        <v/>
      </c>
    </row>
    <row r="31736">
      <c r="A31736" t="n">
        <v>31735</v>
      </c>
      <c r="B31736" t="inlineStr">
        <is>
          <t>x̄x̄x̄MDCCXXXV</t>
        </is>
      </c>
      <c r="C31736">
        <f>ROMAN(31735)</f>
        <v/>
      </c>
      <c r="D31736">
        <f>IF(B31736=C31736, "YES", "WRONG")</f>
        <v/>
      </c>
    </row>
    <row r="31737">
      <c r="A31737" t="n">
        <v>31736</v>
      </c>
      <c r="B31737" t="inlineStr">
        <is>
          <t>x̄x̄x̄MDCCXXXVI</t>
        </is>
      </c>
      <c r="C31737">
        <f>ROMAN(31736)</f>
        <v/>
      </c>
      <c r="D31737">
        <f>IF(B31737=C31737, "YES", "WRONG")</f>
        <v/>
      </c>
    </row>
    <row r="31738">
      <c r="A31738" t="n">
        <v>31737</v>
      </c>
      <c r="B31738" t="inlineStr">
        <is>
          <t>x̄x̄x̄MDCCXXXVII</t>
        </is>
      </c>
      <c r="C31738">
        <f>ROMAN(31737)</f>
        <v/>
      </c>
      <c r="D31738">
        <f>IF(B31738=C31738, "YES", "WRONG")</f>
        <v/>
      </c>
    </row>
    <row r="31739">
      <c r="A31739" t="n">
        <v>31738</v>
      </c>
      <c r="B31739" t="inlineStr">
        <is>
          <t>x̄x̄x̄MDCCXXXVIII</t>
        </is>
      </c>
      <c r="C31739">
        <f>ROMAN(31738)</f>
        <v/>
      </c>
      <c r="D31739">
        <f>IF(B31739=C31739, "YES", "WRONG")</f>
        <v/>
      </c>
    </row>
    <row r="31740">
      <c r="A31740" t="n">
        <v>31739</v>
      </c>
      <c r="B31740" t="inlineStr">
        <is>
          <t>x̄x̄x̄MDCCXXXIX</t>
        </is>
      </c>
      <c r="C31740">
        <f>ROMAN(31739)</f>
        <v/>
      </c>
      <c r="D31740">
        <f>IF(B31740=C31740, "YES", "WRONG")</f>
        <v/>
      </c>
    </row>
    <row r="31741">
      <c r="A31741" t="n">
        <v>31740</v>
      </c>
      <c r="B31741" t="inlineStr">
        <is>
          <t>x̄x̄x̄MDCCXL</t>
        </is>
      </c>
      <c r="C31741">
        <f>ROMAN(31740)</f>
        <v/>
      </c>
      <c r="D31741">
        <f>IF(B31741=C31741, "YES", "WRONG")</f>
        <v/>
      </c>
    </row>
    <row r="31742">
      <c r="A31742" t="n">
        <v>31741</v>
      </c>
      <c r="B31742" t="inlineStr">
        <is>
          <t>x̄x̄x̄MDCCXLI</t>
        </is>
      </c>
      <c r="C31742">
        <f>ROMAN(31741)</f>
        <v/>
      </c>
      <c r="D31742">
        <f>IF(B31742=C31742, "YES", "WRONG")</f>
        <v/>
      </c>
    </row>
    <row r="31743">
      <c r="A31743" t="n">
        <v>31742</v>
      </c>
      <c r="B31743" t="inlineStr">
        <is>
          <t>x̄x̄x̄MDCCXLII</t>
        </is>
      </c>
      <c r="C31743">
        <f>ROMAN(31742)</f>
        <v/>
      </c>
      <c r="D31743">
        <f>IF(B31743=C31743, "YES", "WRONG")</f>
        <v/>
      </c>
    </row>
    <row r="31744">
      <c r="A31744" t="n">
        <v>31743</v>
      </c>
      <c r="B31744" t="inlineStr">
        <is>
          <t>x̄x̄x̄MDCCXLIII</t>
        </is>
      </c>
      <c r="C31744">
        <f>ROMAN(31743)</f>
        <v/>
      </c>
      <c r="D31744">
        <f>IF(B31744=C31744, "YES", "WRONG")</f>
        <v/>
      </c>
    </row>
    <row r="31745">
      <c r="A31745" t="n">
        <v>31744</v>
      </c>
      <c r="B31745" t="inlineStr">
        <is>
          <t>x̄x̄x̄MDCCXLIV</t>
        </is>
      </c>
      <c r="C31745">
        <f>ROMAN(31744)</f>
        <v/>
      </c>
      <c r="D31745">
        <f>IF(B31745=C31745, "YES", "WRONG")</f>
        <v/>
      </c>
    </row>
    <row r="31746">
      <c r="A31746" t="n">
        <v>31745</v>
      </c>
      <c r="B31746" t="inlineStr">
        <is>
          <t>x̄x̄x̄MDCCXLV</t>
        </is>
      </c>
      <c r="C31746">
        <f>ROMAN(31745)</f>
        <v/>
      </c>
      <c r="D31746">
        <f>IF(B31746=C31746, "YES", "WRONG")</f>
        <v/>
      </c>
    </row>
    <row r="31747">
      <c r="A31747" t="n">
        <v>31746</v>
      </c>
      <c r="B31747" t="inlineStr">
        <is>
          <t>x̄x̄x̄MDCCXLVI</t>
        </is>
      </c>
      <c r="C31747">
        <f>ROMAN(31746)</f>
        <v/>
      </c>
      <c r="D31747">
        <f>IF(B31747=C31747, "YES", "WRONG")</f>
        <v/>
      </c>
    </row>
    <row r="31748">
      <c r="A31748" t="n">
        <v>31747</v>
      </c>
      <c r="B31748" t="inlineStr">
        <is>
          <t>x̄x̄x̄MDCCXLVII</t>
        </is>
      </c>
      <c r="C31748">
        <f>ROMAN(31747)</f>
        <v/>
      </c>
      <c r="D31748">
        <f>IF(B31748=C31748, "YES", "WRONG")</f>
        <v/>
      </c>
    </row>
    <row r="31749">
      <c r="A31749" t="n">
        <v>31748</v>
      </c>
      <c r="B31749" t="inlineStr">
        <is>
          <t>x̄x̄x̄MDCCXLVIII</t>
        </is>
      </c>
      <c r="C31749">
        <f>ROMAN(31748)</f>
        <v/>
      </c>
      <c r="D31749">
        <f>IF(B31749=C31749, "YES", "WRONG")</f>
        <v/>
      </c>
    </row>
    <row r="31750">
      <c r="A31750" t="n">
        <v>31749</v>
      </c>
      <c r="B31750" t="inlineStr">
        <is>
          <t>x̄x̄x̄MDCCXLIX</t>
        </is>
      </c>
      <c r="C31750">
        <f>ROMAN(31749)</f>
        <v/>
      </c>
      <c r="D31750">
        <f>IF(B31750=C31750, "YES", "WRONG")</f>
        <v/>
      </c>
    </row>
    <row r="31751">
      <c r="A31751" t="n">
        <v>31750</v>
      </c>
      <c r="B31751" t="inlineStr">
        <is>
          <t>x̄x̄x̄MDCCL</t>
        </is>
      </c>
      <c r="C31751">
        <f>ROMAN(31750)</f>
        <v/>
      </c>
      <c r="D31751">
        <f>IF(B31751=C31751, "YES", "WRONG")</f>
        <v/>
      </c>
    </row>
    <row r="31752">
      <c r="A31752" t="n">
        <v>31751</v>
      </c>
      <c r="B31752" t="inlineStr">
        <is>
          <t>x̄x̄x̄MDCCLI</t>
        </is>
      </c>
      <c r="C31752">
        <f>ROMAN(31751)</f>
        <v/>
      </c>
      <c r="D31752">
        <f>IF(B31752=C31752, "YES", "WRONG")</f>
        <v/>
      </c>
    </row>
    <row r="31753">
      <c r="A31753" t="n">
        <v>31752</v>
      </c>
      <c r="B31753" t="inlineStr">
        <is>
          <t>x̄x̄x̄MDCCLII</t>
        </is>
      </c>
      <c r="C31753">
        <f>ROMAN(31752)</f>
        <v/>
      </c>
      <c r="D31753">
        <f>IF(B31753=C31753, "YES", "WRONG")</f>
        <v/>
      </c>
    </row>
    <row r="31754">
      <c r="A31754" t="n">
        <v>31753</v>
      </c>
      <c r="B31754" t="inlineStr">
        <is>
          <t>x̄x̄x̄MDCCLIII</t>
        </is>
      </c>
      <c r="C31754">
        <f>ROMAN(31753)</f>
        <v/>
      </c>
      <c r="D31754">
        <f>IF(B31754=C31754, "YES", "WRONG")</f>
        <v/>
      </c>
    </row>
    <row r="31755">
      <c r="A31755" t="n">
        <v>31754</v>
      </c>
      <c r="B31755" t="inlineStr">
        <is>
          <t>x̄x̄x̄MDCCLIV</t>
        </is>
      </c>
      <c r="C31755">
        <f>ROMAN(31754)</f>
        <v/>
      </c>
      <c r="D31755">
        <f>IF(B31755=C31755, "YES", "WRONG")</f>
        <v/>
      </c>
    </row>
    <row r="31756">
      <c r="A31756" t="n">
        <v>31755</v>
      </c>
      <c r="B31756" t="inlineStr">
        <is>
          <t>x̄x̄x̄MDCCLV</t>
        </is>
      </c>
      <c r="C31756">
        <f>ROMAN(31755)</f>
        <v/>
      </c>
      <c r="D31756">
        <f>IF(B31756=C31756, "YES", "WRONG")</f>
        <v/>
      </c>
    </row>
    <row r="31757">
      <c r="A31757" t="n">
        <v>31756</v>
      </c>
      <c r="B31757" t="inlineStr">
        <is>
          <t>x̄x̄x̄MDCCLVI</t>
        </is>
      </c>
      <c r="C31757">
        <f>ROMAN(31756)</f>
        <v/>
      </c>
      <c r="D31757">
        <f>IF(B31757=C31757, "YES", "WRONG")</f>
        <v/>
      </c>
    </row>
    <row r="31758">
      <c r="A31758" t="n">
        <v>31757</v>
      </c>
      <c r="B31758" t="inlineStr">
        <is>
          <t>x̄x̄x̄MDCCLVII</t>
        </is>
      </c>
      <c r="C31758">
        <f>ROMAN(31757)</f>
        <v/>
      </c>
      <c r="D31758">
        <f>IF(B31758=C31758, "YES", "WRONG")</f>
        <v/>
      </c>
    </row>
    <row r="31759">
      <c r="A31759" t="n">
        <v>31758</v>
      </c>
      <c r="B31759" t="inlineStr">
        <is>
          <t>x̄x̄x̄MDCCLVIII</t>
        </is>
      </c>
      <c r="C31759">
        <f>ROMAN(31758)</f>
        <v/>
      </c>
      <c r="D31759">
        <f>IF(B31759=C31759, "YES", "WRONG")</f>
        <v/>
      </c>
    </row>
    <row r="31760">
      <c r="A31760" t="n">
        <v>31759</v>
      </c>
      <c r="B31760" t="inlineStr">
        <is>
          <t>x̄x̄x̄MDCCLIX</t>
        </is>
      </c>
      <c r="C31760">
        <f>ROMAN(31759)</f>
        <v/>
      </c>
      <c r="D31760">
        <f>IF(B31760=C31760, "YES", "WRONG")</f>
        <v/>
      </c>
    </row>
    <row r="31761">
      <c r="A31761" t="n">
        <v>31760</v>
      </c>
      <c r="B31761" t="inlineStr">
        <is>
          <t>x̄x̄x̄MDCCLX</t>
        </is>
      </c>
      <c r="C31761">
        <f>ROMAN(31760)</f>
        <v/>
      </c>
      <c r="D31761">
        <f>IF(B31761=C31761, "YES", "WRONG")</f>
        <v/>
      </c>
    </row>
    <row r="31762">
      <c r="A31762" t="n">
        <v>31761</v>
      </c>
      <c r="B31762" t="inlineStr">
        <is>
          <t>x̄x̄x̄MDCCLXI</t>
        </is>
      </c>
      <c r="C31762">
        <f>ROMAN(31761)</f>
        <v/>
      </c>
      <c r="D31762">
        <f>IF(B31762=C31762, "YES", "WRONG")</f>
        <v/>
      </c>
    </row>
    <row r="31763">
      <c r="A31763" t="n">
        <v>31762</v>
      </c>
      <c r="B31763" t="inlineStr">
        <is>
          <t>x̄x̄x̄MDCCLXII</t>
        </is>
      </c>
      <c r="C31763">
        <f>ROMAN(31762)</f>
        <v/>
      </c>
      <c r="D31763">
        <f>IF(B31763=C31763, "YES", "WRONG")</f>
        <v/>
      </c>
    </row>
    <row r="31764">
      <c r="A31764" t="n">
        <v>31763</v>
      </c>
      <c r="B31764" t="inlineStr">
        <is>
          <t>x̄x̄x̄MDCCLXIII</t>
        </is>
      </c>
      <c r="C31764">
        <f>ROMAN(31763)</f>
        <v/>
      </c>
      <c r="D31764">
        <f>IF(B31764=C31764, "YES", "WRONG")</f>
        <v/>
      </c>
    </row>
    <row r="31765">
      <c r="A31765" t="n">
        <v>31764</v>
      </c>
      <c r="B31765" t="inlineStr">
        <is>
          <t>x̄x̄x̄MDCCLXIV</t>
        </is>
      </c>
      <c r="C31765">
        <f>ROMAN(31764)</f>
        <v/>
      </c>
      <c r="D31765">
        <f>IF(B31765=C31765, "YES", "WRONG")</f>
        <v/>
      </c>
    </row>
    <row r="31766">
      <c r="A31766" t="n">
        <v>31765</v>
      </c>
      <c r="B31766" t="inlineStr">
        <is>
          <t>x̄x̄x̄MDCCLXV</t>
        </is>
      </c>
      <c r="C31766">
        <f>ROMAN(31765)</f>
        <v/>
      </c>
      <c r="D31766">
        <f>IF(B31766=C31766, "YES", "WRONG")</f>
        <v/>
      </c>
    </row>
    <row r="31767">
      <c r="A31767" t="n">
        <v>31766</v>
      </c>
      <c r="B31767" t="inlineStr">
        <is>
          <t>x̄x̄x̄MDCCLXVI</t>
        </is>
      </c>
      <c r="C31767">
        <f>ROMAN(31766)</f>
        <v/>
      </c>
      <c r="D31767">
        <f>IF(B31767=C31767, "YES", "WRONG")</f>
        <v/>
      </c>
    </row>
    <row r="31768">
      <c r="A31768" t="n">
        <v>31767</v>
      </c>
      <c r="B31768" t="inlineStr">
        <is>
          <t>x̄x̄x̄MDCCLXVII</t>
        </is>
      </c>
      <c r="C31768">
        <f>ROMAN(31767)</f>
        <v/>
      </c>
      <c r="D31768">
        <f>IF(B31768=C31768, "YES", "WRONG")</f>
        <v/>
      </c>
    </row>
    <row r="31769">
      <c r="A31769" t="n">
        <v>31768</v>
      </c>
      <c r="B31769" t="inlineStr">
        <is>
          <t>x̄x̄x̄MDCCLXVIII</t>
        </is>
      </c>
      <c r="C31769">
        <f>ROMAN(31768)</f>
        <v/>
      </c>
      <c r="D31769">
        <f>IF(B31769=C31769, "YES", "WRONG")</f>
        <v/>
      </c>
    </row>
    <row r="31770">
      <c r="A31770" t="n">
        <v>31769</v>
      </c>
      <c r="B31770" t="inlineStr">
        <is>
          <t>x̄x̄x̄MDCCLXIX</t>
        </is>
      </c>
      <c r="C31770">
        <f>ROMAN(31769)</f>
        <v/>
      </c>
      <c r="D31770">
        <f>IF(B31770=C31770, "YES", "WRONG")</f>
        <v/>
      </c>
    </row>
    <row r="31771">
      <c r="A31771" t="n">
        <v>31770</v>
      </c>
      <c r="B31771" t="inlineStr">
        <is>
          <t>x̄x̄x̄MDCCLXX</t>
        </is>
      </c>
      <c r="C31771">
        <f>ROMAN(31770)</f>
        <v/>
      </c>
      <c r="D31771">
        <f>IF(B31771=C31771, "YES", "WRONG")</f>
        <v/>
      </c>
    </row>
    <row r="31772">
      <c r="A31772" t="n">
        <v>31771</v>
      </c>
      <c r="B31772" t="inlineStr">
        <is>
          <t>x̄x̄x̄MDCCLXXI</t>
        </is>
      </c>
      <c r="C31772">
        <f>ROMAN(31771)</f>
        <v/>
      </c>
      <c r="D31772">
        <f>IF(B31772=C31772, "YES", "WRONG")</f>
        <v/>
      </c>
    </row>
    <row r="31773">
      <c r="A31773" t="n">
        <v>31772</v>
      </c>
      <c r="B31773" t="inlineStr">
        <is>
          <t>x̄x̄x̄MDCCLXXII</t>
        </is>
      </c>
      <c r="C31773">
        <f>ROMAN(31772)</f>
        <v/>
      </c>
      <c r="D31773">
        <f>IF(B31773=C31773, "YES", "WRONG")</f>
        <v/>
      </c>
    </row>
    <row r="31774">
      <c r="A31774" t="n">
        <v>31773</v>
      </c>
      <c r="B31774" t="inlineStr">
        <is>
          <t>x̄x̄x̄MDCCLXXIII</t>
        </is>
      </c>
      <c r="C31774">
        <f>ROMAN(31773)</f>
        <v/>
      </c>
      <c r="D31774">
        <f>IF(B31774=C31774, "YES", "WRONG")</f>
        <v/>
      </c>
    </row>
    <row r="31775">
      <c r="A31775" t="n">
        <v>31774</v>
      </c>
      <c r="B31775" t="inlineStr">
        <is>
          <t>x̄x̄x̄MDCCLXXIV</t>
        </is>
      </c>
      <c r="C31775">
        <f>ROMAN(31774)</f>
        <v/>
      </c>
      <c r="D31775">
        <f>IF(B31775=C31775, "YES", "WRONG")</f>
        <v/>
      </c>
    </row>
    <row r="31776">
      <c r="A31776" t="n">
        <v>31775</v>
      </c>
      <c r="B31776" t="inlineStr">
        <is>
          <t>x̄x̄x̄MDCCLXXV</t>
        </is>
      </c>
      <c r="C31776">
        <f>ROMAN(31775)</f>
        <v/>
      </c>
      <c r="D31776">
        <f>IF(B31776=C31776, "YES", "WRONG")</f>
        <v/>
      </c>
    </row>
    <row r="31777">
      <c r="A31777" t="n">
        <v>31776</v>
      </c>
      <c r="B31777" t="inlineStr">
        <is>
          <t>x̄x̄x̄MDCCLXXVI</t>
        </is>
      </c>
      <c r="C31777">
        <f>ROMAN(31776)</f>
        <v/>
      </c>
      <c r="D31777">
        <f>IF(B31777=C31777, "YES", "WRONG")</f>
        <v/>
      </c>
    </row>
    <row r="31778">
      <c r="A31778" t="n">
        <v>31777</v>
      </c>
      <c r="B31778" t="inlineStr">
        <is>
          <t>x̄x̄x̄MDCCLXXVII</t>
        </is>
      </c>
      <c r="C31778">
        <f>ROMAN(31777)</f>
        <v/>
      </c>
      <c r="D31778">
        <f>IF(B31778=C31778, "YES", "WRONG")</f>
        <v/>
      </c>
    </row>
    <row r="31779">
      <c r="A31779" t="n">
        <v>31778</v>
      </c>
      <c r="B31779" t="inlineStr">
        <is>
          <t>x̄x̄x̄MDCCLXXVIII</t>
        </is>
      </c>
      <c r="C31779">
        <f>ROMAN(31778)</f>
        <v/>
      </c>
      <c r="D31779">
        <f>IF(B31779=C31779, "YES", "WRONG")</f>
        <v/>
      </c>
    </row>
    <row r="31780">
      <c r="A31780" t="n">
        <v>31779</v>
      </c>
      <c r="B31780" t="inlineStr">
        <is>
          <t>x̄x̄x̄MDCCLXXIX</t>
        </is>
      </c>
      <c r="C31780">
        <f>ROMAN(31779)</f>
        <v/>
      </c>
      <c r="D31780">
        <f>IF(B31780=C31780, "YES", "WRONG")</f>
        <v/>
      </c>
    </row>
    <row r="31781">
      <c r="A31781" t="n">
        <v>31780</v>
      </c>
      <c r="B31781" t="inlineStr">
        <is>
          <t>x̄x̄x̄MDCCLXXX</t>
        </is>
      </c>
      <c r="C31781">
        <f>ROMAN(31780)</f>
        <v/>
      </c>
      <c r="D31781">
        <f>IF(B31781=C31781, "YES", "WRONG")</f>
        <v/>
      </c>
    </row>
    <row r="31782">
      <c r="A31782" t="n">
        <v>31781</v>
      </c>
      <c r="B31782" t="inlineStr">
        <is>
          <t>x̄x̄x̄MDCCLXXXI</t>
        </is>
      </c>
      <c r="C31782">
        <f>ROMAN(31781)</f>
        <v/>
      </c>
      <c r="D31782">
        <f>IF(B31782=C31782, "YES", "WRONG")</f>
        <v/>
      </c>
    </row>
    <row r="31783">
      <c r="A31783" t="n">
        <v>31782</v>
      </c>
      <c r="B31783" t="inlineStr">
        <is>
          <t>x̄x̄x̄MDCCLXXXII</t>
        </is>
      </c>
      <c r="C31783">
        <f>ROMAN(31782)</f>
        <v/>
      </c>
      <c r="D31783">
        <f>IF(B31783=C31783, "YES", "WRONG")</f>
        <v/>
      </c>
    </row>
    <row r="31784">
      <c r="A31784" t="n">
        <v>31783</v>
      </c>
      <c r="B31784" t="inlineStr">
        <is>
          <t>x̄x̄x̄MDCCLXXXIII</t>
        </is>
      </c>
      <c r="C31784">
        <f>ROMAN(31783)</f>
        <v/>
      </c>
      <c r="D31784">
        <f>IF(B31784=C31784, "YES", "WRONG")</f>
        <v/>
      </c>
    </row>
    <row r="31785">
      <c r="A31785" t="n">
        <v>31784</v>
      </c>
      <c r="B31785" t="inlineStr">
        <is>
          <t>x̄x̄x̄MDCCLXXXIV</t>
        </is>
      </c>
      <c r="C31785">
        <f>ROMAN(31784)</f>
        <v/>
      </c>
      <c r="D31785">
        <f>IF(B31785=C31785, "YES", "WRONG")</f>
        <v/>
      </c>
    </row>
    <row r="31786">
      <c r="A31786" t="n">
        <v>31785</v>
      </c>
      <c r="B31786" t="inlineStr">
        <is>
          <t>x̄x̄x̄MDCCLXXXV</t>
        </is>
      </c>
      <c r="C31786">
        <f>ROMAN(31785)</f>
        <v/>
      </c>
      <c r="D31786">
        <f>IF(B31786=C31786, "YES", "WRONG")</f>
        <v/>
      </c>
    </row>
    <row r="31787">
      <c r="A31787" t="n">
        <v>31786</v>
      </c>
      <c r="B31787" t="inlineStr">
        <is>
          <t>x̄x̄x̄MDCCLXXXVI</t>
        </is>
      </c>
      <c r="C31787">
        <f>ROMAN(31786)</f>
        <v/>
      </c>
      <c r="D31787">
        <f>IF(B31787=C31787, "YES", "WRONG")</f>
        <v/>
      </c>
    </row>
    <row r="31788">
      <c r="A31788" t="n">
        <v>31787</v>
      </c>
      <c r="B31788" t="inlineStr">
        <is>
          <t>x̄x̄x̄MDCCLXXXVII</t>
        </is>
      </c>
      <c r="C31788">
        <f>ROMAN(31787)</f>
        <v/>
      </c>
      <c r="D31788">
        <f>IF(B31788=C31788, "YES", "WRONG")</f>
        <v/>
      </c>
    </row>
    <row r="31789">
      <c r="A31789" t="n">
        <v>31788</v>
      </c>
      <c r="B31789" t="inlineStr">
        <is>
          <t>x̄x̄x̄MDCCLXXXVIII</t>
        </is>
      </c>
      <c r="C31789">
        <f>ROMAN(31788)</f>
        <v/>
      </c>
      <c r="D31789">
        <f>IF(B31789=C31789, "YES", "WRONG")</f>
        <v/>
      </c>
    </row>
    <row r="31790">
      <c r="A31790" t="n">
        <v>31789</v>
      </c>
      <c r="B31790" t="inlineStr">
        <is>
          <t>x̄x̄x̄MDCCLXXXIX</t>
        </is>
      </c>
      <c r="C31790">
        <f>ROMAN(31789)</f>
        <v/>
      </c>
      <c r="D31790">
        <f>IF(B31790=C31790, "YES", "WRONG")</f>
        <v/>
      </c>
    </row>
    <row r="31791">
      <c r="A31791" t="n">
        <v>31790</v>
      </c>
      <c r="B31791" t="inlineStr">
        <is>
          <t>x̄x̄x̄MDCCXC</t>
        </is>
      </c>
      <c r="C31791">
        <f>ROMAN(31790)</f>
        <v/>
      </c>
      <c r="D31791">
        <f>IF(B31791=C31791, "YES", "WRONG")</f>
        <v/>
      </c>
    </row>
    <row r="31792">
      <c r="A31792" t="n">
        <v>31791</v>
      </c>
      <c r="B31792" t="inlineStr">
        <is>
          <t>x̄x̄x̄MDCCXCI</t>
        </is>
      </c>
      <c r="C31792">
        <f>ROMAN(31791)</f>
        <v/>
      </c>
      <c r="D31792">
        <f>IF(B31792=C31792, "YES", "WRONG")</f>
        <v/>
      </c>
    </row>
    <row r="31793">
      <c r="A31793" t="n">
        <v>31792</v>
      </c>
      <c r="B31793" t="inlineStr">
        <is>
          <t>x̄x̄x̄MDCCXCII</t>
        </is>
      </c>
      <c r="C31793">
        <f>ROMAN(31792)</f>
        <v/>
      </c>
      <c r="D31793">
        <f>IF(B31793=C31793, "YES", "WRONG")</f>
        <v/>
      </c>
    </row>
    <row r="31794">
      <c r="A31794" t="n">
        <v>31793</v>
      </c>
      <c r="B31794" t="inlineStr">
        <is>
          <t>x̄x̄x̄MDCCXCIII</t>
        </is>
      </c>
      <c r="C31794">
        <f>ROMAN(31793)</f>
        <v/>
      </c>
      <c r="D31794">
        <f>IF(B31794=C31794, "YES", "WRONG")</f>
        <v/>
      </c>
    </row>
    <row r="31795">
      <c r="A31795" t="n">
        <v>31794</v>
      </c>
      <c r="B31795" t="inlineStr">
        <is>
          <t>x̄x̄x̄MDCCXCIV</t>
        </is>
      </c>
      <c r="C31795">
        <f>ROMAN(31794)</f>
        <v/>
      </c>
      <c r="D31795">
        <f>IF(B31795=C31795, "YES", "WRONG")</f>
        <v/>
      </c>
    </row>
    <row r="31796">
      <c r="A31796" t="n">
        <v>31795</v>
      </c>
      <c r="B31796" t="inlineStr">
        <is>
          <t>x̄x̄x̄MDCCXCV</t>
        </is>
      </c>
      <c r="C31796">
        <f>ROMAN(31795)</f>
        <v/>
      </c>
      <c r="D31796">
        <f>IF(B31796=C31796, "YES", "WRONG")</f>
        <v/>
      </c>
    </row>
    <row r="31797">
      <c r="A31797" t="n">
        <v>31796</v>
      </c>
      <c r="B31797" t="inlineStr">
        <is>
          <t>x̄x̄x̄MDCCXCVI</t>
        </is>
      </c>
      <c r="C31797">
        <f>ROMAN(31796)</f>
        <v/>
      </c>
      <c r="D31797">
        <f>IF(B31797=C31797, "YES", "WRONG")</f>
        <v/>
      </c>
    </row>
    <row r="31798">
      <c r="A31798" t="n">
        <v>31797</v>
      </c>
      <c r="B31798" t="inlineStr">
        <is>
          <t>x̄x̄x̄MDCCXCVII</t>
        </is>
      </c>
      <c r="C31798">
        <f>ROMAN(31797)</f>
        <v/>
      </c>
      <c r="D31798">
        <f>IF(B31798=C31798, "YES", "WRONG")</f>
        <v/>
      </c>
    </row>
    <row r="31799">
      <c r="A31799" t="n">
        <v>31798</v>
      </c>
      <c r="B31799" t="inlineStr">
        <is>
          <t>x̄x̄x̄MDCCXCVIII</t>
        </is>
      </c>
      <c r="C31799">
        <f>ROMAN(31798)</f>
        <v/>
      </c>
      <c r="D31799">
        <f>IF(B31799=C31799, "YES", "WRONG")</f>
        <v/>
      </c>
    </row>
    <row r="31800">
      <c r="A31800" t="n">
        <v>31799</v>
      </c>
      <c r="B31800" t="inlineStr">
        <is>
          <t>x̄x̄x̄MDCCXCIX</t>
        </is>
      </c>
      <c r="C31800">
        <f>ROMAN(31799)</f>
        <v/>
      </c>
      <c r="D31800">
        <f>IF(B31800=C31800, "YES", "WRONG")</f>
        <v/>
      </c>
    </row>
    <row r="31801">
      <c r="A31801" t="n">
        <v>31800</v>
      </c>
      <c r="B31801" t="inlineStr">
        <is>
          <t>x̄x̄x̄MDCCC</t>
        </is>
      </c>
      <c r="C31801">
        <f>ROMAN(31800)</f>
        <v/>
      </c>
      <c r="D31801">
        <f>IF(B31801=C31801, "YES", "WRONG")</f>
        <v/>
      </c>
    </row>
    <row r="31802">
      <c r="A31802" t="n">
        <v>31801</v>
      </c>
      <c r="B31802" t="inlineStr">
        <is>
          <t>x̄x̄x̄MDCCCI</t>
        </is>
      </c>
      <c r="C31802">
        <f>ROMAN(31801)</f>
        <v/>
      </c>
      <c r="D31802">
        <f>IF(B31802=C31802, "YES", "WRONG")</f>
        <v/>
      </c>
    </row>
    <row r="31803">
      <c r="A31803" t="n">
        <v>31802</v>
      </c>
      <c r="B31803" t="inlineStr">
        <is>
          <t>x̄x̄x̄MDCCCII</t>
        </is>
      </c>
      <c r="C31803">
        <f>ROMAN(31802)</f>
        <v/>
      </c>
      <c r="D31803">
        <f>IF(B31803=C31803, "YES", "WRONG")</f>
        <v/>
      </c>
    </row>
    <row r="31804">
      <c r="A31804" t="n">
        <v>31803</v>
      </c>
      <c r="B31804" t="inlineStr">
        <is>
          <t>x̄x̄x̄MDCCCIII</t>
        </is>
      </c>
      <c r="C31804">
        <f>ROMAN(31803)</f>
        <v/>
      </c>
      <c r="D31804">
        <f>IF(B31804=C31804, "YES", "WRONG")</f>
        <v/>
      </c>
    </row>
    <row r="31805">
      <c r="A31805" t="n">
        <v>31804</v>
      </c>
      <c r="B31805" t="inlineStr">
        <is>
          <t>x̄x̄x̄MDCCCIV</t>
        </is>
      </c>
      <c r="C31805">
        <f>ROMAN(31804)</f>
        <v/>
      </c>
      <c r="D31805">
        <f>IF(B31805=C31805, "YES", "WRONG")</f>
        <v/>
      </c>
    </row>
    <row r="31806">
      <c r="A31806" t="n">
        <v>31805</v>
      </c>
      <c r="B31806" t="inlineStr">
        <is>
          <t>x̄x̄x̄MDCCCV</t>
        </is>
      </c>
      <c r="C31806">
        <f>ROMAN(31805)</f>
        <v/>
      </c>
      <c r="D31806">
        <f>IF(B31806=C31806, "YES", "WRONG")</f>
        <v/>
      </c>
    </row>
    <row r="31807">
      <c r="A31807" t="n">
        <v>31806</v>
      </c>
      <c r="B31807" t="inlineStr">
        <is>
          <t>x̄x̄x̄MDCCCVI</t>
        </is>
      </c>
      <c r="C31807">
        <f>ROMAN(31806)</f>
        <v/>
      </c>
      <c r="D31807">
        <f>IF(B31807=C31807, "YES", "WRONG")</f>
        <v/>
      </c>
    </row>
    <row r="31808">
      <c r="A31808" t="n">
        <v>31807</v>
      </c>
      <c r="B31808" t="inlineStr">
        <is>
          <t>x̄x̄x̄MDCCCVII</t>
        </is>
      </c>
      <c r="C31808">
        <f>ROMAN(31807)</f>
        <v/>
      </c>
      <c r="D31808">
        <f>IF(B31808=C31808, "YES", "WRONG")</f>
        <v/>
      </c>
    </row>
    <row r="31809">
      <c r="A31809" t="n">
        <v>31808</v>
      </c>
      <c r="B31809" t="inlineStr">
        <is>
          <t>x̄x̄x̄MDCCCVIII</t>
        </is>
      </c>
      <c r="C31809">
        <f>ROMAN(31808)</f>
        <v/>
      </c>
      <c r="D31809">
        <f>IF(B31809=C31809, "YES", "WRONG")</f>
        <v/>
      </c>
    </row>
    <row r="31810">
      <c r="A31810" t="n">
        <v>31809</v>
      </c>
      <c r="B31810" t="inlineStr">
        <is>
          <t>x̄x̄x̄MDCCCIX</t>
        </is>
      </c>
      <c r="C31810">
        <f>ROMAN(31809)</f>
        <v/>
      </c>
      <c r="D31810">
        <f>IF(B31810=C31810, "YES", "WRONG")</f>
        <v/>
      </c>
    </row>
    <row r="31811">
      <c r="A31811" t="n">
        <v>31810</v>
      </c>
      <c r="B31811" t="inlineStr">
        <is>
          <t>x̄x̄x̄MDCCCX</t>
        </is>
      </c>
      <c r="C31811">
        <f>ROMAN(31810)</f>
        <v/>
      </c>
      <c r="D31811">
        <f>IF(B31811=C31811, "YES", "WRONG")</f>
        <v/>
      </c>
    </row>
    <row r="31812">
      <c r="A31812" t="n">
        <v>31811</v>
      </c>
      <c r="B31812" t="inlineStr">
        <is>
          <t>x̄x̄x̄MDCCCXI</t>
        </is>
      </c>
      <c r="C31812">
        <f>ROMAN(31811)</f>
        <v/>
      </c>
      <c r="D31812">
        <f>IF(B31812=C31812, "YES", "WRONG")</f>
        <v/>
      </c>
    </row>
    <row r="31813">
      <c r="A31813" t="n">
        <v>31812</v>
      </c>
      <c r="B31813" t="inlineStr">
        <is>
          <t>x̄x̄x̄MDCCCXII</t>
        </is>
      </c>
      <c r="C31813">
        <f>ROMAN(31812)</f>
        <v/>
      </c>
      <c r="D31813">
        <f>IF(B31813=C31813, "YES", "WRONG")</f>
        <v/>
      </c>
    </row>
    <row r="31814">
      <c r="A31814" t="n">
        <v>31813</v>
      </c>
      <c r="B31814" t="inlineStr">
        <is>
          <t>x̄x̄x̄MDCCCXIII</t>
        </is>
      </c>
      <c r="C31814">
        <f>ROMAN(31813)</f>
        <v/>
      </c>
      <c r="D31814">
        <f>IF(B31814=C31814, "YES", "WRONG")</f>
        <v/>
      </c>
    </row>
    <row r="31815">
      <c r="A31815" t="n">
        <v>31814</v>
      </c>
      <c r="B31815" t="inlineStr">
        <is>
          <t>x̄x̄x̄MDCCCXIV</t>
        </is>
      </c>
      <c r="C31815">
        <f>ROMAN(31814)</f>
        <v/>
      </c>
      <c r="D31815">
        <f>IF(B31815=C31815, "YES", "WRONG")</f>
        <v/>
      </c>
    </row>
    <row r="31816">
      <c r="A31816" t="n">
        <v>31815</v>
      </c>
      <c r="B31816" t="inlineStr">
        <is>
          <t>x̄x̄x̄MDCCCXV</t>
        </is>
      </c>
      <c r="C31816">
        <f>ROMAN(31815)</f>
        <v/>
      </c>
      <c r="D31816">
        <f>IF(B31816=C31816, "YES", "WRONG")</f>
        <v/>
      </c>
    </row>
    <row r="31817">
      <c r="A31817" t="n">
        <v>31816</v>
      </c>
      <c r="B31817" t="inlineStr">
        <is>
          <t>x̄x̄x̄MDCCCXVI</t>
        </is>
      </c>
      <c r="C31817">
        <f>ROMAN(31816)</f>
        <v/>
      </c>
      <c r="D31817">
        <f>IF(B31817=C31817, "YES", "WRONG")</f>
        <v/>
      </c>
    </row>
    <row r="31818">
      <c r="A31818" t="n">
        <v>31817</v>
      </c>
      <c r="B31818" t="inlineStr">
        <is>
          <t>x̄x̄x̄MDCCCXVII</t>
        </is>
      </c>
      <c r="C31818">
        <f>ROMAN(31817)</f>
        <v/>
      </c>
      <c r="D31818">
        <f>IF(B31818=C31818, "YES", "WRONG")</f>
        <v/>
      </c>
    </row>
    <row r="31819">
      <c r="A31819" t="n">
        <v>31818</v>
      </c>
      <c r="B31819" t="inlineStr">
        <is>
          <t>x̄x̄x̄MDCCCXVIII</t>
        </is>
      </c>
      <c r="C31819">
        <f>ROMAN(31818)</f>
        <v/>
      </c>
      <c r="D31819">
        <f>IF(B31819=C31819, "YES", "WRONG")</f>
        <v/>
      </c>
    </row>
    <row r="31820">
      <c r="A31820" t="n">
        <v>31819</v>
      </c>
      <c r="B31820" t="inlineStr">
        <is>
          <t>x̄x̄x̄MDCCCXIX</t>
        </is>
      </c>
      <c r="C31820">
        <f>ROMAN(31819)</f>
        <v/>
      </c>
      <c r="D31820">
        <f>IF(B31820=C31820, "YES", "WRONG")</f>
        <v/>
      </c>
    </row>
    <row r="31821">
      <c r="A31821" t="n">
        <v>31820</v>
      </c>
      <c r="B31821" t="inlineStr">
        <is>
          <t>x̄x̄x̄MDCCCXX</t>
        </is>
      </c>
      <c r="C31821">
        <f>ROMAN(31820)</f>
        <v/>
      </c>
      <c r="D31821">
        <f>IF(B31821=C31821, "YES", "WRONG")</f>
        <v/>
      </c>
    </row>
    <row r="31822">
      <c r="A31822" t="n">
        <v>31821</v>
      </c>
      <c r="B31822" t="inlineStr">
        <is>
          <t>x̄x̄x̄MDCCCXXI</t>
        </is>
      </c>
      <c r="C31822">
        <f>ROMAN(31821)</f>
        <v/>
      </c>
      <c r="D31822">
        <f>IF(B31822=C31822, "YES", "WRONG")</f>
        <v/>
      </c>
    </row>
    <row r="31823">
      <c r="A31823" t="n">
        <v>31822</v>
      </c>
      <c r="B31823" t="inlineStr">
        <is>
          <t>x̄x̄x̄MDCCCXXII</t>
        </is>
      </c>
      <c r="C31823">
        <f>ROMAN(31822)</f>
        <v/>
      </c>
      <c r="D31823">
        <f>IF(B31823=C31823, "YES", "WRONG")</f>
        <v/>
      </c>
    </row>
    <row r="31824">
      <c r="A31824" t="n">
        <v>31823</v>
      </c>
      <c r="B31824" t="inlineStr">
        <is>
          <t>x̄x̄x̄MDCCCXXIII</t>
        </is>
      </c>
      <c r="C31824">
        <f>ROMAN(31823)</f>
        <v/>
      </c>
      <c r="D31824">
        <f>IF(B31824=C31824, "YES", "WRONG")</f>
        <v/>
      </c>
    </row>
    <row r="31825">
      <c r="A31825" t="n">
        <v>31824</v>
      </c>
      <c r="B31825" t="inlineStr">
        <is>
          <t>x̄x̄x̄MDCCCXXIV</t>
        </is>
      </c>
      <c r="C31825">
        <f>ROMAN(31824)</f>
        <v/>
      </c>
      <c r="D31825">
        <f>IF(B31825=C31825, "YES", "WRONG")</f>
        <v/>
      </c>
    </row>
    <row r="31826">
      <c r="A31826" t="n">
        <v>31825</v>
      </c>
      <c r="B31826" t="inlineStr">
        <is>
          <t>x̄x̄x̄MDCCCXXV</t>
        </is>
      </c>
      <c r="C31826">
        <f>ROMAN(31825)</f>
        <v/>
      </c>
      <c r="D31826">
        <f>IF(B31826=C31826, "YES", "WRONG")</f>
        <v/>
      </c>
    </row>
    <row r="31827">
      <c r="A31827" t="n">
        <v>31826</v>
      </c>
      <c r="B31827" t="inlineStr">
        <is>
          <t>x̄x̄x̄MDCCCXXVI</t>
        </is>
      </c>
      <c r="C31827">
        <f>ROMAN(31826)</f>
        <v/>
      </c>
      <c r="D31827">
        <f>IF(B31827=C31827, "YES", "WRONG")</f>
        <v/>
      </c>
    </row>
    <row r="31828">
      <c r="A31828" t="n">
        <v>31827</v>
      </c>
      <c r="B31828" t="inlineStr">
        <is>
          <t>x̄x̄x̄MDCCCXXVII</t>
        </is>
      </c>
      <c r="C31828">
        <f>ROMAN(31827)</f>
        <v/>
      </c>
      <c r="D31828">
        <f>IF(B31828=C31828, "YES", "WRONG")</f>
        <v/>
      </c>
    </row>
    <row r="31829">
      <c r="A31829" t="n">
        <v>31828</v>
      </c>
      <c r="B31829" t="inlineStr">
        <is>
          <t>x̄x̄x̄MDCCCXXVIII</t>
        </is>
      </c>
      <c r="C31829">
        <f>ROMAN(31828)</f>
        <v/>
      </c>
      <c r="D31829">
        <f>IF(B31829=C31829, "YES", "WRONG")</f>
        <v/>
      </c>
    </row>
    <row r="31830">
      <c r="A31830" t="n">
        <v>31829</v>
      </c>
      <c r="B31830" t="inlineStr">
        <is>
          <t>x̄x̄x̄MDCCCXXIX</t>
        </is>
      </c>
      <c r="C31830">
        <f>ROMAN(31829)</f>
        <v/>
      </c>
      <c r="D31830">
        <f>IF(B31830=C31830, "YES", "WRONG")</f>
        <v/>
      </c>
    </row>
    <row r="31831">
      <c r="A31831" t="n">
        <v>31830</v>
      </c>
      <c r="B31831" t="inlineStr">
        <is>
          <t>x̄x̄x̄MDCCCXXX</t>
        </is>
      </c>
      <c r="C31831">
        <f>ROMAN(31830)</f>
        <v/>
      </c>
      <c r="D31831">
        <f>IF(B31831=C31831, "YES", "WRONG")</f>
        <v/>
      </c>
    </row>
    <row r="31832">
      <c r="A31832" t="n">
        <v>31831</v>
      </c>
      <c r="B31832" t="inlineStr">
        <is>
          <t>x̄x̄x̄MDCCCXXXI</t>
        </is>
      </c>
      <c r="C31832">
        <f>ROMAN(31831)</f>
        <v/>
      </c>
      <c r="D31832">
        <f>IF(B31832=C31832, "YES", "WRONG")</f>
        <v/>
      </c>
    </row>
    <row r="31833">
      <c r="A31833" t="n">
        <v>31832</v>
      </c>
      <c r="B31833" t="inlineStr">
        <is>
          <t>x̄x̄x̄MDCCCXXXII</t>
        </is>
      </c>
      <c r="C31833">
        <f>ROMAN(31832)</f>
        <v/>
      </c>
      <c r="D31833">
        <f>IF(B31833=C31833, "YES", "WRONG")</f>
        <v/>
      </c>
    </row>
    <row r="31834">
      <c r="A31834" t="n">
        <v>31833</v>
      </c>
      <c r="B31834" t="inlineStr">
        <is>
          <t>x̄x̄x̄MDCCCXXXIII</t>
        </is>
      </c>
      <c r="C31834">
        <f>ROMAN(31833)</f>
        <v/>
      </c>
      <c r="D31834">
        <f>IF(B31834=C31834, "YES", "WRONG")</f>
        <v/>
      </c>
    </row>
    <row r="31835">
      <c r="A31835" t="n">
        <v>31834</v>
      </c>
      <c r="B31835" t="inlineStr">
        <is>
          <t>x̄x̄x̄MDCCCXXXIV</t>
        </is>
      </c>
      <c r="C31835">
        <f>ROMAN(31834)</f>
        <v/>
      </c>
      <c r="D31835">
        <f>IF(B31835=C31835, "YES", "WRONG")</f>
        <v/>
      </c>
    </row>
    <row r="31836">
      <c r="A31836" t="n">
        <v>31835</v>
      </c>
      <c r="B31836" t="inlineStr">
        <is>
          <t>x̄x̄x̄MDCCCXXXV</t>
        </is>
      </c>
      <c r="C31836">
        <f>ROMAN(31835)</f>
        <v/>
      </c>
      <c r="D31836">
        <f>IF(B31836=C31836, "YES", "WRONG")</f>
        <v/>
      </c>
    </row>
    <row r="31837">
      <c r="A31837" t="n">
        <v>31836</v>
      </c>
      <c r="B31837" t="inlineStr">
        <is>
          <t>x̄x̄x̄MDCCCXXXVI</t>
        </is>
      </c>
      <c r="C31837">
        <f>ROMAN(31836)</f>
        <v/>
      </c>
      <c r="D31837">
        <f>IF(B31837=C31837, "YES", "WRONG")</f>
        <v/>
      </c>
    </row>
    <row r="31838">
      <c r="A31838" t="n">
        <v>31837</v>
      </c>
      <c r="B31838" t="inlineStr">
        <is>
          <t>x̄x̄x̄MDCCCXXXVII</t>
        </is>
      </c>
      <c r="C31838">
        <f>ROMAN(31837)</f>
        <v/>
      </c>
      <c r="D31838">
        <f>IF(B31838=C31838, "YES", "WRONG")</f>
        <v/>
      </c>
    </row>
    <row r="31839">
      <c r="A31839" t="n">
        <v>31838</v>
      </c>
      <c r="B31839" t="inlineStr">
        <is>
          <t>x̄x̄x̄MDCCCXXXVIII</t>
        </is>
      </c>
      <c r="C31839">
        <f>ROMAN(31838)</f>
        <v/>
      </c>
      <c r="D31839">
        <f>IF(B31839=C31839, "YES", "WRONG")</f>
        <v/>
      </c>
    </row>
    <row r="31840">
      <c r="A31840" t="n">
        <v>31839</v>
      </c>
      <c r="B31840" t="inlineStr">
        <is>
          <t>x̄x̄x̄MDCCCXXXIX</t>
        </is>
      </c>
      <c r="C31840">
        <f>ROMAN(31839)</f>
        <v/>
      </c>
      <c r="D31840">
        <f>IF(B31840=C31840, "YES", "WRONG")</f>
        <v/>
      </c>
    </row>
    <row r="31841">
      <c r="A31841" t="n">
        <v>31840</v>
      </c>
      <c r="B31841" t="inlineStr">
        <is>
          <t>x̄x̄x̄MDCCCXL</t>
        </is>
      </c>
      <c r="C31841">
        <f>ROMAN(31840)</f>
        <v/>
      </c>
      <c r="D31841">
        <f>IF(B31841=C31841, "YES", "WRONG")</f>
        <v/>
      </c>
    </row>
    <row r="31842">
      <c r="A31842" t="n">
        <v>31841</v>
      </c>
      <c r="B31842" t="inlineStr">
        <is>
          <t>x̄x̄x̄MDCCCXLI</t>
        </is>
      </c>
      <c r="C31842">
        <f>ROMAN(31841)</f>
        <v/>
      </c>
      <c r="D31842">
        <f>IF(B31842=C31842, "YES", "WRONG")</f>
        <v/>
      </c>
    </row>
    <row r="31843">
      <c r="A31843" t="n">
        <v>31842</v>
      </c>
      <c r="B31843" t="inlineStr">
        <is>
          <t>x̄x̄x̄MDCCCXLII</t>
        </is>
      </c>
      <c r="C31843">
        <f>ROMAN(31842)</f>
        <v/>
      </c>
      <c r="D31843">
        <f>IF(B31843=C31843, "YES", "WRONG")</f>
        <v/>
      </c>
    </row>
    <row r="31844">
      <c r="A31844" t="n">
        <v>31843</v>
      </c>
      <c r="B31844" t="inlineStr">
        <is>
          <t>x̄x̄x̄MDCCCXLIII</t>
        </is>
      </c>
      <c r="C31844">
        <f>ROMAN(31843)</f>
        <v/>
      </c>
      <c r="D31844">
        <f>IF(B31844=C31844, "YES", "WRONG")</f>
        <v/>
      </c>
    </row>
    <row r="31845">
      <c r="A31845" t="n">
        <v>31844</v>
      </c>
      <c r="B31845" t="inlineStr">
        <is>
          <t>x̄x̄x̄MDCCCXLIV</t>
        </is>
      </c>
      <c r="C31845">
        <f>ROMAN(31844)</f>
        <v/>
      </c>
      <c r="D31845">
        <f>IF(B31845=C31845, "YES", "WRONG")</f>
        <v/>
      </c>
    </row>
    <row r="31846">
      <c r="A31846" t="n">
        <v>31845</v>
      </c>
      <c r="B31846" t="inlineStr">
        <is>
          <t>x̄x̄x̄MDCCCXLV</t>
        </is>
      </c>
      <c r="C31846">
        <f>ROMAN(31845)</f>
        <v/>
      </c>
      <c r="D31846">
        <f>IF(B31846=C31846, "YES", "WRONG")</f>
        <v/>
      </c>
    </row>
    <row r="31847">
      <c r="A31847" t="n">
        <v>31846</v>
      </c>
      <c r="B31847" t="inlineStr">
        <is>
          <t>x̄x̄x̄MDCCCXLVI</t>
        </is>
      </c>
      <c r="C31847">
        <f>ROMAN(31846)</f>
        <v/>
      </c>
      <c r="D31847">
        <f>IF(B31847=C31847, "YES", "WRONG")</f>
        <v/>
      </c>
    </row>
    <row r="31848">
      <c r="A31848" t="n">
        <v>31847</v>
      </c>
      <c r="B31848" t="inlineStr">
        <is>
          <t>x̄x̄x̄MDCCCXLVII</t>
        </is>
      </c>
      <c r="C31848">
        <f>ROMAN(31847)</f>
        <v/>
      </c>
      <c r="D31848">
        <f>IF(B31848=C31848, "YES", "WRONG")</f>
        <v/>
      </c>
    </row>
    <row r="31849">
      <c r="A31849" t="n">
        <v>31848</v>
      </c>
      <c r="B31849" t="inlineStr">
        <is>
          <t>x̄x̄x̄MDCCCXLVIII</t>
        </is>
      </c>
      <c r="C31849">
        <f>ROMAN(31848)</f>
        <v/>
      </c>
      <c r="D31849">
        <f>IF(B31849=C31849, "YES", "WRONG")</f>
        <v/>
      </c>
    </row>
    <row r="31850">
      <c r="A31850" t="n">
        <v>31849</v>
      </c>
      <c r="B31850" t="inlineStr">
        <is>
          <t>x̄x̄x̄MDCCCXLIX</t>
        </is>
      </c>
      <c r="C31850">
        <f>ROMAN(31849)</f>
        <v/>
      </c>
      <c r="D31850">
        <f>IF(B31850=C31850, "YES", "WRONG")</f>
        <v/>
      </c>
    </row>
    <row r="31851">
      <c r="A31851" t="n">
        <v>31850</v>
      </c>
      <c r="B31851" t="inlineStr">
        <is>
          <t>x̄x̄x̄MDCCCL</t>
        </is>
      </c>
      <c r="C31851">
        <f>ROMAN(31850)</f>
        <v/>
      </c>
      <c r="D31851">
        <f>IF(B31851=C31851, "YES", "WRONG")</f>
        <v/>
      </c>
    </row>
    <row r="31852">
      <c r="A31852" t="n">
        <v>31851</v>
      </c>
      <c r="B31852" t="inlineStr">
        <is>
          <t>x̄x̄x̄MDCCCLI</t>
        </is>
      </c>
      <c r="C31852">
        <f>ROMAN(31851)</f>
        <v/>
      </c>
      <c r="D31852">
        <f>IF(B31852=C31852, "YES", "WRONG")</f>
        <v/>
      </c>
    </row>
    <row r="31853">
      <c r="A31853" t="n">
        <v>31852</v>
      </c>
      <c r="B31853" t="inlineStr">
        <is>
          <t>x̄x̄x̄MDCCCLII</t>
        </is>
      </c>
      <c r="C31853">
        <f>ROMAN(31852)</f>
        <v/>
      </c>
      <c r="D31853">
        <f>IF(B31853=C31853, "YES", "WRONG")</f>
        <v/>
      </c>
    </row>
    <row r="31854">
      <c r="A31854" t="n">
        <v>31853</v>
      </c>
      <c r="B31854" t="inlineStr">
        <is>
          <t>x̄x̄x̄MDCCCLIII</t>
        </is>
      </c>
      <c r="C31854">
        <f>ROMAN(31853)</f>
        <v/>
      </c>
      <c r="D31854">
        <f>IF(B31854=C31854, "YES", "WRONG")</f>
        <v/>
      </c>
    </row>
    <row r="31855">
      <c r="A31855" t="n">
        <v>31854</v>
      </c>
      <c r="B31855" t="inlineStr">
        <is>
          <t>x̄x̄x̄MDCCCLIV</t>
        </is>
      </c>
      <c r="C31855">
        <f>ROMAN(31854)</f>
        <v/>
      </c>
      <c r="D31855">
        <f>IF(B31855=C31855, "YES", "WRONG")</f>
        <v/>
      </c>
    </row>
    <row r="31856">
      <c r="A31856" t="n">
        <v>31855</v>
      </c>
      <c r="B31856" t="inlineStr">
        <is>
          <t>x̄x̄x̄MDCCCLV</t>
        </is>
      </c>
      <c r="C31856">
        <f>ROMAN(31855)</f>
        <v/>
      </c>
      <c r="D31856">
        <f>IF(B31856=C31856, "YES", "WRONG")</f>
        <v/>
      </c>
    </row>
    <row r="31857">
      <c r="A31857" t="n">
        <v>31856</v>
      </c>
      <c r="B31857" t="inlineStr">
        <is>
          <t>x̄x̄x̄MDCCCLVI</t>
        </is>
      </c>
      <c r="C31857">
        <f>ROMAN(31856)</f>
        <v/>
      </c>
      <c r="D31857">
        <f>IF(B31857=C31857, "YES", "WRONG")</f>
        <v/>
      </c>
    </row>
    <row r="31858">
      <c r="A31858" t="n">
        <v>31857</v>
      </c>
      <c r="B31858" t="inlineStr">
        <is>
          <t>x̄x̄x̄MDCCCLVII</t>
        </is>
      </c>
      <c r="C31858">
        <f>ROMAN(31857)</f>
        <v/>
      </c>
      <c r="D31858">
        <f>IF(B31858=C31858, "YES", "WRONG")</f>
        <v/>
      </c>
    </row>
    <row r="31859">
      <c r="A31859" t="n">
        <v>31858</v>
      </c>
      <c r="B31859" t="inlineStr">
        <is>
          <t>x̄x̄x̄MDCCCLVIII</t>
        </is>
      </c>
      <c r="C31859">
        <f>ROMAN(31858)</f>
        <v/>
      </c>
      <c r="D31859">
        <f>IF(B31859=C31859, "YES", "WRONG")</f>
        <v/>
      </c>
    </row>
    <row r="31860">
      <c r="A31860" t="n">
        <v>31859</v>
      </c>
      <c r="B31860" t="inlineStr">
        <is>
          <t>x̄x̄x̄MDCCCLIX</t>
        </is>
      </c>
      <c r="C31860">
        <f>ROMAN(31859)</f>
        <v/>
      </c>
      <c r="D31860">
        <f>IF(B31860=C31860, "YES", "WRONG")</f>
        <v/>
      </c>
    </row>
    <row r="31861">
      <c r="A31861" t="n">
        <v>31860</v>
      </c>
      <c r="B31861" t="inlineStr">
        <is>
          <t>x̄x̄x̄MDCCCLX</t>
        </is>
      </c>
      <c r="C31861">
        <f>ROMAN(31860)</f>
        <v/>
      </c>
      <c r="D31861">
        <f>IF(B31861=C31861, "YES", "WRONG")</f>
        <v/>
      </c>
    </row>
    <row r="31862">
      <c r="A31862" t="n">
        <v>31861</v>
      </c>
      <c r="B31862" t="inlineStr">
        <is>
          <t>x̄x̄x̄MDCCCLXI</t>
        </is>
      </c>
      <c r="C31862">
        <f>ROMAN(31861)</f>
        <v/>
      </c>
      <c r="D31862">
        <f>IF(B31862=C31862, "YES", "WRONG")</f>
        <v/>
      </c>
    </row>
    <row r="31863">
      <c r="A31863" t="n">
        <v>31862</v>
      </c>
      <c r="B31863" t="inlineStr">
        <is>
          <t>x̄x̄x̄MDCCCLXII</t>
        </is>
      </c>
      <c r="C31863">
        <f>ROMAN(31862)</f>
        <v/>
      </c>
      <c r="D31863">
        <f>IF(B31863=C31863, "YES", "WRONG")</f>
        <v/>
      </c>
    </row>
    <row r="31864">
      <c r="A31864" t="n">
        <v>31863</v>
      </c>
      <c r="B31864" t="inlineStr">
        <is>
          <t>x̄x̄x̄MDCCCLXIII</t>
        </is>
      </c>
      <c r="C31864">
        <f>ROMAN(31863)</f>
        <v/>
      </c>
      <c r="D31864">
        <f>IF(B31864=C31864, "YES", "WRONG")</f>
        <v/>
      </c>
    </row>
    <row r="31865">
      <c r="A31865" t="n">
        <v>31864</v>
      </c>
      <c r="B31865" t="inlineStr">
        <is>
          <t>x̄x̄x̄MDCCCLXIV</t>
        </is>
      </c>
      <c r="C31865">
        <f>ROMAN(31864)</f>
        <v/>
      </c>
      <c r="D31865">
        <f>IF(B31865=C31865, "YES", "WRONG")</f>
        <v/>
      </c>
    </row>
    <row r="31866">
      <c r="A31866" t="n">
        <v>31865</v>
      </c>
      <c r="B31866" t="inlineStr">
        <is>
          <t>x̄x̄x̄MDCCCLXV</t>
        </is>
      </c>
      <c r="C31866">
        <f>ROMAN(31865)</f>
        <v/>
      </c>
      <c r="D31866">
        <f>IF(B31866=C31866, "YES", "WRONG")</f>
        <v/>
      </c>
    </row>
    <row r="31867">
      <c r="A31867" t="n">
        <v>31866</v>
      </c>
      <c r="B31867" t="inlineStr">
        <is>
          <t>x̄x̄x̄MDCCCLXVI</t>
        </is>
      </c>
      <c r="C31867">
        <f>ROMAN(31866)</f>
        <v/>
      </c>
      <c r="D31867">
        <f>IF(B31867=C31867, "YES", "WRONG")</f>
        <v/>
      </c>
    </row>
    <row r="31868">
      <c r="A31868" t="n">
        <v>31867</v>
      </c>
      <c r="B31868" t="inlineStr">
        <is>
          <t>x̄x̄x̄MDCCCLXVII</t>
        </is>
      </c>
      <c r="C31868">
        <f>ROMAN(31867)</f>
        <v/>
      </c>
      <c r="D31868">
        <f>IF(B31868=C31868, "YES", "WRONG")</f>
        <v/>
      </c>
    </row>
    <row r="31869">
      <c r="A31869" t="n">
        <v>31868</v>
      </c>
      <c r="B31869" t="inlineStr">
        <is>
          <t>x̄x̄x̄MDCCCLXVIII</t>
        </is>
      </c>
      <c r="C31869">
        <f>ROMAN(31868)</f>
        <v/>
      </c>
      <c r="D31869">
        <f>IF(B31869=C31869, "YES", "WRONG")</f>
        <v/>
      </c>
    </row>
    <row r="31870">
      <c r="A31870" t="n">
        <v>31869</v>
      </c>
      <c r="B31870" t="inlineStr">
        <is>
          <t>x̄x̄x̄MDCCCLXIX</t>
        </is>
      </c>
      <c r="C31870">
        <f>ROMAN(31869)</f>
        <v/>
      </c>
      <c r="D31870">
        <f>IF(B31870=C31870, "YES", "WRONG")</f>
        <v/>
      </c>
    </row>
    <row r="31871">
      <c r="A31871" t="n">
        <v>31870</v>
      </c>
      <c r="B31871" t="inlineStr">
        <is>
          <t>x̄x̄x̄MDCCCLXX</t>
        </is>
      </c>
      <c r="C31871">
        <f>ROMAN(31870)</f>
        <v/>
      </c>
      <c r="D31871">
        <f>IF(B31871=C31871, "YES", "WRONG")</f>
        <v/>
      </c>
    </row>
    <row r="31872">
      <c r="A31872" t="n">
        <v>31871</v>
      </c>
      <c r="B31872" t="inlineStr">
        <is>
          <t>x̄x̄x̄MDCCCLXXI</t>
        </is>
      </c>
      <c r="C31872">
        <f>ROMAN(31871)</f>
        <v/>
      </c>
      <c r="D31872">
        <f>IF(B31872=C31872, "YES", "WRONG")</f>
        <v/>
      </c>
    </row>
    <row r="31873">
      <c r="A31873" t="n">
        <v>31872</v>
      </c>
      <c r="B31873" t="inlineStr">
        <is>
          <t>x̄x̄x̄MDCCCLXXII</t>
        </is>
      </c>
      <c r="C31873">
        <f>ROMAN(31872)</f>
        <v/>
      </c>
      <c r="D31873">
        <f>IF(B31873=C31873, "YES", "WRONG")</f>
        <v/>
      </c>
    </row>
    <row r="31874">
      <c r="A31874" t="n">
        <v>31873</v>
      </c>
      <c r="B31874" t="inlineStr">
        <is>
          <t>x̄x̄x̄MDCCCLXXIII</t>
        </is>
      </c>
      <c r="C31874">
        <f>ROMAN(31873)</f>
        <v/>
      </c>
      <c r="D31874">
        <f>IF(B31874=C31874, "YES", "WRONG")</f>
        <v/>
      </c>
    </row>
    <row r="31875">
      <c r="A31875" t="n">
        <v>31874</v>
      </c>
      <c r="B31875" t="inlineStr">
        <is>
          <t>x̄x̄x̄MDCCCLXXIV</t>
        </is>
      </c>
      <c r="C31875">
        <f>ROMAN(31874)</f>
        <v/>
      </c>
      <c r="D31875">
        <f>IF(B31875=C31875, "YES", "WRONG")</f>
        <v/>
      </c>
    </row>
    <row r="31876">
      <c r="A31876" t="n">
        <v>31875</v>
      </c>
      <c r="B31876" t="inlineStr">
        <is>
          <t>x̄x̄x̄MDCCCLXXV</t>
        </is>
      </c>
      <c r="C31876">
        <f>ROMAN(31875)</f>
        <v/>
      </c>
      <c r="D31876">
        <f>IF(B31876=C31876, "YES", "WRONG")</f>
        <v/>
      </c>
    </row>
    <row r="31877">
      <c r="A31877" t="n">
        <v>31876</v>
      </c>
      <c r="B31877" t="inlineStr">
        <is>
          <t>x̄x̄x̄MDCCCLXXVI</t>
        </is>
      </c>
      <c r="C31877">
        <f>ROMAN(31876)</f>
        <v/>
      </c>
      <c r="D31877">
        <f>IF(B31877=C31877, "YES", "WRONG")</f>
        <v/>
      </c>
    </row>
    <row r="31878">
      <c r="A31878" t="n">
        <v>31877</v>
      </c>
      <c r="B31878" t="inlineStr">
        <is>
          <t>x̄x̄x̄MDCCCLXXVII</t>
        </is>
      </c>
      <c r="C31878">
        <f>ROMAN(31877)</f>
        <v/>
      </c>
      <c r="D31878">
        <f>IF(B31878=C31878, "YES", "WRONG")</f>
        <v/>
      </c>
    </row>
    <row r="31879">
      <c r="A31879" t="n">
        <v>31878</v>
      </c>
      <c r="B31879" t="inlineStr">
        <is>
          <t>x̄x̄x̄MDCCCLXXVIII</t>
        </is>
      </c>
      <c r="C31879">
        <f>ROMAN(31878)</f>
        <v/>
      </c>
      <c r="D31879">
        <f>IF(B31879=C31879, "YES", "WRONG")</f>
        <v/>
      </c>
    </row>
    <row r="31880">
      <c r="A31880" t="n">
        <v>31879</v>
      </c>
      <c r="B31880" t="inlineStr">
        <is>
          <t>x̄x̄x̄MDCCCLXXIX</t>
        </is>
      </c>
      <c r="C31880">
        <f>ROMAN(31879)</f>
        <v/>
      </c>
      <c r="D31880">
        <f>IF(B31880=C31880, "YES", "WRONG")</f>
        <v/>
      </c>
    </row>
    <row r="31881">
      <c r="A31881" t="n">
        <v>31880</v>
      </c>
      <c r="B31881" t="inlineStr">
        <is>
          <t>x̄x̄x̄MDCCCLXXX</t>
        </is>
      </c>
      <c r="C31881">
        <f>ROMAN(31880)</f>
        <v/>
      </c>
      <c r="D31881">
        <f>IF(B31881=C31881, "YES", "WRONG")</f>
        <v/>
      </c>
    </row>
    <row r="31882">
      <c r="A31882" t="n">
        <v>31881</v>
      </c>
      <c r="B31882" t="inlineStr">
        <is>
          <t>x̄x̄x̄MDCCCLXXXI</t>
        </is>
      </c>
      <c r="C31882">
        <f>ROMAN(31881)</f>
        <v/>
      </c>
      <c r="D31882">
        <f>IF(B31882=C31882, "YES", "WRONG")</f>
        <v/>
      </c>
    </row>
    <row r="31883">
      <c r="A31883" t="n">
        <v>31882</v>
      </c>
      <c r="B31883" t="inlineStr">
        <is>
          <t>x̄x̄x̄MDCCCLXXXII</t>
        </is>
      </c>
      <c r="C31883">
        <f>ROMAN(31882)</f>
        <v/>
      </c>
      <c r="D31883">
        <f>IF(B31883=C31883, "YES", "WRONG")</f>
        <v/>
      </c>
    </row>
    <row r="31884">
      <c r="A31884" t="n">
        <v>31883</v>
      </c>
      <c r="B31884" t="inlineStr">
        <is>
          <t>x̄x̄x̄MDCCCLXXXIII</t>
        </is>
      </c>
      <c r="C31884">
        <f>ROMAN(31883)</f>
        <v/>
      </c>
      <c r="D31884">
        <f>IF(B31884=C31884, "YES", "WRONG")</f>
        <v/>
      </c>
    </row>
    <row r="31885">
      <c r="A31885" t="n">
        <v>31884</v>
      </c>
      <c r="B31885" t="inlineStr">
        <is>
          <t>x̄x̄x̄MDCCCLXXXIV</t>
        </is>
      </c>
      <c r="C31885">
        <f>ROMAN(31884)</f>
        <v/>
      </c>
      <c r="D31885">
        <f>IF(B31885=C31885, "YES", "WRONG")</f>
        <v/>
      </c>
    </row>
    <row r="31886">
      <c r="A31886" t="n">
        <v>31885</v>
      </c>
      <c r="B31886" t="inlineStr">
        <is>
          <t>x̄x̄x̄MDCCCLXXXV</t>
        </is>
      </c>
      <c r="C31886">
        <f>ROMAN(31885)</f>
        <v/>
      </c>
      <c r="D31886">
        <f>IF(B31886=C31886, "YES", "WRONG")</f>
        <v/>
      </c>
    </row>
    <row r="31887">
      <c r="A31887" t="n">
        <v>31886</v>
      </c>
      <c r="B31887" t="inlineStr">
        <is>
          <t>x̄x̄x̄MDCCCLXXXVI</t>
        </is>
      </c>
      <c r="C31887">
        <f>ROMAN(31886)</f>
        <v/>
      </c>
      <c r="D31887">
        <f>IF(B31887=C31887, "YES", "WRONG")</f>
        <v/>
      </c>
    </row>
    <row r="31888">
      <c r="A31888" t="n">
        <v>31887</v>
      </c>
      <c r="B31888" t="inlineStr">
        <is>
          <t>x̄x̄x̄MDCCCLXXXVII</t>
        </is>
      </c>
      <c r="C31888">
        <f>ROMAN(31887)</f>
        <v/>
      </c>
      <c r="D31888">
        <f>IF(B31888=C31888, "YES", "WRONG")</f>
        <v/>
      </c>
    </row>
    <row r="31889">
      <c r="A31889" t="n">
        <v>31888</v>
      </c>
      <c r="B31889" t="inlineStr">
        <is>
          <t>x̄x̄x̄MDCCCLXXXVIII</t>
        </is>
      </c>
      <c r="C31889">
        <f>ROMAN(31888)</f>
        <v/>
      </c>
      <c r="D31889">
        <f>IF(B31889=C31889, "YES", "WRONG")</f>
        <v/>
      </c>
    </row>
    <row r="31890">
      <c r="A31890" t="n">
        <v>31889</v>
      </c>
      <c r="B31890" t="inlineStr">
        <is>
          <t>x̄x̄x̄MDCCCLXXXIX</t>
        </is>
      </c>
      <c r="C31890">
        <f>ROMAN(31889)</f>
        <v/>
      </c>
      <c r="D31890">
        <f>IF(B31890=C31890, "YES", "WRONG")</f>
        <v/>
      </c>
    </row>
    <row r="31891">
      <c r="A31891" t="n">
        <v>31890</v>
      </c>
      <c r="B31891" t="inlineStr">
        <is>
          <t>x̄x̄x̄MDCCCXC</t>
        </is>
      </c>
      <c r="C31891">
        <f>ROMAN(31890)</f>
        <v/>
      </c>
      <c r="D31891">
        <f>IF(B31891=C31891, "YES", "WRONG")</f>
        <v/>
      </c>
    </row>
    <row r="31892">
      <c r="A31892" t="n">
        <v>31891</v>
      </c>
      <c r="B31892" t="inlineStr">
        <is>
          <t>x̄x̄x̄MDCCCXCI</t>
        </is>
      </c>
      <c r="C31892">
        <f>ROMAN(31891)</f>
        <v/>
      </c>
      <c r="D31892">
        <f>IF(B31892=C31892, "YES", "WRONG")</f>
        <v/>
      </c>
    </row>
    <row r="31893">
      <c r="A31893" t="n">
        <v>31892</v>
      </c>
      <c r="B31893" t="inlineStr">
        <is>
          <t>x̄x̄x̄MDCCCXCII</t>
        </is>
      </c>
      <c r="C31893">
        <f>ROMAN(31892)</f>
        <v/>
      </c>
      <c r="D31893">
        <f>IF(B31893=C31893, "YES", "WRONG")</f>
        <v/>
      </c>
    </row>
    <row r="31894">
      <c r="A31894" t="n">
        <v>31893</v>
      </c>
      <c r="B31894" t="inlineStr">
        <is>
          <t>x̄x̄x̄MDCCCXCIII</t>
        </is>
      </c>
      <c r="C31894">
        <f>ROMAN(31893)</f>
        <v/>
      </c>
      <c r="D31894">
        <f>IF(B31894=C31894, "YES", "WRONG")</f>
        <v/>
      </c>
    </row>
    <row r="31895">
      <c r="A31895" t="n">
        <v>31894</v>
      </c>
      <c r="B31895" t="inlineStr">
        <is>
          <t>x̄x̄x̄MDCCCXCIV</t>
        </is>
      </c>
      <c r="C31895">
        <f>ROMAN(31894)</f>
        <v/>
      </c>
      <c r="D31895">
        <f>IF(B31895=C31895, "YES", "WRONG")</f>
        <v/>
      </c>
    </row>
    <row r="31896">
      <c r="A31896" t="n">
        <v>31895</v>
      </c>
      <c r="B31896" t="inlineStr">
        <is>
          <t>x̄x̄x̄MDCCCXCV</t>
        </is>
      </c>
      <c r="C31896">
        <f>ROMAN(31895)</f>
        <v/>
      </c>
      <c r="D31896">
        <f>IF(B31896=C31896, "YES", "WRONG")</f>
        <v/>
      </c>
    </row>
    <row r="31897">
      <c r="A31897" t="n">
        <v>31896</v>
      </c>
      <c r="B31897" t="inlineStr">
        <is>
          <t>x̄x̄x̄MDCCCXCVI</t>
        </is>
      </c>
      <c r="C31897">
        <f>ROMAN(31896)</f>
        <v/>
      </c>
      <c r="D31897">
        <f>IF(B31897=C31897, "YES", "WRONG")</f>
        <v/>
      </c>
    </row>
    <row r="31898">
      <c r="A31898" t="n">
        <v>31897</v>
      </c>
      <c r="B31898" t="inlineStr">
        <is>
          <t>x̄x̄x̄MDCCCXCVII</t>
        </is>
      </c>
      <c r="C31898">
        <f>ROMAN(31897)</f>
        <v/>
      </c>
      <c r="D31898">
        <f>IF(B31898=C31898, "YES", "WRONG")</f>
        <v/>
      </c>
    </row>
    <row r="31899">
      <c r="A31899" t="n">
        <v>31898</v>
      </c>
      <c r="B31899" t="inlineStr">
        <is>
          <t>x̄x̄x̄MDCCCXCVIII</t>
        </is>
      </c>
      <c r="C31899">
        <f>ROMAN(31898)</f>
        <v/>
      </c>
      <c r="D31899">
        <f>IF(B31899=C31899, "YES", "WRONG")</f>
        <v/>
      </c>
    </row>
    <row r="31900">
      <c r="A31900" t="n">
        <v>31899</v>
      </c>
      <c r="B31900" t="inlineStr">
        <is>
          <t>x̄x̄x̄MDCCCXCIX</t>
        </is>
      </c>
      <c r="C31900">
        <f>ROMAN(31899)</f>
        <v/>
      </c>
      <c r="D31900">
        <f>IF(B31900=C31900, "YES", "WRONG")</f>
        <v/>
      </c>
    </row>
    <row r="31901">
      <c r="A31901" t="n">
        <v>31900</v>
      </c>
      <c r="B31901" t="inlineStr">
        <is>
          <t>x̄x̄x̄MCM</t>
        </is>
      </c>
      <c r="C31901">
        <f>ROMAN(31900)</f>
        <v/>
      </c>
      <c r="D31901">
        <f>IF(B31901=C31901, "YES", "WRONG")</f>
        <v/>
      </c>
    </row>
    <row r="31902">
      <c r="A31902" t="n">
        <v>31901</v>
      </c>
      <c r="B31902" t="inlineStr">
        <is>
          <t>x̄x̄x̄MCMI</t>
        </is>
      </c>
      <c r="C31902">
        <f>ROMAN(31901)</f>
        <v/>
      </c>
      <c r="D31902">
        <f>IF(B31902=C31902, "YES", "WRONG")</f>
        <v/>
      </c>
    </row>
    <row r="31903">
      <c r="A31903" t="n">
        <v>31902</v>
      </c>
      <c r="B31903" t="inlineStr">
        <is>
          <t>x̄x̄x̄MCMII</t>
        </is>
      </c>
      <c r="C31903">
        <f>ROMAN(31902)</f>
        <v/>
      </c>
      <c r="D31903">
        <f>IF(B31903=C31903, "YES", "WRONG")</f>
        <v/>
      </c>
    </row>
    <row r="31904">
      <c r="A31904" t="n">
        <v>31903</v>
      </c>
      <c r="B31904" t="inlineStr">
        <is>
          <t>x̄x̄x̄MCMIII</t>
        </is>
      </c>
      <c r="C31904">
        <f>ROMAN(31903)</f>
        <v/>
      </c>
      <c r="D31904">
        <f>IF(B31904=C31904, "YES", "WRONG")</f>
        <v/>
      </c>
    </row>
    <row r="31905">
      <c r="A31905" t="n">
        <v>31904</v>
      </c>
      <c r="B31905" t="inlineStr">
        <is>
          <t>x̄x̄x̄MCMIV</t>
        </is>
      </c>
      <c r="C31905">
        <f>ROMAN(31904)</f>
        <v/>
      </c>
      <c r="D31905">
        <f>IF(B31905=C31905, "YES", "WRONG")</f>
        <v/>
      </c>
    </row>
    <row r="31906">
      <c r="A31906" t="n">
        <v>31905</v>
      </c>
      <c r="B31906" t="inlineStr">
        <is>
          <t>x̄x̄x̄MCMV</t>
        </is>
      </c>
      <c r="C31906">
        <f>ROMAN(31905)</f>
        <v/>
      </c>
      <c r="D31906">
        <f>IF(B31906=C31906, "YES", "WRONG")</f>
        <v/>
      </c>
    </row>
    <row r="31907">
      <c r="A31907" t="n">
        <v>31906</v>
      </c>
      <c r="B31907" t="inlineStr">
        <is>
          <t>x̄x̄x̄MCMVI</t>
        </is>
      </c>
      <c r="C31907">
        <f>ROMAN(31906)</f>
        <v/>
      </c>
      <c r="D31907">
        <f>IF(B31907=C31907, "YES", "WRONG")</f>
        <v/>
      </c>
    </row>
    <row r="31908">
      <c r="A31908" t="n">
        <v>31907</v>
      </c>
      <c r="B31908" t="inlineStr">
        <is>
          <t>x̄x̄x̄MCMVII</t>
        </is>
      </c>
      <c r="C31908">
        <f>ROMAN(31907)</f>
        <v/>
      </c>
      <c r="D31908">
        <f>IF(B31908=C31908, "YES", "WRONG")</f>
        <v/>
      </c>
    </row>
    <row r="31909">
      <c r="A31909" t="n">
        <v>31908</v>
      </c>
      <c r="B31909" t="inlineStr">
        <is>
          <t>x̄x̄x̄MCMVIII</t>
        </is>
      </c>
      <c r="C31909">
        <f>ROMAN(31908)</f>
        <v/>
      </c>
      <c r="D31909">
        <f>IF(B31909=C31909, "YES", "WRONG")</f>
        <v/>
      </c>
    </row>
    <row r="31910">
      <c r="A31910" t="n">
        <v>31909</v>
      </c>
      <c r="B31910" t="inlineStr">
        <is>
          <t>x̄x̄x̄MCMIX</t>
        </is>
      </c>
      <c r="C31910">
        <f>ROMAN(31909)</f>
        <v/>
      </c>
      <c r="D31910">
        <f>IF(B31910=C31910, "YES", "WRONG")</f>
        <v/>
      </c>
    </row>
    <row r="31911">
      <c r="A31911" t="n">
        <v>31910</v>
      </c>
      <c r="B31911" t="inlineStr">
        <is>
          <t>x̄x̄x̄MCMX</t>
        </is>
      </c>
      <c r="C31911">
        <f>ROMAN(31910)</f>
        <v/>
      </c>
      <c r="D31911">
        <f>IF(B31911=C31911, "YES", "WRONG")</f>
        <v/>
      </c>
    </row>
    <row r="31912">
      <c r="A31912" t="n">
        <v>31911</v>
      </c>
      <c r="B31912" t="inlineStr">
        <is>
          <t>x̄x̄x̄MCMXI</t>
        </is>
      </c>
      <c r="C31912">
        <f>ROMAN(31911)</f>
        <v/>
      </c>
      <c r="D31912">
        <f>IF(B31912=C31912, "YES", "WRONG")</f>
        <v/>
      </c>
    </row>
    <row r="31913">
      <c r="A31913" t="n">
        <v>31912</v>
      </c>
      <c r="B31913" t="inlineStr">
        <is>
          <t>x̄x̄x̄MCMXII</t>
        </is>
      </c>
      <c r="C31913">
        <f>ROMAN(31912)</f>
        <v/>
      </c>
      <c r="D31913">
        <f>IF(B31913=C31913, "YES", "WRONG")</f>
        <v/>
      </c>
    </row>
    <row r="31914">
      <c r="A31914" t="n">
        <v>31913</v>
      </c>
      <c r="B31914" t="inlineStr">
        <is>
          <t>x̄x̄x̄MCMXIII</t>
        </is>
      </c>
      <c r="C31914">
        <f>ROMAN(31913)</f>
        <v/>
      </c>
      <c r="D31914">
        <f>IF(B31914=C31914, "YES", "WRONG")</f>
        <v/>
      </c>
    </row>
    <row r="31915">
      <c r="A31915" t="n">
        <v>31914</v>
      </c>
      <c r="B31915" t="inlineStr">
        <is>
          <t>x̄x̄x̄MCMXIV</t>
        </is>
      </c>
      <c r="C31915">
        <f>ROMAN(31914)</f>
        <v/>
      </c>
      <c r="D31915">
        <f>IF(B31915=C31915, "YES", "WRONG")</f>
        <v/>
      </c>
    </row>
    <row r="31916">
      <c r="A31916" t="n">
        <v>31915</v>
      </c>
      <c r="B31916" t="inlineStr">
        <is>
          <t>x̄x̄x̄MCMXV</t>
        </is>
      </c>
      <c r="C31916">
        <f>ROMAN(31915)</f>
        <v/>
      </c>
      <c r="D31916">
        <f>IF(B31916=C31916, "YES", "WRONG")</f>
        <v/>
      </c>
    </row>
    <row r="31917">
      <c r="A31917" t="n">
        <v>31916</v>
      </c>
      <c r="B31917" t="inlineStr">
        <is>
          <t>x̄x̄x̄MCMXVI</t>
        </is>
      </c>
      <c r="C31917">
        <f>ROMAN(31916)</f>
        <v/>
      </c>
      <c r="D31917">
        <f>IF(B31917=C31917, "YES", "WRONG")</f>
        <v/>
      </c>
    </row>
    <row r="31918">
      <c r="A31918" t="n">
        <v>31917</v>
      </c>
      <c r="B31918" t="inlineStr">
        <is>
          <t>x̄x̄x̄MCMXVII</t>
        </is>
      </c>
      <c r="C31918">
        <f>ROMAN(31917)</f>
        <v/>
      </c>
      <c r="D31918">
        <f>IF(B31918=C31918, "YES", "WRONG")</f>
        <v/>
      </c>
    </row>
    <row r="31919">
      <c r="A31919" t="n">
        <v>31918</v>
      </c>
      <c r="B31919" t="inlineStr">
        <is>
          <t>x̄x̄x̄MCMXVIII</t>
        </is>
      </c>
      <c r="C31919">
        <f>ROMAN(31918)</f>
        <v/>
      </c>
      <c r="D31919">
        <f>IF(B31919=C31919, "YES", "WRONG")</f>
        <v/>
      </c>
    </row>
    <row r="31920">
      <c r="A31920" t="n">
        <v>31919</v>
      </c>
      <c r="B31920" t="inlineStr">
        <is>
          <t>x̄x̄x̄MCMXIX</t>
        </is>
      </c>
      <c r="C31920">
        <f>ROMAN(31919)</f>
        <v/>
      </c>
      <c r="D31920">
        <f>IF(B31920=C31920, "YES", "WRONG")</f>
        <v/>
      </c>
    </row>
    <row r="31921">
      <c r="A31921" t="n">
        <v>31920</v>
      </c>
      <c r="B31921" t="inlineStr">
        <is>
          <t>x̄x̄x̄MCMXX</t>
        </is>
      </c>
      <c r="C31921">
        <f>ROMAN(31920)</f>
        <v/>
      </c>
      <c r="D31921">
        <f>IF(B31921=C31921, "YES", "WRONG")</f>
        <v/>
      </c>
    </row>
    <row r="31922">
      <c r="A31922" t="n">
        <v>31921</v>
      </c>
      <c r="B31922" t="inlineStr">
        <is>
          <t>x̄x̄x̄MCMXXI</t>
        </is>
      </c>
      <c r="C31922">
        <f>ROMAN(31921)</f>
        <v/>
      </c>
      <c r="D31922">
        <f>IF(B31922=C31922, "YES", "WRONG")</f>
        <v/>
      </c>
    </row>
    <row r="31923">
      <c r="A31923" t="n">
        <v>31922</v>
      </c>
      <c r="B31923" t="inlineStr">
        <is>
          <t>x̄x̄x̄MCMXXII</t>
        </is>
      </c>
      <c r="C31923">
        <f>ROMAN(31922)</f>
        <v/>
      </c>
      <c r="D31923">
        <f>IF(B31923=C31923, "YES", "WRONG")</f>
        <v/>
      </c>
    </row>
    <row r="31924">
      <c r="A31924" t="n">
        <v>31923</v>
      </c>
      <c r="B31924" t="inlineStr">
        <is>
          <t>x̄x̄x̄MCMXXIII</t>
        </is>
      </c>
      <c r="C31924">
        <f>ROMAN(31923)</f>
        <v/>
      </c>
      <c r="D31924">
        <f>IF(B31924=C31924, "YES", "WRONG")</f>
        <v/>
      </c>
    </row>
    <row r="31925">
      <c r="A31925" t="n">
        <v>31924</v>
      </c>
      <c r="B31925" t="inlineStr">
        <is>
          <t>x̄x̄x̄MCMXXIV</t>
        </is>
      </c>
      <c r="C31925">
        <f>ROMAN(31924)</f>
        <v/>
      </c>
      <c r="D31925">
        <f>IF(B31925=C31925, "YES", "WRONG")</f>
        <v/>
      </c>
    </row>
    <row r="31926">
      <c r="A31926" t="n">
        <v>31925</v>
      </c>
      <c r="B31926" t="inlineStr">
        <is>
          <t>x̄x̄x̄MCMXXV</t>
        </is>
      </c>
      <c r="C31926">
        <f>ROMAN(31925)</f>
        <v/>
      </c>
      <c r="D31926">
        <f>IF(B31926=C31926, "YES", "WRONG")</f>
        <v/>
      </c>
    </row>
    <row r="31927">
      <c r="A31927" t="n">
        <v>31926</v>
      </c>
      <c r="B31927" t="inlineStr">
        <is>
          <t>x̄x̄x̄MCMXXVI</t>
        </is>
      </c>
      <c r="C31927">
        <f>ROMAN(31926)</f>
        <v/>
      </c>
      <c r="D31927">
        <f>IF(B31927=C31927, "YES", "WRONG")</f>
        <v/>
      </c>
    </row>
    <row r="31928">
      <c r="A31928" t="n">
        <v>31927</v>
      </c>
      <c r="B31928" t="inlineStr">
        <is>
          <t>x̄x̄x̄MCMXXVII</t>
        </is>
      </c>
      <c r="C31928">
        <f>ROMAN(31927)</f>
        <v/>
      </c>
      <c r="D31928">
        <f>IF(B31928=C31928, "YES", "WRONG")</f>
        <v/>
      </c>
    </row>
    <row r="31929">
      <c r="A31929" t="n">
        <v>31928</v>
      </c>
      <c r="B31929" t="inlineStr">
        <is>
          <t>x̄x̄x̄MCMXXVIII</t>
        </is>
      </c>
      <c r="C31929">
        <f>ROMAN(31928)</f>
        <v/>
      </c>
      <c r="D31929">
        <f>IF(B31929=C31929, "YES", "WRONG")</f>
        <v/>
      </c>
    </row>
    <row r="31930">
      <c r="A31930" t="n">
        <v>31929</v>
      </c>
      <c r="B31930" t="inlineStr">
        <is>
          <t>x̄x̄x̄MCMXXIX</t>
        </is>
      </c>
      <c r="C31930">
        <f>ROMAN(31929)</f>
        <v/>
      </c>
      <c r="D31930">
        <f>IF(B31930=C31930, "YES", "WRONG")</f>
        <v/>
      </c>
    </row>
    <row r="31931">
      <c r="A31931" t="n">
        <v>31930</v>
      </c>
      <c r="B31931" t="inlineStr">
        <is>
          <t>x̄x̄x̄MCMXXX</t>
        </is>
      </c>
      <c r="C31931">
        <f>ROMAN(31930)</f>
        <v/>
      </c>
      <c r="D31931">
        <f>IF(B31931=C31931, "YES", "WRONG")</f>
        <v/>
      </c>
    </row>
    <row r="31932">
      <c r="A31932" t="n">
        <v>31931</v>
      </c>
      <c r="B31932" t="inlineStr">
        <is>
          <t>x̄x̄x̄MCMXXXI</t>
        </is>
      </c>
      <c r="C31932">
        <f>ROMAN(31931)</f>
        <v/>
      </c>
      <c r="D31932">
        <f>IF(B31932=C31932, "YES", "WRONG")</f>
        <v/>
      </c>
    </row>
    <row r="31933">
      <c r="A31933" t="n">
        <v>31932</v>
      </c>
      <c r="B31933" t="inlineStr">
        <is>
          <t>x̄x̄x̄MCMXXXII</t>
        </is>
      </c>
      <c r="C31933">
        <f>ROMAN(31932)</f>
        <v/>
      </c>
      <c r="D31933">
        <f>IF(B31933=C31933, "YES", "WRONG")</f>
        <v/>
      </c>
    </row>
    <row r="31934">
      <c r="A31934" t="n">
        <v>31933</v>
      </c>
      <c r="B31934" t="inlineStr">
        <is>
          <t>x̄x̄x̄MCMXXXIII</t>
        </is>
      </c>
      <c r="C31934">
        <f>ROMAN(31933)</f>
        <v/>
      </c>
      <c r="D31934">
        <f>IF(B31934=C31934, "YES", "WRONG")</f>
        <v/>
      </c>
    </row>
    <row r="31935">
      <c r="A31935" t="n">
        <v>31934</v>
      </c>
      <c r="B31935" t="inlineStr">
        <is>
          <t>x̄x̄x̄MCMXXXIV</t>
        </is>
      </c>
      <c r="C31935">
        <f>ROMAN(31934)</f>
        <v/>
      </c>
      <c r="D31935">
        <f>IF(B31935=C31935, "YES", "WRONG")</f>
        <v/>
      </c>
    </row>
    <row r="31936">
      <c r="A31936" t="n">
        <v>31935</v>
      </c>
      <c r="B31936" t="inlineStr">
        <is>
          <t>x̄x̄x̄MCMXXXV</t>
        </is>
      </c>
      <c r="C31936">
        <f>ROMAN(31935)</f>
        <v/>
      </c>
      <c r="D31936">
        <f>IF(B31936=C31936, "YES", "WRONG")</f>
        <v/>
      </c>
    </row>
    <row r="31937">
      <c r="A31937" t="n">
        <v>31936</v>
      </c>
      <c r="B31937" t="inlineStr">
        <is>
          <t>x̄x̄x̄MCMXXXVI</t>
        </is>
      </c>
      <c r="C31937">
        <f>ROMAN(31936)</f>
        <v/>
      </c>
      <c r="D31937">
        <f>IF(B31937=C31937, "YES", "WRONG")</f>
        <v/>
      </c>
    </row>
    <row r="31938">
      <c r="A31938" t="n">
        <v>31937</v>
      </c>
      <c r="B31938" t="inlineStr">
        <is>
          <t>x̄x̄x̄MCMXXXVII</t>
        </is>
      </c>
      <c r="C31938">
        <f>ROMAN(31937)</f>
        <v/>
      </c>
      <c r="D31938">
        <f>IF(B31938=C31938, "YES", "WRONG")</f>
        <v/>
      </c>
    </row>
    <row r="31939">
      <c r="A31939" t="n">
        <v>31938</v>
      </c>
      <c r="B31939" t="inlineStr">
        <is>
          <t>x̄x̄x̄MCMXXXVIII</t>
        </is>
      </c>
      <c r="C31939">
        <f>ROMAN(31938)</f>
        <v/>
      </c>
      <c r="D31939">
        <f>IF(B31939=C31939, "YES", "WRONG")</f>
        <v/>
      </c>
    </row>
    <row r="31940">
      <c r="A31940" t="n">
        <v>31939</v>
      </c>
      <c r="B31940" t="inlineStr">
        <is>
          <t>x̄x̄x̄MCMXXXIX</t>
        </is>
      </c>
      <c r="C31940">
        <f>ROMAN(31939)</f>
        <v/>
      </c>
      <c r="D31940">
        <f>IF(B31940=C31940, "YES", "WRONG")</f>
        <v/>
      </c>
    </row>
    <row r="31941">
      <c r="A31941" t="n">
        <v>31940</v>
      </c>
      <c r="B31941" t="inlineStr">
        <is>
          <t>x̄x̄x̄MCMXL</t>
        </is>
      </c>
      <c r="C31941">
        <f>ROMAN(31940)</f>
        <v/>
      </c>
      <c r="D31941">
        <f>IF(B31941=C31941, "YES", "WRONG")</f>
        <v/>
      </c>
    </row>
    <row r="31942">
      <c r="A31942" t="n">
        <v>31941</v>
      </c>
      <c r="B31942" t="inlineStr">
        <is>
          <t>x̄x̄x̄MCMXLI</t>
        </is>
      </c>
      <c r="C31942">
        <f>ROMAN(31941)</f>
        <v/>
      </c>
      <c r="D31942">
        <f>IF(B31942=C31942, "YES", "WRONG")</f>
        <v/>
      </c>
    </row>
    <row r="31943">
      <c r="A31943" t="n">
        <v>31942</v>
      </c>
      <c r="B31943" t="inlineStr">
        <is>
          <t>x̄x̄x̄MCMXLII</t>
        </is>
      </c>
      <c r="C31943">
        <f>ROMAN(31942)</f>
        <v/>
      </c>
      <c r="D31943">
        <f>IF(B31943=C31943, "YES", "WRONG")</f>
        <v/>
      </c>
    </row>
    <row r="31944">
      <c r="A31944" t="n">
        <v>31943</v>
      </c>
      <c r="B31944" t="inlineStr">
        <is>
          <t>x̄x̄x̄MCMXLIII</t>
        </is>
      </c>
      <c r="C31944">
        <f>ROMAN(31943)</f>
        <v/>
      </c>
      <c r="D31944">
        <f>IF(B31944=C31944, "YES", "WRONG")</f>
        <v/>
      </c>
    </row>
    <row r="31945">
      <c r="A31945" t="n">
        <v>31944</v>
      </c>
      <c r="B31945" t="inlineStr">
        <is>
          <t>x̄x̄x̄MCMXLIV</t>
        </is>
      </c>
      <c r="C31945">
        <f>ROMAN(31944)</f>
        <v/>
      </c>
      <c r="D31945">
        <f>IF(B31945=C31945, "YES", "WRONG")</f>
        <v/>
      </c>
    </row>
    <row r="31946">
      <c r="A31946" t="n">
        <v>31945</v>
      </c>
      <c r="B31946" t="inlineStr">
        <is>
          <t>x̄x̄x̄MCMXLV</t>
        </is>
      </c>
      <c r="C31946">
        <f>ROMAN(31945)</f>
        <v/>
      </c>
      <c r="D31946">
        <f>IF(B31946=C31946, "YES", "WRONG")</f>
        <v/>
      </c>
    </row>
    <row r="31947">
      <c r="A31947" t="n">
        <v>31946</v>
      </c>
      <c r="B31947" t="inlineStr">
        <is>
          <t>x̄x̄x̄MCMXLVI</t>
        </is>
      </c>
      <c r="C31947">
        <f>ROMAN(31946)</f>
        <v/>
      </c>
      <c r="D31947">
        <f>IF(B31947=C31947, "YES", "WRONG")</f>
        <v/>
      </c>
    </row>
    <row r="31948">
      <c r="A31948" t="n">
        <v>31947</v>
      </c>
      <c r="B31948" t="inlineStr">
        <is>
          <t>x̄x̄x̄MCMXLVII</t>
        </is>
      </c>
      <c r="C31948">
        <f>ROMAN(31947)</f>
        <v/>
      </c>
      <c r="D31948">
        <f>IF(B31948=C31948, "YES", "WRONG")</f>
        <v/>
      </c>
    </row>
    <row r="31949">
      <c r="A31949" t="n">
        <v>31948</v>
      </c>
      <c r="B31949" t="inlineStr">
        <is>
          <t>x̄x̄x̄MCMXLVIII</t>
        </is>
      </c>
      <c r="C31949">
        <f>ROMAN(31948)</f>
        <v/>
      </c>
      <c r="D31949">
        <f>IF(B31949=C31949, "YES", "WRONG")</f>
        <v/>
      </c>
    </row>
    <row r="31950">
      <c r="A31950" t="n">
        <v>31949</v>
      </c>
      <c r="B31950" t="inlineStr">
        <is>
          <t>x̄x̄x̄MCMXLIX</t>
        </is>
      </c>
      <c r="C31950">
        <f>ROMAN(31949)</f>
        <v/>
      </c>
      <c r="D31950">
        <f>IF(B31950=C31950, "YES", "WRONG")</f>
        <v/>
      </c>
    </row>
    <row r="31951">
      <c r="A31951" t="n">
        <v>31950</v>
      </c>
      <c r="B31951" t="inlineStr">
        <is>
          <t>x̄x̄x̄MCML</t>
        </is>
      </c>
      <c r="C31951">
        <f>ROMAN(31950)</f>
        <v/>
      </c>
      <c r="D31951">
        <f>IF(B31951=C31951, "YES", "WRONG")</f>
        <v/>
      </c>
    </row>
    <row r="31952">
      <c r="A31952" t="n">
        <v>31951</v>
      </c>
      <c r="B31952" t="inlineStr">
        <is>
          <t>x̄x̄x̄MCMLI</t>
        </is>
      </c>
      <c r="C31952">
        <f>ROMAN(31951)</f>
        <v/>
      </c>
      <c r="D31952">
        <f>IF(B31952=C31952, "YES", "WRONG")</f>
        <v/>
      </c>
    </row>
    <row r="31953">
      <c r="A31953" t="n">
        <v>31952</v>
      </c>
      <c r="B31953" t="inlineStr">
        <is>
          <t>x̄x̄x̄MCMLII</t>
        </is>
      </c>
      <c r="C31953">
        <f>ROMAN(31952)</f>
        <v/>
      </c>
      <c r="D31953">
        <f>IF(B31953=C31953, "YES", "WRONG")</f>
        <v/>
      </c>
    </row>
    <row r="31954">
      <c r="A31954" t="n">
        <v>31953</v>
      </c>
      <c r="B31954" t="inlineStr">
        <is>
          <t>x̄x̄x̄MCMLIII</t>
        </is>
      </c>
      <c r="C31954">
        <f>ROMAN(31953)</f>
        <v/>
      </c>
      <c r="D31954">
        <f>IF(B31954=C31954, "YES", "WRONG")</f>
        <v/>
      </c>
    </row>
    <row r="31955">
      <c r="A31955" t="n">
        <v>31954</v>
      </c>
      <c r="B31955" t="inlineStr">
        <is>
          <t>x̄x̄x̄MCMLIV</t>
        </is>
      </c>
      <c r="C31955">
        <f>ROMAN(31954)</f>
        <v/>
      </c>
      <c r="D31955">
        <f>IF(B31955=C31955, "YES", "WRONG")</f>
        <v/>
      </c>
    </row>
    <row r="31956">
      <c r="A31956" t="n">
        <v>31955</v>
      </c>
      <c r="B31956" t="inlineStr">
        <is>
          <t>x̄x̄x̄MCMLV</t>
        </is>
      </c>
      <c r="C31956">
        <f>ROMAN(31955)</f>
        <v/>
      </c>
      <c r="D31956">
        <f>IF(B31956=C31956, "YES", "WRONG")</f>
        <v/>
      </c>
    </row>
    <row r="31957">
      <c r="A31957" t="n">
        <v>31956</v>
      </c>
      <c r="B31957" t="inlineStr">
        <is>
          <t>x̄x̄x̄MCMLVI</t>
        </is>
      </c>
      <c r="C31957">
        <f>ROMAN(31956)</f>
        <v/>
      </c>
      <c r="D31957">
        <f>IF(B31957=C31957, "YES", "WRONG")</f>
        <v/>
      </c>
    </row>
    <row r="31958">
      <c r="A31958" t="n">
        <v>31957</v>
      </c>
      <c r="B31958" t="inlineStr">
        <is>
          <t>x̄x̄x̄MCMLVII</t>
        </is>
      </c>
      <c r="C31958">
        <f>ROMAN(31957)</f>
        <v/>
      </c>
      <c r="D31958">
        <f>IF(B31958=C31958, "YES", "WRONG")</f>
        <v/>
      </c>
    </row>
    <row r="31959">
      <c r="A31959" t="n">
        <v>31958</v>
      </c>
      <c r="B31959" t="inlineStr">
        <is>
          <t>x̄x̄x̄MCMLVIII</t>
        </is>
      </c>
      <c r="C31959">
        <f>ROMAN(31958)</f>
        <v/>
      </c>
      <c r="D31959">
        <f>IF(B31959=C31959, "YES", "WRONG")</f>
        <v/>
      </c>
    </row>
    <row r="31960">
      <c r="A31960" t="n">
        <v>31959</v>
      </c>
      <c r="B31960" t="inlineStr">
        <is>
          <t>x̄x̄x̄MCMLIX</t>
        </is>
      </c>
      <c r="C31960">
        <f>ROMAN(31959)</f>
        <v/>
      </c>
      <c r="D31960">
        <f>IF(B31960=C31960, "YES", "WRONG")</f>
        <v/>
      </c>
    </row>
    <row r="31961">
      <c r="A31961" t="n">
        <v>31960</v>
      </c>
      <c r="B31961" t="inlineStr">
        <is>
          <t>x̄x̄x̄MCMLX</t>
        </is>
      </c>
      <c r="C31961">
        <f>ROMAN(31960)</f>
        <v/>
      </c>
      <c r="D31961">
        <f>IF(B31961=C31961, "YES", "WRONG")</f>
        <v/>
      </c>
    </row>
    <row r="31962">
      <c r="A31962" t="n">
        <v>31961</v>
      </c>
      <c r="B31962" t="inlineStr">
        <is>
          <t>x̄x̄x̄MCMLXI</t>
        </is>
      </c>
      <c r="C31962">
        <f>ROMAN(31961)</f>
        <v/>
      </c>
      <c r="D31962">
        <f>IF(B31962=C31962, "YES", "WRONG")</f>
        <v/>
      </c>
    </row>
    <row r="31963">
      <c r="A31963" t="n">
        <v>31962</v>
      </c>
      <c r="B31963" t="inlineStr">
        <is>
          <t>x̄x̄x̄MCMLXII</t>
        </is>
      </c>
      <c r="C31963">
        <f>ROMAN(31962)</f>
        <v/>
      </c>
      <c r="D31963">
        <f>IF(B31963=C31963, "YES", "WRONG")</f>
        <v/>
      </c>
    </row>
    <row r="31964">
      <c r="A31964" t="n">
        <v>31963</v>
      </c>
      <c r="B31964" t="inlineStr">
        <is>
          <t>x̄x̄x̄MCMLXIII</t>
        </is>
      </c>
      <c r="C31964">
        <f>ROMAN(31963)</f>
        <v/>
      </c>
      <c r="D31964">
        <f>IF(B31964=C31964, "YES", "WRONG")</f>
        <v/>
      </c>
    </row>
    <row r="31965">
      <c r="A31965" t="n">
        <v>31964</v>
      </c>
      <c r="B31965" t="inlineStr">
        <is>
          <t>x̄x̄x̄MCMLXIV</t>
        </is>
      </c>
      <c r="C31965">
        <f>ROMAN(31964)</f>
        <v/>
      </c>
      <c r="D31965">
        <f>IF(B31965=C31965, "YES", "WRONG")</f>
        <v/>
      </c>
    </row>
    <row r="31966">
      <c r="A31966" t="n">
        <v>31965</v>
      </c>
      <c r="B31966" t="inlineStr">
        <is>
          <t>x̄x̄x̄MCMLXV</t>
        </is>
      </c>
      <c r="C31966">
        <f>ROMAN(31965)</f>
        <v/>
      </c>
      <c r="D31966">
        <f>IF(B31966=C31966, "YES", "WRONG")</f>
        <v/>
      </c>
    </row>
    <row r="31967">
      <c r="A31967" t="n">
        <v>31966</v>
      </c>
      <c r="B31967" t="inlineStr">
        <is>
          <t>x̄x̄x̄MCMLXVI</t>
        </is>
      </c>
      <c r="C31967">
        <f>ROMAN(31966)</f>
        <v/>
      </c>
      <c r="D31967">
        <f>IF(B31967=C31967, "YES", "WRONG")</f>
        <v/>
      </c>
    </row>
    <row r="31968">
      <c r="A31968" t="n">
        <v>31967</v>
      </c>
      <c r="B31968" t="inlineStr">
        <is>
          <t>x̄x̄x̄MCMLXVII</t>
        </is>
      </c>
      <c r="C31968">
        <f>ROMAN(31967)</f>
        <v/>
      </c>
      <c r="D31968">
        <f>IF(B31968=C31968, "YES", "WRONG")</f>
        <v/>
      </c>
    </row>
    <row r="31969">
      <c r="A31969" t="n">
        <v>31968</v>
      </c>
      <c r="B31969" t="inlineStr">
        <is>
          <t>x̄x̄x̄MCMLXVIII</t>
        </is>
      </c>
      <c r="C31969">
        <f>ROMAN(31968)</f>
        <v/>
      </c>
      <c r="D31969">
        <f>IF(B31969=C31969, "YES", "WRONG")</f>
        <v/>
      </c>
    </row>
    <row r="31970">
      <c r="A31970" t="n">
        <v>31969</v>
      </c>
      <c r="B31970" t="inlineStr">
        <is>
          <t>x̄x̄x̄MCMLXIX</t>
        </is>
      </c>
      <c r="C31970">
        <f>ROMAN(31969)</f>
        <v/>
      </c>
      <c r="D31970">
        <f>IF(B31970=C31970, "YES", "WRONG")</f>
        <v/>
      </c>
    </row>
    <row r="31971">
      <c r="A31971" t="n">
        <v>31970</v>
      </c>
      <c r="B31971" t="inlineStr">
        <is>
          <t>x̄x̄x̄MCMLXX</t>
        </is>
      </c>
      <c r="C31971">
        <f>ROMAN(31970)</f>
        <v/>
      </c>
      <c r="D31971">
        <f>IF(B31971=C31971, "YES", "WRONG")</f>
        <v/>
      </c>
    </row>
    <row r="31972">
      <c r="A31972" t="n">
        <v>31971</v>
      </c>
      <c r="B31972" t="inlineStr">
        <is>
          <t>x̄x̄x̄MCMLXXI</t>
        </is>
      </c>
      <c r="C31972">
        <f>ROMAN(31971)</f>
        <v/>
      </c>
      <c r="D31972">
        <f>IF(B31972=C31972, "YES", "WRONG")</f>
        <v/>
      </c>
    </row>
    <row r="31973">
      <c r="A31973" t="n">
        <v>31972</v>
      </c>
      <c r="B31973" t="inlineStr">
        <is>
          <t>x̄x̄x̄MCMLXXII</t>
        </is>
      </c>
      <c r="C31973">
        <f>ROMAN(31972)</f>
        <v/>
      </c>
      <c r="D31973">
        <f>IF(B31973=C31973, "YES", "WRONG")</f>
        <v/>
      </c>
    </row>
    <row r="31974">
      <c r="A31974" t="n">
        <v>31973</v>
      </c>
      <c r="B31974" t="inlineStr">
        <is>
          <t>x̄x̄x̄MCMLXXIII</t>
        </is>
      </c>
      <c r="C31974">
        <f>ROMAN(31973)</f>
        <v/>
      </c>
      <c r="D31974">
        <f>IF(B31974=C31974, "YES", "WRONG")</f>
        <v/>
      </c>
    </row>
    <row r="31975">
      <c r="A31975" t="n">
        <v>31974</v>
      </c>
      <c r="B31975" t="inlineStr">
        <is>
          <t>x̄x̄x̄MCMLXXIV</t>
        </is>
      </c>
      <c r="C31975">
        <f>ROMAN(31974)</f>
        <v/>
      </c>
      <c r="D31975">
        <f>IF(B31975=C31975, "YES", "WRONG")</f>
        <v/>
      </c>
    </row>
    <row r="31976">
      <c r="A31976" t="n">
        <v>31975</v>
      </c>
      <c r="B31976" t="inlineStr">
        <is>
          <t>x̄x̄x̄MCMLXXV</t>
        </is>
      </c>
      <c r="C31976">
        <f>ROMAN(31975)</f>
        <v/>
      </c>
      <c r="D31976">
        <f>IF(B31976=C31976, "YES", "WRONG")</f>
        <v/>
      </c>
    </row>
    <row r="31977">
      <c r="A31977" t="n">
        <v>31976</v>
      </c>
      <c r="B31977" t="inlineStr">
        <is>
          <t>x̄x̄x̄MCMLXXVI</t>
        </is>
      </c>
      <c r="C31977">
        <f>ROMAN(31976)</f>
        <v/>
      </c>
      <c r="D31977">
        <f>IF(B31977=C31977, "YES", "WRONG")</f>
        <v/>
      </c>
    </row>
    <row r="31978">
      <c r="A31978" t="n">
        <v>31977</v>
      </c>
      <c r="B31978" t="inlineStr">
        <is>
          <t>x̄x̄x̄MCMLXXVII</t>
        </is>
      </c>
      <c r="C31978">
        <f>ROMAN(31977)</f>
        <v/>
      </c>
      <c r="D31978">
        <f>IF(B31978=C31978, "YES", "WRONG")</f>
        <v/>
      </c>
    </row>
    <row r="31979">
      <c r="A31979" t="n">
        <v>31978</v>
      </c>
      <c r="B31979" t="inlineStr">
        <is>
          <t>x̄x̄x̄MCMLXXVIII</t>
        </is>
      </c>
      <c r="C31979">
        <f>ROMAN(31978)</f>
        <v/>
      </c>
      <c r="D31979">
        <f>IF(B31979=C31979, "YES", "WRONG")</f>
        <v/>
      </c>
    </row>
    <row r="31980">
      <c r="A31980" t="n">
        <v>31979</v>
      </c>
      <c r="B31980" t="inlineStr">
        <is>
          <t>x̄x̄x̄MCMLXXIX</t>
        </is>
      </c>
      <c r="C31980">
        <f>ROMAN(31979)</f>
        <v/>
      </c>
      <c r="D31980">
        <f>IF(B31980=C31980, "YES", "WRONG")</f>
        <v/>
      </c>
    </row>
    <row r="31981">
      <c r="A31981" t="n">
        <v>31980</v>
      </c>
      <c r="B31981" t="inlineStr">
        <is>
          <t>x̄x̄x̄MCMLXXX</t>
        </is>
      </c>
      <c r="C31981">
        <f>ROMAN(31980)</f>
        <v/>
      </c>
      <c r="D31981">
        <f>IF(B31981=C31981, "YES", "WRONG")</f>
        <v/>
      </c>
    </row>
    <row r="31982">
      <c r="A31982" t="n">
        <v>31981</v>
      </c>
      <c r="B31982" t="inlineStr">
        <is>
          <t>x̄x̄x̄MCMLXXXI</t>
        </is>
      </c>
      <c r="C31982">
        <f>ROMAN(31981)</f>
        <v/>
      </c>
      <c r="D31982">
        <f>IF(B31982=C31982, "YES", "WRONG")</f>
        <v/>
      </c>
    </row>
    <row r="31983">
      <c r="A31983" t="n">
        <v>31982</v>
      </c>
      <c r="B31983" t="inlineStr">
        <is>
          <t>x̄x̄x̄MCMLXXXII</t>
        </is>
      </c>
      <c r="C31983">
        <f>ROMAN(31982)</f>
        <v/>
      </c>
      <c r="D31983">
        <f>IF(B31983=C31983, "YES", "WRONG")</f>
        <v/>
      </c>
    </row>
    <row r="31984">
      <c r="A31984" t="n">
        <v>31983</v>
      </c>
      <c r="B31984" t="inlineStr">
        <is>
          <t>x̄x̄x̄MCMLXXXIII</t>
        </is>
      </c>
      <c r="C31984">
        <f>ROMAN(31983)</f>
        <v/>
      </c>
      <c r="D31984">
        <f>IF(B31984=C31984, "YES", "WRONG")</f>
        <v/>
      </c>
    </row>
    <row r="31985">
      <c r="A31985" t="n">
        <v>31984</v>
      </c>
      <c r="B31985" t="inlineStr">
        <is>
          <t>x̄x̄x̄MCMLXXXIV</t>
        </is>
      </c>
      <c r="C31985">
        <f>ROMAN(31984)</f>
        <v/>
      </c>
      <c r="D31985">
        <f>IF(B31985=C31985, "YES", "WRONG")</f>
        <v/>
      </c>
    </row>
    <row r="31986">
      <c r="A31986" t="n">
        <v>31985</v>
      </c>
      <c r="B31986" t="inlineStr">
        <is>
          <t>x̄x̄x̄MCMLXXXV</t>
        </is>
      </c>
      <c r="C31986">
        <f>ROMAN(31985)</f>
        <v/>
      </c>
      <c r="D31986">
        <f>IF(B31986=C31986, "YES", "WRONG")</f>
        <v/>
      </c>
    </row>
    <row r="31987">
      <c r="A31987" t="n">
        <v>31986</v>
      </c>
      <c r="B31987" t="inlineStr">
        <is>
          <t>x̄x̄x̄MCMLXXXVI</t>
        </is>
      </c>
      <c r="C31987">
        <f>ROMAN(31986)</f>
        <v/>
      </c>
      <c r="D31987">
        <f>IF(B31987=C31987, "YES", "WRONG")</f>
        <v/>
      </c>
    </row>
    <row r="31988">
      <c r="A31988" t="n">
        <v>31987</v>
      </c>
      <c r="B31988" t="inlineStr">
        <is>
          <t>x̄x̄x̄MCMLXXXVII</t>
        </is>
      </c>
      <c r="C31988">
        <f>ROMAN(31987)</f>
        <v/>
      </c>
      <c r="D31988">
        <f>IF(B31988=C31988, "YES", "WRONG")</f>
        <v/>
      </c>
    </row>
    <row r="31989">
      <c r="A31989" t="n">
        <v>31988</v>
      </c>
      <c r="B31989" t="inlineStr">
        <is>
          <t>x̄x̄x̄MCMLXXXVIII</t>
        </is>
      </c>
      <c r="C31989">
        <f>ROMAN(31988)</f>
        <v/>
      </c>
      <c r="D31989">
        <f>IF(B31989=C31989, "YES", "WRONG")</f>
        <v/>
      </c>
    </row>
    <row r="31990">
      <c r="A31990" t="n">
        <v>31989</v>
      </c>
      <c r="B31990" t="inlineStr">
        <is>
          <t>x̄x̄x̄MCMLXXXIX</t>
        </is>
      </c>
      <c r="C31990">
        <f>ROMAN(31989)</f>
        <v/>
      </c>
      <c r="D31990">
        <f>IF(B31990=C31990, "YES", "WRONG")</f>
        <v/>
      </c>
    </row>
    <row r="31991">
      <c r="A31991" t="n">
        <v>31990</v>
      </c>
      <c r="B31991" t="inlineStr">
        <is>
          <t>x̄x̄x̄MCMXC</t>
        </is>
      </c>
      <c r="C31991">
        <f>ROMAN(31990)</f>
        <v/>
      </c>
      <c r="D31991">
        <f>IF(B31991=C31991, "YES", "WRONG")</f>
        <v/>
      </c>
    </row>
    <row r="31992">
      <c r="A31992" t="n">
        <v>31991</v>
      </c>
      <c r="B31992" t="inlineStr">
        <is>
          <t>x̄x̄x̄MCMXCI</t>
        </is>
      </c>
      <c r="C31992">
        <f>ROMAN(31991)</f>
        <v/>
      </c>
      <c r="D31992">
        <f>IF(B31992=C31992, "YES", "WRONG")</f>
        <v/>
      </c>
    </row>
    <row r="31993">
      <c r="A31993" t="n">
        <v>31992</v>
      </c>
      <c r="B31993" t="inlineStr">
        <is>
          <t>x̄x̄x̄MCMXCII</t>
        </is>
      </c>
      <c r="C31993">
        <f>ROMAN(31992)</f>
        <v/>
      </c>
      <c r="D31993">
        <f>IF(B31993=C31993, "YES", "WRONG")</f>
        <v/>
      </c>
    </row>
    <row r="31994">
      <c r="A31994" t="n">
        <v>31993</v>
      </c>
      <c r="B31994" t="inlineStr">
        <is>
          <t>x̄x̄x̄MCMXCIII</t>
        </is>
      </c>
      <c r="C31994">
        <f>ROMAN(31993)</f>
        <v/>
      </c>
      <c r="D31994">
        <f>IF(B31994=C31994, "YES", "WRONG")</f>
        <v/>
      </c>
    </row>
    <row r="31995">
      <c r="A31995" t="n">
        <v>31994</v>
      </c>
      <c r="B31995" t="inlineStr">
        <is>
          <t>x̄x̄x̄MCMXCIV</t>
        </is>
      </c>
      <c r="C31995">
        <f>ROMAN(31994)</f>
        <v/>
      </c>
      <c r="D31995">
        <f>IF(B31995=C31995, "YES", "WRONG")</f>
        <v/>
      </c>
    </row>
    <row r="31996">
      <c r="A31996" t="n">
        <v>31995</v>
      </c>
      <c r="B31996" t="inlineStr">
        <is>
          <t>x̄x̄x̄MCMXCV</t>
        </is>
      </c>
      <c r="C31996">
        <f>ROMAN(31995)</f>
        <v/>
      </c>
      <c r="D31996">
        <f>IF(B31996=C31996, "YES", "WRONG")</f>
        <v/>
      </c>
    </row>
    <row r="31997">
      <c r="A31997" t="n">
        <v>31996</v>
      </c>
      <c r="B31997" t="inlineStr">
        <is>
          <t>x̄x̄x̄MCMXCVI</t>
        </is>
      </c>
      <c r="C31997">
        <f>ROMAN(31996)</f>
        <v/>
      </c>
      <c r="D31997">
        <f>IF(B31997=C31997, "YES", "WRONG")</f>
        <v/>
      </c>
    </row>
    <row r="31998">
      <c r="A31998" t="n">
        <v>31997</v>
      </c>
      <c r="B31998" t="inlineStr">
        <is>
          <t>x̄x̄x̄MCMXCVII</t>
        </is>
      </c>
      <c r="C31998">
        <f>ROMAN(31997)</f>
        <v/>
      </c>
      <c r="D31998">
        <f>IF(B31998=C31998, "YES", "WRONG")</f>
        <v/>
      </c>
    </row>
    <row r="31999">
      <c r="A31999" t="n">
        <v>31998</v>
      </c>
      <c r="B31999" t="inlineStr">
        <is>
          <t>x̄x̄x̄MCMXCVIII</t>
        </is>
      </c>
      <c r="C31999">
        <f>ROMAN(31998)</f>
        <v/>
      </c>
      <c r="D31999">
        <f>IF(B31999=C31999, "YES", "WRONG")</f>
        <v/>
      </c>
    </row>
    <row r="32000">
      <c r="A32000" t="n">
        <v>31999</v>
      </c>
      <c r="B32000" t="inlineStr">
        <is>
          <t>x̄x̄x̄MCMXCIX</t>
        </is>
      </c>
      <c r="C32000">
        <f>ROMAN(31999)</f>
        <v/>
      </c>
      <c r="D32000">
        <f>IF(B32000=C32000, "YES", "WRONG")</f>
        <v/>
      </c>
    </row>
    <row r="32001">
      <c r="A32001" t="n">
        <v>32000</v>
      </c>
      <c r="B32001" t="inlineStr">
        <is>
          <t>x̄x̄x̄MM</t>
        </is>
      </c>
      <c r="C32001">
        <f>ROMAN(32000)</f>
        <v/>
      </c>
      <c r="D32001">
        <f>IF(B32001=C32001, "YES", "WRONG")</f>
        <v/>
      </c>
    </row>
    <row r="32002">
      <c r="A32002" t="n">
        <v>32001</v>
      </c>
      <c r="B32002" t="inlineStr">
        <is>
          <t>x̄x̄x̄MMI</t>
        </is>
      </c>
      <c r="C32002">
        <f>ROMAN(32001)</f>
        <v/>
      </c>
      <c r="D32002">
        <f>IF(B32002=C32002, "YES", "WRONG")</f>
        <v/>
      </c>
    </row>
    <row r="32003">
      <c r="A32003" t="n">
        <v>32002</v>
      </c>
      <c r="B32003" t="inlineStr">
        <is>
          <t>x̄x̄x̄MMII</t>
        </is>
      </c>
      <c r="C32003">
        <f>ROMAN(32002)</f>
        <v/>
      </c>
      <c r="D32003">
        <f>IF(B32003=C32003, "YES", "WRONG")</f>
        <v/>
      </c>
    </row>
    <row r="32004">
      <c r="A32004" t="n">
        <v>32003</v>
      </c>
      <c r="B32004" t="inlineStr">
        <is>
          <t>x̄x̄x̄MMIII</t>
        </is>
      </c>
      <c r="C32004">
        <f>ROMAN(32003)</f>
        <v/>
      </c>
      <c r="D32004">
        <f>IF(B32004=C32004, "YES", "WRONG")</f>
        <v/>
      </c>
    </row>
    <row r="32005">
      <c r="A32005" t="n">
        <v>32004</v>
      </c>
      <c r="B32005" t="inlineStr">
        <is>
          <t>x̄x̄x̄MMIV</t>
        </is>
      </c>
      <c r="C32005">
        <f>ROMAN(32004)</f>
        <v/>
      </c>
      <c r="D32005">
        <f>IF(B32005=C32005, "YES", "WRONG")</f>
        <v/>
      </c>
    </row>
    <row r="32006">
      <c r="A32006" t="n">
        <v>32005</v>
      </c>
      <c r="B32006" t="inlineStr">
        <is>
          <t>x̄x̄x̄MMV</t>
        </is>
      </c>
      <c r="C32006">
        <f>ROMAN(32005)</f>
        <v/>
      </c>
      <c r="D32006">
        <f>IF(B32006=C32006, "YES", "WRONG")</f>
        <v/>
      </c>
    </row>
    <row r="32007">
      <c r="A32007" t="n">
        <v>32006</v>
      </c>
      <c r="B32007" t="inlineStr">
        <is>
          <t>x̄x̄x̄MMVI</t>
        </is>
      </c>
      <c r="C32007">
        <f>ROMAN(32006)</f>
        <v/>
      </c>
      <c r="D32007">
        <f>IF(B32007=C32007, "YES", "WRONG")</f>
        <v/>
      </c>
    </row>
    <row r="32008">
      <c r="A32008" t="n">
        <v>32007</v>
      </c>
      <c r="B32008" t="inlineStr">
        <is>
          <t>x̄x̄x̄MMVII</t>
        </is>
      </c>
      <c r="C32008">
        <f>ROMAN(32007)</f>
        <v/>
      </c>
      <c r="D32008">
        <f>IF(B32008=C32008, "YES", "WRONG")</f>
        <v/>
      </c>
    </row>
    <row r="32009">
      <c r="A32009" t="n">
        <v>32008</v>
      </c>
      <c r="B32009" t="inlineStr">
        <is>
          <t>x̄x̄x̄MMVIII</t>
        </is>
      </c>
      <c r="C32009">
        <f>ROMAN(32008)</f>
        <v/>
      </c>
      <c r="D32009">
        <f>IF(B32009=C32009, "YES", "WRONG")</f>
        <v/>
      </c>
    </row>
    <row r="32010">
      <c r="A32010" t="n">
        <v>32009</v>
      </c>
      <c r="B32010" t="inlineStr">
        <is>
          <t>x̄x̄x̄MMIX</t>
        </is>
      </c>
      <c r="C32010">
        <f>ROMAN(32009)</f>
        <v/>
      </c>
      <c r="D32010">
        <f>IF(B32010=C32010, "YES", "WRONG")</f>
        <v/>
      </c>
    </row>
    <row r="32011">
      <c r="A32011" t="n">
        <v>32010</v>
      </c>
      <c r="B32011" t="inlineStr">
        <is>
          <t>x̄x̄x̄MMX</t>
        </is>
      </c>
      <c r="C32011">
        <f>ROMAN(32010)</f>
        <v/>
      </c>
      <c r="D32011">
        <f>IF(B32011=C32011, "YES", "WRONG")</f>
        <v/>
      </c>
    </row>
    <row r="32012">
      <c r="A32012" t="n">
        <v>32011</v>
      </c>
      <c r="B32012" t="inlineStr">
        <is>
          <t>x̄x̄x̄MMXI</t>
        </is>
      </c>
      <c r="C32012">
        <f>ROMAN(32011)</f>
        <v/>
      </c>
      <c r="D32012">
        <f>IF(B32012=C32012, "YES", "WRONG")</f>
        <v/>
      </c>
    </row>
    <row r="32013">
      <c r="A32013" t="n">
        <v>32012</v>
      </c>
      <c r="B32013" t="inlineStr">
        <is>
          <t>x̄x̄x̄MMXII</t>
        </is>
      </c>
      <c r="C32013">
        <f>ROMAN(32012)</f>
        <v/>
      </c>
      <c r="D32013">
        <f>IF(B32013=C32013, "YES", "WRONG")</f>
        <v/>
      </c>
    </row>
    <row r="32014">
      <c r="A32014" t="n">
        <v>32013</v>
      </c>
      <c r="B32014" t="inlineStr">
        <is>
          <t>x̄x̄x̄MMXIII</t>
        </is>
      </c>
      <c r="C32014">
        <f>ROMAN(32013)</f>
        <v/>
      </c>
      <c r="D32014">
        <f>IF(B32014=C32014, "YES", "WRONG")</f>
        <v/>
      </c>
    </row>
    <row r="32015">
      <c r="A32015" t="n">
        <v>32014</v>
      </c>
      <c r="B32015" t="inlineStr">
        <is>
          <t>x̄x̄x̄MMXIV</t>
        </is>
      </c>
      <c r="C32015">
        <f>ROMAN(32014)</f>
        <v/>
      </c>
      <c r="D32015">
        <f>IF(B32015=C32015, "YES", "WRONG")</f>
        <v/>
      </c>
    </row>
    <row r="32016">
      <c r="A32016" t="n">
        <v>32015</v>
      </c>
      <c r="B32016" t="inlineStr">
        <is>
          <t>x̄x̄x̄MMXV</t>
        </is>
      </c>
      <c r="C32016">
        <f>ROMAN(32015)</f>
        <v/>
      </c>
      <c r="D32016">
        <f>IF(B32016=C32016, "YES", "WRONG")</f>
        <v/>
      </c>
    </row>
    <row r="32017">
      <c r="A32017" t="n">
        <v>32016</v>
      </c>
      <c r="B32017" t="inlineStr">
        <is>
          <t>x̄x̄x̄MMXVI</t>
        </is>
      </c>
      <c r="C32017">
        <f>ROMAN(32016)</f>
        <v/>
      </c>
      <c r="D32017">
        <f>IF(B32017=C32017, "YES", "WRONG")</f>
        <v/>
      </c>
    </row>
    <row r="32018">
      <c r="A32018" t="n">
        <v>32017</v>
      </c>
      <c r="B32018" t="inlineStr">
        <is>
          <t>x̄x̄x̄MMXVII</t>
        </is>
      </c>
      <c r="C32018">
        <f>ROMAN(32017)</f>
        <v/>
      </c>
      <c r="D32018">
        <f>IF(B32018=C32018, "YES", "WRONG")</f>
        <v/>
      </c>
    </row>
    <row r="32019">
      <c r="A32019" t="n">
        <v>32018</v>
      </c>
      <c r="B32019" t="inlineStr">
        <is>
          <t>x̄x̄x̄MMXVIII</t>
        </is>
      </c>
      <c r="C32019">
        <f>ROMAN(32018)</f>
        <v/>
      </c>
      <c r="D32019">
        <f>IF(B32019=C32019, "YES", "WRONG")</f>
        <v/>
      </c>
    </row>
    <row r="32020">
      <c r="A32020" t="n">
        <v>32019</v>
      </c>
      <c r="B32020" t="inlineStr">
        <is>
          <t>x̄x̄x̄MMXIX</t>
        </is>
      </c>
      <c r="C32020">
        <f>ROMAN(32019)</f>
        <v/>
      </c>
      <c r="D32020">
        <f>IF(B32020=C32020, "YES", "WRONG")</f>
        <v/>
      </c>
    </row>
    <row r="32021">
      <c r="A32021" t="n">
        <v>32020</v>
      </c>
      <c r="B32021" t="inlineStr">
        <is>
          <t>x̄x̄x̄MMXX</t>
        </is>
      </c>
      <c r="C32021">
        <f>ROMAN(32020)</f>
        <v/>
      </c>
      <c r="D32021">
        <f>IF(B32021=C32021, "YES", "WRONG")</f>
        <v/>
      </c>
    </row>
    <row r="32022">
      <c r="A32022" t="n">
        <v>32021</v>
      </c>
      <c r="B32022" t="inlineStr">
        <is>
          <t>x̄x̄x̄MMXXI</t>
        </is>
      </c>
      <c r="C32022">
        <f>ROMAN(32021)</f>
        <v/>
      </c>
      <c r="D32022">
        <f>IF(B32022=C32022, "YES", "WRONG")</f>
        <v/>
      </c>
    </row>
    <row r="32023">
      <c r="A32023" t="n">
        <v>32022</v>
      </c>
      <c r="B32023" t="inlineStr">
        <is>
          <t>x̄x̄x̄MMXXII</t>
        </is>
      </c>
      <c r="C32023">
        <f>ROMAN(32022)</f>
        <v/>
      </c>
      <c r="D32023">
        <f>IF(B32023=C32023, "YES", "WRONG")</f>
        <v/>
      </c>
    </row>
    <row r="32024">
      <c r="A32024" t="n">
        <v>32023</v>
      </c>
      <c r="B32024" t="inlineStr">
        <is>
          <t>x̄x̄x̄MMXXIII</t>
        </is>
      </c>
      <c r="C32024">
        <f>ROMAN(32023)</f>
        <v/>
      </c>
      <c r="D32024">
        <f>IF(B32024=C32024, "YES", "WRONG")</f>
        <v/>
      </c>
    </row>
    <row r="32025">
      <c r="A32025" t="n">
        <v>32024</v>
      </c>
      <c r="B32025" t="inlineStr">
        <is>
          <t>x̄x̄x̄MMXXIV</t>
        </is>
      </c>
      <c r="C32025">
        <f>ROMAN(32024)</f>
        <v/>
      </c>
      <c r="D32025">
        <f>IF(B32025=C32025, "YES", "WRONG")</f>
        <v/>
      </c>
    </row>
    <row r="32026">
      <c r="A32026" t="n">
        <v>32025</v>
      </c>
      <c r="B32026" t="inlineStr">
        <is>
          <t>x̄x̄x̄MMXXV</t>
        </is>
      </c>
      <c r="C32026">
        <f>ROMAN(32025)</f>
        <v/>
      </c>
      <c r="D32026">
        <f>IF(B32026=C32026, "YES", "WRONG")</f>
        <v/>
      </c>
    </row>
    <row r="32027">
      <c r="A32027" t="n">
        <v>32026</v>
      </c>
      <c r="B32027" t="inlineStr">
        <is>
          <t>x̄x̄x̄MMXXVI</t>
        </is>
      </c>
      <c r="C32027">
        <f>ROMAN(32026)</f>
        <v/>
      </c>
      <c r="D32027">
        <f>IF(B32027=C32027, "YES", "WRONG")</f>
        <v/>
      </c>
    </row>
    <row r="32028">
      <c r="A32028" t="n">
        <v>32027</v>
      </c>
      <c r="B32028" t="inlineStr">
        <is>
          <t>x̄x̄x̄MMXXVII</t>
        </is>
      </c>
      <c r="C32028">
        <f>ROMAN(32027)</f>
        <v/>
      </c>
      <c r="D32028">
        <f>IF(B32028=C32028, "YES", "WRONG")</f>
        <v/>
      </c>
    </row>
    <row r="32029">
      <c r="A32029" t="n">
        <v>32028</v>
      </c>
      <c r="B32029" t="inlineStr">
        <is>
          <t>x̄x̄x̄MMXXVIII</t>
        </is>
      </c>
      <c r="C32029">
        <f>ROMAN(32028)</f>
        <v/>
      </c>
      <c r="D32029">
        <f>IF(B32029=C32029, "YES", "WRONG")</f>
        <v/>
      </c>
    </row>
    <row r="32030">
      <c r="A32030" t="n">
        <v>32029</v>
      </c>
      <c r="B32030" t="inlineStr">
        <is>
          <t>x̄x̄x̄MMXXIX</t>
        </is>
      </c>
      <c r="C32030">
        <f>ROMAN(32029)</f>
        <v/>
      </c>
      <c r="D32030">
        <f>IF(B32030=C32030, "YES", "WRONG")</f>
        <v/>
      </c>
    </row>
    <row r="32031">
      <c r="A32031" t="n">
        <v>32030</v>
      </c>
      <c r="B32031" t="inlineStr">
        <is>
          <t>x̄x̄x̄MMXXX</t>
        </is>
      </c>
      <c r="C32031">
        <f>ROMAN(32030)</f>
        <v/>
      </c>
      <c r="D32031">
        <f>IF(B32031=C32031, "YES", "WRONG")</f>
        <v/>
      </c>
    </row>
    <row r="32032">
      <c r="A32032" t="n">
        <v>32031</v>
      </c>
      <c r="B32032" t="inlineStr">
        <is>
          <t>x̄x̄x̄MMXXXI</t>
        </is>
      </c>
      <c r="C32032">
        <f>ROMAN(32031)</f>
        <v/>
      </c>
      <c r="D32032">
        <f>IF(B32032=C32032, "YES", "WRONG")</f>
        <v/>
      </c>
    </row>
    <row r="32033">
      <c r="A32033" t="n">
        <v>32032</v>
      </c>
      <c r="B32033" t="inlineStr">
        <is>
          <t>x̄x̄x̄MMXXXII</t>
        </is>
      </c>
      <c r="C32033">
        <f>ROMAN(32032)</f>
        <v/>
      </c>
      <c r="D32033">
        <f>IF(B32033=C32033, "YES", "WRONG")</f>
        <v/>
      </c>
    </row>
    <row r="32034">
      <c r="A32034" t="n">
        <v>32033</v>
      </c>
      <c r="B32034" t="inlineStr">
        <is>
          <t>x̄x̄x̄MMXXXIII</t>
        </is>
      </c>
      <c r="C32034">
        <f>ROMAN(32033)</f>
        <v/>
      </c>
      <c r="D32034">
        <f>IF(B32034=C32034, "YES", "WRONG")</f>
        <v/>
      </c>
    </row>
    <row r="32035">
      <c r="A32035" t="n">
        <v>32034</v>
      </c>
      <c r="B32035" t="inlineStr">
        <is>
          <t>x̄x̄x̄MMXXXIV</t>
        </is>
      </c>
      <c r="C32035">
        <f>ROMAN(32034)</f>
        <v/>
      </c>
      <c r="D32035">
        <f>IF(B32035=C32035, "YES", "WRONG")</f>
        <v/>
      </c>
    </row>
    <row r="32036">
      <c r="A32036" t="n">
        <v>32035</v>
      </c>
      <c r="B32036" t="inlineStr">
        <is>
          <t>x̄x̄x̄MMXXXV</t>
        </is>
      </c>
      <c r="C32036">
        <f>ROMAN(32035)</f>
        <v/>
      </c>
      <c r="D32036">
        <f>IF(B32036=C32036, "YES", "WRONG")</f>
        <v/>
      </c>
    </row>
    <row r="32037">
      <c r="A32037" t="n">
        <v>32036</v>
      </c>
      <c r="B32037" t="inlineStr">
        <is>
          <t>x̄x̄x̄MMXXXVI</t>
        </is>
      </c>
      <c r="C32037">
        <f>ROMAN(32036)</f>
        <v/>
      </c>
      <c r="D32037">
        <f>IF(B32037=C32037, "YES", "WRONG")</f>
        <v/>
      </c>
    </row>
    <row r="32038">
      <c r="A32038" t="n">
        <v>32037</v>
      </c>
      <c r="B32038" t="inlineStr">
        <is>
          <t>x̄x̄x̄MMXXXVII</t>
        </is>
      </c>
      <c r="C32038">
        <f>ROMAN(32037)</f>
        <v/>
      </c>
      <c r="D32038">
        <f>IF(B32038=C32038, "YES", "WRONG")</f>
        <v/>
      </c>
    </row>
    <row r="32039">
      <c r="A32039" t="n">
        <v>32038</v>
      </c>
      <c r="B32039" t="inlineStr">
        <is>
          <t>x̄x̄x̄MMXXXVIII</t>
        </is>
      </c>
      <c r="C32039">
        <f>ROMAN(32038)</f>
        <v/>
      </c>
      <c r="D32039">
        <f>IF(B32039=C32039, "YES", "WRONG")</f>
        <v/>
      </c>
    </row>
    <row r="32040">
      <c r="A32040" t="n">
        <v>32039</v>
      </c>
      <c r="B32040" t="inlineStr">
        <is>
          <t>x̄x̄x̄MMXXXIX</t>
        </is>
      </c>
      <c r="C32040">
        <f>ROMAN(32039)</f>
        <v/>
      </c>
      <c r="D32040">
        <f>IF(B32040=C32040, "YES", "WRONG")</f>
        <v/>
      </c>
    </row>
    <row r="32041">
      <c r="A32041" t="n">
        <v>32040</v>
      </c>
      <c r="B32041" t="inlineStr">
        <is>
          <t>x̄x̄x̄MMXL</t>
        </is>
      </c>
      <c r="C32041">
        <f>ROMAN(32040)</f>
        <v/>
      </c>
      <c r="D32041">
        <f>IF(B32041=C32041, "YES", "WRONG")</f>
        <v/>
      </c>
    </row>
    <row r="32042">
      <c r="A32042" t="n">
        <v>32041</v>
      </c>
      <c r="B32042" t="inlineStr">
        <is>
          <t>x̄x̄x̄MMXLI</t>
        </is>
      </c>
      <c r="C32042">
        <f>ROMAN(32041)</f>
        <v/>
      </c>
      <c r="D32042">
        <f>IF(B32042=C32042, "YES", "WRONG")</f>
        <v/>
      </c>
    </row>
    <row r="32043">
      <c r="A32043" t="n">
        <v>32042</v>
      </c>
      <c r="B32043" t="inlineStr">
        <is>
          <t>x̄x̄x̄MMXLII</t>
        </is>
      </c>
      <c r="C32043">
        <f>ROMAN(32042)</f>
        <v/>
      </c>
      <c r="D32043">
        <f>IF(B32043=C32043, "YES", "WRONG")</f>
        <v/>
      </c>
    </row>
    <row r="32044">
      <c r="A32044" t="n">
        <v>32043</v>
      </c>
      <c r="B32044" t="inlineStr">
        <is>
          <t>x̄x̄x̄MMXLIII</t>
        </is>
      </c>
      <c r="C32044">
        <f>ROMAN(32043)</f>
        <v/>
      </c>
      <c r="D32044">
        <f>IF(B32044=C32044, "YES", "WRONG")</f>
        <v/>
      </c>
    </row>
    <row r="32045">
      <c r="A32045" t="n">
        <v>32044</v>
      </c>
      <c r="B32045" t="inlineStr">
        <is>
          <t>x̄x̄x̄MMXLIV</t>
        </is>
      </c>
      <c r="C32045">
        <f>ROMAN(32044)</f>
        <v/>
      </c>
      <c r="D32045">
        <f>IF(B32045=C32045, "YES", "WRONG")</f>
        <v/>
      </c>
    </row>
    <row r="32046">
      <c r="A32046" t="n">
        <v>32045</v>
      </c>
      <c r="B32046" t="inlineStr">
        <is>
          <t>x̄x̄x̄MMXLV</t>
        </is>
      </c>
      <c r="C32046">
        <f>ROMAN(32045)</f>
        <v/>
      </c>
      <c r="D32046">
        <f>IF(B32046=C32046, "YES", "WRONG")</f>
        <v/>
      </c>
    </row>
    <row r="32047">
      <c r="A32047" t="n">
        <v>32046</v>
      </c>
      <c r="B32047" t="inlineStr">
        <is>
          <t>x̄x̄x̄MMXLVI</t>
        </is>
      </c>
      <c r="C32047">
        <f>ROMAN(32046)</f>
        <v/>
      </c>
      <c r="D32047">
        <f>IF(B32047=C32047, "YES", "WRONG")</f>
        <v/>
      </c>
    </row>
    <row r="32048">
      <c r="A32048" t="n">
        <v>32047</v>
      </c>
      <c r="B32048" t="inlineStr">
        <is>
          <t>x̄x̄x̄MMXLVII</t>
        </is>
      </c>
      <c r="C32048">
        <f>ROMAN(32047)</f>
        <v/>
      </c>
      <c r="D32048">
        <f>IF(B32048=C32048, "YES", "WRONG")</f>
        <v/>
      </c>
    </row>
    <row r="32049">
      <c r="A32049" t="n">
        <v>32048</v>
      </c>
      <c r="B32049" t="inlineStr">
        <is>
          <t>x̄x̄x̄MMXLVIII</t>
        </is>
      </c>
      <c r="C32049">
        <f>ROMAN(32048)</f>
        <v/>
      </c>
      <c r="D32049">
        <f>IF(B32049=C32049, "YES", "WRONG")</f>
        <v/>
      </c>
    </row>
    <row r="32050">
      <c r="A32050" t="n">
        <v>32049</v>
      </c>
      <c r="B32050" t="inlineStr">
        <is>
          <t>x̄x̄x̄MMXLIX</t>
        </is>
      </c>
      <c r="C32050">
        <f>ROMAN(32049)</f>
        <v/>
      </c>
      <c r="D32050">
        <f>IF(B32050=C32050, "YES", "WRONG")</f>
        <v/>
      </c>
    </row>
    <row r="32051">
      <c r="A32051" t="n">
        <v>32050</v>
      </c>
      <c r="B32051" t="inlineStr">
        <is>
          <t>x̄x̄x̄MML</t>
        </is>
      </c>
      <c r="C32051">
        <f>ROMAN(32050)</f>
        <v/>
      </c>
      <c r="D32051">
        <f>IF(B32051=C32051, "YES", "WRONG")</f>
        <v/>
      </c>
    </row>
    <row r="32052">
      <c r="A32052" t="n">
        <v>32051</v>
      </c>
      <c r="B32052" t="inlineStr">
        <is>
          <t>x̄x̄x̄MMLI</t>
        </is>
      </c>
      <c r="C32052">
        <f>ROMAN(32051)</f>
        <v/>
      </c>
      <c r="D32052">
        <f>IF(B32052=C32052, "YES", "WRONG")</f>
        <v/>
      </c>
    </row>
    <row r="32053">
      <c r="A32053" t="n">
        <v>32052</v>
      </c>
      <c r="B32053" t="inlineStr">
        <is>
          <t>x̄x̄x̄MMLII</t>
        </is>
      </c>
      <c r="C32053">
        <f>ROMAN(32052)</f>
        <v/>
      </c>
      <c r="D32053">
        <f>IF(B32053=C32053, "YES", "WRONG")</f>
        <v/>
      </c>
    </row>
    <row r="32054">
      <c r="A32054" t="n">
        <v>32053</v>
      </c>
      <c r="B32054" t="inlineStr">
        <is>
          <t>x̄x̄x̄MMLIII</t>
        </is>
      </c>
      <c r="C32054">
        <f>ROMAN(32053)</f>
        <v/>
      </c>
      <c r="D32054">
        <f>IF(B32054=C32054, "YES", "WRONG")</f>
        <v/>
      </c>
    </row>
    <row r="32055">
      <c r="A32055" t="n">
        <v>32054</v>
      </c>
      <c r="B32055" t="inlineStr">
        <is>
          <t>x̄x̄x̄MMLIV</t>
        </is>
      </c>
      <c r="C32055">
        <f>ROMAN(32054)</f>
        <v/>
      </c>
      <c r="D32055">
        <f>IF(B32055=C32055, "YES", "WRONG")</f>
        <v/>
      </c>
    </row>
    <row r="32056">
      <c r="A32056" t="n">
        <v>32055</v>
      </c>
      <c r="B32056" t="inlineStr">
        <is>
          <t>x̄x̄x̄MMLV</t>
        </is>
      </c>
      <c r="C32056">
        <f>ROMAN(32055)</f>
        <v/>
      </c>
      <c r="D32056">
        <f>IF(B32056=C32056, "YES", "WRONG")</f>
        <v/>
      </c>
    </row>
    <row r="32057">
      <c r="A32057" t="n">
        <v>32056</v>
      </c>
      <c r="B32057" t="inlineStr">
        <is>
          <t>x̄x̄x̄MMLVI</t>
        </is>
      </c>
      <c r="C32057">
        <f>ROMAN(32056)</f>
        <v/>
      </c>
      <c r="D32057">
        <f>IF(B32057=C32057, "YES", "WRONG")</f>
        <v/>
      </c>
    </row>
    <row r="32058">
      <c r="A32058" t="n">
        <v>32057</v>
      </c>
      <c r="B32058" t="inlineStr">
        <is>
          <t>x̄x̄x̄MMLVII</t>
        </is>
      </c>
      <c r="C32058">
        <f>ROMAN(32057)</f>
        <v/>
      </c>
      <c r="D32058">
        <f>IF(B32058=C32058, "YES", "WRONG")</f>
        <v/>
      </c>
    </row>
    <row r="32059">
      <c r="A32059" t="n">
        <v>32058</v>
      </c>
      <c r="B32059" t="inlineStr">
        <is>
          <t>x̄x̄x̄MMLVIII</t>
        </is>
      </c>
      <c r="C32059">
        <f>ROMAN(32058)</f>
        <v/>
      </c>
      <c r="D32059">
        <f>IF(B32059=C32059, "YES", "WRONG")</f>
        <v/>
      </c>
    </row>
    <row r="32060">
      <c r="A32060" t="n">
        <v>32059</v>
      </c>
      <c r="B32060" t="inlineStr">
        <is>
          <t>x̄x̄x̄MMLIX</t>
        </is>
      </c>
      <c r="C32060">
        <f>ROMAN(32059)</f>
        <v/>
      </c>
      <c r="D32060">
        <f>IF(B32060=C32060, "YES", "WRONG")</f>
        <v/>
      </c>
    </row>
    <row r="32061">
      <c r="A32061" t="n">
        <v>32060</v>
      </c>
      <c r="B32061" t="inlineStr">
        <is>
          <t>x̄x̄x̄MMLX</t>
        </is>
      </c>
      <c r="C32061">
        <f>ROMAN(32060)</f>
        <v/>
      </c>
      <c r="D32061">
        <f>IF(B32061=C32061, "YES", "WRONG")</f>
        <v/>
      </c>
    </row>
    <row r="32062">
      <c r="A32062" t="n">
        <v>32061</v>
      </c>
      <c r="B32062" t="inlineStr">
        <is>
          <t>x̄x̄x̄MMLXI</t>
        </is>
      </c>
      <c r="C32062">
        <f>ROMAN(32061)</f>
        <v/>
      </c>
      <c r="D32062">
        <f>IF(B32062=C32062, "YES", "WRONG")</f>
        <v/>
      </c>
    </row>
    <row r="32063">
      <c r="A32063" t="n">
        <v>32062</v>
      </c>
      <c r="B32063" t="inlineStr">
        <is>
          <t>x̄x̄x̄MMLXII</t>
        </is>
      </c>
      <c r="C32063">
        <f>ROMAN(32062)</f>
        <v/>
      </c>
      <c r="D32063">
        <f>IF(B32063=C32063, "YES", "WRONG")</f>
        <v/>
      </c>
    </row>
    <row r="32064">
      <c r="A32064" t="n">
        <v>32063</v>
      </c>
      <c r="B32064" t="inlineStr">
        <is>
          <t>x̄x̄x̄MMLXIII</t>
        </is>
      </c>
      <c r="C32064">
        <f>ROMAN(32063)</f>
        <v/>
      </c>
      <c r="D32064">
        <f>IF(B32064=C32064, "YES", "WRONG")</f>
        <v/>
      </c>
    </row>
    <row r="32065">
      <c r="A32065" t="n">
        <v>32064</v>
      </c>
      <c r="B32065" t="inlineStr">
        <is>
          <t>x̄x̄x̄MMLXIV</t>
        </is>
      </c>
      <c r="C32065">
        <f>ROMAN(32064)</f>
        <v/>
      </c>
      <c r="D32065">
        <f>IF(B32065=C32065, "YES", "WRONG")</f>
        <v/>
      </c>
    </row>
    <row r="32066">
      <c r="A32066" t="n">
        <v>32065</v>
      </c>
      <c r="B32066" t="inlineStr">
        <is>
          <t>x̄x̄x̄MMLXV</t>
        </is>
      </c>
      <c r="C32066">
        <f>ROMAN(32065)</f>
        <v/>
      </c>
      <c r="D32066">
        <f>IF(B32066=C32066, "YES", "WRONG")</f>
        <v/>
      </c>
    </row>
    <row r="32067">
      <c r="A32067" t="n">
        <v>32066</v>
      </c>
      <c r="B32067" t="inlineStr">
        <is>
          <t>x̄x̄x̄MMLXVI</t>
        </is>
      </c>
      <c r="C32067">
        <f>ROMAN(32066)</f>
        <v/>
      </c>
      <c r="D32067">
        <f>IF(B32067=C32067, "YES", "WRONG")</f>
        <v/>
      </c>
    </row>
    <row r="32068">
      <c r="A32068" t="n">
        <v>32067</v>
      </c>
      <c r="B32068" t="inlineStr">
        <is>
          <t>x̄x̄x̄MMLXVII</t>
        </is>
      </c>
      <c r="C32068">
        <f>ROMAN(32067)</f>
        <v/>
      </c>
      <c r="D32068">
        <f>IF(B32068=C32068, "YES", "WRONG")</f>
        <v/>
      </c>
    </row>
    <row r="32069">
      <c r="A32069" t="n">
        <v>32068</v>
      </c>
      <c r="B32069" t="inlineStr">
        <is>
          <t>x̄x̄x̄MMLXVIII</t>
        </is>
      </c>
      <c r="C32069">
        <f>ROMAN(32068)</f>
        <v/>
      </c>
      <c r="D32069">
        <f>IF(B32069=C32069, "YES", "WRONG")</f>
        <v/>
      </c>
    </row>
    <row r="32070">
      <c r="A32070" t="n">
        <v>32069</v>
      </c>
      <c r="B32070" t="inlineStr">
        <is>
          <t>x̄x̄x̄MMLXIX</t>
        </is>
      </c>
      <c r="C32070">
        <f>ROMAN(32069)</f>
        <v/>
      </c>
      <c r="D32070">
        <f>IF(B32070=C32070, "YES", "WRONG")</f>
        <v/>
      </c>
    </row>
    <row r="32071">
      <c r="A32071" t="n">
        <v>32070</v>
      </c>
      <c r="B32071" t="inlineStr">
        <is>
          <t>x̄x̄x̄MMLXX</t>
        </is>
      </c>
      <c r="C32071">
        <f>ROMAN(32070)</f>
        <v/>
      </c>
      <c r="D32071">
        <f>IF(B32071=C32071, "YES", "WRONG")</f>
        <v/>
      </c>
    </row>
    <row r="32072">
      <c r="A32072" t="n">
        <v>32071</v>
      </c>
      <c r="B32072" t="inlineStr">
        <is>
          <t>x̄x̄x̄MMLXXI</t>
        </is>
      </c>
      <c r="C32072">
        <f>ROMAN(32071)</f>
        <v/>
      </c>
      <c r="D32072">
        <f>IF(B32072=C32072, "YES", "WRONG")</f>
        <v/>
      </c>
    </row>
    <row r="32073">
      <c r="A32073" t="n">
        <v>32072</v>
      </c>
      <c r="B32073" t="inlineStr">
        <is>
          <t>x̄x̄x̄MMLXXII</t>
        </is>
      </c>
      <c r="C32073">
        <f>ROMAN(32072)</f>
        <v/>
      </c>
      <c r="D32073">
        <f>IF(B32073=C32073, "YES", "WRONG")</f>
        <v/>
      </c>
    </row>
    <row r="32074">
      <c r="A32074" t="n">
        <v>32073</v>
      </c>
      <c r="B32074" t="inlineStr">
        <is>
          <t>x̄x̄x̄MMLXXIII</t>
        </is>
      </c>
      <c r="C32074">
        <f>ROMAN(32073)</f>
        <v/>
      </c>
      <c r="D32074">
        <f>IF(B32074=C32074, "YES", "WRONG")</f>
        <v/>
      </c>
    </row>
    <row r="32075">
      <c r="A32075" t="n">
        <v>32074</v>
      </c>
      <c r="B32075" t="inlineStr">
        <is>
          <t>x̄x̄x̄MMLXXIV</t>
        </is>
      </c>
      <c r="C32075">
        <f>ROMAN(32074)</f>
        <v/>
      </c>
      <c r="D32075">
        <f>IF(B32075=C32075, "YES", "WRONG")</f>
        <v/>
      </c>
    </row>
    <row r="32076">
      <c r="A32076" t="n">
        <v>32075</v>
      </c>
      <c r="B32076" t="inlineStr">
        <is>
          <t>x̄x̄x̄MMLXXV</t>
        </is>
      </c>
      <c r="C32076">
        <f>ROMAN(32075)</f>
        <v/>
      </c>
      <c r="D32076">
        <f>IF(B32076=C32076, "YES", "WRONG")</f>
        <v/>
      </c>
    </row>
    <row r="32077">
      <c r="A32077" t="n">
        <v>32076</v>
      </c>
      <c r="B32077" t="inlineStr">
        <is>
          <t>x̄x̄x̄MMLXXVI</t>
        </is>
      </c>
      <c r="C32077">
        <f>ROMAN(32076)</f>
        <v/>
      </c>
      <c r="D32077">
        <f>IF(B32077=C32077, "YES", "WRONG")</f>
        <v/>
      </c>
    </row>
    <row r="32078">
      <c r="A32078" t="n">
        <v>32077</v>
      </c>
      <c r="B32078" t="inlineStr">
        <is>
          <t>x̄x̄x̄MMLXXVII</t>
        </is>
      </c>
      <c r="C32078">
        <f>ROMAN(32077)</f>
        <v/>
      </c>
      <c r="D32078">
        <f>IF(B32078=C32078, "YES", "WRONG")</f>
        <v/>
      </c>
    </row>
    <row r="32079">
      <c r="A32079" t="n">
        <v>32078</v>
      </c>
      <c r="B32079" t="inlineStr">
        <is>
          <t>x̄x̄x̄MMLXXVIII</t>
        </is>
      </c>
      <c r="C32079">
        <f>ROMAN(32078)</f>
        <v/>
      </c>
      <c r="D32079">
        <f>IF(B32079=C32079, "YES", "WRONG")</f>
        <v/>
      </c>
    </row>
    <row r="32080">
      <c r="A32080" t="n">
        <v>32079</v>
      </c>
      <c r="B32080" t="inlineStr">
        <is>
          <t>x̄x̄x̄MMLXXIX</t>
        </is>
      </c>
      <c r="C32080">
        <f>ROMAN(32079)</f>
        <v/>
      </c>
      <c r="D32080">
        <f>IF(B32080=C32080, "YES", "WRONG")</f>
        <v/>
      </c>
    </row>
    <row r="32081">
      <c r="A32081" t="n">
        <v>32080</v>
      </c>
      <c r="B32081" t="inlineStr">
        <is>
          <t>x̄x̄x̄MMLXXX</t>
        </is>
      </c>
      <c r="C32081">
        <f>ROMAN(32080)</f>
        <v/>
      </c>
      <c r="D32081">
        <f>IF(B32081=C32081, "YES", "WRONG")</f>
        <v/>
      </c>
    </row>
    <row r="32082">
      <c r="A32082" t="n">
        <v>32081</v>
      </c>
      <c r="B32082" t="inlineStr">
        <is>
          <t>x̄x̄x̄MMLXXXI</t>
        </is>
      </c>
      <c r="C32082">
        <f>ROMAN(32081)</f>
        <v/>
      </c>
      <c r="D32082">
        <f>IF(B32082=C32082, "YES", "WRONG")</f>
        <v/>
      </c>
    </row>
    <row r="32083">
      <c r="A32083" t="n">
        <v>32082</v>
      </c>
      <c r="B32083" t="inlineStr">
        <is>
          <t>x̄x̄x̄MMLXXXII</t>
        </is>
      </c>
      <c r="C32083">
        <f>ROMAN(32082)</f>
        <v/>
      </c>
      <c r="D32083">
        <f>IF(B32083=C32083, "YES", "WRONG")</f>
        <v/>
      </c>
    </row>
    <row r="32084">
      <c r="A32084" t="n">
        <v>32083</v>
      </c>
      <c r="B32084" t="inlineStr">
        <is>
          <t>x̄x̄x̄MMLXXXIII</t>
        </is>
      </c>
      <c r="C32084">
        <f>ROMAN(32083)</f>
        <v/>
      </c>
      <c r="D32084">
        <f>IF(B32084=C32084, "YES", "WRONG")</f>
        <v/>
      </c>
    </row>
    <row r="32085">
      <c r="A32085" t="n">
        <v>32084</v>
      </c>
      <c r="B32085" t="inlineStr">
        <is>
          <t>x̄x̄x̄MMLXXXIV</t>
        </is>
      </c>
      <c r="C32085">
        <f>ROMAN(32084)</f>
        <v/>
      </c>
      <c r="D32085">
        <f>IF(B32085=C32085, "YES", "WRONG")</f>
        <v/>
      </c>
    </row>
    <row r="32086">
      <c r="A32086" t="n">
        <v>32085</v>
      </c>
      <c r="B32086" t="inlineStr">
        <is>
          <t>x̄x̄x̄MMLXXXV</t>
        </is>
      </c>
      <c r="C32086">
        <f>ROMAN(32085)</f>
        <v/>
      </c>
      <c r="D32086">
        <f>IF(B32086=C32086, "YES", "WRONG")</f>
        <v/>
      </c>
    </row>
    <row r="32087">
      <c r="A32087" t="n">
        <v>32086</v>
      </c>
      <c r="B32087" t="inlineStr">
        <is>
          <t>x̄x̄x̄MMLXXXVI</t>
        </is>
      </c>
      <c r="C32087">
        <f>ROMAN(32086)</f>
        <v/>
      </c>
      <c r="D32087">
        <f>IF(B32087=C32087, "YES", "WRONG")</f>
        <v/>
      </c>
    </row>
    <row r="32088">
      <c r="A32088" t="n">
        <v>32087</v>
      </c>
      <c r="B32088" t="inlineStr">
        <is>
          <t>x̄x̄x̄MMLXXXVII</t>
        </is>
      </c>
      <c r="C32088">
        <f>ROMAN(32087)</f>
        <v/>
      </c>
      <c r="D32088">
        <f>IF(B32088=C32088, "YES", "WRONG")</f>
        <v/>
      </c>
    </row>
    <row r="32089">
      <c r="A32089" t="n">
        <v>32088</v>
      </c>
      <c r="B32089" t="inlineStr">
        <is>
          <t>x̄x̄x̄MMLXXXVIII</t>
        </is>
      </c>
      <c r="C32089">
        <f>ROMAN(32088)</f>
        <v/>
      </c>
      <c r="D32089">
        <f>IF(B32089=C32089, "YES", "WRONG")</f>
        <v/>
      </c>
    </row>
    <row r="32090">
      <c r="A32090" t="n">
        <v>32089</v>
      </c>
      <c r="B32090" t="inlineStr">
        <is>
          <t>x̄x̄x̄MMLXXXIX</t>
        </is>
      </c>
      <c r="C32090">
        <f>ROMAN(32089)</f>
        <v/>
      </c>
      <c r="D32090">
        <f>IF(B32090=C32090, "YES", "WRONG")</f>
        <v/>
      </c>
    </row>
    <row r="32091">
      <c r="A32091" t="n">
        <v>32090</v>
      </c>
      <c r="B32091" t="inlineStr">
        <is>
          <t>x̄x̄x̄MMXC</t>
        </is>
      </c>
      <c r="C32091">
        <f>ROMAN(32090)</f>
        <v/>
      </c>
      <c r="D32091">
        <f>IF(B32091=C32091, "YES", "WRONG")</f>
        <v/>
      </c>
    </row>
    <row r="32092">
      <c r="A32092" t="n">
        <v>32091</v>
      </c>
      <c r="B32092" t="inlineStr">
        <is>
          <t>x̄x̄x̄MMXCI</t>
        </is>
      </c>
      <c r="C32092">
        <f>ROMAN(32091)</f>
        <v/>
      </c>
      <c r="D32092">
        <f>IF(B32092=C32092, "YES", "WRONG")</f>
        <v/>
      </c>
    </row>
    <row r="32093">
      <c r="A32093" t="n">
        <v>32092</v>
      </c>
      <c r="B32093" t="inlineStr">
        <is>
          <t>x̄x̄x̄MMXCII</t>
        </is>
      </c>
      <c r="C32093">
        <f>ROMAN(32092)</f>
        <v/>
      </c>
      <c r="D32093">
        <f>IF(B32093=C32093, "YES", "WRONG")</f>
        <v/>
      </c>
    </row>
    <row r="32094">
      <c r="A32094" t="n">
        <v>32093</v>
      </c>
      <c r="B32094" t="inlineStr">
        <is>
          <t>x̄x̄x̄MMXCIII</t>
        </is>
      </c>
      <c r="C32094">
        <f>ROMAN(32093)</f>
        <v/>
      </c>
      <c r="D32094">
        <f>IF(B32094=C32094, "YES", "WRONG")</f>
        <v/>
      </c>
    </row>
    <row r="32095">
      <c r="A32095" t="n">
        <v>32094</v>
      </c>
      <c r="B32095" t="inlineStr">
        <is>
          <t>x̄x̄x̄MMXCIV</t>
        </is>
      </c>
      <c r="C32095">
        <f>ROMAN(32094)</f>
        <v/>
      </c>
      <c r="D32095">
        <f>IF(B32095=C32095, "YES", "WRONG")</f>
        <v/>
      </c>
    </row>
    <row r="32096">
      <c r="A32096" t="n">
        <v>32095</v>
      </c>
      <c r="B32096" t="inlineStr">
        <is>
          <t>x̄x̄x̄MMXCV</t>
        </is>
      </c>
      <c r="C32096">
        <f>ROMAN(32095)</f>
        <v/>
      </c>
      <c r="D32096">
        <f>IF(B32096=C32096, "YES", "WRONG")</f>
        <v/>
      </c>
    </row>
    <row r="32097">
      <c r="A32097" t="n">
        <v>32096</v>
      </c>
      <c r="B32097" t="inlineStr">
        <is>
          <t>x̄x̄x̄MMXCVI</t>
        </is>
      </c>
      <c r="C32097">
        <f>ROMAN(32096)</f>
        <v/>
      </c>
      <c r="D32097">
        <f>IF(B32097=C32097, "YES", "WRONG")</f>
        <v/>
      </c>
    </row>
    <row r="32098">
      <c r="A32098" t="n">
        <v>32097</v>
      </c>
      <c r="B32098" t="inlineStr">
        <is>
          <t>x̄x̄x̄MMXCVII</t>
        </is>
      </c>
      <c r="C32098">
        <f>ROMAN(32097)</f>
        <v/>
      </c>
      <c r="D32098">
        <f>IF(B32098=C32098, "YES", "WRONG")</f>
        <v/>
      </c>
    </row>
    <row r="32099">
      <c r="A32099" t="n">
        <v>32098</v>
      </c>
      <c r="B32099" t="inlineStr">
        <is>
          <t>x̄x̄x̄MMXCVIII</t>
        </is>
      </c>
      <c r="C32099">
        <f>ROMAN(32098)</f>
        <v/>
      </c>
      <c r="D32099">
        <f>IF(B32099=C32099, "YES", "WRONG")</f>
        <v/>
      </c>
    </row>
    <row r="32100">
      <c r="A32100" t="n">
        <v>32099</v>
      </c>
      <c r="B32100" t="inlineStr">
        <is>
          <t>x̄x̄x̄MMXCIX</t>
        </is>
      </c>
      <c r="C32100">
        <f>ROMAN(32099)</f>
        <v/>
      </c>
      <c r="D32100">
        <f>IF(B32100=C32100, "YES", "WRONG")</f>
        <v/>
      </c>
    </row>
    <row r="32101">
      <c r="A32101" t="n">
        <v>32100</v>
      </c>
      <c r="B32101" t="inlineStr">
        <is>
          <t>x̄x̄x̄MMC</t>
        </is>
      </c>
      <c r="C32101">
        <f>ROMAN(32100)</f>
        <v/>
      </c>
      <c r="D32101">
        <f>IF(B32101=C32101, "YES", "WRONG")</f>
        <v/>
      </c>
    </row>
    <row r="32102">
      <c r="A32102" t="n">
        <v>32101</v>
      </c>
      <c r="B32102" t="inlineStr">
        <is>
          <t>x̄x̄x̄MMCI</t>
        </is>
      </c>
      <c r="C32102">
        <f>ROMAN(32101)</f>
        <v/>
      </c>
      <c r="D32102">
        <f>IF(B32102=C32102, "YES", "WRONG")</f>
        <v/>
      </c>
    </row>
    <row r="32103">
      <c r="A32103" t="n">
        <v>32102</v>
      </c>
      <c r="B32103" t="inlineStr">
        <is>
          <t>x̄x̄x̄MMCII</t>
        </is>
      </c>
      <c r="C32103">
        <f>ROMAN(32102)</f>
        <v/>
      </c>
      <c r="D32103">
        <f>IF(B32103=C32103, "YES", "WRONG")</f>
        <v/>
      </c>
    </row>
    <row r="32104">
      <c r="A32104" t="n">
        <v>32103</v>
      </c>
      <c r="B32104" t="inlineStr">
        <is>
          <t>x̄x̄x̄MMCIII</t>
        </is>
      </c>
      <c r="C32104">
        <f>ROMAN(32103)</f>
        <v/>
      </c>
      <c r="D32104">
        <f>IF(B32104=C32104, "YES", "WRONG")</f>
        <v/>
      </c>
    </row>
    <row r="32105">
      <c r="A32105" t="n">
        <v>32104</v>
      </c>
      <c r="B32105" t="inlineStr">
        <is>
          <t>x̄x̄x̄MMCIV</t>
        </is>
      </c>
      <c r="C32105">
        <f>ROMAN(32104)</f>
        <v/>
      </c>
      <c r="D32105">
        <f>IF(B32105=C32105, "YES", "WRONG")</f>
        <v/>
      </c>
    </row>
    <row r="32106">
      <c r="A32106" t="n">
        <v>32105</v>
      </c>
      <c r="B32106" t="inlineStr">
        <is>
          <t>x̄x̄x̄MMCV</t>
        </is>
      </c>
      <c r="C32106">
        <f>ROMAN(32105)</f>
        <v/>
      </c>
      <c r="D32106">
        <f>IF(B32106=C32106, "YES", "WRONG")</f>
        <v/>
      </c>
    </row>
    <row r="32107">
      <c r="A32107" t="n">
        <v>32106</v>
      </c>
      <c r="B32107" t="inlineStr">
        <is>
          <t>x̄x̄x̄MMCVI</t>
        </is>
      </c>
      <c r="C32107">
        <f>ROMAN(32106)</f>
        <v/>
      </c>
      <c r="D32107">
        <f>IF(B32107=C32107, "YES", "WRONG")</f>
        <v/>
      </c>
    </row>
    <row r="32108">
      <c r="A32108" t="n">
        <v>32107</v>
      </c>
      <c r="B32108" t="inlineStr">
        <is>
          <t>x̄x̄x̄MMCVII</t>
        </is>
      </c>
      <c r="C32108">
        <f>ROMAN(32107)</f>
        <v/>
      </c>
      <c r="D32108">
        <f>IF(B32108=C32108, "YES", "WRONG")</f>
        <v/>
      </c>
    </row>
    <row r="32109">
      <c r="A32109" t="n">
        <v>32108</v>
      </c>
      <c r="B32109" t="inlineStr">
        <is>
          <t>x̄x̄x̄MMCVIII</t>
        </is>
      </c>
      <c r="C32109">
        <f>ROMAN(32108)</f>
        <v/>
      </c>
      <c r="D32109">
        <f>IF(B32109=C32109, "YES", "WRONG")</f>
        <v/>
      </c>
    </row>
    <row r="32110">
      <c r="A32110" t="n">
        <v>32109</v>
      </c>
      <c r="B32110" t="inlineStr">
        <is>
          <t>x̄x̄x̄MMCIX</t>
        </is>
      </c>
      <c r="C32110">
        <f>ROMAN(32109)</f>
        <v/>
      </c>
      <c r="D32110">
        <f>IF(B32110=C32110, "YES", "WRONG")</f>
        <v/>
      </c>
    </row>
    <row r="32111">
      <c r="A32111" t="n">
        <v>32110</v>
      </c>
      <c r="B32111" t="inlineStr">
        <is>
          <t>x̄x̄x̄MMCX</t>
        </is>
      </c>
      <c r="C32111">
        <f>ROMAN(32110)</f>
        <v/>
      </c>
      <c r="D32111">
        <f>IF(B32111=C32111, "YES", "WRONG")</f>
        <v/>
      </c>
    </row>
    <row r="32112">
      <c r="A32112" t="n">
        <v>32111</v>
      </c>
      <c r="B32112" t="inlineStr">
        <is>
          <t>x̄x̄x̄MMCXI</t>
        </is>
      </c>
      <c r="C32112">
        <f>ROMAN(32111)</f>
        <v/>
      </c>
      <c r="D32112">
        <f>IF(B32112=C32112, "YES", "WRONG")</f>
        <v/>
      </c>
    </row>
    <row r="32113">
      <c r="A32113" t="n">
        <v>32112</v>
      </c>
      <c r="B32113" t="inlineStr">
        <is>
          <t>x̄x̄x̄MMCXII</t>
        </is>
      </c>
      <c r="C32113">
        <f>ROMAN(32112)</f>
        <v/>
      </c>
      <c r="D32113">
        <f>IF(B32113=C32113, "YES", "WRONG")</f>
        <v/>
      </c>
    </row>
    <row r="32114">
      <c r="A32114" t="n">
        <v>32113</v>
      </c>
      <c r="B32114" t="inlineStr">
        <is>
          <t>x̄x̄x̄MMCXIII</t>
        </is>
      </c>
      <c r="C32114">
        <f>ROMAN(32113)</f>
        <v/>
      </c>
      <c r="D32114">
        <f>IF(B32114=C32114, "YES", "WRONG")</f>
        <v/>
      </c>
    </row>
    <row r="32115">
      <c r="A32115" t="n">
        <v>32114</v>
      </c>
      <c r="B32115" t="inlineStr">
        <is>
          <t>x̄x̄x̄MMCXIV</t>
        </is>
      </c>
      <c r="C32115">
        <f>ROMAN(32114)</f>
        <v/>
      </c>
      <c r="D32115">
        <f>IF(B32115=C32115, "YES", "WRONG")</f>
        <v/>
      </c>
    </row>
    <row r="32116">
      <c r="A32116" t="n">
        <v>32115</v>
      </c>
      <c r="B32116" t="inlineStr">
        <is>
          <t>x̄x̄x̄MMCXV</t>
        </is>
      </c>
      <c r="C32116">
        <f>ROMAN(32115)</f>
        <v/>
      </c>
      <c r="D32116">
        <f>IF(B32116=C32116, "YES", "WRONG")</f>
        <v/>
      </c>
    </row>
    <row r="32117">
      <c r="A32117" t="n">
        <v>32116</v>
      </c>
      <c r="B32117" t="inlineStr">
        <is>
          <t>x̄x̄x̄MMCXVI</t>
        </is>
      </c>
      <c r="C32117">
        <f>ROMAN(32116)</f>
        <v/>
      </c>
      <c r="D32117">
        <f>IF(B32117=C32117, "YES", "WRONG")</f>
        <v/>
      </c>
    </row>
    <row r="32118">
      <c r="A32118" t="n">
        <v>32117</v>
      </c>
      <c r="B32118" t="inlineStr">
        <is>
          <t>x̄x̄x̄MMCXVII</t>
        </is>
      </c>
      <c r="C32118">
        <f>ROMAN(32117)</f>
        <v/>
      </c>
      <c r="D32118">
        <f>IF(B32118=C32118, "YES", "WRONG")</f>
        <v/>
      </c>
    </row>
    <row r="32119">
      <c r="A32119" t="n">
        <v>32118</v>
      </c>
      <c r="B32119" t="inlineStr">
        <is>
          <t>x̄x̄x̄MMCXVIII</t>
        </is>
      </c>
      <c r="C32119">
        <f>ROMAN(32118)</f>
        <v/>
      </c>
      <c r="D32119">
        <f>IF(B32119=C32119, "YES", "WRONG")</f>
        <v/>
      </c>
    </row>
    <row r="32120">
      <c r="A32120" t="n">
        <v>32119</v>
      </c>
      <c r="B32120" t="inlineStr">
        <is>
          <t>x̄x̄x̄MMCXIX</t>
        </is>
      </c>
      <c r="C32120">
        <f>ROMAN(32119)</f>
        <v/>
      </c>
      <c r="D32120">
        <f>IF(B32120=C32120, "YES", "WRONG")</f>
        <v/>
      </c>
    </row>
    <row r="32121">
      <c r="A32121" t="n">
        <v>32120</v>
      </c>
      <c r="B32121" t="inlineStr">
        <is>
          <t>x̄x̄x̄MMCXX</t>
        </is>
      </c>
      <c r="C32121">
        <f>ROMAN(32120)</f>
        <v/>
      </c>
      <c r="D32121">
        <f>IF(B32121=C32121, "YES", "WRONG")</f>
        <v/>
      </c>
    </row>
    <row r="32122">
      <c r="A32122" t="n">
        <v>32121</v>
      </c>
      <c r="B32122" t="inlineStr">
        <is>
          <t>x̄x̄x̄MMCXXI</t>
        </is>
      </c>
      <c r="C32122">
        <f>ROMAN(32121)</f>
        <v/>
      </c>
      <c r="D32122">
        <f>IF(B32122=C32122, "YES", "WRONG")</f>
        <v/>
      </c>
    </row>
    <row r="32123">
      <c r="A32123" t="n">
        <v>32122</v>
      </c>
      <c r="B32123" t="inlineStr">
        <is>
          <t>x̄x̄x̄MMCXXII</t>
        </is>
      </c>
      <c r="C32123">
        <f>ROMAN(32122)</f>
        <v/>
      </c>
      <c r="D32123">
        <f>IF(B32123=C32123, "YES", "WRONG")</f>
        <v/>
      </c>
    </row>
    <row r="32124">
      <c r="A32124" t="n">
        <v>32123</v>
      </c>
      <c r="B32124" t="inlineStr">
        <is>
          <t>x̄x̄x̄MMCXXIII</t>
        </is>
      </c>
      <c r="C32124">
        <f>ROMAN(32123)</f>
        <v/>
      </c>
      <c r="D32124">
        <f>IF(B32124=C32124, "YES", "WRONG")</f>
        <v/>
      </c>
    </row>
    <row r="32125">
      <c r="A32125" t="n">
        <v>32124</v>
      </c>
      <c r="B32125" t="inlineStr">
        <is>
          <t>x̄x̄x̄MMCXXIV</t>
        </is>
      </c>
      <c r="C32125">
        <f>ROMAN(32124)</f>
        <v/>
      </c>
      <c r="D32125">
        <f>IF(B32125=C32125, "YES", "WRONG")</f>
        <v/>
      </c>
    </row>
    <row r="32126">
      <c r="A32126" t="n">
        <v>32125</v>
      </c>
      <c r="B32126" t="inlineStr">
        <is>
          <t>x̄x̄x̄MMCXXV</t>
        </is>
      </c>
      <c r="C32126">
        <f>ROMAN(32125)</f>
        <v/>
      </c>
      <c r="D32126">
        <f>IF(B32126=C32126, "YES", "WRONG")</f>
        <v/>
      </c>
    </row>
    <row r="32127">
      <c r="A32127" t="n">
        <v>32126</v>
      </c>
      <c r="B32127" t="inlineStr">
        <is>
          <t>x̄x̄x̄MMCXXVI</t>
        </is>
      </c>
      <c r="C32127">
        <f>ROMAN(32126)</f>
        <v/>
      </c>
      <c r="D32127">
        <f>IF(B32127=C32127, "YES", "WRONG")</f>
        <v/>
      </c>
    </row>
    <row r="32128">
      <c r="A32128" t="n">
        <v>32127</v>
      </c>
      <c r="B32128" t="inlineStr">
        <is>
          <t>x̄x̄x̄MMCXXVII</t>
        </is>
      </c>
      <c r="C32128">
        <f>ROMAN(32127)</f>
        <v/>
      </c>
      <c r="D32128">
        <f>IF(B32128=C32128, "YES", "WRONG")</f>
        <v/>
      </c>
    </row>
    <row r="32129">
      <c r="A32129" t="n">
        <v>32128</v>
      </c>
      <c r="B32129" t="inlineStr">
        <is>
          <t>x̄x̄x̄MMCXXVIII</t>
        </is>
      </c>
      <c r="C32129">
        <f>ROMAN(32128)</f>
        <v/>
      </c>
      <c r="D32129">
        <f>IF(B32129=C32129, "YES", "WRONG")</f>
        <v/>
      </c>
    </row>
    <row r="32130">
      <c r="A32130" t="n">
        <v>32129</v>
      </c>
      <c r="B32130" t="inlineStr">
        <is>
          <t>x̄x̄x̄MMCXXIX</t>
        </is>
      </c>
      <c r="C32130">
        <f>ROMAN(32129)</f>
        <v/>
      </c>
      <c r="D32130">
        <f>IF(B32130=C32130, "YES", "WRONG")</f>
        <v/>
      </c>
    </row>
    <row r="32131">
      <c r="A32131" t="n">
        <v>32130</v>
      </c>
      <c r="B32131" t="inlineStr">
        <is>
          <t>x̄x̄x̄MMCXXX</t>
        </is>
      </c>
      <c r="C32131">
        <f>ROMAN(32130)</f>
        <v/>
      </c>
      <c r="D32131">
        <f>IF(B32131=C32131, "YES", "WRONG")</f>
        <v/>
      </c>
    </row>
    <row r="32132">
      <c r="A32132" t="n">
        <v>32131</v>
      </c>
      <c r="B32132" t="inlineStr">
        <is>
          <t>x̄x̄x̄MMCXXXI</t>
        </is>
      </c>
      <c r="C32132">
        <f>ROMAN(32131)</f>
        <v/>
      </c>
      <c r="D32132">
        <f>IF(B32132=C32132, "YES", "WRONG")</f>
        <v/>
      </c>
    </row>
    <row r="32133">
      <c r="A32133" t="n">
        <v>32132</v>
      </c>
      <c r="B32133" t="inlineStr">
        <is>
          <t>x̄x̄x̄MMCXXXII</t>
        </is>
      </c>
      <c r="C32133">
        <f>ROMAN(32132)</f>
        <v/>
      </c>
      <c r="D32133">
        <f>IF(B32133=C32133, "YES", "WRONG")</f>
        <v/>
      </c>
    </row>
    <row r="32134">
      <c r="A32134" t="n">
        <v>32133</v>
      </c>
      <c r="B32134" t="inlineStr">
        <is>
          <t>x̄x̄x̄MMCXXXIII</t>
        </is>
      </c>
      <c r="C32134">
        <f>ROMAN(32133)</f>
        <v/>
      </c>
      <c r="D32134">
        <f>IF(B32134=C32134, "YES", "WRONG")</f>
        <v/>
      </c>
    </row>
    <row r="32135">
      <c r="A32135" t="n">
        <v>32134</v>
      </c>
      <c r="B32135" t="inlineStr">
        <is>
          <t>x̄x̄x̄MMCXXXIV</t>
        </is>
      </c>
      <c r="C32135">
        <f>ROMAN(32134)</f>
        <v/>
      </c>
      <c r="D32135">
        <f>IF(B32135=C32135, "YES", "WRONG")</f>
        <v/>
      </c>
    </row>
    <row r="32136">
      <c r="A32136" t="n">
        <v>32135</v>
      </c>
      <c r="B32136" t="inlineStr">
        <is>
          <t>x̄x̄x̄MMCXXXV</t>
        </is>
      </c>
      <c r="C32136">
        <f>ROMAN(32135)</f>
        <v/>
      </c>
      <c r="D32136">
        <f>IF(B32136=C32136, "YES", "WRONG")</f>
        <v/>
      </c>
    </row>
    <row r="32137">
      <c r="A32137" t="n">
        <v>32136</v>
      </c>
      <c r="B32137" t="inlineStr">
        <is>
          <t>x̄x̄x̄MMCXXXVI</t>
        </is>
      </c>
      <c r="C32137">
        <f>ROMAN(32136)</f>
        <v/>
      </c>
      <c r="D32137">
        <f>IF(B32137=C32137, "YES", "WRONG")</f>
        <v/>
      </c>
    </row>
    <row r="32138">
      <c r="A32138" t="n">
        <v>32137</v>
      </c>
      <c r="B32138" t="inlineStr">
        <is>
          <t>x̄x̄x̄MMCXXXVII</t>
        </is>
      </c>
      <c r="C32138">
        <f>ROMAN(32137)</f>
        <v/>
      </c>
      <c r="D32138">
        <f>IF(B32138=C32138, "YES", "WRONG")</f>
        <v/>
      </c>
    </row>
    <row r="32139">
      <c r="A32139" t="n">
        <v>32138</v>
      </c>
      <c r="B32139" t="inlineStr">
        <is>
          <t>x̄x̄x̄MMCXXXVIII</t>
        </is>
      </c>
      <c r="C32139">
        <f>ROMAN(32138)</f>
        <v/>
      </c>
      <c r="D32139">
        <f>IF(B32139=C32139, "YES", "WRONG")</f>
        <v/>
      </c>
    </row>
    <row r="32140">
      <c r="A32140" t="n">
        <v>32139</v>
      </c>
      <c r="B32140" t="inlineStr">
        <is>
          <t>x̄x̄x̄MMCXXXIX</t>
        </is>
      </c>
      <c r="C32140">
        <f>ROMAN(32139)</f>
        <v/>
      </c>
      <c r="D32140">
        <f>IF(B32140=C32140, "YES", "WRONG")</f>
        <v/>
      </c>
    </row>
    <row r="32141">
      <c r="A32141" t="n">
        <v>32140</v>
      </c>
      <c r="B32141" t="inlineStr">
        <is>
          <t>x̄x̄x̄MMCXL</t>
        </is>
      </c>
      <c r="C32141">
        <f>ROMAN(32140)</f>
        <v/>
      </c>
      <c r="D32141">
        <f>IF(B32141=C32141, "YES", "WRONG")</f>
        <v/>
      </c>
    </row>
    <row r="32142">
      <c r="A32142" t="n">
        <v>32141</v>
      </c>
      <c r="B32142" t="inlineStr">
        <is>
          <t>x̄x̄x̄MMCXLI</t>
        </is>
      </c>
      <c r="C32142">
        <f>ROMAN(32141)</f>
        <v/>
      </c>
      <c r="D32142">
        <f>IF(B32142=C32142, "YES", "WRONG")</f>
        <v/>
      </c>
    </row>
    <row r="32143">
      <c r="A32143" t="n">
        <v>32142</v>
      </c>
      <c r="B32143" t="inlineStr">
        <is>
          <t>x̄x̄x̄MMCXLII</t>
        </is>
      </c>
      <c r="C32143">
        <f>ROMAN(32142)</f>
        <v/>
      </c>
      <c r="D32143">
        <f>IF(B32143=C32143, "YES", "WRONG")</f>
        <v/>
      </c>
    </row>
    <row r="32144">
      <c r="A32144" t="n">
        <v>32143</v>
      </c>
      <c r="B32144" t="inlineStr">
        <is>
          <t>x̄x̄x̄MMCXLIII</t>
        </is>
      </c>
      <c r="C32144">
        <f>ROMAN(32143)</f>
        <v/>
      </c>
      <c r="D32144">
        <f>IF(B32144=C32144, "YES", "WRONG")</f>
        <v/>
      </c>
    </row>
    <row r="32145">
      <c r="A32145" t="n">
        <v>32144</v>
      </c>
      <c r="B32145" t="inlineStr">
        <is>
          <t>x̄x̄x̄MMCXLIV</t>
        </is>
      </c>
      <c r="C32145">
        <f>ROMAN(32144)</f>
        <v/>
      </c>
      <c r="D32145">
        <f>IF(B32145=C32145, "YES", "WRONG")</f>
        <v/>
      </c>
    </row>
    <row r="32146">
      <c r="A32146" t="n">
        <v>32145</v>
      </c>
      <c r="B32146" t="inlineStr">
        <is>
          <t>x̄x̄x̄MMCXLV</t>
        </is>
      </c>
      <c r="C32146">
        <f>ROMAN(32145)</f>
        <v/>
      </c>
      <c r="D32146">
        <f>IF(B32146=C32146, "YES", "WRONG")</f>
        <v/>
      </c>
    </row>
    <row r="32147">
      <c r="A32147" t="n">
        <v>32146</v>
      </c>
      <c r="B32147" t="inlineStr">
        <is>
          <t>x̄x̄x̄MMCXLVI</t>
        </is>
      </c>
      <c r="C32147">
        <f>ROMAN(32146)</f>
        <v/>
      </c>
      <c r="D32147">
        <f>IF(B32147=C32147, "YES", "WRONG")</f>
        <v/>
      </c>
    </row>
    <row r="32148">
      <c r="A32148" t="n">
        <v>32147</v>
      </c>
      <c r="B32148" t="inlineStr">
        <is>
          <t>x̄x̄x̄MMCXLVII</t>
        </is>
      </c>
      <c r="C32148">
        <f>ROMAN(32147)</f>
        <v/>
      </c>
      <c r="D32148">
        <f>IF(B32148=C32148, "YES", "WRONG")</f>
        <v/>
      </c>
    </row>
    <row r="32149">
      <c r="A32149" t="n">
        <v>32148</v>
      </c>
      <c r="B32149" t="inlineStr">
        <is>
          <t>x̄x̄x̄MMCXLVIII</t>
        </is>
      </c>
      <c r="C32149">
        <f>ROMAN(32148)</f>
        <v/>
      </c>
      <c r="D32149">
        <f>IF(B32149=C32149, "YES", "WRONG")</f>
        <v/>
      </c>
    </row>
    <row r="32150">
      <c r="A32150" t="n">
        <v>32149</v>
      </c>
      <c r="B32150" t="inlineStr">
        <is>
          <t>x̄x̄x̄MMCXLIX</t>
        </is>
      </c>
      <c r="C32150">
        <f>ROMAN(32149)</f>
        <v/>
      </c>
      <c r="D32150">
        <f>IF(B32150=C32150, "YES", "WRONG")</f>
        <v/>
      </c>
    </row>
    <row r="32151">
      <c r="A32151" t="n">
        <v>32150</v>
      </c>
      <c r="B32151" t="inlineStr">
        <is>
          <t>x̄x̄x̄MMCL</t>
        </is>
      </c>
      <c r="C32151">
        <f>ROMAN(32150)</f>
        <v/>
      </c>
      <c r="D32151">
        <f>IF(B32151=C32151, "YES", "WRONG")</f>
        <v/>
      </c>
    </row>
    <row r="32152">
      <c r="A32152" t="n">
        <v>32151</v>
      </c>
      <c r="B32152" t="inlineStr">
        <is>
          <t>x̄x̄x̄MMCLI</t>
        </is>
      </c>
      <c r="C32152">
        <f>ROMAN(32151)</f>
        <v/>
      </c>
      <c r="D32152">
        <f>IF(B32152=C32152, "YES", "WRONG")</f>
        <v/>
      </c>
    </row>
    <row r="32153">
      <c r="A32153" t="n">
        <v>32152</v>
      </c>
      <c r="B32153" t="inlineStr">
        <is>
          <t>x̄x̄x̄MMCLII</t>
        </is>
      </c>
      <c r="C32153">
        <f>ROMAN(32152)</f>
        <v/>
      </c>
      <c r="D32153">
        <f>IF(B32153=C32153, "YES", "WRONG")</f>
        <v/>
      </c>
    </row>
    <row r="32154">
      <c r="A32154" t="n">
        <v>32153</v>
      </c>
      <c r="B32154" t="inlineStr">
        <is>
          <t>x̄x̄x̄MMCLIII</t>
        </is>
      </c>
      <c r="C32154">
        <f>ROMAN(32153)</f>
        <v/>
      </c>
      <c r="D32154">
        <f>IF(B32154=C32154, "YES", "WRONG")</f>
        <v/>
      </c>
    </row>
    <row r="32155">
      <c r="A32155" t="n">
        <v>32154</v>
      </c>
      <c r="B32155" t="inlineStr">
        <is>
          <t>x̄x̄x̄MMCLIV</t>
        </is>
      </c>
      <c r="C32155">
        <f>ROMAN(32154)</f>
        <v/>
      </c>
      <c r="D32155">
        <f>IF(B32155=C32155, "YES", "WRONG")</f>
        <v/>
      </c>
    </row>
    <row r="32156">
      <c r="A32156" t="n">
        <v>32155</v>
      </c>
      <c r="B32156" t="inlineStr">
        <is>
          <t>x̄x̄x̄MMCLV</t>
        </is>
      </c>
      <c r="C32156">
        <f>ROMAN(32155)</f>
        <v/>
      </c>
      <c r="D32156">
        <f>IF(B32156=C32156, "YES", "WRONG")</f>
        <v/>
      </c>
    </row>
    <row r="32157">
      <c r="A32157" t="n">
        <v>32156</v>
      </c>
      <c r="B32157" t="inlineStr">
        <is>
          <t>x̄x̄x̄MMCLVI</t>
        </is>
      </c>
      <c r="C32157">
        <f>ROMAN(32156)</f>
        <v/>
      </c>
      <c r="D32157">
        <f>IF(B32157=C32157, "YES", "WRONG")</f>
        <v/>
      </c>
    </row>
    <row r="32158">
      <c r="A32158" t="n">
        <v>32157</v>
      </c>
      <c r="B32158" t="inlineStr">
        <is>
          <t>x̄x̄x̄MMCLVII</t>
        </is>
      </c>
      <c r="C32158">
        <f>ROMAN(32157)</f>
        <v/>
      </c>
      <c r="D32158">
        <f>IF(B32158=C32158, "YES", "WRONG")</f>
        <v/>
      </c>
    </row>
    <row r="32159">
      <c r="A32159" t="n">
        <v>32158</v>
      </c>
      <c r="B32159" t="inlineStr">
        <is>
          <t>x̄x̄x̄MMCLVIII</t>
        </is>
      </c>
      <c r="C32159">
        <f>ROMAN(32158)</f>
        <v/>
      </c>
      <c r="D32159">
        <f>IF(B32159=C32159, "YES", "WRONG")</f>
        <v/>
      </c>
    </row>
    <row r="32160">
      <c r="A32160" t="n">
        <v>32159</v>
      </c>
      <c r="B32160" t="inlineStr">
        <is>
          <t>x̄x̄x̄MMCLIX</t>
        </is>
      </c>
      <c r="C32160">
        <f>ROMAN(32159)</f>
        <v/>
      </c>
      <c r="D32160">
        <f>IF(B32160=C32160, "YES", "WRONG")</f>
        <v/>
      </c>
    </row>
    <row r="32161">
      <c r="A32161" t="n">
        <v>32160</v>
      </c>
      <c r="B32161" t="inlineStr">
        <is>
          <t>x̄x̄x̄MMCLX</t>
        </is>
      </c>
      <c r="C32161">
        <f>ROMAN(32160)</f>
        <v/>
      </c>
      <c r="D32161">
        <f>IF(B32161=C32161, "YES", "WRONG")</f>
        <v/>
      </c>
    </row>
    <row r="32162">
      <c r="A32162" t="n">
        <v>32161</v>
      </c>
      <c r="B32162" t="inlineStr">
        <is>
          <t>x̄x̄x̄MMCLXI</t>
        </is>
      </c>
      <c r="C32162">
        <f>ROMAN(32161)</f>
        <v/>
      </c>
      <c r="D32162">
        <f>IF(B32162=C32162, "YES", "WRONG")</f>
        <v/>
      </c>
    </row>
    <row r="32163">
      <c r="A32163" t="n">
        <v>32162</v>
      </c>
      <c r="B32163" t="inlineStr">
        <is>
          <t>x̄x̄x̄MMCLXII</t>
        </is>
      </c>
      <c r="C32163">
        <f>ROMAN(32162)</f>
        <v/>
      </c>
      <c r="D32163">
        <f>IF(B32163=C32163, "YES", "WRONG")</f>
        <v/>
      </c>
    </row>
    <row r="32164">
      <c r="A32164" t="n">
        <v>32163</v>
      </c>
      <c r="B32164" t="inlineStr">
        <is>
          <t>x̄x̄x̄MMCLXIII</t>
        </is>
      </c>
      <c r="C32164">
        <f>ROMAN(32163)</f>
        <v/>
      </c>
      <c r="D32164">
        <f>IF(B32164=C32164, "YES", "WRONG")</f>
        <v/>
      </c>
    </row>
    <row r="32165">
      <c r="A32165" t="n">
        <v>32164</v>
      </c>
      <c r="B32165" t="inlineStr">
        <is>
          <t>x̄x̄x̄MMCLXIV</t>
        </is>
      </c>
      <c r="C32165">
        <f>ROMAN(32164)</f>
        <v/>
      </c>
      <c r="D32165">
        <f>IF(B32165=C32165, "YES", "WRONG")</f>
        <v/>
      </c>
    </row>
    <row r="32166">
      <c r="A32166" t="n">
        <v>32165</v>
      </c>
      <c r="B32166" t="inlineStr">
        <is>
          <t>x̄x̄x̄MMCLXV</t>
        </is>
      </c>
      <c r="C32166">
        <f>ROMAN(32165)</f>
        <v/>
      </c>
      <c r="D32166">
        <f>IF(B32166=C32166, "YES", "WRONG")</f>
        <v/>
      </c>
    </row>
    <row r="32167">
      <c r="A32167" t="n">
        <v>32166</v>
      </c>
      <c r="B32167" t="inlineStr">
        <is>
          <t>x̄x̄x̄MMCLXVI</t>
        </is>
      </c>
      <c r="C32167">
        <f>ROMAN(32166)</f>
        <v/>
      </c>
      <c r="D32167">
        <f>IF(B32167=C32167, "YES", "WRONG")</f>
        <v/>
      </c>
    </row>
    <row r="32168">
      <c r="A32168" t="n">
        <v>32167</v>
      </c>
      <c r="B32168" t="inlineStr">
        <is>
          <t>x̄x̄x̄MMCLXVII</t>
        </is>
      </c>
      <c r="C32168">
        <f>ROMAN(32167)</f>
        <v/>
      </c>
      <c r="D32168">
        <f>IF(B32168=C32168, "YES", "WRONG")</f>
        <v/>
      </c>
    </row>
    <row r="32169">
      <c r="A32169" t="n">
        <v>32168</v>
      </c>
      <c r="B32169" t="inlineStr">
        <is>
          <t>x̄x̄x̄MMCLXVIII</t>
        </is>
      </c>
      <c r="C32169">
        <f>ROMAN(32168)</f>
        <v/>
      </c>
      <c r="D32169">
        <f>IF(B32169=C32169, "YES", "WRONG")</f>
        <v/>
      </c>
    </row>
    <row r="32170">
      <c r="A32170" t="n">
        <v>32169</v>
      </c>
      <c r="B32170" t="inlineStr">
        <is>
          <t>x̄x̄x̄MMCLXIX</t>
        </is>
      </c>
      <c r="C32170">
        <f>ROMAN(32169)</f>
        <v/>
      </c>
      <c r="D32170">
        <f>IF(B32170=C32170, "YES", "WRONG")</f>
        <v/>
      </c>
    </row>
    <row r="32171">
      <c r="A32171" t="n">
        <v>32170</v>
      </c>
      <c r="B32171" t="inlineStr">
        <is>
          <t>x̄x̄x̄MMCLXX</t>
        </is>
      </c>
      <c r="C32171">
        <f>ROMAN(32170)</f>
        <v/>
      </c>
      <c r="D32171">
        <f>IF(B32171=C32171, "YES", "WRONG")</f>
        <v/>
      </c>
    </row>
    <row r="32172">
      <c r="A32172" t="n">
        <v>32171</v>
      </c>
      <c r="B32172" t="inlineStr">
        <is>
          <t>x̄x̄x̄MMCLXXI</t>
        </is>
      </c>
      <c r="C32172">
        <f>ROMAN(32171)</f>
        <v/>
      </c>
      <c r="D32172">
        <f>IF(B32172=C32172, "YES", "WRONG")</f>
        <v/>
      </c>
    </row>
    <row r="32173">
      <c r="A32173" t="n">
        <v>32172</v>
      </c>
      <c r="B32173" t="inlineStr">
        <is>
          <t>x̄x̄x̄MMCLXXII</t>
        </is>
      </c>
      <c r="C32173">
        <f>ROMAN(32172)</f>
        <v/>
      </c>
      <c r="D32173">
        <f>IF(B32173=C32173, "YES", "WRONG")</f>
        <v/>
      </c>
    </row>
    <row r="32174">
      <c r="A32174" t="n">
        <v>32173</v>
      </c>
      <c r="B32174" t="inlineStr">
        <is>
          <t>x̄x̄x̄MMCLXXIII</t>
        </is>
      </c>
      <c r="C32174">
        <f>ROMAN(32173)</f>
        <v/>
      </c>
      <c r="D32174">
        <f>IF(B32174=C32174, "YES", "WRONG")</f>
        <v/>
      </c>
    </row>
    <row r="32175">
      <c r="A32175" t="n">
        <v>32174</v>
      </c>
      <c r="B32175" t="inlineStr">
        <is>
          <t>x̄x̄x̄MMCLXXIV</t>
        </is>
      </c>
      <c r="C32175">
        <f>ROMAN(32174)</f>
        <v/>
      </c>
      <c r="D32175">
        <f>IF(B32175=C32175, "YES", "WRONG")</f>
        <v/>
      </c>
    </row>
    <row r="32176">
      <c r="A32176" t="n">
        <v>32175</v>
      </c>
      <c r="B32176" t="inlineStr">
        <is>
          <t>x̄x̄x̄MMCLXXV</t>
        </is>
      </c>
      <c r="C32176">
        <f>ROMAN(32175)</f>
        <v/>
      </c>
      <c r="D32176">
        <f>IF(B32176=C32176, "YES", "WRONG")</f>
        <v/>
      </c>
    </row>
    <row r="32177">
      <c r="A32177" t="n">
        <v>32176</v>
      </c>
      <c r="B32177" t="inlineStr">
        <is>
          <t>x̄x̄x̄MMCLXXVI</t>
        </is>
      </c>
      <c r="C32177">
        <f>ROMAN(32176)</f>
        <v/>
      </c>
      <c r="D32177">
        <f>IF(B32177=C32177, "YES", "WRONG")</f>
        <v/>
      </c>
    </row>
    <row r="32178">
      <c r="A32178" t="n">
        <v>32177</v>
      </c>
      <c r="B32178" t="inlineStr">
        <is>
          <t>x̄x̄x̄MMCLXXVII</t>
        </is>
      </c>
      <c r="C32178">
        <f>ROMAN(32177)</f>
        <v/>
      </c>
      <c r="D32178">
        <f>IF(B32178=C32178, "YES", "WRONG")</f>
        <v/>
      </c>
    </row>
    <row r="32179">
      <c r="A32179" t="n">
        <v>32178</v>
      </c>
      <c r="B32179" t="inlineStr">
        <is>
          <t>x̄x̄x̄MMCLXXVIII</t>
        </is>
      </c>
      <c r="C32179">
        <f>ROMAN(32178)</f>
        <v/>
      </c>
      <c r="D32179">
        <f>IF(B32179=C32179, "YES", "WRONG")</f>
        <v/>
      </c>
    </row>
    <row r="32180">
      <c r="A32180" t="n">
        <v>32179</v>
      </c>
      <c r="B32180" t="inlineStr">
        <is>
          <t>x̄x̄x̄MMCLXXIX</t>
        </is>
      </c>
      <c r="C32180">
        <f>ROMAN(32179)</f>
        <v/>
      </c>
      <c r="D32180">
        <f>IF(B32180=C32180, "YES", "WRONG")</f>
        <v/>
      </c>
    </row>
    <row r="32181">
      <c r="A32181" t="n">
        <v>32180</v>
      </c>
      <c r="B32181" t="inlineStr">
        <is>
          <t>x̄x̄x̄MMCLXXX</t>
        </is>
      </c>
      <c r="C32181">
        <f>ROMAN(32180)</f>
        <v/>
      </c>
      <c r="D32181">
        <f>IF(B32181=C32181, "YES", "WRONG")</f>
        <v/>
      </c>
    </row>
    <row r="32182">
      <c r="A32182" t="n">
        <v>32181</v>
      </c>
      <c r="B32182" t="inlineStr">
        <is>
          <t>x̄x̄x̄MMCLXXXI</t>
        </is>
      </c>
      <c r="C32182">
        <f>ROMAN(32181)</f>
        <v/>
      </c>
      <c r="D32182">
        <f>IF(B32182=C32182, "YES", "WRONG")</f>
        <v/>
      </c>
    </row>
    <row r="32183">
      <c r="A32183" t="n">
        <v>32182</v>
      </c>
      <c r="B32183" t="inlineStr">
        <is>
          <t>x̄x̄x̄MMCLXXXII</t>
        </is>
      </c>
      <c r="C32183">
        <f>ROMAN(32182)</f>
        <v/>
      </c>
      <c r="D32183">
        <f>IF(B32183=C32183, "YES", "WRONG")</f>
        <v/>
      </c>
    </row>
    <row r="32184">
      <c r="A32184" t="n">
        <v>32183</v>
      </c>
      <c r="B32184" t="inlineStr">
        <is>
          <t>x̄x̄x̄MMCLXXXIII</t>
        </is>
      </c>
      <c r="C32184">
        <f>ROMAN(32183)</f>
        <v/>
      </c>
      <c r="D32184">
        <f>IF(B32184=C32184, "YES", "WRONG")</f>
        <v/>
      </c>
    </row>
    <row r="32185">
      <c r="A32185" t="n">
        <v>32184</v>
      </c>
      <c r="B32185" t="inlineStr">
        <is>
          <t>x̄x̄x̄MMCLXXXIV</t>
        </is>
      </c>
      <c r="C32185">
        <f>ROMAN(32184)</f>
        <v/>
      </c>
      <c r="D32185">
        <f>IF(B32185=C32185, "YES", "WRONG")</f>
        <v/>
      </c>
    </row>
    <row r="32186">
      <c r="A32186" t="n">
        <v>32185</v>
      </c>
      <c r="B32186" t="inlineStr">
        <is>
          <t>x̄x̄x̄MMCLXXXV</t>
        </is>
      </c>
      <c r="C32186">
        <f>ROMAN(32185)</f>
        <v/>
      </c>
      <c r="D32186">
        <f>IF(B32186=C32186, "YES", "WRONG")</f>
        <v/>
      </c>
    </row>
    <row r="32187">
      <c r="A32187" t="n">
        <v>32186</v>
      </c>
      <c r="B32187" t="inlineStr">
        <is>
          <t>x̄x̄x̄MMCLXXXVI</t>
        </is>
      </c>
      <c r="C32187">
        <f>ROMAN(32186)</f>
        <v/>
      </c>
      <c r="D32187">
        <f>IF(B32187=C32187, "YES", "WRONG")</f>
        <v/>
      </c>
    </row>
    <row r="32188">
      <c r="A32188" t="n">
        <v>32187</v>
      </c>
      <c r="B32188" t="inlineStr">
        <is>
          <t>x̄x̄x̄MMCLXXXVII</t>
        </is>
      </c>
      <c r="C32188">
        <f>ROMAN(32187)</f>
        <v/>
      </c>
      <c r="D32188">
        <f>IF(B32188=C32188, "YES", "WRONG")</f>
        <v/>
      </c>
    </row>
    <row r="32189">
      <c r="A32189" t="n">
        <v>32188</v>
      </c>
      <c r="B32189" t="inlineStr">
        <is>
          <t>x̄x̄x̄MMCLXXXVIII</t>
        </is>
      </c>
      <c r="C32189">
        <f>ROMAN(32188)</f>
        <v/>
      </c>
      <c r="D32189">
        <f>IF(B32189=C32189, "YES", "WRONG")</f>
        <v/>
      </c>
    </row>
    <row r="32190">
      <c r="A32190" t="n">
        <v>32189</v>
      </c>
      <c r="B32190" t="inlineStr">
        <is>
          <t>x̄x̄x̄MMCLXXXIX</t>
        </is>
      </c>
      <c r="C32190">
        <f>ROMAN(32189)</f>
        <v/>
      </c>
      <c r="D32190">
        <f>IF(B32190=C32190, "YES", "WRONG")</f>
        <v/>
      </c>
    </row>
    <row r="32191">
      <c r="A32191" t="n">
        <v>32190</v>
      </c>
      <c r="B32191" t="inlineStr">
        <is>
          <t>x̄x̄x̄MMCXC</t>
        </is>
      </c>
      <c r="C32191">
        <f>ROMAN(32190)</f>
        <v/>
      </c>
      <c r="D32191">
        <f>IF(B32191=C32191, "YES", "WRONG")</f>
        <v/>
      </c>
    </row>
    <row r="32192">
      <c r="A32192" t="n">
        <v>32191</v>
      </c>
      <c r="B32192" t="inlineStr">
        <is>
          <t>x̄x̄x̄MMCXCI</t>
        </is>
      </c>
      <c r="C32192">
        <f>ROMAN(32191)</f>
        <v/>
      </c>
      <c r="D32192">
        <f>IF(B32192=C32192, "YES", "WRONG")</f>
        <v/>
      </c>
    </row>
    <row r="32193">
      <c r="A32193" t="n">
        <v>32192</v>
      </c>
      <c r="B32193" t="inlineStr">
        <is>
          <t>x̄x̄x̄MMCXCII</t>
        </is>
      </c>
      <c r="C32193">
        <f>ROMAN(32192)</f>
        <v/>
      </c>
      <c r="D32193">
        <f>IF(B32193=C32193, "YES", "WRONG")</f>
        <v/>
      </c>
    </row>
    <row r="32194">
      <c r="A32194" t="n">
        <v>32193</v>
      </c>
      <c r="B32194" t="inlineStr">
        <is>
          <t>x̄x̄x̄MMCXCIII</t>
        </is>
      </c>
      <c r="C32194">
        <f>ROMAN(32193)</f>
        <v/>
      </c>
      <c r="D32194">
        <f>IF(B32194=C32194, "YES", "WRONG")</f>
        <v/>
      </c>
    </row>
    <row r="32195">
      <c r="A32195" t="n">
        <v>32194</v>
      </c>
      <c r="B32195" t="inlineStr">
        <is>
          <t>x̄x̄x̄MMCXCIV</t>
        </is>
      </c>
      <c r="C32195">
        <f>ROMAN(32194)</f>
        <v/>
      </c>
      <c r="D32195">
        <f>IF(B32195=C32195, "YES", "WRONG")</f>
        <v/>
      </c>
    </row>
    <row r="32196">
      <c r="A32196" t="n">
        <v>32195</v>
      </c>
      <c r="B32196" t="inlineStr">
        <is>
          <t>x̄x̄x̄MMCXCV</t>
        </is>
      </c>
      <c r="C32196">
        <f>ROMAN(32195)</f>
        <v/>
      </c>
      <c r="D32196">
        <f>IF(B32196=C32196, "YES", "WRONG")</f>
        <v/>
      </c>
    </row>
    <row r="32197">
      <c r="A32197" t="n">
        <v>32196</v>
      </c>
      <c r="B32197" t="inlineStr">
        <is>
          <t>x̄x̄x̄MMCXCVI</t>
        </is>
      </c>
      <c r="C32197">
        <f>ROMAN(32196)</f>
        <v/>
      </c>
      <c r="D32197">
        <f>IF(B32197=C32197, "YES", "WRONG")</f>
        <v/>
      </c>
    </row>
    <row r="32198">
      <c r="A32198" t="n">
        <v>32197</v>
      </c>
      <c r="B32198" t="inlineStr">
        <is>
          <t>x̄x̄x̄MMCXCVII</t>
        </is>
      </c>
      <c r="C32198">
        <f>ROMAN(32197)</f>
        <v/>
      </c>
      <c r="D32198">
        <f>IF(B32198=C32198, "YES", "WRONG")</f>
        <v/>
      </c>
    </row>
    <row r="32199">
      <c r="A32199" t="n">
        <v>32198</v>
      </c>
      <c r="B32199" t="inlineStr">
        <is>
          <t>x̄x̄x̄MMCXCVIII</t>
        </is>
      </c>
      <c r="C32199">
        <f>ROMAN(32198)</f>
        <v/>
      </c>
      <c r="D32199">
        <f>IF(B32199=C32199, "YES", "WRONG")</f>
        <v/>
      </c>
    </row>
    <row r="32200">
      <c r="A32200" t="n">
        <v>32199</v>
      </c>
      <c r="B32200" t="inlineStr">
        <is>
          <t>x̄x̄x̄MMCXCIX</t>
        </is>
      </c>
      <c r="C32200">
        <f>ROMAN(32199)</f>
        <v/>
      </c>
      <c r="D32200">
        <f>IF(B32200=C32200, "YES", "WRONG")</f>
        <v/>
      </c>
    </row>
    <row r="32201">
      <c r="A32201" t="n">
        <v>32200</v>
      </c>
      <c r="B32201" t="inlineStr">
        <is>
          <t>x̄x̄x̄MMCC</t>
        </is>
      </c>
      <c r="C32201">
        <f>ROMAN(32200)</f>
        <v/>
      </c>
      <c r="D32201">
        <f>IF(B32201=C32201, "YES", "WRONG")</f>
        <v/>
      </c>
    </row>
    <row r="32202">
      <c r="A32202" t="n">
        <v>32201</v>
      </c>
      <c r="B32202" t="inlineStr">
        <is>
          <t>x̄x̄x̄MMCCI</t>
        </is>
      </c>
      <c r="C32202">
        <f>ROMAN(32201)</f>
        <v/>
      </c>
      <c r="D32202">
        <f>IF(B32202=C32202, "YES", "WRONG")</f>
        <v/>
      </c>
    </row>
    <row r="32203">
      <c r="A32203" t="n">
        <v>32202</v>
      </c>
      <c r="B32203" t="inlineStr">
        <is>
          <t>x̄x̄x̄MMCCII</t>
        </is>
      </c>
      <c r="C32203">
        <f>ROMAN(32202)</f>
        <v/>
      </c>
      <c r="D32203">
        <f>IF(B32203=C32203, "YES", "WRONG")</f>
        <v/>
      </c>
    </row>
    <row r="32204">
      <c r="A32204" t="n">
        <v>32203</v>
      </c>
      <c r="B32204" t="inlineStr">
        <is>
          <t>x̄x̄x̄MMCCIII</t>
        </is>
      </c>
      <c r="C32204">
        <f>ROMAN(32203)</f>
        <v/>
      </c>
      <c r="D32204">
        <f>IF(B32204=C32204, "YES", "WRONG")</f>
        <v/>
      </c>
    </row>
    <row r="32205">
      <c r="A32205" t="n">
        <v>32204</v>
      </c>
      <c r="B32205" t="inlineStr">
        <is>
          <t>x̄x̄x̄MMCCIV</t>
        </is>
      </c>
      <c r="C32205">
        <f>ROMAN(32204)</f>
        <v/>
      </c>
      <c r="D32205">
        <f>IF(B32205=C32205, "YES", "WRONG")</f>
        <v/>
      </c>
    </row>
    <row r="32206">
      <c r="A32206" t="n">
        <v>32205</v>
      </c>
      <c r="B32206" t="inlineStr">
        <is>
          <t>x̄x̄x̄MMCCV</t>
        </is>
      </c>
      <c r="C32206">
        <f>ROMAN(32205)</f>
        <v/>
      </c>
      <c r="D32206">
        <f>IF(B32206=C32206, "YES", "WRONG")</f>
        <v/>
      </c>
    </row>
    <row r="32207">
      <c r="A32207" t="n">
        <v>32206</v>
      </c>
      <c r="B32207" t="inlineStr">
        <is>
          <t>x̄x̄x̄MMCCVI</t>
        </is>
      </c>
      <c r="C32207">
        <f>ROMAN(32206)</f>
        <v/>
      </c>
      <c r="D32207">
        <f>IF(B32207=C32207, "YES", "WRONG")</f>
        <v/>
      </c>
    </row>
    <row r="32208">
      <c r="A32208" t="n">
        <v>32207</v>
      </c>
      <c r="B32208" t="inlineStr">
        <is>
          <t>x̄x̄x̄MMCCVII</t>
        </is>
      </c>
      <c r="C32208">
        <f>ROMAN(32207)</f>
        <v/>
      </c>
      <c r="D32208">
        <f>IF(B32208=C32208, "YES", "WRONG")</f>
        <v/>
      </c>
    </row>
    <row r="32209">
      <c r="A32209" t="n">
        <v>32208</v>
      </c>
      <c r="B32209" t="inlineStr">
        <is>
          <t>x̄x̄x̄MMCCVIII</t>
        </is>
      </c>
      <c r="C32209">
        <f>ROMAN(32208)</f>
        <v/>
      </c>
      <c r="D32209">
        <f>IF(B32209=C32209, "YES", "WRONG")</f>
        <v/>
      </c>
    </row>
    <row r="32210">
      <c r="A32210" t="n">
        <v>32209</v>
      </c>
      <c r="B32210" t="inlineStr">
        <is>
          <t>x̄x̄x̄MMCCIX</t>
        </is>
      </c>
      <c r="C32210">
        <f>ROMAN(32209)</f>
        <v/>
      </c>
      <c r="D32210">
        <f>IF(B32210=C32210, "YES", "WRONG")</f>
        <v/>
      </c>
    </row>
    <row r="32211">
      <c r="A32211" t="n">
        <v>32210</v>
      </c>
      <c r="B32211" t="inlineStr">
        <is>
          <t>x̄x̄x̄MMCCX</t>
        </is>
      </c>
      <c r="C32211">
        <f>ROMAN(32210)</f>
        <v/>
      </c>
      <c r="D32211">
        <f>IF(B32211=C32211, "YES", "WRONG")</f>
        <v/>
      </c>
    </row>
    <row r="32212">
      <c r="A32212" t="n">
        <v>32211</v>
      </c>
      <c r="B32212" t="inlineStr">
        <is>
          <t>x̄x̄x̄MMCCXI</t>
        </is>
      </c>
      <c r="C32212">
        <f>ROMAN(32211)</f>
        <v/>
      </c>
      <c r="D32212">
        <f>IF(B32212=C32212, "YES", "WRONG")</f>
        <v/>
      </c>
    </row>
    <row r="32213">
      <c r="A32213" t="n">
        <v>32212</v>
      </c>
      <c r="B32213" t="inlineStr">
        <is>
          <t>x̄x̄x̄MMCCXII</t>
        </is>
      </c>
      <c r="C32213">
        <f>ROMAN(32212)</f>
        <v/>
      </c>
      <c r="D32213">
        <f>IF(B32213=C32213, "YES", "WRONG")</f>
        <v/>
      </c>
    </row>
    <row r="32214">
      <c r="A32214" t="n">
        <v>32213</v>
      </c>
      <c r="B32214" t="inlineStr">
        <is>
          <t>x̄x̄x̄MMCCXIII</t>
        </is>
      </c>
      <c r="C32214">
        <f>ROMAN(32213)</f>
        <v/>
      </c>
      <c r="D32214">
        <f>IF(B32214=C32214, "YES", "WRONG")</f>
        <v/>
      </c>
    </row>
    <row r="32215">
      <c r="A32215" t="n">
        <v>32214</v>
      </c>
      <c r="B32215" t="inlineStr">
        <is>
          <t>x̄x̄x̄MMCCXIV</t>
        </is>
      </c>
      <c r="C32215">
        <f>ROMAN(32214)</f>
        <v/>
      </c>
      <c r="D32215">
        <f>IF(B32215=C32215, "YES", "WRONG")</f>
        <v/>
      </c>
    </row>
    <row r="32216">
      <c r="A32216" t="n">
        <v>32215</v>
      </c>
      <c r="B32216" t="inlineStr">
        <is>
          <t>x̄x̄x̄MMCCXV</t>
        </is>
      </c>
      <c r="C32216">
        <f>ROMAN(32215)</f>
        <v/>
      </c>
      <c r="D32216">
        <f>IF(B32216=C32216, "YES", "WRONG")</f>
        <v/>
      </c>
    </row>
    <row r="32217">
      <c r="A32217" t="n">
        <v>32216</v>
      </c>
      <c r="B32217" t="inlineStr">
        <is>
          <t>x̄x̄x̄MMCCXVI</t>
        </is>
      </c>
      <c r="C32217">
        <f>ROMAN(32216)</f>
        <v/>
      </c>
      <c r="D32217">
        <f>IF(B32217=C32217, "YES", "WRONG")</f>
        <v/>
      </c>
    </row>
    <row r="32218">
      <c r="A32218" t="n">
        <v>32217</v>
      </c>
      <c r="B32218" t="inlineStr">
        <is>
          <t>x̄x̄x̄MMCCXVII</t>
        </is>
      </c>
      <c r="C32218">
        <f>ROMAN(32217)</f>
        <v/>
      </c>
      <c r="D32218">
        <f>IF(B32218=C32218, "YES", "WRONG")</f>
        <v/>
      </c>
    </row>
    <row r="32219">
      <c r="A32219" t="n">
        <v>32218</v>
      </c>
      <c r="B32219" t="inlineStr">
        <is>
          <t>x̄x̄x̄MMCCXVIII</t>
        </is>
      </c>
      <c r="C32219">
        <f>ROMAN(32218)</f>
        <v/>
      </c>
      <c r="D32219">
        <f>IF(B32219=C32219, "YES", "WRONG")</f>
        <v/>
      </c>
    </row>
    <row r="32220">
      <c r="A32220" t="n">
        <v>32219</v>
      </c>
      <c r="B32220" t="inlineStr">
        <is>
          <t>x̄x̄x̄MMCCXIX</t>
        </is>
      </c>
      <c r="C32220">
        <f>ROMAN(32219)</f>
        <v/>
      </c>
      <c r="D32220">
        <f>IF(B32220=C32220, "YES", "WRONG")</f>
        <v/>
      </c>
    </row>
    <row r="32221">
      <c r="A32221" t="n">
        <v>32220</v>
      </c>
      <c r="B32221" t="inlineStr">
        <is>
          <t>x̄x̄x̄MMCCXX</t>
        </is>
      </c>
      <c r="C32221">
        <f>ROMAN(32220)</f>
        <v/>
      </c>
      <c r="D32221">
        <f>IF(B32221=C32221, "YES", "WRONG")</f>
        <v/>
      </c>
    </row>
    <row r="32222">
      <c r="A32222" t="n">
        <v>32221</v>
      </c>
      <c r="B32222" t="inlineStr">
        <is>
          <t>x̄x̄x̄MMCCXXI</t>
        </is>
      </c>
      <c r="C32222">
        <f>ROMAN(32221)</f>
        <v/>
      </c>
      <c r="D32222">
        <f>IF(B32222=C32222, "YES", "WRONG")</f>
        <v/>
      </c>
    </row>
    <row r="32223">
      <c r="A32223" t="n">
        <v>32222</v>
      </c>
      <c r="B32223" t="inlineStr">
        <is>
          <t>x̄x̄x̄MMCCXXII</t>
        </is>
      </c>
      <c r="C32223">
        <f>ROMAN(32222)</f>
        <v/>
      </c>
      <c r="D32223">
        <f>IF(B32223=C32223, "YES", "WRONG")</f>
        <v/>
      </c>
    </row>
    <row r="32224">
      <c r="A32224" t="n">
        <v>32223</v>
      </c>
      <c r="B32224" t="inlineStr">
        <is>
          <t>x̄x̄x̄MMCCXXIII</t>
        </is>
      </c>
      <c r="C32224">
        <f>ROMAN(32223)</f>
        <v/>
      </c>
      <c r="D32224">
        <f>IF(B32224=C32224, "YES", "WRONG")</f>
        <v/>
      </c>
    </row>
    <row r="32225">
      <c r="A32225" t="n">
        <v>32224</v>
      </c>
      <c r="B32225" t="inlineStr">
        <is>
          <t>x̄x̄x̄MMCCXXIV</t>
        </is>
      </c>
      <c r="C32225">
        <f>ROMAN(32224)</f>
        <v/>
      </c>
      <c r="D32225">
        <f>IF(B32225=C32225, "YES", "WRONG")</f>
        <v/>
      </c>
    </row>
    <row r="32226">
      <c r="A32226" t="n">
        <v>32225</v>
      </c>
      <c r="B32226" t="inlineStr">
        <is>
          <t>x̄x̄x̄MMCCXXV</t>
        </is>
      </c>
      <c r="C32226">
        <f>ROMAN(32225)</f>
        <v/>
      </c>
      <c r="D32226">
        <f>IF(B32226=C32226, "YES", "WRONG")</f>
        <v/>
      </c>
    </row>
    <row r="32227">
      <c r="A32227" t="n">
        <v>32226</v>
      </c>
      <c r="B32227" t="inlineStr">
        <is>
          <t>x̄x̄x̄MMCCXXVI</t>
        </is>
      </c>
      <c r="C32227">
        <f>ROMAN(32226)</f>
        <v/>
      </c>
      <c r="D32227">
        <f>IF(B32227=C32227, "YES", "WRONG")</f>
        <v/>
      </c>
    </row>
    <row r="32228">
      <c r="A32228" t="n">
        <v>32227</v>
      </c>
      <c r="B32228" t="inlineStr">
        <is>
          <t>x̄x̄x̄MMCCXXVII</t>
        </is>
      </c>
      <c r="C32228">
        <f>ROMAN(32227)</f>
        <v/>
      </c>
      <c r="D32228">
        <f>IF(B32228=C32228, "YES", "WRONG")</f>
        <v/>
      </c>
    </row>
    <row r="32229">
      <c r="A32229" t="n">
        <v>32228</v>
      </c>
      <c r="B32229" t="inlineStr">
        <is>
          <t>x̄x̄x̄MMCCXXVIII</t>
        </is>
      </c>
      <c r="C32229">
        <f>ROMAN(32228)</f>
        <v/>
      </c>
      <c r="D32229">
        <f>IF(B32229=C32229, "YES", "WRONG")</f>
        <v/>
      </c>
    </row>
    <row r="32230">
      <c r="A32230" t="n">
        <v>32229</v>
      </c>
      <c r="B32230" t="inlineStr">
        <is>
          <t>x̄x̄x̄MMCCXXIX</t>
        </is>
      </c>
      <c r="C32230">
        <f>ROMAN(32229)</f>
        <v/>
      </c>
      <c r="D32230">
        <f>IF(B32230=C32230, "YES", "WRONG")</f>
        <v/>
      </c>
    </row>
    <row r="32231">
      <c r="A32231" t="n">
        <v>32230</v>
      </c>
      <c r="B32231" t="inlineStr">
        <is>
          <t>x̄x̄x̄MMCCXXX</t>
        </is>
      </c>
      <c r="C32231">
        <f>ROMAN(32230)</f>
        <v/>
      </c>
      <c r="D32231">
        <f>IF(B32231=C32231, "YES", "WRONG")</f>
        <v/>
      </c>
    </row>
    <row r="32232">
      <c r="A32232" t="n">
        <v>32231</v>
      </c>
      <c r="B32232" t="inlineStr">
        <is>
          <t>x̄x̄x̄MMCCXXXI</t>
        </is>
      </c>
      <c r="C32232">
        <f>ROMAN(32231)</f>
        <v/>
      </c>
      <c r="D32232">
        <f>IF(B32232=C32232, "YES", "WRONG")</f>
        <v/>
      </c>
    </row>
    <row r="32233">
      <c r="A32233" t="n">
        <v>32232</v>
      </c>
      <c r="B32233" t="inlineStr">
        <is>
          <t>x̄x̄x̄MMCCXXXII</t>
        </is>
      </c>
      <c r="C32233">
        <f>ROMAN(32232)</f>
        <v/>
      </c>
      <c r="D32233">
        <f>IF(B32233=C32233, "YES", "WRONG")</f>
        <v/>
      </c>
    </row>
    <row r="32234">
      <c r="A32234" t="n">
        <v>32233</v>
      </c>
      <c r="B32234" t="inlineStr">
        <is>
          <t>x̄x̄x̄MMCCXXXIII</t>
        </is>
      </c>
      <c r="C32234">
        <f>ROMAN(32233)</f>
        <v/>
      </c>
      <c r="D32234">
        <f>IF(B32234=C32234, "YES", "WRONG")</f>
        <v/>
      </c>
    </row>
    <row r="32235">
      <c r="A32235" t="n">
        <v>32234</v>
      </c>
      <c r="B32235" t="inlineStr">
        <is>
          <t>x̄x̄x̄MMCCXXXIV</t>
        </is>
      </c>
      <c r="C32235">
        <f>ROMAN(32234)</f>
        <v/>
      </c>
      <c r="D32235">
        <f>IF(B32235=C32235, "YES", "WRONG")</f>
        <v/>
      </c>
    </row>
    <row r="32236">
      <c r="A32236" t="n">
        <v>32235</v>
      </c>
      <c r="B32236" t="inlineStr">
        <is>
          <t>x̄x̄x̄MMCCXXXV</t>
        </is>
      </c>
      <c r="C32236">
        <f>ROMAN(32235)</f>
        <v/>
      </c>
      <c r="D32236">
        <f>IF(B32236=C32236, "YES", "WRONG")</f>
        <v/>
      </c>
    </row>
    <row r="32237">
      <c r="A32237" t="n">
        <v>32236</v>
      </c>
      <c r="B32237" t="inlineStr">
        <is>
          <t>x̄x̄x̄MMCCXXXVI</t>
        </is>
      </c>
      <c r="C32237">
        <f>ROMAN(32236)</f>
        <v/>
      </c>
      <c r="D32237">
        <f>IF(B32237=C32237, "YES", "WRONG")</f>
        <v/>
      </c>
    </row>
    <row r="32238">
      <c r="A32238" t="n">
        <v>32237</v>
      </c>
      <c r="B32238" t="inlineStr">
        <is>
          <t>x̄x̄x̄MMCCXXXVII</t>
        </is>
      </c>
      <c r="C32238">
        <f>ROMAN(32237)</f>
        <v/>
      </c>
      <c r="D32238">
        <f>IF(B32238=C32238, "YES", "WRONG")</f>
        <v/>
      </c>
    </row>
    <row r="32239">
      <c r="A32239" t="n">
        <v>32238</v>
      </c>
      <c r="B32239" t="inlineStr">
        <is>
          <t>x̄x̄x̄MMCCXXXVIII</t>
        </is>
      </c>
      <c r="C32239">
        <f>ROMAN(32238)</f>
        <v/>
      </c>
      <c r="D32239">
        <f>IF(B32239=C32239, "YES", "WRONG")</f>
        <v/>
      </c>
    </row>
    <row r="32240">
      <c r="A32240" t="n">
        <v>32239</v>
      </c>
      <c r="B32240" t="inlineStr">
        <is>
          <t>x̄x̄x̄MMCCXXXIX</t>
        </is>
      </c>
      <c r="C32240">
        <f>ROMAN(32239)</f>
        <v/>
      </c>
      <c r="D32240">
        <f>IF(B32240=C32240, "YES", "WRONG")</f>
        <v/>
      </c>
    </row>
    <row r="32241">
      <c r="A32241" t="n">
        <v>32240</v>
      </c>
      <c r="B32241" t="inlineStr">
        <is>
          <t>x̄x̄x̄MMCCXL</t>
        </is>
      </c>
      <c r="C32241">
        <f>ROMAN(32240)</f>
        <v/>
      </c>
      <c r="D32241">
        <f>IF(B32241=C32241, "YES", "WRONG")</f>
        <v/>
      </c>
    </row>
    <row r="32242">
      <c r="A32242" t="n">
        <v>32241</v>
      </c>
      <c r="B32242" t="inlineStr">
        <is>
          <t>x̄x̄x̄MMCCXLI</t>
        </is>
      </c>
      <c r="C32242">
        <f>ROMAN(32241)</f>
        <v/>
      </c>
      <c r="D32242">
        <f>IF(B32242=C32242, "YES", "WRONG")</f>
        <v/>
      </c>
    </row>
    <row r="32243">
      <c r="A32243" t="n">
        <v>32242</v>
      </c>
      <c r="B32243" t="inlineStr">
        <is>
          <t>x̄x̄x̄MMCCXLII</t>
        </is>
      </c>
      <c r="C32243">
        <f>ROMAN(32242)</f>
        <v/>
      </c>
      <c r="D32243">
        <f>IF(B32243=C32243, "YES", "WRONG")</f>
        <v/>
      </c>
    </row>
    <row r="32244">
      <c r="A32244" t="n">
        <v>32243</v>
      </c>
      <c r="B32244" t="inlineStr">
        <is>
          <t>x̄x̄x̄MMCCXLIII</t>
        </is>
      </c>
      <c r="C32244">
        <f>ROMAN(32243)</f>
        <v/>
      </c>
      <c r="D32244">
        <f>IF(B32244=C32244, "YES", "WRONG")</f>
        <v/>
      </c>
    </row>
    <row r="32245">
      <c r="A32245" t="n">
        <v>32244</v>
      </c>
      <c r="B32245" t="inlineStr">
        <is>
          <t>x̄x̄x̄MMCCXLIV</t>
        </is>
      </c>
      <c r="C32245">
        <f>ROMAN(32244)</f>
        <v/>
      </c>
      <c r="D32245">
        <f>IF(B32245=C32245, "YES", "WRONG")</f>
        <v/>
      </c>
    </row>
    <row r="32246">
      <c r="A32246" t="n">
        <v>32245</v>
      </c>
      <c r="B32246" t="inlineStr">
        <is>
          <t>x̄x̄x̄MMCCXLV</t>
        </is>
      </c>
      <c r="C32246">
        <f>ROMAN(32245)</f>
        <v/>
      </c>
      <c r="D32246">
        <f>IF(B32246=C32246, "YES", "WRONG")</f>
        <v/>
      </c>
    </row>
    <row r="32247">
      <c r="A32247" t="n">
        <v>32246</v>
      </c>
      <c r="B32247" t="inlineStr">
        <is>
          <t>x̄x̄x̄MMCCXLVI</t>
        </is>
      </c>
      <c r="C32247">
        <f>ROMAN(32246)</f>
        <v/>
      </c>
      <c r="D32247">
        <f>IF(B32247=C32247, "YES", "WRONG")</f>
        <v/>
      </c>
    </row>
    <row r="32248">
      <c r="A32248" t="n">
        <v>32247</v>
      </c>
      <c r="B32248" t="inlineStr">
        <is>
          <t>x̄x̄x̄MMCCXLVII</t>
        </is>
      </c>
      <c r="C32248">
        <f>ROMAN(32247)</f>
        <v/>
      </c>
      <c r="D32248">
        <f>IF(B32248=C32248, "YES", "WRONG")</f>
        <v/>
      </c>
    </row>
    <row r="32249">
      <c r="A32249" t="n">
        <v>32248</v>
      </c>
      <c r="B32249" t="inlineStr">
        <is>
          <t>x̄x̄x̄MMCCXLVIII</t>
        </is>
      </c>
      <c r="C32249">
        <f>ROMAN(32248)</f>
        <v/>
      </c>
      <c r="D32249">
        <f>IF(B32249=C32249, "YES", "WRONG")</f>
        <v/>
      </c>
    </row>
    <row r="32250">
      <c r="A32250" t="n">
        <v>32249</v>
      </c>
      <c r="B32250" t="inlineStr">
        <is>
          <t>x̄x̄x̄MMCCXLIX</t>
        </is>
      </c>
      <c r="C32250">
        <f>ROMAN(32249)</f>
        <v/>
      </c>
      <c r="D32250">
        <f>IF(B32250=C32250, "YES", "WRONG")</f>
        <v/>
      </c>
    </row>
    <row r="32251">
      <c r="A32251" t="n">
        <v>32250</v>
      </c>
      <c r="B32251" t="inlineStr">
        <is>
          <t>x̄x̄x̄MMCCL</t>
        </is>
      </c>
      <c r="C32251">
        <f>ROMAN(32250)</f>
        <v/>
      </c>
      <c r="D32251">
        <f>IF(B32251=C32251, "YES", "WRONG")</f>
        <v/>
      </c>
    </row>
    <row r="32252">
      <c r="A32252" t="n">
        <v>32251</v>
      </c>
      <c r="B32252" t="inlineStr">
        <is>
          <t>x̄x̄x̄MMCCLI</t>
        </is>
      </c>
      <c r="C32252">
        <f>ROMAN(32251)</f>
        <v/>
      </c>
      <c r="D32252">
        <f>IF(B32252=C32252, "YES", "WRONG")</f>
        <v/>
      </c>
    </row>
    <row r="32253">
      <c r="A32253" t="n">
        <v>32252</v>
      </c>
      <c r="B32253" t="inlineStr">
        <is>
          <t>x̄x̄x̄MMCCLII</t>
        </is>
      </c>
      <c r="C32253">
        <f>ROMAN(32252)</f>
        <v/>
      </c>
      <c r="D32253">
        <f>IF(B32253=C32253, "YES", "WRONG")</f>
        <v/>
      </c>
    </row>
    <row r="32254">
      <c r="A32254" t="n">
        <v>32253</v>
      </c>
      <c r="B32254" t="inlineStr">
        <is>
          <t>x̄x̄x̄MMCCLIII</t>
        </is>
      </c>
      <c r="C32254">
        <f>ROMAN(32253)</f>
        <v/>
      </c>
      <c r="D32254">
        <f>IF(B32254=C32254, "YES", "WRONG")</f>
        <v/>
      </c>
    </row>
    <row r="32255">
      <c r="A32255" t="n">
        <v>32254</v>
      </c>
      <c r="B32255" t="inlineStr">
        <is>
          <t>x̄x̄x̄MMCCLIV</t>
        </is>
      </c>
      <c r="C32255">
        <f>ROMAN(32254)</f>
        <v/>
      </c>
      <c r="D32255">
        <f>IF(B32255=C32255, "YES", "WRONG")</f>
        <v/>
      </c>
    </row>
    <row r="32256">
      <c r="A32256" t="n">
        <v>32255</v>
      </c>
      <c r="B32256" t="inlineStr">
        <is>
          <t>x̄x̄x̄MMCCLV</t>
        </is>
      </c>
      <c r="C32256">
        <f>ROMAN(32255)</f>
        <v/>
      </c>
      <c r="D32256">
        <f>IF(B32256=C32256, "YES", "WRONG")</f>
        <v/>
      </c>
    </row>
    <row r="32257">
      <c r="A32257" t="n">
        <v>32256</v>
      </c>
      <c r="B32257" t="inlineStr">
        <is>
          <t>x̄x̄x̄MMCCLVI</t>
        </is>
      </c>
      <c r="C32257">
        <f>ROMAN(32256)</f>
        <v/>
      </c>
      <c r="D32257">
        <f>IF(B32257=C32257, "YES", "WRONG")</f>
        <v/>
      </c>
    </row>
    <row r="32258">
      <c r="A32258" t="n">
        <v>32257</v>
      </c>
      <c r="B32258" t="inlineStr">
        <is>
          <t>x̄x̄x̄MMCCLVII</t>
        </is>
      </c>
      <c r="C32258">
        <f>ROMAN(32257)</f>
        <v/>
      </c>
      <c r="D32258">
        <f>IF(B32258=C32258, "YES", "WRONG")</f>
        <v/>
      </c>
    </row>
    <row r="32259">
      <c r="A32259" t="n">
        <v>32258</v>
      </c>
      <c r="B32259" t="inlineStr">
        <is>
          <t>x̄x̄x̄MMCCLVIII</t>
        </is>
      </c>
      <c r="C32259">
        <f>ROMAN(32258)</f>
        <v/>
      </c>
      <c r="D32259">
        <f>IF(B32259=C32259, "YES", "WRONG")</f>
        <v/>
      </c>
    </row>
    <row r="32260">
      <c r="A32260" t="n">
        <v>32259</v>
      </c>
      <c r="B32260" t="inlineStr">
        <is>
          <t>x̄x̄x̄MMCCLIX</t>
        </is>
      </c>
      <c r="C32260">
        <f>ROMAN(32259)</f>
        <v/>
      </c>
      <c r="D32260">
        <f>IF(B32260=C32260, "YES", "WRONG")</f>
        <v/>
      </c>
    </row>
    <row r="32261">
      <c r="A32261" t="n">
        <v>32260</v>
      </c>
      <c r="B32261" t="inlineStr">
        <is>
          <t>x̄x̄x̄MMCCLX</t>
        </is>
      </c>
      <c r="C32261">
        <f>ROMAN(32260)</f>
        <v/>
      </c>
      <c r="D32261">
        <f>IF(B32261=C32261, "YES", "WRONG")</f>
        <v/>
      </c>
    </row>
    <row r="32262">
      <c r="A32262" t="n">
        <v>32261</v>
      </c>
      <c r="B32262" t="inlineStr">
        <is>
          <t>x̄x̄x̄MMCCLXI</t>
        </is>
      </c>
      <c r="C32262">
        <f>ROMAN(32261)</f>
        <v/>
      </c>
      <c r="D32262">
        <f>IF(B32262=C32262, "YES", "WRONG")</f>
        <v/>
      </c>
    </row>
    <row r="32263">
      <c r="A32263" t="n">
        <v>32262</v>
      </c>
      <c r="B32263" t="inlineStr">
        <is>
          <t>x̄x̄x̄MMCCLXII</t>
        </is>
      </c>
      <c r="C32263">
        <f>ROMAN(32262)</f>
        <v/>
      </c>
      <c r="D32263">
        <f>IF(B32263=C32263, "YES", "WRONG")</f>
        <v/>
      </c>
    </row>
    <row r="32264">
      <c r="A32264" t="n">
        <v>32263</v>
      </c>
      <c r="B32264" t="inlineStr">
        <is>
          <t>x̄x̄x̄MMCCLXIII</t>
        </is>
      </c>
      <c r="C32264">
        <f>ROMAN(32263)</f>
        <v/>
      </c>
      <c r="D32264">
        <f>IF(B32264=C32264, "YES", "WRONG")</f>
        <v/>
      </c>
    </row>
    <row r="32265">
      <c r="A32265" t="n">
        <v>32264</v>
      </c>
      <c r="B32265" t="inlineStr">
        <is>
          <t>x̄x̄x̄MMCCLXIV</t>
        </is>
      </c>
      <c r="C32265">
        <f>ROMAN(32264)</f>
        <v/>
      </c>
      <c r="D32265">
        <f>IF(B32265=C32265, "YES", "WRONG")</f>
        <v/>
      </c>
    </row>
    <row r="32266">
      <c r="A32266" t="n">
        <v>32265</v>
      </c>
      <c r="B32266" t="inlineStr">
        <is>
          <t>x̄x̄x̄MMCCLXV</t>
        </is>
      </c>
      <c r="C32266">
        <f>ROMAN(32265)</f>
        <v/>
      </c>
      <c r="D32266">
        <f>IF(B32266=C32266, "YES", "WRONG")</f>
        <v/>
      </c>
    </row>
    <row r="32267">
      <c r="A32267" t="n">
        <v>32266</v>
      </c>
      <c r="B32267" t="inlineStr">
        <is>
          <t>x̄x̄x̄MMCCLXVI</t>
        </is>
      </c>
      <c r="C32267">
        <f>ROMAN(32266)</f>
        <v/>
      </c>
      <c r="D32267">
        <f>IF(B32267=C32267, "YES", "WRONG")</f>
        <v/>
      </c>
    </row>
    <row r="32268">
      <c r="A32268" t="n">
        <v>32267</v>
      </c>
      <c r="B32268" t="inlineStr">
        <is>
          <t>x̄x̄x̄MMCCLXVII</t>
        </is>
      </c>
      <c r="C32268">
        <f>ROMAN(32267)</f>
        <v/>
      </c>
      <c r="D32268">
        <f>IF(B32268=C32268, "YES", "WRONG")</f>
        <v/>
      </c>
    </row>
    <row r="32269">
      <c r="A32269" t="n">
        <v>32268</v>
      </c>
      <c r="B32269" t="inlineStr">
        <is>
          <t>x̄x̄x̄MMCCLXVIII</t>
        </is>
      </c>
      <c r="C32269">
        <f>ROMAN(32268)</f>
        <v/>
      </c>
      <c r="D32269">
        <f>IF(B32269=C32269, "YES", "WRONG")</f>
        <v/>
      </c>
    </row>
    <row r="32270">
      <c r="A32270" t="n">
        <v>32269</v>
      </c>
      <c r="B32270" t="inlineStr">
        <is>
          <t>x̄x̄x̄MMCCLXIX</t>
        </is>
      </c>
      <c r="C32270">
        <f>ROMAN(32269)</f>
        <v/>
      </c>
      <c r="D32270">
        <f>IF(B32270=C32270, "YES", "WRONG")</f>
        <v/>
      </c>
    </row>
    <row r="32271">
      <c r="A32271" t="n">
        <v>32270</v>
      </c>
      <c r="B32271" t="inlineStr">
        <is>
          <t>x̄x̄x̄MMCCLXX</t>
        </is>
      </c>
      <c r="C32271">
        <f>ROMAN(32270)</f>
        <v/>
      </c>
      <c r="D32271">
        <f>IF(B32271=C32271, "YES", "WRONG")</f>
        <v/>
      </c>
    </row>
    <row r="32272">
      <c r="A32272" t="n">
        <v>32271</v>
      </c>
      <c r="B32272" t="inlineStr">
        <is>
          <t>x̄x̄x̄MMCCLXXI</t>
        </is>
      </c>
      <c r="C32272">
        <f>ROMAN(32271)</f>
        <v/>
      </c>
      <c r="D32272">
        <f>IF(B32272=C32272, "YES", "WRONG")</f>
        <v/>
      </c>
    </row>
    <row r="32273">
      <c r="A32273" t="n">
        <v>32272</v>
      </c>
      <c r="B32273" t="inlineStr">
        <is>
          <t>x̄x̄x̄MMCCLXXII</t>
        </is>
      </c>
      <c r="C32273">
        <f>ROMAN(32272)</f>
        <v/>
      </c>
      <c r="D32273">
        <f>IF(B32273=C32273, "YES", "WRONG")</f>
        <v/>
      </c>
    </row>
    <row r="32274">
      <c r="A32274" t="n">
        <v>32273</v>
      </c>
      <c r="B32274" t="inlineStr">
        <is>
          <t>x̄x̄x̄MMCCLXXIII</t>
        </is>
      </c>
      <c r="C32274">
        <f>ROMAN(32273)</f>
        <v/>
      </c>
      <c r="D32274">
        <f>IF(B32274=C32274, "YES", "WRONG")</f>
        <v/>
      </c>
    </row>
    <row r="32275">
      <c r="A32275" t="n">
        <v>32274</v>
      </c>
      <c r="B32275" t="inlineStr">
        <is>
          <t>x̄x̄x̄MMCCLXXIV</t>
        </is>
      </c>
      <c r="C32275">
        <f>ROMAN(32274)</f>
        <v/>
      </c>
      <c r="D32275">
        <f>IF(B32275=C32275, "YES", "WRONG")</f>
        <v/>
      </c>
    </row>
    <row r="32276">
      <c r="A32276" t="n">
        <v>32275</v>
      </c>
      <c r="B32276" t="inlineStr">
        <is>
          <t>x̄x̄x̄MMCCLXXV</t>
        </is>
      </c>
      <c r="C32276">
        <f>ROMAN(32275)</f>
        <v/>
      </c>
      <c r="D32276">
        <f>IF(B32276=C32276, "YES", "WRONG")</f>
        <v/>
      </c>
    </row>
    <row r="32277">
      <c r="A32277" t="n">
        <v>32276</v>
      </c>
      <c r="B32277" t="inlineStr">
        <is>
          <t>x̄x̄x̄MMCCLXXVI</t>
        </is>
      </c>
      <c r="C32277">
        <f>ROMAN(32276)</f>
        <v/>
      </c>
      <c r="D32277">
        <f>IF(B32277=C32277, "YES", "WRONG")</f>
        <v/>
      </c>
    </row>
    <row r="32278">
      <c r="A32278" t="n">
        <v>32277</v>
      </c>
      <c r="B32278" t="inlineStr">
        <is>
          <t>x̄x̄x̄MMCCLXXVII</t>
        </is>
      </c>
      <c r="C32278">
        <f>ROMAN(32277)</f>
        <v/>
      </c>
      <c r="D32278">
        <f>IF(B32278=C32278, "YES", "WRONG")</f>
        <v/>
      </c>
    </row>
    <row r="32279">
      <c r="A32279" t="n">
        <v>32278</v>
      </c>
      <c r="B32279" t="inlineStr">
        <is>
          <t>x̄x̄x̄MMCCLXXVIII</t>
        </is>
      </c>
      <c r="C32279">
        <f>ROMAN(32278)</f>
        <v/>
      </c>
      <c r="D32279">
        <f>IF(B32279=C32279, "YES", "WRONG")</f>
        <v/>
      </c>
    </row>
    <row r="32280">
      <c r="A32280" t="n">
        <v>32279</v>
      </c>
      <c r="B32280" t="inlineStr">
        <is>
          <t>x̄x̄x̄MMCCLXXIX</t>
        </is>
      </c>
      <c r="C32280">
        <f>ROMAN(32279)</f>
        <v/>
      </c>
      <c r="D32280">
        <f>IF(B32280=C32280, "YES", "WRONG")</f>
        <v/>
      </c>
    </row>
    <row r="32281">
      <c r="A32281" t="n">
        <v>32280</v>
      </c>
      <c r="B32281" t="inlineStr">
        <is>
          <t>x̄x̄x̄MMCCLXXX</t>
        </is>
      </c>
      <c r="C32281">
        <f>ROMAN(32280)</f>
        <v/>
      </c>
      <c r="D32281">
        <f>IF(B32281=C32281, "YES", "WRONG")</f>
        <v/>
      </c>
    </row>
    <row r="32282">
      <c r="A32282" t="n">
        <v>32281</v>
      </c>
      <c r="B32282" t="inlineStr">
        <is>
          <t>x̄x̄x̄MMCCLXXXI</t>
        </is>
      </c>
      <c r="C32282">
        <f>ROMAN(32281)</f>
        <v/>
      </c>
      <c r="D32282">
        <f>IF(B32282=C32282, "YES", "WRONG")</f>
        <v/>
      </c>
    </row>
    <row r="32283">
      <c r="A32283" t="n">
        <v>32282</v>
      </c>
      <c r="B32283" t="inlineStr">
        <is>
          <t>x̄x̄x̄MMCCLXXXII</t>
        </is>
      </c>
      <c r="C32283">
        <f>ROMAN(32282)</f>
        <v/>
      </c>
      <c r="D32283">
        <f>IF(B32283=C32283, "YES", "WRONG")</f>
        <v/>
      </c>
    </row>
    <row r="32284">
      <c r="A32284" t="n">
        <v>32283</v>
      </c>
      <c r="B32284" t="inlineStr">
        <is>
          <t>x̄x̄x̄MMCCLXXXIII</t>
        </is>
      </c>
      <c r="C32284">
        <f>ROMAN(32283)</f>
        <v/>
      </c>
      <c r="D32284">
        <f>IF(B32284=C32284, "YES", "WRONG")</f>
        <v/>
      </c>
    </row>
    <row r="32285">
      <c r="A32285" t="n">
        <v>32284</v>
      </c>
      <c r="B32285" t="inlineStr">
        <is>
          <t>x̄x̄x̄MMCCLXXXIV</t>
        </is>
      </c>
      <c r="C32285">
        <f>ROMAN(32284)</f>
        <v/>
      </c>
      <c r="D32285">
        <f>IF(B32285=C32285, "YES", "WRONG")</f>
        <v/>
      </c>
    </row>
    <row r="32286">
      <c r="A32286" t="n">
        <v>32285</v>
      </c>
      <c r="B32286" t="inlineStr">
        <is>
          <t>x̄x̄x̄MMCCLXXXV</t>
        </is>
      </c>
      <c r="C32286">
        <f>ROMAN(32285)</f>
        <v/>
      </c>
      <c r="D32286">
        <f>IF(B32286=C32286, "YES", "WRONG")</f>
        <v/>
      </c>
    </row>
    <row r="32287">
      <c r="A32287" t="n">
        <v>32286</v>
      </c>
      <c r="B32287" t="inlineStr">
        <is>
          <t>x̄x̄x̄MMCCLXXXVI</t>
        </is>
      </c>
      <c r="C32287">
        <f>ROMAN(32286)</f>
        <v/>
      </c>
      <c r="D32287">
        <f>IF(B32287=C32287, "YES", "WRONG")</f>
        <v/>
      </c>
    </row>
    <row r="32288">
      <c r="A32288" t="n">
        <v>32287</v>
      </c>
      <c r="B32288" t="inlineStr">
        <is>
          <t>x̄x̄x̄MMCCLXXXVII</t>
        </is>
      </c>
      <c r="C32288">
        <f>ROMAN(32287)</f>
        <v/>
      </c>
      <c r="D32288">
        <f>IF(B32288=C32288, "YES", "WRONG")</f>
        <v/>
      </c>
    </row>
    <row r="32289">
      <c r="A32289" t="n">
        <v>32288</v>
      </c>
      <c r="B32289" t="inlineStr">
        <is>
          <t>x̄x̄x̄MMCCLXXXVIII</t>
        </is>
      </c>
      <c r="C32289">
        <f>ROMAN(32288)</f>
        <v/>
      </c>
      <c r="D32289">
        <f>IF(B32289=C32289, "YES", "WRONG")</f>
        <v/>
      </c>
    </row>
    <row r="32290">
      <c r="A32290" t="n">
        <v>32289</v>
      </c>
      <c r="B32290" t="inlineStr">
        <is>
          <t>x̄x̄x̄MMCCLXXXIX</t>
        </is>
      </c>
      <c r="C32290">
        <f>ROMAN(32289)</f>
        <v/>
      </c>
      <c r="D32290">
        <f>IF(B32290=C32290, "YES", "WRONG")</f>
        <v/>
      </c>
    </row>
    <row r="32291">
      <c r="A32291" t="n">
        <v>32290</v>
      </c>
      <c r="B32291" t="inlineStr">
        <is>
          <t>x̄x̄x̄MMCCXC</t>
        </is>
      </c>
      <c r="C32291">
        <f>ROMAN(32290)</f>
        <v/>
      </c>
      <c r="D32291">
        <f>IF(B32291=C32291, "YES", "WRONG")</f>
        <v/>
      </c>
    </row>
    <row r="32292">
      <c r="A32292" t="n">
        <v>32291</v>
      </c>
      <c r="B32292" t="inlineStr">
        <is>
          <t>x̄x̄x̄MMCCXCI</t>
        </is>
      </c>
      <c r="C32292">
        <f>ROMAN(32291)</f>
        <v/>
      </c>
      <c r="D32292">
        <f>IF(B32292=C32292, "YES", "WRONG")</f>
        <v/>
      </c>
    </row>
    <row r="32293">
      <c r="A32293" t="n">
        <v>32292</v>
      </c>
      <c r="B32293" t="inlineStr">
        <is>
          <t>x̄x̄x̄MMCCXCII</t>
        </is>
      </c>
      <c r="C32293">
        <f>ROMAN(32292)</f>
        <v/>
      </c>
      <c r="D32293">
        <f>IF(B32293=C32293, "YES", "WRONG")</f>
        <v/>
      </c>
    </row>
    <row r="32294">
      <c r="A32294" t="n">
        <v>32293</v>
      </c>
      <c r="B32294" t="inlineStr">
        <is>
          <t>x̄x̄x̄MMCCXCIII</t>
        </is>
      </c>
      <c r="C32294">
        <f>ROMAN(32293)</f>
        <v/>
      </c>
      <c r="D32294">
        <f>IF(B32294=C32294, "YES", "WRONG")</f>
        <v/>
      </c>
    </row>
    <row r="32295">
      <c r="A32295" t="n">
        <v>32294</v>
      </c>
      <c r="B32295" t="inlineStr">
        <is>
          <t>x̄x̄x̄MMCCXCIV</t>
        </is>
      </c>
      <c r="C32295">
        <f>ROMAN(32294)</f>
        <v/>
      </c>
      <c r="D32295">
        <f>IF(B32295=C32295, "YES", "WRONG")</f>
        <v/>
      </c>
    </row>
    <row r="32296">
      <c r="A32296" t="n">
        <v>32295</v>
      </c>
      <c r="B32296" t="inlineStr">
        <is>
          <t>x̄x̄x̄MMCCXCV</t>
        </is>
      </c>
      <c r="C32296">
        <f>ROMAN(32295)</f>
        <v/>
      </c>
      <c r="D32296">
        <f>IF(B32296=C32296, "YES", "WRONG")</f>
        <v/>
      </c>
    </row>
    <row r="32297">
      <c r="A32297" t="n">
        <v>32296</v>
      </c>
      <c r="B32297" t="inlineStr">
        <is>
          <t>x̄x̄x̄MMCCXCVI</t>
        </is>
      </c>
      <c r="C32297">
        <f>ROMAN(32296)</f>
        <v/>
      </c>
      <c r="D32297">
        <f>IF(B32297=C32297, "YES", "WRONG")</f>
        <v/>
      </c>
    </row>
    <row r="32298">
      <c r="A32298" t="n">
        <v>32297</v>
      </c>
      <c r="B32298" t="inlineStr">
        <is>
          <t>x̄x̄x̄MMCCXCVII</t>
        </is>
      </c>
      <c r="C32298">
        <f>ROMAN(32297)</f>
        <v/>
      </c>
      <c r="D32298">
        <f>IF(B32298=C32298, "YES", "WRONG")</f>
        <v/>
      </c>
    </row>
    <row r="32299">
      <c r="A32299" t="n">
        <v>32298</v>
      </c>
      <c r="B32299" t="inlineStr">
        <is>
          <t>x̄x̄x̄MMCCXCVIII</t>
        </is>
      </c>
      <c r="C32299">
        <f>ROMAN(32298)</f>
        <v/>
      </c>
      <c r="D32299">
        <f>IF(B32299=C32299, "YES", "WRONG")</f>
        <v/>
      </c>
    </row>
    <row r="32300">
      <c r="A32300" t="n">
        <v>32299</v>
      </c>
      <c r="B32300" t="inlineStr">
        <is>
          <t>x̄x̄x̄MMCCXCIX</t>
        </is>
      </c>
      <c r="C32300">
        <f>ROMAN(32299)</f>
        <v/>
      </c>
      <c r="D32300">
        <f>IF(B32300=C32300, "YES", "WRONG")</f>
        <v/>
      </c>
    </row>
    <row r="32301">
      <c r="A32301" t="n">
        <v>32300</v>
      </c>
      <c r="B32301" t="inlineStr">
        <is>
          <t>x̄x̄x̄MMCCC</t>
        </is>
      </c>
      <c r="C32301">
        <f>ROMAN(32300)</f>
        <v/>
      </c>
      <c r="D32301">
        <f>IF(B32301=C32301, "YES", "WRONG")</f>
        <v/>
      </c>
    </row>
    <row r="32302">
      <c r="A32302" t="n">
        <v>32301</v>
      </c>
      <c r="B32302" t="inlineStr">
        <is>
          <t>x̄x̄x̄MMCCCI</t>
        </is>
      </c>
      <c r="C32302">
        <f>ROMAN(32301)</f>
        <v/>
      </c>
      <c r="D32302">
        <f>IF(B32302=C32302, "YES", "WRONG")</f>
        <v/>
      </c>
    </row>
    <row r="32303">
      <c r="A32303" t="n">
        <v>32302</v>
      </c>
      <c r="B32303" t="inlineStr">
        <is>
          <t>x̄x̄x̄MMCCCII</t>
        </is>
      </c>
      <c r="C32303">
        <f>ROMAN(32302)</f>
        <v/>
      </c>
      <c r="D32303">
        <f>IF(B32303=C32303, "YES", "WRONG")</f>
        <v/>
      </c>
    </row>
    <row r="32304">
      <c r="A32304" t="n">
        <v>32303</v>
      </c>
      <c r="B32304" t="inlineStr">
        <is>
          <t>x̄x̄x̄MMCCCIII</t>
        </is>
      </c>
      <c r="C32304">
        <f>ROMAN(32303)</f>
        <v/>
      </c>
      <c r="D32304">
        <f>IF(B32304=C32304, "YES", "WRONG")</f>
        <v/>
      </c>
    </row>
    <row r="32305">
      <c r="A32305" t="n">
        <v>32304</v>
      </c>
      <c r="B32305" t="inlineStr">
        <is>
          <t>x̄x̄x̄MMCCCIV</t>
        </is>
      </c>
      <c r="C32305">
        <f>ROMAN(32304)</f>
        <v/>
      </c>
      <c r="D32305">
        <f>IF(B32305=C32305, "YES", "WRONG")</f>
        <v/>
      </c>
    </row>
    <row r="32306">
      <c r="A32306" t="n">
        <v>32305</v>
      </c>
      <c r="B32306" t="inlineStr">
        <is>
          <t>x̄x̄x̄MMCCCV</t>
        </is>
      </c>
      <c r="C32306">
        <f>ROMAN(32305)</f>
        <v/>
      </c>
      <c r="D32306">
        <f>IF(B32306=C32306, "YES", "WRONG")</f>
        <v/>
      </c>
    </row>
    <row r="32307">
      <c r="A32307" t="n">
        <v>32306</v>
      </c>
      <c r="B32307" t="inlineStr">
        <is>
          <t>x̄x̄x̄MMCCCVI</t>
        </is>
      </c>
      <c r="C32307">
        <f>ROMAN(32306)</f>
        <v/>
      </c>
      <c r="D32307">
        <f>IF(B32307=C32307, "YES", "WRONG")</f>
        <v/>
      </c>
    </row>
    <row r="32308">
      <c r="A32308" t="n">
        <v>32307</v>
      </c>
      <c r="B32308" t="inlineStr">
        <is>
          <t>x̄x̄x̄MMCCCVII</t>
        </is>
      </c>
      <c r="C32308">
        <f>ROMAN(32307)</f>
        <v/>
      </c>
      <c r="D32308">
        <f>IF(B32308=C32308, "YES", "WRONG")</f>
        <v/>
      </c>
    </row>
    <row r="32309">
      <c r="A32309" t="n">
        <v>32308</v>
      </c>
      <c r="B32309" t="inlineStr">
        <is>
          <t>x̄x̄x̄MMCCCVIII</t>
        </is>
      </c>
      <c r="C32309">
        <f>ROMAN(32308)</f>
        <v/>
      </c>
      <c r="D32309">
        <f>IF(B32309=C32309, "YES", "WRONG")</f>
        <v/>
      </c>
    </row>
    <row r="32310">
      <c r="A32310" t="n">
        <v>32309</v>
      </c>
      <c r="B32310" t="inlineStr">
        <is>
          <t>x̄x̄x̄MMCCCIX</t>
        </is>
      </c>
      <c r="C32310">
        <f>ROMAN(32309)</f>
        <v/>
      </c>
      <c r="D32310">
        <f>IF(B32310=C32310, "YES", "WRONG")</f>
        <v/>
      </c>
    </row>
    <row r="32311">
      <c r="A32311" t="n">
        <v>32310</v>
      </c>
      <c r="B32311" t="inlineStr">
        <is>
          <t>x̄x̄x̄MMCCCX</t>
        </is>
      </c>
      <c r="C32311">
        <f>ROMAN(32310)</f>
        <v/>
      </c>
      <c r="D32311">
        <f>IF(B32311=C32311, "YES", "WRONG")</f>
        <v/>
      </c>
    </row>
    <row r="32312">
      <c r="A32312" t="n">
        <v>32311</v>
      </c>
      <c r="B32312" t="inlineStr">
        <is>
          <t>x̄x̄x̄MMCCCXI</t>
        </is>
      </c>
      <c r="C32312">
        <f>ROMAN(32311)</f>
        <v/>
      </c>
      <c r="D32312">
        <f>IF(B32312=C32312, "YES", "WRONG")</f>
        <v/>
      </c>
    </row>
    <row r="32313">
      <c r="A32313" t="n">
        <v>32312</v>
      </c>
      <c r="B32313" t="inlineStr">
        <is>
          <t>x̄x̄x̄MMCCCXII</t>
        </is>
      </c>
      <c r="C32313">
        <f>ROMAN(32312)</f>
        <v/>
      </c>
      <c r="D32313">
        <f>IF(B32313=C32313, "YES", "WRONG")</f>
        <v/>
      </c>
    </row>
    <row r="32314">
      <c r="A32314" t="n">
        <v>32313</v>
      </c>
      <c r="B32314" t="inlineStr">
        <is>
          <t>x̄x̄x̄MMCCCXIII</t>
        </is>
      </c>
      <c r="C32314">
        <f>ROMAN(32313)</f>
        <v/>
      </c>
      <c r="D32314">
        <f>IF(B32314=C32314, "YES", "WRONG")</f>
        <v/>
      </c>
    </row>
    <row r="32315">
      <c r="A32315" t="n">
        <v>32314</v>
      </c>
      <c r="B32315" t="inlineStr">
        <is>
          <t>x̄x̄x̄MMCCCXIV</t>
        </is>
      </c>
      <c r="C32315">
        <f>ROMAN(32314)</f>
        <v/>
      </c>
      <c r="D32315">
        <f>IF(B32315=C32315, "YES", "WRONG")</f>
        <v/>
      </c>
    </row>
    <row r="32316">
      <c r="A32316" t="n">
        <v>32315</v>
      </c>
      <c r="B32316" t="inlineStr">
        <is>
          <t>x̄x̄x̄MMCCCXV</t>
        </is>
      </c>
      <c r="C32316">
        <f>ROMAN(32315)</f>
        <v/>
      </c>
      <c r="D32316">
        <f>IF(B32316=C32316, "YES", "WRONG")</f>
        <v/>
      </c>
    </row>
    <row r="32317">
      <c r="A32317" t="n">
        <v>32316</v>
      </c>
      <c r="B32317" t="inlineStr">
        <is>
          <t>x̄x̄x̄MMCCCXVI</t>
        </is>
      </c>
      <c r="C32317">
        <f>ROMAN(32316)</f>
        <v/>
      </c>
      <c r="D32317">
        <f>IF(B32317=C32317, "YES", "WRONG")</f>
        <v/>
      </c>
    </row>
    <row r="32318">
      <c r="A32318" t="n">
        <v>32317</v>
      </c>
      <c r="B32318" t="inlineStr">
        <is>
          <t>x̄x̄x̄MMCCCXVII</t>
        </is>
      </c>
      <c r="C32318">
        <f>ROMAN(32317)</f>
        <v/>
      </c>
      <c r="D32318">
        <f>IF(B32318=C32318, "YES", "WRONG")</f>
        <v/>
      </c>
    </row>
    <row r="32319">
      <c r="A32319" t="n">
        <v>32318</v>
      </c>
      <c r="B32319" t="inlineStr">
        <is>
          <t>x̄x̄x̄MMCCCXVIII</t>
        </is>
      </c>
      <c r="C32319">
        <f>ROMAN(32318)</f>
        <v/>
      </c>
      <c r="D32319">
        <f>IF(B32319=C32319, "YES", "WRONG")</f>
        <v/>
      </c>
    </row>
    <row r="32320">
      <c r="A32320" t="n">
        <v>32319</v>
      </c>
      <c r="B32320" t="inlineStr">
        <is>
          <t>x̄x̄x̄MMCCCXIX</t>
        </is>
      </c>
      <c r="C32320">
        <f>ROMAN(32319)</f>
        <v/>
      </c>
      <c r="D32320">
        <f>IF(B32320=C32320, "YES", "WRONG")</f>
        <v/>
      </c>
    </row>
    <row r="32321">
      <c r="A32321" t="n">
        <v>32320</v>
      </c>
      <c r="B32321" t="inlineStr">
        <is>
          <t>x̄x̄x̄MMCCCXX</t>
        </is>
      </c>
      <c r="C32321">
        <f>ROMAN(32320)</f>
        <v/>
      </c>
      <c r="D32321">
        <f>IF(B32321=C32321, "YES", "WRONG")</f>
        <v/>
      </c>
    </row>
    <row r="32322">
      <c r="A32322" t="n">
        <v>32321</v>
      </c>
      <c r="B32322" t="inlineStr">
        <is>
          <t>x̄x̄x̄MMCCCXXI</t>
        </is>
      </c>
      <c r="C32322">
        <f>ROMAN(32321)</f>
        <v/>
      </c>
      <c r="D32322">
        <f>IF(B32322=C32322, "YES", "WRONG")</f>
        <v/>
      </c>
    </row>
    <row r="32323">
      <c r="A32323" t="n">
        <v>32322</v>
      </c>
      <c r="B32323" t="inlineStr">
        <is>
          <t>x̄x̄x̄MMCCCXXII</t>
        </is>
      </c>
      <c r="C32323">
        <f>ROMAN(32322)</f>
        <v/>
      </c>
      <c r="D32323">
        <f>IF(B32323=C32323, "YES", "WRONG")</f>
        <v/>
      </c>
    </row>
    <row r="32324">
      <c r="A32324" t="n">
        <v>32323</v>
      </c>
      <c r="B32324" t="inlineStr">
        <is>
          <t>x̄x̄x̄MMCCCXXIII</t>
        </is>
      </c>
      <c r="C32324">
        <f>ROMAN(32323)</f>
        <v/>
      </c>
      <c r="D32324">
        <f>IF(B32324=C32324, "YES", "WRONG")</f>
        <v/>
      </c>
    </row>
    <row r="32325">
      <c r="A32325" t="n">
        <v>32324</v>
      </c>
      <c r="B32325" t="inlineStr">
        <is>
          <t>x̄x̄x̄MMCCCXXIV</t>
        </is>
      </c>
      <c r="C32325">
        <f>ROMAN(32324)</f>
        <v/>
      </c>
      <c r="D32325">
        <f>IF(B32325=C32325, "YES", "WRONG")</f>
        <v/>
      </c>
    </row>
    <row r="32326">
      <c r="A32326" t="n">
        <v>32325</v>
      </c>
      <c r="B32326" t="inlineStr">
        <is>
          <t>x̄x̄x̄MMCCCXXV</t>
        </is>
      </c>
      <c r="C32326">
        <f>ROMAN(32325)</f>
        <v/>
      </c>
      <c r="D32326">
        <f>IF(B32326=C32326, "YES", "WRONG")</f>
        <v/>
      </c>
    </row>
    <row r="32327">
      <c r="A32327" t="n">
        <v>32326</v>
      </c>
      <c r="B32327" t="inlineStr">
        <is>
          <t>x̄x̄x̄MMCCCXXVI</t>
        </is>
      </c>
      <c r="C32327">
        <f>ROMAN(32326)</f>
        <v/>
      </c>
      <c r="D32327">
        <f>IF(B32327=C32327, "YES", "WRONG")</f>
        <v/>
      </c>
    </row>
    <row r="32328">
      <c r="A32328" t="n">
        <v>32327</v>
      </c>
      <c r="B32328" t="inlineStr">
        <is>
          <t>x̄x̄x̄MMCCCXXVII</t>
        </is>
      </c>
      <c r="C32328">
        <f>ROMAN(32327)</f>
        <v/>
      </c>
      <c r="D32328">
        <f>IF(B32328=C32328, "YES", "WRONG")</f>
        <v/>
      </c>
    </row>
    <row r="32329">
      <c r="A32329" t="n">
        <v>32328</v>
      </c>
      <c r="B32329" t="inlineStr">
        <is>
          <t>x̄x̄x̄MMCCCXXVIII</t>
        </is>
      </c>
      <c r="C32329">
        <f>ROMAN(32328)</f>
        <v/>
      </c>
      <c r="D32329">
        <f>IF(B32329=C32329, "YES", "WRONG")</f>
        <v/>
      </c>
    </row>
    <row r="32330">
      <c r="A32330" t="n">
        <v>32329</v>
      </c>
      <c r="B32330" t="inlineStr">
        <is>
          <t>x̄x̄x̄MMCCCXXIX</t>
        </is>
      </c>
      <c r="C32330">
        <f>ROMAN(32329)</f>
        <v/>
      </c>
      <c r="D32330">
        <f>IF(B32330=C32330, "YES", "WRONG")</f>
        <v/>
      </c>
    </row>
    <row r="32331">
      <c r="A32331" t="n">
        <v>32330</v>
      </c>
      <c r="B32331" t="inlineStr">
        <is>
          <t>x̄x̄x̄MMCCCXXX</t>
        </is>
      </c>
      <c r="C32331">
        <f>ROMAN(32330)</f>
        <v/>
      </c>
      <c r="D32331">
        <f>IF(B32331=C32331, "YES", "WRONG")</f>
        <v/>
      </c>
    </row>
    <row r="32332">
      <c r="A32332" t="n">
        <v>32331</v>
      </c>
      <c r="B32332" t="inlineStr">
        <is>
          <t>x̄x̄x̄MMCCCXXXI</t>
        </is>
      </c>
      <c r="C32332">
        <f>ROMAN(32331)</f>
        <v/>
      </c>
      <c r="D32332">
        <f>IF(B32332=C32332, "YES", "WRONG")</f>
        <v/>
      </c>
    </row>
    <row r="32333">
      <c r="A32333" t="n">
        <v>32332</v>
      </c>
      <c r="B32333" t="inlineStr">
        <is>
          <t>x̄x̄x̄MMCCCXXXII</t>
        </is>
      </c>
      <c r="C32333">
        <f>ROMAN(32332)</f>
        <v/>
      </c>
      <c r="D32333">
        <f>IF(B32333=C32333, "YES", "WRONG")</f>
        <v/>
      </c>
    </row>
    <row r="32334">
      <c r="A32334" t="n">
        <v>32333</v>
      </c>
      <c r="B32334" t="inlineStr">
        <is>
          <t>x̄x̄x̄MMCCCXXXIII</t>
        </is>
      </c>
      <c r="C32334">
        <f>ROMAN(32333)</f>
        <v/>
      </c>
      <c r="D32334">
        <f>IF(B32334=C32334, "YES", "WRONG")</f>
        <v/>
      </c>
    </row>
    <row r="32335">
      <c r="A32335" t="n">
        <v>32334</v>
      </c>
      <c r="B32335" t="inlineStr">
        <is>
          <t>x̄x̄x̄MMCCCXXXIV</t>
        </is>
      </c>
      <c r="C32335">
        <f>ROMAN(32334)</f>
        <v/>
      </c>
      <c r="D32335">
        <f>IF(B32335=C32335, "YES", "WRONG")</f>
        <v/>
      </c>
    </row>
    <row r="32336">
      <c r="A32336" t="n">
        <v>32335</v>
      </c>
      <c r="B32336" t="inlineStr">
        <is>
          <t>x̄x̄x̄MMCCCXXXV</t>
        </is>
      </c>
      <c r="C32336">
        <f>ROMAN(32335)</f>
        <v/>
      </c>
      <c r="D32336">
        <f>IF(B32336=C32336, "YES", "WRONG")</f>
        <v/>
      </c>
    </row>
    <row r="32337">
      <c r="A32337" t="n">
        <v>32336</v>
      </c>
      <c r="B32337" t="inlineStr">
        <is>
          <t>x̄x̄x̄MMCCCXXXVI</t>
        </is>
      </c>
      <c r="C32337">
        <f>ROMAN(32336)</f>
        <v/>
      </c>
      <c r="D32337">
        <f>IF(B32337=C32337, "YES", "WRONG")</f>
        <v/>
      </c>
    </row>
    <row r="32338">
      <c r="A32338" t="n">
        <v>32337</v>
      </c>
      <c r="B32338" t="inlineStr">
        <is>
          <t>x̄x̄x̄MMCCCXXXVII</t>
        </is>
      </c>
      <c r="C32338">
        <f>ROMAN(32337)</f>
        <v/>
      </c>
      <c r="D32338">
        <f>IF(B32338=C32338, "YES", "WRONG")</f>
        <v/>
      </c>
    </row>
    <row r="32339">
      <c r="A32339" t="n">
        <v>32338</v>
      </c>
      <c r="B32339" t="inlineStr">
        <is>
          <t>x̄x̄x̄MMCCCXXXVIII</t>
        </is>
      </c>
      <c r="C32339">
        <f>ROMAN(32338)</f>
        <v/>
      </c>
      <c r="D32339">
        <f>IF(B32339=C32339, "YES", "WRONG")</f>
        <v/>
      </c>
    </row>
    <row r="32340">
      <c r="A32340" t="n">
        <v>32339</v>
      </c>
      <c r="B32340" t="inlineStr">
        <is>
          <t>x̄x̄x̄MMCCCXXXIX</t>
        </is>
      </c>
      <c r="C32340">
        <f>ROMAN(32339)</f>
        <v/>
      </c>
      <c r="D32340">
        <f>IF(B32340=C32340, "YES", "WRONG")</f>
        <v/>
      </c>
    </row>
    <row r="32341">
      <c r="A32341" t="n">
        <v>32340</v>
      </c>
      <c r="B32341" t="inlineStr">
        <is>
          <t>x̄x̄x̄MMCCCXL</t>
        </is>
      </c>
      <c r="C32341">
        <f>ROMAN(32340)</f>
        <v/>
      </c>
      <c r="D32341">
        <f>IF(B32341=C32341, "YES", "WRONG")</f>
        <v/>
      </c>
    </row>
    <row r="32342">
      <c r="A32342" t="n">
        <v>32341</v>
      </c>
      <c r="B32342" t="inlineStr">
        <is>
          <t>x̄x̄x̄MMCCCXLI</t>
        </is>
      </c>
      <c r="C32342">
        <f>ROMAN(32341)</f>
        <v/>
      </c>
      <c r="D32342">
        <f>IF(B32342=C32342, "YES", "WRONG")</f>
        <v/>
      </c>
    </row>
    <row r="32343">
      <c r="A32343" t="n">
        <v>32342</v>
      </c>
      <c r="B32343" t="inlineStr">
        <is>
          <t>x̄x̄x̄MMCCCXLII</t>
        </is>
      </c>
      <c r="C32343">
        <f>ROMAN(32342)</f>
        <v/>
      </c>
      <c r="D32343">
        <f>IF(B32343=C32343, "YES", "WRONG")</f>
        <v/>
      </c>
    </row>
    <row r="32344">
      <c r="A32344" t="n">
        <v>32343</v>
      </c>
      <c r="B32344" t="inlineStr">
        <is>
          <t>x̄x̄x̄MMCCCXLIII</t>
        </is>
      </c>
      <c r="C32344">
        <f>ROMAN(32343)</f>
        <v/>
      </c>
      <c r="D32344">
        <f>IF(B32344=C32344, "YES", "WRONG")</f>
        <v/>
      </c>
    </row>
    <row r="32345">
      <c r="A32345" t="n">
        <v>32344</v>
      </c>
      <c r="B32345" t="inlineStr">
        <is>
          <t>x̄x̄x̄MMCCCXLIV</t>
        </is>
      </c>
      <c r="C32345">
        <f>ROMAN(32344)</f>
        <v/>
      </c>
      <c r="D32345">
        <f>IF(B32345=C32345, "YES", "WRONG")</f>
        <v/>
      </c>
    </row>
    <row r="32346">
      <c r="A32346" t="n">
        <v>32345</v>
      </c>
      <c r="B32346" t="inlineStr">
        <is>
          <t>x̄x̄x̄MMCCCXLV</t>
        </is>
      </c>
      <c r="C32346">
        <f>ROMAN(32345)</f>
        <v/>
      </c>
      <c r="D32346">
        <f>IF(B32346=C32346, "YES", "WRONG")</f>
        <v/>
      </c>
    </row>
    <row r="32347">
      <c r="A32347" t="n">
        <v>32346</v>
      </c>
      <c r="B32347" t="inlineStr">
        <is>
          <t>x̄x̄x̄MMCCCXLVI</t>
        </is>
      </c>
      <c r="C32347">
        <f>ROMAN(32346)</f>
        <v/>
      </c>
      <c r="D32347">
        <f>IF(B32347=C32347, "YES", "WRONG")</f>
        <v/>
      </c>
    </row>
    <row r="32348">
      <c r="A32348" t="n">
        <v>32347</v>
      </c>
      <c r="B32348" t="inlineStr">
        <is>
          <t>x̄x̄x̄MMCCCXLVII</t>
        </is>
      </c>
      <c r="C32348">
        <f>ROMAN(32347)</f>
        <v/>
      </c>
      <c r="D32348">
        <f>IF(B32348=C32348, "YES", "WRONG")</f>
        <v/>
      </c>
    </row>
    <row r="32349">
      <c r="A32349" t="n">
        <v>32348</v>
      </c>
      <c r="B32349" t="inlineStr">
        <is>
          <t>x̄x̄x̄MMCCCXLVIII</t>
        </is>
      </c>
      <c r="C32349">
        <f>ROMAN(32348)</f>
        <v/>
      </c>
      <c r="D32349">
        <f>IF(B32349=C32349, "YES", "WRONG")</f>
        <v/>
      </c>
    </row>
    <row r="32350">
      <c r="A32350" t="n">
        <v>32349</v>
      </c>
      <c r="B32350" t="inlineStr">
        <is>
          <t>x̄x̄x̄MMCCCXLIX</t>
        </is>
      </c>
      <c r="C32350">
        <f>ROMAN(32349)</f>
        <v/>
      </c>
      <c r="D32350">
        <f>IF(B32350=C32350, "YES", "WRONG")</f>
        <v/>
      </c>
    </row>
    <row r="32351">
      <c r="A32351" t="n">
        <v>32350</v>
      </c>
      <c r="B32351" t="inlineStr">
        <is>
          <t>x̄x̄x̄MMCCCL</t>
        </is>
      </c>
      <c r="C32351">
        <f>ROMAN(32350)</f>
        <v/>
      </c>
      <c r="D32351">
        <f>IF(B32351=C32351, "YES", "WRONG")</f>
        <v/>
      </c>
    </row>
    <row r="32352">
      <c r="A32352" t="n">
        <v>32351</v>
      </c>
      <c r="B32352" t="inlineStr">
        <is>
          <t>x̄x̄x̄MMCCCLI</t>
        </is>
      </c>
      <c r="C32352">
        <f>ROMAN(32351)</f>
        <v/>
      </c>
      <c r="D32352">
        <f>IF(B32352=C32352, "YES", "WRONG")</f>
        <v/>
      </c>
    </row>
    <row r="32353">
      <c r="A32353" t="n">
        <v>32352</v>
      </c>
      <c r="B32353" t="inlineStr">
        <is>
          <t>x̄x̄x̄MMCCCLII</t>
        </is>
      </c>
      <c r="C32353">
        <f>ROMAN(32352)</f>
        <v/>
      </c>
      <c r="D32353">
        <f>IF(B32353=C32353, "YES", "WRONG")</f>
        <v/>
      </c>
    </row>
    <row r="32354">
      <c r="A32354" t="n">
        <v>32353</v>
      </c>
      <c r="B32354" t="inlineStr">
        <is>
          <t>x̄x̄x̄MMCCCLIII</t>
        </is>
      </c>
      <c r="C32354">
        <f>ROMAN(32353)</f>
        <v/>
      </c>
      <c r="D32354">
        <f>IF(B32354=C32354, "YES", "WRONG")</f>
        <v/>
      </c>
    </row>
    <row r="32355">
      <c r="A32355" t="n">
        <v>32354</v>
      </c>
      <c r="B32355" t="inlineStr">
        <is>
          <t>x̄x̄x̄MMCCCLIV</t>
        </is>
      </c>
      <c r="C32355">
        <f>ROMAN(32354)</f>
        <v/>
      </c>
      <c r="D32355">
        <f>IF(B32355=C32355, "YES", "WRONG")</f>
        <v/>
      </c>
    </row>
    <row r="32356">
      <c r="A32356" t="n">
        <v>32355</v>
      </c>
      <c r="B32356" t="inlineStr">
        <is>
          <t>x̄x̄x̄MMCCCLV</t>
        </is>
      </c>
      <c r="C32356">
        <f>ROMAN(32355)</f>
        <v/>
      </c>
      <c r="D32356">
        <f>IF(B32356=C32356, "YES", "WRONG")</f>
        <v/>
      </c>
    </row>
    <row r="32357">
      <c r="A32357" t="n">
        <v>32356</v>
      </c>
      <c r="B32357" t="inlineStr">
        <is>
          <t>x̄x̄x̄MMCCCLVI</t>
        </is>
      </c>
      <c r="C32357">
        <f>ROMAN(32356)</f>
        <v/>
      </c>
      <c r="D32357">
        <f>IF(B32357=C32357, "YES", "WRONG")</f>
        <v/>
      </c>
    </row>
    <row r="32358">
      <c r="A32358" t="n">
        <v>32357</v>
      </c>
      <c r="B32358" t="inlineStr">
        <is>
          <t>x̄x̄x̄MMCCCLVII</t>
        </is>
      </c>
      <c r="C32358">
        <f>ROMAN(32357)</f>
        <v/>
      </c>
      <c r="D32358">
        <f>IF(B32358=C32358, "YES", "WRONG")</f>
        <v/>
      </c>
    </row>
    <row r="32359">
      <c r="A32359" t="n">
        <v>32358</v>
      </c>
      <c r="B32359" t="inlineStr">
        <is>
          <t>x̄x̄x̄MMCCCLVIII</t>
        </is>
      </c>
      <c r="C32359">
        <f>ROMAN(32358)</f>
        <v/>
      </c>
      <c r="D32359">
        <f>IF(B32359=C32359, "YES", "WRONG")</f>
        <v/>
      </c>
    </row>
    <row r="32360">
      <c r="A32360" t="n">
        <v>32359</v>
      </c>
      <c r="B32360" t="inlineStr">
        <is>
          <t>x̄x̄x̄MMCCCLIX</t>
        </is>
      </c>
      <c r="C32360">
        <f>ROMAN(32359)</f>
        <v/>
      </c>
      <c r="D32360">
        <f>IF(B32360=C32360, "YES", "WRONG")</f>
        <v/>
      </c>
    </row>
    <row r="32361">
      <c r="A32361" t="n">
        <v>32360</v>
      </c>
      <c r="B32361" t="inlineStr">
        <is>
          <t>x̄x̄x̄MMCCCLX</t>
        </is>
      </c>
      <c r="C32361">
        <f>ROMAN(32360)</f>
        <v/>
      </c>
      <c r="D32361">
        <f>IF(B32361=C32361, "YES", "WRONG")</f>
        <v/>
      </c>
    </row>
    <row r="32362">
      <c r="A32362" t="n">
        <v>32361</v>
      </c>
      <c r="B32362" t="inlineStr">
        <is>
          <t>x̄x̄x̄MMCCCLXI</t>
        </is>
      </c>
      <c r="C32362">
        <f>ROMAN(32361)</f>
        <v/>
      </c>
      <c r="D32362">
        <f>IF(B32362=C32362, "YES", "WRONG")</f>
        <v/>
      </c>
    </row>
    <row r="32363">
      <c r="A32363" t="n">
        <v>32362</v>
      </c>
      <c r="B32363" t="inlineStr">
        <is>
          <t>x̄x̄x̄MMCCCLXII</t>
        </is>
      </c>
      <c r="C32363">
        <f>ROMAN(32362)</f>
        <v/>
      </c>
      <c r="D32363">
        <f>IF(B32363=C32363, "YES", "WRONG")</f>
        <v/>
      </c>
    </row>
    <row r="32364">
      <c r="A32364" t="n">
        <v>32363</v>
      </c>
      <c r="B32364" t="inlineStr">
        <is>
          <t>x̄x̄x̄MMCCCLXIII</t>
        </is>
      </c>
      <c r="C32364">
        <f>ROMAN(32363)</f>
        <v/>
      </c>
      <c r="D32364">
        <f>IF(B32364=C32364, "YES", "WRONG")</f>
        <v/>
      </c>
    </row>
    <row r="32365">
      <c r="A32365" t="n">
        <v>32364</v>
      </c>
      <c r="B32365" t="inlineStr">
        <is>
          <t>x̄x̄x̄MMCCCLXIV</t>
        </is>
      </c>
      <c r="C32365">
        <f>ROMAN(32364)</f>
        <v/>
      </c>
      <c r="D32365">
        <f>IF(B32365=C32365, "YES", "WRONG")</f>
        <v/>
      </c>
    </row>
    <row r="32366">
      <c r="A32366" t="n">
        <v>32365</v>
      </c>
      <c r="B32366" t="inlineStr">
        <is>
          <t>x̄x̄x̄MMCCCLXV</t>
        </is>
      </c>
      <c r="C32366">
        <f>ROMAN(32365)</f>
        <v/>
      </c>
      <c r="D32366">
        <f>IF(B32366=C32366, "YES", "WRONG")</f>
        <v/>
      </c>
    </row>
    <row r="32367">
      <c r="A32367" t="n">
        <v>32366</v>
      </c>
      <c r="B32367" t="inlineStr">
        <is>
          <t>x̄x̄x̄MMCCCLXVI</t>
        </is>
      </c>
      <c r="C32367">
        <f>ROMAN(32366)</f>
        <v/>
      </c>
      <c r="D32367">
        <f>IF(B32367=C32367, "YES", "WRONG")</f>
        <v/>
      </c>
    </row>
    <row r="32368">
      <c r="A32368" t="n">
        <v>32367</v>
      </c>
      <c r="B32368" t="inlineStr">
        <is>
          <t>x̄x̄x̄MMCCCLXVII</t>
        </is>
      </c>
      <c r="C32368">
        <f>ROMAN(32367)</f>
        <v/>
      </c>
      <c r="D32368">
        <f>IF(B32368=C32368, "YES", "WRONG")</f>
        <v/>
      </c>
    </row>
    <row r="32369">
      <c r="A32369" t="n">
        <v>32368</v>
      </c>
      <c r="B32369" t="inlineStr">
        <is>
          <t>x̄x̄x̄MMCCCLXVIII</t>
        </is>
      </c>
      <c r="C32369">
        <f>ROMAN(32368)</f>
        <v/>
      </c>
      <c r="D32369">
        <f>IF(B32369=C32369, "YES", "WRONG")</f>
        <v/>
      </c>
    </row>
    <row r="32370">
      <c r="A32370" t="n">
        <v>32369</v>
      </c>
      <c r="B32370" t="inlineStr">
        <is>
          <t>x̄x̄x̄MMCCCLXIX</t>
        </is>
      </c>
      <c r="C32370">
        <f>ROMAN(32369)</f>
        <v/>
      </c>
      <c r="D32370">
        <f>IF(B32370=C32370, "YES", "WRONG")</f>
        <v/>
      </c>
    </row>
    <row r="32371">
      <c r="A32371" t="n">
        <v>32370</v>
      </c>
      <c r="B32371" t="inlineStr">
        <is>
          <t>x̄x̄x̄MMCCCLXX</t>
        </is>
      </c>
      <c r="C32371">
        <f>ROMAN(32370)</f>
        <v/>
      </c>
      <c r="D32371">
        <f>IF(B32371=C32371, "YES", "WRONG")</f>
        <v/>
      </c>
    </row>
    <row r="32372">
      <c r="A32372" t="n">
        <v>32371</v>
      </c>
      <c r="B32372" t="inlineStr">
        <is>
          <t>x̄x̄x̄MMCCCLXXI</t>
        </is>
      </c>
      <c r="C32372">
        <f>ROMAN(32371)</f>
        <v/>
      </c>
      <c r="D32372">
        <f>IF(B32372=C32372, "YES", "WRONG")</f>
        <v/>
      </c>
    </row>
    <row r="32373">
      <c r="A32373" t="n">
        <v>32372</v>
      </c>
      <c r="B32373" t="inlineStr">
        <is>
          <t>x̄x̄x̄MMCCCLXXII</t>
        </is>
      </c>
      <c r="C32373">
        <f>ROMAN(32372)</f>
        <v/>
      </c>
      <c r="D32373">
        <f>IF(B32373=C32373, "YES", "WRONG")</f>
        <v/>
      </c>
    </row>
    <row r="32374">
      <c r="A32374" t="n">
        <v>32373</v>
      </c>
      <c r="B32374" t="inlineStr">
        <is>
          <t>x̄x̄x̄MMCCCLXXIII</t>
        </is>
      </c>
      <c r="C32374">
        <f>ROMAN(32373)</f>
        <v/>
      </c>
      <c r="D32374">
        <f>IF(B32374=C32374, "YES", "WRONG")</f>
        <v/>
      </c>
    </row>
    <row r="32375">
      <c r="A32375" t="n">
        <v>32374</v>
      </c>
      <c r="B32375" t="inlineStr">
        <is>
          <t>x̄x̄x̄MMCCCLXXIV</t>
        </is>
      </c>
      <c r="C32375">
        <f>ROMAN(32374)</f>
        <v/>
      </c>
      <c r="D32375">
        <f>IF(B32375=C32375, "YES", "WRONG")</f>
        <v/>
      </c>
    </row>
    <row r="32376">
      <c r="A32376" t="n">
        <v>32375</v>
      </c>
      <c r="B32376" t="inlineStr">
        <is>
          <t>x̄x̄x̄MMCCCLXXV</t>
        </is>
      </c>
      <c r="C32376">
        <f>ROMAN(32375)</f>
        <v/>
      </c>
      <c r="D32376">
        <f>IF(B32376=C32376, "YES", "WRONG")</f>
        <v/>
      </c>
    </row>
    <row r="32377">
      <c r="A32377" t="n">
        <v>32376</v>
      </c>
      <c r="B32377" t="inlineStr">
        <is>
          <t>x̄x̄x̄MMCCCLXXVI</t>
        </is>
      </c>
      <c r="C32377">
        <f>ROMAN(32376)</f>
        <v/>
      </c>
      <c r="D32377">
        <f>IF(B32377=C32377, "YES", "WRONG")</f>
        <v/>
      </c>
    </row>
    <row r="32378">
      <c r="A32378" t="n">
        <v>32377</v>
      </c>
      <c r="B32378" t="inlineStr">
        <is>
          <t>x̄x̄x̄MMCCCLXXVII</t>
        </is>
      </c>
      <c r="C32378">
        <f>ROMAN(32377)</f>
        <v/>
      </c>
      <c r="D32378">
        <f>IF(B32378=C32378, "YES", "WRONG")</f>
        <v/>
      </c>
    </row>
    <row r="32379">
      <c r="A32379" t="n">
        <v>32378</v>
      </c>
      <c r="B32379" t="inlineStr">
        <is>
          <t>x̄x̄x̄MMCCCLXXVIII</t>
        </is>
      </c>
      <c r="C32379">
        <f>ROMAN(32378)</f>
        <v/>
      </c>
      <c r="D32379">
        <f>IF(B32379=C32379, "YES", "WRONG")</f>
        <v/>
      </c>
    </row>
    <row r="32380">
      <c r="A32380" t="n">
        <v>32379</v>
      </c>
      <c r="B32380" t="inlineStr">
        <is>
          <t>x̄x̄x̄MMCCCLXXIX</t>
        </is>
      </c>
      <c r="C32380">
        <f>ROMAN(32379)</f>
        <v/>
      </c>
      <c r="D32380">
        <f>IF(B32380=C32380, "YES", "WRONG")</f>
        <v/>
      </c>
    </row>
    <row r="32381">
      <c r="A32381" t="n">
        <v>32380</v>
      </c>
      <c r="B32381" t="inlineStr">
        <is>
          <t>x̄x̄x̄MMCCCLXXX</t>
        </is>
      </c>
      <c r="C32381">
        <f>ROMAN(32380)</f>
        <v/>
      </c>
      <c r="D32381">
        <f>IF(B32381=C32381, "YES", "WRONG")</f>
        <v/>
      </c>
    </row>
    <row r="32382">
      <c r="A32382" t="n">
        <v>32381</v>
      </c>
      <c r="B32382" t="inlineStr">
        <is>
          <t>x̄x̄x̄MMCCCLXXXI</t>
        </is>
      </c>
      <c r="C32382">
        <f>ROMAN(32381)</f>
        <v/>
      </c>
      <c r="D32382">
        <f>IF(B32382=C32382, "YES", "WRONG")</f>
        <v/>
      </c>
    </row>
    <row r="32383">
      <c r="A32383" t="n">
        <v>32382</v>
      </c>
      <c r="B32383" t="inlineStr">
        <is>
          <t>x̄x̄x̄MMCCCLXXXII</t>
        </is>
      </c>
      <c r="C32383">
        <f>ROMAN(32382)</f>
        <v/>
      </c>
      <c r="D32383">
        <f>IF(B32383=C32383, "YES", "WRONG")</f>
        <v/>
      </c>
    </row>
    <row r="32384">
      <c r="A32384" t="n">
        <v>32383</v>
      </c>
      <c r="B32384" t="inlineStr">
        <is>
          <t>x̄x̄x̄MMCCCLXXXIII</t>
        </is>
      </c>
      <c r="C32384">
        <f>ROMAN(32383)</f>
        <v/>
      </c>
      <c r="D32384">
        <f>IF(B32384=C32384, "YES", "WRONG")</f>
        <v/>
      </c>
    </row>
    <row r="32385">
      <c r="A32385" t="n">
        <v>32384</v>
      </c>
      <c r="B32385" t="inlineStr">
        <is>
          <t>x̄x̄x̄MMCCCLXXXIV</t>
        </is>
      </c>
      <c r="C32385">
        <f>ROMAN(32384)</f>
        <v/>
      </c>
      <c r="D32385">
        <f>IF(B32385=C32385, "YES", "WRONG")</f>
        <v/>
      </c>
    </row>
    <row r="32386">
      <c r="A32386" t="n">
        <v>32385</v>
      </c>
      <c r="B32386" t="inlineStr">
        <is>
          <t>x̄x̄x̄MMCCCLXXXV</t>
        </is>
      </c>
      <c r="C32386">
        <f>ROMAN(32385)</f>
        <v/>
      </c>
      <c r="D32386">
        <f>IF(B32386=C32386, "YES", "WRONG")</f>
        <v/>
      </c>
    </row>
    <row r="32387">
      <c r="A32387" t="n">
        <v>32386</v>
      </c>
      <c r="B32387" t="inlineStr">
        <is>
          <t>x̄x̄x̄MMCCCLXXXVI</t>
        </is>
      </c>
      <c r="C32387">
        <f>ROMAN(32386)</f>
        <v/>
      </c>
      <c r="D32387">
        <f>IF(B32387=C32387, "YES", "WRONG")</f>
        <v/>
      </c>
    </row>
    <row r="32388">
      <c r="A32388" t="n">
        <v>32387</v>
      </c>
      <c r="B32388" t="inlineStr">
        <is>
          <t>x̄x̄x̄MMCCCLXXXVII</t>
        </is>
      </c>
      <c r="C32388">
        <f>ROMAN(32387)</f>
        <v/>
      </c>
      <c r="D32388">
        <f>IF(B32388=C32388, "YES", "WRONG")</f>
        <v/>
      </c>
    </row>
    <row r="32389">
      <c r="A32389" t="n">
        <v>32388</v>
      </c>
      <c r="B32389" t="inlineStr">
        <is>
          <t>x̄x̄x̄MMCCCLXXXVIII</t>
        </is>
      </c>
      <c r="C32389">
        <f>ROMAN(32388)</f>
        <v/>
      </c>
      <c r="D32389">
        <f>IF(B32389=C32389, "YES", "WRONG")</f>
        <v/>
      </c>
    </row>
    <row r="32390">
      <c r="A32390" t="n">
        <v>32389</v>
      </c>
      <c r="B32390" t="inlineStr">
        <is>
          <t>x̄x̄x̄MMCCCLXXXIX</t>
        </is>
      </c>
      <c r="C32390">
        <f>ROMAN(32389)</f>
        <v/>
      </c>
      <c r="D32390">
        <f>IF(B32390=C32390, "YES", "WRONG")</f>
        <v/>
      </c>
    </row>
    <row r="32391">
      <c r="A32391" t="n">
        <v>32390</v>
      </c>
      <c r="B32391" t="inlineStr">
        <is>
          <t>x̄x̄x̄MMCCCXC</t>
        </is>
      </c>
      <c r="C32391">
        <f>ROMAN(32390)</f>
        <v/>
      </c>
      <c r="D32391">
        <f>IF(B32391=C32391, "YES", "WRONG")</f>
        <v/>
      </c>
    </row>
    <row r="32392">
      <c r="A32392" t="n">
        <v>32391</v>
      </c>
      <c r="B32392" t="inlineStr">
        <is>
          <t>x̄x̄x̄MMCCCXCI</t>
        </is>
      </c>
      <c r="C32392">
        <f>ROMAN(32391)</f>
        <v/>
      </c>
      <c r="D32392">
        <f>IF(B32392=C32392, "YES", "WRONG")</f>
        <v/>
      </c>
    </row>
    <row r="32393">
      <c r="A32393" t="n">
        <v>32392</v>
      </c>
      <c r="B32393" t="inlineStr">
        <is>
          <t>x̄x̄x̄MMCCCXCII</t>
        </is>
      </c>
      <c r="C32393">
        <f>ROMAN(32392)</f>
        <v/>
      </c>
      <c r="D32393">
        <f>IF(B32393=C32393, "YES", "WRONG")</f>
        <v/>
      </c>
    </row>
    <row r="32394">
      <c r="A32394" t="n">
        <v>32393</v>
      </c>
      <c r="B32394" t="inlineStr">
        <is>
          <t>x̄x̄x̄MMCCCXCIII</t>
        </is>
      </c>
      <c r="C32394">
        <f>ROMAN(32393)</f>
        <v/>
      </c>
      <c r="D32394">
        <f>IF(B32394=C32394, "YES", "WRONG")</f>
        <v/>
      </c>
    </row>
    <row r="32395">
      <c r="A32395" t="n">
        <v>32394</v>
      </c>
      <c r="B32395" t="inlineStr">
        <is>
          <t>x̄x̄x̄MMCCCXCIV</t>
        </is>
      </c>
      <c r="C32395">
        <f>ROMAN(32394)</f>
        <v/>
      </c>
      <c r="D32395">
        <f>IF(B32395=C32395, "YES", "WRONG")</f>
        <v/>
      </c>
    </row>
    <row r="32396">
      <c r="A32396" t="n">
        <v>32395</v>
      </c>
      <c r="B32396" t="inlineStr">
        <is>
          <t>x̄x̄x̄MMCCCXCV</t>
        </is>
      </c>
      <c r="C32396">
        <f>ROMAN(32395)</f>
        <v/>
      </c>
      <c r="D32396">
        <f>IF(B32396=C32396, "YES", "WRONG")</f>
        <v/>
      </c>
    </row>
    <row r="32397">
      <c r="A32397" t="n">
        <v>32396</v>
      </c>
      <c r="B32397" t="inlineStr">
        <is>
          <t>x̄x̄x̄MMCCCXCVI</t>
        </is>
      </c>
      <c r="C32397">
        <f>ROMAN(32396)</f>
        <v/>
      </c>
      <c r="D32397">
        <f>IF(B32397=C32397, "YES", "WRONG")</f>
        <v/>
      </c>
    </row>
    <row r="32398">
      <c r="A32398" t="n">
        <v>32397</v>
      </c>
      <c r="B32398" t="inlineStr">
        <is>
          <t>x̄x̄x̄MMCCCXCVII</t>
        </is>
      </c>
      <c r="C32398">
        <f>ROMAN(32397)</f>
        <v/>
      </c>
      <c r="D32398">
        <f>IF(B32398=C32398, "YES", "WRONG")</f>
        <v/>
      </c>
    </row>
    <row r="32399">
      <c r="A32399" t="n">
        <v>32398</v>
      </c>
      <c r="B32399" t="inlineStr">
        <is>
          <t>x̄x̄x̄MMCCCXCVIII</t>
        </is>
      </c>
      <c r="C32399">
        <f>ROMAN(32398)</f>
        <v/>
      </c>
      <c r="D32399">
        <f>IF(B32399=C32399, "YES", "WRONG")</f>
        <v/>
      </c>
    </row>
    <row r="32400">
      <c r="A32400" t="n">
        <v>32399</v>
      </c>
      <c r="B32400" t="inlineStr">
        <is>
          <t>x̄x̄x̄MMCCCXCIX</t>
        </is>
      </c>
      <c r="C32400">
        <f>ROMAN(32399)</f>
        <v/>
      </c>
      <c r="D32400">
        <f>IF(B32400=C32400, "YES", "WRONG")</f>
        <v/>
      </c>
    </row>
    <row r="32401">
      <c r="A32401" t="n">
        <v>32400</v>
      </c>
      <c r="B32401" t="inlineStr">
        <is>
          <t>x̄x̄x̄MMCD</t>
        </is>
      </c>
      <c r="C32401">
        <f>ROMAN(32400)</f>
        <v/>
      </c>
      <c r="D32401">
        <f>IF(B32401=C32401, "YES", "WRONG")</f>
        <v/>
      </c>
    </row>
    <row r="32402">
      <c r="A32402" t="n">
        <v>32401</v>
      </c>
      <c r="B32402" t="inlineStr">
        <is>
          <t>x̄x̄x̄MMCDI</t>
        </is>
      </c>
      <c r="C32402">
        <f>ROMAN(32401)</f>
        <v/>
      </c>
      <c r="D32402">
        <f>IF(B32402=C32402, "YES", "WRONG")</f>
        <v/>
      </c>
    </row>
    <row r="32403">
      <c r="A32403" t="n">
        <v>32402</v>
      </c>
      <c r="B32403" t="inlineStr">
        <is>
          <t>x̄x̄x̄MMCDII</t>
        </is>
      </c>
      <c r="C32403">
        <f>ROMAN(32402)</f>
        <v/>
      </c>
      <c r="D32403">
        <f>IF(B32403=C32403, "YES", "WRONG")</f>
        <v/>
      </c>
    </row>
    <row r="32404">
      <c r="A32404" t="n">
        <v>32403</v>
      </c>
      <c r="B32404" t="inlineStr">
        <is>
          <t>x̄x̄x̄MMCDIII</t>
        </is>
      </c>
      <c r="C32404">
        <f>ROMAN(32403)</f>
        <v/>
      </c>
      <c r="D32404">
        <f>IF(B32404=C32404, "YES", "WRONG")</f>
        <v/>
      </c>
    </row>
    <row r="32405">
      <c r="A32405" t="n">
        <v>32404</v>
      </c>
      <c r="B32405" t="inlineStr">
        <is>
          <t>x̄x̄x̄MMCDIV</t>
        </is>
      </c>
      <c r="C32405">
        <f>ROMAN(32404)</f>
        <v/>
      </c>
      <c r="D32405">
        <f>IF(B32405=C32405, "YES", "WRONG")</f>
        <v/>
      </c>
    </row>
    <row r="32406">
      <c r="A32406" t="n">
        <v>32405</v>
      </c>
      <c r="B32406" t="inlineStr">
        <is>
          <t>x̄x̄x̄MMCDV</t>
        </is>
      </c>
      <c r="C32406">
        <f>ROMAN(32405)</f>
        <v/>
      </c>
      <c r="D32406">
        <f>IF(B32406=C32406, "YES", "WRONG")</f>
        <v/>
      </c>
    </row>
    <row r="32407">
      <c r="A32407" t="n">
        <v>32406</v>
      </c>
      <c r="B32407" t="inlineStr">
        <is>
          <t>x̄x̄x̄MMCDVI</t>
        </is>
      </c>
      <c r="C32407">
        <f>ROMAN(32406)</f>
        <v/>
      </c>
      <c r="D32407">
        <f>IF(B32407=C32407, "YES", "WRONG")</f>
        <v/>
      </c>
    </row>
    <row r="32408">
      <c r="A32408" t="n">
        <v>32407</v>
      </c>
      <c r="B32408" t="inlineStr">
        <is>
          <t>x̄x̄x̄MMCDVII</t>
        </is>
      </c>
      <c r="C32408">
        <f>ROMAN(32407)</f>
        <v/>
      </c>
      <c r="D32408">
        <f>IF(B32408=C32408, "YES", "WRONG")</f>
        <v/>
      </c>
    </row>
    <row r="32409">
      <c r="A32409" t="n">
        <v>32408</v>
      </c>
      <c r="B32409" t="inlineStr">
        <is>
          <t>x̄x̄x̄MMCDVIII</t>
        </is>
      </c>
      <c r="C32409">
        <f>ROMAN(32408)</f>
        <v/>
      </c>
      <c r="D32409">
        <f>IF(B32409=C32409, "YES", "WRONG")</f>
        <v/>
      </c>
    </row>
    <row r="32410">
      <c r="A32410" t="n">
        <v>32409</v>
      </c>
      <c r="B32410" t="inlineStr">
        <is>
          <t>x̄x̄x̄MMCDIX</t>
        </is>
      </c>
      <c r="C32410">
        <f>ROMAN(32409)</f>
        <v/>
      </c>
      <c r="D32410">
        <f>IF(B32410=C32410, "YES", "WRONG")</f>
        <v/>
      </c>
    </row>
    <row r="32411">
      <c r="A32411" t="n">
        <v>32410</v>
      </c>
      <c r="B32411" t="inlineStr">
        <is>
          <t>x̄x̄x̄MMCDX</t>
        </is>
      </c>
      <c r="C32411">
        <f>ROMAN(32410)</f>
        <v/>
      </c>
      <c r="D32411">
        <f>IF(B32411=C32411, "YES", "WRONG")</f>
        <v/>
      </c>
    </row>
    <row r="32412">
      <c r="A32412" t="n">
        <v>32411</v>
      </c>
      <c r="B32412" t="inlineStr">
        <is>
          <t>x̄x̄x̄MMCDXI</t>
        </is>
      </c>
      <c r="C32412">
        <f>ROMAN(32411)</f>
        <v/>
      </c>
      <c r="D32412">
        <f>IF(B32412=C32412, "YES", "WRONG")</f>
        <v/>
      </c>
    </row>
    <row r="32413">
      <c r="A32413" t="n">
        <v>32412</v>
      </c>
      <c r="B32413" t="inlineStr">
        <is>
          <t>x̄x̄x̄MMCDXII</t>
        </is>
      </c>
      <c r="C32413">
        <f>ROMAN(32412)</f>
        <v/>
      </c>
      <c r="D32413">
        <f>IF(B32413=C32413, "YES", "WRONG")</f>
        <v/>
      </c>
    </row>
    <row r="32414">
      <c r="A32414" t="n">
        <v>32413</v>
      </c>
      <c r="B32414" t="inlineStr">
        <is>
          <t>x̄x̄x̄MMCDXIII</t>
        </is>
      </c>
      <c r="C32414">
        <f>ROMAN(32413)</f>
        <v/>
      </c>
      <c r="D32414">
        <f>IF(B32414=C32414, "YES", "WRONG")</f>
        <v/>
      </c>
    </row>
    <row r="32415">
      <c r="A32415" t="n">
        <v>32414</v>
      </c>
      <c r="B32415" t="inlineStr">
        <is>
          <t>x̄x̄x̄MMCDXIV</t>
        </is>
      </c>
      <c r="C32415">
        <f>ROMAN(32414)</f>
        <v/>
      </c>
      <c r="D32415">
        <f>IF(B32415=C32415, "YES", "WRONG")</f>
        <v/>
      </c>
    </row>
    <row r="32416">
      <c r="A32416" t="n">
        <v>32415</v>
      </c>
      <c r="B32416" t="inlineStr">
        <is>
          <t>x̄x̄x̄MMCDXV</t>
        </is>
      </c>
      <c r="C32416">
        <f>ROMAN(32415)</f>
        <v/>
      </c>
      <c r="D32416">
        <f>IF(B32416=C32416, "YES", "WRONG")</f>
        <v/>
      </c>
    </row>
    <row r="32417">
      <c r="A32417" t="n">
        <v>32416</v>
      </c>
      <c r="B32417" t="inlineStr">
        <is>
          <t>x̄x̄x̄MMCDXVI</t>
        </is>
      </c>
      <c r="C32417">
        <f>ROMAN(32416)</f>
        <v/>
      </c>
      <c r="D32417">
        <f>IF(B32417=C32417, "YES", "WRONG")</f>
        <v/>
      </c>
    </row>
    <row r="32418">
      <c r="A32418" t="n">
        <v>32417</v>
      </c>
      <c r="B32418" t="inlineStr">
        <is>
          <t>x̄x̄x̄MMCDXVII</t>
        </is>
      </c>
      <c r="C32418">
        <f>ROMAN(32417)</f>
        <v/>
      </c>
      <c r="D32418">
        <f>IF(B32418=C32418, "YES", "WRONG")</f>
        <v/>
      </c>
    </row>
    <row r="32419">
      <c r="A32419" t="n">
        <v>32418</v>
      </c>
      <c r="B32419" t="inlineStr">
        <is>
          <t>x̄x̄x̄MMCDXVIII</t>
        </is>
      </c>
      <c r="C32419">
        <f>ROMAN(32418)</f>
        <v/>
      </c>
      <c r="D32419">
        <f>IF(B32419=C32419, "YES", "WRONG")</f>
        <v/>
      </c>
    </row>
    <row r="32420">
      <c r="A32420" t="n">
        <v>32419</v>
      </c>
      <c r="B32420" t="inlineStr">
        <is>
          <t>x̄x̄x̄MMCDXIX</t>
        </is>
      </c>
      <c r="C32420">
        <f>ROMAN(32419)</f>
        <v/>
      </c>
      <c r="D32420">
        <f>IF(B32420=C32420, "YES", "WRONG")</f>
        <v/>
      </c>
    </row>
    <row r="32421">
      <c r="A32421" t="n">
        <v>32420</v>
      </c>
      <c r="B32421" t="inlineStr">
        <is>
          <t>x̄x̄x̄MMCDXX</t>
        </is>
      </c>
      <c r="C32421">
        <f>ROMAN(32420)</f>
        <v/>
      </c>
      <c r="D32421">
        <f>IF(B32421=C32421, "YES", "WRONG")</f>
        <v/>
      </c>
    </row>
    <row r="32422">
      <c r="A32422" t="n">
        <v>32421</v>
      </c>
      <c r="B32422" t="inlineStr">
        <is>
          <t>x̄x̄x̄MMCDXXI</t>
        </is>
      </c>
      <c r="C32422">
        <f>ROMAN(32421)</f>
        <v/>
      </c>
      <c r="D32422">
        <f>IF(B32422=C32422, "YES", "WRONG")</f>
        <v/>
      </c>
    </row>
    <row r="32423">
      <c r="A32423" t="n">
        <v>32422</v>
      </c>
      <c r="B32423" t="inlineStr">
        <is>
          <t>x̄x̄x̄MMCDXXII</t>
        </is>
      </c>
      <c r="C32423">
        <f>ROMAN(32422)</f>
        <v/>
      </c>
      <c r="D32423">
        <f>IF(B32423=C32423, "YES", "WRONG")</f>
        <v/>
      </c>
    </row>
    <row r="32424">
      <c r="A32424" t="n">
        <v>32423</v>
      </c>
      <c r="B32424" t="inlineStr">
        <is>
          <t>x̄x̄x̄MMCDXXIII</t>
        </is>
      </c>
      <c r="C32424">
        <f>ROMAN(32423)</f>
        <v/>
      </c>
      <c r="D32424">
        <f>IF(B32424=C32424, "YES", "WRONG")</f>
        <v/>
      </c>
    </row>
    <row r="32425">
      <c r="A32425" t="n">
        <v>32424</v>
      </c>
      <c r="B32425" t="inlineStr">
        <is>
          <t>x̄x̄x̄MMCDXXIV</t>
        </is>
      </c>
      <c r="C32425">
        <f>ROMAN(32424)</f>
        <v/>
      </c>
      <c r="D32425">
        <f>IF(B32425=C32425, "YES", "WRONG")</f>
        <v/>
      </c>
    </row>
    <row r="32426">
      <c r="A32426" t="n">
        <v>32425</v>
      </c>
      <c r="B32426" t="inlineStr">
        <is>
          <t>x̄x̄x̄MMCDXXV</t>
        </is>
      </c>
      <c r="C32426">
        <f>ROMAN(32425)</f>
        <v/>
      </c>
      <c r="D32426">
        <f>IF(B32426=C32426, "YES", "WRONG")</f>
        <v/>
      </c>
    </row>
    <row r="32427">
      <c r="A32427" t="n">
        <v>32426</v>
      </c>
      <c r="B32427" t="inlineStr">
        <is>
          <t>x̄x̄x̄MMCDXXVI</t>
        </is>
      </c>
      <c r="C32427">
        <f>ROMAN(32426)</f>
        <v/>
      </c>
      <c r="D32427">
        <f>IF(B32427=C32427, "YES", "WRONG")</f>
        <v/>
      </c>
    </row>
    <row r="32428">
      <c r="A32428" t="n">
        <v>32427</v>
      </c>
      <c r="B32428" t="inlineStr">
        <is>
          <t>x̄x̄x̄MMCDXXVII</t>
        </is>
      </c>
      <c r="C32428">
        <f>ROMAN(32427)</f>
        <v/>
      </c>
      <c r="D32428">
        <f>IF(B32428=C32428, "YES", "WRONG")</f>
        <v/>
      </c>
    </row>
    <row r="32429">
      <c r="A32429" t="n">
        <v>32428</v>
      </c>
      <c r="B32429" t="inlineStr">
        <is>
          <t>x̄x̄x̄MMCDXXVIII</t>
        </is>
      </c>
      <c r="C32429">
        <f>ROMAN(32428)</f>
        <v/>
      </c>
      <c r="D32429">
        <f>IF(B32429=C32429, "YES", "WRONG")</f>
        <v/>
      </c>
    </row>
    <row r="32430">
      <c r="A32430" t="n">
        <v>32429</v>
      </c>
      <c r="B32430" t="inlineStr">
        <is>
          <t>x̄x̄x̄MMCDXXIX</t>
        </is>
      </c>
      <c r="C32430">
        <f>ROMAN(32429)</f>
        <v/>
      </c>
      <c r="D32430">
        <f>IF(B32430=C32430, "YES", "WRONG")</f>
        <v/>
      </c>
    </row>
    <row r="32431">
      <c r="A32431" t="n">
        <v>32430</v>
      </c>
      <c r="B32431" t="inlineStr">
        <is>
          <t>x̄x̄x̄MMCDXXX</t>
        </is>
      </c>
      <c r="C32431">
        <f>ROMAN(32430)</f>
        <v/>
      </c>
      <c r="D32431">
        <f>IF(B32431=C32431, "YES", "WRONG")</f>
        <v/>
      </c>
    </row>
    <row r="32432">
      <c r="A32432" t="n">
        <v>32431</v>
      </c>
      <c r="B32432" t="inlineStr">
        <is>
          <t>x̄x̄x̄MMCDXXXI</t>
        </is>
      </c>
      <c r="C32432">
        <f>ROMAN(32431)</f>
        <v/>
      </c>
      <c r="D32432">
        <f>IF(B32432=C32432, "YES", "WRONG")</f>
        <v/>
      </c>
    </row>
    <row r="32433">
      <c r="A32433" t="n">
        <v>32432</v>
      </c>
      <c r="B32433" t="inlineStr">
        <is>
          <t>x̄x̄x̄MMCDXXXII</t>
        </is>
      </c>
      <c r="C32433">
        <f>ROMAN(32432)</f>
        <v/>
      </c>
      <c r="D32433">
        <f>IF(B32433=C32433, "YES", "WRONG")</f>
        <v/>
      </c>
    </row>
    <row r="32434">
      <c r="A32434" t="n">
        <v>32433</v>
      </c>
      <c r="B32434" t="inlineStr">
        <is>
          <t>x̄x̄x̄MMCDXXXIII</t>
        </is>
      </c>
      <c r="C32434">
        <f>ROMAN(32433)</f>
        <v/>
      </c>
      <c r="D32434">
        <f>IF(B32434=C32434, "YES", "WRONG")</f>
        <v/>
      </c>
    </row>
    <row r="32435">
      <c r="A32435" t="n">
        <v>32434</v>
      </c>
      <c r="B32435" t="inlineStr">
        <is>
          <t>x̄x̄x̄MMCDXXXIV</t>
        </is>
      </c>
      <c r="C32435">
        <f>ROMAN(32434)</f>
        <v/>
      </c>
      <c r="D32435">
        <f>IF(B32435=C32435, "YES", "WRONG")</f>
        <v/>
      </c>
    </row>
    <row r="32436">
      <c r="A32436" t="n">
        <v>32435</v>
      </c>
      <c r="B32436" t="inlineStr">
        <is>
          <t>x̄x̄x̄MMCDXXXV</t>
        </is>
      </c>
      <c r="C32436">
        <f>ROMAN(32435)</f>
        <v/>
      </c>
      <c r="D32436">
        <f>IF(B32436=C32436, "YES", "WRONG")</f>
        <v/>
      </c>
    </row>
    <row r="32437">
      <c r="A32437" t="n">
        <v>32436</v>
      </c>
      <c r="B32437" t="inlineStr">
        <is>
          <t>x̄x̄x̄MMCDXXXVI</t>
        </is>
      </c>
      <c r="C32437">
        <f>ROMAN(32436)</f>
        <v/>
      </c>
      <c r="D32437">
        <f>IF(B32437=C32437, "YES", "WRONG")</f>
        <v/>
      </c>
    </row>
    <row r="32438">
      <c r="A32438" t="n">
        <v>32437</v>
      </c>
      <c r="B32438" t="inlineStr">
        <is>
          <t>x̄x̄x̄MMCDXXXVII</t>
        </is>
      </c>
      <c r="C32438">
        <f>ROMAN(32437)</f>
        <v/>
      </c>
      <c r="D32438">
        <f>IF(B32438=C32438, "YES", "WRONG")</f>
        <v/>
      </c>
    </row>
    <row r="32439">
      <c r="A32439" t="n">
        <v>32438</v>
      </c>
      <c r="B32439" t="inlineStr">
        <is>
          <t>x̄x̄x̄MMCDXXXVIII</t>
        </is>
      </c>
      <c r="C32439">
        <f>ROMAN(32438)</f>
        <v/>
      </c>
      <c r="D32439">
        <f>IF(B32439=C32439, "YES", "WRONG")</f>
        <v/>
      </c>
    </row>
    <row r="32440">
      <c r="A32440" t="n">
        <v>32439</v>
      </c>
      <c r="B32440" t="inlineStr">
        <is>
          <t>x̄x̄x̄MMCDXXXIX</t>
        </is>
      </c>
      <c r="C32440">
        <f>ROMAN(32439)</f>
        <v/>
      </c>
      <c r="D32440">
        <f>IF(B32440=C32440, "YES", "WRONG")</f>
        <v/>
      </c>
    </row>
    <row r="32441">
      <c r="A32441" t="n">
        <v>32440</v>
      </c>
      <c r="B32441" t="inlineStr">
        <is>
          <t>x̄x̄x̄MMCDXL</t>
        </is>
      </c>
      <c r="C32441">
        <f>ROMAN(32440)</f>
        <v/>
      </c>
      <c r="D32441">
        <f>IF(B32441=C32441, "YES", "WRONG")</f>
        <v/>
      </c>
    </row>
    <row r="32442">
      <c r="A32442" t="n">
        <v>32441</v>
      </c>
      <c r="B32442" t="inlineStr">
        <is>
          <t>x̄x̄x̄MMCDXLI</t>
        </is>
      </c>
      <c r="C32442">
        <f>ROMAN(32441)</f>
        <v/>
      </c>
      <c r="D32442">
        <f>IF(B32442=C32442, "YES", "WRONG")</f>
        <v/>
      </c>
    </row>
    <row r="32443">
      <c r="A32443" t="n">
        <v>32442</v>
      </c>
      <c r="B32443" t="inlineStr">
        <is>
          <t>x̄x̄x̄MMCDXLII</t>
        </is>
      </c>
      <c r="C32443">
        <f>ROMAN(32442)</f>
        <v/>
      </c>
      <c r="D32443">
        <f>IF(B32443=C32443, "YES", "WRONG")</f>
        <v/>
      </c>
    </row>
    <row r="32444">
      <c r="A32444" t="n">
        <v>32443</v>
      </c>
      <c r="B32444" t="inlineStr">
        <is>
          <t>x̄x̄x̄MMCDXLIII</t>
        </is>
      </c>
      <c r="C32444">
        <f>ROMAN(32443)</f>
        <v/>
      </c>
      <c r="D32444">
        <f>IF(B32444=C32444, "YES", "WRONG")</f>
        <v/>
      </c>
    </row>
    <row r="32445">
      <c r="A32445" t="n">
        <v>32444</v>
      </c>
      <c r="B32445" t="inlineStr">
        <is>
          <t>x̄x̄x̄MMCDXLIV</t>
        </is>
      </c>
      <c r="C32445">
        <f>ROMAN(32444)</f>
        <v/>
      </c>
      <c r="D32445">
        <f>IF(B32445=C32445, "YES", "WRONG")</f>
        <v/>
      </c>
    </row>
    <row r="32446">
      <c r="A32446" t="n">
        <v>32445</v>
      </c>
      <c r="B32446" t="inlineStr">
        <is>
          <t>x̄x̄x̄MMCDXLV</t>
        </is>
      </c>
      <c r="C32446">
        <f>ROMAN(32445)</f>
        <v/>
      </c>
      <c r="D32446">
        <f>IF(B32446=C32446, "YES", "WRONG")</f>
        <v/>
      </c>
    </row>
    <row r="32447">
      <c r="A32447" t="n">
        <v>32446</v>
      </c>
      <c r="B32447" t="inlineStr">
        <is>
          <t>x̄x̄x̄MMCDXLVI</t>
        </is>
      </c>
      <c r="C32447">
        <f>ROMAN(32446)</f>
        <v/>
      </c>
      <c r="D32447">
        <f>IF(B32447=C32447, "YES", "WRONG")</f>
        <v/>
      </c>
    </row>
    <row r="32448">
      <c r="A32448" t="n">
        <v>32447</v>
      </c>
      <c r="B32448" t="inlineStr">
        <is>
          <t>x̄x̄x̄MMCDXLVII</t>
        </is>
      </c>
      <c r="C32448">
        <f>ROMAN(32447)</f>
        <v/>
      </c>
      <c r="D32448">
        <f>IF(B32448=C32448, "YES", "WRONG")</f>
        <v/>
      </c>
    </row>
    <row r="32449">
      <c r="A32449" t="n">
        <v>32448</v>
      </c>
      <c r="B32449" t="inlineStr">
        <is>
          <t>x̄x̄x̄MMCDXLVIII</t>
        </is>
      </c>
      <c r="C32449">
        <f>ROMAN(32448)</f>
        <v/>
      </c>
      <c r="D32449">
        <f>IF(B32449=C32449, "YES", "WRONG")</f>
        <v/>
      </c>
    </row>
    <row r="32450">
      <c r="A32450" t="n">
        <v>32449</v>
      </c>
      <c r="B32450" t="inlineStr">
        <is>
          <t>x̄x̄x̄MMCDXLIX</t>
        </is>
      </c>
      <c r="C32450">
        <f>ROMAN(32449)</f>
        <v/>
      </c>
      <c r="D32450">
        <f>IF(B32450=C32450, "YES", "WRONG")</f>
        <v/>
      </c>
    </row>
    <row r="32451">
      <c r="A32451" t="n">
        <v>32450</v>
      </c>
      <c r="B32451" t="inlineStr">
        <is>
          <t>x̄x̄x̄MMCDL</t>
        </is>
      </c>
      <c r="C32451">
        <f>ROMAN(32450)</f>
        <v/>
      </c>
      <c r="D32451">
        <f>IF(B32451=C32451, "YES", "WRONG")</f>
        <v/>
      </c>
    </row>
    <row r="32452">
      <c r="A32452" t="n">
        <v>32451</v>
      </c>
      <c r="B32452" t="inlineStr">
        <is>
          <t>x̄x̄x̄MMCDLI</t>
        </is>
      </c>
      <c r="C32452">
        <f>ROMAN(32451)</f>
        <v/>
      </c>
      <c r="D32452">
        <f>IF(B32452=C32452, "YES", "WRONG")</f>
        <v/>
      </c>
    </row>
    <row r="32453">
      <c r="A32453" t="n">
        <v>32452</v>
      </c>
      <c r="B32453" t="inlineStr">
        <is>
          <t>x̄x̄x̄MMCDLII</t>
        </is>
      </c>
      <c r="C32453">
        <f>ROMAN(32452)</f>
        <v/>
      </c>
      <c r="D32453">
        <f>IF(B32453=C32453, "YES", "WRONG")</f>
        <v/>
      </c>
    </row>
    <row r="32454">
      <c r="A32454" t="n">
        <v>32453</v>
      </c>
      <c r="B32454" t="inlineStr">
        <is>
          <t>x̄x̄x̄MMCDLIII</t>
        </is>
      </c>
      <c r="C32454">
        <f>ROMAN(32453)</f>
        <v/>
      </c>
      <c r="D32454">
        <f>IF(B32454=C32454, "YES", "WRONG")</f>
        <v/>
      </c>
    </row>
    <row r="32455">
      <c r="A32455" t="n">
        <v>32454</v>
      </c>
      <c r="B32455" t="inlineStr">
        <is>
          <t>x̄x̄x̄MMCDLIV</t>
        </is>
      </c>
      <c r="C32455">
        <f>ROMAN(32454)</f>
        <v/>
      </c>
      <c r="D32455">
        <f>IF(B32455=C32455, "YES", "WRONG")</f>
        <v/>
      </c>
    </row>
    <row r="32456">
      <c r="A32456" t="n">
        <v>32455</v>
      </c>
      <c r="B32456" t="inlineStr">
        <is>
          <t>x̄x̄x̄MMCDLV</t>
        </is>
      </c>
      <c r="C32456">
        <f>ROMAN(32455)</f>
        <v/>
      </c>
      <c r="D32456">
        <f>IF(B32456=C32456, "YES", "WRONG")</f>
        <v/>
      </c>
    </row>
    <row r="32457">
      <c r="A32457" t="n">
        <v>32456</v>
      </c>
      <c r="B32457" t="inlineStr">
        <is>
          <t>x̄x̄x̄MMCDLVI</t>
        </is>
      </c>
      <c r="C32457">
        <f>ROMAN(32456)</f>
        <v/>
      </c>
      <c r="D32457">
        <f>IF(B32457=C32457, "YES", "WRONG")</f>
        <v/>
      </c>
    </row>
    <row r="32458">
      <c r="A32458" t="n">
        <v>32457</v>
      </c>
      <c r="B32458" t="inlineStr">
        <is>
          <t>x̄x̄x̄MMCDLVII</t>
        </is>
      </c>
      <c r="C32458">
        <f>ROMAN(32457)</f>
        <v/>
      </c>
      <c r="D32458">
        <f>IF(B32458=C32458, "YES", "WRONG")</f>
        <v/>
      </c>
    </row>
    <row r="32459">
      <c r="A32459" t="n">
        <v>32458</v>
      </c>
      <c r="B32459" t="inlineStr">
        <is>
          <t>x̄x̄x̄MMCDLVIII</t>
        </is>
      </c>
      <c r="C32459">
        <f>ROMAN(32458)</f>
        <v/>
      </c>
      <c r="D32459">
        <f>IF(B32459=C32459, "YES", "WRONG")</f>
        <v/>
      </c>
    </row>
    <row r="32460">
      <c r="A32460" t="n">
        <v>32459</v>
      </c>
      <c r="B32460" t="inlineStr">
        <is>
          <t>x̄x̄x̄MMCDLIX</t>
        </is>
      </c>
      <c r="C32460">
        <f>ROMAN(32459)</f>
        <v/>
      </c>
      <c r="D32460">
        <f>IF(B32460=C32460, "YES", "WRONG")</f>
        <v/>
      </c>
    </row>
    <row r="32461">
      <c r="A32461" t="n">
        <v>32460</v>
      </c>
      <c r="B32461" t="inlineStr">
        <is>
          <t>x̄x̄x̄MMCDLX</t>
        </is>
      </c>
      <c r="C32461">
        <f>ROMAN(32460)</f>
        <v/>
      </c>
      <c r="D32461">
        <f>IF(B32461=C32461, "YES", "WRONG")</f>
        <v/>
      </c>
    </row>
    <row r="32462">
      <c r="A32462" t="n">
        <v>32461</v>
      </c>
      <c r="B32462" t="inlineStr">
        <is>
          <t>x̄x̄x̄MMCDLXI</t>
        </is>
      </c>
      <c r="C32462">
        <f>ROMAN(32461)</f>
        <v/>
      </c>
      <c r="D32462">
        <f>IF(B32462=C32462, "YES", "WRONG")</f>
        <v/>
      </c>
    </row>
    <row r="32463">
      <c r="A32463" t="n">
        <v>32462</v>
      </c>
      <c r="B32463" t="inlineStr">
        <is>
          <t>x̄x̄x̄MMCDLXII</t>
        </is>
      </c>
      <c r="C32463">
        <f>ROMAN(32462)</f>
        <v/>
      </c>
      <c r="D32463">
        <f>IF(B32463=C32463, "YES", "WRONG")</f>
        <v/>
      </c>
    </row>
    <row r="32464">
      <c r="A32464" t="n">
        <v>32463</v>
      </c>
      <c r="B32464" t="inlineStr">
        <is>
          <t>x̄x̄x̄MMCDLXIII</t>
        </is>
      </c>
      <c r="C32464">
        <f>ROMAN(32463)</f>
        <v/>
      </c>
      <c r="D32464">
        <f>IF(B32464=C32464, "YES", "WRONG")</f>
        <v/>
      </c>
    </row>
    <row r="32465">
      <c r="A32465" t="n">
        <v>32464</v>
      </c>
      <c r="B32465" t="inlineStr">
        <is>
          <t>x̄x̄x̄MMCDLXIV</t>
        </is>
      </c>
      <c r="C32465">
        <f>ROMAN(32464)</f>
        <v/>
      </c>
      <c r="D32465">
        <f>IF(B32465=C32465, "YES", "WRONG")</f>
        <v/>
      </c>
    </row>
    <row r="32466">
      <c r="A32466" t="n">
        <v>32465</v>
      </c>
      <c r="B32466" t="inlineStr">
        <is>
          <t>x̄x̄x̄MMCDLXV</t>
        </is>
      </c>
      <c r="C32466">
        <f>ROMAN(32465)</f>
        <v/>
      </c>
      <c r="D32466">
        <f>IF(B32466=C32466, "YES", "WRONG")</f>
        <v/>
      </c>
    </row>
    <row r="32467">
      <c r="A32467" t="n">
        <v>32466</v>
      </c>
      <c r="B32467" t="inlineStr">
        <is>
          <t>x̄x̄x̄MMCDLXVI</t>
        </is>
      </c>
      <c r="C32467">
        <f>ROMAN(32466)</f>
        <v/>
      </c>
      <c r="D32467">
        <f>IF(B32467=C32467, "YES", "WRONG")</f>
        <v/>
      </c>
    </row>
    <row r="32468">
      <c r="A32468" t="n">
        <v>32467</v>
      </c>
      <c r="B32468" t="inlineStr">
        <is>
          <t>x̄x̄x̄MMCDLXVII</t>
        </is>
      </c>
      <c r="C32468">
        <f>ROMAN(32467)</f>
        <v/>
      </c>
      <c r="D32468">
        <f>IF(B32468=C32468, "YES", "WRONG")</f>
        <v/>
      </c>
    </row>
    <row r="32469">
      <c r="A32469" t="n">
        <v>32468</v>
      </c>
      <c r="B32469" t="inlineStr">
        <is>
          <t>x̄x̄x̄MMCDLXVIII</t>
        </is>
      </c>
      <c r="C32469">
        <f>ROMAN(32468)</f>
        <v/>
      </c>
      <c r="D32469">
        <f>IF(B32469=C32469, "YES", "WRONG")</f>
        <v/>
      </c>
    </row>
    <row r="32470">
      <c r="A32470" t="n">
        <v>32469</v>
      </c>
      <c r="B32470" t="inlineStr">
        <is>
          <t>x̄x̄x̄MMCDLXIX</t>
        </is>
      </c>
      <c r="C32470">
        <f>ROMAN(32469)</f>
        <v/>
      </c>
      <c r="D32470">
        <f>IF(B32470=C32470, "YES", "WRONG")</f>
        <v/>
      </c>
    </row>
    <row r="32471">
      <c r="A32471" t="n">
        <v>32470</v>
      </c>
      <c r="B32471" t="inlineStr">
        <is>
          <t>x̄x̄x̄MMCDLXX</t>
        </is>
      </c>
      <c r="C32471">
        <f>ROMAN(32470)</f>
        <v/>
      </c>
      <c r="D32471">
        <f>IF(B32471=C32471, "YES", "WRONG")</f>
        <v/>
      </c>
    </row>
    <row r="32472">
      <c r="A32472" t="n">
        <v>32471</v>
      </c>
      <c r="B32472" t="inlineStr">
        <is>
          <t>x̄x̄x̄MMCDLXXI</t>
        </is>
      </c>
      <c r="C32472">
        <f>ROMAN(32471)</f>
        <v/>
      </c>
      <c r="D32472">
        <f>IF(B32472=C32472, "YES", "WRONG")</f>
        <v/>
      </c>
    </row>
    <row r="32473">
      <c r="A32473" t="n">
        <v>32472</v>
      </c>
      <c r="B32473" t="inlineStr">
        <is>
          <t>x̄x̄x̄MMCDLXXII</t>
        </is>
      </c>
      <c r="C32473">
        <f>ROMAN(32472)</f>
        <v/>
      </c>
      <c r="D32473">
        <f>IF(B32473=C32473, "YES", "WRONG")</f>
        <v/>
      </c>
    </row>
    <row r="32474">
      <c r="A32474" t="n">
        <v>32473</v>
      </c>
      <c r="B32474" t="inlineStr">
        <is>
          <t>x̄x̄x̄MMCDLXXIII</t>
        </is>
      </c>
      <c r="C32474">
        <f>ROMAN(32473)</f>
        <v/>
      </c>
      <c r="D32474">
        <f>IF(B32474=C32474, "YES", "WRONG")</f>
        <v/>
      </c>
    </row>
    <row r="32475">
      <c r="A32475" t="n">
        <v>32474</v>
      </c>
      <c r="B32475" t="inlineStr">
        <is>
          <t>x̄x̄x̄MMCDLXXIV</t>
        </is>
      </c>
      <c r="C32475">
        <f>ROMAN(32474)</f>
        <v/>
      </c>
      <c r="D32475">
        <f>IF(B32475=C32475, "YES", "WRONG")</f>
        <v/>
      </c>
    </row>
    <row r="32476">
      <c r="A32476" t="n">
        <v>32475</v>
      </c>
      <c r="B32476" t="inlineStr">
        <is>
          <t>x̄x̄x̄MMCDLXXV</t>
        </is>
      </c>
      <c r="C32476">
        <f>ROMAN(32475)</f>
        <v/>
      </c>
      <c r="D32476">
        <f>IF(B32476=C32476, "YES", "WRONG")</f>
        <v/>
      </c>
    </row>
    <row r="32477">
      <c r="A32477" t="n">
        <v>32476</v>
      </c>
      <c r="B32477" t="inlineStr">
        <is>
          <t>x̄x̄x̄MMCDLXXVI</t>
        </is>
      </c>
      <c r="C32477">
        <f>ROMAN(32476)</f>
        <v/>
      </c>
      <c r="D32477">
        <f>IF(B32477=C32477, "YES", "WRONG")</f>
        <v/>
      </c>
    </row>
    <row r="32478">
      <c r="A32478" t="n">
        <v>32477</v>
      </c>
      <c r="B32478" t="inlineStr">
        <is>
          <t>x̄x̄x̄MMCDLXXVII</t>
        </is>
      </c>
      <c r="C32478">
        <f>ROMAN(32477)</f>
        <v/>
      </c>
      <c r="D32478">
        <f>IF(B32478=C32478, "YES", "WRONG")</f>
        <v/>
      </c>
    </row>
    <row r="32479">
      <c r="A32479" t="n">
        <v>32478</v>
      </c>
      <c r="B32479" t="inlineStr">
        <is>
          <t>x̄x̄x̄MMCDLXXVIII</t>
        </is>
      </c>
      <c r="C32479">
        <f>ROMAN(32478)</f>
        <v/>
      </c>
      <c r="D32479">
        <f>IF(B32479=C32479, "YES", "WRONG")</f>
        <v/>
      </c>
    </row>
    <row r="32480">
      <c r="A32480" t="n">
        <v>32479</v>
      </c>
      <c r="B32480" t="inlineStr">
        <is>
          <t>x̄x̄x̄MMCDLXXIX</t>
        </is>
      </c>
      <c r="C32480">
        <f>ROMAN(32479)</f>
        <v/>
      </c>
      <c r="D32480">
        <f>IF(B32480=C32480, "YES", "WRONG")</f>
        <v/>
      </c>
    </row>
    <row r="32481">
      <c r="A32481" t="n">
        <v>32480</v>
      </c>
      <c r="B32481" t="inlineStr">
        <is>
          <t>x̄x̄x̄MMCDLXXX</t>
        </is>
      </c>
      <c r="C32481">
        <f>ROMAN(32480)</f>
        <v/>
      </c>
      <c r="D32481">
        <f>IF(B32481=C32481, "YES", "WRONG")</f>
        <v/>
      </c>
    </row>
    <row r="32482">
      <c r="A32482" t="n">
        <v>32481</v>
      </c>
      <c r="B32482" t="inlineStr">
        <is>
          <t>x̄x̄x̄MMCDLXXXI</t>
        </is>
      </c>
      <c r="C32482">
        <f>ROMAN(32481)</f>
        <v/>
      </c>
      <c r="D32482">
        <f>IF(B32482=C32482, "YES", "WRONG")</f>
        <v/>
      </c>
    </row>
    <row r="32483">
      <c r="A32483" t="n">
        <v>32482</v>
      </c>
      <c r="B32483" t="inlineStr">
        <is>
          <t>x̄x̄x̄MMCDLXXXII</t>
        </is>
      </c>
      <c r="C32483">
        <f>ROMAN(32482)</f>
        <v/>
      </c>
      <c r="D32483">
        <f>IF(B32483=C32483, "YES", "WRONG")</f>
        <v/>
      </c>
    </row>
    <row r="32484">
      <c r="A32484" t="n">
        <v>32483</v>
      </c>
      <c r="B32484" t="inlineStr">
        <is>
          <t>x̄x̄x̄MMCDLXXXIII</t>
        </is>
      </c>
      <c r="C32484">
        <f>ROMAN(32483)</f>
        <v/>
      </c>
      <c r="D32484">
        <f>IF(B32484=C32484, "YES", "WRONG")</f>
        <v/>
      </c>
    </row>
    <row r="32485">
      <c r="A32485" t="n">
        <v>32484</v>
      </c>
      <c r="B32485" t="inlineStr">
        <is>
          <t>x̄x̄x̄MMCDLXXXIV</t>
        </is>
      </c>
      <c r="C32485">
        <f>ROMAN(32484)</f>
        <v/>
      </c>
      <c r="D32485">
        <f>IF(B32485=C32485, "YES", "WRONG")</f>
        <v/>
      </c>
    </row>
    <row r="32486">
      <c r="A32486" t="n">
        <v>32485</v>
      </c>
      <c r="B32486" t="inlineStr">
        <is>
          <t>x̄x̄x̄MMCDLXXXV</t>
        </is>
      </c>
      <c r="C32486">
        <f>ROMAN(32485)</f>
        <v/>
      </c>
      <c r="D32486">
        <f>IF(B32486=C32486, "YES", "WRONG")</f>
        <v/>
      </c>
    </row>
    <row r="32487">
      <c r="A32487" t="n">
        <v>32486</v>
      </c>
      <c r="B32487" t="inlineStr">
        <is>
          <t>x̄x̄x̄MMCDLXXXVI</t>
        </is>
      </c>
      <c r="C32487">
        <f>ROMAN(32486)</f>
        <v/>
      </c>
      <c r="D32487">
        <f>IF(B32487=C32487, "YES", "WRONG")</f>
        <v/>
      </c>
    </row>
    <row r="32488">
      <c r="A32488" t="n">
        <v>32487</v>
      </c>
      <c r="B32488" t="inlineStr">
        <is>
          <t>x̄x̄x̄MMCDLXXXVII</t>
        </is>
      </c>
      <c r="C32488">
        <f>ROMAN(32487)</f>
        <v/>
      </c>
      <c r="D32488">
        <f>IF(B32488=C32488, "YES", "WRONG")</f>
        <v/>
      </c>
    </row>
    <row r="32489">
      <c r="A32489" t="n">
        <v>32488</v>
      </c>
      <c r="B32489" t="inlineStr">
        <is>
          <t>x̄x̄x̄MMCDLXXXVIII</t>
        </is>
      </c>
      <c r="C32489">
        <f>ROMAN(32488)</f>
        <v/>
      </c>
      <c r="D32489">
        <f>IF(B32489=C32489, "YES", "WRONG")</f>
        <v/>
      </c>
    </row>
    <row r="32490">
      <c r="A32490" t="n">
        <v>32489</v>
      </c>
      <c r="B32490" t="inlineStr">
        <is>
          <t>x̄x̄x̄MMCDLXXXIX</t>
        </is>
      </c>
      <c r="C32490">
        <f>ROMAN(32489)</f>
        <v/>
      </c>
      <c r="D32490">
        <f>IF(B32490=C32490, "YES", "WRONG")</f>
        <v/>
      </c>
    </row>
    <row r="32491">
      <c r="A32491" t="n">
        <v>32490</v>
      </c>
      <c r="B32491" t="inlineStr">
        <is>
          <t>x̄x̄x̄MMCDXC</t>
        </is>
      </c>
      <c r="C32491">
        <f>ROMAN(32490)</f>
        <v/>
      </c>
      <c r="D32491">
        <f>IF(B32491=C32491, "YES", "WRONG")</f>
        <v/>
      </c>
    </row>
    <row r="32492">
      <c r="A32492" t="n">
        <v>32491</v>
      </c>
      <c r="B32492" t="inlineStr">
        <is>
          <t>x̄x̄x̄MMCDXCI</t>
        </is>
      </c>
      <c r="C32492">
        <f>ROMAN(32491)</f>
        <v/>
      </c>
      <c r="D32492">
        <f>IF(B32492=C32492, "YES", "WRONG")</f>
        <v/>
      </c>
    </row>
    <row r="32493">
      <c r="A32493" t="n">
        <v>32492</v>
      </c>
      <c r="B32493" t="inlineStr">
        <is>
          <t>x̄x̄x̄MMCDXCII</t>
        </is>
      </c>
      <c r="C32493">
        <f>ROMAN(32492)</f>
        <v/>
      </c>
      <c r="D32493">
        <f>IF(B32493=C32493, "YES", "WRONG")</f>
        <v/>
      </c>
    </row>
    <row r="32494">
      <c r="A32494" t="n">
        <v>32493</v>
      </c>
      <c r="B32494" t="inlineStr">
        <is>
          <t>x̄x̄x̄MMCDXCIII</t>
        </is>
      </c>
      <c r="C32494">
        <f>ROMAN(32493)</f>
        <v/>
      </c>
      <c r="D32494">
        <f>IF(B32494=C32494, "YES", "WRONG")</f>
        <v/>
      </c>
    </row>
    <row r="32495">
      <c r="A32495" t="n">
        <v>32494</v>
      </c>
      <c r="B32495" t="inlineStr">
        <is>
          <t>x̄x̄x̄MMCDXCIV</t>
        </is>
      </c>
      <c r="C32495">
        <f>ROMAN(32494)</f>
        <v/>
      </c>
      <c r="D32495">
        <f>IF(B32495=C32495, "YES", "WRONG")</f>
        <v/>
      </c>
    </row>
    <row r="32496">
      <c r="A32496" t="n">
        <v>32495</v>
      </c>
      <c r="B32496" t="inlineStr">
        <is>
          <t>x̄x̄x̄MMCDXCV</t>
        </is>
      </c>
      <c r="C32496">
        <f>ROMAN(32495)</f>
        <v/>
      </c>
      <c r="D32496">
        <f>IF(B32496=C32496, "YES", "WRONG")</f>
        <v/>
      </c>
    </row>
    <row r="32497">
      <c r="A32497" t="n">
        <v>32496</v>
      </c>
      <c r="B32497" t="inlineStr">
        <is>
          <t>x̄x̄x̄MMCDXCVI</t>
        </is>
      </c>
      <c r="C32497">
        <f>ROMAN(32496)</f>
        <v/>
      </c>
      <c r="D32497">
        <f>IF(B32497=C32497, "YES", "WRONG")</f>
        <v/>
      </c>
    </row>
    <row r="32498">
      <c r="A32498" t="n">
        <v>32497</v>
      </c>
      <c r="B32498" t="inlineStr">
        <is>
          <t>x̄x̄x̄MMCDXCVII</t>
        </is>
      </c>
      <c r="C32498">
        <f>ROMAN(32497)</f>
        <v/>
      </c>
      <c r="D32498">
        <f>IF(B32498=C32498, "YES", "WRONG")</f>
        <v/>
      </c>
    </row>
    <row r="32499">
      <c r="A32499" t="n">
        <v>32498</v>
      </c>
      <c r="B32499" t="inlineStr">
        <is>
          <t>x̄x̄x̄MMCDXCVIII</t>
        </is>
      </c>
      <c r="C32499">
        <f>ROMAN(32498)</f>
        <v/>
      </c>
      <c r="D32499">
        <f>IF(B32499=C32499, "YES", "WRONG")</f>
        <v/>
      </c>
    </row>
    <row r="32500">
      <c r="A32500" t="n">
        <v>32499</v>
      </c>
      <c r="B32500" t="inlineStr">
        <is>
          <t>x̄x̄x̄MMCDXCIX</t>
        </is>
      </c>
      <c r="C32500">
        <f>ROMAN(32499)</f>
        <v/>
      </c>
      <c r="D32500">
        <f>IF(B32500=C32500, "YES", "WRONG")</f>
        <v/>
      </c>
    </row>
    <row r="32501">
      <c r="A32501" t="n">
        <v>32500</v>
      </c>
      <c r="B32501" t="inlineStr">
        <is>
          <t>x̄x̄x̄MMD</t>
        </is>
      </c>
      <c r="C32501">
        <f>ROMAN(32500)</f>
        <v/>
      </c>
      <c r="D32501">
        <f>IF(B32501=C32501, "YES", "WRONG")</f>
        <v/>
      </c>
    </row>
    <row r="32502">
      <c r="A32502" t="n">
        <v>32501</v>
      </c>
      <c r="B32502" t="inlineStr">
        <is>
          <t>x̄x̄x̄MMDI</t>
        </is>
      </c>
      <c r="C32502">
        <f>ROMAN(32501)</f>
        <v/>
      </c>
      <c r="D32502">
        <f>IF(B32502=C32502, "YES", "WRONG")</f>
        <v/>
      </c>
    </row>
    <row r="32503">
      <c r="A32503" t="n">
        <v>32502</v>
      </c>
      <c r="B32503" t="inlineStr">
        <is>
          <t>x̄x̄x̄MMDII</t>
        </is>
      </c>
      <c r="C32503">
        <f>ROMAN(32502)</f>
        <v/>
      </c>
      <c r="D32503">
        <f>IF(B32503=C32503, "YES", "WRONG")</f>
        <v/>
      </c>
    </row>
    <row r="32504">
      <c r="A32504" t="n">
        <v>32503</v>
      </c>
      <c r="B32504" t="inlineStr">
        <is>
          <t>x̄x̄x̄MMDIII</t>
        </is>
      </c>
      <c r="C32504">
        <f>ROMAN(32503)</f>
        <v/>
      </c>
      <c r="D32504">
        <f>IF(B32504=C32504, "YES", "WRONG")</f>
        <v/>
      </c>
    </row>
    <row r="32505">
      <c r="A32505" t="n">
        <v>32504</v>
      </c>
      <c r="B32505" t="inlineStr">
        <is>
          <t>x̄x̄x̄MMDIV</t>
        </is>
      </c>
      <c r="C32505">
        <f>ROMAN(32504)</f>
        <v/>
      </c>
      <c r="D32505">
        <f>IF(B32505=C32505, "YES", "WRONG")</f>
        <v/>
      </c>
    </row>
    <row r="32506">
      <c r="A32506" t="n">
        <v>32505</v>
      </c>
      <c r="B32506" t="inlineStr">
        <is>
          <t>x̄x̄x̄MMDV</t>
        </is>
      </c>
      <c r="C32506">
        <f>ROMAN(32505)</f>
        <v/>
      </c>
      <c r="D32506">
        <f>IF(B32506=C32506, "YES", "WRONG")</f>
        <v/>
      </c>
    </row>
    <row r="32507">
      <c r="A32507" t="n">
        <v>32506</v>
      </c>
      <c r="B32507" t="inlineStr">
        <is>
          <t>x̄x̄x̄MMDVI</t>
        </is>
      </c>
      <c r="C32507">
        <f>ROMAN(32506)</f>
        <v/>
      </c>
      <c r="D32507">
        <f>IF(B32507=C32507, "YES", "WRONG")</f>
        <v/>
      </c>
    </row>
    <row r="32508">
      <c r="A32508" t="n">
        <v>32507</v>
      </c>
      <c r="B32508" t="inlineStr">
        <is>
          <t>x̄x̄x̄MMDVII</t>
        </is>
      </c>
      <c r="C32508">
        <f>ROMAN(32507)</f>
        <v/>
      </c>
      <c r="D32508">
        <f>IF(B32508=C32508, "YES", "WRONG")</f>
        <v/>
      </c>
    </row>
    <row r="32509">
      <c r="A32509" t="n">
        <v>32508</v>
      </c>
      <c r="B32509" t="inlineStr">
        <is>
          <t>x̄x̄x̄MMDVIII</t>
        </is>
      </c>
      <c r="C32509">
        <f>ROMAN(32508)</f>
        <v/>
      </c>
      <c r="D32509">
        <f>IF(B32509=C32509, "YES", "WRONG")</f>
        <v/>
      </c>
    </row>
    <row r="32510">
      <c r="A32510" t="n">
        <v>32509</v>
      </c>
      <c r="B32510" t="inlineStr">
        <is>
          <t>x̄x̄x̄MMDIX</t>
        </is>
      </c>
      <c r="C32510">
        <f>ROMAN(32509)</f>
        <v/>
      </c>
      <c r="D32510">
        <f>IF(B32510=C32510, "YES", "WRONG")</f>
        <v/>
      </c>
    </row>
    <row r="32511">
      <c r="A32511" t="n">
        <v>32510</v>
      </c>
      <c r="B32511" t="inlineStr">
        <is>
          <t>x̄x̄x̄MMDX</t>
        </is>
      </c>
      <c r="C32511">
        <f>ROMAN(32510)</f>
        <v/>
      </c>
      <c r="D32511">
        <f>IF(B32511=C32511, "YES", "WRONG")</f>
        <v/>
      </c>
    </row>
    <row r="32512">
      <c r="A32512" t="n">
        <v>32511</v>
      </c>
      <c r="B32512" t="inlineStr">
        <is>
          <t>x̄x̄x̄MMDXI</t>
        </is>
      </c>
      <c r="C32512">
        <f>ROMAN(32511)</f>
        <v/>
      </c>
      <c r="D32512">
        <f>IF(B32512=C32512, "YES", "WRONG")</f>
        <v/>
      </c>
    </row>
    <row r="32513">
      <c r="A32513" t="n">
        <v>32512</v>
      </c>
      <c r="B32513" t="inlineStr">
        <is>
          <t>x̄x̄x̄MMDXII</t>
        </is>
      </c>
      <c r="C32513">
        <f>ROMAN(32512)</f>
        <v/>
      </c>
      <c r="D32513">
        <f>IF(B32513=C32513, "YES", "WRONG")</f>
        <v/>
      </c>
    </row>
    <row r="32514">
      <c r="A32514" t="n">
        <v>32513</v>
      </c>
      <c r="B32514" t="inlineStr">
        <is>
          <t>x̄x̄x̄MMDXIII</t>
        </is>
      </c>
      <c r="C32514">
        <f>ROMAN(32513)</f>
        <v/>
      </c>
      <c r="D32514">
        <f>IF(B32514=C32514, "YES", "WRONG")</f>
        <v/>
      </c>
    </row>
    <row r="32515">
      <c r="A32515" t="n">
        <v>32514</v>
      </c>
      <c r="B32515" t="inlineStr">
        <is>
          <t>x̄x̄x̄MMDXIV</t>
        </is>
      </c>
      <c r="C32515">
        <f>ROMAN(32514)</f>
        <v/>
      </c>
      <c r="D32515">
        <f>IF(B32515=C32515, "YES", "WRONG")</f>
        <v/>
      </c>
    </row>
    <row r="32516">
      <c r="A32516" t="n">
        <v>32515</v>
      </c>
      <c r="B32516" t="inlineStr">
        <is>
          <t>x̄x̄x̄MMDXV</t>
        </is>
      </c>
      <c r="C32516">
        <f>ROMAN(32515)</f>
        <v/>
      </c>
      <c r="D32516">
        <f>IF(B32516=C32516, "YES", "WRONG")</f>
        <v/>
      </c>
    </row>
    <row r="32517">
      <c r="A32517" t="n">
        <v>32516</v>
      </c>
      <c r="B32517" t="inlineStr">
        <is>
          <t>x̄x̄x̄MMDXVI</t>
        </is>
      </c>
      <c r="C32517">
        <f>ROMAN(32516)</f>
        <v/>
      </c>
      <c r="D32517">
        <f>IF(B32517=C32517, "YES", "WRONG")</f>
        <v/>
      </c>
    </row>
    <row r="32518">
      <c r="A32518" t="n">
        <v>32517</v>
      </c>
      <c r="B32518" t="inlineStr">
        <is>
          <t>x̄x̄x̄MMDXVII</t>
        </is>
      </c>
      <c r="C32518">
        <f>ROMAN(32517)</f>
        <v/>
      </c>
      <c r="D32518">
        <f>IF(B32518=C32518, "YES", "WRONG")</f>
        <v/>
      </c>
    </row>
    <row r="32519">
      <c r="A32519" t="n">
        <v>32518</v>
      </c>
      <c r="B32519" t="inlineStr">
        <is>
          <t>x̄x̄x̄MMDXVIII</t>
        </is>
      </c>
      <c r="C32519">
        <f>ROMAN(32518)</f>
        <v/>
      </c>
      <c r="D32519">
        <f>IF(B32519=C32519, "YES", "WRONG")</f>
        <v/>
      </c>
    </row>
    <row r="32520">
      <c r="A32520" t="n">
        <v>32519</v>
      </c>
      <c r="B32520" t="inlineStr">
        <is>
          <t>x̄x̄x̄MMDXIX</t>
        </is>
      </c>
      <c r="C32520">
        <f>ROMAN(32519)</f>
        <v/>
      </c>
      <c r="D32520">
        <f>IF(B32520=C32520, "YES", "WRONG")</f>
        <v/>
      </c>
    </row>
    <row r="32521">
      <c r="A32521" t="n">
        <v>32520</v>
      </c>
      <c r="B32521" t="inlineStr">
        <is>
          <t>x̄x̄x̄MMDXX</t>
        </is>
      </c>
      <c r="C32521">
        <f>ROMAN(32520)</f>
        <v/>
      </c>
      <c r="D32521">
        <f>IF(B32521=C32521, "YES", "WRONG")</f>
        <v/>
      </c>
    </row>
    <row r="32522">
      <c r="A32522" t="n">
        <v>32521</v>
      </c>
      <c r="B32522" t="inlineStr">
        <is>
          <t>x̄x̄x̄MMDXXI</t>
        </is>
      </c>
      <c r="C32522">
        <f>ROMAN(32521)</f>
        <v/>
      </c>
      <c r="D32522">
        <f>IF(B32522=C32522, "YES", "WRONG")</f>
        <v/>
      </c>
    </row>
    <row r="32523">
      <c r="A32523" t="n">
        <v>32522</v>
      </c>
      <c r="B32523" t="inlineStr">
        <is>
          <t>x̄x̄x̄MMDXXII</t>
        </is>
      </c>
      <c r="C32523">
        <f>ROMAN(32522)</f>
        <v/>
      </c>
      <c r="D32523">
        <f>IF(B32523=C32523, "YES", "WRONG")</f>
        <v/>
      </c>
    </row>
    <row r="32524">
      <c r="A32524" t="n">
        <v>32523</v>
      </c>
      <c r="B32524" t="inlineStr">
        <is>
          <t>x̄x̄x̄MMDXXIII</t>
        </is>
      </c>
      <c r="C32524">
        <f>ROMAN(32523)</f>
        <v/>
      </c>
      <c r="D32524">
        <f>IF(B32524=C32524, "YES", "WRONG")</f>
        <v/>
      </c>
    </row>
    <row r="32525">
      <c r="A32525" t="n">
        <v>32524</v>
      </c>
      <c r="B32525" t="inlineStr">
        <is>
          <t>x̄x̄x̄MMDXXIV</t>
        </is>
      </c>
      <c r="C32525">
        <f>ROMAN(32524)</f>
        <v/>
      </c>
      <c r="D32525">
        <f>IF(B32525=C32525, "YES", "WRONG")</f>
        <v/>
      </c>
    </row>
    <row r="32526">
      <c r="A32526" t="n">
        <v>32525</v>
      </c>
      <c r="B32526" t="inlineStr">
        <is>
          <t>x̄x̄x̄MMDXXV</t>
        </is>
      </c>
      <c r="C32526">
        <f>ROMAN(32525)</f>
        <v/>
      </c>
      <c r="D32526">
        <f>IF(B32526=C32526, "YES", "WRONG")</f>
        <v/>
      </c>
    </row>
    <row r="32527">
      <c r="A32527" t="n">
        <v>32526</v>
      </c>
      <c r="B32527" t="inlineStr">
        <is>
          <t>x̄x̄x̄MMDXXVI</t>
        </is>
      </c>
      <c r="C32527">
        <f>ROMAN(32526)</f>
        <v/>
      </c>
      <c r="D32527">
        <f>IF(B32527=C32527, "YES", "WRONG")</f>
        <v/>
      </c>
    </row>
    <row r="32528">
      <c r="A32528" t="n">
        <v>32527</v>
      </c>
      <c r="B32528" t="inlineStr">
        <is>
          <t>x̄x̄x̄MMDXXVII</t>
        </is>
      </c>
      <c r="C32528">
        <f>ROMAN(32527)</f>
        <v/>
      </c>
      <c r="D32528">
        <f>IF(B32528=C32528, "YES", "WRONG")</f>
        <v/>
      </c>
    </row>
    <row r="32529">
      <c r="A32529" t="n">
        <v>32528</v>
      </c>
      <c r="B32529" t="inlineStr">
        <is>
          <t>x̄x̄x̄MMDXXVIII</t>
        </is>
      </c>
      <c r="C32529">
        <f>ROMAN(32528)</f>
        <v/>
      </c>
      <c r="D32529">
        <f>IF(B32529=C32529, "YES", "WRONG")</f>
        <v/>
      </c>
    </row>
    <row r="32530">
      <c r="A32530" t="n">
        <v>32529</v>
      </c>
      <c r="B32530" t="inlineStr">
        <is>
          <t>x̄x̄x̄MMDXXIX</t>
        </is>
      </c>
      <c r="C32530">
        <f>ROMAN(32529)</f>
        <v/>
      </c>
      <c r="D32530">
        <f>IF(B32530=C32530, "YES", "WRONG")</f>
        <v/>
      </c>
    </row>
    <row r="32531">
      <c r="A32531" t="n">
        <v>32530</v>
      </c>
      <c r="B32531" t="inlineStr">
        <is>
          <t>x̄x̄x̄MMDXXX</t>
        </is>
      </c>
      <c r="C32531">
        <f>ROMAN(32530)</f>
        <v/>
      </c>
      <c r="D32531">
        <f>IF(B32531=C32531, "YES", "WRONG")</f>
        <v/>
      </c>
    </row>
    <row r="32532">
      <c r="A32532" t="n">
        <v>32531</v>
      </c>
      <c r="B32532" t="inlineStr">
        <is>
          <t>x̄x̄x̄MMDXXXI</t>
        </is>
      </c>
      <c r="C32532">
        <f>ROMAN(32531)</f>
        <v/>
      </c>
      <c r="D32532">
        <f>IF(B32532=C32532, "YES", "WRONG")</f>
        <v/>
      </c>
    </row>
    <row r="32533">
      <c r="A32533" t="n">
        <v>32532</v>
      </c>
      <c r="B32533" t="inlineStr">
        <is>
          <t>x̄x̄x̄MMDXXXII</t>
        </is>
      </c>
      <c r="C32533">
        <f>ROMAN(32532)</f>
        <v/>
      </c>
      <c r="D32533">
        <f>IF(B32533=C32533, "YES", "WRONG")</f>
        <v/>
      </c>
    </row>
    <row r="32534">
      <c r="A32534" t="n">
        <v>32533</v>
      </c>
      <c r="B32534" t="inlineStr">
        <is>
          <t>x̄x̄x̄MMDXXXIII</t>
        </is>
      </c>
      <c r="C32534">
        <f>ROMAN(32533)</f>
        <v/>
      </c>
      <c r="D32534">
        <f>IF(B32534=C32534, "YES", "WRONG")</f>
        <v/>
      </c>
    </row>
    <row r="32535">
      <c r="A32535" t="n">
        <v>32534</v>
      </c>
      <c r="B32535" t="inlineStr">
        <is>
          <t>x̄x̄x̄MMDXXXIV</t>
        </is>
      </c>
      <c r="C32535">
        <f>ROMAN(32534)</f>
        <v/>
      </c>
      <c r="D32535">
        <f>IF(B32535=C32535, "YES", "WRONG")</f>
        <v/>
      </c>
    </row>
    <row r="32536">
      <c r="A32536" t="n">
        <v>32535</v>
      </c>
      <c r="B32536" t="inlineStr">
        <is>
          <t>x̄x̄x̄MMDXXXV</t>
        </is>
      </c>
      <c r="C32536">
        <f>ROMAN(32535)</f>
        <v/>
      </c>
      <c r="D32536">
        <f>IF(B32536=C32536, "YES", "WRONG")</f>
        <v/>
      </c>
    </row>
    <row r="32537">
      <c r="A32537" t="n">
        <v>32536</v>
      </c>
      <c r="B32537" t="inlineStr">
        <is>
          <t>x̄x̄x̄MMDXXXVI</t>
        </is>
      </c>
      <c r="C32537">
        <f>ROMAN(32536)</f>
        <v/>
      </c>
      <c r="D32537">
        <f>IF(B32537=C32537, "YES", "WRONG")</f>
        <v/>
      </c>
    </row>
    <row r="32538">
      <c r="A32538" t="n">
        <v>32537</v>
      </c>
      <c r="B32538" t="inlineStr">
        <is>
          <t>x̄x̄x̄MMDXXXVII</t>
        </is>
      </c>
      <c r="C32538">
        <f>ROMAN(32537)</f>
        <v/>
      </c>
      <c r="D32538">
        <f>IF(B32538=C32538, "YES", "WRONG")</f>
        <v/>
      </c>
    </row>
    <row r="32539">
      <c r="A32539" t="n">
        <v>32538</v>
      </c>
      <c r="B32539" t="inlineStr">
        <is>
          <t>x̄x̄x̄MMDXXXVIII</t>
        </is>
      </c>
      <c r="C32539">
        <f>ROMAN(32538)</f>
        <v/>
      </c>
      <c r="D32539">
        <f>IF(B32539=C32539, "YES", "WRONG")</f>
        <v/>
      </c>
    </row>
    <row r="32540">
      <c r="A32540" t="n">
        <v>32539</v>
      </c>
      <c r="B32540" t="inlineStr">
        <is>
          <t>x̄x̄x̄MMDXXXIX</t>
        </is>
      </c>
      <c r="C32540">
        <f>ROMAN(32539)</f>
        <v/>
      </c>
      <c r="D32540">
        <f>IF(B32540=C32540, "YES", "WRONG")</f>
        <v/>
      </c>
    </row>
    <row r="32541">
      <c r="A32541" t="n">
        <v>32540</v>
      </c>
      <c r="B32541" t="inlineStr">
        <is>
          <t>x̄x̄x̄MMDXL</t>
        </is>
      </c>
      <c r="C32541">
        <f>ROMAN(32540)</f>
        <v/>
      </c>
      <c r="D32541">
        <f>IF(B32541=C32541, "YES", "WRONG")</f>
        <v/>
      </c>
    </row>
    <row r="32542">
      <c r="A32542" t="n">
        <v>32541</v>
      </c>
      <c r="B32542" t="inlineStr">
        <is>
          <t>x̄x̄x̄MMDXLI</t>
        </is>
      </c>
      <c r="C32542">
        <f>ROMAN(32541)</f>
        <v/>
      </c>
      <c r="D32542">
        <f>IF(B32542=C32542, "YES", "WRONG")</f>
        <v/>
      </c>
    </row>
    <row r="32543">
      <c r="A32543" t="n">
        <v>32542</v>
      </c>
      <c r="B32543" t="inlineStr">
        <is>
          <t>x̄x̄x̄MMDXLII</t>
        </is>
      </c>
      <c r="C32543">
        <f>ROMAN(32542)</f>
        <v/>
      </c>
      <c r="D32543">
        <f>IF(B32543=C32543, "YES", "WRONG")</f>
        <v/>
      </c>
    </row>
    <row r="32544">
      <c r="A32544" t="n">
        <v>32543</v>
      </c>
      <c r="B32544" t="inlineStr">
        <is>
          <t>x̄x̄x̄MMDXLIII</t>
        </is>
      </c>
      <c r="C32544">
        <f>ROMAN(32543)</f>
        <v/>
      </c>
      <c r="D32544">
        <f>IF(B32544=C32544, "YES", "WRONG")</f>
        <v/>
      </c>
    </row>
    <row r="32545">
      <c r="A32545" t="n">
        <v>32544</v>
      </c>
      <c r="B32545" t="inlineStr">
        <is>
          <t>x̄x̄x̄MMDXLIV</t>
        </is>
      </c>
      <c r="C32545">
        <f>ROMAN(32544)</f>
        <v/>
      </c>
      <c r="D32545">
        <f>IF(B32545=C32545, "YES", "WRONG")</f>
        <v/>
      </c>
    </row>
    <row r="32546">
      <c r="A32546" t="n">
        <v>32545</v>
      </c>
      <c r="B32546" t="inlineStr">
        <is>
          <t>x̄x̄x̄MMDXLV</t>
        </is>
      </c>
      <c r="C32546">
        <f>ROMAN(32545)</f>
        <v/>
      </c>
      <c r="D32546">
        <f>IF(B32546=C32546, "YES", "WRONG")</f>
        <v/>
      </c>
    </row>
    <row r="32547">
      <c r="A32547" t="n">
        <v>32546</v>
      </c>
      <c r="B32547" t="inlineStr">
        <is>
          <t>x̄x̄x̄MMDXLVI</t>
        </is>
      </c>
      <c r="C32547">
        <f>ROMAN(32546)</f>
        <v/>
      </c>
      <c r="D32547">
        <f>IF(B32547=C32547, "YES", "WRONG")</f>
        <v/>
      </c>
    </row>
    <row r="32548">
      <c r="A32548" t="n">
        <v>32547</v>
      </c>
      <c r="B32548" t="inlineStr">
        <is>
          <t>x̄x̄x̄MMDXLVII</t>
        </is>
      </c>
      <c r="C32548">
        <f>ROMAN(32547)</f>
        <v/>
      </c>
      <c r="D32548">
        <f>IF(B32548=C32548, "YES", "WRONG")</f>
        <v/>
      </c>
    </row>
    <row r="32549">
      <c r="A32549" t="n">
        <v>32548</v>
      </c>
      <c r="B32549" t="inlineStr">
        <is>
          <t>x̄x̄x̄MMDXLVIII</t>
        </is>
      </c>
      <c r="C32549">
        <f>ROMAN(32548)</f>
        <v/>
      </c>
      <c r="D32549">
        <f>IF(B32549=C32549, "YES", "WRONG")</f>
        <v/>
      </c>
    </row>
    <row r="32550">
      <c r="A32550" t="n">
        <v>32549</v>
      </c>
      <c r="B32550" t="inlineStr">
        <is>
          <t>x̄x̄x̄MMDXLIX</t>
        </is>
      </c>
      <c r="C32550">
        <f>ROMAN(32549)</f>
        <v/>
      </c>
      <c r="D32550">
        <f>IF(B32550=C32550, "YES", "WRONG")</f>
        <v/>
      </c>
    </row>
    <row r="32551">
      <c r="A32551" t="n">
        <v>32550</v>
      </c>
      <c r="B32551" t="inlineStr">
        <is>
          <t>x̄x̄x̄MMDL</t>
        </is>
      </c>
      <c r="C32551">
        <f>ROMAN(32550)</f>
        <v/>
      </c>
      <c r="D32551">
        <f>IF(B32551=C32551, "YES", "WRONG")</f>
        <v/>
      </c>
    </row>
    <row r="32552">
      <c r="A32552" t="n">
        <v>32551</v>
      </c>
      <c r="B32552" t="inlineStr">
        <is>
          <t>x̄x̄x̄MMDLI</t>
        </is>
      </c>
      <c r="C32552">
        <f>ROMAN(32551)</f>
        <v/>
      </c>
      <c r="D32552">
        <f>IF(B32552=C32552, "YES", "WRONG")</f>
        <v/>
      </c>
    </row>
    <row r="32553">
      <c r="A32553" t="n">
        <v>32552</v>
      </c>
      <c r="B32553" t="inlineStr">
        <is>
          <t>x̄x̄x̄MMDLII</t>
        </is>
      </c>
      <c r="C32553">
        <f>ROMAN(32552)</f>
        <v/>
      </c>
      <c r="D32553">
        <f>IF(B32553=C32553, "YES", "WRONG")</f>
        <v/>
      </c>
    </row>
    <row r="32554">
      <c r="A32554" t="n">
        <v>32553</v>
      </c>
      <c r="B32554" t="inlineStr">
        <is>
          <t>x̄x̄x̄MMDLIII</t>
        </is>
      </c>
      <c r="C32554">
        <f>ROMAN(32553)</f>
        <v/>
      </c>
      <c r="D32554">
        <f>IF(B32554=C32554, "YES", "WRONG")</f>
        <v/>
      </c>
    </row>
    <row r="32555">
      <c r="A32555" t="n">
        <v>32554</v>
      </c>
      <c r="B32555" t="inlineStr">
        <is>
          <t>x̄x̄x̄MMDLIV</t>
        </is>
      </c>
      <c r="C32555">
        <f>ROMAN(32554)</f>
        <v/>
      </c>
      <c r="D32555">
        <f>IF(B32555=C32555, "YES", "WRONG")</f>
        <v/>
      </c>
    </row>
    <row r="32556">
      <c r="A32556" t="n">
        <v>32555</v>
      </c>
      <c r="B32556" t="inlineStr">
        <is>
          <t>x̄x̄x̄MMDLV</t>
        </is>
      </c>
      <c r="C32556">
        <f>ROMAN(32555)</f>
        <v/>
      </c>
      <c r="D32556">
        <f>IF(B32556=C32556, "YES", "WRONG")</f>
        <v/>
      </c>
    </row>
    <row r="32557">
      <c r="A32557" t="n">
        <v>32556</v>
      </c>
      <c r="B32557" t="inlineStr">
        <is>
          <t>x̄x̄x̄MMDLVI</t>
        </is>
      </c>
      <c r="C32557">
        <f>ROMAN(32556)</f>
        <v/>
      </c>
      <c r="D32557">
        <f>IF(B32557=C32557, "YES", "WRONG")</f>
        <v/>
      </c>
    </row>
    <row r="32558">
      <c r="A32558" t="n">
        <v>32557</v>
      </c>
      <c r="B32558" t="inlineStr">
        <is>
          <t>x̄x̄x̄MMDLVII</t>
        </is>
      </c>
      <c r="C32558">
        <f>ROMAN(32557)</f>
        <v/>
      </c>
      <c r="D32558">
        <f>IF(B32558=C32558, "YES", "WRONG")</f>
        <v/>
      </c>
    </row>
    <row r="32559">
      <c r="A32559" t="n">
        <v>32558</v>
      </c>
      <c r="B32559" t="inlineStr">
        <is>
          <t>x̄x̄x̄MMDLVIII</t>
        </is>
      </c>
      <c r="C32559">
        <f>ROMAN(32558)</f>
        <v/>
      </c>
      <c r="D32559">
        <f>IF(B32559=C32559, "YES", "WRONG")</f>
        <v/>
      </c>
    </row>
    <row r="32560">
      <c r="A32560" t="n">
        <v>32559</v>
      </c>
      <c r="B32560" t="inlineStr">
        <is>
          <t>x̄x̄x̄MMDLIX</t>
        </is>
      </c>
      <c r="C32560">
        <f>ROMAN(32559)</f>
        <v/>
      </c>
      <c r="D32560">
        <f>IF(B32560=C32560, "YES", "WRONG")</f>
        <v/>
      </c>
    </row>
    <row r="32561">
      <c r="A32561" t="n">
        <v>32560</v>
      </c>
      <c r="B32561" t="inlineStr">
        <is>
          <t>x̄x̄x̄MMDLX</t>
        </is>
      </c>
      <c r="C32561">
        <f>ROMAN(32560)</f>
        <v/>
      </c>
      <c r="D32561">
        <f>IF(B32561=C32561, "YES", "WRONG")</f>
        <v/>
      </c>
    </row>
    <row r="32562">
      <c r="A32562" t="n">
        <v>32561</v>
      </c>
      <c r="B32562" t="inlineStr">
        <is>
          <t>x̄x̄x̄MMDLXI</t>
        </is>
      </c>
      <c r="C32562">
        <f>ROMAN(32561)</f>
        <v/>
      </c>
      <c r="D32562">
        <f>IF(B32562=C32562, "YES", "WRONG")</f>
        <v/>
      </c>
    </row>
    <row r="32563">
      <c r="A32563" t="n">
        <v>32562</v>
      </c>
      <c r="B32563" t="inlineStr">
        <is>
          <t>x̄x̄x̄MMDLXII</t>
        </is>
      </c>
      <c r="C32563">
        <f>ROMAN(32562)</f>
        <v/>
      </c>
      <c r="D32563">
        <f>IF(B32563=C32563, "YES", "WRONG")</f>
        <v/>
      </c>
    </row>
    <row r="32564">
      <c r="A32564" t="n">
        <v>32563</v>
      </c>
      <c r="B32564" t="inlineStr">
        <is>
          <t>x̄x̄x̄MMDLXIII</t>
        </is>
      </c>
      <c r="C32564">
        <f>ROMAN(32563)</f>
        <v/>
      </c>
      <c r="D32564">
        <f>IF(B32564=C32564, "YES", "WRONG")</f>
        <v/>
      </c>
    </row>
    <row r="32565">
      <c r="A32565" t="n">
        <v>32564</v>
      </c>
      <c r="B32565" t="inlineStr">
        <is>
          <t>x̄x̄x̄MMDLXIV</t>
        </is>
      </c>
      <c r="C32565">
        <f>ROMAN(32564)</f>
        <v/>
      </c>
      <c r="D32565">
        <f>IF(B32565=C32565, "YES", "WRONG")</f>
        <v/>
      </c>
    </row>
    <row r="32566">
      <c r="A32566" t="n">
        <v>32565</v>
      </c>
      <c r="B32566" t="inlineStr">
        <is>
          <t>x̄x̄x̄MMDLXV</t>
        </is>
      </c>
      <c r="C32566">
        <f>ROMAN(32565)</f>
        <v/>
      </c>
      <c r="D32566">
        <f>IF(B32566=C32566, "YES", "WRONG")</f>
        <v/>
      </c>
    </row>
    <row r="32567">
      <c r="A32567" t="n">
        <v>32566</v>
      </c>
      <c r="B32567" t="inlineStr">
        <is>
          <t>x̄x̄x̄MMDLXVI</t>
        </is>
      </c>
      <c r="C32567">
        <f>ROMAN(32566)</f>
        <v/>
      </c>
      <c r="D32567">
        <f>IF(B32567=C32567, "YES", "WRONG")</f>
        <v/>
      </c>
    </row>
    <row r="32568">
      <c r="A32568" t="n">
        <v>32567</v>
      </c>
      <c r="B32568" t="inlineStr">
        <is>
          <t>x̄x̄x̄MMDLXVII</t>
        </is>
      </c>
      <c r="C32568">
        <f>ROMAN(32567)</f>
        <v/>
      </c>
      <c r="D32568">
        <f>IF(B32568=C32568, "YES", "WRONG")</f>
        <v/>
      </c>
    </row>
    <row r="32569">
      <c r="A32569" t="n">
        <v>32568</v>
      </c>
      <c r="B32569" t="inlineStr">
        <is>
          <t>x̄x̄x̄MMDLXVIII</t>
        </is>
      </c>
      <c r="C32569">
        <f>ROMAN(32568)</f>
        <v/>
      </c>
      <c r="D32569">
        <f>IF(B32569=C32569, "YES", "WRONG")</f>
        <v/>
      </c>
    </row>
    <row r="32570">
      <c r="A32570" t="n">
        <v>32569</v>
      </c>
      <c r="B32570" t="inlineStr">
        <is>
          <t>x̄x̄x̄MMDLXIX</t>
        </is>
      </c>
      <c r="C32570">
        <f>ROMAN(32569)</f>
        <v/>
      </c>
      <c r="D32570">
        <f>IF(B32570=C32570, "YES", "WRONG")</f>
        <v/>
      </c>
    </row>
    <row r="32571">
      <c r="A32571" t="n">
        <v>32570</v>
      </c>
      <c r="B32571" t="inlineStr">
        <is>
          <t>x̄x̄x̄MMDLXX</t>
        </is>
      </c>
      <c r="C32571">
        <f>ROMAN(32570)</f>
        <v/>
      </c>
      <c r="D32571">
        <f>IF(B32571=C32571, "YES", "WRONG")</f>
        <v/>
      </c>
    </row>
    <row r="32572">
      <c r="A32572" t="n">
        <v>32571</v>
      </c>
      <c r="B32572" t="inlineStr">
        <is>
          <t>x̄x̄x̄MMDLXXI</t>
        </is>
      </c>
      <c r="C32572">
        <f>ROMAN(32571)</f>
        <v/>
      </c>
      <c r="D32572">
        <f>IF(B32572=C32572, "YES", "WRONG")</f>
        <v/>
      </c>
    </row>
    <row r="32573">
      <c r="A32573" t="n">
        <v>32572</v>
      </c>
      <c r="B32573" t="inlineStr">
        <is>
          <t>x̄x̄x̄MMDLXXII</t>
        </is>
      </c>
      <c r="C32573">
        <f>ROMAN(32572)</f>
        <v/>
      </c>
      <c r="D32573">
        <f>IF(B32573=C32573, "YES", "WRONG")</f>
        <v/>
      </c>
    </row>
    <row r="32574">
      <c r="A32574" t="n">
        <v>32573</v>
      </c>
      <c r="B32574" t="inlineStr">
        <is>
          <t>x̄x̄x̄MMDLXXIII</t>
        </is>
      </c>
      <c r="C32574">
        <f>ROMAN(32573)</f>
        <v/>
      </c>
      <c r="D32574">
        <f>IF(B32574=C32574, "YES", "WRONG")</f>
        <v/>
      </c>
    </row>
    <row r="32575">
      <c r="A32575" t="n">
        <v>32574</v>
      </c>
      <c r="B32575" t="inlineStr">
        <is>
          <t>x̄x̄x̄MMDLXXIV</t>
        </is>
      </c>
      <c r="C32575">
        <f>ROMAN(32574)</f>
        <v/>
      </c>
      <c r="D32575">
        <f>IF(B32575=C32575, "YES", "WRONG")</f>
        <v/>
      </c>
    </row>
    <row r="32576">
      <c r="A32576" t="n">
        <v>32575</v>
      </c>
      <c r="B32576" t="inlineStr">
        <is>
          <t>x̄x̄x̄MMDLXXV</t>
        </is>
      </c>
      <c r="C32576">
        <f>ROMAN(32575)</f>
        <v/>
      </c>
      <c r="D32576">
        <f>IF(B32576=C32576, "YES", "WRONG")</f>
        <v/>
      </c>
    </row>
    <row r="32577">
      <c r="A32577" t="n">
        <v>32576</v>
      </c>
      <c r="B32577" t="inlineStr">
        <is>
          <t>x̄x̄x̄MMDLXXVI</t>
        </is>
      </c>
      <c r="C32577">
        <f>ROMAN(32576)</f>
        <v/>
      </c>
      <c r="D32577">
        <f>IF(B32577=C32577, "YES", "WRONG")</f>
        <v/>
      </c>
    </row>
    <row r="32578">
      <c r="A32578" t="n">
        <v>32577</v>
      </c>
      <c r="B32578" t="inlineStr">
        <is>
          <t>x̄x̄x̄MMDLXXVII</t>
        </is>
      </c>
      <c r="C32578">
        <f>ROMAN(32577)</f>
        <v/>
      </c>
      <c r="D32578">
        <f>IF(B32578=C32578, "YES", "WRONG")</f>
        <v/>
      </c>
    </row>
    <row r="32579">
      <c r="A32579" t="n">
        <v>32578</v>
      </c>
      <c r="B32579" t="inlineStr">
        <is>
          <t>x̄x̄x̄MMDLXXVIII</t>
        </is>
      </c>
      <c r="C32579">
        <f>ROMAN(32578)</f>
        <v/>
      </c>
      <c r="D32579">
        <f>IF(B32579=C32579, "YES", "WRONG")</f>
        <v/>
      </c>
    </row>
    <row r="32580">
      <c r="A32580" t="n">
        <v>32579</v>
      </c>
      <c r="B32580" t="inlineStr">
        <is>
          <t>x̄x̄x̄MMDLXXIX</t>
        </is>
      </c>
      <c r="C32580">
        <f>ROMAN(32579)</f>
        <v/>
      </c>
      <c r="D32580">
        <f>IF(B32580=C32580, "YES", "WRONG")</f>
        <v/>
      </c>
    </row>
    <row r="32581">
      <c r="A32581" t="n">
        <v>32580</v>
      </c>
      <c r="B32581" t="inlineStr">
        <is>
          <t>x̄x̄x̄MMDLXXX</t>
        </is>
      </c>
      <c r="C32581">
        <f>ROMAN(32580)</f>
        <v/>
      </c>
      <c r="D32581">
        <f>IF(B32581=C32581, "YES", "WRONG")</f>
        <v/>
      </c>
    </row>
    <row r="32582">
      <c r="A32582" t="n">
        <v>32581</v>
      </c>
      <c r="B32582" t="inlineStr">
        <is>
          <t>x̄x̄x̄MMDLXXXI</t>
        </is>
      </c>
      <c r="C32582">
        <f>ROMAN(32581)</f>
        <v/>
      </c>
      <c r="D32582">
        <f>IF(B32582=C32582, "YES", "WRONG")</f>
        <v/>
      </c>
    </row>
    <row r="32583">
      <c r="A32583" t="n">
        <v>32582</v>
      </c>
      <c r="B32583" t="inlineStr">
        <is>
          <t>x̄x̄x̄MMDLXXXII</t>
        </is>
      </c>
      <c r="C32583">
        <f>ROMAN(32582)</f>
        <v/>
      </c>
      <c r="D32583">
        <f>IF(B32583=C32583, "YES", "WRONG")</f>
        <v/>
      </c>
    </row>
    <row r="32584">
      <c r="A32584" t="n">
        <v>32583</v>
      </c>
      <c r="B32584" t="inlineStr">
        <is>
          <t>x̄x̄x̄MMDLXXXIII</t>
        </is>
      </c>
      <c r="C32584">
        <f>ROMAN(32583)</f>
        <v/>
      </c>
      <c r="D32584">
        <f>IF(B32584=C32584, "YES", "WRONG")</f>
        <v/>
      </c>
    </row>
    <row r="32585">
      <c r="A32585" t="n">
        <v>32584</v>
      </c>
      <c r="B32585" t="inlineStr">
        <is>
          <t>x̄x̄x̄MMDLXXXIV</t>
        </is>
      </c>
      <c r="C32585">
        <f>ROMAN(32584)</f>
        <v/>
      </c>
      <c r="D32585">
        <f>IF(B32585=C32585, "YES", "WRONG")</f>
        <v/>
      </c>
    </row>
    <row r="32586">
      <c r="A32586" t="n">
        <v>32585</v>
      </c>
      <c r="B32586" t="inlineStr">
        <is>
          <t>x̄x̄x̄MMDLXXXV</t>
        </is>
      </c>
      <c r="C32586">
        <f>ROMAN(32585)</f>
        <v/>
      </c>
      <c r="D32586">
        <f>IF(B32586=C32586, "YES", "WRONG")</f>
        <v/>
      </c>
    </row>
    <row r="32587">
      <c r="A32587" t="n">
        <v>32586</v>
      </c>
      <c r="B32587" t="inlineStr">
        <is>
          <t>x̄x̄x̄MMDLXXXVI</t>
        </is>
      </c>
      <c r="C32587">
        <f>ROMAN(32586)</f>
        <v/>
      </c>
      <c r="D32587">
        <f>IF(B32587=C32587, "YES", "WRONG")</f>
        <v/>
      </c>
    </row>
    <row r="32588">
      <c r="A32588" t="n">
        <v>32587</v>
      </c>
      <c r="B32588" t="inlineStr">
        <is>
          <t>x̄x̄x̄MMDLXXXVII</t>
        </is>
      </c>
      <c r="C32588">
        <f>ROMAN(32587)</f>
        <v/>
      </c>
      <c r="D32588">
        <f>IF(B32588=C32588, "YES", "WRONG")</f>
        <v/>
      </c>
    </row>
    <row r="32589">
      <c r="A32589" t="n">
        <v>32588</v>
      </c>
      <c r="B32589" t="inlineStr">
        <is>
          <t>x̄x̄x̄MMDLXXXVIII</t>
        </is>
      </c>
      <c r="C32589">
        <f>ROMAN(32588)</f>
        <v/>
      </c>
      <c r="D32589">
        <f>IF(B32589=C32589, "YES", "WRONG")</f>
        <v/>
      </c>
    </row>
    <row r="32590">
      <c r="A32590" t="n">
        <v>32589</v>
      </c>
      <c r="B32590" t="inlineStr">
        <is>
          <t>x̄x̄x̄MMDLXXXIX</t>
        </is>
      </c>
      <c r="C32590">
        <f>ROMAN(32589)</f>
        <v/>
      </c>
      <c r="D32590">
        <f>IF(B32590=C32590, "YES", "WRONG")</f>
        <v/>
      </c>
    </row>
    <row r="32591">
      <c r="A32591" t="n">
        <v>32590</v>
      </c>
      <c r="B32591" t="inlineStr">
        <is>
          <t>x̄x̄x̄MMDXC</t>
        </is>
      </c>
      <c r="C32591">
        <f>ROMAN(32590)</f>
        <v/>
      </c>
      <c r="D32591">
        <f>IF(B32591=C32591, "YES", "WRONG")</f>
        <v/>
      </c>
    </row>
    <row r="32592">
      <c r="A32592" t="n">
        <v>32591</v>
      </c>
      <c r="B32592" t="inlineStr">
        <is>
          <t>x̄x̄x̄MMDXCI</t>
        </is>
      </c>
      <c r="C32592">
        <f>ROMAN(32591)</f>
        <v/>
      </c>
      <c r="D32592">
        <f>IF(B32592=C32592, "YES", "WRONG")</f>
        <v/>
      </c>
    </row>
    <row r="32593">
      <c r="A32593" t="n">
        <v>32592</v>
      </c>
      <c r="B32593" t="inlineStr">
        <is>
          <t>x̄x̄x̄MMDXCII</t>
        </is>
      </c>
      <c r="C32593">
        <f>ROMAN(32592)</f>
        <v/>
      </c>
      <c r="D32593">
        <f>IF(B32593=C32593, "YES", "WRONG")</f>
        <v/>
      </c>
    </row>
    <row r="32594">
      <c r="A32594" t="n">
        <v>32593</v>
      </c>
      <c r="B32594" t="inlineStr">
        <is>
          <t>x̄x̄x̄MMDXCIII</t>
        </is>
      </c>
      <c r="C32594">
        <f>ROMAN(32593)</f>
        <v/>
      </c>
      <c r="D32594">
        <f>IF(B32594=C32594, "YES", "WRONG")</f>
        <v/>
      </c>
    </row>
    <row r="32595">
      <c r="A32595" t="n">
        <v>32594</v>
      </c>
      <c r="B32595" t="inlineStr">
        <is>
          <t>x̄x̄x̄MMDXCIV</t>
        </is>
      </c>
      <c r="C32595">
        <f>ROMAN(32594)</f>
        <v/>
      </c>
      <c r="D32595">
        <f>IF(B32595=C32595, "YES", "WRONG")</f>
        <v/>
      </c>
    </row>
    <row r="32596">
      <c r="A32596" t="n">
        <v>32595</v>
      </c>
      <c r="B32596" t="inlineStr">
        <is>
          <t>x̄x̄x̄MMDXCV</t>
        </is>
      </c>
      <c r="C32596">
        <f>ROMAN(32595)</f>
        <v/>
      </c>
      <c r="D32596">
        <f>IF(B32596=C32596, "YES", "WRONG")</f>
        <v/>
      </c>
    </row>
    <row r="32597">
      <c r="A32597" t="n">
        <v>32596</v>
      </c>
      <c r="B32597" t="inlineStr">
        <is>
          <t>x̄x̄x̄MMDXCVI</t>
        </is>
      </c>
      <c r="C32597">
        <f>ROMAN(32596)</f>
        <v/>
      </c>
      <c r="D32597">
        <f>IF(B32597=C32597, "YES", "WRONG")</f>
        <v/>
      </c>
    </row>
    <row r="32598">
      <c r="A32598" t="n">
        <v>32597</v>
      </c>
      <c r="B32598" t="inlineStr">
        <is>
          <t>x̄x̄x̄MMDXCVII</t>
        </is>
      </c>
      <c r="C32598">
        <f>ROMAN(32597)</f>
        <v/>
      </c>
      <c r="D32598">
        <f>IF(B32598=C32598, "YES", "WRONG")</f>
        <v/>
      </c>
    </row>
    <row r="32599">
      <c r="A32599" t="n">
        <v>32598</v>
      </c>
      <c r="B32599" t="inlineStr">
        <is>
          <t>x̄x̄x̄MMDXCVIII</t>
        </is>
      </c>
      <c r="C32599">
        <f>ROMAN(32598)</f>
        <v/>
      </c>
      <c r="D32599">
        <f>IF(B32599=C32599, "YES", "WRONG")</f>
        <v/>
      </c>
    </row>
    <row r="32600">
      <c r="A32600" t="n">
        <v>32599</v>
      </c>
      <c r="B32600" t="inlineStr">
        <is>
          <t>x̄x̄x̄MMDXCIX</t>
        </is>
      </c>
      <c r="C32600">
        <f>ROMAN(32599)</f>
        <v/>
      </c>
      <c r="D32600">
        <f>IF(B32600=C32600, "YES", "WRONG")</f>
        <v/>
      </c>
    </row>
    <row r="32601">
      <c r="A32601" t="n">
        <v>32600</v>
      </c>
      <c r="B32601" t="inlineStr">
        <is>
          <t>x̄x̄x̄MMDC</t>
        </is>
      </c>
      <c r="C32601">
        <f>ROMAN(32600)</f>
        <v/>
      </c>
      <c r="D32601">
        <f>IF(B32601=C32601, "YES", "WRONG")</f>
        <v/>
      </c>
    </row>
    <row r="32602">
      <c r="A32602" t="n">
        <v>32601</v>
      </c>
      <c r="B32602" t="inlineStr">
        <is>
          <t>x̄x̄x̄MMDCI</t>
        </is>
      </c>
      <c r="C32602">
        <f>ROMAN(32601)</f>
        <v/>
      </c>
      <c r="D32602">
        <f>IF(B32602=C32602, "YES", "WRONG")</f>
        <v/>
      </c>
    </row>
    <row r="32603">
      <c r="A32603" t="n">
        <v>32602</v>
      </c>
      <c r="B32603" t="inlineStr">
        <is>
          <t>x̄x̄x̄MMDCII</t>
        </is>
      </c>
      <c r="C32603">
        <f>ROMAN(32602)</f>
        <v/>
      </c>
      <c r="D32603">
        <f>IF(B32603=C32603, "YES", "WRONG")</f>
        <v/>
      </c>
    </row>
    <row r="32604">
      <c r="A32604" t="n">
        <v>32603</v>
      </c>
      <c r="B32604" t="inlineStr">
        <is>
          <t>x̄x̄x̄MMDCIII</t>
        </is>
      </c>
      <c r="C32604">
        <f>ROMAN(32603)</f>
        <v/>
      </c>
      <c r="D32604">
        <f>IF(B32604=C32604, "YES", "WRONG")</f>
        <v/>
      </c>
    </row>
    <row r="32605">
      <c r="A32605" t="n">
        <v>32604</v>
      </c>
      <c r="B32605" t="inlineStr">
        <is>
          <t>x̄x̄x̄MMDCIV</t>
        </is>
      </c>
      <c r="C32605">
        <f>ROMAN(32604)</f>
        <v/>
      </c>
      <c r="D32605">
        <f>IF(B32605=C32605, "YES", "WRONG")</f>
        <v/>
      </c>
    </row>
    <row r="32606">
      <c r="A32606" t="n">
        <v>32605</v>
      </c>
      <c r="B32606" t="inlineStr">
        <is>
          <t>x̄x̄x̄MMDCV</t>
        </is>
      </c>
      <c r="C32606">
        <f>ROMAN(32605)</f>
        <v/>
      </c>
      <c r="D32606">
        <f>IF(B32606=C32606, "YES", "WRONG")</f>
        <v/>
      </c>
    </row>
    <row r="32607">
      <c r="A32607" t="n">
        <v>32606</v>
      </c>
      <c r="B32607" t="inlineStr">
        <is>
          <t>x̄x̄x̄MMDCVI</t>
        </is>
      </c>
      <c r="C32607">
        <f>ROMAN(32606)</f>
        <v/>
      </c>
      <c r="D32607">
        <f>IF(B32607=C32607, "YES", "WRONG")</f>
        <v/>
      </c>
    </row>
    <row r="32608">
      <c r="A32608" t="n">
        <v>32607</v>
      </c>
      <c r="B32608" t="inlineStr">
        <is>
          <t>x̄x̄x̄MMDCVII</t>
        </is>
      </c>
      <c r="C32608">
        <f>ROMAN(32607)</f>
        <v/>
      </c>
      <c r="D32608">
        <f>IF(B32608=C32608, "YES", "WRONG")</f>
        <v/>
      </c>
    </row>
    <row r="32609">
      <c r="A32609" t="n">
        <v>32608</v>
      </c>
      <c r="B32609" t="inlineStr">
        <is>
          <t>x̄x̄x̄MMDCVIII</t>
        </is>
      </c>
      <c r="C32609">
        <f>ROMAN(32608)</f>
        <v/>
      </c>
      <c r="D32609">
        <f>IF(B32609=C32609, "YES", "WRONG")</f>
        <v/>
      </c>
    </row>
    <row r="32610">
      <c r="A32610" t="n">
        <v>32609</v>
      </c>
      <c r="B32610" t="inlineStr">
        <is>
          <t>x̄x̄x̄MMDCIX</t>
        </is>
      </c>
      <c r="C32610">
        <f>ROMAN(32609)</f>
        <v/>
      </c>
      <c r="D32610">
        <f>IF(B32610=C32610, "YES", "WRONG")</f>
        <v/>
      </c>
    </row>
    <row r="32611">
      <c r="A32611" t="n">
        <v>32610</v>
      </c>
      <c r="B32611" t="inlineStr">
        <is>
          <t>x̄x̄x̄MMDCX</t>
        </is>
      </c>
      <c r="C32611">
        <f>ROMAN(32610)</f>
        <v/>
      </c>
      <c r="D32611">
        <f>IF(B32611=C32611, "YES", "WRONG")</f>
        <v/>
      </c>
    </row>
    <row r="32612">
      <c r="A32612" t="n">
        <v>32611</v>
      </c>
      <c r="B32612" t="inlineStr">
        <is>
          <t>x̄x̄x̄MMDCXI</t>
        </is>
      </c>
      <c r="C32612">
        <f>ROMAN(32611)</f>
        <v/>
      </c>
      <c r="D32612">
        <f>IF(B32612=C32612, "YES", "WRONG")</f>
        <v/>
      </c>
    </row>
    <row r="32613">
      <c r="A32613" t="n">
        <v>32612</v>
      </c>
      <c r="B32613" t="inlineStr">
        <is>
          <t>x̄x̄x̄MMDCXII</t>
        </is>
      </c>
      <c r="C32613">
        <f>ROMAN(32612)</f>
        <v/>
      </c>
      <c r="D32613">
        <f>IF(B32613=C32613, "YES", "WRONG")</f>
        <v/>
      </c>
    </row>
    <row r="32614">
      <c r="A32614" t="n">
        <v>32613</v>
      </c>
      <c r="B32614" t="inlineStr">
        <is>
          <t>x̄x̄x̄MMDCXIII</t>
        </is>
      </c>
      <c r="C32614">
        <f>ROMAN(32613)</f>
        <v/>
      </c>
      <c r="D32614">
        <f>IF(B32614=C32614, "YES", "WRONG")</f>
        <v/>
      </c>
    </row>
    <row r="32615">
      <c r="A32615" t="n">
        <v>32614</v>
      </c>
      <c r="B32615" t="inlineStr">
        <is>
          <t>x̄x̄x̄MMDCXIV</t>
        </is>
      </c>
      <c r="C32615">
        <f>ROMAN(32614)</f>
        <v/>
      </c>
      <c r="D32615">
        <f>IF(B32615=C32615, "YES", "WRONG")</f>
        <v/>
      </c>
    </row>
    <row r="32616">
      <c r="A32616" t="n">
        <v>32615</v>
      </c>
      <c r="B32616" t="inlineStr">
        <is>
          <t>x̄x̄x̄MMDCXV</t>
        </is>
      </c>
      <c r="C32616">
        <f>ROMAN(32615)</f>
        <v/>
      </c>
      <c r="D32616">
        <f>IF(B32616=C32616, "YES", "WRONG")</f>
        <v/>
      </c>
    </row>
    <row r="32617">
      <c r="A32617" t="n">
        <v>32616</v>
      </c>
      <c r="B32617" t="inlineStr">
        <is>
          <t>x̄x̄x̄MMDCXVI</t>
        </is>
      </c>
      <c r="C32617">
        <f>ROMAN(32616)</f>
        <v/>
      </c>
      <c r="D32617">
        <f>IF(B32617=C32617, "YES", "WRONG")</f>
        <v/>
      </c>
    </row>
    <row r="32618">
      <c r="A32618" t="n">
        <v>32617</v>
      </c>
      <c r="B32618" t="inlineStr">
        <is>
          <t>x̄x̄x̄MMDCXVII</t>
        </is>
      </c>
      <c r="C32618">
        <f>ROMAN(32617)</f>
        <v/>
      </c>
      <c r="D32618">
        <f>IF(B32618=C32618, "YES", "WRONG")</f>
        <v/>
      </c>
    </row>
    <row r="32619">
      <c r="A32619" t="n">
        <v>32618</v>
      </c>
      <c r="B32619" t="inlineStr">
        <is>
          <t>x̄x̄x̄MMDCXVIII</t>
        </is>
      </c>
      <c r="C32619">
        <f>ROMAN(32618)</f>
        <v/>
      </c>
      <c r="D32619">
        <f>IF(B32619=C32619, "YES", "WRONG")</f>
        <v/>
      </c>
    </row>
    <row r="32620">
      <c r="A32620" t="n">
        <v>32619</v>
      </c>
      <c r="B32620" t="inlineStr">
        <is>
          <t>x̄x̄x̄MMDCXIX</t>
        </is>
      </c>
      <c r="C32620">
        <f>ROMAN(32619)</f>
        <v/>
      </c>
      <c r="D32620">
        <f>IF(B32620=C32620, "YES", "WRONG")</f>
        <v/>
      </c>
    </row>
    <row r="32621">
      <c r="A32621" t="n">
        <v>32620</v>
      </c>
      <c r="B32621" t="inlineStr">
        <is>
          <t>x̄x̄x̄MMDCXX</t>
        </is>
      </c>
      <c r="C32621">
        <f>ROMAN(32620)</f>
        <v/>
      </c>
      <c r="D32621">
        <f>IF(B32621=C32621, "YES", "WRONG")</f>
        <v/>
      </c>
    </row>
    <row r="32622">
      <c r="A32622" t="n">
        <v>32621</v>
      </c>
      <c r="B32622" t="inlineStr">
        <is>
          <t>x̄x̄x̄MMDCXXI</t>
        </is>
      </c>
      <c r="C32622">
        <f>ROMAN(32621)</f>
        <v/>
      </c>
      <c r="D32622">
        <f>IF(B32622=C32622, "YES", "WRONG")</f>
        <v/>
      </c>
    </row>
    <row r="32623">
      <c r="A32623" t="n">
        <v>32622</v>
      </c>
      <c r="B32623" t="inlineStr">
        <is>
          <t>x̄x̄x̄MMDCXXII</t>
        </is>
      </c>
      <c r="C32623">
        <f>ROMAN(32622)</f>
        <v/>
      </c>
      <c r="D32623">
        <f>IF(B32623=C32623, "YES", "WRONG")</f>
        <v/>
      </c>
    </row>
    <row r="32624">
      <c r="A32624" t="n">
        <v>32623</v>
      </c>
      <c r="B32624" t="inlineStr">
        <is>
          <t>x̄x̄x̄MMDCXXIII</t>
        </is>
      </c>
      <c r="C32624">
        <f>ROMAN(32623)</f>
        <v/>
      </c>
      <c r="D32624">
        <f>IF(B32624=C32624, "YES", "WRONG")</f>
        <v/>
      </c>
    </row>
    <row r="32625">
      <c r="A32625" t="n">
        <v>32624</v>
      </c>
      <c r="B32625" t="inlineStr">
        <is>
          <t>x̄x̄x̄MMDCXXIV</t>
        </is>
      </c>
      <c r="C32625">
        <f>ROMAN(32624)</f>
        <v/>
      </c>
      <c r="D32625">
        <f>IF(B32625=C32625, "YES", "WRONG")</f>
        <v/>
      </c>
    </row>
    <row r="32626">
      <c r="A32626" t="n">
        <v>32625</v>
      </c>
      <c r="B32626" t="inlineStr">
        <is>
          <t>x̄x̄x̄MMDCXXV</t>
        </is>
      </c>
      <c r="C32626">
        <f>ROMAN(32625)</f>
        <v/>
      </c>
      <c r="D32626">
        <f>IF(B32626=C32626, "YES", "WRONG")</f>
        <v/>
      </c>
    </row>
    <row r="32627">
      <c r="A32627" t="n">
        <v>32626</v>
      </c>
      <c r="B32627" t="inlineStr">
        <is>
          <t>x̄x̄x̄MMDCXXVI</t>
        </is>
      </c>
      <c r="C32627">
        <f>ROMAN(32626)</f>
        <v/>
      </c>
      <c r="D32627">
        <f>IF(B32627=C32627, "YES", "WRONG")</f>
        <v/>
      </c>
    </row>
    <row r="32628">
      <c r="A32628" t="n">
        <v>32627</v>
      </c>
      <c r="B32628" t="inlineStr">
        <is>
          <t>x̄x̄x̄MMDCXXVII</t>
        </is>
      </c>
      <c r="C32628">
        <f>ROMAN(32627)</f>
        <v/>
      </c>
      <c r="D32628">
        <f>IF(B32628=C32628, "YES", "WRONG")</f>
        <v/>
      </c>
    </row>
    <row r="32629">
      <c r="A32629" t="n">
        <v>32628</v>
      </c>
      <c r="B32629" t="inlineStr">
        <is>
          <t>x̄x̄x̄MMDCXXVIII</t>
        </is>
      </c>
      <c r="C32629">
        <f>ROMAN(32628)</f>
        <v/>
      </c>
      <c r="D32629">
        <f>IF(B32629=C32629, "YES", "WRONG")</f>
        <v/>
      </c>
    </row>
    <row r="32630">
      <c r="A32630" t="n">
        <v>32629</v>
      </c>
      <c r="B32630" t="inlineStr">
        <is>
          <t>x̄x̄x̄MMDCXXIX</t>
        </is>
      </c>
      <c r="C32630">
        <f>ROMAN(32629)</f>
        <v/>
      </c>
      <c r="D32630">
        <f>IF(B32630=C32630, "YES", "WRONG")</f>
        <v/>
      </c>
    </row>
    <row r="32631">
      <c r="A32631" t="n">
        <v>32630</v>
      </c>
      <c r="B32631" t="inlineStr">
        <is>
          <t>x̄x̄x̄MMDCXXX</t>
        </is>
      </c>
      <c r="C32631">
        <f>ROMAN(32630)</f>
        <v/>
      </c>
      <c r="D32631">
        <f>IF(B32631=C32631, "YES", "WRONG")</f>
        <v/>
      </c>
    </row>
    <row r="32632">
      <c r="A32632" t="n">
        <v>32631</v>
      </c>
      <c r="B32632" t="inlineStr">
        <is>
          <t>x̄x̄x̄MMDCXXXI</t>
        </is>
      </c>
      <c r="C32632">
        <f>ROMAN(32631)</f>
        <v/>
      </c>
      <c r="D32632">
        <f>IF(B32632=C32632, "YES", "WRONG")</f>
        <v/>
      </c>
    </row>
    <row r="32633">
      <c r="A32633" t="n">
        <v>32632</v>
      </c>
      <c r="B32633" t="inlineStr">
        <is>
          <t>x̄x̄x̄MMDCXXXII</t>
        </is>
      </c>
      <c r="C32633">
        <f>ROMAN(32632)</f>
        <v/>
      </c>
      <c r="D32633">
        <f>IF(B32633=C32633, "YES", "WRONG")</f>
        <v/>
      </c>
    </row>
    <row r="32634">
      <c r="A32634" t="n">
        <v>32633</v>
      </c>
      <c r="B32634" t="inlineStr">
        <is>
          <t>x̄x̄x̄MMDCXXXIII</t>
        </is>
      </c>
      <c r="C32634">
        <f>ROMAN(32633)</f>
        <v/>
      </c>
      <c r="D32634">
        <f>IF(B32634=C32634, "YES", "WRONG")</f>
        <v/>
      </c>
    </row>
    <row r="32635">
      <c r="A32635" t="n">
        <v>32634</v>
      </c>
      <c r="B32635" t="inlineStr">
        <is>
          <t>x̄x̄x̄MMDCXXXIV</t>
        </is>
      </c>
      <c r="C32635">
        <f>ROMAN(32634)</f>
        <v/>
      </c>
      <c r="D32635">
        <f>IF(B32635=C32635, "YES", "WRONG")</f>
        <v/>
      </c>
    </row>
    <row r="32636">
      <c r="A32636" t="n">
        <v>32635</v>
      </c>
      <c r="B32636" t="inlineStr">
        <is>
          <t>x̄x̄x̄MMDCXXXV</t>
        </is>
      </c>
      <c r="C32636">
        <f>ROMAN(32635)</f>
        <v/>
      </c>
      <c r="D32636">
        <f>IF(B32636=C32636, "YES", "WRONG")</f>
        <v/>
      </c>
    </row>
    <row r="32637">
      <c r="A32637" t="n">
        <v>32636</v>
      </c>
      <c r="B32637" t="inlineStr">
        <is>
          <t>x̄x̄x̄MMDCXXXVI</t>
        </is>
      </c>
      <c r="C32637">
        <f>ROMAN(32636)</f>
        <v/>
      </c>
      <c r="D32637">
        <f>IF(B32637=C32637, "YES", "WRONG")</f>
        <v/>
      </c>
    </row>
    <row r="32638">
      <c r="A32638" t="n">
        <v>32637</v>
      </c>
      <c r="B32638" t="inlineStr">
        <is>
          <t>x̄x̄x̄MMDCXXXVII</t>
        </is>
      </c>
      <c r="C32638">
        <f>ROMAN(32637)</f>
        <v/>
      </c>
      <c r="D32638">
        <f>IF(B32638=C32638, "YES", "WRONG")</f>
        <v/>
      </c>
    </row>
    <row r="32639">
      <c r="A32639" t="n">
        <v>32638</v>
      </c>
      <c r="B32639" t="inlineStr">
        <is>
          <t>x̄x̄x̄MMDCXXXVIII</t>
        </is>
      </c>
      <c r="C32639">
        <f>ROMAN(32638)</f>
        <v/>
      </c>
      <c r="D32639">
        <f>IF(B32639=C32639, "YES", "WRONG")</f>
        <v/>
      </c>
    </row>
    <row r="32640">
      <c r="A32640" t="n">
        <v>32639</v>
      </c>
      <c r="B32640" t="inlineStr">
        <is>
          <t>x̄x̄x̄MMDCXXXIX</t>
        </is>
      </c>
      <c r="C32640">
        <f>ROMAN(32639)</f>
        <v/>
      </c>
      <c r="D32640">
        <f>IF(B32640=C32640, "YES", "WRONG")</f>
        <v/>
      </c>
    </row>
    <row r="32641">
      <c r="A32641" t="n">
        <v>32640</v>
      </c>
      <c r="B32641" t="inlineStr">
        <is>
          <t>x̄x̄x̄MMDCXL</t>
        </is>
      </c>
      <c r="C32641">
        <f>ROMAN(32640)</f>
        <v/>
      </c>
      <c r="D32641">
        <f>IF(B32641=C32641, "YES", "WRONG")</f>
        <v/>
      </c>
    </row>
    <row r="32642">
      <c r="A32642" t="n">
        <v>32641</v>
      </c>
      <c r="B32642" t="inlineStr">
        <is>
          <t>x̄x̄x̄MMDCXLI</t>
        </is>
      </c>
      <c r="C32642">
        <f>ROMAN(32641)</f>
        <v/>
      </c>
      <c r="D32642">
        <f>IF(B32642=C32642, "YES", "WRONG")</f>
        <v/>
      </c>
    </row>
    <row r="32643">
      <c r="A32643" t="n">
        <v>32642</v>
      </c>
      <c r="B32643" t="inlineStr">
        <is>
          <t>x̄x̄x̄MMDCXLII</t>
        </is>
      </c>
      <c r="C32643">
        <f>ROMAN(32642)</f>
        <v/>
      </c>
      <c r="D32643">
        <f>IF(B32643=C32643, "YES", "WRONG")</f>
        <v/>
      </c>
    </row>
    <row r="32644">
      <c r="A32644" t="n">
        <v>32643</v>
      </c>
      <c r="B32644" t="inlineStr">
        <is>
          <t>x̄x̄x̄MMDCXLIII</t>
        </is>
      </c>
      <c r="C32644">
        <f>ROMAN(32643)</f>
        <v/>
      </c>
      <c r="D32644">
        <f>IF(B32644=C32644, "YES", "WRONG")</f>
        <v/>
      </c>
    </row>
    <row r="32645">
      <c r="A32645" t="n">
        <v>32644</v>
      </c>
      <c r="B32645" t="inlineStr">
        <is>
          <t>x̄x̄x̄MMDCXLIV</t>
        </is>
      </c>
      <c r="C32645">
        <f>ROMAN(32644)</f>
        <v/>
      </c>
      <c r="D32645">
        <f>IF(B32645=C32645, "YES", "WRONG")</f>
        <v/>
      </c>
    </row>
    <row r="32646">
      <c r="A32646" t="n">
        <v>32645</v>
      </c>
      <c r="B32646" t="inlineStr">
        <is>
          <t>x̄x̄x̄MMDCXLV</t>
        </is>
      </c>
      <c r="C32646">
        <f>ROMAN(32645)</f>
        <v/>
      </c>
      <c r="D32646">
        <f>IF(B32646=C32646, "YES", "WRONG")</f>
        <v/>
      </c>
    </row>
    <row r="32647">
      <c r="A32647" t="n">
        <v>32646</v>
      </c>
      <c r="B32647" t="inlineStr">
        <is>
          <t>x̄x̄x̄MMDCXLVI</t>
        </is>
      </c>
      <c r="C32647">
        <f>ROMAN(32646)</f>
        <v/>
      </c>
      <c r="D32647">
        <f>IF(B32647=C32647, "YES", "WRONG")</f>
        <v/>
      </c>
    </row>
    <row r="32648">
      <c r="A32648" t="n">
        <v>32647</v>
      </c>
      <c r="B32648" t="inlineStr">
        <is>
          <t>x̄x̄x̄MMDCXLVII</t>
        </is>
      </c>
      <c r="C32648">
        <f>ROMAN(32647)</f>
        <v/>
      </c>
      <c r="D32648">
        <f>IF(B32648=C32648, "YES", "WRONG")</f>
        <v/>
      </c>
    </row>
    <row r="32649">
      <c r="A32649" t="n">
        <v>32648</v>
      </c>
      <c r="B32649" t="inlineStr">
        <is>
          <t>x̄x̄x̄MMDCXLVIII</t>
        </is>
      </c>
      <c r="C32649">
        <f>ROMAN(32648)</f>
        <v/>
      </c>
      <c r="D32649">
        <f>IF(B32649=C32649, "YES", "WRONG")</f>
        <v/>
      </c>
    </row>
    <row r="32650">
      <c r="A32650" t="n">
        <v>32649</v>
      </c>
      <c r="B32650" t="inlineStr">
        <is>
          <t>x̄x̄x̄MMDCXLIX</t>
        </is>
      </c>
      <c r="C32650">
        <f>ROMAN(32649)</f>
        <v/>
      </c>
      <c r="D32650">
        <f>IF(B32650=C32650, "YES", "WRONG")</f>
        <v/>
      </c>
    </row>
    <row r="32651">
      <c r="A32651" t="n">
        <v>32650</v>
      </c>
      <c r="B32651" t="inlineStr">
        <is>
          <t>x̄x̄x̄MMDCL</t>
        </is>
      </c>
      <c r="C32651">
        <f>ROMAN(32650)</f>
        <v/>
      </c>
      <c r="D32651">
        <f>IF(B32651=C32651, "YES", "WRONG")</f>
        <v/>
      </c>
    </row>
    <row r="32652">
      <c r="A32652" t="n">
        <v>32651</v>
      </c>
      <c r="B32652" t="inlineStr">
        <is>
          <t>x̄x̄x̄MMDCLI</t>
        </is>
      </c>
      <c r="C32652">
        <f>ROMAN(32651)</f>
        <v/>
      </c>
      <c r="D32652">
        <f>IF(B32652=C32652, "YES", "WRONG")</f>
        <v/>
      </c>
    </row>
    <row r="32653">
      <c r="A32653" t="n">
        <v>32652</v>
      </c>
      <c r="B32653" t="inlineStr">
        <is>
          <t>x̄x̄x̄MMDCLII</t>
        </is>
      </c>
      <c r="C32653">
        <f>ROMAN(32652)</f>
        <v/>
      </c>
      <c r="D32653">
        <f>IF(B32653=C32653, "YES", "WRONG")</f>
        <v/>
      </c>
    </row>
    <row r="32654">
      <c r="A32654" t="n">
        <v>32653</v>
      </c>
      <c r="B32654" t="inlineStr">
        <is>
          <t>x̄x̄x̄MMDCLIII</t>
        </is>
      </c>
      <c r="C32654">
        <f>ROMAN(32653)</f>
        <v/>
      </c>
      <c r="D32654">
        <f>IF(B32654=C32654, "YES", "WRONG")</f>
        <v/>
      </c>
    </row>
    <row r="32655">
      <c r="A32655" t="n">
        <v>32654</v>
      </c>
      <c r="B32655" t="inlineStr">
        <is>
          <t>x̄x̄x̄MMDCLIV</t>
        </is>
      </c>
      <c r="C32655">
        <f>ROMAN(32654)</f>
        <v/>
      </c>
      <c r="D32655">
        <f>IF(B32655=C32655, "YES", "WRONG")</f>
        <v/>
      </c>
    </row>
    <row r="32656">
      <c r="A32656" t="n">
        <v>32655</v>
      </c>
      <c r="B32656" t="inlineStr">
        <is>
          <t>x̄x̄x̄MMDCLV</t>
        </is>
      </c>
      <c r="C32656">
        <f>ROMAN(32655)</f>
        <v/>
      </c>
      <c r="D32656">
        <f>IF(B32656=C32656, "YES", "WRONG")</f>
        <v/>
      </c>
    </row>
    <row r="32657">
      <c r="A32657" t="n">
        <v>32656</v>
      </c>
      <c r="B32657" t="inlineStr">
        <is>
          <t>x̄x̄x̄MMDCLVI</t>
        </is>
      </c>
      <c r="C32657">
        <f>ROMAN(32656)</f>
        <v/>
      </c>
      <c r="D32657">
        <f>IF(B32657=C32657, "YES", "WRONG")</f>
        <v/>
      </c>
    </row>
    <row r="32658">
      <c r="A32658" t="n">
        <v>32657</v>
      </c>
      <c r="B32658" t="inlineStr">
        <is>
          <t>x̄x̄x̄MMDCLVII</t>
        </is>
      </c>
      <c r="C32658">
        <f>ROMAN(32657)</f>
        <v/>
      </c>
      <c r="D32658">
        <f>IF(B32658=C32658, "YES", "WRONG")</f>
        <v/>
      </c>
    </row>
    <row r="32659">
      <c r="A32659" t="n">
        <v>32658</v>
      </c>
      <c r="B32659" t="inlineStr">
        <is>
          <t>x̄x̄x̄MMDCLVIII</t>
        </is>
      </c>
      <c r="C32659">
        <f>ROMAN(32658)</f>
        <v/>
      </c>
      <c r="D32659">
        <f>IF(B32659=C32659, "YES", "WRONG")</f>
        <v/>
      </c>
    </row>
    <row r="32660">
      <c r="A32660" t="n">
        <v>32659</v>
      </c>
      <c r="B32660" t="inlineStr">
        <is>
          <t>x̄x̄x̄MMDCLIX</t>
        </is>
      </c>
      <c r="C32660">
        <f>ROMAN(32659)</f>
        <v/>
      </c>
      <c r="D32660">
        <f>IF(B32660=C32660, "YES", "WRONG")</f>
        <v/>
      </c>
    </row>
    <row r="32661">
      <c r="A32661" t="n">
        <v>32660</v>
      </c>
      <c r="B32661" t="inlineStr">
        <is>
          <t>x̄x̄x̄MMDCLX</t>
        </is>
      </c>
      <c r="C32661">
        <f>ROMAN(32660)</f>
        <v/>
      </c>
      <c r="D32661">
        <f>IF(B32661=C32661, "YES", "WRONG")</f>
        <v/>
      </c>
    </row>
    <row r="32662">
      <c r="A32662" t="n">
        <v>32661</v>
      </c>
      <c r="B32662" t="inlineStr">
        <is>
          <t>x̄x̄x̄MMDCLXI</t>
        </is>
      </c>
      <c r="C32662">
        <f>ROMAN(32661)</f>
        <v/>
      </c>
      <c r="D32662">
        <f>IF(B32662=C32662, "YES", "WRONG")</f>
        <v/>
      </c>
    </row>
    <row r="32663">
      <c r="A32663" t="n">
        <v>32662</v>
      </c>
      <c r="B32663" t="inlineStr">
        <is>
          <t>x̄x̄x̄MMDCLXII</t>
        </is>
      </c>
      <c r="C32663">
        <f>ROMAN(32662)</f>
        <v/>
      </c>
      <c r="D32663">
        <f>IF(B32663=C32663, "YES", "WRONG")</f>
        <v/>
      </c>
    </row>
    <row r="32664">
      <c r="A32664" t="n">
        <v>32663</v>
      </c>
      <c r="B32664" t="inlineStr">
        <is>
          <t>x̄x̄x̄MMDCLXIII</t>
        </is>
      </c>
      <c r="C32664">
        <f>ROMAN(32663)</f>
        <v/>
      </c>
      <c r="D32664">
        <f>IF(B32664=C32664, "YES", "WRONG")</f>
        <v/>
      </c>
    </row>
    <row r="32665">
      <c r="A32665" t="n">
        <v>32664</v>
      </c>
      <c r="B32665" t="inlineStr">
        <is>
          <t>x̄x̄x̄MMDCLXIV</t>
        </is>
      </c>
      <c r="C32665">
        <f>ROMAN(32664)</f>
        <v/>
      </c>
      <c r="D32665">
        <f>IF(B32665=C32665, "YES", "WRONG")</f>
        <v/>
      </c>
    </row>
    <row r="32666">
      <c r="A32666" t="n">
        <v>32665</v>
      </c>
      <c r="B32666" t="inlineStr">
        <is>
          <t>x̄x̄x̄MMDCLXV</t>
        </is>
      </c>
      <c r="C32666">
        <f>ROMAN(32665)</f>
        <v/>
      </c>
      <c r="D32666">
        <f>IF(B32666=C32666, "YES", "WRONG")</f>
        <v/>
      </c>
    </row>
    <row r="32667">
      <c r="A32667" t="n">
        <v>32666</v>
      </c>
      <c r="B32667" t="inlineStr">
        <is>
          <t>x̄x̄x̄MMDCLXVI</t>
        </is>
      </c>
      <c r="C32667">
        <f>ROMAN(32666)</f>
        <v/>
      </c>
      <c r="D32667">
        <f>IF(B32667=C32667, "YES", "WRONG")</f>
        <v/>
      </c>
    </row>
    <row r="32668">
      <c r="A32668" t="n">
        <v>32667</v>
      </c>
      <c r="B32668" t="inlineStr">
        <is>
          <t>x̄x̄x̄MMDCLXVII</t>
        </is>
      </c>
      <c r="C32668">
        <f>ROMAN(32667)</f>
        <v/>
      </c>
      <c r="D32668">
        <f>IF(B32668=C32668, "YES", "WRONG")</f>
        <v/>
      </c>
    </row>
    <row r="32669">
      <c r="A32669" t="n">
        <v>32668</v>
      </c>
      <c r="B32669" t="inlineStr">
        <is>
          <t>x̄x̄x̄MMDCLXVIII</t>
        </is>
      </c>
      <c r="C32669">
        <f>ROMAN(32668)</f>
        <v/>
      </c>
      <c r="D32669">
        <f>IF(B32669=C32669, "YES", "WRONG")</f>
        <v/>
      </c>
    </row>
    <row r="32670">
      <c r="A32670" t="n">
        <v>32669</v>
      </c>
      <c r="B32670" t="inlineStr">
        <is>
          <t>x̄x̄x̄MMDCLXIX</t>
        </is>
      </c>
      <c r="C32670">
        <f>ROMAN(32669)</f>
        <v/>
      </c>
      <c r="D32670">
        <f>IF(B32670=C32670, "YES", "WRONG")</f>
        <v/>
      </c>
    </row>
    <row r="32671">
      <c r="A32671" t="n">
        <v>32670</v>
      </c>
      <c r="B32671" t="inlineStr">
        <is>
          <t>x̄x̄x̄MMDCLXX</t>
        </is>
      </c>
      <c r="C32671">
        <f>ROMAN(32670)</f>
        <v/>
      </c>
      <c r="D32671">
        <f>IF(B32671=C32671, "YES", "WRONG")</f>
        <v/>
      </c>
    </row>
    <row r="32672">
      <c r="A32672" t="n">
        <v>32671</v>
      </c>
      <c r="B32672" t="inlineStr">
        <is>
          <t>x̄x̄x̄MMDCLXXI</t>
        </is>
      </c>
      <c r="C32672">
        <f>ROMAN(32671)</f>
        <v/>
      </c>
      <c r="D32672">
        <f>IF(B32672=C32672, "YES", "WRONG")</f>
        <v/>
      </c>
    </row>
    <row r="32673">
      <c r="A32673" t="n">
        <v>32672</v>
      </c>
      <c r="B32673" t="inlineStr">
        <is>
          <t>x̄x̄x̄MMDCLXXII</t>
        </is>
      </c>
      <c r="C32673">
        <f>ROMAN(32672)</f>
        <v/>
      </c>
      <c r="D32673">
        <f>IF(B32673=C32673, "YES", "WRONG")</f>
        <v/>
      </c>
    </row>
    <row r="32674">
      <c r="A32674" t="n">
        <v>32673</v>
      </c>
      <c r="B32674" t="inlineStr">
        <is>
          <t>x̄x̄x̄MMDCLXXIII</t>
        </is>
      </c>
      <c r="C32674">
        <f>ROMAN(32673)</f>
        <v/>
      </c>
      <c r="D32674">
        <f>IF(B32674=C32674, "YES", "WRONG")</f>
        <v/>
      </c>
    </row>
    <row r="32675">
      <c r="A32675" t="n">
        <v>32674</v>
      </c>
      <c r="B32675" t="inlineStr">
        <is>
          <t>x̄x̄x̄MMDCLXXIV</t>
        </is>
      </c>
      <c r="C32675">
        <f>ROMAN(32674)</f>
        <v/>
      </c>
      <c r="D32675">
        <f>IF(B32675=C32675, "YES", "WRONG")</f>
        <v/>
      </c>
    </row>
    <row r="32676">
      <c r="A32676" t="n">
        <v>32675</v>
      </c>
      <c r="B32676" t="inlineStr">
        <is>
          <t>x̄x̄x̄MMDCLXXV</t>
        </is>
      </c>
      <c r="C32676">
        <f>ROMAN(32675)</f>
        <v/>
      </c>
      <c r="D32676">
        <f>IF(B32676=C32676, "YES", "WRONG")</f>
        <v/>
      </c>
    </row>
    <row r="32677">
      <c r="A32677" t="n">
        <v>32676</v>
      </c>
      <c r="B32677" t="inlineStr">
        <is>
          <t>x̄x̄x̄MMDCLXXVI</t>
        </is>
      </c>
      <c r="C32677">
        <f>ROMAN(32676)</f>
        <v/>
      </c>
      <c r="D32677">
        <f>IF(B32677=C32677, "YES", "WRONG")</f>
        <v/>
      </c>
    </row>
    <row r="32678">
      <c r="A32678" t="n">
        <v>32677</v>
      </c>
      <c r="B32678" t="inlineStr">
        <is>
          <t>x̄x̄x̄MMDCLXXVII</t>
        </is>
      </c>
      <c r="C32678">
        <f>ROMAN(32677)</f>
        <v/>
      </c>
      <c r="D32678">
        <f>IF(B32678=C32678, "YES", "WRONG")</f>
        <v/>
      </c>
    </row>
    <row r="32679">
      <c r="A32679" t="n">
        <v>32678</v>
      </c>
      <c r="B32679" t="inlineStr">
        <is>
          <t>x̄x̄x̄MMDCLXXVIII</t>
        </is>
      </c>
      <c r="C32679">
        <f>ROMAN(32678)</f>
        <v/>
      </c>
      <c r="D32679">
        <f>IF(B32679=C32679, "YES", "WRONG")</f>
        <v/>
      </c>
    </row>
    <row r="32680">
      <c r="A32680" t="n">
        <v>32679</v>
      </c>
      <c r="B32680" t="inlineStr">
        <is>
          <t>x̄x̄x̄MMDCLXXIX</t>
        </is>
      </c>
      <c r="C32680">
        <f>ROMAN(32679)</f>
        <v/>
      </c>
      <c r="D32680">
        <f>IF(B32680=C32680, "YES", "WRONG")</f>
        <v/>
      </c>
    </row>
    <row r="32681">
      <c r="A32681" t="n">
        <v>32680</v>
      </c>
      <c r="B32681" t="inlineStr">
        <is>
          <t>x̄x̄x̄MMDCLXXX</t>
        </is>
      </c>
      <c r="C32681">
        <f>ROMAN(32680)</f>
        <v/>
      </c>
      <c r="D32681">
        <f>IF(B32681=C32681, "YES", "WRONG")</f>
        <v/>
      </c>
    </row>
    <row r="32682">
      <c r="A32682" t="n">
        <v>32681</v>
      </c>
      <c r="B32682" t="inlineStr">
        <is>
          <t>x̄x̄x̄MMDCLXXXI</t>
        </is>
      </c>
      <c r="C32682">
        <f>ROMAN(32681)</f>
        <v/>
      </c>
      <c r="D32682">
        <f>IF(B32682=C32682, "YES", "WRONG")</f>
        <v/>
      </c>
    </row>
    <row r="32683">
      <c r="A32683" t="n">
        <v>32682</v>
      </c>
      <c r="B32683" t="inlineStr">
        <is>
          <t>x̄x̄x̄MMDCLXXXII</t>
        </is>
      </c>
      <c r="C32683">
        <f>ROMAN(32682)</f>
        <v/>
      </c>
      <c r="D32683">
        <f>IF(B32683=C32683, "YES", "WRONG")</f>
        <v/>
      </c>
    </row>
    <row r="32684">
      <c r="A32684" t="n">
        <v>32683</v>
      </c>
      <c r="B32684" t="inlineStr">
        <is>
          <t>x̄x̄x̄MMDCLXXXIII</t>
        </is>
      </c>
      <c r="C32684">
        <f>ROMAN(32683)</f>
        <v/>
      </c>
      <c r="D32684">
        <f>IF(B32684=C32684, "YES", "WRONG")</f>
        <v/>
      </c>
    </row>
    <row r="32685">
      <c r="A32685" t="n">
        <v>32684</v>
      </c>
      <c r="B32685" t="inlineStr">
        <is>
          <t>x̄x̄x̄MMDCLXXXIV</t>
        </is>
      </c>
      <c r="C32685">
        <f>ROMAN(32684)</f>
        <v/>
      </c>
      <c r="D32685">
        <f>IF(B32685=C32685, "YES", "WRONG")</f>
        <v/>
      </c>
    </row>
    <row r="32686">
      <c r="A32686" t="n">
        <v>32685</v>
      </c>
      <c r="B32686" t="inlineStr">
        <is>
          <t>x̄x̄x̄MMDCLXXXV</t>
        </is>
      </c>
      <c r="C32686">
        <f>ROMAN(32685)</f>
        <v/>
      </c>
      <c r="D32686">
        <f>IF(B32686=C32686, "YES", "WRONG")</f>
        <v/>
      </c>
    </row>
    <row r="32687">
      <c r="A32687" t="n">
        <v>32686</v>
      </c>
      <c r="B32687" t="inlineStr">
        <is>
          <t>x̄x̄x̄MMDCLXXXVI</t>
        </is>
      </c>
      <c r="C32687">
        <f>ROMAN(32686)</f>
        <v/>
      </c>
      <c r="D32687">
        <f>IF(B32687=C32687, "YES", "WRONG")</f>
        <v/>
      </c>
    </row>
    <row r="32688">
      <c r="A32688" t="n">
        <v>32687</v>
      </c>
      <c r="B32688" t="inlineStr">
        <is>
          <t>x̄x̄x̄MMDCLXXXVII</t>
        </is>
      </c>
      <c r="C32688">
        <f>ROMAN(32687)</f>
        <v/>
      </c>
      <c r="D32688">
        <f>IF(B32688=C32688, "YES", "WRONG")</f>
        <v/>
      </c>
    </row>
    <row r="32689">
      <c r="A32689" t="n">
        <v>32688</v>
      </c>
      <c r="B32689" t="inlineStr">
        <is>
          <t>x̄x̄x̄MMDCLXXXVIII</t>
        </is>
      </c>
      <c r="C32689">
        <f>ROMAN(32688)</f>
        <v/>
      </c>
      <c r="D32689">
        <f>IF(B32689=C32689, "YES", "WRONG")</f>
        <v/>
      </c>
    </row>
    <row r="32690">
      <c r="A32690" t="n">
        <v>32689</v>
      </c>
      <c r="B32690" t="inlineStr">
        <is>
          <t>x̄x̄x̄MMDCLXXXIX</t>
        </is>
      </c>
      <c r="C32690">
        <f>ROMAN(32689)</f>
        <v/>
      </c>
      <c r="D32690">
        <f>IF(B32690=C32690, "YES", "WRONG")</f>
        <v/>
      </c>
    </row>
    <row r="32691">
      <c r="A32691" t="n">
        <v>32690</v>
      </c>
      <c r="B32691" t="inlineStr">
        <is>
          <t>x̄x̄x̄MMDCXC</t>
        </is>
      </c>
      <c r="C32691">
        <f>ROMAN(32690)</f>
        <v/>
      </c>
      <c r="D32691">
        <f>IF(B32691=C32691, "YES", "WRONG")</f>
        <v/>
      </c>
    </row>
    <row r="32692">
      <c r="A32692" t="n">
        <v>32691</v>
      </c>
      <c r="B32692" t="inlineStr">
        <is>
          <t>x̄x̄x̄MMDCXCI</t>
        </is>
      </c>
      <c r="C32692">
        <f>ROMAN(32691)</f>
        <v/>
      </c>
      <c r="D32692">
        <f>IF(B32692=C32692, "YES", "WRONG")</f>
        <v/>
      </c>
    </row>
    <row r="32693">
      <c r="A32693" t="n">
        <v>32692</v>
      </c>
      <c r="B32693" t="inlineStr">
        <is>
          <t>x̄x̄x̄MMDCXCII</t>
        </is>
      </c>
      <c r="C32693">
        <f>ROMAN(32692)</f>
        <v/>
      </c>
      <c r="D32693">
        <f>IF(B32693=C32693, "YES", "WRONG")</f>
        <v/>
      </c>
    </row>
    <row r="32694">
      <c r="A32694" t="n">
        <v>32693</v>
      </c>
      <c r="B32694" t="inlineStr">
        <is>
          <t>x̄x̄x̄MMDCXCIII</t>
        </is>
      </c>
      <c r="C32694">
        <f>ROMAN(32693)</f>
        <v/>
      </c>
      <c r="D32694">
        <f>IF(B32694=C32694, "YES", "WRONG")</f>
        <v/>
      </c>
    </row>
    <row r="32695">
      <c r="A32695" t="n">
        <v>32694</v>
      </c>
      <c r="B32695" t="inlineStr">
        <is>
          <t>x̄x̄x̄MMDCXCIV</t>
        </is>
      </c>
      <c r="C32695">
        <f>ROMAN(32694)</f>
        <v/>
      </c>
      <c r="D32695">
        <f>IF(B32695=C32695, "YES", "WRONG")</f>
        <v/>
      </c>
    </row>
    <row r="32696">
      <c r="A32696" t="n">
        <v>32695</v>
      </c>
      <c r="B32696" t="inlineStr">
        <is>
          <t>x̄x̄x̄MMDCXCV</t>
        </is>
      </c>
      <c r="C32696">
        <f>ROMAN(32695)</f>
        <v/>
      </c>
      <c r="D32696">
        <f>IF(B32696=C32696, "YES", "WRONG")</f>
        <v/>
      </c>
    </row>
    <row r="32697">
      <c r="A32697" t="n">
        <v>32696</v>
      </c>
      <c r="B32697" t="inlineStr">
        <is>
          <t>x̄x̄x̄MMDCXCVI</t>
        </is>
      </c>
      <c r="C32697">
        <f>ROMAN(32696)</f>
        <v/>
      </c>
      <c r="D32697">
        <f>IF(B32697=C32697, "YES", "WRONG")</f>
        <v/>
      </c>
    </row>
    <row r="32698">
      <c r="A32698" t="n">
        <v>32697</v>
      </c>
      <c r="B32698" t="inlineStr">
        <is>
          <t>x̄x̄x̄MMDCXCVII</t>
        </is>
      </c>
      <c r="C32698">
        <f>ROMAN(32697)</f>
        <v/>
      </c>
      <c r="D32698">
        <f>IF(B32698=C32698, "YES", "WRONG")</f>
        <v/>
      </c>
    </row>
    <row r="32699">
      <c r="A32699" t="n">
        <v>32698</v>
      </c>
      <c r="B32699" t="inlineStr">
        <is>
          <t>x̄x̄x̄MMDCXCVIII</t>
        </is>
      </c>
      <c r="C32699">
        <f>ROMAN(32698)</f>
        <v/>
      </c>
      <c r="D32699">
        <f>IF(B32699=C32699, "YES", "WRONG")</f>
        <v/>
      </c>
    </row>
    <row r="32700">
      <c r="A32700" t="n">
        <v>32699</v>
      </c>
      <c r="B32700" t="inlineStr">
        <is>
          <t>x̄x̄x̄MMDCXCIX</t>
        </is>
      </c>
      <c r="C32700">
        <f>ROMAN(32699)</f>
        <v/>
      </c>
      <c r="D32700">
        <f>IF(B32700=C32700, "YES", "WRONG")</f>
        <v/>
      </c>
    </row>
    <row r="32701">
      <c r="A32701" t="n">
        <v>32700</v>
      </c>
      <c r="B32701" t="inlineStr">
        <is>
          <t>x̄x̄x̄MMDCC</t>
        </is>
      </c>
      <c r="C32701">
        <f>ROMAN(32700)</f>
        <v/>
      </c>
      <c r="D32701">
        <f>IF(B32701=C32701, "YES", "WRONG")</f>
        <v/>
      </c>
    </row>
    <row r="32702">
      <c r="A32702" t="n">
        <v>32701</v>
      </c>
      <c r="B32702" t="inlineStr">
        <is>
          <t>x̄x̄x̄MMDCCI</t>
        </is>
      </c>
      <c r="C32702">
        <f>ROMAN(32701)</f>
        <v/>
      </c>
      <c r="D32702">
        <f>IF(B32702=C32702, "YES", "WRONG")</f>
        <v/>
      </c>
    </row>
    <row r="32703">
      <c r="A32703" t="n">
        <v>32702</v>
      </c>
      <c r="B32703" t="inlineStr">
        <is>
          <t>x̄x̄x̄MMDCCII</t>
        </is>
      </c>
      <c r="C32703">
        <f>ROMAN(32702)</f>
        <v/>
      </c>
      <c r="D32703">
        <f>IF(B32703=C32703, "YES", "WRONG")</f>
        <v/>
      </c>
    </row>
    <row r="32704">
      <c r="A32704" t="n">
        <v>32703</v>
      </c>
      <c r="B32704" t="inlineStr">
        <is>
          <t>x̄x̄x̄MMDCCIII</t>
        </is>
      </c>
      <c r="C32704">
        <f>ROMAN(32703)</f>
        <v/>
      </c>
      <c r="D32704">
        <f>IF(B32704=C32704, "YES", "WRONG")</f>
        <v/>
      </c>
    </row>
    <row r="32705">
      <c r="A32705" t="n">
        <v>32704</v>
      </c>
      <c r="B32705" t="inlineStr">
        <is>
          <t>x̄x̄x̄MMDCCIV</t>
        </is>
      </c>
      <c r="C32705">
        <f>ROMAN(32704)</f>
        <v/>
      </c>
      <c r="D32705">
        <f>IF(B32705=C32705, "YES", "WRONG")</f>
        <v/>
      </c>
    </row>
    <row r="32706">
      <c r="A32706" t="n">
        <v>32705</v>
      </c>
      <c r="B32706" t="inlineStr">
        <is>
          <t>x̄x̄x̄MMDCCV</t>
        </is>
      </c>
      <c r="C32706">
        <f>ROMAN(32705)</f>
        <v/>
      </c>
      <c r="D32706">
        <f>IF(B32706=C32706, "YES", "WRONG")</f>
        <v/>
      </c>
    </row>
    <row r="32707">
      <c r="A32707" t="n">
        <v>32706</v>
      </c>
      <c r="B32707" t="inlineStr">
        <is>
          <t>x̄x̄x̄MMDCCVI</t>
        </is>
      </c>
      <c r="C32707">
        <f>ROMAN(32706)</f>
        <v/>
      </c>
      <c r="D32707">
        <f>IF(B32707=C32707, "YES", "WRONG")</f>
        <v/>
      </c>
    </row>
    <row r="32708">
      <c r="A32708" t="n">
        <v>32707</v>
      </c>
      <c r="B32708" t="inlineStr">
        <is>
          <t>x̄x̄x̄MMDCCVII</t>
        </is>
      </c>
      <c r="C32708">
        <f>ROMAN(32707)</f>
        <v/>
      </c>
      <c r="D32708">
        <f>IF(B32708=C32708, "YES", "WRONG")</f>
        <v/>
      </c>
    </row>
    <row r="32709">
      <c r="A32709" t="n">
        <v>32708</v>
      </c>
      <c r="B32709" t="inlineStr">
        <is>
          <t>x̄x̄x̄MMDCCVIII</t>
        </is>
      </c>
      <c r="C32709">
        <f>ROMAN(32708)</f>
        <v/>
      </c>
      <c r="D32709">
        <f>IF(B32709=C32709, "YES", "WRONG")</f>
        <v/>
      </c>
    </row>
    <row r="32710">
      <c r="A32710" t="n">
        <v>32709</v>
      </c>
      <c r="B32710" t="inlineStr">
        <is>
          <t>x̄x̄x̄MMDCCIX</t>
        </is>
      </c>
      <c r="C32710">
        <f>ROMAN(32709)</f>
        <v/>
      </c>
      <c r="D32710">
        <f>IF(B32710=C32710, "YES", "WRONG")</f>
        <v/>
      </c>
    </row>
    <row r="32711">
      <c r="A32711" t="n">
        <v>32710</v>
      </c>
      <c r="B32711" t="inlineStr">
        <is>
          <t>x̄x̄x̄MMDCCX</t>
        </is>
      </c>
      <c r="C32711">
        <f>ROMAN(32710)</f>
        <v/>
      </c>
      <c r="D32711">
        <f>IF(B32711=C32711, "YES", "WRONG")</f>
        <v/>
      </c>
    </row>
    <row r="32712">
      <c r="A32712" t="n">
        <v>32711</v>
      </c>
      <c r="B32712" t="inlineStr">
        <is>
          <t>x̄x̄x̄MMDCCXI</t>
        </is>
      </c>
      <c r="C32712">
        <f>ROMAN(32711)</f>
        <v/>
      </c>
      <c r="D32712">
        <f>IF(B32712=C32712, "YES", "WRONG")</f>
        <v/>
      </c>
    </row>
    <row r="32713">
      <c r="A32713" t="n">
        <v>32712</v>
      </c>
      <c r="B32713" t="inlineStr">
        <is>
          <t>x̄x̄x̄MMDCCXII</t>
        </is>
      </c>
      <c r="C32713">
        <f>ROMAN(32712)</f>
        <v/>
      </c>
      <c r="D32713">
        <f>IF(B32713=C32713, "YES", "WRONG")</f>
        <v/>
      </c>
    </row>
    <row r="32714">
      <c r="A32714" t="n">
        <v>32713</v>
      </c>
      <c r="B32714" t="inlineStr">
        <is>
          <t>x̄x̄x̄MMDCCXIII</t>
        </is>
      </c>
      <c r="C32714">
        <f>ROMAN(32713)</f>
        <v/>
      </c>
      <c r="D32714">
        <f>IF(B32714=C32714, "YES", "WRONG")</f>
        <v/>
      </c>
    </row>
    <row r="32715">
      <c r="A32715" t="n">
        <v>32714</v>
      </c>
      <c r="B32715" t="inlineStr">
        <is>
          <t>x̄x̄x̄MMDCCXIV</t>
        </is>
      </c>
      <c r="C32715">
        <f>ROMAN(32714)</f>
        <v/>
      </c>
      <c r="D32715">
        <f>IF(B32715=C32715, "YES", "WRONG")</f>
        <v/>
      </c>
    </row>
    <row r="32716">
      <c r="A32716" t="n">
        <v>32715</v>
      </c>
      <c r="B32716" t="inlineStr">
        <is>
          <t>x̄x̄x̄MMDCCXV</t>
        </is>
      </c>
      <c r="C32716">
        <f>ROMAN(32715)</f>
        <v/>
      </c>
      <c r="D32716">
        <f>IF(B32716=C32716, "YES", "WRONG")</f>
        <v/>
      </c>
    </row>
    <row r="32717">
      <c r="A32717" t="n">
        <v>32716</v>
      </c>
      <c r="B32717" t="inlineStr">
        <is>
          <t>x̄x̄x̄MMDCCXVI</t>
        </is>
      </c>
      <c r="C32717">
        <f>ROMAN(32716)</f>
        <v/>
      </c>
      <c r="D32717">
        <f>IF(B32717=C32717, "YES", "WRONG")</f>
        <v/>
      </c>
    </row>
    <row r="32718">
      <c r="A32718" t="n">
        <v>32717</v>
      </c>
      <c r="B32718" t="inlineStr">
        <is>
          <t>x̄x̄x̄MMDCCXVII</t>
        </is>
      </c>
      <c r="C32718">
        <f>ROMAN(32717)</f>
        <v/>
      </c>
      <c r="D32718">
        <f>IF(B32718=C32718, "YES", "WRONG")</f>
        <v/>
      </c>
    </row>
    <row r="32719">
      <c r="A32719" t="n">
        <v>32718</v>
      </c>
      <c r="B32719" t="inlineStr">
        <is>
          <t>x̄x̄x̄MMDCCXVIII</t>
        </is>
      </c>
      <c r="C32719">
        <f>ROMAN(32718)</f>
        <v/>
      </c>
      <c r="D32719">
        <f>IF(B32719=C32719, "YES", "WRONG")</f>
        <v/>
      </c>
    </row>
    <row r="32720">
      <c r="A32720" t="n">
        <v>32719</v>
      </c>
      <c r="B32720" t="inlineStr">
        <is>
          <t>x̄x̄x̄MMDCCXIX</t>
        </is>
      </c>
      <c r="C32720">
        <f>ROMAN(32719)</f>
        <v/>
      </c>
      <c r="D32720">
        <f>IF(B32720=C32720, "YES", "WRONG")</f>
        <v/>
      </c>
    </row>
    <row r="32721">
      <c r="A32721" t="n">
        <v>32720</v>
      </c>
      <c r="B32721" t="inlineStr">
        <is>
          <t>x̄x̄x̄MMDCCXX</t>
        </is>
      </c>
      <c r="C32721">
        <f>ROMAN(32720)</f>
        <v/>
      </c>
      <c r="D32721">
        <f>IF(B32721=C32721, "YES", "WRONG")</f>
        <v/>
      </c>
    </row>
    <row r="32722">
      <c r="A32722" t="n">
        <v>32721</v>
      </c>
      <c r="B32722" t="inlineStr">
        <is>
          <t>x̄x̄x̄MMDCCXXI</t>
        </is>
      </c>
      <c r="C32722">
        <f>ROMAN(32721)</f>
        <v/>
      </c>
      <c r="D32722">
        <f>IF(B32722=C32722, "YES", "WRONG")</f>
        <v/>
      </c>
    </row>
    <row r="32723">
      <c r="A32723" t="n">
        <v>32722</v>
      </c>
      <c r="B32723" t="inlineStr">
        <is>
          <t>x̄x̄x̄MMDCCXXII</t>
        </is>
      </c>
      <c r="C32723">
        <f>ROMAN(32722)</f>
        <v/>
      </c>
      <c r="D32723">
        <f>IF(B32723=C32723, "YES", "WRONG")</f>
        <v/>
      </c>
    </row>
    <row r="32724">
      <c r="A32724" t="n">
        <v>32723</v>
      </c>
      <c r="B32724" t="inlineStr">
        <is>
          <t>x̄x̄x̄MMDCCXXIII</t>
        </is>
      </c>
      <c r="C32724">
        <f>ROMAN(32723)</f>
        <v/>
      </c>
      <c r="D32724">
        <f>IF(B32724=C32724, "YES", "WRONG")</f>
        <v/>
      </c>
    </row>
    <row r="32725">
      <c r="A32725" t="n">
        <v>32724</v>
      </c>
      <c r="B32725" t="inlineStr">
        <is>
          <t>x̄x̄x̄MMDCCXXIV</t>
        </is>
      </c>
      <c r="C32725">
        <f>ROMAN(32724)</f>
        <v/>
      </c>
      <c r="D32725">
        <f>IF(B32725=C32725, "YES", "WRONG")</f>
        <v/>
      </c>
    </row>
    <row r="32726">
      <c r="A32726" t="n">
        <v>32725</v>
      </c>
      <c r="B32726" t="inlineStr">
        <is>
          <t>x̄x̄x̄MMDCCXXV</t>
        </is>
      </c>
      <c r="C32726">
        <f>ROMAN(32725)</f>
        <v/>
      </c>
      <c r="D32726">
        <f>IF(B32726=C32726, "YES", "WRONG")</f>
        <v/>
      </c>
    </row>
    <row r="32727">
      <c r="A32727" t="n">
        <v>32726</v>
      </c>
      <c r="B32727" t="inlineStr">
        <is>
          <t>x̄x̄x̄MMDCCXXVI</t>
        </is>
      </c>
      <c r="C32727">
        <f>ROMAN(32726)</f>
        <v/>
      </c>
      <c r="D32727">
        <f>IF(B32727=C32727, "YES", "WRONG")</f>
        <v/>
      </c>
    </row>
    <row r="32728">
      <c r="A32728" t="n">
        <v>32727</v>
      </c>
      <c r="B32728" t="inlineStr">
        <is>
          <t>x̄x̄x̄MMDCCXXVII</t>
        </is>
      </c>
      <c r="C32728">
        <f>ROMAN(32727)</f>
        <v/>
      </c>
      <c r="D32728">
        <f>IF(B32728=C32728, "YES", "WRONG")</f>
        <v/>
      </c>
    </row>
    <row r="32729">
      <c r="A32729" t="n">
        <v>32728</v>
      </c>
      <c r="B32729" t="inlineStr">
        <is>
          <t>x̄x̄x̄MMDCCXXVIII</t>
        </is>
      </c>
      <c r="C32729">
        <f>ROMAN(32728)</f>
        <v/>
      </c>
      <c r="D32729">
        <f>IF(B32729=C32729, "YES", "WRONG")</f>
        <v/>
      </c>
    </row>
    <row r="32730">
      <c r="A32730" t="n">
        <v>32729</v>
      </c>
      <c r="B32730" t="inlineStr">
        <is>
          <t>x̄x̄x̄MMDCCXXIX</t>
        </is>
      </c>
      <c r="C32730">
        <f>ROMAN(32729)</f>
        <v/>
      </c>
      <c r="D32730">
        <f>IF(B32730=C32730, "YES", "WRONG")</f>
        <v/>
      </c>
    </row>
    <row r="32731">
      <c r="A32731" t="n">
        <v>32730</v>
      </c>
      <c r="B32731" t="inlineStr">
        <is>
          <t>x̄x̄x̄MMDCCXXX</t>
        </is>
      </c>
      <c r="C32731">
        <f>ROMAN(32730)</f>
        <v/>
      </c>
      <c r="D32731">
        <f>IF(B32731=C32731, "YES", "WRONG")</f>
        <v/>
      </c>
    </row>
    <row r="32732">
      <c r="A32732" t="n">
        <v>32731</v>
      </c>
      <c r="B32732" t="inlineStr">
        <is>
          <t>x̄x̄x̄MMDCCXXXI</t>
        </is>
      </c>
      <c r="C32732">
        <f>ROMAN(32731)</f>
        <v/>
      </c>
      <c r="D32732">
        <f>IF(B32732=C32732, "YES", "WRONG")</f>
        <v/>
      </c>
    </row>
    <row r="32733">
      <c r="A32733" t="n">
        <v>32732</v>
      </c>
      <c r="B32733" t="inlineStr">
        <is>
          <t>x̄x̄x̄MMDCCXXXII</t>
        </is>
      </c>
      <c r="C32733">
        <f>ROMAN(32732)</f>
        <v/>
      </c>
      <c r="D32733">
        <f>IF(B32733=C32733, "YES", "WRONG")</f>
        <v/>
      </c>
    </row>
    <row r="32734">
      <c r="A32734" t="n">
        <v>32733</v>
      </c>
      <c r="B32734" t="inlineStr">
        <is>
          <t>x̄x̄x̄MMDCCXXXIII</t>
        </is>
      </c>
      <c r="C32734">
        <f>ROMAN(32733)</f>
        <v/>
      </c>
      <c r="D32734">
        <f>IF(B32734=C32734, "YES", "WRONG")</f>
        <v/>
      </c>
    </row>
    <row r="32735">
      <c r="A32735" t="n">
        <v>32734</v>
      </c>
      <c r="B32735" t="inlineStr">
        <is>
          <t>x̄x̄x̄MMDCCXXXIV</t>
        </is>
      </c>
      <c r="C32735">
        <f>ROMAN(32734)</f>
        <v/>
      </c>
      <c r="D32735">
        <f>IF(B32735=C32735, "YES", "WRONG")</f>
        <v/>
      </c>
    </row>
    <row r="32736">
      <c r="A32736" t="n">
        <v>32735</v>
      </c>
      <c r="B32736" t="inlineStr">
        <is>
          <t>x̄x̄x̄MMDCCXXXV</t>
        </is>
      </c>
      <c r="C32736">
        <f>ROMAN(32735)</f>
        <v/>
      </c>
      <c r="D32736">
        <f>IF(B32736=C32736, "YES", "WRONG")</f>
        <v/>
      </c>
    </row>
    <row r="32737">
      <c r="A32737" t="n">
        <v>32736</v>
      </c>
      <c r="B32737" t="inlineStr">
        <is>
          <t>x̄x̄x̄MMDCCXXXVI</t>
        </is>
      </c>
      <c r="C32737">
        <f>ROMAN(32736)</f>
        <v/>
      </c>
      <c r="D32737">
        <f>IF(B32737=C32737, "YES", "WRONG")</f>
        <v/>
      </c>
    </row>
    <row r="32738">
      <c r="A32738" t="n">
        <v>32737</v>
      </c>
      <c r="B32738" t="inlineStr">
        <is>
          <t>x̄x̄x̄MMDCCXXXVII</t>
        </is>
      </c>
      <c r="C32738">
        <f>ROMAN(32737)</f>
        <v/>
      </c>
      <c r="D32738">
        <f>IF(B32738=C32738, "YES", "WRONG")</f>
        <v/>
      </c>
    </row>
    <row r="32739">
      <c r="A32739" t="n">
        <v>32738</v>
      </c>
      <c r="B32739" t="inlineStr">
        <is>
          <t>x̄x̄x̄MMDCCXXXVIII</t>
        </is>
      </c>
      <c r="C32739">
        <f>ROMAN(32738)</f>
        <v/>
      </c>
      <c r="D32739">
        <f>IF(B32739=C32739, "YES", "WRONG")</f>
        <v/>
      </c>
    </row>
    <row r="32740">
      <c r="A32740" t="n">
        <v>32739</v>
      </c>
      <c r="B32740" t="inlineStr">
        <is>
          <t>x̄x̄x̄MMDCCXXXIX</t>
        </is>
      </c>
      <c r="C32740">
        <f>ROMAN(32739)</f>
        <v/>
      </c>
      <c r="D32740">
        <f>IF(B32740=C32740, "YES", "WRONG")</f>
        <v/>
      </c>
    </row>
    <row r="32741">
      <c r="A32741" t="n">
        <v>32740</v>
      </c>
      <c r="B32741" t="inlineStr">
        <is>
          <t>x̄x̄x̄MMDCCXL</t>
        </is>
      </c>
      <c r="C32741">
        <f>ROMAN(32740)</f>
        <v/>
      </c>
      <c r="D32741">
        <f>IF(B32741=C32741, "YES", "WRONG")</f>
        <v/>
      </c>
    </row>
    <row r="32742">
      <c r="A32742" t="n">
        <v>32741</v>
      </c>
      <c r="B32742" t="inlineStr">
        <is>
          <t>x̄x̄x̄MMDCCXLI</t>
        </is>
      </c>
      <c r="C32742">
        <f>ROMAN(32741)</f>
        <v/>
      </c>
      <c r="D32742">
        <f>IF(B32742=C32742, "YES", "WRONG")</f>
        <v/>
      </c>
    </row>
    <row r="32743">
      <c r="A32743" t="n">
        <v>32742</v>
      </c>
      <c r="B32743" t="inlineStr">
        <is>
          <t>x̄x̄x̄MMDCCXLII</t>
        </is>
      </c>
      <c r="C32743">
        <f>ROMAN(32742)</f>
        <v/>
      </c>
      <c r="D32743">
        <f>IF(B32743=C32743, "YES", "WRONG")</f>
        <v/>
      </c>
    </row>
    <row r="32744">
      <c r="A32744" t="n">
        <v>32743</v>
      </c>
      <c r="B32744" t="inlineStr">
        <is>
          <t>x̄x̄x̄MMDCCXLIII</t>
        </is>
      </c>
      <c r="C32744">
        <f>ROMAN(32743)</f>
        <v/>
      </c>
      <c r="D32744">
        <f>IF(B32744=C32744, "YES", "WRONG")</f>
        <v/>
      </c>
    </row>
    <row r="32745">
      <c r="A32745" t="n">
        <v>32744</v>
      </c>
      <c r="B32745" t="inlineStr">
        <is>
          <t>x̄x̄x̄MMDCCXLIV</t>
        </is>
      </c>
      <c r="C32745">
        <f>ROMAN(32744)</f>
        <v/>
      </c>
      <c r="D32745">
        <f>IF(B32745=C32745, "YES", "WRONG")</f>
        <v/>
      </c>
    </row>
    <row r="32746">
      <c r="A32746" t="n">
        <v>32745</v>
      </c>
      <c r="B32746" t="inlineStr">
        <is>
          <t>x̄x̄x̄MMDCCXLV</t>
        </is>
      </c>
      <c r="C32746">
        <f>ROMAN(32745)</f>
        <v/>
      </c>
      <c r="D32746">
        <f>IF(B32746=C32746, "YES", "WRONG")</f>
        <v/>
      </c>
    </row>
    <row r="32747">
      <c r="A32747" t="n">
        <v>32746</v>
      </c>
      <c r="B32747" t="inlineStr">
        <is>
          <t>x̄x̄x̄MMDCCXLVI</t>
        </is>
      </c>
      <c r="C32747">
        <f>ROMAN(32746)</f>
        <v/>
      </c>
      <c r="D32747">
        <f>IF(B32747=C32747, "YES", "WRONG")</f>
        <v/>
      </c>
    </row>
    <row r="32748">
      <c r="A32748" t="n">
        <v>32747</v>
      </c>
      <c r="B32748" t="inlineStr">
        <is>
          <t>x̄x̄x̄MMDCCXLVII</t>
        </is>
      </c>
      <c r="C32748">
        <f>ROMAN(32747)</f>
        <v/>
      </c>
      <c r="D32748">
        <f>IF(B32748=C32748, "YES", "WRONG")</f>
        <v/>
      </c>
    </row>
    <row r="32749">
      <c r="A32749" t="n">
        <v>32748</v>
      </c>
      <c r="B32749" t="inlineStr">
        <is>
          <t>x̄x̄x̄MMDCCXLVIII</t>
        </is>
      </c>
      <c r="C32749">
        <f>ROMAN(32748)</f>
        <v/>
      </c>
      <c r="D32749">
        <f>IF(B32749=C32749, "YES", "WRONG")</f>
        <v/>
      </c>
    </row>
    <row r="32750">
      <c r="A32750" t="n">
        <v>32749</v>
      </c>
      <c r="B32750" t="inlineStr">
        <is>
          <t>x̄x̄x̄MMDCCXLIX</t>
        </is>
      </c>
      <c r="C32750">
        <f>ROMAN(32749)</f>
        <v/>
      </c>
      <c r="D32750">
        <f>IF(B32750=C32750, "YES", "WRONG")</f>
        <v/>
      </c>
    </row>
    <row r="32751">
      <c r="A32751" t="n">
        <v>32750</v>
      </c>
      <c r="B32751" t="inlineStr">
        <is>
          <t>x̄x̄x̄MMDCCL</t>
        </is>
      </c>
      <c r="C32751">
        <f>ROMAN(32750)</f>
        <v/>
      </c>
      <c r="D32751">
        <f>IF(B32751=C32751, "YES", "WRONG")</f>
        <v/>
      </c>
    </row>
    <row r="32752">
      <c r="A32752" t="n">
        <v>32751</v>
      </c>
      <c r="B32752" t="inlineStr">
        <is>
          <t>x̄x̄x̄MMDCCLI</t>
        </is>
      </c>
      <c r="C32752">
        <f>ROMAN(32751)</f>
        <v/>
      </c>
      <c r="D32752">
        <f>IF(B32752=C32752, "YES", "WRONG")</f>
        <v/>
      </c>
    </row>
    <row r="32753">
      <c r="A32753" t="n">
        <v>32752</v>
      </c>
      <c r="B32753" t="inlineStr">
        <is>
          <t>x̄x̄x̄MMDCCLII</t>
        </is>
      </c>
      <c r="C32753">
        <f>ROMAN(32752)</f>
        <v/>
      </c>
      <c r="D32753">
        <f>IF(B32753=C32753, "YES", "WRONG")</f>
        <v/>
      </c>
    </row>
    <row r="32754">
      <c r="A32754" t="n">
        <v>32753</v>
      </c>
      <c r="B32754" t="inlineStr">
        <is>
          <t>x̄x̄x̄MMDCCLIII</t>
        </is>
      </c>
      <c r="C32754">
        <f>ROMAN(32753)</f>
        <v/>
      </c>
      <c r="D32754">
        <f>IF(B32754=C32754, "YES", "WRONG")</f>
        <v/>
      </c>
    </row>
    <row r="32755">
      <c r="A32755" t="n">
        <v>32754</v>
      </c>
      <c r="B32755" t="inlineStr">
        <is>
          <t>x̄x̄x̄MMDCCLIV</t>
        </is>
      </c>
      <c r="C32755">
        <f>ROMAN(32754)</f>
        <v/>
      </c>
      <c r="D32755">
        <f>IF(B32755=C32755, "YES", "WRONG")</f>
        <v/>
      </c>
    </row>
    <row r="32756">
      <c r="A32756" t="n">
        <v>32755</v>
      </c>
      <c r="B32756" t="inlineStr">
        <is>
          <t>x̄x̄x̄MMDCCLV</t>
        </is>
      </c>
      <c r="C32756">
        <f>ROMAN(32755)</f>
        <v/>
      </c>
      <c r="D32756">
        <f>IF(B32756=C32756, "YES", "WRONG")</f>
        <v/>
      </c>
    </row>
    <row r="32757">
      <c r="A32757" t="n">
        <v>32756</v>
      </c>
      <c r="B32757" t="inlineStr">
        <is>
          <t>x̄x̄x̄MMDCCLVI</t>
        </is>
      </c>
      <c r="C32757">
        <f>ROMAN(32756)</f>
        <v/>
      </c>
      <c r="D32757">
        <f>IF(B32757=C32757, "YES", "WRONG")</f>
        <v/>
      </c>
    </row>
    <row r="32758">
      <c r="A32758" t="n">
        <v>32757</v>
      </c>
      <c r="B32758" t="inlineStr">
        <is>
          <t>x̄x̄x̄MMDCCLVII</t>
        </is>
      </c>
      <c r="C32758">
        <f>ROMAN(32757)</f>
        <v/>
      </c>
      <c r="D32758">
        <f>IF(B32758=C32758, "YES", "WRONG")</f>
        <v/>
      </c>
    </row>
    <row r="32759">
      <c r="A32759" t="n">
        <v>32758</v>
      </c>
      <c r="B32759" t="inlineStr">
        <is>
          <t>x̄x̄x̄MMDCCLVIII</t>
        </is>
      </c>
      <c r="C32759">
        <f>ROMAN(32758)</f>
        <v/>
      </c>
      <c r="D32759">
        <f>IF(B32759=C32759, "YES", "WRONG")</f>
        <v/>
      </c>
    </row>
    <row r="32760">
      <c r="A32760" t="n">
        <v>32759</v>
      </c>
      <c r="B32760" t="inlineStr">
        <is>
          <t>x̄x̄x̄MMDCCLIX</t>
        </is>
      </c>
      <c r="C32760">
        <f>ROMAN(32759)</f>
        <v/>
      </c>
      <c r="D32760">
        <f>IF(B32760=C32760, "YES", "WRONG")</f>
        <v/>
      </c>
    </row>
    <row r="32761">
      <c r="A32761" t="n">
        <v>32760</v>
      </c>
      <c r="B32761" t="inlineStr">
        <is>
          <t>x̄x̄x̄MMDCCLX</t>
        </is>
      </c>
      <c r="C32761">
        <f>ROMAN(32760)</f>
        <v/>
      </c>
      <c r="D32761">
        <f>IF(B32761=C32761, "YES", "WRONG")</f>
        <v/>
      </c>
    </row>
    <row r="32762">
      <c r="A32762" t="n">
        <v>32761</v>
      </c>
      <c r="B32762" t="inlineStr">
        <is>
          <t>x̄x̄x̄MMDCCLXI</t>
        </is>
      </c>
      <c r="C32762">
        <f>ROMAN(32761)</f>
        <v/>
      </c>
      <c r="D32762">
        <f>IF(B32762=C32762, "YES", "WRONG")</f>
        <v/>
      </c>
    </row>
    <row r="32763">
      <c r="A32763" t="n">
        <v>32762</v>
      </c>
      <c r="B32763" t="inlineStr">
        <is>
          <t>x̄x̄x̄MMDCCLXII</t>
        </is>
      </c>
      <c r="C32763">
        <f>ROMAN(32762)</f>
        <v/>
      </c>
      <c r="D32763">
        <f>IF(B32763=C32763, "YES", "WRONG")</f>
        <v/>
      </c>
    </row>
    <row r="32764">
      <c r="A32764" t="n">
        <v>32763</v>
      </c>
      <c r="B32764" t="inlineStr">
        <is>
          <t>x̄x̄x̄MMDCCLXIII</t>
        </is>
      </c>
      <c r="C32764">
        <f>ROMAN(32763)</f>
        <v/>
      </c>
      <c r="D32764">
        <f>IF(B32764=C32764, "YES", "WRONG")</f>
        <v/>
      </c>
    </row>
    <row r="32765">
      <c r="A32765" t="n">
        <v>32764</v>
      </c>
      <c r="B32765" t="inlineStr">
        <is>
          <t>x̄x̄x̄MMDCCLXIV</t>
        </is>
      </c>
      <c r="C32765">
        <f>ROMAN(32764)</f>
        <v/>
      </c>
      <c r="D32765">
        <f>IF(B32765=C32765, "YES", "WRONG")</f>
        <v/>
      </c>
    </row>
    <row r="32766">
      <c r="A32766" t="n">
        <v>32765</v>
      </c>
      <c r="B32766" t="inlineStr">
        <is>
          <t>x̄x̄x̄MMDCCLXV</t>
        </is>
      </c>
      <c r="C32766">
        <f>ROMAN(32765)</f>
        <v/>
      </c>
      <c r="D32766">
        <f>IF(B32766=C32766, "YES", "WRONG")</f>
        <v/>
      </c>
    </row>
    <row r="32767">
      <c r="A32767" t="n">
        <v>32766</v>
      </c>
      <c r="B32767" t="inlineStr">
        <is>
          <t>x̄x̄x̄MMDCCLXVI</t>
        </is>
      </c>
      <c r="C32767">
        <f>ROMAN(32766)</f>
        <v/>
      </c>
      <c r="D32767">
        <f>IF(B32767=C32767, "YES", "WRONG")</f>
        <v/>
      </c>
    </row>
    <row r="32768">
      <c r="A32768" t="n">
        <v>32767</v>
      </c>
      <c r="B32768" t="inlineStr">
        <is>
          <t>x̄x̄x̄MMDCCLXVII</t>
        </is>
      </c>
      <c r="C32768">
        <f>ROMAN(32767)</f>
        <v/>
      </c>
      <c r="D32768">
        <f>IF(B32768=C32768, "YES", "WRONG")</f>
        <v/>
      </c>
    </row>
    <row r="32769">
      <c r="A32769" t="n">
        <v>32768</v>
      </c>
      <c r="B32769" t="inlineStr">
        <is>
          <t>x̄x̄x̄MMDCCLXVIII</t>
        </is>
      </c>
      <c r="C32769">
        <f>ROMAN(32768)</f>
        <v/>
      </c>
      <c r="D32769">
        <f>IF(B32769=C32769, "YES", "WRONG")</f>
        <v/>
      </c>
    </row>
    <row r="32770">
      <c r="A32770" t="n">
        <v>32769</v>
      </c>
      <c r="B32770" t="inlineStr">
        <is>
          <t>x̄x̄x̄MMDCCLXIX</t>
        </is>
      </c>
      <c r="C32770">
        <f>ROMAN(32769)</f>
        <v/>
      </c>
      <c r="D32770">
        <f>IF(B32770=C32770, "YES", "WRONG")</f>
        <v/>
      </c>
    </row>
    <row r="32771">
      <c r="A32771" t="n">
        <v>32770</v>
      </c>
      <c r="B32771" t="inlineStr">
        <is>
          <t>x̄x̄x̄MMDCCLXX</t>
        </is>
      </c>
      <c r="C32771">
        <f>ROMAN(32770)</f>
        <v/>
      </c>
      <c r="D32771">
        <f>IF(B32771=C32771, "YES", "WRONG")</f>
        <v/>
      </c>
    </row>
    <row r="32772">
      <c r="A32772" t="n">
        <v>32771</v>
      </c>
      <c r="B32772" t="inlineStr">
        <is>
          <t>x̄x̄x̄MMDCCLXXI</t>
        </is>
      </c>
      <c r="C32772">
        <f>ROMAN(32771)</f>
        <v/>
      </c>
      <c r="D32772">
        <f>IF(B32772=C32772, "YES", "WRONG")</f>
        <v/>
      </c>
    </row>
    <row r="32773">
      <c r="A32773" t="n">
        <v>32772</v>
      </c>
      <c r="B32773" t="inlineStr">
        <is>
          <t>x̄x̄x̄MMDCCLXXII</t>
        </is>
      </c>
      <c r="C32773">
        <f>ROMAN(32772)</f>
        <v/>
      </c>
      <c r="D32773">
        <f>IF(B32773=C32773, "YES", "WRONG")</f>
        <v/>
      </c>
    </row>
    <row r="32774">
      <c r="A32774" t="n">
        <v>32773</v>
      </c>
      <c r="B32774" t="inlineStr">
        <is>
          <t>x̄x̄x̄MMDCCLXXIII</t>
        </is>
      </c>
      <c r="C32774">
        <f>ROMAN(32773)</f>
        <v/>
      </c>
      <c r="D32774">
        <f>IF(B32774=C32774, "YES", "WRONG")</f>
        <v/>
      </c>
    </row>
    <row r="32775">
      <c r="A32775" t="n">
        <v>32774</v>
      </c>
      <c r="B32775" t="inlineStr">
        <is>
          <t>x̄x̄x̄MMDCCLXXIV</t>
        </is>
      </c>
      <c r="C32775">
        <f>ROMAN(32774)</f>
        <v/>
      </c>
      <c r="D32775">
        <f>IF(B32775=C32775, "YES", "WRONG")</f>
        <v/>
      </c>
    </row>
    <row r="32776">
      <c r="A32776" t="n">
        <v>32775</v>
      </c>
      <c r="B32776" t="inlineStr">
        <is>
          <t>x̄x̄x̄MMDCCLXXV</t>
        </is>
      </c>
      <c r="C32776">
        <f>ROMAN(32775)</f>
        <v/>
      </c>
      <c r="D32776">
        <f>IF(B32776=C32776, "YES", "WRONG")</f>
        <v/>
      </c>
    </row>
    <row r="32777">
      <c r="A32777" t="n">
        <v>32776</v>
      </c>
      <c r="B32777" t="inlineStr">
        <is>
          <t>x̄x̄x̄MMDCCLXXVI</t>
        </is>
      </c>
      <c r="C32777">
        <f>ROMAN(32776)</f>
        <v/>
      </c>
      <c r="D32777">
        <f>IF(B32777=C32777, "YES", "WRONG")</f>
        <v/>
      </c>
    </row>
    <row r="32778">
      <c r="A32778" t="n">
        <v>32777</v>
      </c>
      <c r="B32778" t="inlineStr">
        <is>
          <t>x̄x̄x̄MMDCCLXXVII</t>
        </is>
      </c>
      <c r="C32778">
        <f>ROMAN(32777)</f>
        <v/>
      </c>
      <c r="D32778">
        <f>IF(B32778=C32778, "YES", "WRONG")</f>
        <v/>
      </c>
    </row>
    <row r="32779">
      <c r="A32779" t="n">
        <v>32778</v>
      </c>
      <c r="B32779" t="inlineStr">
        <is>
          <t>x̄x̄x̄MMDCCLXXVIII</t>
        </is>
      </c>
      <c r="C32779">
        <f>ROMAN(32778)</f>
        <v/>
      </c>
      <c r="D32779">
        <f>IF(B32779=C32779, "YES", "WRONG")</f>
        <v/>
      </c>
    </row>
    <row r="32780">
      <c r="A32780" t="n">
        <v>32779</v>
      </c>
      <c r="B32780" t="inlineStr">
        <is>
          <t>x̄x̄x̄MMDCCLXXIX</t>
        </is>
      </c>
      <c r="C32780">
        <f>ROMAN(32779)</f>
        <v/>
      </c>
      <c r="D32780">
        <f>IF(B32780=C32780, "YES", "WRONG")</f>
        <v/>
      </c>
    </row>
    <row r="32781">
      <c r="A32781" t="n">
        <v>32780</v>
      </c>
      <c r="B32781" t="inlineStr">
        <is>
          <t>x̄x̄x̄MMDCCLXXX</t>
        </is>
      </c>
      <c r="C32781">
        <f>ROMAN(32780)</f>
        <v/>
      </c>
      <c r="D32781">
        <f>IF(B32781=C32781, "YES", "WRONG")</f>
        <v/>
      </c>
    </row>
    <row r="32782">
      <c r="A32782" t="n">
        <v>32781</v>
      </c>
      <c r="B32782" t="inlineStr">
        <is>
          <t>x̄x̄x̄MMDCCLXXXI</t>
        </is>
      </c>
      <c r="C32782">
        <f>ROMAN(32781)</f>
        <v/>
      </c>
      <c r="D32782">
        <f>IF(B32782=C32782, "YES", "WRONG")</f>
        <v/>
      </c>
    </row>
    <row r="32783">
      <c r="A32783" t="n">
        <v>32782</v>
      </c>
      <c r="B32783" t="inlineStr">
        <is>
          <t>x̄x̄x̄MMDCCLXXXII</t>
        </is>
      </c>
      <c r="C32783">
        <f>ROMAN(32782)</f>
        <v/>
      </c>
      <c r="D32783">
        <f>IF(B32783=C32783, "YES", "WRONG")</f>
        <v/>
      </c>
    </row>
    <row r="32784">
      <c r="A32784" t="n">
        <v>32783</v>
      </c>
      <c r="B32784" t="inlineStr">
        <is>
          <t>x̄x̄x̄MMDCCLXXXIII</t>
        </is>
      </c>
      <c r="C32784">
        <f>ROMAN(32783)</f>
        <v/>
      </c>
      <c r="D32784">
        <f>IF(B32784=C32784, "YES", "WRONG")</f>
        <v/>
      </c>
    </row>
    <row r="32785">
      <c r="A32785" t="n">
        <v>32784</v>
      </c>
      <c r="B32785" t="inlineStr">
        <is>
          <t>x̄x̄x̄MMDCCLXXXIV</t>
        </is>
      </c>
      <c r="C32785">
        <f>ROMAN(32784)</f>
        <v/>
      </c>
      <c r="D32785">
        <f>IF(B32785=C32785, "YES", "WRONG")</f>
        <v/>
      </c>
    </row>
    <row r="32786">
      <c r="A32786" t="n">
        <v>32785</v>
      </c>
      <c r="B32786" t="inlineStr">
        <is>
          <t>x̄x̄x̄MMDCCLXXXV</t>
        </is>
      </c>
      <c r="C32786">
        <f>ROMAN(32785)</f>
        <v/>
      </c>
      <c r="D32786">
        <f>IF(B32786=C32786, "YES", "WRONG")</f>
        <v/>
      </c>
    </row>
    <row r="32787">
      <c r="A32787" t="n">
        <v>32786</v>
      </c>
      <c r="B32787" t="inlineStr">
        <is>
          <t>x̄x̄x̄MMDCCLXXXVI</t>
        </is>
      </c>
      <c r="C32787">
        <f>ROMAN(32786)</f>
        <v/>
      </c>
      <c r="D32787">
        <f>IF(B32787=C32787, "YES", "WRONG")</f>
        <v/>
      </c>
    </row>
    <row r="32788">
      <c r="A32788" t="n">
        <v>32787</v>
      </c>
      <c r="B32788" t="inlineStr">
        <is>
          <t>x̄x̄x̄MMDCCLXXXVII</t>
        </is>
      </c>
      <c r="C32788">
        <f>ROMAN(32787)</f>
        <v/>
      </c>
      <c r="D32788">
        <f>IF(B32788=C32788, "YES", "WRONG")</f>
        <v/>
      </c>
    </row>
    <row r="32789">
      <c r="A32789" t="n">
        <v>32788</v>
      </c>
      <c r="B32789" t="inlineStr">
        <is>
          <t>x̄x̄x̄MMDCCLXXXVIII</t>
        </is>
      </c>
      <c r="C32789">
        <f>ROMAN(32788)</f>
        <v/>
      </c>
      <c r="D32789">
        <f>IF(B32789=C32789, "YES", "WRONG")</f>
        <v/>
      </c>
    </row>
    <row r="32790">
      <c r="A32790" t="n">
        <v>32789</v>
      </c>
      <c r="B32790" t="inlineStr">
        <is>
          <t>x̄x̄x̄MMDCCLXXXIX</t>
        </is>
      </c>
      <c r="C32790">
        <f>ROMAN(32789)</f>
        <v/>
      </c>
      <c r="D32790">
        <f>IF(B32790=C32790, "YES", "WRONG")</f>
        <v/>
      </c>
    </row>
    <row r="32791">
      <c r="A32791" t="n">
        <v>32790</v>
      </c>
      <c r="B32791" t="inlineStr">
        <is>
          <t>x̄x̄x̄MMDCCXC</t>
        </is>
      </c>
      <c r="C32791">
        <f>ROMAN(32790)</f>
        <v/>
      </c>
      <c r="D32791">
        <f>IF(B32791=C32791, "YES", "WRONG")</f>
        <v/>
      </c>
    </row>
    <row r="32792">
      <c r="A32792" t="n">
        <v>32791</v>
      </c>
      <c r="B32792" t="inlineStr">
        <is>
          <t>x̄x̄x̄MMDCCXCI</t>
        </is>
      </c>
      <c r="C32792">
        <f>ROMAN(32791)</f>
        <v/>
      </c>
      <c r="D32792">
        <f>IF(B32792=C32792, "YES", "WRONG")</f>
        <v/>
      </c>
    </row>
    <row r="32793">
      <c r="A32793" t="n">
        <v>32792</v>
      </c>
      <c r="B32793" t="inlineStr">
        <is>
          <t>x̄x̄x̄MMDCCXCII</t>
        </is>
      </c>
      <c r="C32793">
        <f>ROMAN(32792)</f>
        <v/>
      </c>
      <c r="D32793">
        <f>IF(B32793=C32793, "YES", "WRONG")</f>
        <v/>
      </c>
    </row>
    <row r="32794">
      <c r="A32794" t="n">
        <v>32793</v>
      </c>
      <c r="B32794" t="inlineStr">
        <is>
          <t>x̄x̄x̄MMDCCXCIII</t>
        </is>
      </c>
      <c r="C32794">
        <f>ROMAN(32793)</f>
        <v/>
      </c>
      <c r="D32794">
        <f>IF(B32794=C32794, "YES", "WRONG")</f>
        <v/>
      </c>
    </row>
    <row r="32795">
      <c r="A32795" t="n">
        <v>32794</v>
      </c>
      <c r="B32795" t="inlineStr">
        <is>
          <t>x̄x̄x̄MMDCCXCIV</t>
        </is>
      </c>
      <c r="C32795">
        <f>ROMAN(32794)</f>
        <v/>
      </c>
      <c r="D32795">
        <f>IF(B32795=C32795, "YES", "WRONG")</f>
        <v/>
      </c>
    </row>
    <row r="32796">
      <c r="A32796" t="n">
        <v>32795</v>
      </c>
      <c r="B32796" t="inlineStr">
        <is>
          <t>x̄x̄x̄MMDCCXCV</t>
        </is>
      </c>
      <c r="C32796">
        <f>ROMAN(32795)</f>
        <v/>
      </c>
      <c r="D32796">
        <f>IF(B32796=C32796, "YES", "WRONG")</f>
        <v/>
      </c>
    </row>
    <row r="32797">
      <c r="A32797" t="n">
        <v>32796</v>
      </c>
      <c r="B32797" t="inlineStr">
        <is>
          <t>x̄x̄x̄MMDCCXCVI</t>
        </is>
      </c>
      <c r="C32797">
        <f>ROMAN(32796)</f>
        <v/>
      </c>
      <c r="D32797">
        <f>IF(B32797=C32797, "YES", "WRONG")</f>
        <v/>
      </c>
    </row>
    <row r="32798">
      <c r="A32798" t="n">
        <v>32797</v>
      </c>
      <c r="B32798" t="inlineStr">
        <is>
          <t>x̄x̄x̄MMDCCXCVII</t>
        </is>
      </c>
      <c r="C32798">
        <f>ROMAN(32797)</f>
        <v/>
      </c>
      <c r="D32798">
        <f>IF(B32798=C32798, "YES", "WRONG")</f>
        <v/>
      </c>
    </row>
    <row r="32799">
      <c r="A32799" t="n">
        <v>32798</v>
      </c>
      <c r="B32799" t="inlineStr">
        <is>
          <t>x̄x̄x̄MMDCCXCVIII</t>
        </is>
      </c>
      <c r="C32799">
        <f>ROMAN(32798)</f>
        <v/>
      </c>
      <c r="D32799">
        <f>IF(B32799=C32799, "YES", "WRONG")</f>
        <v/>
      </c>
    </row>
    <row r="32800">
      <c r="A32800" t="n">
        <v>32799</v>
      </c>
      <c r="B32800" t="inlineStr">
        <is>
          <t>x̄x̄x̄MMDCCXCIX</t>
        </is>
      </c>
      <c r="C32800">
        <f>ROMAN(32799)</f>
        <v/>
      </c>
      <c r="D32800">
        <f>IF(B32800=C32800, "YES", "WRONG")</f>
        <v/>
      </c>
    </row>
    <row r="32801">
      <c r="A32801" t="n">
        <v>32800</v>
      </c>
      <c r="B32801" t="inlineStr">
        <is>
          <t>x̄x̄x̄MMDCCC</t>
        </is>
      </c>
      <c r="C32801">
        <f>ROMAN(32800)</f>
        <v/>
      </c>
      <c r="D32801">
        <f>IF(B32801=C32801, "YES", "WRONG")</f>
        <v/>
      </c>
    </row>
    <row r="32802">
      <c r="A32802" t="n">
        <v>32801</v>
      </c>
      <c r="B32802" t="inlineStr">
        <is>
          <t>x̄x̄x̄MMDCCCI</t>
        </is>
      </c>
      <c r="C32802">
        <f>ROMAN(32801)</f>
        <v/>
      </c>
      <c r="D32802">
        <f>IF(B32802=C32802, "YES", "WRONG")</f>
        <v/>
      </c>
    </row>
    <row r="32803">
      <c r="A32803" t="n">
        <v>32802</v>
      </c>
      <c r="B32803" t="inlineStr">
        <is>
          <t>x̄x̄x̄MMDCCCII</t>
        </is>
      </c>
      <c r="C32803">
        <f>ROMAN(32802)</f>
        <v/>
      </c>
      <c r="D32803">
        <f>IF(B32803=C32803, "YES", "WRONG")</f>
        <v/>
      </c>
    </row>
    <row r="32804">
      <c r="A32804" t="n">
        <v>32803</v>
      </c>
      <c r="B32804" t="inlineStr">
        <is>
          <t>x̄x̄x̄MMDCCCIII</t>
        </is>
      </c>
      <c r="C32804">
        <f>ROMAN(32803)</f>
        <v/>
      </c>
      <c r="D32804">
        <f>IF(B32804=C32804, "YES", "WRONG")</f>
        <v/>
      </c>
    </row>
    <row r="32805">
      <c r="A32805" t="n">
        <v>32804</v>
      </c>
      <c r="B32805" t="inlineStr">
        <is>
          <t>x̄x̄x̄MMDCCCIV</t>
        </is>
      </c>
      <c r="C32805">
        <f>ROMAN(32804)</f>
        <v/>
      </c>
      <c r="D32805">
        <f>IF(B32805=C32805, "YES", "WRONG")</f>
        <v/>
      </c>
    </row>
    <row r="32806">
      <c r="A32806" t="n">
        <v>32805</v>
      </c>
      <c r="B32806" t="inlineStr">
        <is>
          <t>x̄x̄x̄MMDCCCV</t>
        </is>
      </c>
      <c r="C32806">
        <f>ROMAN(32805)</f>
        <v/>
      </c>
      <c r="D32806">
        <f>IF(B32806=C32806, "YES", "WRONG")</f>
        <v/>
      </c>
    </row>
    <row r="32807">
      <c r="A32807" t="n">
        <v>32806</v>
      </c>
      <c r="B32807" t="inlineStr">
        <is>
          <t>x̄x̄x̄MMDCCCVI</t>
        </is>
      </c>
      <c r="C32807">
        <f>ROMAN(32806)</f>
        <v/>
      </c>
      <c r="D32807">
        <f>IF(B32807=C32807, "YES", "WRONG")</f>
        <v/>
      </c>
    </row>
    <row r="32808">
      <c r="A32808" t="n">
        <v>32807</v>
      </c>
      <c r="B32808" t="inlineStr">
        <is>
          <t>x̄x̄x̄MMDCCCVII</t>
        </is>
      </c>
      <c r="C32808">
        <f>ROMAN(32807)</f>
        <v/>
      </c>
      <c r="D32808">
        <f>IF(B32808=C32808, "YES", "WRONG")</f>
        <v/>
      </c>
    </row>
    <row r="32809">
      <c r="A32809" t="n">
        <v>32808</v>
      </c>
      <c r="B32809" t="inlineStr">
        <is>
          <t>x̄x̄x̄MMDCCCVIII</t>
        </is>
      </c>
      <c r="C32809">
        <f>ROMAN(32808)</f>
        <v/>
      </c>
      <c r="D32809">
        <f>IF(B32809=C32809, "YES", "WRONG")</f>
        <v/>
      </c>
    </row>
    <row r="32810">
      <c r="A32810" t="n">
        <v>32809</v>
      </c>
      <c r="B32810" t="inlineStr">
        <is>
          <t>x̄x̄x̄MMDCCCIX</t>
        </is>
      </c>
      <c r="C32810">
        <f>ROMAN(32809)</f>
        <v/>
      </c>
      <c r="D32810">
        <f>IF(B32810=C32810, "YES", "WRONG")</f>
        <v/>
      </c>
    </row>
    <row r="32811">
      <c r="A32811" t="n">
        <v>32810</v>
      </c>
      <c r="B32811" t="inlineStr">
        <is>
          <t>x̄x̄x̄MMDCCCX</t>
        </is>
      </c>
      <c r="C32811">
        <f>ROMAN(32810)</f>
        <v/>
      </c>
      <c r="D32811">
        <f>IF(B32811=C32811, "YES", "WRONG")</f>
        <v/>
      </c>
    </row>
    <row r="32812">
      <c r="A32812" t="n">
        <v>32811</v>
      </c>
      <c r="B32812" t="inlineStr">
        <is>
          <t>x̄x̄x̄MMDCCCXI</t>
        </is>
      </c>
      <c r="C32812">
        <f>ROMAN(32811)</f>
        <v/>
      </c>
      <c r="D32812">
        <f>IF(B32812=C32812, "YES", "WRONG")</f>
        <v/>
      </c>
    </row>
    <row r="32813">
      <c r="A32813" t="n">
        <v>32812</v>
      </c>
      <c r="B32813" t="inlineStr">
        <is>
          <t>x̄x̄x̄MMDCCCXII</t>
        </is>
      </c>
      <c r="C32813">
        <f>ROMAN(32812)</f>
        <v/>
      </c>
      <c r="D32813">
        <f>IF(B32813=C32813, "YES", "WRONG")</f>
        <v/>
      </c>
    </row>
    <row r="32814">
      <c r="A32814" t="n">
        <v>32813</v>
      </c>
      <c r="B32814" t="inlineStr">
        <is>
          <t>x̄x̄x̄MMDCCCXIII</t>
        </is>
      </c>
      <c r="C32814">
        <f>ROMAN(32813)</f>
        <v/>
      </c>
      <c r="D32814">
        <f>IF(B32814=C32814, "YES", "WRONG")</f>
        <v/>
      </c>
    </row>
    <row r="32815">
      <c r="A32815" t="n">
        <v>32814</v>
      </c>
      <c r="B32815" t="inlineStr">
        <is>
          <t>x̄x̄x̄MMDCCCXIV</t>
        </is>
      </c>
      <c r="C32815">
        <f>ROMAN(32814)</f>
        <v/>
      </c>
      <c r="D32815">
        <f>IF(B32815=C32815, "YES", "WRONG")</f>
        <v/>
      </c>
    </row>
    <row r="32816">
      <c r="A32816" t="n">
        <v>32815</v>
      </c>
      <c r="B32816" t="inlineStr">
        <is>
          <t>x̄x̄x̄MMDCCCXV</t>
        </is>
      </c>
      <c r="C32816">
        <f>ROMAN(32815)</f>
        <v/>
      </c>
      <c r="D32816">
        <f>IF(B32816=C32816, "YES", "WRONG")</f>
        <v/>
      </c>
    </row>
    <row r="32817">
      <c r="A32817" t="n">
        <v>32816</v>
      </c>
      <c r="B32817" t="inlineStr">
        <is>
          <t>x̄x̄x̄MMDCCCXVI</t>
        </is>
      </c>
      <c r="C32817">
        <f>ROMAN(32816)</f>
        <v/>
      </c>
      <c r="D32817">
        <f>IF(B32817=C32817, "YES", "WRONG")</f>
        <v/>
      </c>
    </row>
    <row r="32818">
      <c r="A32818" t="n">
        <v>32817</v>
      </c>
      <c r="B32818" t="inlineStr">
        <is>
          <t>x̄x̄x̄MMDCCCXVII</t>
        </is>
      </c>
      <c r="C32818">
        <f>ROMAN(32817)</f>
        <v/>
      </c>
      <c r="D32818">
        <f>IF(B32818=C32818, "YES", "WRONG")</f>
        <v/>
      </c>
    </row>
    <row r="32819">
      <c r="A32819" t="n">
        <v>32818</v>
      </c>
      <c r="B32819" t="inlineStr">
        <is>
          <t>x̄x̄x̄MMDCCCXVIII</t>
        </is>
      </c>
      <c r="C32819">
        <f>ROMAN(32818)</f>
        <v/>
      </c>
      <c r="D32819">
        <f>IF(B32819=C32819, "YES", "WRONG")</f>
        <v/>
      </c>
    </row>
    <row r="32820">
      <c r="A32820" t="n">
        <v>32819</v>
      </c>
      <c r="B32820" t="inlineStr">
        <is>
          <t>x̄x̄x̄MMDCCCXIX</t>
        </is>
      </c>
      <c r="C32820">
        <f>ROMAN(32819)</f>
        <v/>
      </c>
      <c r="D32820">
        <f>IF(B32820=C32820, "YES", "WRONG")</f>
        <v/>
      </c>
    </row>
    <row r="32821">
      <c r="A32821" t="n">
        <v>32820</v>
      </c>
      <c r="B32821" t="inlineStr">
        <is>
          <t>x̄x̄x̄MMDCCCXX</t>
        </is>
      </c>
      <c r="C32821">
        <f>ROMAN(32820)</f>
        <v/>
      </c>
      <c r="D32821">
        <f>IF(B32821=C32821, "YES", "WRONG")</f>
        <v/>
      </c>
    </row>
    <row r="32822">
      <c r="A32822" t="n">
        <v>32821</v>
      </c>
      <c r="B32822" t="inlineStr">
        <is>
          <t>x̄x̄x̄MMDCCCXXI</t>
        </is>
      </c>
      <c r="C32822">
        <f>ROMAN(32821)</f>
        <v/>
      </c>
      <c r="D32822">
        <f>IF(B32822=C32822, "YES", "WRONG")</f>
        <v/>
      </c>
    </row>
    <row r="32823">
      <c r="A32823" t="n">
        <v>32822</v>
      </c>
      <c r="B32823" t="inlineStr">
        <is>
          <t>x̄x̄x̄MMDCCCXXII</t>
        </is>
      </c>
      <c r="C32823">
        <f>ROMAN(32822)</f>
        <v/>
      </c>
      <c r="D32823">
        <f>IF(B32823=C32823, "YES", "WRONG")</f>
        <v/>
      </c>
    </row>
    <row r="32824">
      <c r="A32824" t="n">
        <v>32823</v>
      </c>
      <c r="B32824" t="inlineStr">
        <is>
          <t>x̄x̄x̄MMDCCCXXIII</t>
        </is>
      </c>
      <c r="C32824">
        <f>ROMAN(32823)</f>
        <v/>
      </c>
      <c r="D32824">
        <f>IF(B32824=C32824, "YES", "WRONG")</f>
        <v/>
      </c>
    </row>
    <row r="32825">
      <c r="A32825" t="n">
        <v>32824</v>
      </c>
      <c r="B32825" t="inlineStr">
        <is>
          <t>x̄x̄x̄MMDCCCXXIV</t>
        </is>
      </c>
      <c r="C32825">
        <f>ROMAN(32824)</f>
        <v/>
      </c>
      <c r="D32825">
        <f>IF(B32825=C32825, "YES", "WRONG")</f>
        <v/>
      </c>
    </row>
    <row r="32826">
      <c r="A32826" t="n">
        <v>32825</v>
      </c>
      <c r="B32826" t="inlineStr">
        <is>
          <t>x̄x̄x̄MMDCCCXXV</t>
        </is>
      </c>
      <c r="C32826">
        <f>ROMAN(32825)</f>
        <v/>
      </c>
      <c r="D32826">
        <f>IF(B32826=C32826, "YES", "WRONG")</f>
        <v/>
      </c>
    </row>
    <row r="32827">
      <c r="A32827" t="n">
        <v>32826</v>
      </c>
      <c r="B32827" t="inlineStr">
        <is>
          <t>x̄x̄x̄MMDCCCXXVI</t>
        </is>
      </c>
      <c r="C32827">
        <f>ROMAN(32826)</f>
        <v/>
      </c>
      <c r="D32827">
        <f>IF(B32827=C32827, "YES", "WRONG")</f>
        <v/>
      </c>
    </row>
    <row r="32828">
      <c r="A32828" t="n">
        <v>32827</v>
      </c>
      <c r="B32828" t="inlineStr">
        <is>
          <t>x̄x̄x̄MMDCCCXXVII</t>
        </is>
      </c>
      <c r="C32828">
        <f>ROMAN(32827)</f>
        <v/>
      </c>
      <c r="D32828">
        <f>IF(B32828=C32828, "YES", "WRONG")</f>
        <v/>
      </c>
    </row>
    <row r="32829">
      <c r="A32829" t="n">
        <v>32828</v>
      </c>
      <c r="B32829" t="inlineStr">
        <is>
          <t>x̄x̄x̄MMDCCCXXVIII</t>
        </is>
      </c>
      <c r="C32829">
        <f>ROMAN(32828)</f>
        <v/>
      </c>
      <c r="D32829">
        <f>IF(B32829=C32829, "YES", "WRONG")</f>
        <v/>
      </c>
    </row>
    <row r="32830">
      <c r="A32830" t="n">
        <v>32829</v>
      </c>
      <c r="B32830" t="inlineStr">
        <is>
          <t>x̄x̄x̄MMDCCCXXIX</t>
        </is>
      </c>
      <c r="C32830">
        <f>ROMAN(32829)</f>
        <v/>
      </c>
      <c r="D32830">
        <f>IF(B32830=C32830, "YES", "WRONG")</f>
        <v/>
      </c>
    </row>
    <row r="32831">
      <c r="A32831" t="n">
        <v>32830</v>
      </c>
      <c r="B32831" t="inlineStr">
        <is>
          <t>x̄x̄x̄MMDCCCXXX</t>
        </is>
      </c>
      <c r="C32831">
        <f>ROMAN(32830)</f>
        <v/>
      </c>
      <c r="D32831">
        <f>IF(B32831=C32831, "YES", "WRONG")</f>
        <v/>
      </c>
    </row>
    <row r="32832">
      <c r="A32832" t="n">
        <v>32831</v>
      </c>
      <c r="B32832" t="inlineStr">
        <is>
          <t>x̄x̄x̄MMDCCCXXXI</t>
        </is>
      </c>
      <c r="C32832">
        <f>ROMAN(32831)</f>
        <v/>
      </c>
      <c r="D32832">
        <f>IF(B32832=C32832, "YES", "WRONG")</f>
        <v/>
      </c>
    </row>
    <row r="32833">
      <c r="A32833" t="n">
        <v>32832</v>
      </c>
      <c r="B32833" t="inlineStr">
        <is>
          <t>x̄x̄x̄MMDCCCXXXII</t>
        </is>
      </c>
      <c r="C32833">
        <f>ROMAN(32832)</f>
        <v/>
      </c>
      <c r="D32833">
        <f>IF(B32833=C32833, "YES", "WRONG")</f>
        <v/>
      </c>
    </row>
    <row r="32834">
      <c r="A32834" t="n">
        <v>32833</v>
      </c>
      <c r="B32834" t="inlineStr">
        <is>
          <t>x̄x̄x̄MMDCCCXXXIII</t>
        </is>
      </c>
      <c r="C32834">
        <f>ROMAN(32833)</f>
        <v/>
      </c>
      <c r="D32834">
        <f>IF(B32834=C32834, "YES", "WRONG")</f>
        <v/>
      </c>
    </row>
    <row r="32835">
      <c r="A32835" t="n">
        <v>32834</v>
      </c>
      <c r="B32835" t="inlineStr">
        <is>
          <t>x̄x̄x̄MMDCCCXXXIV</t>
        </is>
      </c>
      <c r="C32835">
        <f>ROMAN(32834)</f>
        <v/>
      </c>
      <c r="D32835">
        <f>IF(B32835=C32835, "YES", "WRONG")</f>
        <v/>
      </c>
    </row>
    <row r="32836">
      <c r="A32836" t="n">
        <v>32835</v>
      </c>
      <c r="B32836" t="inlineStr">
        <is>
          <t>x̄x̄x̄MMDCCCXXXV</t>
        </is>
      </c>
      <c r="C32836">
        <f>ROMAN(32835)</f>
        <v/>
      </c>
      <c r="D32836">
        <f>IF(B32836=C32836, "YES", "WRONG")</f>
        <v/>
      </c>
    </row>
    <row r="32837">
      <c r="A32837" t="n">
        <v>32836</v>
      </c>
      <c r="B32837" t="inlineStr">
        <is>
          <t>x̄x̄x̄MMDCCCXXXVI</t>
        </is>
      </c>
      <c r="C32837">
        <f>ROMAN(32836)</f>
        <v/>
      </c>
      <c r="D32837">
        <f>IF(B32837=C32837, "YES", "WRONG")</f>
        <v/>
      </c>
    </row>
    <row r="32838">
      <c r="A32838" t="n">
        <v>32837</v>
      </c>
      <c r="B32838" t="inlineStr">
        <is>
          <t>x̄x̄x̄MMDCCCXXXVII</t>
        </is>
      </c>
      <c r="C32838">
        <f>ROMAN(32837)</f>
        <v/>
      </c>
      <c r="D32838">
        <f>IF(B32838=C32838, "YES", "WRONG")</f>
        <v/>
      </c>
    </row>
    <row r="32839">
      <c r="A32839" t="n">
        <v>32838</v>
      </c>
      <c r="B32839" t="inlineStr">
        <is>
          <t>x̄x̄x̄MMDCCCXXXVIII</t>
        </is>
      </c>
      <c r="C32839">
        <f>ROMAN(32838)</f>
        <v/>
      </c>
      <c r="D32839">
        <f>IF(B32839=C32839, "YES", "WRONG")</f>
        <v/>
      </c>
    </row>
    <row r="32840">
      <c r="A32840" t="n">
        <v>32839</v>
      </c>
      <c r="B32840" t="inlineStr">
        <is>
          <t>x̄x̄x̄MMDCCCXXXIX</t>
        </is>
      </c>
      <c r="C32840">
        <f>ROMAN(32839)</f>
        <v/>
      </c>
      <c r="D32840">
        <f>IF(B32840=C32840, "YES", "WRONG")</f>
        <v/>
      </c>
    </row>
    <row r="32841">
      <c r="A32841" t="n">
        <v>32840</v>
      </c>
      <c r="B32841" t="inlineStr">
        <is>
          <t>x̄x̄x̄MMDCCCXL</t>
        </is>
      </c>
      <c r="C32841">
        <f>ROMAN(32840)</f>
        <v/>
      </c>
      <c r="D32841">
        <f>IF(B32841=C32841, "YES", "WRONG")</f>
        <v/>
      </c>
    </row>
    <row r="32842">
      <c r="A32842" t="n">
        <v>32841</v>
      </c>
      <c r="B32842" t="inlineStr">
        <is>
          <t>x̄x̄x̄MMDCCCXLI</t>
        </is>
      </c>
      <c r="C32842">
        <f>ROMAN(32841)</f>
        <v/>
      </c>
      <c r="D32842">
        <f>IF(B32842=C32842, "YES", "WRONG")</f>
        <v/>
      </c>
    </row>
    <row r="32843">
      <c r="A32843" t="n">
        <v>32842</v>
      </c>
      <c r="B32843" t="inlineStr">
        <is>
          <t>x̄x̄x̄MMDCCCXLII</t>
        </is>
      </c>
      <c r="C32843">
        <f>ROMAN(32842)</f>
        <v/>
      </c>
      <c r="D32843">
        <f>IF(B32843=C32843, "YES", "WRONG")</f>
        <v/>
      </c>
    </row>
    <row r="32844">
      <c r="A32844" t="n">
        <v>32843</v>
      </c>
      <c r="B32844" t="inlineStr">
        <is>
          <t>x̄x̄x̄MMDCCCXLIII</t>
        </is>
      </c>
      <c r="C32844">
        <f>ROMAN(32843)</f>
        <v/>
      </c>
      <c r="D32844">
        <f>IF(B32844=C32844, "YES", "WRONG")</f>
        <v/>
      </c>
    </row>
    <row r="32845">
      <c r="A32845" t="n">
        <v>32844</v>
      </c>
      <c r="B32845" t="inlineStr">
        <is>
          <t>x̄x̄x̄MMDCCCXLIV</t>
        </is>
      </c>
      <c r="C32845">
        <f>ROMAN(32844)</f>
        <v/>
      </c>
      <c r="D32845">
        <f>IF(B32845=C32845, "YES", "WRONG")</f>
        <v/>
      </c>
    </row>
    <row r="32846">
      <c r="A32846" t="n">
        <v>32845</v>
      </c>
      <c r="B32846" t="inlineStr">
        <is>
          <t>x̄x̄x̄MMDCCCXLV</t>
        </is>
      </c>
      <c r="C32846">
        <f>ROMAN(32845)</f>
        <v/>
      </c>
      <c r="D32846">
        <f>IF(B32846=C32846, "YES", "WRONG")</f>
        <v/>
      </c>
    </row>
    <row r="32847">
      <c r="A32847" t="n">
        <v>32846</v>
      </c>
      <c r="B32847" t="inlineStr">
        <is>
          <t>x̄x̄x̄MMDCCCXLVI</t>
        </is>
      </c>
      <c r="C32847">
        <f>ROMAN(32846)</f>
        <v/>
      </c>
      <c r="D32847">
        <f>IF(B32847=C32847, "YES", "WRONG")</f>
        <v/>
      </c>
    </row>
    <row r="32848">
      <c r="A32848" t="n">
        <v>32847</v>
      </c>
      <c r="B32848" t="inlineStr">
        <is>
          <t>x̄x̄x̄MMDCCCXLVII</t>
        </is>
      </c>
      <c r="C32848">
        <f>ROMAN(32847)</f>
        <v/>
      </c>
      <c r="D32848">
        <f>IF(B32848=C32848, "YES", "WRONG")</f>
        <v/>
      </c>
    </row>
    <row r="32849">
      <c r="A32849" t="n">
        <v>32848</v>
      </c>
      <c r="B32849" t="inlineStr">
        <is>
          <t>x̄x̄x̄MMDCCCXLVIII</t>
        </is>
      </c>
      <c r="C32849">
        <f>ROMAN(32848)</f>
        <v/>
      </c>
      <c r="D32849">
        <f>IF(B32849=C32849, "YES", "WRONG")</f>
        <v/>
      </c>
    </row>
    <row r="32850">
      <c r="A32850" t="n">
        <v>32849</v>
      </c>
      <c r="B32850" t="inlineStr">
        <is>
          <t>x̄x̄x̄MMDCCCXLIX</t>
        </is>
      </c>
      <c r="C32850">
        <f>ROMAN(32849)</f>
        <v/>
      </c>
      <c r="D32850">
        <f>IF(B32850=C32850, "YES", "WRONG")</f>
        <v/>
      </c>
    </row>
    <row r="32851">
      <c r="A32851" t="n">
        <v>32850</v>
      </c>
      <c r="B32851" t="inlineStr">
        <is>
          <t>x̄x̄x̄MMDCCCL</t>
        </is>
      </c>
      <c r="C32851">
        <f>ROMAN(32850)</f>
        <v/>
      </c>
      <c r="D32851">
        <f>IF(B32851=C32851, "YES", "WRONG")</f>
        <v/>
      </c>
    </row>
    <row r="32852">
      <c r="A32852" t="n">
        <v>32851</v>
      </c>
      <c r="B32852" t="inlineStr">
        <is>
          <t>x̄x̄x̄MMDCCCLI</t>
        </is>
      </c>
      <c r="C32852">
        <f>ROMAN(32851)</f>
        <v/>
      </c>
      <c r="D32852">
        <f>IF(B32852=C32852, "YES", "WRONG")</f>
        <v/>
      </c>
    </row>
    <row r="32853">
      <c r="A32853" t="n">
        <v>32852</v>
      </c>
      <c r="B32853" t="inlineStr">
        <is>
          <t>x̄x̄x̄MMDCCCLII</t>
        </is>
      </c>
      <c r="C32853">
        <f>ROMAN(32852)</f>
        <v/>
      </c>
      <c r="D32853">
        <f>IF(B32853=C32853, "YES", "WRONG")</f>
        <v/>
      </c>
    </row>
    <row r="32854">
      <c r="A32854" t="n">
        <v>32853</v>
      </c>
      <c r="B32854" t="inlineStr">
        <is>
          <t>x̄x̄x̄MMDCCCLIII</t>
        </is>
      </c>
      <c r="C32854">
        <f>ROMAN(32853)</f>
        <v/>
      </c>
      <c r="D32854">
        <f>IF(B32854=C32854, "YES", "WRONG")</f>
        <v/>
      </c>
    </row>
    <row r="32855">
      <c r="A32855" t="n">
        <v>32854</v>
      </c>
      <c r="B32855" t="inlineStr">
        <is>
          <t>x̄x̄x̄MMDCCCLIV</t>
        </is>
      </c>
      <c r="C32855">
        <f>ROMAN(32854)</f>
        <v/>
      </c>
      <c r="D32855">
        <f>IF(B32855=C32855, "YES", "WRONG")</f>
        <v/>
      </c>
    </row>
    <row r="32856">
      <c r="A32856" t="n">
        <v>32855</v>
      </c>
      <c r="B32856" t="inlineStr">
        <is>
          <t>x̄x̄x̄MMDCCCLV</t>
        </is>
      </c>
      <c r="C32856">
        <f>ROMAN(32855)</f>
        <v/>
      </c>
      <c r="D32856">
        <f>IF(B32856=C32856, "YES", "WRONG")</f>
        <v/>
      </c>
    </row>
    <row r="32857">
      <c r="A32857" t="n">
        <v>32856</v>
      </c>
      <c r="B32857" t="inlineStr">
        <is>
          <t>x̄x̄x̄MMDCCCLVI</t>
        </is>
      </c>
      <c r="C32857">
        <f>ROMAN(32856)</f>
        <v/>
      </c>
      <c r="D32857">
        <f>IF(B32857=C32857, "YES", "WRONG")</f>
        <v/>
      </c>
    </row>
    <row r="32858">
      <c r="A32858" t="n">
        <v>32857</v>
      </c>
      <c r="B32858" t="inlineStr">
        <is>
          <t>x̄x̄x̄MMDCCCLVII</t>
        </is>
      </c>
      <c r="C32858">
        <f>ROMAN(32857)</f>
        <v/>
      </c>
      <c r="D32858">
        <f>IF(B32858=C32858, "YES", "WRONG")</f>
        <v/>
      </c>
    </row>
    <row r="32859">
      <c r="A32859" t="n">
        <v>32858</v>
      </c>
      <c r="B32859" t="inlineStr">
        <is>
          <t>x̄x̄x̄MMDCCCLVIII</t>
        </is>
      </c>
      <c r="C32859">
        <f>ROMAN(32858)</f>
        <v/>
      </c>
      <c r="D32859">
        <f>IF(B32859=C32859, "YES", "WRONG")</f>
        <v/>
      </c>
    </row>
    <row r="32860">
      <c r="A32860" t="n">
        <v>32859</v>
      </c>
      <c r="B32860" t="inlineStr">
        <is>
          <t>x̄x̄x̄MMDCCCLIX</t>
        </is>
      </c>
      <c r="C32860">
        <f>ROMAN(32859)</f>
        <v/>
      </c>
      <c r="D32860">
        <f>IF(B32860=C32860, "YES", "WRONG")</f>
        <v/>
      </c>
    </row>
    <row r="32861">
      <c r="A32861" t="n">
        <v>32860</v>
      </c>
      <c r="B32861" t="inlineStr">
        <is>
          <t>x̄x̄x̄MMDCCCLX</t>
        </is>
      </c>
      <c r="C32861">
        <f>ROMAN(32860)</f>
        <v/>
      </c>
      <c r="D32861">
        <f>IF(B32861=C32861, "YES", "WRONG")</f>
        <v/>
      </c>
    </row>
    <row r="32862">
      <c r="A32862" t="n">
        <v>32861</v>
      </c>
      <c r="B32862" t="inlineStr">
        <is>
          <t>x̄x̄x̄MMDCCCLXI</t>
        </is>
      </c>
      <c r="C32862">
        <f>ROMAN(32861)</f>
        <v/>
      </c>
      <c r="D32862">
        <f>IF(B32862=C32862, "YES", "WRONG")</f>
        <v/>
      </c>
    </row>
    <row r="32863">
      <c r="A32863" t="n">
        <v>32862</v>
      </c>
      <c r="B32863" t="inlineStr">
        <is>
          <t>x̄x̄x̄MMDCCCLXII</t>
        </is>
      </c>
      <c r="C32863">
        <f>ROMAN(32862)</f>
        <v/>
      </c>
      <c r="D32863">
        <f>IF(B32863=C32863, "YES", "WRONG")</f>
        <v/>
      </c>
    </row>
    <row r="32864">
      <c r="A32864" t="n">
        <v>32863</v>
      </c>
      <c r="B32864" t="inlineStr">
        <is>
          <t>x̄x̄x̄MMDCCCLXIII</t>
        </is>
      </c>
      <c r="C32864">
        <f>ROMAN(32863)</f>
        <v/>
      </c>
      <c r="D32864">
        <f>IF(B32864=C32864, "YES", "WRONG")</f>
        <v/>
      </c>
    </row>
    <row r="32865">
      <c r="A32865" t="n">
        <v>32864</v>
      </c>
      <c r="B32865" t="inlineStr">
        <is>
          <t>x̄x̄x̄MMDCCCLXIV</t>
        </is>
      </c>
      <c r="C32865">
        <f>ROMAN(32864)</f>
        <v/>
      </c>
      <c r="D32865">
        <f>IF(B32865=C32865, "YES", "WRONG")</f>
        <v/>
      </c>
    </row>
    <row r="32866">
      <c r="A32866" t="n">
        <v>32865</v>
      </c>
      <c r="B32866" t="inlineStr">
        <is>
          <t>x̄x̄x̄MMDCCCLXV</t>
        </is>
      </c>
      <c r="C32866">
        <f>ROMAN(32865)</f>
        <v/>
      </c>
      <c r="D32866">
        <f>IF(B32866=C32866, "YES", "WRONG")</f>
        <v/>
      </c>
    </row>
    <row r="32867">
      <c r="A32867" t="n">
        <v>32866</v>
      </c>
      <c r="B32867" t="inlineStr">
        <is>
          <t>x̄x̄x̄MMDCCCLXVI</t>
        </is>
      </c>
      <c r="C32867">
        <f>ROMAN(32866)</f>
        <v/>
      </c>
      <c r="D32867">
        <f>IF(B32867=C32867, "YES", "WRONG")</f>
        <v/>
      </c>
    </row>
    <row r="32868">
      <c r="A32868" t="n">
        <v>32867</v>
      </c>
      <c r="B32868" t="inlineStr">
        <is>
          <t>x̄x̄x̄MMDCCCLXVII</t>
        </is>
      </c>
      <c r="C32868">
        <f>ROMAN(32867)</f>
        <v/>
      </c>
      <c r="D32868">
        <f>IF(B32868=C32868, "YES", "WRONG")</f>
        <v/>
      </c>
    </row>
    <row r="32869">
      <c r="A32869" t="n">
        <v>32868</v>
      </c>
      <c r="B32869" t="inlineStr">
        <is>
          <t>x̄x̄x̄MMDCCCLXVIII</t>
        </is>
      </c>
      <c r="C32869">
        <f>ROMAN(32868)</f>
        <v/>
      </c>
      <c r="D32869">
        <f>IF(B32869=C32869, "YES", "WRONG")</f>
        <v/>
      </c>
    </row>
    <row r="32870">
      <c r="A32870" t="n">
        <v>32869</v>
      </c>
      <c r="B32870" t="inlineStr">
        <is>
          <t>x̄x̄x̄MMDCCCLXIX</t>
        </is>
      </c>
      <c r="C32870">
        <f>ROMAN(32869)</f>
        <v/>
      </c>
      <c r="D32870">
        <f>IF(B32870=C32870, "YES", "WRONG")</f>
        <v/>
      </c>
    </row>
    <row r="32871">
      <c r="A32871" t="n">
        <v>32870</v>
      </c>
      <c r="B32871" t="inlineStr">
        <is>
          <t>x̄x̄x̄MMDCCCLXX</t>
        </is>
      </c>
      <c r="C32871">
        <f>ROMAN(32870)</f>
        <v/>
      </c>
      <c r="D32871">
        <f>IF(B32871=C32871, "YES", "WRONG")</f>
        <v/>
      </c>
    </row>
    <row r="32872">
      <c r="A32872" t="n">
        <v>32871</v>
      </c>
      <c r="B32872" t="inlineStr">
        <is>
          <t>x̄x̄x̄MMDCCCLXXI</t>
        </is>
      </c>
      <c r="C32872">
        <f>ROMAN(32871)</f>
        <v/>
      </c>
      <c r="D32872">
        <f>IF(B32872=C32872, "YES", "WRONG")</f>
        <v/>
      </c>
    </row>
    <row r="32873">
      <c r="A32873" t="n">
        <v>32872</v>
      </c>
      <c r="B32873" t="inlineStr">
        <is>
          <t>x̄x̄x̄MMDCCCLXXII</t>
        </is>
      </c>
      <c r="C32873">
        <f>ROMAN(32872)</f>
        <v/>
      </c>
      <c r="D32873">
        <f>IF(B32873=C32873, "YES", "WRONG")</f>
        <v/>
      </c>
    </row>
    <row r="32874">
      <c r="A32874" t="n">
        <v>32873</v>
      </c>
      <c r="B32874" t="inlineStr">
        <is>
          <t>x̄x̄x̄MMDCCCLXXIII</t>
        </is>
      </c>
      <c r="C32874">
        <f>ROMAN(32873)</f>
        <v/>
      </c>
      <c r="D32874">
        <f>IF(B32874=C32874, "YES", "WRONG")</f>
        <v/>
      </c>
    </row>
    <row r="32875">
      <c r="A32875" t="n">
        <v>32874</v>
      </c>
      <c r="B32875" t="inlineStr">
        <is>
          <t>x̄x̄x̄MMDCCCLXXIV</t>
        </is>
      </c>
      <c r="C32875">
        <f>ROMAN(32874)</f>
        <v/>
      </c>
      <c r="D32875">
        <f>IF(B32875=C32875, "YES", "WRONG")</f>
        <v/>
      </c>
    </row>
    <row r="32876">
      <c r="A32876" t="n">
        <v>32875</v>
      </c>
      <c r="B32876" t="inlineStr">
        <is>
          <t>x̄x̄x̄MMDCCCLXXV</t>
        </is>
      </c>
      <c r="C32876">
        <f>ROMAN(32875)</f>
        <v/>
      </c>
      <c r="D32876">
        <f>IF(B32876=C32876, "YES", "WRONG")</f>
        <v/>
      </c>
    </row>
    <row r="32877">
      <c r="A32877" t="n">
        <v>32876</v>
      </c>
      <c r="B32877" t="inlineStr">
        <is>
          <t>x̄x̄x̄MMDCCCLXXVI</t>
        </is>
      </c>
      <c r="C32877">
        <f>ROMAN(32876)</f>
        <v/>
      </c>
      <c r="D32877">
        <f>IF(B32877=C32877, "YES", "WRONG")</f>
        <v/>
      </c>
    </row>
    <row r="32878">
      <c r="A32878" t="n">
        <v>32877</v>
      </c>
      <c r="B32878" t="inlineStr">
        <is>
          <t>x̄x̄x̄MMDCCCLXXVII</t>
        </is>
      </c>
      <c r="C32878">
        <f>ROMAN(32877)</f>
        <v/>
      </c>
      <c r="D32878">
        <f>IF(B32878=C32878, "YES", "WRONG")</f>
        <v/>
      </c>
    </row>
    <row r="32879">
      <c r="A32879" t="n">
        <v>32878</v>
      </c>
      <c r="B32879" t="inlineStr">
        <is>
          <t>x̄x̄x̄MMDCCCLXXVIII</t>
        </is>
      </c>
      <c r="C32879">
        <f>ROMAN(32878)</f>
        <v/>
      </c>
      <c r="D32879">
        <f>IF(B32879=C32879, "YES", "WRONG")</f>
        <v/>
      </c>
    </row>
    <row r="32880">
      <c r="A32880" t="n">
        <v>32879</v>
      </c>
      <c r="B32880" t="inlineStr">
        <is>
          <t>x̄x̄x̄MMDCCCLXXIX</t>
        </is>
      </c>
      <c r="C32880">
        <f>ROMAN(32879)</f>
        <v/>
      </c>
      <c r="D32880">
        <f>IF(B32880=C32880, "YES", "WRONG")</f>
        <v/>
      </c>
    </row>
    <row r="32881">
      <c r="A32881" t="n">
        <v>32880</v>
      </c>
      <c r="B32881" t="inlineStr">
        <is>
          <t>x̄x̄x̄MMDCCCLXXX</t>
        </is>
      </c>
      <c r="C32881">
        <f>ROMAN(32880)</f>
        <v/>
      </c>
      <c r="D32881">
        <f>IF(B32881=C32881, "YES", "WRONG")</f>
        <v/>
      </c>
    </row>
    <row r="32882">
      <c r="A32882" t="n">
        <v>32881</v>
      </c>
      <c r="B32882" t="inlineStr">
        <is>
          <t>x̄x̄x̄MMDCCCLXXXI</t>
        </is>
      </c>
      <c r="C32882">
        <f>ROMAN(32881)</f>
        <v/>
      </c>
      <c r="D32882">
        <f>IF(B32882=C32882, "YES", "WRONG")</f>
        <v/>
      </c>
    </row>
    <row r="32883">
      <c r="A32883" t="n">
        <v>32882</v>
      </c>
      <c r="B32883" t="inlineStr">
        <is>
          <t>x̄x̄x̄MMDCCCLXXXII</t>
        </is>
      </c>
      <c r="C32883">
        <f>ROMAN(32882)</f>
        <v/>
      </c>
      <c r="D32883">
        <f>IF(B32883=C32883, "YES", "WRONG")</f>
        <v/>
      </c>
    </row>
    <row r="32884">
      <c r="A32884" t="n">
        <v>32883</v>
      </c>
      <c r="B32884" t="inlineStr">
        <is>
          <t>x̄x̄x̄MMDCCCLXXXIII</t>
        </is>
      </c>
      <c r="C32884">
        <f>ROMAN(32883)</f>
        <v/>
      </c>
      <c r="D32884">
        <f>IF(B32884=C32884, "YES", "WRONG")</f>
        <v/>
      </c>
    </row>
    <row r="32885">
      <c r="A32885" t="n">
        <v>32884</v>
      </c>
      <c r="B32885" t="inlineStr">
        <is>
          <t>x̄x̄x̄MMDCCCLXXXIV</t>
        </is>
      </c>
      <c r="C32885">
        <f>ROMAN(32884)</f>
        <v/>
      </c>
      <c r="D32885">
        <f>IF(B32885=C32885, "YES", "WRONG")</f>
        <v/>
      </c>
    </row>
    <row r="32886">
      <c r="A32886" t="n">
        <v>32885</v>
      </c>
      <c r="B32886" t="inlineStr">
        <is>
          <t>x̄x̄x̄MMDCCCLXXXV</t>
        </is>
      </c>
      <c r="C32886">
        <f>ROMAN(32885)</f>
        <v/>
      </c>
      <c r="D32886">
        <f>IF(B32886=C32886, "YES", "WRONG")</f>
        <v/>
      </c>
    </row>
    <row r="32887">
      <c r="A32887" t="n">
        <v>32886</v>
      </c>
      <c r="B32887" t="inlineStr">
        <is>
          <t>x̄x̄x̄MMDCCCLXXXVI</t>
        </is>
      </c>
      <c r="C32887">
        <f>ROMAN(32886)</f>
        <v/>
      </c>
      <c r="D32887">
        <f>IF(B32887=C32887, "YES", "WRONG")</f>
        <v/>
      </c>
    </row>
    <row r="32888">
      <c r="A32888" t="n">
        <v>32887</v>
      </c>
      <c r="B32888" t="inlineStr">
        <is>
          <t>x̄x̄x̄MMDCCCLXXXVII</t>
        </is>
      </c>
      <c r="C32888">
        <f>ROMAN(32887)</f>
        <v/>
      </c>
      <c r="D32888">
        <f>IF(B32888=C32888, "YES", "WRONG")</f>
        <v/>
      </c>
    </row>
    <row r="32889">
      <c r="A32889" t="n">
        <v>32888</v>
      </c>
      <c r="B32889" t="inlineStr">
        <is>
          <t>x̄x̄x̄MMDCCCLXXXVIII</t>
        </is>
      </c>
      <c r="C32889">
        <f>ROMAN(32888)</f>
        <v/>
      </c>
      <c r="D32889">
        <f>IF(B32889=C32889, "YES", "WRONG")</f>
        <v/>
      </c>
    </row>
    <row r="32890">
      <c r="A32890" t="n">
        <v>32889</v>
      </c>
      <c r="B32890" t="inlineStr">
        <is>
          <t>x̄x̄x̄MMDCCCLXXXIX</t>
        </is>
      </c>
      <c r="C32890">
        <f>ROMAN(32889)</f>
        <v/>
      </c>
      <c r="D32890">
        <f>IF(B32890=C32890, "YES", "WRONG")</f>
        <v/>
      </c>
    </row>
    <row r="32891">
      <c r="A32891" t="n">
        <v>32890</v>
      </c>
      <c r="B32891" t="inlineStr">
        <is>
          <t>x̄x̄x̄MMDCCCXC</t>
        </is>
      </c>
      <c r="C32891">
        <f>ROMAN(32890)</f>
        <v/>
      </c>
      <c r="D32891">
        <f>IF(B32891=C32891, "YES", "WRONG")</f>
        <v/>
      </c>
    </row>
    <row r="32892">
      <c r="A32892" t="n">
        <v>32891</v>
      </c>
      <c r="B32892" t="inlineStr">
        <is>
          <t>x̄x̄x̄MMDCCCXCI</t>
        </is>
      </c>
      <c r="C32892">
        <f>ROMAN(32891)</f>
        <v/>
      </c>
      <c r="D32892">
        <f>IF(B32892=C32892, "YES", "WRONG")</f>
        <v/>
      </c>
    </row>
    <row r="32893">
      <c r="A32893" t="n">
        <v>32892</v>
      </c>
      <c r="B32893" t="inlineStr">
        <is>
          <t>x̄x̄x̄MMDCCCXCII</t>
        </is>
      </c>
      <c r="C32893">
        <f>ROMAN(32892)</f>
        <v/>
      </c>
      <c r="D32893">
        <f>IF(B32893=C32893, "YES", "WRONG")</f>
        <v/>
      </c>
    </row>
    <row r="32894">
      <c r="A32894" t="n">
        <v>32893</v>
      </c>
      <c r="B32894" t="inlineStr">
        <is>
          <t>x̄x̄x̄MMDCCCXCIII</t>
        </is>
      </c>
      <c r="C32894">
        <f>ROMAN(32893)</f>
        <v/>
      </c>
      <c r="D32894">
        <f>IF(B32894=C32894, "YES", "WRONG")</f>
        <v/>
      </c>
    </row>
    <row r="32895">
      <c r="A32895" t="n">
        <v>32894</v>
      </c>
      <c r="B32895" t="inlineStr">
        <is>
          <t>x̄x̄x̄MMDCCCXCIV</t>
        </is>
      </c>
      <c r="C32895">
        <f>ROMAN(32894)</f>
        <v/>
      </c>
      <c r="D32895">
        <f>IF(B32895=C32895, "YES", "WRONG")</f>
        <v/>
      </c>
    </row>
    <row r="32896">
      <c r="A32896" t="n">
        <v>32895</v>
      </c>
      <c r="B32896" t="inlineStr">
        <is>
          <t>x̄x̄x̄MMDCCCXCV</t>
        </is>
      </c>
      <c r="C32896">
        <f>ROMAN(32895)</f>
        <v/>
      </c>
      <c r="D32896">
        <f>IF(B32896=C32896, "YES", "WRONG")</f>
        <v/>
      </c>
    </row>
    <row r="32897">
      <c r="A32897" t="n">
        <v>32896</v>
      </c>
      <c r="B32897" t="inlineStr">
        <is>
          <t>x̄x̄x̄MMDCCCXCVI</t>
        </is>
      </c>
      <c r="C32897">
        <f>ROMAN(32896)</f>
        <v/>
      </c>
      <c r="D32897">
        <f>IF(B32897=C32897, "YES", "WRONG")</f>
        <v/>
      </c>
    </row>
    <row r="32898">
      <c r="A32898" t="n">
        <v>32897</v>
      </c>
      <c r="B32898" t="inlineStr">
        <is>
          <t>x̄x̄x̄MMDCCCXCVII</t>
        </is>
      </c>
      <c r="C32898">
        <f>ROMAN(32897)</f>
        <v/>
      </c>
      <c r="D32898">
        <f>IF(B32898=C32898, "YES", "WRONG")</f>
        <v/>
      </c>
    </row>
    <row r="32899">
      <c r="A32899" t="n">
        <v>32898</v>
      </c>
      <c r="B32899" t="inlineStr">
        <is>
          <t>x̄x̄x̄MMDCCCXCVIII</t>
        </is>
      </c>
      <c r="C32899">
        <f>ROMAN(32898)</f>
        <v/>
      </c>
      <c r="D32899">
        <f>IF(B32899=C32899, "YES", "WRONG")</f>
        <v/>
      </c>
    </row>
    <row r="32900">
      <c r="A32900" t="n">
        <v>32899</v>
      </c>
      <c r="B32900" t="inlineStr">
        <is>
          <t>x̄x̄x̄MMDCCCXCIX</t>
        </is>
      </c>
      <c r="C32900">
        <f>ROMAN(32899)</f>
        <v/>
      </c>
      <c r="D32900">
        <f>IF(B32900=C32900, "YES", "WRONG")</f>
        <v/>
      </c>
    </row>
    <row r="32901">
      <c r="A32901" t="n">
        <v>32900</v>
      </c>
      <c r="B32901" t="inlineStr">
        <is>
          <t>x̄x̄x̄MMCM</t>
        </is>
      </c>
      <c r="C32901">
        <f>ROMAN(32900)</f>
        <v/>
      </c>
      <c r="D32901">
        <f>IF(B32901=C32901, "YES", "WRONG")</f>
        <v/>
      </c>
    </row>
    <row r="32902">
      <c r="A32902" t="n">
        <v>32901</v>
      </c>
      <c r="B32902" t="inlineStr">
        <is>
          <t>x̄x̄x̄MMCMI</t>
        </is>
      </c>
      <c r="C32902">
        <f>ROMAN(32901)</f>
        <v/>
      </c>
      <c r="D32902">
        <f>IF(B32902=C32902, "YES", "WRONG")</f>
        <v/>
      </c>
    </row>
    <row r="32903">
      <c r="A32903" t="n">
        <v>32902</v>
      </c>
      <c r="B32903" t="inlineStr">
        <is>
          <t>x̄x̄x̄MMCMII</t>
        </is>
      </c>
      <c r="C32903">
        <f>ROMAN(32902)</f>
        <v/>
      </c>
      <c r="D32903">
        <f>IF(B32903=C32903, "YES", "WRONG")</f>
        <v/>
      </c>
    </row>
    <row r="32904">
      <c r="A32904" t="n">
        <v>32903</v>
      </c>
      <c r="B32904" t="inlineStr">
        <is>
          <t>x̄x̄x̄MMCMIII</t>
        </is>
      </c>
      <c r="C32904">
        <f>ROMAN(32903)</f>
        <v/>
      </c>
      <c r="D32904">
        <f>IF(B32904=C32904, "YES", "WRONG")</f>
        <v/>
      </c>
    </row>
    <row r="32905">
      <c r="A32905" t="n">
        <v>32904</v>
      </c>
      <c r="B32905" t="inlineStr">
        <is>
          <t>x̄x̄x̄MMCMIV</t>
        </is>
      </c>
      <c r="C32905">
        <f>ROMAN(32904)</f>
        <v/>
      </c>
      <c r="D32905">
        <f>IF(B32905=C32905, "YES", "WRONG")</f>
        <v/>
      </c>
    </row>
    <row r="32906">
      <c r="A32906" t="n">
        <v>32905</v>
      </c>
      <c r="B32906" t="inlineStr">
        <is>
          <t>x̄x̄x̄MMCMV</t>
        </is>
      </c>
      <c r="C32906">
        <f>ROMAN(32905)</f>
        <v/>
      </c>
      <c r="D32906">
        <f>IF(B32906=C32906, "YES", "WRONG")</f>
        <v/>
      </c>
    </row>
    <row r="32907">
      <c r="A32907" t="n">
        <v>32906</v>
      </c>
      <c r="B32907" t="inlineStr">
        <is>
          <t>x̄x̄x̄MMCMVI</t>
        </is>
      </c>
      <c r="C32907">
        <f>ROMAN(32906)</f>
        <v/>
      </c>
      <c r="D32907">
        <f>IF(B32907=C32907, "YES", "WRONG")</f>
        <v/>
      </c>
    </row>
    <row r="32908">
      <c r="A32908" t="n">
        <v>32907</v>
      </c>
      <c r="B32908" t="inlineStr">
        <is>
          <t>x̄x̄x̄MMCMVII</t>
        </is>
      </c>
      <c r="C32908">
        <f>ROMAN(32907)</f>
        <v/>
      </c>
      <c r="D32908">
        <f>IF(B32908=C32908, "YES", "WRONG")</f>
        <v/>
      </c>
    </row>
    <row r="32909">
      <c r="A32909" t="n">
        <v>32908</v>
      </c>
      <c r="B32909" t="inlineStr">
        <is>
          <t>x̄x̄x̄MMCMVIII</t>
        </is>
      </c>
      <c r="C32909">
        <f>ROMAN(32908)</f>
        <v/>
      </c>
      <c r="D32909">
        <f>IF(B32909=C32909, "YES", "WRONG")</f>
        <v/>
      </c>
    </row>
    <row r="32910">
      <c r="A32910" t="n">
        <v>32909</v>
      </c>
      <c r="B32910" t="inlineStr">
        <is>
          <t>x̄x̄x̄MMCMIX</t>
        </is>
      </c>
      <c r="C32910">
        <f>ROMAN(32909)</f>
        <v/>
      </c>
      <c r="D32910">
        <f>IF(B32910=C32910, "YES", "WRONG")</f>
        <v/>
      </c>
    </row>
    <row r="32911">
      <c r="A32911" t="n">
        <v>32910</v>
      </c>
      <c r="B32911" t="inlineStr">
        <is>
          <t>x̄x̄x̄MMCMX</t>
        </is>
      </c>
      <c r="C32911">
        <f>ROMAN(32910)</f>
        <v/>
      </c>
      <c r="D32911">
        <f>IF(B32911=C32911, "YES", "WRONG")</f>
        <v/>
      </c>
    </row>
    <row r="32912">
      <c r="A32912" t="n">
        <v>32911</v>
      </c>
      <c r="B32912" t="inlineStr">
        <is>
          <t>x̄x̄x̄MMCMXI</t>
        </is>
      </c>
      <c r="C32912">
        <f>ROMAN(32911)</f>
        <v/>
      </c>
      <c r="D32912">
        <f>IF(B32912=C32912, "YES", "WRONG")</f>
        <v/>
      </c>
    </row>
    <row r="32913">
      <c r="A32913" t="n">
        <v>32912</v>
      </c>
      <c r="B32913" t="inlineStr">
        <is>
          <t>x̄x̄x̄MMCMXII</t>
        </is>
      </c>
      <c r="C32913">
        <f>ROMAN(32912)</f>
        <v/>
      </c>
      <c r="D32913">
        <f>IF(B32913=C32913, "YES", "WRONG")</f>
        <v/>
      </c>
    </row>
    <row r="32914">
      <c r="A32914" t="n">
        <v>32913</v>
      </c>
      <c r="B32914" t="inlineStr">
        <is>
          <t>x̄x̄x̄MMCMXIII</t>
        </is>
      </c>
      <c r="C32914">
        <f>ROMAN(32913)</f>
        <v/>
      </c>
      <c r="D32914">
        <f>IF(B32914=C32914, "YES", "WRONG")</f>
        <v/>
      </c>
    </row>
    <row r="32915">
      <c r="A32915" t="n">
        <v>32914</v>
      </c>
      <c r="B32915" t="inlineStr">
        <is>
          <t>x̄x̄x̄MMCMXIV</t>
        </is>
      </c>
      <c r="C32915">
        <f>ROMAN(32914)</f>
        <v/>
      </c>
      <c r="D32915">
        <f>IF(B32915=C32915, "YES", "WRONG")</f>
        <v/>
      </c>
    </row>
    <row r="32916">
      <c r="A32916" t="n">
        <v>32915</v>
      </c>
      <c r="B32916" t="inlineStr">
        <is>
          <t>x̄x̄x̄MMCMXV</t>
        </is>
      </c>
      <c r="C32916">
        <f>ROMAN(32915)</f>
        <v/>
      </c>
      <c r="D32916">
        <f>IF(B32916=C32916, "YES", "WRONG")</f>
        <v/>
      </c>
    </row>
    <row r="32917">
      <c r="A32917" t="n">
        <v>32916</v>
      </c>
      <c r="B32917" t="inlineStr">
        <is>
          <t>x̄x̄x̄MMCMXVI</t>
        </is>
      </c>
      <c r="C32917">
        <f>ROMAN(32916)</f>
        <v/>
      </c>
      <c r="D32917">
        <f>IF(B32917=C32917, "YES", "WRONG")</f>
        <v/>
      </c>
    </row>
    <row r="32918">
      <c r="A32918" t="n">
        <v>32917</v>
      </c>
      <c r="B32918" t="inlineStr">
        <is>
          <t>x̄x̄x̄MMCMXVII</t>
        </is>
      </c>
      <c r="C32918">
        <f>ROMAN(32917)</f>
        <v/>
      </c>
      <c r="D32918">
        <f>IF(B32918=C32918, "YES", "WRONG")</f>
        <v/>
      </c>
    </row>
    <row r="32919">
      <c r="A32919" t="n">
        <v>32918</v>
      </c>
      <c r="B32919" t="inlineStr">
        <is>
          <t>x̄x̄x̄MMCMXVIII</t>
        </is>
      </c>
      <c r="C32919">
        <f>ROMAN(32918)</f>
        <v/>
      </c>
      <c r="D32919">
        <f>IF(B32919=C32919, "YES", "WRONG")</f>
        <v/>
      </c>
    </row>
    <row r="32920">
      <c r="A32920" t="n">
        <v>32919</v>
      </c>
      <c r="B32920" t="inlineStr">
        <is>
          <t>x̄x̄x̄MMCMXIX</t>
        </is>
      </c>
      <c r="C32920">
        <f>ROMAN(32919)</f>
        <v/>
      </c>
      <c r="D32920">
        <f>IF(B32920=C32920, "YES", "WRONG")</f>
        <v/>
      </c>
    </row>
    <row r="32921">
      <c r="A32921" t="n">
        <v>32920</v>
      </c>
      <c r="B32921" t="inlineStr">
        <is>
          <t>x̄x̄x̄MMCMXX</t>
        </is>
      </c>
      <c r="C32921">
        <f>ROMAN(32920)</f>
        <v/>
      </c>
      <c r="D32921">
        <f>IF(B32921=C32921, "YES", "WRONG")</f>
        <v/>
      </c>
    </row>
    <row r="32922">
      <c r="A32922" t="n">
        <v>32921</v>
      </c>
      <c r="B32922" t="inlineStr">
        <is>
          <t>x̄x̄x̄MMCMXXI</t>
        </is>
      </c>
      <c r="C32922">
        <f>ROMAN(32921)</f>
        <v/>
      </c>
      <c r="D32922">
        <f>IF(B32922=C32922, "YES", "WRONG")</f>
        <v/>
      </c>
    </row>
    <row r="32923">
      <c r="A32923" t="n">
        <v>32922</v>
      </c>
      <c r="B32923" t="inlineStr">
        <is>
          <t>x̄x̄x̄MMCMXXII</t>
        </is>
      </c>
      <c r="C32923">
        <f>ROMAN(32922)</f>
        <v/>
      </c>
      <c r="D32923">
        <f>IF(B32923=C32923, "YES", "WRONG")</f>
        <v/>
      </c>
    </row>
    <row r="32924">
      <c r="A32924" t="n">
        <v>32923</v>
      </c>
      <c r="B32924" t="inlineStr">
        <is>
          <t>x̄x̄x̄MMCMXXIII</t>
        </is>
      </c>
      <c r="C32924">
        <f>ROMAN(32923)</f>
        <v/>
      </c>
      <c r="D32924">
        <f>IF(B32924=C32924, "YES", "WRONG")</f>
        <v/>
      </c>
    </row>
    <row r="32925">
      <c r="A32925" t="n">
        <v>32924</v>
      </c>
      <c r="B32925" t="inlineStr">
        <is>
          <t>x̄x̄x̄MMCMXXIV</t>
        </is>
      </c>
      <c r="C32925">
        <f>ROMAN(32924)</f>
        <v/>
      </c>
      <c r="D32925">
        <f>IF(B32925=C32925, "YES", "WRONG")</f>
        <v/>
      </c>
    </row>
    <row r="32926">
      <c r="A32926" t="n">
        <v>32925</v>
      </c>
      <c r="B32926" t="inlineStr">
        <is>
          <t>x̄x̄x̄MMCMXXV</t>
        </is>
      </c>
      <c r="C32926">
        <f>ROMAN(32925)</f>
        <v/>
      </c>
      <c r="D32926">
        <f>IF(B32926=C32926, "YES", "WRONG")</f>
        <v/>
      </c>
    </row>
    <row r="32927">
      <c r="A32927" t="n">
        <v>32926</v>
      </c>
      <c r="B32927" t="inlineStr">
        <is>
          <t>x̄x̄x̄MMCMXXVI</t>
        </is>
      </c>
      <c r="C32927">
        <f>ROMAN(32926)</f>
        <v/>
      </c>
      <c r="D32927">
        <f>IF(B32927=C32927, "YES", "WRONG")</f>
        <v/>
      </c>
    </row>
    <row r="32928">
      <c r="A32928" t="n">
        <v>32927</v>
      </c>
      <c r="B32928" t="inlineStr">
        <is>
          <t>x̄x̄x̄MMCMXXVII</t>
        </is>
      </c>
      <c r="C32928">
        <f>ROMAN(32927)</f>
        <v/>
      </c>
      <c r="D32928">
        <f>IF(B32928=C32928, "YES", "WRONG")</f>
        <v/>
      </c>
    </row>
    <row r="32929">
      <c r="A32929" t="n">
        <v>32928</v>
      </c>
      <c r="B32929" t="inlineStr">
        <is>
          <t>x̄x̄x̄MMCMXXVIII</t>
        </is>
      </c>
      <c r="C32929">
        <f>ROMAN(32928)</f>
        <v/>
      </c>
      <c r="D32929">
        <f>IF(B32929=C32929, "YES", "WRONG")</f>
        <v/>
      </c>
    </row>
    <row r="32930">
      <c r="A32930" t="n">
        <v>32929</v>
      </c>
      <c r="B32930" t="inlineStr">
        <is>
          <t>x̄x̄x̄MMCMXXIX</t>
        </is>
      </c>
      <c r="C32930">
        <f>ROMAN(32929)</f>
        <v/>
      </c>
      <c r="D32930">
        <f>IF(B32930=C32930, "YES", "WRONG")</f>
        <v/>
      </c>
    </row>
    <row r="32931">
      <c r="A32931" t="n">
        <v>32930</v>
      </c>
      <c r="B32931" t="inlineStr">
        <is>
          <t>x̄x̄x̄MMCMXXX</t>
        </is>
      </c>
      <c r="C32931">
        <f>ROMAN(32930)</f>
        <v/>
      </c>
      <c r="D32931">
        <f>IF(B32931=C32931, "YES", "WRONG")</f>
        <v/>
      </c>
    </row>
    <row r="32932">
      <c r="A32932" t="n">
        <v>32931</v>
      </c>
      <c r="B32932" t="inlineStr">
        <is>
          <t>x̄x̄x̄MMCMXXXI</t>
        </is>
      </c>
      <c r="C32932">
        <f>ROMAN(32931)</f>
        <v/>
      </c>
      <c r="D32932">
        <f>IF(B32932=C32932, "YES", "WRONG")</f>
        <v/>
      </c>
    </row>
    <row r="32933">
      <c r="A32933" t="n">
        <v>32932</v>
      </c>
      <c r="B32933" t="inlineStr">
        <is>
          <t>x̄x̄x̄MMCMXXXII</t>
        </is>
      </c>
      <c r="C32933">
        <f>ROMAN(32932)</f>
        <v/>
      </c>
      <c r="D32933">
        <f>IF(B32933=C32933, "YES", "WRONG")</f>
        <v/>
      </c>
    </row>
    <row r="32934">
      <c r="A32934" t="n">
        <v>32933</v>
      </c>
      <c r="B32934" t="inlineStr">
        <is>
          <t>x̄x̄x̄MMCMXXXIII</t>
        </is>
      </c>
      <c r="C32934">
        <f>ROMAN(32933)</f>
        <v/>
      </c>
      <c r="D32934">
        <f>IF(B32934=C32934, "YES", "WRONG")</f>
        <v/>
      </c>
    </row>
    <row r="32935">
      <c r="A32935" t="n">
        <v>32934</v>
      </c>
      <c r="B32935" t="inlineStr">
        <is>
          <t>x̄x̄x̄MMCMXXXIV</t>
        </is>
      </c>
      <c r="C32935">
        <f>ROMAN(32934)</f>
        <v/>
      </c>
      <c r="D32935">
        <f>IF(B32935=C32935, "YES", "WRONG")</f>
        <v/>
      </c>
    </row>
    <row r="32936">
      <c r="A32936" t="n">
        <v>32935</v>
      </c>
      <c r="B32936" t="inlineStr">
        <is>
          <t>x̄x̄x̄MMCMXXXV</t>
        </is>
      </c>
      <c r="C32936">
        <f>ROMAN(32935)</f>
        <v/>
      </c>
      <c r="D32936">
        <f>IF(B32936=C32936, "YES", "WRONG")</f>
        <v/>
      </c>
    </row>
    <row r="32937">
      <c r="A32937" t="n">
        <v>32936</v>
      </c>
      <c r="B32937" t="inlineStr">
        <is>
          <t>x̄x̄x̄MMCMXXXVI</t>
        </is>
      </c>
      <c r="C32937">
        <f>ROMAN(32936)</f>
        <v/>
      </c>
      <c r="D32937">
        <f>IF(B32937=C32937, "YES", "WRONG")</f>
        <v/>
      </c>
    </row>
    <row r="32938">
      <c r="A32938" t="n">
        <v>32937</v>
      </c>
      <c r="B32938" t="inlineStr">
        <is>
          <t>x̄x̄x̄MMCMXXXVII</t>
        </is>
      </c>
      <c r="C32938">
        <f>ROMAN(32937)</f>
        <v/>
      </c>
      <c r="D32938">
        <f>IF(B32938=C32938, "YES", "WRONG")</f>
        <v/>
      </c>
    </row>
    <row r="32939">
      <c r="A32939" t="n">
        <v>32938</v>
      </c>
      <c r="B32939" t="inlineStr">
        <is>
          <t>x̄x̄x̄MMCMXXXVIII</t>
        </is>
      </c>
      <c r="C32939">
        <f>ROMAN(32938)</f>
        <v/>
      </c>
      <c r="D32939">
        <f>IF(B32939=C32939, "YES", "WRONG")</f>
        <v/>
      </c>
    </row>
    <row r="32940">
      <c r="A32940" t="n">
        <v>32939</v>
      </c>
      <c r="B32940" t="inlineStr">
        <is>
          <t>x̄x̄x̄MMCMXXXIX</t>
        </is>
      </c>
      <c r="C32940">
        <f>ROMAN(32939)</f>
        <v/>
      </c>
      <c r="D32940">
        <f>IF(B32940=C32940, "YES", "WRONG")</f>
        <v/>
      </c>
    </row>
    <row r="32941">
      <c r="A32941" t="n">
        <v>32940</v>
      </c>
      <c r="B32941" t="inlineStr">
        <is>
          <t>x̄x̄x̄MMCMXL</t>
        </is>
      </c>
      <c r="C32941">
        <f>ROMAN(32940)</f>
        <v/>
      </c>
      <c r="D32941">
        <f>IF(B32941=C32941, "YES", "WRONG")</f>
        <v/>
      </c>
    </row>
    <row r="32942">
      <c r="A32942" t="n">
        <v>32941</v>
      </c>
      <c r="B32942" t="inlineStr">
        <is>
          <t>x̄x̄x̄MMCMXLI</t>
        </is>
      </c>
      <c r="C32942">
        <f>ROMAN(32941)</f>
        <v/>
      </c>
      <c r="D32942">
        <f>IF(B32942=C32942, "YES", "WRONG")</f>
        <v/>
      </c>
    </row>
    <row r="32943">
      <c r="A32943" t="n">
        <v>32942</v>
      </c>
      <c r="B32943" t="inlineStr">
        <is>
          <t>x̄x̄x̄MMCMXLII</t>
        </is>
      </c>
      <c r="C32943">
        <f>ROMAN(32942)</f>
        <v/>
      </c>
      <c r="D32943">
        <f>IF(B32943=C32943, "YES", "WRONG")</f>
        <v/>
      </c>
    </row>
    <row r="32944">
      <c r="A32944" t="n">
        <v>32943</v>
      </c>
      <c r="B32944" t="inlineStr">
        <is>
          <t>x̄x̄x̄MMCMXLIII</t>
        </is>
      </c>
      <c r="C32944">
        <f>ROMAN(32943)</f>
        <v/>
      </c>
      <c r="D32944">
        <f>IF(B32944=C32944, "YES", "WRONG")</f>
        <v/>
      </c>
    </row>
    <row r="32945">
      <c r="A32945" t="n">
        <v>32944</v>
      </c>
      <c r="B32945" t="inlineStr">
        <is>
          <t>x̄x̄x̄MMCMXLIV</t>
        </is>
      </c>
      <c r="C32945">
        <f>ROMAN(32944)</f>
        <v/>
      </c>
      <c r="D32945">
        <f>IF(B32945=C32945, "YES", "WRONG")</f>
        <v/>
      </c>
    </row>
    <row r="32946">
      <c r="A32946" t="n">
        <v>32945</v>
      </c>
      <c r="B32946" t="inlineStr">
        <is>
          <t>x̄x̄x̄MMCMXLV</t>
        </is>
      </c>
      <c r="C32946">
        <f>ROMAN(32945)</f>
        <v/>
      </c>
      <c r="D32946">
        <f>IF(B32946=C32946, "YES", "WRONG")</f>
        <v/>
      </c>
    </row>
    <row r="32947">
      <c r="A32947" t="n">
        <v>32946</v>
      </c>
      <c r="B32947" t="inlineStr">
        <is>
          <t>x̄x̄x̄MMCMXLVI</t>
        </is>
      </c>
      <c r="C32947">
        <f>ROMAN(32946)</f>
        <v/>
      </c>
      <c r="D32947">
        <f>IF(B32947=C32947, "YES", "WRONG")</f>
        <v/>
      </c>
    </row>
    <row r="32948">
      <c r="A32948" t="n">
        <v>32947</v>
      </c>
      <c r="B32948" t="inlineStr">
        <is>
          <t>x̄x̄x̄MMCMXLVII</t>
        </is>
      </c>
      <c r="C32948">
        <f>ROMAN(32947)</f>
        <v/>
      </c>
      <c r="D32948">
        <f>IF(B32948=C32948, "YES", "WRONG")</f>
        <v/>
      </c>
    </row>
    <row r="32949">
      <c r="A32949" t="n">
        <v>32948</v>
      </c>
      <c r="B32949" t="inlineStr">
        <is>
          <t>x̄x̄x̄MMCMXLVIII</t>
        </is>
      </c>
      <c r="C32949">
        <f>ROMAN(32948)</f>
        <v/>
      </c>
      <c r="D32949">
        <f>IF(B32949=C32949, "YES", "WRONG")</f>
        <v/>
      </c>
    </row>
    <row r="32950">
      <c r="A32950" t="n">
        <v>32949</v>
      </c>
      <c r="B32950" t="inlineStr">
        <is>
          <t>x̄x̄x̄MMCMXLIX</t>
        </is>
      </c>
      <c r="C32950">
        <f>ROMAN(32949)</f>
        <v/>
      </c>
      <c r="D32950">
        <f>IF(B32950=C32950, "YES", "WRONG")</f>
        <v/>
      </c>
    </row>
    <row r="32951">
      <c r="A32951" t="n">
        <v>32950</v>
      </c>
      <c r="B32951" t="inlineStr">
        <is>
          <t>x̄x̄x̄MMCML</t>
        </is>
      </c>
      <c r="C32951">
        <f>ROMAN(32950)</f>
        <v/>
      </c>
      <c r="D32951">
        <f>IF(B32951=C32951, "YES", "WRONG")</f>
        <v/>
      </c>
    </row>
    <row r="32952">
      <c r="A32952" t="n">
        <v>32951</v>
      </c>
      <c r="B32952" t="inlineStr">
        <is>
          <t>x̄x̄x̄MMCMLI</t>
        </is>
      </c>
      <c r="C32952">
        <f>ROMAN(32951)</f>
        <v/>
      </c>
      <c r="D32952">
        <f>IF(B32952=C32952, "YES", "WRONG")</f>
        <v/>
      </c>
    </row>
    <row r="32953">
      <c r="A32953" t="n">
        <v>32952</v>
      </c>
      <c r="B32953" t="inlineStr">
        <is>
          <t>x̄x̄x̄MMCMLII</t>
        </is>
      </c>
      <c r="C32953">
        <f>ROMAN(32952)</f>
        <v/>
      </c>
      <c r="D32953">
        <f>IF(B32953=C32953, "YES", "WRONG")</f>
        <v/>
      </c>
    </row>
    <row r="32954">
      <c r="A32954" t="n">
        <v>32953</v>
      </c>
      <c r="B32954" t="inlineStr">
        <is>
          <t>x̄x̄x̄MMCMLIII</t>
        </is>
      </c>
      <c r="C32954">
        <f>ROMAN(32953)</f>
        <v/>
      </c>
      <c r="D32954">
        <f>IF(B32954=C32954, "YES", "WRONG")</f>
        <v/>
      </c>
    </row>
    <row r="32955">
      <c r="A32955" t="n">
        <v>32954</v>
      </c>
      <c r="B32955" t="inlineStr">
        <is>
          <t>x̄x̄x̄MMCMLIV</t>
        </is>
      </c>
      <c r="C32955">
        <f>ROMAN(32954)</f>
        <v/>
      </c>
      <c r="D32955">
        <f>IF(B32955=C32955, "YES", "WRONG")</f>
        <v/>
      </c>
    </row>
    <row r="32956">
      <c r="A32956" t="n">
        <v>32955</v>
      </c>
      <c r="B32956" t="inlineStr">
        <is>
          <t>x̄x̄x̄MMCMLV</t>
        </is>
      </c>
      <c r="C32956">
        <f>ROMAN(32955)</f>
        <v/>
      </c>
      <c r="D32956">
        <f>IF(B32956=C32956, "YES", "WRONG")</f>
        <v/>
      </c>
    </row>
    <row r="32957">
      <c r="A32957" t="n">
        <v>32956</v>
      </c>
      <c r="B32957" t="inlineStr">
        <is>
          <t>x̄x̄x̄MMCMLVI</t>
        </is>
      </c>
      <c r="C32957">
        <f>ROMAN(32956)</f>
        <v/>
      </c>
      <c r="D32957">
        <f>IF(B32957=C32957, "YES", "WRONG")</f>
        <v/>
      </c>
    </row>
    <row r="32958">
      <c r="A32958" t="n">
        <v>32957</v>
      </c>
      <c r="B32958" t="inlineStr">
        <is>
          <t>x̄x̄x̄MMCMLVII</t>
        </is>
      </c>
      <c r="C32958">
        <f>ROMAN(32957)</f>
        <v/>
      </c>
      <c r="D32958">
        <f>IF(B32958=C32958, "YES", "WRONG")</f>
        <v/>
      </c>
    </row>
    <row r="32959">
      <c r="A32959" t="n">
        <v>32958</v>
      </c>
      <c r="B32959" t="inlineStr">
        <is>
          <t>x̄x̄x̄MMCMLVIII</t>
        </is>
      </c>
      <c r="C32959">
        <f>ROMAN(32958)</f>
        <v/>
      </c>
      <c r="D32959">
        <f>IF(B32959=C32959, "YES", "WRONG")</f>
        <v/>
      </c>
    </row>
    <row r="32960">
      <c r="A32960" t="n">
        <v>32959</v>
      </c>
      <c r="B32960" t="inlineStr">
        <is>
          <t>x̄x̄x̄MMCMLIX</t>
        </is>
      </c>
      <c r="C32960">
        <f>ROMAN(32959)</f>
        <v/>
      </c>
      <c r="D32960">
        <f>IF(B32960=C32960, "YES", "WRONG")</f>
        <v/>
      </c>
    </row>
    <row r="32961">
      <c r="A32961" t="n">
        <v>32960</v>
      </c>
      <c r="B32961" t="inlineStr">
        <is>
          <t>x̄x̄x̄MMCMLX</t>
        </is>
      </c>
      <c r="C32961">
        <f>ROMAN(32960)</f>
        <v/>
      </c>
      <c r="D32961">
        <f>IF(B32961=C32961, "YES", "WRONG")</f>
        <v/>
      </c>
    </row>
    <row r="32962">
      <c r="A32962" t="n">
        <v>32961</v>
      </c>
      <c r="B32962" t="inlineStr">
        <is>
          <t>x̄x̄x̄MMCMLXI</t>
        </is>
      </c>
      <c r="C32962">
        <f>ROMAN(32961)</f>
        <v/>
      </c>
      <c r="D32962">
        <f>IF(B32962=C32962, "YES", "WRONG")</f>
        <v/>
      </c>
    </row>
    <row r="32963">
      <c r="A32963" t="n">
        <v>32962</v>
      </c>
      <c r="B32963" t="inlineStr">
        <is>
          <t>x̄x̄x̄MMCMLXII</t>
        </is>
      </c>
      <c r="C32963">
        <f>ROMAN(32962)</f>
        <v/>
      </c>
      <c r="D32963">
        <f>IF(B32963=C32963, "YES", "WRONG")</f>
        <v/>
      </c>
    </row>
    <row r="32964">
      <c r="A32964" t="n">
        <v>32963</v>
      </c>
      <c r="B32964" t="inlineStr">
        <is>
          <t>x̄x̄x̄MMCMLXIII</t>
        </is>
      </c>
      <c r="C32964">
        <f>ROMAN(32963)</f>
        <v/>
      </c>
      <c r="D32964">
        <f>IF(B32964=C32964, "YES", "WRONG")</f>
        <v/>
      </c>
    </row>
    <row r="32965">
      <c r="A32965" t="n">
        <v>32964</v>
      </c>
      <c r="B32965" t="inlineStr">
        <is>
          <t>x̄x̄x̄MMCMLXIV</t>
        </is>
      </c>
      <c r="C32965">
        <f>ROMAN(32964)</f>
        <v/>
      </c>
      <c r="D32965">
        <f>IF(B32965=C32965, "YES", "WRONG")</f>
        <v/>
      </c>
    </row>
    <row r="32966">
      <c r="A32966" t="n">
        <v>32965</v>
      </c>
      <c r="B32966" t="inlineStr">
        <is>
          <t>x̄x̄x̄MMCMLXV</t>
        </is>
      </c>
      <c r="C32966">
        <f>ROMAN(32965)</f>
        <v/>
      </c>
      <c r="D32966">
        <f>IF(B32966=C32966, "YES", "WRONG")</f>
        <v/>
      </c>
    </row>
    <row r="32967">
      <c r="A32967" t="n">
        <v>32966</v>
      </c>
      <c r="B32967" t="inlineStr">
        <is>
          <t>x̄x̄x̄MMCMLXVI</t>
        </is>
      </c>
      <c r="C32967">
        <f>ROMAN(32966)</f>
        <v/>
      </c>
      <c r="D32967">
        <f>IF(B32967=C32967, "YES", "WRONG")</f>
        <v/>
      </c>
    </row>
    <row r="32968">
      <c r="A32968" t="n">
        <v>32967</v>
      </c>
      <c r="B32968" t="inlineStr">
        <is>
          <t>x̄x̄x̄MMCMLXVII</t>
        </is>
      </c>
      <c r="C32968">
        <f>ROMAN(32967)</f>
        <v/>
      </c>
      <c r="D32968">
        <f>IF(B32968=C32968, "YES", "WRONG")</f>
        <v/>
      </c>
    </row>
    <row r="32969">
      <c r="A32969" t="n">
        <v>32968</v>
      </c>
      <c r="B32969" t="inlineStr">
        <is>
          <t>x̄x̄x̄MMCMLXVIII</t>
        </is>
      </c>
      <c r="C32969">
        <f>ROMAN(32968)</f>
        <v/>
      </c>
      <c r="D32969">
        <f>IF(B32969=C32969, "YES", "WRONG")</f>
        <v/>
      </c>
    </row>
    <row r="32970">
      <c r="A32970" t="n">
        <v>32969</v>
      </c>
      <c r="B32970" t="inlineStr">
        <is>
          <t>x̄x̄x̄MMCMLXIX</t>
        </is>
      </c>
      <c r="C32970">
        <f>ROMAN(32969)</f>
        <v/>
      </c>
      <c r="D32970">
        <f>IF(B32970=C32970, "YES", "WRONG")</f>
        <v/>
      </c>
    </row>
    <row r="32971">
      <c r="A32971" t="n">
        <v>32970</v>
      </c>
      <c r="B32971" t="inlineStr">
        <is>
          <t>x̄x̄x̄MMCMLXX</t>
        </is>
      </c>
      <c r="C32971">
        <f>ROMAN(32970)</f>
        <v/>
      </c>
      <c r="D32971">
        <f>IF(B32971=C32971, "YES", "WRONG")</f>
        <v/>
      </c>
    </row>
    <row r="32972">
      <c r="A32972" t="n">
        <v>32971</v>
      </c>
      <c r="B32972" t="inlineStr">
        <is>
          <t>x̄x̄x̄MMCMLXXI</t>
        </is>
      </c>
      <c r="C32972">
        <f>ROMAN(32971)</f>
        <v/>
      </c>
      <c r="D32972">
        <f>IF(B32972=C32972, "YES", "WRONG")</f>
        <v/>
      </c>
    </row>
    <row r="32973">
      <c r="A32973" t="n">
        <v>32972</v>
      </c>
      <c r="B32973" t="inlineStr">
        <is>
          <t>x̄x̄x̄MMCMLXXII</t>
        </is>
      </c>
      <c r="C32973">
        <f>ROMAN(32972)</f>
        <v/>
      </c>
      <c r="D32973">
        <f>IF(B32973=C32973, "YES", "WRONG")</f>
        <v/>
      </c>
    </row>
    <row r="32974">
      <c r="A32974" t="n">
        <v>32973</v>
      </c>
      <c r="B32974" t="inlineStr">
        <is>
          <t>x̄x̄x̄MMCMLXXIII</t>
        </is>
      </c>
      <c r="C32974">
        <f>ROMAN(32973)</f>
        <v/>
      </c>
      <c r="D32974">
        <f>IF(B32974=C32974, "YES", "WRONG")</f>
        <v/>
      </c>
    </row>
    <row r="32975">
      <c r="A32975" t="n">
        <v>32974</v>
      </c>
      <c r="B32975" t="inlineStr">
        <is>
          <t>x̄x̄x̄MMCMLXXIV</t>
        </is>
      </c>
      <c r="C32975">
        <f>ROMAN(32974)</f>
        <v/>
      </c>
      <c r="D32975">
        <f>IF(B32975=C32975, "YES", "WRONG")</f>
        <v/>
      </c>
    </row>
    <row r="32976">
      <c r="A32976" t="n">
        <v>32975</v>
      </c>
      <c r="B32976" t="inlineStr">
        <is>
          <t>x̄x̄x̄MMCMLXXV</t>
        </is>
      </c>
      <c r="C32976">
        <f>ROMAN(32975)</f>
        <v/>
      </c>
      <c r="D32976">
        <f>IF(B32976=C32976, "YES", "WRONG")</f>
        <v/>
      </c>
    </row>
    <row r="32977">
      <c r="A32977" t="n">
        <v>32976</v>
      </c>
      <c r="B32977" t="inlineStr">
        <is>
          <t>x̄x̄x̄MMCMLXXVI</t>
        </is>
      </c>
      <c r="C32977">
        <f>ROMAN(32976)</f>
        <v/>
      </c>
      <c r="D32977">
        <f>IF(B32977=C32977, "YES", "WRONG")</f>
        <v/>
      </c>
    </row>
    <row r="32978">
      <c r="A32978" t="n">
        <v>32977</v>
      </c>
      <c r="B32978" t="inlineStr">
        <is>
          <t>x̄x̄x̄MMCMLXXVII</t>
        </is>
      </c>
      <c r="C32978">
        <f>ROMAN(32977)</f>
        <v/>
      </c>
      <c r="D32978">
        <f>IF(B32978=C32978, "YES", "WRONG")</f>
        <v/>
      </c>
    </row>
    <row r="32979">
      <c r="A32979" t="n">
        <v>32978</v>
      </c>
      <c r="B32979" t="inlineStr">
        <is>
          <t>x̄x̄x̄MMCMLXXVIII</t>
        </is>
      </c>
      <c r="C32979">
        <f>ROMAN(32978)</f>
        <v/>
      </c>
      <c r="D32979">
        <f>IF(B32979=C32979, "YES", "WRONG")</f>
        <v/>
      </c>
    </row>
    <row r="32980">
      <c r="A32980" t="n">
        <v>32979</v>
      </c>
      <c r="B32980" t="inlineStr">
        <is>
          <t>x̄x̄x̄MMCMLXXIX</t>
        </is>
      </c>
      <c r="C32980">
        <f>ROMAN(32979)</f>
        <v/>
      </c>
      <c r="D32980">
        <f>IF(B32980=C32980, "YES", "WRONG")</f>
        <v/>
      </c>
    </row>
    <row r="32981">
      <c r="A32981" t="n">
        <v>32980</v>
      </c>
      <c r="B32981" t="inlineStr">
        <is>
          <t>x̄x̄x̄MMCMLXXX</t>
        </is>
      </c>
      <c r="C32981">
        <f>ROMAN(32980)</f>
        <v/>
      </c>
      <c r="D32981">
        <f>IF(B32981=C32981, "YES", "WRONG")</f>
        <v/>
      </c>
    </row>
    <row r="32982">
      <c r="A32982" t="n">
        <v>32981</v>
      </c>
      <c r="B32982" t="inlineStr">
        <is>
          <t>x̄x̄x̄MMCMLXXXI</t>
        </is>
      </c>
      <c r="C32982">
        <f>ROMAN(32981)</f>
        <v/>
      </c>
      <c r="D32982">
        <f>IF(B32982=C32982, "YES", "WRONG")</f>
        <v/>
      </c>
    </row>
    <row r="32983">
      <c r="A32983" t="n">
        <v>32982</v>
      </c>
      <c r="B32983" t="inlineStr">
        <is>
          <t>x̄x̄x̄MMCMLXXXII</t>
        </is>
      </c>
      <c r="C32983">
        <f>ROMAN(32982)</f>
        <v/>
      </c>
      <c r="D32983">
        <f>IF(B32983=C32983, "YES", "WRONG")</f>
        <v/>
      </c>
    </row>
    <row r="32984">
      <c r="A32984" t="n">
        <v>32983</v>
      </c>
      <c r="B32984" t="inlineStr">
        <is>
          <t>x̄x̄x̄MMCMLXXXIII</t>
        </is>
      </c>
      <c r="C32984">
        <f>ROMAN(32983)</f>
        <v/>
      </c>
      <c r="D32984">
        <f>IF(B32984=C32984, "YES", "WRONG")</f>
        <v/>
      </c>
    </row>
    <row r="32985">
      <c r="A32985" t="n">
        <v>32984</v>
      </c>
      <c r="B32985" t="inlineStr">
        <is>
          <t>x̄x̄x̄MMCMLXXXIV</t>
        </is>
      </c>
      <c r="C32985">
        <f>ROMAN(32984)</f>
        <v/>
      </c>
      <c r="D32985">
        <f>IF(B32985=C32985, "YES", "WRONG")</f>
        <v/>
      </c>
    </row>
    <row r="32986">
      <c r="A32986" t="n">
        <v>32985</v>
      </c>
      <c r="B32986" t="inlineStr">
        <is>
          <t>x̄x̄x̄MMCMLXXXV</t>
        </is>
      </c>
      <c r="C32986">
        <f>ROMAN(32985)</f>
        <v/>
      </c>
      <c r="D32986">
        <f>IF(B32986=C32986, "YES", "WRONG")</f>
        <v/>
      </c>
    </row>
    <row r="32987">
      <c r="A32987" t="n">
        <v>32986</v>
      </c>
      <c r="B32987" t="inlineStr">
        <is>
          <t>x̄x̄x̄MMCMLXXXVI</t>
        </is>
      </c>
      <c r="C32987">
        <f>ROMAN(32986)</f>
        <v/>
      </c>
      <c r="D32987">
        <f>IF(B32987=C32987, "YES", "WRONG")</f>
        <v/>
      </c>
    </row>
    <row r="32988">
      <c r="A32988" t="n">
        <v>32987</v>
      </c>
      <c r="B32988" t="inlineStr">
        <is>
          <t>x̄x̄x̄MMCMLXXXVII</t>
        </is>
      </c>
      <c r="C32988">
        <f>ROMAN(32987)</f>
        <v/>
      </c>
      <c r="D32988">
        <f>IF(B32988=C32988, "YES", "WRONG")</f>
        <v/>
      </c>
    </row>
    <row r="32989">
      <c r="A32989" t="n">
        <v>32988</v>
      </c>
      <c r="B32989" t="inlineStr">
        <is>
          <t>x̄x̄x̄MMCMLXXXVIII</t>
        </is>
      </c>
      <c r="C32989">
        <f>ROMAN(32988)</f>
        <v/>
      </c>
      <c r="D32989">
        <f>IF(B32989=C32989, "YES", "WRONG")</f>
        <v/>
      </c>
    </row>
    <row r="32990">
      <c r="A32990" t="n">
        <v>32989</v>
      </c>
      <c r="B32990" t="inlineStr">
        <is>
          <t>x̄x̄x̄MMCMLXXXIX</t>
        </is>
      </c>
      <c r="C32990">
        <f>ROMAN(32989)</f>
        <v/>
      </c>
      <c r="D32990">
        <f>IF(B32990=C32990, "YES", "WRONG")</f>
        <v/>
      </c>
    </row>
    <row r="32991">
      <c r="A32991" t="n">
        <v>32990</v>
      </c>
      <c r="B32991" t="inlineStr">
        <is>
          <t>x̄x̄x̄MMCMXC</t>
        </is>
      </c>
      <c r="C32991">
        <f>ROMAN(32990)</f>
        <v/>
      </c>
      <c r="D32991">
        <f>IF(B32991=C32991, "YES", "WRONG")</f>
        <v/>
      </c>
    </row>
    <row r="32992">
      <c r="A32992" t="n">
        <v>32991</v>
      </c>
      <c r="B32992" t="inlineStr">
        <is>
          <t>x̄x̄x̄MMCMXCI</t>
        </is>
      </c>
      <c r="C32992">
        <f>ROMAN(32991)</f>
        <v/>
      </c>
      <c r="D32992">
        <f>IF(B32992=C32992, "YES", "WRONG")</f>
        <v/>
      </c>
    </row>
    <row r="32993">
      <c r="A32993" t="n">
        <v>32992</v>
      </c>
      <c r="B32993" t="inlineStr">
        <is>
          <t>x̄x̄x̄MMCMXCII</t>
        </is>
      </c>
      <c r="C32993">
        <f>ROMAN(32992)</f>
        <v/>
      </c>
      <c r="D32993">
        <f>IF(B32993=C32993, "YES", "WRONG")</f>
        <v/>
      </c>
    </row>
    <row r="32994">
      <c r="A32994" t="n">
        <v>32993</v>
      </c>
      <c r="B32994" t="inlineStr">
        <is>
          <t>x̄x̄x̄MMCMXCIII</t>
        </is>
      </c>
      <c r="C32994">
        <f>ROMAN(32993)</f>
        <v/>
      </c>
      <c r="D32994">
        <f>IF(B32994=C32994, "YES", "WRONG")</f>
        <v/>
      </c>
    </row>
    <row r="32995">
      <c r="A32995" t="n">
        <v>32994</v>
      </c>
      <c r="B32995" t="inlineStr">
        <is>
          <t>x̄x̄x̄MMCMXCIV</t>
        </is>
      </c>
      <c r="C32995">
        <f>ROMAN(32994)</f>
        <v/>
      </c>
      <c r="D32995">
        <f>IF(B32995=C32995, "YES", "WRONG")</f>
        <v/>
      </c>
    </row>
    <row r="32996">
      <c r="A32996" t="n">
        <v>32995</v>
      </c>
      <c r="B32996" t="inlineStr">
        <is>
          <t>x̄x̄x̄MMCMXCV</t>
        </is>
      </c>
      <c r="C32996">
        <f>ROMAN(32995)</f>
        <v/>
      </c>
      <c r="D32996">
        <f>IF(B32996=C32996, "YES", "WRONG")</f>
        <v/>
      </c>
    </row>
    <row r="32997">
      <c r="A32997" t="n">
        <v>32996</v>
      </c>
      <c r="B32997" t="inlineStr">
        <is>
          <t>x̄x̄x̄MMCMXCVI</t>
        </is>
      </c>
      <c r="C32997">
        <f>ROMAN(32996)</f>
        <v/>
      </c>
      <c r="D32997">
        <f>IF(B32997=C32997, "YES", "WRONG")</f>
        <v/>
      </c>
    </row>
    <row r="32998">
      <c r="A32998" t="n">
        <v>32997</v>
      </c>
      <c r="B32998" t="inlineStr">
        <is>
          <t>x̄x̄x̄MMCMXCVII</t>
        </is>
      </c>
      <c r="C32998">
        <f>ROMAN(32997)</f>
        <v/>
      </c>
      <c r="D32998">
        <f>IF(B32998=C32998, "YES", "WRONG")</f>
        <v/>
      </c>
    </row>
    <row r="32999">
      <c r="A32999" t="n">
        <v>32998</v>
      </c>
      <c r="B32999" t="inlineStr">
        <is>
          <t>x̄x̄x̄MMCMXCVIII</t>
        </is>
      </c>
      <c r="C32999">
        <f>ROMAN(32998)</f>
        <v/>
      </c>
      <c r="D32999">
        <f>IF(B32999=C32999, "YES", "WRONG")</f>
        <v/>
      </c>
    </row>
    <row r="33000">
      <c r="A33000" t="n">
        <v>32999</v>
      </c>
      <c r="B33000" t="inlineStr">
        <is>
          <t>x̄x̄x̄MMCMXCIX</t>
        </is>
      </c>
      <c r="C33000">
        <f>ROMAN(32999)</f>
        <v/>
      </c>
      <c r="D33000">
        <f>IF(B33000=C33000, "YES", "WRONG")</f>
        <v/>
      </c>
    </row>
    <row r="33001">
      <c r="A33001" t="n">
        <v>33000</v>
      </c>
      <c r="B33001" t="inlineStr">
        <is>
          <t>x̄x̄x̄MMM</t>
        </is>
      </c>
      <c r="C33001">
        <f>ROMAN(33000)</f>
        <v/>
      </c>
      <c r="D33001">
        <f>IF(B33001=C33001, "YES", "WRONG")</f>
        <v/>
      </c>
    </row>
    <row r="33002">
      <c r="A33002" t="n">
        <v>33001</v>
      </c>
      <c r="B33002" t="inlineStr">
        <is>
          <t>x̄x̄x̄MMMI</t>
        </is>
      </c>
      <c r="C33002">
        <f>ROMAN(33001)</f>
        <v/>
      </c>
      <c r="D33002">
        <f>IF(B33002=C33002, "YES", "WRONG")</f>
        <v/>
      </c>
    </row>
    <row r="33003">
      <c r="A33003" t="n">
        <v>33002</v>
      </c>
      <c r="B33003" t="inlineStr">
        <is>
          <t>x̄x̄x̄MMMII</t>
        </is>
      </c>
      <c r="C33003">
        <f>ROMAN(33002)</f>
        <v/>
      </c>
      <c r="D33003">
        <f>IF(B33003=C33003, "YES", "WRONG")</f>
        <v/>
      </c>
    </row>
    <row r="33004">
      <c r="A33004" t="n">
        <v>33003</v>
      </c>
      <c r="B33004" t="inlineStr">
        <is>
          <t>x̄x̄x̄MMMIII</t>
        </is>
      </c>
      <c r="C33004">
        <f>ROMAN(33003)</f>
        <v/>
      </c>
      <c r="D33004">
        <f>IF(B33004=C33004, "YES", "WRONG")</f>
        <v/>
      </c>
    </row>
    <row r="33005">
      <c r="A33005" t="n">
        <v>33004</v>
      </c>
      <c r="B33005" t="inlineStr">
        <is>
          <t>x̄x̄x̄MMMIV</t>
        </is>
      </c>
      <c r="C33005">
        <f>ROMAN(33004)</f>
        <v/>
      </c>
      <c r="D33005">
        <f>IF(B33005=C33005, "YES", "WRONG")</f>
        <v/>
      </c>
    </row>
    <row r="33006">
      <c r="A33006" t="n">
        <v>33005</v>
      </c>
      <c r="B33006" t="inlineStr">
        <is>
          <t>x̄x̄x̄MMMV</t>
        </is>
      </c>
      <c r="C33006">
        <f>ROMAN(33005)</f>
        <v/>
      </c>
      <c r="D33006">
        <f>IF(B33006=C33006, "YES", "WRONG")</f>
        <v/>
      </c>
    </row>
    <row r="33007">
      <c r="A33007" t="n">
        <v>33006</v>
      </c>
      <c r="B33007" t="inlineStr">
        <is>
          <t>x̄x̄x̄MMMVI</t>
        </is>
      </c>
      <c r="C33007">
        <f>ROMAN(33006)</f>
        <v/>
      </c>
      <c r="D33007">
        <f>IF(B33007=C33007, "YES", "WRONG")</f>
        <v/>
      </c>
    </row>
    <row r="33008">
      <c r="A33008" t="n">
        <v>33007</v>
      </c>
      <c r="B33008" t="inlineStr">
        <is>
          <t>x̄x̄x̄MMMVII</t>
        </is>
      </c>
      <c r="C33008">
        <f>ROMAN(33007)</f>
        <v/>
      </c>
      <c r="D33008">
        <f>IF(B33008=C33008, "YES", "WRONG")</f>
        <v/>
      </c>
    </row>
    <row r="33009">
      <c r="A33009" t="n">
        <v>33008</v>
      </c>
      <c r="B33009" t="inlineStr">
        <is>
          <t>x̄x̄x̄MMMVIII</t>
        </is>
      </c>
      <c r="C33009">
        <f>ROMAN(33008)</f>
        <v/>
      </c>
      <c r="D33009">
        <f>IF(B33009=C33009, "YES", "WRONG")</f>
        <v/>
      </c>
    </row>
    <row r="33010">
      <c r="A33010" t="n">
        <v>33009</v>
      </c>
      <c r="B33010" t="inlineStr">
        <is>
          <t>x̄x̄x̄MMMIX</t>
        </is>
      </c>
      <c r="C33010">
        <f>ROMAN(33009)</f>
        <v/>
      </c>
      <c r="D33010">
        <f>IF(B33010=C33010, "YES", "WRONG")</f>
        <v/>
      </c>
    </row>
    <row r="33011">
      <c r="A33011" t="n">
        <v>33010</v>
      </c>
      <c r="B33011" t="inlineStr">
        <is>
          <t>x̄x̄x̄MMMX</t>
        </is>
      </c>
      <c r="C33011">
        <f>ROMAN(33010)</f>
        <v/>
      </c>
      <c r="D33011">
        <f>IF(B33011=C33011, "YES", "WRONG")</f>
        <v/>
      </c>
    </row>
    <row r="33012">
      <c r="A33012" t="n">
        <v>33011</v>
      </c>
      <c r="B33012" t="inlineStr">
        <is>
          <t>x̄x̄x̄MMMXI</t>
        </is>
      </c>
      <c r="C33012">
        <f>ROMAN(33011)</f>
        <v/>
      </c>
      <c r="D33012">
        <f>IF(B33012=C33012, "YES", "WRONG")</f>
        <v/>
      </c>
    </row>
    <row r="33013">
      <c r="A33013" t="n">
        <v>33012</v>
      </c>
      <c r="B33013" t="inlineStr">
        <is>
          <t>x̄x̄x̄MMMXII</t>
        </is>
      </c>
      <c r="C33013">
        <f>ROMAN(33012)</f>
        <v/>
      </c>
      <c r="D33013">
        <f>IF(B33013=C33013, "YES", "WRONG")</f>
        <v/>
      </c>
    </row>
    <row r="33014">
      <c r="A33014" t="n">
        <v>33013</v>
      </c>
      <c r="B33014" t="inlineStr">
        <is>
          <t>x̄x̄x̄MMMXIII</t>
        </is>
      </c>
      <c r="C33014">
        <f>ROMAN(33013)</f>
        <v/>
      </c>
      <c r="D33014">
        <f>IF(B33014=C33014, "YES", "WRONG")</f>
        <v/>
      </c>
    </row>
    <row r="33015">
      <c r="A33015" t="n">
        <v>33014</v>
      </c>
      <c r="B33015" t="inlineStr">
        <is>
          <t>x̄x̄x̄MMMXIV</t>
        </is>
      </c>
      <c r="C33015">
        <f>ROMAN(33014)</f>
        <v/>
      </c>
      <c r="D33015">
        <f>IF(B33015=C33015, "YES", "WRONG")</f>
        <v/>
      </c>
    </row>
    <row r="33016">
      <c r="A33016" t="n">
        <v>33015</v>
      </c>
      <c r="B33016" t="inlineStr">
        <is>
          <t>x̄x̄x̄MMMXV</t>
        </is>
      </c>
      <c r="C33016">
        <f>ROMAN(33015)</f>
        <v/>
      </c>
      <c r="D33016">
        <f>IF(B33016=C33016, "YES", "WRONG")</f>
        <v/>
      </c>
    </row>
    <row r="33017">
      <c r="A33017" t="n">
        <v>33016</v>
      </c>
      <c r="B33017" t="inlineStr">
        <is>
          <t>x̄x̄x̄MMMXVI</t>
        </is>
      </c>
      <c r="C33017">
        <f>ROMAN(33016)</f>
        <v/>
      </c>
      <c r="D33017">
        <f>IF(B33017=C33017, "YES", "WRONG")</f>
        <v/>
      </c>
    </row>
    <row r="33018">
      <c r="A33018" t="n">
        <v>33017</v>
      </c>
      <c r="B33018" t="inlineStr">
        <is>
          <t>x̄x̄x̄MMMXVII</t>
        </is>
      </c>
      <c r="C33018">
        <f>ROMAN(33017)</f>
        <v/>
      </c>
      <c r="D33018">
        <f>IF(B33018=C33018, "YES", "WRONG")</f>
        <v/>
      </c>
    </row>
    <row r="33019">
      <c r="A33019" t="n">
        <v>33018</v>
      </c>
      <c r="B33019" t="inlineStr">
        <is>
          <t>x̄x̄x̄MMMXVIII</t>
        </is>
      </c>
      <c r="C33019">
        <f>ROMAN(33018)</f>
        <v/>
      </c>
      <c r="D33019">
        <f>IF(B33019=C33019, "YES", "WRONG")</f>
        <v/>
      </c>
    </row>
    <row r="33020">
      <c r="A33020" t="n">
        <v>33019</v>
      </c>
      <c r="B33020" t="inlineStr">
        <is>
          <t>x̄x̄x̄MMMXIX</t>
        </is>
      </c>
      <c r="C33020">
        <f>ROMAN(33019)</f>
        <v/>
      </c>
      <c r="D33020">
        <f>IF(B33020=C33020, "YES", "WRONG")</f>
        <v/>
      </c>
    </row>
    <row r="33021">
      <c r="A33021" t="n">
        <v>33020</v>
      </c>
      <c r="B33021" t="inlineStr">
        <is>
          <t>x̄x̄x̄MMMXX</t>
        </is>
      </c>
      <c r="C33021">
        <f>ROMAN(33020)</f>
        <v/>
      </c>
      <c r="D33021">
        <f>IF(B33021=C33021, "YES", "WRONG")</f>
        <v/>
      </c>
    </row>
    <row r="33022">
      <c r="A33022" t="n">
        <v>33021</v>
      </c>
      <c r="B33022" t="inlineStr">
        <is>
          <t>x̄x̄x̄MMMXXI</t>
        </is>
      </c>
      <c r="C33022">
        <f>ROMAN(33021)</f>
        <v/>
      </c>
      <c r="D33022">
        <f>IF(B33022=C33022, "YES", "WRONG")</f>
        <v/>
      </c>
    </row>
    <row r="33023">
      <c r="A33023" t="n">
        <v>33022</v>
      </c>
      <c r="B33023" t="inlineStr">
        <is>
          <t>x̄x̄x̄MMMXXII</t>
        </is>
      </c>
      <c r="C33023">
        <f>ROMAN(33022)</f>
        <v/>
      </c>
      <c r="D33023">
        <f>IF(B33023=C33023, "YES", "WRONG")</f>
        <v/>
      </c>
    </row>
    <row r="33024">
      <c r="A33024" t="n">
        <v>33023</v>
      </c>
      <c r="B33024" t="inlineStr">
        <is>
          <t>x̄x̄x̄MMMXXIII</t>
        </is>
      </c>
      <c r="C33024">
        <f>ROMAN(33023)</f>
        <v/>
      </c>
      <c r="D33024">
        <f>IF(B33024=C33024, "YES", "WRONG")</f>
        <v/>
      </c>
    </row>
    <row r="33025">
      <c r="A33025" t="n">
        <v>33024</v>
      </c>
      <c r="B33025" t="inlineStr">
        <is>
          <t>x̄x̄x̄MMMXXIV</t>
        </is>
      </c>
      <c r="C33025">
        <f>ROMAN(33024)</f>
        <v/>
      </c>
      <c r="D33025">
        <f>IF(B33025=C33025, "YES", "WRONG")</f>
        <v/>
      </c>
    </row>
    <row r="33026">
      <c r="A33026" t="n">
        <v>33025</v>
      </c>
      <c r="B33026" t="inlineStr">
        <is>
          <t>x̄x̄x̄MMMXXV</t>
        </is>
      </c>
      <c r="C33026">
        <f>ROMAN(33025)</f>
        <v/>
      </c>
      <c r="D33026">
        <f>IF(B33026=C33026, "YES", "WRONG")</f>
        <v/>
      </c>
    </row>
    <row r="33027">
      <c r="A33027" t="n">
        <v>33026</v>
      </c>
      <c r="B33027" t="inlineStr">
        <is>
          <t>x̄x̄x̄MMMXXVI</t>
        </is>
      </c>
      <c r="C33027">
        <f>ROMAN(33026)</f>
        <v/>
      </c>
      <c r="D33027">
        <f>IF(B33027=C33027, "YES", "WRONG")</f>
        <v/>
      </c>
    </row>
    <row r="33028">
      <c r="A33028" t="n">
        <v>33027</v>
      </c>
      <c r="B33028" t="inlineStr">
        <is>
          <t>x̄x̄x̄MMMXXVII</t>
        </is>
      </c>
      <c r="C33028">
        <f>ROMAN(33027)</f>
        <v/>
      </c>
      <c r="D33028">
        <f>IF(B33028=C33028, "YES", "WRONG")</f>
        <v/>
      </c>
    </row>
    <row r="33029">
      <c r="A33029" t="n">
        <v>33028</v>
      </c>
      <c r="B33029" t="inlineStr">
        <is>
          <t>x̄x̄x̄MMMXXVIII</t>
        </is>
      </c>
      <c r="C33029">
        <f>ROMAN(33028)</f>
        <v/>
      </c>
      <c r="D33029">
        <f>IF(B33029=C33029, "YES", "WRONG")</f>
        <v/>
      </c>
    </row>
    <row r="33030">
      <c r="A33030" t="n">
        <v>33029</v>
      </c>
      <c r="B33030" t="inlineStr">
        <is>
          <t>x̄x̄x̄MMMXXIX</t>
        </is>
      </c>
      <c r="C33030">
        <f>ROMAN(33029)</f>
        <v/>
      </c>
      <c r="D33030">
        <f>IF(B33030=C33030, "YES", "WRONG")</f>
        <v/>
      </c>
    </row>
    <row r="33031">
      <c r="A33031" t="n">
        <v>33030</v>
      </c>
      <c r="B33031" t="inlineStr">
        <is>
          <t>x̄x̄x̄MMMXXX</t>
        </is>
      </c>
      <c r="C33031">
        <f>ROMAN(33030)</f>
        <v/>
      </c>
      <c r="D33031">
        <f>IF(B33031=C33031, "YES", "WRONG")</f>
        <v/>
      </c>
    </row>
    <row r="33032">
      <c r="A33032" t="n">
        <v>33031</v>
      </c>
      <c r="B33032" t="inlineStr">
        <is>
          <t>x̄x̄x̄MMMXXXI</t>
        </is>
      </c>
      <c r="C33032">
        <f>ROMAN(33031)</f>
        <v/>
      </c>
      <c r="D33032">
        <f>IF(B33032=C33032, "YES", "WRONG")</f>
        <v/>
      </c>
    </row>
    <row r="33033">
      <c r="A33033" t="n">
        <v>33032</v>
      </c>
      <c r="B33033" t="inlineStr">
        <is>
          <t>x̄x̄x̄MMMXXXII</t>
        </is>
      </c>
      <c r="C33033">
        <f>ROMAN(33032)</f>
        <v/>
      </c>
      <c r="D33033">
        <f>IF(B33033=C33033, "YES", "WRONG")</f>
        <v/>
      </c>
    </row>
    <row r="33034">
      <c r="A33034" t="n">
        <v>33033</v>
      </c>
      <c r="B33034" t="inlineStr">
        <is>
          <t>x̄x̄x̄MMMXXXIII</t>
        </is>
      </c>
      <c r="C33034">
        <f>ROMAN(33033)</f>
        <v/>
      </c>
      <c r="D33034">
        <f>IF(B33034=C33034, "YES", "WRONG")</f>
        <v/>
      </c>
    </row>
    <row r="33035">
      <c r="A33035" t="n">
        <v>33034</v>
      </c>
      <c r="B33035" t="inlineStr">
        <is>
          <t>x̄x̄x̄MMMXXXIV</t>
        </is>
      </c>
      <c r="C33035">
        <f>ROMAN(33034)</f>
        <v/>
      </c>
      <c r="D33035">
        <f>IF(B33035=C33035, "YES", "WRONG")</f>
        <v/>
      </c>
    </row>
    <row r="33036">
      <c r="A33036" t="n">
        <v>33035</v>
      </c>
      <c r="B33036" t="inlineStr">
        <is>
          <t>x̄x̄x̄MMMXXXV</t>
        </is>
      </c>
      <c r="C33036">
        <f>ROMAN(33035)</f>
        <v/>
      </c>
      <c r="D33036">
        <f>IF(B33036=C33036, "YES", "WRONG")</f>
        <v/>
      </c>
    </row>
    <row r="33037">
      <c r="A33037" t="n">
        <v>33036</v>
      </c>
      <c r="B33037" t="inlineStr">
        <is>
          <t>x̄x̄x̄MMMXXXVI</t>
        </is>
      </c>
      <c r="C33037">
        <f>ROMAN(33036)</f>
        <v/>
      </c>
      <c r="D33037">
        <f>IF(B33037=C33037, "YES", "WRONG")</f>
        <v/>
      </c>
    </row>
    <row r="33038">
      <c r="A33038" t="n">
        <v>33037</v>
      </c>
      <c r="B33038" t="inlineStr">
        <is>
          <t>x̄x̄x̄MMMXXXVII</t>
        </is>
      </c>
      <c r="C33038">
        <f>ROMAN(33037)</f>
        <v/>
      </c>
      <c r="D33038">
        <f>IF(B33038=C33038, "YES", "WRONG")</f>
        <v/>
      </c>
    </row>
    <row r="33039">
      <c r="A33039" t="n">
        <v>33038</v>
      </c>
      <c r="B33039" t="inlineStr">
        <is>
          <t>x̄x̄x̄MMMXXXVIII</t>
        </is>
      </c>
      <c r="C33039">
        <f>ROMAN(33038)</f>
        <v/>
      </c>
      <c r="D33039">
        <f>IF(B33039=C33039, "YES", "WRONG")</f>
        <v/>
      </c>
    </row>
    <row r="33040">
      <c r="A33040" t="n">
        <v>33039</v>
      </c>
      <c r="B33040" t="inlineStr">
        <is>
          <t>x̄x̄x̄MMMXXXIX</t>
        </is>
      </c>
      <c r="C33040">
        <f>ROMAN(33039)</f>
        <v/>
      </c>
      <c r="D33040">
        <f>IF(B33040=C33040, "YES", "WRONG")</f>
        <v/>
      </c>
    </row>
    <row r="33041">
      <c r="A33041" t="n">
        <v>33040</v>
      </c>
      <c r="B33041" t="inlineStr">
        <is>
          <t>x̄x̄x̄MMMXL</t>
        </is>
      </c>
      <c r="C33041">
        <f>ROMAN(33040)</f>
        <v/>
      </c>
      <c r="D33041">
        <f>IF(B33041=C33041, "YES", "WRONG")</f>
        <v/>
      </c>
    </row>
    <row r="33042">
      <c r="A33042" t="n">
        <v>33041</v>
      </c>
      <c r="B33042" t="inlineStr">
        <is>
          <t>x̄x̄x̄MMMXLI</t>
        </is>
      </c>
      <c r="C33042">
        <f>ROMAN(33041)</f>
        <v/>
      </c>
      <c r="D33042">
        <f>IF(B33042=C33042, "YES", "WRONG")</f>
        <v/>
      </c>
    </row>
    <row r="33043">
      <c r="A33043" t="n">
        <v>33042</v>
      </c>
      <c r="B33043" t="inlineStr">
        <is>
          <t>x̄x̄x̄MMMXLII</t>
        </is>
      </c>
      <c r="C33043">
        <f>ROMAN(33042)</f>
        <v/>
      </c>
      <c r="D33043">
        <f>IF(B33043=C33043, "YES", "WRONG")</f>
        <v/>
      </c>
    </row>
    <row r="33044">
      <c r="A33044" t="n">
        <v>33043</v>
      </c>
      <c r="B33044" t="inlineStr">
        <is>
          <t>x̄x̄x̄MMMXLIII</t>
        </is>
      </c>
      <c r="C33044">
        <f>ROMAN(33043)</f>
        <v/>
      </c>
      <c r="D33044">
        <f>IF(B33044=C33044, "YES", "WRONG")</f>
        <v/>
      </c>
    </row>
    <row r="33045">
      <c r="A33045" t="n">
        <v>33044</v>
      </c>
      <c r="B33045" t="inlineStr">
        <is>
          <t>x̄x̄x̄MMMXLIV</t>
        </is>
      </c>
      <c r="C33045">
        <f>ROMAN(33044)</f>
        <v/>
      </c>
      <c r="D33045">
        <f>IF(B33045=C33045, "YES", "WRONG")</f>
        <v/>
      </c>
    </row>
    <row r="33046">
      <c r="A33046" t="n">
        <v>33045</v>
      </c>
      <c r="B33046" t="inlineStr">
        <is>
          <t>x̄x̄x̄MMMXLV</t>
        </is>
      </c>
      <c r="C33046">
        <f>ROMAN(33045)</f>
        <v/>
      </c>
      <c r="D33046">
        <f>IF(B33046=C33046, "YES", "WRONG")</f>
        <v/>
      </c>
    </row>
    <row r="33047">
      <c r="A33047" t="n">
        <v>33046</v>
      </c>
      <c r="B33047" t="inlineStr">
        <is>
          <t>x̄x̄x̄MMMXLVI</t>
        </is>
      </c>
      <c r="C33047">
        <f>ROMAN(33046)</f>
        <v/>
      </c>
      <c r="D33047">
        <f>IF(B33047=C33047, "YES", "WRONG")</f>
        <v/>
      </c>
    </row>
    <row r="33048">
      <c r="A33048" t="n">
        <v>33047</v>
      </c>
      <c r="B33048" t="inlineStr">
        <is>
          <t>x̄x̄x̄MMMXLVII</t>
        </is>
      </c>
      <c r="C33048">
        <f>ROMAN(33047)</f>
        <v/>
      </c>
      <c r="D33048">
        <f>IF(B33048=C33048, "YES", "WRONG")</f>
        <v/>
      </c>
    </row>
    <row r="33049">
      <c r="A33049" t="n">
        <v>33048</v>
      </c>
      <c r="B33049" t="inlineStr">
        <is>
          <t>x̄x̄x̄MMMXLVIII</t>
        </is>
      </c>
      <c r="C33049">
        <f>ROMAN(33048)</f>
        <v/>
      </c>
      <c r="D33049">
        <f>IF(B33049=C33049, "YES", "WRONG")</f>
        <v/>
      </c>
    </row>
    <row r="33050">
      <c r="A33050" t="n">
        <v>33049</v>
      </c>
      <c r="B33050" t="inlineStr">
        <is>
          <t>x̄x̄x̄MMMXLIX</t>
        </is>
      </c>
      <c r="C33050">
        <f>ROMAN(33049)</f>
        <v/>
      </c>
      <c r="D33050">
        <f>IF(B33050=C33050, "YES", "WRONG")</f>
        <v/>
      </c>
    </row>
    <row r="33051">
      <c r="A33051" t="n">
        <v>33050</v>
      </c>
      <c r="B33051" t="inlineStr">
        <is>
          <t>x̄x̄x̄MMML</t>
        </is>
      </c>
      <c r="C33051">
        <f>ROMAN(33050)</f>
        <v/>
      </c>
      <c r="D33051">
        <f>IF(B33051=C33051, "YES", "WRONG")</f>
        <v/>
      </c>
    </row>
    <row r="33052">
      <c r="A33052" t="n">
        <v>33051</v>
      </c>
      <c r="B33052" t="inlineStr">
        <is>
          <t>x̄x̄x̄MMMLI</t>
        </is>
      </c>
      <c r="C33052">
        <f>ROMAN(33051)</f>
        <v/>
      </c>
      <c r="D33052">
        <f>IF(B33052=C33052, "YES", "WRONG")</f>
        <v/>
      </c>
    </row>
    <row r="33053">
      <c r="A33053" t="n">
        <v>33052</v>
      </c>
      <c r="B33053" t="inlineStr">
        <is>
          <t>x̄x̄x̄MMMLII</t>
        </is>
      </c>
      <c r="C33053">
        <f>ROMAN(33052)</f>
        <v/>
      </c>
      <c r="D33053">
        <f>IF(B33053=C33053, "YES", "WRONG")</f>
        <v/>
      </c>
    </row>
    <row r="33054">
      <c r="A33054" t="n">
        <v>33053</v>
      </c>
      <c r="B33054" t="inlineStr">
        <is>
          <t>x̄x̄x̄MMMLIII</t>
        </is>
      </c>
      <c r="C33054">
        <f>ROMAN(33053)</f>
        <v/>
      </c>
      <c r="D33054">
        <f>IF(B33054=C33054, "YES", "WRONG")</f>
        <v/>
      </c>
    </row>
    <row r="33055">
      <c r="A33055" t="n">
        <v>33054</v>
      </c>
      <c r="B33055" t="inlineStr">
        <is>
          <t>x̄x̄x̄MMMLIV</t>
        </is>
      </c>
      <c r="C33055">
        <f>ROMAN(33054)</f>
        <v/>
      </c>
      <c r="D33055">
        <f>IF(B33055=C33055, "YES", "WRONG")</f>
        <v/>
      </c>
    </row>
    <row r="33056">
      <c r="A33056" t="n">
        <v>33055</v>
      </c>
      <c r="B33056" t="inlineStr">
        <is>
          <t>x̄x̄x̄MMMLV</t>
        </is>
      </c>
      <c r="C33056">
        <f>ROMAN(33055)</f>
        <v/>
      </c>
      <c r="D33056">
        <f>IF(B33056=C33056, "YES", "WRONG")</f>
        <v/>
      </c>
    </row>
    <row r="33057">
      <c r="A33057" t="n">
        <v>33056</v>
      </c>
      <c r="B33057" t="inlineStr">
        <is>
          <t>x̄x̄x̄MMMLVI</t>
        </is>
      </c>
      <c r="C33057">
        <f>ROMAN(33056)</f>
        <v/>
      </c>
      <c r="D33057">
        <f>IF(B33057=C33057, "YES", "WRONG")</f>
        <v/>
      </c>
    </row>
    <row r="33058">
      <c r="A33058" t="n">
        <v>33057</v>
      </c>
      <c r="B33058" t="inlineStr">
        <is>
          <t>x̄x̄x̄MMMLVII</t>
        </is>
      </c>
      <c r="C33058">
        <f>ROMAN(33057)</f>
        <v/>
      </c>
      <c r="D33058">
        <f>IF(B33058=C33058, "YES", "WRONG")</f>
        <v/>
      </c>
    </row>
    <row r="33059">
      <c r="A33059" t="n">
        <v>33058</v>
      </c>
      <c r="B33059" t="inlineStr">
        <is>
          <t>x̄x̄x̄MMMLVIII</t>
        </is>
      </c>
      <c r="C33059">
        <f>ROMAN(33058)</f>
        <v/>
      </c>
      <c r="D33059">
        <f>IF(B33059=C33059, "YES", "WRONG")</f>
        <v/>
      </c>
    </row>
    <row r="33060">
      <c r="A33060" t="n">
        <v>33059</v>
      </c>
      <c r="B33060" t="inlineStr">
        <is>
          <t>x̄x̄x̄MMMLIX</t>
        </is>
      </c>
      <c r="C33060">
        <f>ROMAN(33059)</f>
        <v/>
      </c>
      <c r="D33060">
        <f>IF(B33060=C33060, "YES", "WRONG")</f>
        <v/>
      </c>
    </row>
    <row r="33061">
      <c r="A33061" t="n">
        <v>33060</v>
      </c>
      <c r="B33061" t="inlineStr">
        <is>
          <t>x̄x̄x̄MMMLX</t>
        </is>
      </c>
      <c r="C33061">
        <f>ROMAN(33060)</f>
        <v/>
      </c>
      <c r="D33061">
        <f>IF(B33061=C33061, "YES", "WRONG")</f>
        <v/>
      </c>
    </row>
    <row r="33062">
      <c r="A33062" t="n">
        <v>33061</v>
      </c>
      <c r="B33062" t="inlineStr">
        <is>
          <t>x̄x̄x̄MMMLXI</t>
        </is>
      </c>
      <c r="C33062">
        <f>ROMAN(33061)</f>
        <v/>
      </c>
      <c r="D33062">
        <f>IF(B33062=C33062, "YES", "WRONG")</f>
        <v/>
      </c>
    </row>
    <row r="33063">
      <c r="A33063" t="n">
        <v>33062</v>
      </c>
      <c r="B33063" t="inlineStr">
        <is>
          <t>x̄x̄x̄MMMLXII</t>
        </is>
      </c>
      <c r="C33063">
        <f>ROMAN(33062)</f>
        <v/>
      </c>
      <c r="D33063">
        <f>IF(B33063=C33063, "YES", "WRONG")</f>
        <v/>
      </c>
    </row>
    <row r="33064">
      <c r="A33064" t="n">
        <v>33063</v>
      </c>
      <c r="B33064" t="inlineStr">
        <is>
          <t>x̄x̄x̄MMMLXIII</t>
        </is>
      </c>
      <c r="C33064">
        <f>ROMAN(33063)</f>
        <v/>
      </c>
      <c r="D33064">
        <f>IF(B33064=C33064, "YES", "WRONG")</f>
        <v/>
      </c>
    </row>
    <row r="33065">
      <c r="A33065" t="n">
        <v>33064</v>
      </c>
      <c r="B33065" t="inlineStr">
        <is>
          <t>x̄x̄x̄MMMLXIV</t>
        </is>
      </c>
      <c r="C33065">
        <f>ROMAN(33064)</f>
        <v/>
      </c>
      <c r="D33065">
        <f>IF(B33065=C33065, "YES", "WRONG")</f>
        <v/>
      </c>
    </row>
    <row r="33066">
      <c r="A33066" t="n">
        <v>33065</v>
      </c>
      <c r="B33066" t="inlineStr">
        <is>
          <t>x̄x̄x̄MMMLXV</t>
        </is>
      </c>
      <c r="C33066">
        <f>ROMAN(33065)</f>
        <v/>
      </c>
      <c r="D33066">
        <f>IF(B33066=C33066, "YES", "WRONG")</f>
        <v/>
      </c>
    </row>
    <row r="33067">
      <c r="A33067" t="n">
        <v>33066</v>
      </c>
      <c r="B33067" t="inlineStr">
        <is>
          <t>x̄x̄x̄MMMLXVI</t>
        </is>
      </c>
      <c r="C33067">
        <f>ROMAN(33066)</f>
        <v/>
      </c>
      <c r="D33067">
        <f>IF(B33067=C33067, "YES", "WRONG")</f>
        <v/>
      </c>
    </row>
    <row r="33068">
      <c r="A33068" t="n">
        <v>33067</v>
      </c>
      <c r="B33068" t="inlineStr">
        <is>
          <t>x̄x̄x̄MMMLXVII</t>
        </is>
      </c>
      <c r="C33068">
        <f>ROMAN(33067)</f>
        <v/>
      </c>
      <c r="D33068">
        <f>IF(B33068=C33068, "YES", "WRONG")</f>
        <v/>
      </c>
    </row>
    <row r="33069">
      <c r="A33069" t="n">
        <v>33068</v>
      </c>
      <c r="B33069" t="inlineStr">
        <is>
          <t>x̄x̄x̄MMMLXVIII</t>
        </is>
      </c>
      <c r="C33069">
        <f>ROMAN(33068)</f>
        <v/>
      </c>
      <c r="D33069">
        <f>IF(B33069=C33069, "YES", "WRONG")</f>
        <v/>
      </c>
    </row>
    <row r="33070">
      <c r="A33070" t="n">
        <v>33069</v>
      </c>
      <c r="B33070" t="inlineStr">
        <is>
          <t>x̄x̄x̄MMMLXIX</t>
        </is>
      </c>
      <c r="C33070">
        <f>ROMAN(33069)</f>
        <v/>
      </c>
      <c r="D33070">
        <f>IF(B33070=C33070, "YES", "WRONG")</f>
        <v/>
      </c>
    </row>
    <row r="33071">
      <c r="A33071" t="n">
        <v>33070</v>
      </c>
      <c r="B33071" t="inlineStr">
        <is>
          <t>x̄x̄x̄MMMLXX</t>
        </is>
      </c>
      <c r="C33071">
        <f>ROMAN(33070)</f>
        <v/>
      </c>
      <c r="D33071">
        <f>IF(B33071=C33071, "YES", "WRONG")</f>
        <v/>
      </c>
    </row>
    <row r="33072">
      <c r="A33072" t="n">
        <v>33071</v>
      </c>
      <c r="B33072" t="inlineStr">
        <is>
          <t>x̄x̄x̄MMMLXXI</t>
        </is>
      </c>
      <c r="C33072">
        <f>ROMAN(33071)</f>
        <v/>
      </c>
      <c r="D33072">
        <f>IF(B33072=C33072, "YES", "WRONG")</f>
        <v/>
      </c>
    </row>
    <row r="33073">
      <c r="A33073" t="n">
        <v>33072</v>
      </c>
      <c r="B33073" t="inlineStr">
        <is>
          <t>x̄x̄x̄MMMLXXII</t>
        </is>
      </c>
      <c r="C33073">
        <f>ROMAN(33072)</f>
        <v/>
      </c>
      <c r="D33073">
        <f>IF(B33073=C33073, "YES", "WRONG")</f>
        <v/>
      </c>
    </row>
    <row r="33074">
      <c r="A33074" t="n">
        <v>33073</v>
      </c>
      <c r="B33074" t="inlineStr">
        <is>
          <t>x̄x̄x̄MMMLXXIII</t>
        </is>
      </c>
      <c r="C33074">
        <f>ROMAN(33073)</f>
        <v/>
      </c>
      <c r="D33074">
        <f>IF(B33074=C33074, "YES", "WRONG")</f>
        <v/>
      </c>
    </row>
    <row r="33075">
      <c r="A33075" t="n">
        <v>33074</v>
      </c>
      <c r="B33075" t="inlineStr">
        <is>
          <t>x̄x̄x̄MMMLXXIV</t>
        </is>
      </c>
      <c r="C33075">
        <f>ROMAN(33074)</f>
        <v/>
      </c>
      <c r="D33075">
        <f>IF(B33075=C33075, "YES", "WRONG")</f>
        <v/>
      </c>
    </row>
    <row r="33076">
      <c r="A33076" t="n">
        <v>33075</v>
      </c>
      <c r="B33076" t="inlineStr">
        <is>
          <t>x̄x̄x̄MMMLXXV</t>
        </is>
      </c>
      <c r="C33076">
        <f>ROMAN(33075)</f>
        <v/>
      </c>
      <c r="D33076">
        <f>IF(B33076=C33076, "YES", "WRONG")</f>
        <v/>
      </c>
    </row>
    <row r="33077">
      <c r="A33077" t="n">
        <v>33076</v>
      </c>
      <c r="B33077" t="inlineStr">
        <is>
          <t>x̄x̄x̄MMMLXXVI</t>
        </is>
      </c>
      <c r="C33077">
        <f>ROMAN(33076)</f>
        <v/>
      </c>
      <c r="D33077">
        <f>IF(B33077=C33077, "YES", "WRONG")</f>
        <v/>
      </c>
    </row>
    <row r="33078">
      <c r="A33078" t="n">
        <v>33077</v>
      </c>
      <c r="B33078" t="inlineStr">
        <is>
          <t>x̄x̄x̄MMMLXXVII</t>
        </is>
      </c>
      <c r="C33078">
        <f>ROMAN(33077)</f>
        <v/>
      </c>
      <c r="D33078">
        <f>IF(B33078=C33078, "YES", "WRONG")</f>
        <v/>
      </c>
    </row>
    <row r="33079">
      <c r="A33079" t="n">
        <v>33078</v>
      </c>
      <c r="B33079" t="inlineStr">
        <is>
          <t>x̄x̄x̄MMMLXXVIII</t>
        </is>
      </c>
      <c r="C33079">
        <f>ROMAN(33078)</f>
        <v/>
      </c>
      <c r="D33079">
        <f>IF(B33079=C33079, "YES", "WRONG")</f>
        <v/>
      </c>
    </row>
    <row r="33080">
      <c r="A33080" t="n">
        <v>33079</v>
      </c>
      <c r="B33080" t="inlineStr">
        <is>
          <t>x̄x̄x̄MMMLXXIX</t>
        </is>
      </c>
      <c r="C33080">
        <f>ROMAN(33079)</f>
        <v/>
      </c>
      <c r="D33080">
        <f>IF(B33080=C33080, "YES", "WRONG")</f>
        <v/>
      </c>
    </row>
    <row r="33081">
      <c r="A33081" t="n">
        <v>33080</v>
      </c>
      <c r="B33081" t="inlineStr">
        <is>
          <t>x̄x̄x̄MMMLXXX</t>
        </is>
      </c>
      <c r="C33081">
        <f>ROMAN(33080)</f>
        <v/>
      </c>
      <c r="D33081">
        <f>IF(B33081=C33081, "YES", "WRONG")</f>
        <v/>
      </c>
    </row>
    <row r="33082">
      <c r="A33082" t="n">
        <v>33081</v>
      </c>
      <c r="B33082" t="inlineStr">
        <is>
          <t>x̄x̄x̄MMMLXXXI</t>
        </is>
      </c>
      <c r="C33082">
        <f>ROMAN(33081)</f>
        <v/>
      </c>
      <c r="D33082">
        <f>IF(B33082=C33082, "YES", "WRONG")</f>
        <v/>
      </c>
    </row>
    <row r="33083">
      <c r="A33083" t="n">
        <v>33082</v>
      </c>
      <c r="B33083" t="inlineStr">
        <is>
          <t>x̄x̄x̄MMMLXXXII</t>
        </is>
      </c>
      <c r="C33083">
        <f>ROMAN(33082)</f>
        <v/>
      </c>
      <c r="D33083">
        <f>IF(B33083=C33083, "YES", "WRONG")</f>
        <v/>
      </c>
    </row>
    <row r="33084">
      <c r="A33084" t="n">
        <v>33083</v>
      </c>
      <c r="B33084" t="inlineStr">
        <is>
          <t>x̄x̄x̄MMMLXXXIII</t>
        </is>
      </c>
      <c r="C33084">
        <f>ROMAN(33083)</f>
        <v/>
      </c>
      <c r="D33084">
        <f>IF(B33084=C33084, "YES", "WRONG")</f>
        <v/>
      </c>
    </row>
    <row r="33085">
      <c r="A33085" t="n">
        <v>33084</v>
      </c>
      <c r="B33085" t="inlineStr">
        <is>
          <t>x̄x̄x̄MMMLXXXIV</t>
        </is>
      </c>
      <c r="C33085">
        <f>ROMAN(33084)</f>
        <v/>
      </c>
      <c r="D33085">
        <f>IF(B33085=C33085, "YES", "WRONG")</f>
        <v/>
      </c>
    </row>
    <row r="33086">
      <c r="A33086" t="n">
        <v>33085</v>
      </c>
      <c r="B33086" t="inlineStr">
        <is>
          <t>x̄x̄x̄MMMLXXXV</t>
        </is>
      </c>
      <c r="C33086">
        <f>ROMAN(33085)</f>
        <v/>
      </c>
      <c r="D33086">
        <f>IF(B33086=C33086, "YES", "WRONG")</f>
        <v/>
      </c>
    </row>
    <row r="33087">
      <c r="A33087" t="n">
        <v>33086</v>
      </c>
      <c r="B33087" t="inlineStr">
        <is>
          <t>x̄x̄x̄MMMLXXXVI</t>
        </is>
      </c>
      <c r="C33087">
        <f>ROMAN(33086)</f>
        <v/>
      </c>
      <c r="D33087">
        <f>IF(B33087=C33087, "YES", "WRONG")</f>
        <v/>
      </c>
    </row>
    <row r="33088">
      <c r="A33088" t="n">
        <v>33087</v>
      </c>
      <c r="B33088" t="inlineStr">
        <is>
          <t>x̄x̄x̄MMMLXXXVII</t>
        </is>
      </c>
      <c r="C33088">
        <f>ROMAN(33087)</f>
        <v/>
      </c>
      <c r="D33088">
        <f>IF(B33088=C33088, "YES", "WRONG")</f>
        <v/>
      </c>
    </row>
    <row r="33089">
      <c r="A33089" t="n">
        <v>33088</v>
      </c>
      <c r="B33089" t="inlineStr">
        <is>
          <t>x̄x̄x̄MMMLXXXVIII</t>
        </is>
      </c>
      <c r="C33089">
        <f>ROMAN(33088)</f>
        <v/>
      </c>
      <c r="D33089">
        <f>IF(B33089=C33089, "YES", "WRONG")</f>
        <v/>
      </c>
    </row>
    <row r="33090">
      <c r="A33090" t="n">
        <v>33089</v>
      </c>
      <c r="B33090" t="inlineStr">
        <is>
          <t>x̄x̄x̄MMMLXXXIX</t>
        </is>
      </c>
      <c r="C33090">
        <f>ROMAN(33089)</f>
        <v/>
      </c>
      <c r="D33090">
        <f>IF(B33090=C33090, "YES", "WRONG")</f>
        <v/>
      </c>
    </row>
    <row r="33091">
      <c r="A33091" t="n">
        <v>33090</v>
      </c>
      <c r="B33091" t="inlineStr">
        <is>
          <t>x̄x̄x̄MMMXC</t>
        </is>
      </c>
      <c r="C33091">
        <f>ROMAN(33090)</f>
        <v/>
      </c>
      <c r="D33091">
        <f>IF(B33091=C33091, "YES", "WRONG")</f>
        <v/>
      </c>
    </row>
    <row r="33092">
      <c r="A33092" t="n">
        <v>33091</v>
      </c>
      <c r="B33092" t="inlineStr">
        <is>
          <t>x̄x̄x̄MMMXCI</t>
        </is>
      </c>
      <c r="C33092">
        <f>ROMAN(33091)</f>
        <v/>
      </c>
      <c r="D33092">
        <f>IF(B33092=C33092, "YES", "WRONG")</f>
        <v/>
      </c>
    </row>
    <row r="33093">
      <c r="A33093" t="n">
        <v>33092</v>
      </c>
      <c r="B33093" t="inlineStr">
        <is>
          <t>x̄x̄x̄MMMXCII</t>
        </is>
      </c>
      <c r="C33093">
        <f>ROMAN(33092)</f>
        <v/>
      </c>
      <c r="D33093">
        <f>IF(B33093=C33093, "YES", "WRONG")</f>
        <v/>
      </c>
    </row>
    <row r="33094">
      <c r="A33094" t="n">
        <v>33093</v>
      </c>
      <c r="B33094" t="inlineStr">
        <is>
          <t>x̄x̄x̄MMMXCIII</t>
        </is>
      </c>
      <c r="C33094">
        <f>ROMAN(33093)</f>
        <v/>
      </c>
      <c r="D33094">
        <f>IF(B33094=C33094, "YES", "WRONG")</f>
        <v/>
      </c>
    </row>
    <row r="33095">
      <c r="A33095" t="n">
        <v>33094</v>
      </c>
      <c r="B33095" t="inlineStr">
        <is>
          <t>x̄x̄x̄MMMXCIV</t>
        </is>
      </c>
      <c r="C33095">
        <f>ROMAN(33094)</f>
        <v/>
      </c>
      <c r="D33095">
        <f>IF(B33095=C33095, "YES", "WRONG")</f>
        <v/>
      </c>
    </row>
    <row r="33096">
      <c r="A33096" t="n">
        <v>33095</v>
      </c>
      <c r="B33096" t="inlineStr">
        <is>
          <t>x̄x̄x̄MMMXCV</t>
        </is>
      </c>
      <c r="C33096">
        <f>ROMAN(33095)</f>
        <v/>
      </c>
      <c r="D33096">
        <f>IF(B33096=C33096, "YES", "WRONG")</f>
        <v/>
      </c>
    </row>
    <row r="33097">
      <c r="A33097" t="n">
        <v>33096</v>
      </c>
      <c r="B33097" t="inlineStr">
        <is>
          <t>x̄x̄x̄MMMXCVI</t>
        </is>
      </c>
      <c r="C33097">
        <f>ROMAN(33096)</f>
        <v/>
      </c>
      <c r="D33097">
        <f>IF(B33097=C33097, "YES", "WRONG")</f>
        <v/>
      </c>
    </row>
    <row r="33098">
      <c r="A33098" t="n">
        <v>33097</v>
      </c>
      <c r="B33098" t="inlineStr">
        <is>
          <t>x̄x̄x̄MMMXCVII</t>
        </is>
      </c>
      <c r="C33098">
        <f>ROMAN(33097)</f>
        <v/>
      </c>
      <c r="D33098">
        <f>IF(B33098=C33098, "YES", "WRONG")</f>
        <v/>
      </c>
    </row>
    <row r="33099">
      <c r="A33099" t="n">
        <v>33098</v>
      </c>
      <c r="B33099" t="inlineStr">
        <is>
          <t>x̄x̄x̄MMMXCVIII</t>
        </is>
      </c>
      <c r="C33099">
        <f>ROMAN(33098)</f>
        <v/>
      </c>
      <c r="D33099">
        <f>IF(B33099=C33099, "YES", "WRONG")</f>
        <v/>
      </c>
    </row>
    <row r="33100">
      <c r="A33100" t="n">
        <v>33099</v>
      </c>
      <c r="B33100" t="inlineStr">
        <is>
          <t>x̄x̄x̄MMMXCIX</t>
        </is>
      </c>
      <c r="C33100">
        <f>ROMAN(33099)</f>
        <v/>
      </c>
      <c r="D33100">
        <f>IF(B33100=C33100, "YES", "WRONG")</f>
        <v/>
      </c>
    </row>
    <row r="33101">
      <c r="A33101" t="n">
        <v>33100</v>
      </c>
      <c r="B33101" t="inlineStr">
        <is>
          <t>x̄x̄x̄MMMC</t>
        </is>
      </c>
      <c r="C33101">
        <f>ROMAN(33100)</f>
        <v/>
      </c>
      <c r="D33101">
        <f>IF(B33101=C33101, "YES", "WRONG")</f>
        <v/>
      </c>
    </row>
    <row r="33102">
      <c r="A33102" t="n">
        <v>33101</v>
      </c>
      <c r="B33102" t="inlineStr">
        <is>
          <t>x̄x̄x̄MMMCI</t>
        </is>
      </c>
      <c r="C33102">
        <f>ROMAN(33101)</f>
        <v/>
      </c>
      <c r="D33102">
        <f>IF(B33102=C33102, "YES", "WRONG")</f>
        <v/>
      </c>
    </row>
    <row r="33103">
      <c r="A33103" t="n">
        <v>33102</v>
      </c>
      <c r="B33103" t="inlineStr">
        <is>
          <t>x̄x̄x̄MMMCII</t>
        </is>
      </c>
      <c r="C33103">
        <f>ROMAN(33102)</f>
        <v/>
      </c>
      <c r="D33103">
        <f>IF(B33103=C33103, "YES", "WRONG")</f>
        <v/>
      </c>
    </row>
    <row r="33104">
      <c r="A33104" t="n">
        <v>33103</v>
      </c>
      <c r="B33104" t="inlineStr">
        <is>
          <t>x̄x̄x̄MMMCIII</t>
        </is>
      </c>
      <c r="C33104">
        <f>ROMAN(33103)</f>
        <v/>
      </c>
      <c r="D33104">
        <f>IF(B33104=C33104, "YES", "WRONG")</f>
        <v/>
      </c>
    </row>
    <row r="33105">
      <c r="A33105" t="n">
        <v>33104</v>
      </c>
      <c r="B33105" t="inlineStr">
        <is>
          <t>x̄x̄x̄MMMCIV</t>
        </is>
      </c>
      <c r="C33105">
        <f>ROMAN(33104)</f>
        <v/>
      </c>
      <c r="D33105">
        <f>IF(B33105=C33105, "YES", "WRONG")</f>
        <v/>
      </c>
    </row>
    <row r="33106">
      <c r="A33106" t="n">
        <v>33105</v>
      </c>
      <c r="B33106" t="inlineStr">
        <is>
          <t>x̄x̄x̄MMMCV</t>
        </is>
      </c>
      <c r="C33106">
        <f>ROMAN(33105)</f>
        <v/>
      </c>
      <c r="D33106">
        <f>IF(B33106=C33106, "YES", "WRONG")</f>
        <v/>
      </c>
    </row>
    <row r="33107">
      <c r="A33107" t="n">
        <v>33106</v>
      </c>
      <c r="B33107" t="inlineStr">
        <is>
          <t>x̄x̄x̄MMMCVI</t>
        </is>
      </c>
      <c r="C33107">
        <f>ROMAN(33106)</f>
        <v/>
      </c>
      <c r="D33107">
        <f>IF(B33107=C33107, "YES", "WRONG")</f>
        <v/>
      </c>
    </row>
    <row r="33108">
      <c r="A33108" t="n">
        <v>33107</v>
      </c>
      <c r="B33108" t="inlineStr">
        <is>
          <t>x̄x̄x̄MMMCVII</t>
        </is>
      </c>
      <c r="C33108">
        <f>ROMAN(33107)</f>
        <v/>
      </c>
      <c r="D33108">
        <f>IF(B33108=C33108, "YES", "WRONG")</f>
        <v/>
      </c>
    </row>
    <row r="33109">
      <c r="A33109" t="n">
        <v>33108</v>
      </c>
      <c r="B33109" t="inlineStr">
        <is>
          <t>x̄x̄x̄MMMCVIII</t>
        </is>
      </c>
      <c r="C33109">
        <f>ROMAN(33108)</f>
        <v/>
      </c>
      <c r="D33109">
        <f>IF(B33109=C33109, "YES", "WRONG")</f>
        <v/>
      </c>
    </row>
    <row r="33110">
      <c r="A33110" t="n">
        <v>33109</v>
      </c>
      <c r="B33110" t="inlineStr">
        <is>
          <t>x̄x̄x̄MMMCIX</t>
        </is>
      </c>
      <c r="C33110">
        <f>ROMAN(33109)</f>
        <v/>
      </c>
      <c r="D33110">
        <f>IF(B33110=C33110, "YES", "WRONG")</f>
        <v/>
      </c>
    </row>
    <row r="33111">
      <c r="A33111" t="n">
        <v>33110</v>
      </c>
      <c r="B33111" t="inlineStr">
        <is>
          <t>x̄x̄x̄MMMCX</t>
        </is>
      </c>
      <c r="C33111">
        <f>ROMAN(33110)</f>
        <v/>
      </c>
      <c r="D33111">
        <f>IF(B33111=C33111, "YES", "WRONG")</f>
        <v/>
      </c>
    </row>
    <row r="33112">
      <c r="A33112" t="n">
        <v>33111</v>
      </c>
      <c r="B33112" t="inlineStr">
        <is>
          <t>x̄x̄x̄MMMCXI</t>
        </is>
      </c>
      <c r="C33112">
        <f>ROMAN(33111)</f>
        <v/>
      </c>
      <c r="D33112">
        <f>IF(B33112=C33112, "YES", "WRONG")</f>
        <v/>
      </c>
    </row>
    <row r="33113">
      <c r="A33113" t="n">
        <v>33112</v>
      </c>
      <c r="B33113" t="inlineStr">
        <is>
          <t>x̄x̄x̄MMMCXII</t>
        </is>
      </c>
      <c r="C33113">
        <f>ROMAN(33112)</f>
        <v/>
      </c>
      <c r="D33113">
        <f>IF(B33113=C33113, "YES", "WRONG")</f>
        <v/>
      </c>
    </row>
    <row r="33114">
      <c r="A33114" t="n">
        <v>33113</v>
      </c>
      <c r="B33114" t="inlineStr">
        <is>
          <t>x̄x̄x̄MMMCXIII</t>
        </is>
      </c>
      <c r="C33114">
        <f>ROMAN(33113)</f>
        <v/>
      </c>
      <c r="D33114">
        <f>IF(B33114=C33114, "YES", "WRONG")</f>
        <v/>
      </c>
    </row>
    <row r="33115">
      <c r="A33115" t="n">
        <v>33114</v>
      </c>
      <c r="B33115" t="inlineStr">
        <is>
          <t>x̄x̄x̄MMMCXIV</t>
        </is>
      </c>
      <c r="C33115">
        <f>ROMAN(33114)</f>
        <v/>
      </c>
      <c r="D33115">
        <f>IF(B33115=C33115, "YES", "WRONG")</f>
        <v/>
      </c>
    </row>
    <row r="33116">
      <c r="A33116" t="n">
        <v>33115</v>
      </c>
      <c r="B33116" t="inlineStr">
        <is>
          <t>x̄x̄x̄MMMCXV</t>
        </is>
      </c>
      <c r="C33116">
        <f>ROMAN(33115)</f>
        <v/>
      </c>
      <c r="D33116">
        <f>IF(B33116=C33116, "YES", "WRONG")</f>
        <v/>
      </c>
    </row>
    <row r="33117">
      <c r="A33117" t="n">
        <v>33116</v>
      </c>
      <c r="B33117" t="inlineStr">
        <is>
          <t>x̄x̄x̄MMMCXVI</t>
        </is>
      </c>
      <c r="C33117">
        <f>ROMAN(33116)</f>
        <v/>
      </c>
      <c r="D33117">
        <f>IF(B33117=C33117, "YES", "WRONG")</f>
        <v/>
      </c>
    </row>
    <row r="33118">
      <c r="A33118" t="n">
        <v>33117</v>
      </c>
      <c r="B33118" t="inlineStr">
        <is>
          <t>x̄x̄x̄MMMCXVII</t>
        </is>
      </c>
      <c r="C33118">
        <f>ROMAN(33117)</f>
        <v/>
      </c>
      <c r="D33118">
        <f>IF(B33118=C33118, "YES", "WRONG")</f>
        <v/>
      </c>
    </row>
    <row r="33119">
      <c r="A33119" t="n">
        <v>33118</v>
      </c>
      <c r="B33119" t="inlineStr">
        <is>
          <t>x̄x̄x̄MMMCXVIII</t>
        </is>
      </c>
      <c r="C33119">
        <f>ROMAN(33118)</f>
        <v/>
      </c>
      <c r="D33119">
        <f>IF(B33119=C33119, "YES", "WRONG")</f>
        <v/>
      </c>
    </row>
    <row r="33120">
      <c r="A33120" t="n">
        <v>33119</v>
      </c>
      <c r="B33120" t="inlineStr">
        <is>
          <t>x̄x̄x̄MMMCXIX</t>
        </is>
      </c>
      <c r="C33120">
        <f>ROMAN(33119)</f>
        <v/>
      </c>
      <c r="D33120">
        <f>IF(B33120=C33120, "YES", "WRONG")</f>
        <v/>
      </c>
    </row>
    <row r="33121">
      <c r="A33121" t="n">
        <v>33120</v>
      </c>
      <c r="B33121" t="inlineStr">
        <is>
          <t>x̄x̄x̄MMMCXX</t>
        </is>
      </c>
      <c r="C33121">
        <f>ROMAN(33120)</f>
        <v/>
      </c>
      <c r="D33121">
        <f>IF(B33121=C33121, "YES", "WRONG")</f>
        <v/>
      </c>
    </row>
    <row r="33122">
      <c r="A33122" t="n">
        <v>33121</v>
      </c>
      <c r="B33122" t="inlineStr">
        <is>
          <t>x̄x̄x̄MMMCXXI</t>
        </is>
      </c>
      <c r="C33122">
        <f>ROMAN(33121)</f>
        <v/>
      </c>
      <c r="D33122">
        <f>IF(B33122=C33122, "YES", "WRONG")</f>
        <v/>
      </c>
    </row>
    <row r="33123">
      <c r="A33123" t="n">
        <v>33122</v>
      </c>
      <c r="B33123" t="inlineStr">
        <is>
          <t>x̄x̄x̄MMMCXXII</t>
        </is>
      </c>
      <c r="C33123">
        <f>ROMAN(33122)</f>
        <v/>
      </c>
      <c r="D33123">
        <f>IF(B33123=C33123, "YES", "WRONG")</f>
        <v/>
      </c>
    </row>
    <row r="33124">
      <c r="A33124" t="n">
        <v>33123</v>
      </c>
      <c r="B33124" t="inlineStr">
        <is>
          <t>x̄x̄x̄MMMCXXIII</t>
        </is>
      </c>
      <c r="C33124">
        <f>ROMAN(33123)</f>
        <v/>
      </c>
      <c r="D33124">
        <f>IF(B33124=C33124, "YES", "WRONG")</f>
        <v/>
      </c>
    </row>
    <row r="33125">
      <c r="A33125" t="n">
        <v>33124</v>
      </c>
      <c r="B33125" t="inlineStr">
        <is>
          <t>x̄x̄x̄MMMCXXIV</t>
        </is>
      </c>
      <c r="C33125">
        <f>ROMAN(33124)</f>
        <v/>
      </c>
      <c r="D33125">
        <f>IF(B33125=C33125, "YES", "WRONG")</f>
        <v/>
      </c>
    </row>
    <row r="33126">
      <c r="A33126" t="n">
        <v>33125</v>
      </c>
      <c r="B33126" t="inlineStr">
        <is>
          <t>x̄x̄x̄MMMCXXV</t>
        </is>
      </c>
      <c r="C33126">
        <f>ROMAN(33125)</f>
        <v/>
      </c>
      <c r="D33126">
        <f>IF(B33126=C33126, "YES", "WRONG")</f>
        <v/>
      </c>
    </row>
    <row r="33127">
      <c r="A33127" t="n">
        <v>33126</v>
      </c>
      <c r="B33127" t="inlineStr">
        <is>
          <t>x̄x̄x̄MMMCXXVI</t>
        </is>
      </c>
      <c r="C33127">
        <f>ROMAN(33126)</f>
        <v/>
      </c>
      <c r="D33127">
        <f>IF(B33127=C33127, "YES", "WRONG")</f>
        <v/>
      </c>
    </row>
    <row r="33128">
      <c r="A33128" t="n">
        <v>33127</v>
      </c>
      <c r="B33128" t="inlineStr">
        <is>
          <t>x̄x̄x̄MMMCXXVII</t>
        </is>
      </c>
      <c r="C33128">
        <f>ROMAN(33127)</f>
        <v/>
      </c>
      <c r="D33128">
        <f>IF(B33128=C33128, "YES", "WRONG")</f>
        <v/>
      </c>
    </row>
    <row r="33129">
      <c r="A33129" t="n">
        <v>33128</v>
      </c>
      <c r="B33129" t="inlineStr">
        <is>
          <t>x̄x̄x̄MMMCXXVIII</t>
        </is>
      </c>
      <c r="C33129">
        <f>ROMAN(33128)</f>
        <v/>
      </c>
      <c r="D33129">
        <f>IF(B33129=C33129, "YES", "WRONG")</f>
        <v/>
      </c>
    </row>
    <row r="33130">
      <c r="A33130" t="n">
        <v>33129</v>
      </c>
      <c r="B33130" t="inlineStr">
        <is>
          <t>x̄x̄x̄MMMCXXIX</t>
        </is>
      </c>
      <c r="C33130">
        <f>ROMAN(33129)</f>
        <v/>
      </c>
      <c r="D33130">
        <f>IF(B33130=C33130, "YES", "WRONG")</f>
        <v/>
      </c>
    </row>
    <row r="33131">
      <c r="A33131" t="n">
        <v>33130</v>
      </c>
      <c r="B33131" t="inlineStr">
        <is>
          <t>x̄x̄x̄MMMCXXX</t>
        </is>
      </c>
      <c r="C33131">
        <f>ROMAN(33130)</f>
        <v/>
      </c>
      <c r="D33131">
        <f>IF(B33131=C33131, "YES", "WRONG")</f>
        <v/>
      </c>
    </row>
    <row r="33132">
      <c r="A33132" t="n">
        <v>33131</v>
      </c>
      <c r="B33132" t="inlineStr">
        <is>
          <t>x̄x̄x̄MMMCXXXI</t>
        </is>
      </c>
      <c r="C33132">
        <f>ROMAN(33131)</f>
        <v/>
      </c>
      <c r="D33132">
        <f>IF(B33132=C33132, "YES", "WRONG")</f>
        <v/>
      </c>
    </row>
    <row r="33133">
      <c r="A33133" t="n">
        <v>33132</v>
      </c>
      <c r="B33133" t="inlineStr">
        <is>
          <t>x̄x̄x̄MMMCXXXII</t>
        </is>
      </c>
      <c r="C33133">
        <f>ROMAN(33132)</f>
        <v/>
      </c>
      <c r="D33133">
        <f>IF(B33133=C33133, "YES", "WRONG")</f>
        <v/>
      </c>
    </row>
    <row r="33134">
      <c r="A33134" t="n">
        <v>33133</v>
      </c>
      <c r="B33134" t="inlineStr">
        <is>
          <t>x̄x̄x̄MMMCXXXIII</t>
        </is>
      </c>
      <c r="C33134">
        <f>ROMAN(33133)</f>
        <v/>
      </c>
      <c r="D33134">
        <f>IF(B33134=C33134, "YES", "WRONG")</f>
        <v/>
      </c>
    </row>
    <row r="33135">
      <c r="A33135" t="n">
        <v>33134</v>
      </c>
      <c r="B33135" t="inlineStr">
        <is>
          <t>x̄x̄x̄MMMCXXXIV</t>
        </is>
      </c>
      <c r="C33135">
        <f>ROMAN(33134)</f>
        <v/>
      </c>
      <c r="D33135">
        <f>IF(B33135=C33135, "YES", "WRONG")</f>
        <v/>
      </c>
    </row>
    <row r="33136">
      <c r="A33136" t="n">
        <v>33135</v>
      </c>
      <c r="B33136" t="inlineStr">
        <is>
          <t>x̄x̄x̄MMMCXXXV</t>
        </is>
      </c>
      <c r="C33136">
        <f>ROMAN(33135)</f>
        <v/>
      </c>
      <c r="D33136">
        <f>IF(B33136=C33136, "YES", "WRONG")</f>
        <v/>
      </c>
    </row>
    <row r="33137">
      <c r="A33137" t="n">
        <v>33136</v>
      </c>
      <c r="B33137" t="inlineStr">
        <is>
          <t>x̄x̄x̄MMMCXXXVI</t>
        </is>
      </c>
      <c r="C33137">
        <f>ROMAN(33136)</f>
        <v/>
      </c>
      <c r="D33137">
        <f>IF(B33137=C33137, "YES", "WRONG")</f>
        <v/>
      </c>
    </row>
    <row r="33138">
      <c r="A33138" t="n">
        <v>33137</v>
      </c>
      <c r="B33138" t="inlineStr">
        <is>
          <t>x̄x̄x̄MMMCXXXVII</t>
        </is>
      </c>
      <c r="C33138">
        <f>ROMAN(33137)</f>
        <v/>
      </c>
      <c r="D33138">
        <f>IF(B33138=C33138, "YES", "WRONG")</f>
        <v/>
      </c>
    </row>
    <row r="33139">
      <c r="A33139" t="n">
        <v>33138</v>
      </c>
      <c r="B33139" t="inlineStr">
        <is>
          <t>x̄x̄x̄MMMCXXXVIII</t>
        </is>
      </c>
      <c r="C33139">
        <f>ROMAN(33138)</f>
        <v/>
      </c>
      <c r="D33139">
        <f>IF(B33139=C33139, "YES", "WRONG")</f>
        <v/>
      </c>
    </row>
    <row r="33140">
      <c r="A33140" t="n">
        <v>33139</v>
      </c>
      <c r="B33140" t="inlineStr">
        <is>
          <t>x̄x̄x̄MMMCXXXIX</t>
        </is>
      </c>
      <c r="C33140">
        <f>ROMAN(33139)</f>
        <v/>
      </c>
      <c r="D33140">
        <f>IF(B33140=C33140, "YES", "WRONG")</f>
        <v/>
      </c>
    </row>
    <row r="33141">
      <c r="A33141" t="n">
        <v>33140</v>
      </c>
      <c r="B33141" t="inlineStr">
        <is>
          <t>x̄x̄x̄MMMCXL</t>
        </is>
      </c>
      <c r="C33141">
        <f>ROMAN(33140)</f>
        <v/>
      </c>
      <c r="D33141">
        <f>IF(B33141=C33141, "YES", "WRONG")</f>
        <v/>
      </c>
    </row>
    <row r="33142">
      <c r="A33142" t="n">
        <v>33141</v>
      </c>
      <c r="B33142" t="inlineStr">
        <is>
          <t>x̄x̄x̄MMMCXLI</t>
        </is>
      </c>
      <c r="C33142">
        <f>ROMAN(33141)</f>
        <v/>
      </c>
      <c r="D33142">
        <f>IF(B33142=C33142, "YES", "WRONG")</f>
        <v/>
      </c>
    </row>
    <row r="33143">
      <c r="A33143" t="n">
        <v>33142</v>
      </c>
      <c r="B33143" t="inlineStr">
        <is>
          <t>x̄x̄x̄MMMCXLII</t>
        </is>
      </c>
      <c r="C33143">
        <f>ROMAN(33142)</f>
        <v/>
      </c>
      <c r="D33143">
        <f>IF(B33143=C33143, "YES", "WRONG")</f>
        <v/>
      </c>
    </row>
    <row r="33144">
      <c r="A33144" t="n">
        <v>33143</v>
      </c>
      <c r="B33144" t="inlineStr">
        <is>
          <t>x̄x̄x̄MMMCXLIII</t>
        </is>
      </c>
      <c r="C33144">
        <f>ROMAN(33143)</f>
        <v/>
      </c>
      <c r="D33144">
        <f>IF(B33144=C33144, "YES", "WRONG")</f>
        <v/>
      </c>
    </row>
    <row r="33145">
      <c r="A33145" t="n">
        <v>33144</v>
      </c>
      <c r="B33145" t="inlineStr">
        <is>
          <t>x̄x̄x̄MMMCXLIV</t>
        </is>
      </c>
      <c r="C33145">
        <f>ROMAN(33144)</f>
        <v/>
      </c>
      <c r="D33145">
        <f>IF(B33145=C33145, "YES", "WRONG")</f>
        <v/>
      </c>
    </row>
    <row r="33146">
      <c r="A33146" t="n">
        <v>33145</v>
      </c>
      <c r="B33146" t="inlineStr">
        <is>
          <t>x̄x̄x̄MMMCXLV</t>
        </is>
      </c>
      <c r="C33146">
        <f>ROMAN(33145)</f>
        <v/>
      </c>
      <c r="D33146">
        <f>IF(B33146=C33146, "YES", "WRONG")</f>
        <v/>
      </c>
    </row>
    <row r="33147">
      <c r="A33147" t="n">
        <v>33146</v>
      </c>
      <c r="B33147" t="inlineStr">
        <is>
          <t>x̄x̄x̄MMMCXLVI</t>
        </is>
      </c>
      <c r="C33147">
        <f>ROMAN(33146)</f>
        <v/>
      </c>
      <c r="D33147">
        <f>IF(B33147=C33147, "YES", "WRONG")</f>
        <v/>
      </c>
    </row>
    <row r="33148">
      <c r="A33148" t="n">
        <v>33147</v>
      </c>
      <c r="B33148" t="inlineStr">
        <is>
          <t>x̄x̄x̄MMMCXLVII</t>
        </is>
      </c>
      <c r="C33148">
        <f>ROMAN(33147)</f>
        <v/>
      </c>
      <c r="D33148">
        <f>IF(B33148=C33148, "YES", "WRONG")</f>
        <v/>
      </c>
    </row>
    <row r="33149">
      <c r="A33149" t="n">
        <v>33148</v>
      </c>
      <c r="B33149" t="inlineStr">
        <is>
          <t>x̄x̄x̄MMMCXLVIII</t>
        </is>
      </c>
      <c r="C33149">
        <f>ROMAN(33148)</f>
        <v/>
      </c>
      <c r="D33149">
        <f>IF(B33149=C33149, "YES", "WRONG")</f>
        <v/>
      </c>
    </row>
    <row r="33150">
      <c r="A33150" t="n">
        <v>33149</v>
      </c>
      <c r="B33150" t="inlineStr">
        <is>
          <t>x̄x̄x̄MMMCXLIX</t>
        </is>
      </c>
      <c r="C33150">
        <f>ROMAN(33149)</f>
        <v/>
      </c>
      <c r="D33150">
        <f>IF(B33150=C33150, "YES", "WRONG")</f>
        <v/>
      </c>
    </row>
    <row r="33151">
      <c r="A33151" t="n">
        <v>33150</v>
      </c>
      <c r="B33151" t="inlineStr">
        <is>
          <t>x̄x̄x̄MMMCL</t>
        </is>
      </c>
      <c r="C33151">
        <f>ROMAN(33150)</f>
        <v/>
      </c>
      <c r="D33151">
        <f>IF(B33151=C33151, "YES", "WRONG")</f>
        <v/>
      </c>
    </row>
    <row r="33152">
      <c r="A33152" t="n">
        <v>33151</v>
      </c>
      <c r="B33152" t="inlineStr">
        <is>
          <t>x̄x̄x̄MMMCLI</t>
        </is>
      </c>
      <c r="C33152">
        <f>ROMAN(33151)</f>
        <v/>
      </c>
      <c r="D33152">
        <f>IF(B33152=C33152, "YES", "WRONG")</f>
        <v/>
      </c>
    </row>
    <row r="33153">
      <c r="A33153" t="n">
        <v>33152</v>
      </c>
      <c r="B33153" t="inlineStr">
        <is>
          <t>x̄x̄x̄MMMCLII</t>
        </is>
      </c>
      <c r="C33153">
        <f>ROMAN(33152)</f>
        <v/>
      </c>
      <c r="D33153">
        <f>IF(B33153=C33153, "YES", "WRONG")</f>
        <v/>
      </c>
    </row>
    <row r="33154">
      <c r="A33154" t="n">
        <v>33153</v>
      </c>
      <c r="B33154" t="inlineStr">
        <is>
          <t>x̄x̄x̄MMMCLIII</t>
        </is>
      </c>
      <c r="C33154">
        <f>ROMAN(33153)</f>
        <v/>
      </c>
      <c r="D33154">
        <f>IF(B33154=C33154, "YES", "WRONG")</f>
        <v/>
      </c>
    </row>
    <row r="33155">
      <c r="A33155" t="n">
        <v>33154</v>
      </c>
      <c r="B33155" t="inlineStr">
        <is>
          <t>x̄x̄x̄MMMCLIV</t>
        </is>
      </c>
      <c r="C33155">
        <f>ROMAN(33154)</f>
        <v/>
      </c>
      <c r="D33155">
        <f>IF(B33155=C33155, "YES", "WRONG")</f>
        <v/>
      </c>
    </row>
    <row r="33156">
      <c r="A33156" t="n">
        <v>33155</v>
      </c>
      <c r="B33156" t="inlineStr">
        <is>
          <t>x̄x̄x̄MMMCLV</t>
        </is>
      </c>
      <c r="C33156">
        <f>ROMAN(33155)</f>
        <v/>
      </c>
      <c r="D33156">
        <f>IF(B33156=C33156, "YES", "WRONG")</f>
        <v/>
      </c>
    </row>
    <row r="33157">
      <c r="A33157" t="n">
        <v>33156</v>
      </c>
      <c r="B33157" t="inlineStr">
        <is>
          <t>x̄x̄x̄MMMCLVI</t>
        </is>
      </c>
      <c r="C33157">
        <f>ROMAN(33156)</f>
        <v/>
      </c>
      <c r="D33157">
        <f>IF(B33157=C33157, "YES", "WRONG")</f>
        <v/>
      </c>
    </row>
    <row r="33158">
      <c r="A33158" t="n">
        <v>33157</v>
      </c>
      <c r="B33158" t="inlineStr">
        <is>
          <t>x̄x̄x̄MMMCLVII</t>
        </is>
      </c>
      <c r="C33158">
        <f>ROMAN(33157)</f>
        <v/>
      </c>
      <c r="D33158">
        <f>IF(B33158=C33158, "YES", "WRONG")</f>
        <v/>
      </c>
    </row>
    <row r="33159">
      <c r="A33159" t="n">
        <v>33158</v>
      </c>
      <c r="B33159" t="inlineStr">
        <is>
          <t>x̄x̄x̄MMMCLVIII</t>
        </is>
      </c>
      <c r="C33159">
        <f>ROMAN(33158)</f>
        <v/>
      </c>
      <c r="D33159">
        <f>IF(B33159=C33159, "YES", "WRONG")</f>
        <v/>
      </c>
    </row>
    <row r="33160">
      <c r="A33160" t="n">
        <v>33159</v>
      </c>
      <c r="B33160" t="inlineStr">
        <is>
          <t>x̄x̄x̄MMMCLIX</t>
        </is>
      </c>
      <c r="C33160">
        <f>ROMAN(33159)</f>
        <v/>
      </c>
      <c r="D33160">
        <f>IF(B33160=C33160, "YES", "WRONG")</f>
        <v/>
      </c>
    </row>
    <row r="33161">
      <c r="A33161" t="n">
        <v>33160</v>
      </c>
      <c r="B33161" t="inlineStr">
        <is>
          <t>x̄x̄x̄MMMCLX</t>
        </is>
      </c>
      <c r="C33161">
        <f>ROMAN(33160)</f>
        <v/>
      </c>
      <c r="D33161">
        <f>IF(B33161=C33161, "YES", "WRONG")</f>
        <v/>
      </c>
    </row>
    <row r="33162">
      <c r="A33162" t="n">
        <v>33161</v>
      </c>
      <c r="B33162" t="inlineStr">
        <is>
          <t>x̄x̄x̄MMMCLXI</t>
        </is>
      </c>
      <c r="C33162">
        <f>ROMAN(33161)</f>
        <v/>
      </c>
      <c r="D33162">
        <f>IF(B33162=C33162, "YES", "WRONG")</f>
        <v/>
      </c>
    </row>
    <row r="33163">
      <c r="A33163" t="n">
        <v>33162</v>
      </c>
      <c r="B33163" t="inlineStr">
        <is>
          <t>x̄x̄x̄MMMCLXII</t>
        </is>
      </c>
      <c r="C33163">
        <f>ROMAN(33162)</f>
        <v/>
      </c>
      <c r="D33163">
        <f>IF(B33163=C33163, "YES", "WRONG")</f>
        <v/>
      </c>
    </row>
    <row r="33164">
      <c r="A33164" t="n">
        <v>33163</v>
      </c>
      <c r="B33164" t="inlineStr">
        <is>
          <t>x̄x̄x̄MMMCLXIII</t>
        </is>
      </c>
      <c r="C33164">
        <f>ROMAN(33163)</f>
        <v/>
      </c>
      <c r="D33164">
        <f>IF(B33164=C33164, "YES", "WRONG")</f>
        <v/>
      </c>
    </row>
    <row r="33165">
      <c r="A33165" t="n">
        <v>33164</v>
      </c>
      <c r="B33165" t="inlineStr">
        <is>
          <t>x̄x̄x̄MMMCLXIV</t>
        </is>
      </c>
      <c r="C33165">
        <f>ROMAN(33164)</f>
        <v/>
      </c>
      <c r="D33165">
        <f>IF(B33165=C33165, "YES", "WRONG")</f>
        <v/>
      </c>
    </row>
    <row r="33166">
      <c r="A33166" t="n">
        <v>33165</v>
      </c>
      <c r="B33166" t="inlineStr">
        <is>
          <t>x̄x̄x̄MMMCLXV</t>
        </is>
      </c>
      <c r="C33166">
        <f>ROMAN(33165)</f>
        <v/>
      </c>
      <c r="D33166">
        <f>IF(B33166=C33166, "YES", "WRONG")</f>
        <v/>
      </c>
    </row>
    <row r="33167">
      <c r="A33167" t="n">
        <v>33166</v>
      </c>
      <c r="B33167" t="inlineStr">
        <is>
          <t>x̄x̄x̄MMMCLXVI</t>
        </is>
      </c>
      <c r="C33167">
        <f>ROMAN(33166)</f>
        <v/>
      </c>
      <c r="D33167">
        <f>IF(B33167=C33167, "YES", "WRONG")</f>
        <v/>
      </c>
    </row>
    <row r="33168">
      <c r="A33168" t="n">
        <v>33167</v>
      </c>
      <c r="B33168" t="inlineStr">
        <is>
          <t>x̄x̄x̄MMMCLXVII</t>
        </is>
      </c>
      <c r="C33168">
        <f>ROMAN(33167)</f>
        <v/>
      </c>
      <c r="D33168">
        <f>IF(B33168=C33168, "YES", "WRONG")</f>
        <v/>
      </c>
    </row>
    <row r="33169">
      <c r="A33169" t="n">
        <v>33168</v>
      </c>
      <c r="B33169" t="inlineStr">
        <is>
          <t>x̄x̄x̄MMMCLXVIII</t>
        </is>
      </c>
      <c r="C33169">
        <f>ROMAN(33168)</f>
        <v/>
      </c>
      <c r="D33169">
        <f>IF(B33169=C33169, "YES", "WRONG")</f>
        <v/>
      </c>
    </row>
    <row r="33170">
      <c r="A33170" t="n">
        <v>33169</v>
      </c>
      <c r="B33170" t="inlineStr">
        <is>
          <t>x̄x̄x̄MMMCLXIX</t>
        </is>
      </c>
      <c r="C33170">
        <f>ROMAN(33169)</f>
        <v/>
      </c>
      <c r="D33170">
        <f>IF(B33170=C33170, "YES", "WRONG")</f>
        <v/>
      </c>
    </row>
    <row r="33171">
      <c r="A33171" t="n">
        <v>33170</v>
      </c>
      <c r="B33171" t="inlineStr">
        <is>
          <t>x̄x̄x̄MMMCLXX</t>
        </is>
      </c>
      <c r="C33171">
        <f>ROMAN(33170)</f>
        <v/>
      </c>
      <c r="D33171">
        <f>IF(B33171=C33171, "YES", "WRONG")</f>
        <v/>
      </c>
    </row>
    <row r="33172">
      <c r="A33172" t="n">
        <v>33171</v>
      </c>
      <c r="B33172" t="inlineStr">
        <is>
          <t>x̄x̄x̄MMMCLXXI</t>
        </is>
      </c>
      <c r="C33172">
        <f>ROMAN(33171)</f>
        <v/>
      </c>
      <c r="D33172">
        <f>IF(B33172=C33172, "YES", "WRONG")</f>
        <v/>
      </c>
    </row>
    <row r="33173">
      <c r="A33173" t="n">
        <v>33172</v>
      </c>
      <c r="B33173" t="inlineStr">
        <is>
          <t>x̄x̄x̄MMMCLXXII</t>
        </is>
      </c>
      <c r="C33173">
        <f>ROMAN(33172)</f>
        <v/>
      </c>
      <c r="D33173">
        <f>IF(B33173=C33173, "YES", "WRONG")</f>
        <v/>
      </c>
    </row>
    <row r="33174">
      <c r="A33174" t="n">
        <v>33173</v>
      </c>
      <c r="B33174" t="inlineStr">
        <is>
          <t>x̄x̄x̄MMMCLXXIII</t>
        </is>
      </c>
      <c r="C33174">
        <f>ROMAN(33173)</f>
        <v/>
      </c>
      <c r="D33174">
        <f>IF(B33174=C33174, "YES", "WRONG")</f>
        <v/>
      </c>
    </row>
    <row r="33175">
      <c r="A33175" t="n">
        <v>33174</v>
      </c>
      <c r="B33175" t="inlineStr">
        <is>
          <t>x̄x̄x̄MMMCLXXIV</t>
        </is>
      </c>
      <c r="C33175">
        <f>ROMAN(33174)</f>
        <v/>
      </c>
      <c r="D33175">
        <f>IF(B33175=C33175, "YES", "WRONG")</f>
        <v/>
      </c>
    </row>
    <row r="33176">
      <c r="A33176" t="n">
        <v>33175</v>
      </c>
      <c r="B33176" t="inlineStr">
        <is>
          <t>x̄x̄x̄MMMCLXXV</t>
        </is>
      </c>
      <c r="C33176">
        <f>ROMAN(33175)</f>
        <v/>
      </c>
      <c r="D33176">
        <f>IF(B33176=C33176, "YES", "WRONG")</f>
        <v/>
      </c>
    </row>
    <row r="33177">
      <c r="A33177" t="n">
        <v>33176</v>
      </c>
      <c r="B33177" t="inlineStr">
        <is>
          <t>x̄x̄x̄MMMCLXXVI</t>
        </is>
      </c>
      <c r="C33177">
        <f>ROMAN(33176)</f>
        <v/>
      </c>
      <c r="D33177">
        <f>IF(B33177=C33177, "YES", "WRONG")</f>
        <v/>
      </c>
    </row>
    <row r="33178">
      <c r="A33178" t="n">
        <v>33177</v>
      </c>
      <c r="B33178" t="inlineStr">
        <is>
          <t>x̄x̄x̄MMMCLXXVII</t>
        </is>
      </c>
      <c r="C33178">
        <f>ROMAN(33177)</f>
        <v/>
      </c>
      <c r="D33178">
        <f>IF(B33178=C33178, "YES", "WRONG")</f>
        <v/>
      </c>
    </row>
    <row r="33179">
      <c r="A33179" t="n">
        <v>33178</v>
      </c>
      <c r="B33179" t="inlineStr">
        <is>
          <t>x̄x̄x̄MMMCLXXVIII</t>
        </is>
      </c>
      <c r="C33179">
        <f>ROMAN(33178)</f>
        <v/>
      </c>
      <c r="D33179">
        <f>IF(B33179=C33179, "YES", "WRONG")</f>
        <v/>
      </c>
    </row>
    <row r="33180">
      <c r="A33180" t="n">
        <v>33179</v>
      </c>
      <c r="B33180" t="inlineStr">
        <is>
          <t>x̄x̄x̄MMMCLXXIX</t>
        </is>
      </c>
      <c r="C33180">
        <f>ROMAN(33179)</f>
        <v/>
      </c>
      <c r="D33180">
        <f>IF(B33180=C33180, "YES", "WRONG")</f>
        <v/>
      </c>
    </row>
    <row r="33181">
      <c r="A33181" t="n">
        <v>33180</v>
      </c>
      <c r="B33181" t="inlineStr">
        <is>
          <t>x̄x̄x̄MMMCLXXX</t>
        </is>
      </c>
      <c r="C33181">
        <f>ROMAN(33180)</f>
        <v/>
      </c>
      <c r="D33181">
        <f>IF(B33181=C33181, "YES", "WRONG")</f>
        <v/>
      </c>
    </row>
    <row r="33182">
      <c r="A33182" t="n">
        <v>33181</v>
      </c>
      <c r="B33182" t="inlineStr">
        <is>
          <t>x̄x̄x̄MMMCLXXXI</t>
        </is>
      </c>
      <c r="C33182">
        <f>ROMAN(33181)</f>
        <v/>
      </c>
      <c r="D33182">
        <f>IF(B33182=C33182, "YES", "WRONG")</f>
        <v/>
      </c>
    </row>
    <row r="33183">
      <c r="A33183" t="n">
        <v>33182</v>
      </c>
      <c r="B33183" t="inlineStr">
        <is>
          <t>x̄x̄x̄MMMCLXXXII</t>
        </is>
      </c>
      <c r="C33183">
        <f>ROMAN(33182)</f>
        <v/>
      </c>
      <c r="D33183">
        <f>IF(B33183=C33183, "YES", "WRONG")</f>
        <v/>
      </c>
    </row>
    <row r="33184">
      <c r="A33184" t="n">
        <v>33183</v>
      </c>
      <c r="B33184" t="inlineStr">
        <is>
          <t>x̄x̄x̄MMMCLXXXIII</t>
        </is>
      </c>
      <c r="C33184">
        <f>ROMAN(33183)</f>
        <v/>
      </c>
      <c r="D33184">
        <f>IF(B33184=C33184, "YES", "WRONG")</f>
        <v/>
      </c>
    </row>
    <row r="33185">
      <c r="A33185" t="n">
        <v>33184</v>
      </c>
      <c r="B33185" t="inlineStr">
        <is>
          <t>x̄x̄x̄MMMCLXXXIV</t>
        </is>
      </c>
      <c r="C33185">
        <f>ROMAN(33184)</f>
        <v/>
      </c>
      <c r="D33185">
        <f>IF(B33185=C33185, "YES", "WRONG")</f>
        <v/>
      </c>
    </row>
    <row r="33186">
      <c r="A33186" t="n">
        <v>33185</v>
      </c>
      <c r="B33186" t="inlineStr">
        <is>
          <t>x̄x̄x̄MMMCLXXXV</t>
        </is>
      </c>
      <c r="C33186">
        <f>ROMAN(33185)</f>
        <v/>
      </c>
      <c r="D33186">
        <f>IF(B33186=C33186, "YES", "WRONG")</f>
        <v/>
      </c>
    </row>
    <row r="33187">
      <c r="A33187" t="n">
        <v>33186</v>
      </c>
      <c r="B33187" t="inlineStr">
        <is>
          <t>x̄x̄x̄MMMCLXXXVI</t>
        </is>
      </c>
      <c r="C33187">
        <f>ROMAN(33186)</f>
        <v/>
      </c>
      <c r="D33187">
        <f>IF(B33187=C33187, "YES", "WRONG")</f>
        <v/>
      </c>
    </row>
    <row r="33188">
      <c r="A33188" t="n">
        <v>33187</v>
      </c>
      <c r="B33188" t="inlineStr">
        <is>
          <t>x̄x̄x̄MMMCLXXXVII</t>
        </is>
      </c>
      <c r="C33188">
        <f>ROMAN(33187)</f>
        <v/>
      </c>
      <c r="D33188">
        <f>IF(B33188=C33188, "YES", "WRONG")</f>
        <v/>
      </c>
    </row>
    <row r="33189">
      <c r="A33189" t="n">
        <v>33188</v>
      </c>
      <c r="B33189" t="inlineStr">
        <is>
          <t>x̄x̄x̄MMMCLXXXVIII</t>
        </is>
      </c>
      <c r="C33189">
        <f>ROMAN(33188)</f>
        <v/>
      </c>
      <c r="D33189">
        <f>IF(B33189=C33189, "YES", "WRONG")</f>
        <v/>
      </c>
    </row>
    <row r="33190">
      <c r="A33190" t="n">
        <v>33189</v>
      </c>
      <c r="B33190" t="inlineStr">
        <is>
          <t>x̄x̄x̄MMMCLXXXIX</t>
        </is>
      </c>
      <c r="C33190">
        <f>ROMAN(33189)</f>
        <v/>
      </c>
      <c r="D33190">
        <f>IF(B33190=C33190, "YES", "WRONG")</f>
        <v/>
      </c>
    </row>
    <row r="33191">
      <c r="A33191" t="n">
        <v>33190</v>
      </c>
      <c r="B33191" t="inlineStr">
        <is>
          <t>x̄x̄x̄MMMCXC</t>
        </is>
      </c>
      <c r="C33191">
        <f>ROMAN(33190)</f>
        <v/>
      </c>
      <c r="D33191">
        <f>IF(B33191=C33191, "YES", "WRONG")</f>
        <v/>
      </c>
    </row>
    <row r="33192">
      <c r="A33192" t="n">
        <v>33191</v>
      </c>
      <c r="B33192" t="inlineStr">
        <is>
          <t>x̄x̄x̄MMMCXCI</t>
        </is>
      </c>
      <c r="C33192">
        <f>ROMAN(33191)</f>
        <v/>
      </c>
      <c r="D33192">
        <f>IF(B33192=C33192, "YES", "WRONG")</f>
        <v/>
      </c>
    </row>
    <row r="33193">
      <c r="A33193" t="n">
        <v>33192</v>
      </c>
      <c r="B33193" t="inlineStr">
        <is>
          <t>x̄x̄x̄MMMCXCII</t>
        </is>
      </c>
      <c r="C33193">
        <f>ROMAN(33192)</f>
        <v/>
      </c>
      <c r="D33193">
        <f>IF(B33193=C33193, "YES", "WRONG")</f>
        <v/>
      </c>
    </row>
    <row r="33194">
      <c r="A33194" t="n">
        <v>33193</v>
      </c>
      <c r="B33194" t="inlineStr">
        <is>
          <t>x̄x̄x̄MMMCXCIII</t>
        </is>
      </c>
      <c r="C33194">
        <f>ROMAN(33193)</f>
        <v/>
      </c>
      <c r="D33194">
        <f>IF(B33194=C33194, "YES", "WRONG")</f>
        <v/>
      </c>
    </row>
    <row r="33195">
      <c r="A33195" t="n">
        <v>33194</v>
      </c>
      <c r="B33195" t="inlineStr">
        <is>
          <t>x̄x̄x̄MMMCXCIV</t>
        </is>
      </c>
      <c r="C33195">
        <f>ROMAN(33194)</f>
        <v/>
      </c>
      <c r="D33195">
        <f>IF(B33195=C33195, "YES", "WRONG")</f>
        <v/>
      </c>
    </row>
    <row r="33196">
      <c r="A33196" t="n">
        <v>33195</v>
      </c>
      <c r="B33196" t="inlineStr">
        <is>
          <t>x̄x̄x̄MMMCXCV</t>
        </is>
      </c>
      <c r="C33196">
        <f>ROMAN(33195)</f>
        <v/>
      </c>
      <c r="D33196">
        <f>IF(B33196=C33196, "YES", "WRONG")</f>
        <v/>
      </c>
    </row>
    <row r="33197">
      <c r="A33197" t="n">
        <v>33196</v>
      </c>
      <c r="B33197" t="inlineStr">
        <is>
          <t>x̄x̄x̄MMMCXCVI</t>
        </is>
      </c>
      <c r="C33197">
        <f>ROMAN(33196)</f>
        <v/>
      </c>
      <c r="D33197">
        <f>IF(B33197=C33197, "YES", "WRONG")</f>
        <v/>
      </c>
    </row>
    <row r="33198">
      <c r="A33198" t="n">
        <v>33197</v>
      </c>
      <c r="B33198" t="inlineStr">
        <is>
          <t>x̄x̄x̄MMMCXCVII</t>
        </is>
      </c>
      <c r="C33198">
        <f>ROMAN(33197)</f>
        <v/>
      </c>
      <c r="D33198">
        <f>IF(B33198=C33198, "YES", "WRONG")</f>
        <v/>
      </c>
    </row>
    <row r="33199">
      <c r="A33199" t="n">
        <v>33198</v>
      </c>
      <c r="B33199" t="inlineStr">
        <is>
          <t>x̄x̄x̄MMMCXCVIII</t>
        </is>
      </c>
      <c r="C33199">
        <f>ROMAN(33198)</f>
        <v/>
      </c>
      <c r="D33199">
        <f>IF(B33199=C33199, "YES", "WRONG")</f>
        <v/>
      </c>
    </row>
    <row r="33200">
      <c r="A33200" t="n">
        <v>33199</v>
      </c>
      <c r="B33200" t="inlineStr">
        <is>
          <t>x̄x̄x̄MMMCXCIX</t>
        </is>
      </c>
      <c r="C33200">
        <f>ROMAN(33199)</f>
        <v/>
      </c>
      <c r="D33200">
        <f>IF(B33200=C33200, "YES", "WRONG")</f>
        <v/>
      </c>
    </row>
    <row r="33201">
      <c r="A33201" t="n">
        <v>33200</v>
      </c>
      <c r="B33201" t="inlineStr">
        <is>
          <t>x̄x̄x̄MMMCC</t>
        </is>
      </c>
      <c r="C33201">
        <f>ROMAN(33200)</f>
        <v/>
      </c>
      <c r="D33201">
        <f>IF(B33201=C33201, "YES", "WRONG")</f>
        <v/>
      </c>
    </row>
    <row r="33202">
      <c r="A33202" t="n">
        <v>33201</v>
      </c>
      <c r="B33202" t="inlineStr">
        <is>
          <t>x̄x̄x̄MMMCCI</t>
        </is>
      </c>
      <c r="C33202">
        <f>ROMAN(33201)</f>
        <v/>
      </c>
      <c r="D33202">
        <f>IF(B33202=C33202, "YES", "WRONG")</f>
        <v/>
      </c>
    </row>
    <row r="33203">
      <c r="A33203" t="n">
        <v>33202</v>
      </c>
      <c r="B33203" t="inlineStr">
        <is>
          <t>x̄x̄x̄MMMCCII</t>
        </is>
      </c>
      <c r="C33203">
        <f>ROMAN(33202)</f>
        <v/>
      </c>
      <c r="D33203">
        <f>IF(B33203=C33203, "YES", "WRONG")</f>
        <v/>
      </c>
    </row>
    <row r="33204">
      <c r="A33204" t="n">
        <v>33203</v>
      </c>
      <c r="B33204" t="inlineStr">
        <is>
          <t>x̄x̄x̄MMMCCIII</t>
        </is>
      </c>
      <c r="C33204">
        <f>ROMAN(33203)</f>
        <v/>
      </c>
      <c r="D33204">
        <f>IF(B33204=C33204, "YES", "WRONG")</f>
        <v/>
      </c>
    </row>
    <row r="33205">
      <c r="A33205" t="n">
        <v>33204</v>
      </c>
      <c r="B33205" t="inlineStr">
        <is>
          <t>x̄x̄x̄MMMCCIV</t>
        </is>
      </c>
      <c r="C33205">
        <f>ROMAN(33204)</f>
        <v/>
      </c>
      <c r="D33205">
        <f>IF(B33205=C33205, "YES", "WRONG")</f>
        <v/>
      </c>
    </row>
    <row r="33206">
      <c r="A33206" t="n">
        <v>33205</v>
      </c>
      <c r="B33206" t="inlineStr">
        <is>
          <t>x̄x̄x̄MMMCCV</t>
        </is>
      </c>
      <c r="C33206">
        <f>ROMAN(33205)</f>
        <v/>
      </c>
      <c r="D33206">
        <f>IF(B33206=C33206, "YES", "WRONG")</f>
        <v/>
      </c>
    </row>
    <row r="33207">
      <c r="A33207" t="n">
        <v>33206</v>
      </c>
      <c r="B33207" t="inlineStr">
        <is>
          <t>x̄x̄x̄MMMCCVI</t>
        </is>
      </c>
      <c r="C33207">
        <f>ROMAN(33206)</f>
        <v/>
      </c>
      <c r="D33207">
        <f>IF(B33207=C33207, "YES", "WRONG")</f>
        <v/>
      </c>
    </row>
    <row r="33208">
      <c r="A33208" t="n">
        <v>33207</v>
      </c>
      <c r="B33208" t="inlineStr">
        <is>
          <t>x̄x̄x̄MMMCCVII</t>
        </is>
      </c>
      <c r="C33208">
        <f>ROMAN(33207)</f>
        <v/>
      </c>
      <c r="D33208">
        <f>IF(B33208=C33208, "YES", "WRONG")</f>
        <v/>
      </c>
    </row>
    <row r="33209">
      <c r="A33209" t="n">
        <v>33208</v>
      </c>
      <c r="B33209" t="inlineStr">
        <is>
          <t>x̄x̄x̄MMMCCVIII</t>
        </is>
      </c>
      <c r="C33209">
        <f>ROMAN(33208)</f>
        <v/>
      </c>
      <c r="D33209">
        <f>IF(B33209=C33209, "YES", "WRONG")</f>
        <v/>
      </c>
    </row>
    <row r="33210">
      <c r="A33210" t="n">
        <v>33209</v>
      </c>
      <c r="B33210" t="inlineStr">
        <is>
          <t>x̄x̄x̄MMMCCIX</t>
        </is>
      </c>
      <c r="C33210">
        <f>ROMAN(33209)</f>
        <v/>
      </c>
      <c r="D33210">
        <f>IF(B33210=C33210, "YES", "WRONG")</f>
        <v/>
      </c>
    </row>
    <row r="33211">
      <c r="A33211" t="n">
        <v>33210</v>
      </c>
      <c r="B33211" t="inlineStr">
        <is>
          <t>x̄x̄x̄MMMCCX</t>
        </is>
      </c>
      <c r="C33211">
        <f>ROMAN(33210)</f>
        <v/>
      </c>
      <c r="D33211">
        <f>IF(B33211=C33211, "YES", "WRONG")</f>
        <v/>
      </c>
    </row>
    <row r="33212">
      <c r="A33212" t="n">
        <v>33211</v>
      </c>
      <c r="B33212" t="inlineStr">
        <is>
          <t>x̄x̄x̄MMMCCXI</t>
        </is>
      </c>
      <c r="C33212">
        <f>ROMAN(33211)</f>
        <v/>
      </c>
      <c r="D33212">
        <f>IF(B33212=C33212, "YES", "WRONG")</f>
        <v/>
      </c>
    </row>
    <row r="33213">
      <c r="A33213" t="n">
        <v>33212</v>
      </c>
      <c r="B33213" t="inlineStr">
        <is>
          <t>x̄x̄x̄MMMCCXII</t>
        </is>
      </c>
      <c r="C33213">
        <f>ROMAN(33212)</f>
        <v/>
      </c>
      <c r="D33213">
        <f>IF(B33213=C33213, "YES", "WRONG")</f>
        <v/>
      </c>
    </row>
    <row r="33214">
      <c r="A33214" t="n">
        <v>33213</v>
      </c>
      <c r="B33214" t="inlineStr">
        <is>
          <t>x̄x̄x̄MMMCCXIII</t>
        </is>
      </c>
      <c r="C33214">
        <f>ROMAN(33213)</f>
        <v/>
      </c>
      <c r="D33214">
        <f>IF(B33214=C33214, "YES", "WRONG")</f>
        <v/>
      </c>
    </row>
    <row r="33215">
      <c r="A33215" t="n">
        <v>33214</v>
      </c>
      <c r="B33215" t="inlineStr">
        <is>
          <t>x̄x̄x̄MMMCCXIV</t>
        </is>
      </c>
      <c r="C33215">
        <f>ROMAN(33214)</f>
        <v/>
      </c>
      <c r="D33215">
        <f>IF(B33215=C33215, "YES", "WRONG")</f>
        <v/>
      </c>
    </row>
    <row r="33216">
      <c r="A33216" t="n">
        <v>33215</v>
      </c>
      <c r="B33216" t="inlineStr">
        <is>
          <t>x̄x̄x̄MMMCCXV</t>
        </is>
      </c>
      <c r="C33216">
        <f>ROMAN(33215)</f>
        <v/>
      </c>
      <c r="D33216">
        <f>IF(B33216=C33216, "YES", "WRONG")</f>
        <v/>
      </c>
    </row>
    <row r="33217">
      <c r="A33217" t="n">
        <v>33216</v>
      </c>
      <c r="B33217" t="inlineStr">
        <is>
          <t>x̄x̄x̄MMMCCXVI</t>
        </is>
      </c>
      <c r="C33217">
        <f>ROMAN(33216)</f>
        <v/>
      </c>
      <c r="D33217">
        <f>IF(B33217=C33217, "YES", "WRONG")</f>
        <v/>
      </c>
    </row>
    <row r="33218">
      <c r="A33218" t="n">
        <v>33217</v>
      </c>
      <c r="B33218" t="inlineStr">
        <is>
          <t>x̄x̄x̄MMMCCXVII</t>
        </is>
      </c>
      <c r="C33218">
        <f>ROMAN(33217)</f>
        <v/>
      </c>
      <c r="D33218">
        <f>IF(B33218=C33218, "YES", "WRONG")</f>
        <v/>
      </c>
    </row>
    <row r="33219">
      <c r="A33219" t="n">
        <v>33218</v>
      </c>
      <c r="B33219" t="inlineStr">
        <is>
          <t>x̄x̄x̄MMMCCXVIII</t>
        </is>
      </c>
      <c r="C33219">
        <f>ROMAN(33218)</f>
        <v/>
      </c>
      <c r="D33219">
        <f>IF(B33219=C33219, "YES", "WRONG")</f>
        <v/>
      </c>
    </row>
    <row r="33220">
      <c r="A33220" t="n">
        <v>33219</v>
      </c>
      <c r="B33220" t="inlineStr">
        <is>
          <t>x̄x̄x̄MMMCCXIX</t>
        </is>
      </c>
      <c r="C33220">
        <f>ROMAN(33219)</f>
        <v/>
      </c>
      <c r="D33220">
        <f>IF(B33220=C33220, "YES", "WRONG")</f>
        <v/>
      </c>
    </row>
    <row r="33221">
      <c r="A33221" t="n">
        <v>33220</v>
      </c>
      <c r="B33221" t="inlineStr">
        <is>
          <t>x̄x̄x̄MMMCCXX</t>
        </is>
      </c>
      <c r="C33221">
        <f>ROMAN(33220)</f>
        <v/>
      </c>
      <c r="D33221">
        <f>IF(B33221=C33221, "YES", "WRONG")</f>
        <v/>
      </c>
    </row>
    <row r="33222">
      <c r="A33222" t="n">
        <v>33221</v>
      </c>
      <c r="B33222" t="inlineStr">
        <is>
          <t>x̄x̄x̄MMMCCXXI</t>
        </is>
      </c>
      <c r="C33222">
        <f>ROMAN(33221)</f>
        <v/>
      </c>
      <c r="D33222">
        <f>IF(B33222=C33222, "YES", "WRONG")</f>
        <v/>
      </c>
    </row>
    <row r="33223">
      <c r="A33223" t="n">
        <v>33222</v>
      </c>
      <c r="B33223" t="inlineStr">
        <is>
          <t>x̄x̄x̄MMMCCXXII</t>
        </is>
      </c>
      <c r="C33223">
        <f>ROMAN(33222)</f>
        <v/>
      </c>
      <c r="D33223">
        <f>IF(B33223=C33223, "YES", "WRONG")</f>
        <v/>
      </c>
    </row>
    <row r="33224">
      <c r="A33224" t="n">
        <v>33223</v>
      </c>
      <c r="B33224" t="inlineStr">
        <is>
          <t>x̄x̄x̄MMMCCXXIII</t>
        </is>
      </c>
      <c r="C33224">
        <f>ROMAN(33223)</f>
        <v/>
      </c>
      <c r="D33224">
        <f>IF(B33224=C33224, "YES", "WRONG")</f>
        <v/>
      </c>
    </row>
    <row r="33225">
      <c r="A33225" t="n">
        <v>33224</v>
      </c>
      <c r="B33225" t="inlineStr">
        <is>
          <t>x̄x̄x̄MMMCCXXIV</t>
        </is>
      </c>
      <c r="C33225">
        <f>ROMAN(33224)</f>
        <v/>
      </c>
      <c r="D33225">
        <f>IF(B33225=C33225, "YES", "WRONG")</f>
        <v/>
      </c>
    </row>
    <row r="33226">
      <c r="A33226" t="n">
        <v>33225</v>
      </c>
      <c r="B33226" t="inlineStr">
        <is>
          <t>x̄x̄x̄MMMCCXXV</t>
        </is>
      </c>
      <c r="C33226">
        <f>ROMAN(33225)</f>
        <v/>
      </c>
      <c r="D33226">
        <f>IF(B33226=C33226, "YES", "WRONG")</f>
        <v/>
      </c>
    </row>
    <row r="33227">
      <c r="A33227" t="n">
        <v>33226</v>
      </c>
      <c r="B33227" t="inlineStr">
        <is>
          <t>x̄x̄x̄MMMCCXXVI</t>
        </is>
      </c>
      <c r="C33227">
        <f>ROMAN(33226)</f>
        <v/>
      </c>
      <c r="D33227">
        <f>IF(B33227=C33227, "YES", "WRONG")</f>
        <v/>
      </c>
    </row>
    <row r="33228">
      <c r="A33228" t="n">
        <v>33227</v>
      </c>
      <c r="B33228" t="inlineStr">
        <is>
          <t>x̄x̄x̄MMMCCXXVII</t>
        </is>
      </c>
      <c r="C33228">
        <f>ROMAN(33227)</f>
        <v/>
      </c>
      <c r="D33228">
        <f>IF(B33228=C33228, "YES", "WRONG")</f>
        <v/>
      </c>
    </row>
    <row r="33229">
      <c r="A33229" t="n">
        <v>33228</v>
      </c>
      <c r="B33229" t="inlineStr">
        <is>
          <t>x̄x̄x̄MMMCCXXVIII</t>
        </is>
      </c>
      <c r="C33229">
        <f>ROMAN(33228)</f>
        <v/>
      </c>
      <c r="D33229">
        <f>IF(B33229=C33229, "YES", "WRONG")</f>
        <v/>
      </c>
    </row>
    <row r="33230">
      <c r="A33230" t="n">
        <v>33229</v>
      </c>
      <c r="B33230" t="inlineStr">
        <is>
          <t>x̄x̄x̄MMMCCXXIX</t>
        </is>
      </c>
      <c r="C33230">
        <f>ROMAN(33229)</f>
        <v/>
      </c>
      <c r="D33230">
        <f>IF(B33230=C33230, "YES", "WRONG")</f>
        <v/>
      </c>
    </row>
    <row r="33231">
      <c r="A33231" t="n">
        <v>33230</v>
      </c>
      <c r="B33231" t="inlineStr">
        <is>
          <t>x̄x̄x̄MMMCCXXX</t>
        </is>
      </c>
      <c r="C33231">
        <f>ROMAN(33230)</f>
        <v/>
      </c>
      <c r="D33231">
        <f>IF(B33231=C33231, "YES", "WRONG")</f>
        <v/>
      </c>
    </row>
    <row r="33232">
      <c r="A33232" t="n">
        <v>33231</v>
      </c>
      <c r="B33232" t="inlineStr">
        <is>
          <t>x̄x̄x̄MMMCCXXXI</t>
        </is>
      </c>
      <c r="C33232">
        <f>ROMAN(33231)</f>
        <v/>
      </c>
      <c r="D33232">
        <f>IF(B33232=C33232, "YES", "WRONG")</f>
        <v/>
      </c>
    </row>
    <row r="33233">
      <c r="A33233" t="n">
        <v>33232</v>
      </c>
      <c r="B33233" t="inlineStr">
        <is>
          <t>x̄x̄x̄MMMCCXXXII</t>
        </is>
      </c>
      <c r="C33233">
        <f>ROMAN(33232)</f>
        <v/>
      </c>
      <c r="D33233">
        <f>IF(B33233=C33233, "YES", "WRONG")</f>
        <v/>
      </c>
    </row>
    <row r="33234">
      <c r="A33234" t="n">
        <v>33233</v>
      </c>
      <c r="B33234" t="inlineStr">
        <is>
          <t>x̄x̄x̄MMMCCXXXIII</t>
        </is>
      </c>
      <c r="C33234">
        <f>ROMAN(33233)</f>
        <v/>
      </c>
      <c r="D33234">
        <f>IF(B33234=C33234, "YES", "WRONG")</f>
        <v/>
      </c>
    </row>
    <row r="33235">
      <c r="A33235" t="n">
        <v>33234</v>
      </c>
      <c r="B33235" t="inlineStr">
        <is>
          <t>x̄x̄x̄MMMCCXXXIV</t>
        </is>
      </c>
      <c r="C33235">
        <f>ROMAN(33234)</f>
        <v/>
      </c>
      <c r="D33235">
        <f>IF(B33235=C33235, "YES", "WRONG")</f>
        <v/>
      </c>
    </row>
    <row r="33236">
      <c r="A33236" t="n">
        <v>33235</v>
      </c>
      <c r="B33236" t="inlineStr">
        <is>
          <t>x̄x̄x̄MMMCCXXXV</t>
        </is>
      </c>
      <c r="C33236">
        <f>ROMAN(33235)</f>
        <v/>
      </c>
      <c r="D33236">
        <f>IF(B33236=C33236, "YES", "WRONG")</f>
        <v/>
      </c>
    </row>
    <row r="33237">
      <c r="A33237" t="n">
        <v>33236</v>
      </c>
      <c r="B33237" t="inlineStr">
        <is>
          <t>x̄x̄x̄MMMCCXXXVI</t>
        </is>
      </c>
      <c r="C33237">
        <f>ROMAN(33236)</f>
        <v/>
      </c>
      <c r="D33237">
        <f>IF(B33237=C33237, "YES", "WRONG")</f>
        <v/>
      </c>
    </row>
    <row r="33238">
      <c r="A33238" t="n">
        <v>33237</v>
      </c>
      <c r="B33238" t="inlineStr">
        <is>
          <t>x̄x̄x̄MMMCCXXXVII</t>
        </is>
      </c>
      <c r="C33238">
        <f>ROMAN(33237)</f>
        <v/>
      </c>
      <c r="D33238">
        <f>IF(B33238=C33238, "YES", "WRONG")</f>
        <v/>
      </c>
    </row>
    <row r="33239">
      <c r="A33239" t="n">
        <v>33238</v>
      </c>
      <c r="B33239" t="inlineStr">
        <is>
          <t>x̄x̄x̄MMMCCXXXVIII</t>
        </is>
      </c>
      <c r="C33239">
        <f>ROMAN(33238)</f>
        <v/>
      </c>
      <c r="D33239">
        <f>IF(B33239=C33239, "YES", "WRONG")</f>
        <v/>
      </c>
    </row>
    <row r="33240">
      <c r="A33240" t="n">
        <v>33239</v>
      </c>
      <c r="B33240" t="inlineStr">
        <is>
          <t>x̄x̄x̄MMMCCXXXIX</t>
        </is>
      </c>
      <c r="C33240">
        <f>ROMAN(33239)</f>
        <v/>
      </c>
      <c r="D33240">
        <f>IF(B33240=C33240, "YES", "WRONG")</f>
        <v/>
      </c>
    </row>
    <row r="33241">
      <c r="A33241" t="n">
        <v>33240</v>
      </c>
      <c r="B33241" t="inlineStr">
        <is>
          <t>x̄x̄x̄MMMCCXL</t>
        </is>
      </c>
      <c r="C33241">
        <f>ROMAN(33240)</f>
        <v/>
      </c>
      <c r="D33241">
        <f>IF(B33241=C33241, "YES", "WRONG")</f>
        <v/>
      </c>
    </row>
    <row r="33242">
      <c r="A33242" t="n">
        <v>33241</v>
      </c>
      <c r="B33242" t="inlineStr">
        <is>
          <t>x̄x̄x̄MMMCCXLI</t>
        </is>
      </c>
      <c r="C33242">
        <f>ROMAN(33241)</f>
        <v/>
      </c>
      <c r="D33242">
        <f>IF(B33242=C33242, "YES", "WRONG")</f>
        <v/>
      </c>
    </row>
    <row r="33243">
      <c r="A33243" t="n">
        <v>33242</v>
      </c>
      <c r="B33243" t="inlineStr">
        <is>
          <t>x̄x̄x̄MMMCCXLII</t>
        </is>
      </c>
      <c r="C33243">
        <f>ROMAN(33242)</f>
        <v/>
      </c>
      <c r="D33243">
        <f>IF(B33243=C33243, "YES", "WRONG")</f>
        <v/>
      </c>
    </row>
    <row r="33244">
      <c r="A33244" t="n">
        <v>33243</v>
      </c>
      <c r="B33244" t="inlineStr">
        <is>
          <t>x̄x̄x̄MMMCCXLIII</t>
        </is>
      </c>
      <c r="C33244">
        <f>ROMAN(33243)</f>
        <v/>
      </c>
      <c r="D33244">
        <f>IF(B33244=C33244, "YES", "WRONG")</f>
        <v/>
      </c>
    </row>
    <row r="33245">
      <c r="A33245" t="n">
        <v>33244</v>
      </c>
      <c r="B33245" t="inlineStr">
        <is>
          <t>x̄x̄x̄MMMCCXLIV</t>
        </is>
      </c>
      <c r="C33245">
        <f>ROMAN(33244)</f>
        <v/>
      </c>
      <c r="D33245">
        <f>IF(B33245=C33245, "YES", "WRONG")</f>
        <v/>
      </c>
    </row>
    <row r="33246">
      <c r="A33246" t="n">
        <v>33245</v>
      </c>
      <c r="B33246" t="inlineStr">
        <is>
          <t>x̄x̄x̄MMMCCXLV</t>
        </is>
      </c>
      <c r="C33246">
        <f>ROMAN(33245)</f>
        <v/>
      </c>
      <c r="D33246">
        <f>IF(B33246=C33246, "YES", "WRONG")</f>
        <v/>
      </c>
    </row>
    <row r="33247">
      <c r="A33247" t="n">
        <v>33246</v>
      </c>
      <c r="B33247" t="inlineStr">
        <is>
          <t>x̄x̄x̄MMMCCXLVI</t>
        </is>
      </c>
      <c r="C33247">
        <f>ROMAN(33246)</f>
        <v/>
      </c>
      <c r="D33247">
        <f>IF(B33247=C33247, "YES", "WRONG")</f>
        <v/>
      </c>
    </row>
    <row r="33248">
      <c r="A33248" t="n">
        <v>33247</v>
      </c>
      <c r="B33248" t="inlineStr">
        <is>
          <t>x̄x̄x̄MMMCCXLVII</t>
        </is>
      </c>
      <c r="C33248">
        <f>ROMAN(33247)</f>
        <v/>
      </c>
      <c r="D33248">
        <f>IF(B33248=C33248, "YES", "WRONG")</f>
        <v/>
      </c>
    </row>
    <row r="33249">
      <c r="A33249" t="n">
        <v>33248</v>
      </c>
      <c r="B33249" t="inlineStr">
        <is>
          <t>x̄x̄x̄MMMCCXLVIII</t>
        </is>
      </c>
      <c r="C33249">
        <f>ROMAN(33248)</f>
        <v/>
      </c>
      <c r="D33249">
        <f>IF(B33249=C33249, "YES", "WRONG")</f>
        <v/>
      </c>
    </row>
    <row r="33250">
      <c r="A33250" t="n">
        <v>33249</v>
      </c>
      <c r="B33250" t="inlineStr">
        <is>
          <t>x̄x̄x̄MMMCCXLIX</t>
        </is>
      </c>
      <c r="C33250">
        <f>ROMAN(33249)</f>
        <v/>
      </c>
      <c r="D33250">
        <f>IF(B33250=C33250, "YES", "WRONG")</f>
        <v/>
      </c>
    </row>
    <row r="33251">
      <c r="A33251" t="n">
        <v>33250</v>
      </c>
      <c r="B33251" t="inlineStr">
        <is>
          <t>x̄x̄x̄MMMCCL</t>
        </is>
      </c>
      <c r="C33251">
        <f>ROMAN(33250)</f>
        <v/>
      </c>
      <c r="D33251">
        <f>IF(B33251=C33251, "YES", "WRONG")</f>
        <v/>
      </c>
    </row>
    <row r="33252">
      <c r="A33252" t="n">
        <v>33251</v>
      </c>
      <c r="B33252" t="inlineStr">
        <is>
          <t>x̄x̄x̄MMMCCLI</t>
        </is>
      </c>
      <c r="C33252">
        <f>ROMAN(33251)</f>
        <v/>
      </c>
      <c r="D33252">
        <f>IF(B33252=C33252, "YES", "WRONG")</f>
        <v/>
      </c>
    </row>
    <row r="33253">
      <c r="A33253" t="n">
        <v>33252</v>
      </c>
      <c r="B33253" t="inlineStr">
        <is>
          <t>x̄x̄x̄MMMCCLII</t>
        </is>
      </c>
      <c r="C33253">
        <f>ROMAN(33252)</f>
        <v/>
      </c>
      <c r="D33253">
        <f>IF(B33253=C33253, "YES", "WRONG")</f>
        <v/>
      </c>
    </row>
    <row r="33254">
      <c r="A33254" t="n">
        <v>33253</v>
      </c>
      <c r="B33254" t="inlineStr">
        <is>
          <t>x̄x̄x̄MMMCCLIII</t>
        </is>
      </c>
      <c r="C33254">
        <f>ROMAN(33253)</f>
        <v/>
      </c>
      <c r="D33254">
        <f>IF(B33254=C33254, "YES", "WRONG")</f>
        <v/>
      </c>
    </row>
    <row r="33255">
      <c r="A33255" t="n">
        <v>33254</v>
      </c>
      <c r="B33255" t="inlineStr">
        <is>
          <t>x̄x̄x̄MMMCCLIV</t>
        </is>
      </c>
      <c r="C33255">
        <f>ROMAN(33254)</f>
        <v/>
      </c>
      <c r="D33255">
        <f>IF(B33255=C33255, "YES", "WRONG")</f>
        <v/>
      </c>
    </row>
    <row r="33256">
      <c r="A33256" t="n">
        <v>33255</v>
      </c>
      <c r="B33256" t="inlineStr">
        <is>
          <t>x̄x̄x̄MMMCCLV</t>
        </is>
      </c>
      <c r="C33256">
        <f>ROMAN(33255)</f>
        <v/>
      </c>
      <c r="D33256">
        <f>IF(B33256=C33256, "YES", "WRONG")</f>
        <v/>
      </c>
    </row>
    <row r="33257">
      <c r="A33257" t="n">
        <v>33256</v>
      </c>
      <c r="B33257" t="inlineStr">
        <is>
          <t>x̄x̄x̄MMMCCLVI</t>
        </is>
      </c>
      <c r="C33257">
        <f>ROMAN(33256)</f>
        <v/>
      </c>
      <c r="D33257">
        <f>IF(B33257=C33257, "YES", "WRONG")</f>
        <v/>
      </c>
    </row>
    <row r="33258">
      <c r="A33258" t="n">
        <v>33257</v>
      </c>
      <c r="B33258" t="inlineStr">
        <is>
          <t>x̄x̄x̄MMMCCLVII</t>
        </is>
      </c>
      <c r="C33258">
        <f>ROMAN(33257)</f>
        <v/>
      </c>
      <c r="D33258">
        <f>IF(B33258=C33258, "YES", "WRONG")</f>
        <v/>
      </c>
    </row>
    <row r="33259">
      <c r="A33259" t="n">
        <v>33258</v>
      </c>
      <c r="B33259" t="inlineStr">
        <is>
          <t>x̄x̄x̄MMMCCLVIII</t>
        </is>
      </c>
      <c r="C33259">
        <f>ROMAN(33258)</f>
        <v/>
      </c>
      <c r="D33259">
        <f>IF(B33259=C33259, "YES", "WRONG")</f>
        <v/>
      </c>
    </row>
    <row r="33260">
      <c r="A33260" t="n">
        <v>33259</v>
      </c>
      <c r="B33260" t="inlineStr">
        <is>
          <t>x̄x̄x̄MMMCCLIX</t>
        </is>
      </c>
      <c r="C33260">
        <f>ROMAN(33259)</f>
        <v/>
      </c>
      <c r="D33260">
        <f>IF(B33260=C33260, "YES", "WRONG")</f>
        <v/>
      </c>
    </row>
    <row r="33261">
      <c r="A33261" t="n">
        <v>33260</v>
      </c>
      <c r="B33261" t="inlineStr">
        <is>
          <t>x̄x̄x̄MMMCCLX</t>
        </is>
      </c>
      <c r="C33261">
        <f>ROMAN(33260)</f>
        <v/>
      </c>
      <c r="D33261">
        <f>IF(B33261=C33261, "YES", "WRONG")</f>
        <v/>
      </c>
    </row>
    <row r="33262">
      <c r="A33262" t="n">
        <v>33261</v>
      </c>
      <c r="B33262" t="inlineStr">
        <is>
          <t>x̄x̄x̄MMMCCLXI</t>
        </is>
      </c>
      <c r="C33262">
        <f>ROMAN(33261)</f>
        <v/>
      </c>
      <c r="D33262">
        <f>IF(B33262=C33262, "YES", "WRONG")</f>
        <v/>
      </c>
    </row>
    <row r="33263">
      <c r="A33263" t="n">
        <v>33262</v>
      </c>
      <c r="B33263" t="inlineStr">
        <is>
          <t>x̄x̄x̄MMMCCLXII</t>
        </is>
      </c>
      <c r="C33263">
        <f>ROMAN(33262)</f>
        <v/>
      </c>
      <c r="D33263">
        <f>IF(B33263=C33263, "YES", "WRONG")</f>
        <v/>
      </c>
    </row>
    <row r="33264">
      <c r="A33264" t="n">
        <v>33263</v>
      </c>
      <c r="B33264" t="inlineStr">
        <is>
          <t>x̄x̄x̄MMMCCLXIII</t>
        </is>
      </c>
      <c r="C33264">
        <f>ROMAN(33263)</f>
        <v/>
      </c>
      <c r="D33264">
        <f>IF(B33264=C33264, "YES", "WRONG")</f>
        <v/>
      </c>
    </row>
    <row r="33265">
      <c r="A33265" t="n">
        <v>33264</v>
      </c>
      <c r="B33265" t="inlineStr">
        <is>
          <t>x̄x̄x̄MMMCCLXIV</t>
        </is>
      </c>
      <c r="C33265">
        <f>ROMAN(33264)</f>
        <v/>
      </c>
      <c r="D33265">
        <f>IF(B33265=C33265, "YES", "WRONG")</f>
        <v/>
      </c>
    </row>
    <row r="33266">
      <c r="A33266" t="n">
        <v>33265</v>
      </c>
      <c r="B33266" t="inlineStr">
        <is>
          <t>x̄x̄x̄MMMCCLXV</t>
        </is>
      </c>
      <c r="C33266">
        <f>ROMAN(33265)</f>
        <v/>
      </c>
      <c r="D33266">
        <f>IF(B33266=C33266, "YES", "WRONG")</f>
        <v/>
      </c>
    </row>
    <row r="33267">
      <c r="A33267" t="n">
        <v>33266</v>
      </c>
      <c r="B33267" t="inlineStr">
        <is>
          <t>x̄x̄x̄MMMCCLXVI</t>
        </is>
      </c>
      <c r="C33267">
        <f>ROMAN(33266)</f>
        <v/>
      </c>
      <c r="D33267">
        <f>IF(B33267=C33267, "YES", "WRONG")</f>
        <v/>
      </c>
    </row>
    <row r="33268">
      <c r="A33268" t="n">
        <v>33267</v>
      </c>
      <c r="B33268" t="inlineStr">
        <is>
          <t>x̄x̄x̄MMMCCLXVII</t>
        </is>
      </c>
      <c r="C33268">
        <f>ROMAN(33267)</f>
        <v/>
      </c>
      <c r="D33268">
        <f>IF(B33268=C33268, "YES", "WRONG")</f>
        <v/>
      </c>
    </row>
    <row r="33269">
      <c r="A33269" t="n">
        <v>33268</v>
      </c>
      <c r="B33269" t="inlineStr">
        <is>
          <t>x̄x̄x̄MMMCCLXVIII</t>
        </is>
      </c>
      <c r="C33269">
        <f>ROMAN(33268)</f>
        <v/>
      </c>
      <c r="D33269">
        <f>IF(B33269=C33269, "YES", "WRONG")</f>
        <v/>
      </c>
    </row>
    <row r="33270">
      <c r="A33270" t="n">
        <v>33269</v>
      </c>
      <c r="B33270" t="inlineStr">
        <is>
          <t>x̄x̄x̄MMMCCLXIX</t>
        </is>
      </c>
      <c r="C33270">
        <f>ROMAN(33269)</f>
        <v/>
      </c>
      <c r="D33270">
        <f>IF(B33270=C33270, "YES", "WRONG")</f>
        <v/>
      </c>
    </row>
    <row r="33271">
      <c r="A33271" t="n">
        <v>33270</v>
      </c>
      <c r="B33271" t="inlineStr">
        <is>
          <t>x̄x̄x̄MMMCCLXX</t>
        </is>
      </c>
      <c r="C33271">
        <f>ROMAN(33270)</f>
        <v/>
      </c>
      <c r="D33271">
        <f>IF(B33271=C33271, "YES", "WRONG")</f>
        <v/>
      </c>
    </row>
    <row r="33272">
      <c r="A33272" t="n">
        <v>33271</v>
      </c>
      <c r="B33272" t="inlineStr">
        <is>
          <t>x̄x̄x̄MMMCCLXXI</t>
        </is>
      </c>
      <c r="C33272">
        <f>ROMAN(33271)</f>
        <v/>
      </c>
      <c r="D33272">
        <f>IF(B33272=C33272, "YES", "WRONG")</f>
        <v/>
      </c>
    </row>
    <row r="33273">
      <c r="A33273" t="n">
        <v>33272</v>
      </c>
      <c r="B33273" t="inlineStr">
        <is>
          <t>x̄x̄x̄MMMCCLXXII</t>
        </is>
      </c>
      <c r="C33273">
        <f>ROMAN(33272)</f>
        <v/>
      </c>
      <c r="D33273">
        <f>IF(B33273=C33273, "YES", "WRONG")</f>
        <v/>
      </c>
    </row>
    <row r="33274">
      <c r="A33274" t="n">
        <v>33273</v>
      </c>
      <c r="B33274" t="inlineStr">
        <is>
          <t>x̄x̄x̄MMMCCLXXIII</t>
        </is>
      </c>
      <c r="C33274">
        <f>ROMAN(33273)</f>
        <v/>
      </c>
      <c r="D33274">
        <f>IF(B33274=C33274, "YES", "WRONG")</f>
        <v/>
      </c>
    </row>
    <row r="33275">
      <c r="A33275" t="n">
        <v>33274</v>
      </c>
      <c r="B33275" t="inlineStr">
        <is>
          <t>x̄x̄x̄MMMCCLXXIV</t>
        </is>
      </c>
      <c r="C33275">
        <f>ROMAN(33274)</f>
        <v/>
      </c>
      <c r="D33275">
        <f>IF(B33275=C33275, "YES", "WRONG")</f>
        <v/>
      </c>
    </row>
    <row r="33276">
      <c r="A33276" t="n">
        <v>33275</v>
      </c>
      <c r="B33276" t="inlineStr">
        <is>
          <t>x̄x̄x̄MMMCCLXXV</t>
        </is>
      </c>
      <c r="C33276">
        <f>ROMAN(33275)</f>
        <v/>
      </c>
      <c r="D33276">
        <f>IF(B33276=C33276, "YES", "WRONG")</f>
        <v/>
      </c>
    </row>
    <row r="33277">
      <c r="A33277" t="n">
        <v>33276</v>
      </c>
      <c r="B33277" t="inlineStr">
        <is>
          <t>x̄x̄x̄MMMCCLXXVI</t>
        </is>
      </c>
      <c r="C33277">
        <f>ROMAN(33276)</f>
        <v/>
      </c>
      <c r="D33277">
        <f>IF(B33277=C33277, "YES", "WRONG")</f>
        <v/>
      </c>
    </row>
    <row r="33278">
      <c r="A33278" t="n">
        <v>33277</v>
      </c>
      <c r="B33278" t="inlineStr">
        <is>
          <t>x̄x̄x̄MMMCCLXXVII</t>
        </is>
      </c>
      <c r="C33278">
        <f>ROMAN(33277)</f>
        <v/>
      </c>
      <c r="D33278">
        <f>IF(B33278=C33278, "YES", "WRONG")</f>
        <v/>
      </c>
    </row>
    <row r="33279">
      <c r="A33279" t="n">
        <v>33278</v>
      </c>
      <c r="B33279" t="inlineStr">
        <is>
          <t>x̄x̄x̄MMMCCLXXVIII</t>
        </is>
      </c>
      <c r="C33279">
        <f>ROMAN(33278)</f>
        <v/>
      </c>
      <c r="D33279">
        <f>IF(B33279=C33279, "YES", "WRONG")</f>
        <v/>
      </c>
    </row>
    <row r="33280">
      <c r="A33280" t="n">
        <v>33279</v>
      </c>
      <c r="B33280" t="inlineStr">
        <is>
          <t>x̄x̄x̄MMMCCLXXIX</t>
        </is>
      </c>
      <c r="C33280">
        <f>ROMAN(33279)</f>
        <v/>
      </c>
      <c r="D33280">
        <f>IF(B33280=C33280, "YES", "WRONG")</f>
        <v/>
      </c>
    </row>
    <row r="33281">
      <c r="A33281" t="n">
        <v>33280</v>
      </c>
      <c r="B33281" t="inlineStr">
        <is>
          <t>x̄x̄x̄MMMCCLXXX</t>
        </is>
      </c>
      <c r="C33281">
        <f>ROMAN(33280)</f>
        <v/>
      </c>
      <c r="D33281">
        <f>IF(B33281=C33281, "YES", "WRONG")</f>
        <v/>
      </c>
    </row>
    <row r="33282">
      <c r="A33282" t="n">
        <v>33281</v>
      </c>
      <c r="B33282" t="inlineStr">
        <is>
          <t>x̄x̄x̄MMMCCLXXXI</t>
        </is>
      </c>
      <c r="C33282">
        <f>ROMAN(33281)</f>
        <v/>
      </c>
      <c r="D33282">
        <f>IF(B33282=C33282, "YES", "WRONG")</f>
        <v/>
      </c>
    </row>
    <row r="33283">
      <c r="A33283" t="n">
        <v>33282</v>
      </c>
      <c r="B33283" t="inlineStr">
        <is>
          <t>x̄x̄x̄MMMCCLXXXII</t>
        </is>
      </c>
      <c r="C33283">
        <f>ROMAN(33282)</f>
        <v/>
      </c>
      <c r="D33283">
        <f>IF(B33283=C33283, "YES", "WRONG")</f>
        <v/>
      </c>
    </row>
    <row r="33284">
      <c r="A33284" t="n">
        <v>33283</v>
      </c>
      <c r="B33284" t="inlineStr">
        <is>
          <t>x̄x̄x̄MMMCCLXXXIII</t>
        </is>
      </c>
      <c r="C33284">
        <f>ROMAN(33283)</f>
        <v/>
      </c>
      <c r="D33284">
        <f>IF(B33284=C33284, "YES", "WRONG")</f>
        <v/>
      </c>
    </row>
    <row r="33285">
      <c r="A33285" t="n">
        <v>33284</v>
      </c>
      <c r="B33285" t="inlineStr">
        <is>
          <t>x̄x̄x̄MMMCCLXXXIV</t>
        </is>
      </c>
      <c r="C33285">
        <f>ROMAN(33284)</f>
        <v/>
      </c>
      <c r="D33285">
        <f>IF(B33285=C33285, "YES", "WRONG")</f>
        <v/>
      </c>
    </row>
    <row r="33286">
      <c r="A33286" t="n">
        <v>33285</v>
      </c>
      <c r="B33286" t="inlineStr">
        <is>
          <t>x̄x̄x̄MMMCCLXXXV</t>
        </is>
      </c>
      <c r="C33286">
        <f>ROMAN(33285)</f>
        <v/>
      </c>
      <c r="D33286">
        <f>IF(B33286=C33286, "YES", "WRONG")</f>
        <v/>
      </c>
    </row>
    <row r="33287">
      <c r="A33287" t="n">
        <v>33286</v>
      </c>
      <c r="B33287" t="inlineStr">
        <is>
          <t>x̄x̄x̄MMMCCLXXXVI</t>
        </is>
      </c>
      <c r="C33287">
        <f>ROMAN(33286)</f>
        <v/>
      </c>
      <c r="D33287">
        <f>IF(B33287=C33287, "YES", "WRONG")</f>
        <v/>
      </c>
    </row>
    <row r="33288">
      <c r="A33288" t="n">
        <v>33287</v>
      </c>
      <c r="B33288" t="inlineStr">
        <is>
          <t>x̄x̄x̄MMMCCLXXXVII</t>
        </is>
      </c>
      <c r="C33288">
        <f>ROMAN(33287)</f>
        <v/>
      </c>
      <c r="D33288">
        <f>IF(B33288=C33288, "YES", "WRONG")</f>
        <v/>
      </c>
    </row>
    <row r="33289">
      <c r="A33289" t="n">
        <v>33288</v>
      </c>
      <c r="B33289" t="inlineStr">
        <is>
          <t>x̄x̄x̄MMMCCLXXXVIII</t>
        </is>
      </c>
      <c r="C33289">
        <f>ROMAN(33288)</f>
        <v/>
      </c>
      <c r="D33289">
        <f>IF(B33289=C33289, "YES", "WRONG")</f>
        <v/>
      </c>
    </row>
    <row r="33290">
      <c r="A33290" t="n">
        <v>33289</v>
      </c>
      <c r="B33290" t="inlineStr">
        <is>
          <t>x̄x̄x̄MMMCCLXXXIX</t>
        </is>
      </c>
      <c r="C33290">
        <f>ROMAN(33289)</f>
        <v/>
      </c>
      <c r="D33290">
        <f>IF(B33290=C33290, "YES", "WRONG")</f>
        <v/>
      </c>
    </row>
    <row r="33291">
      <c r="A33291" t="n">
        <v>33290</v>
      </c>
      <c r="B33291" t="inlineStr">
        <is>
          <t>x̄x̄x̄MMMCCXC</t>
        </is>
      </c>
      <c r="C33291">
        <f>ROMAN(33290)</f>
        <v/>
      </c>
      <c r="D33291">
        <f>IF(B33291=C33291, "YES", "WRONG")</f>
        <v/>
      </c>
    </row>
    <row r="33292">
      <c r="A33292" t="n">
        <v>33291</v>
      </c>
      <c r="B33292" t="inlineStr">
        <is>
          <t>x̄x̄x̄MMMCCXCI</t>
        </is>
      </c>
      <c r="C33292">
        <f>ROMAN(33291)</f>
        <v/>
      </c>
      <c r="D33292">
        <f>IF(B33292=C33292, "YES", "WRONG")</f>
        <v/>
      </c>
    </row>
    <row r="33293">
      <c r="A33293" t="n">
        <v>33292</v>
      </c>
      <c r="B33293" t="inlineStr">
        <is>
          <t>x̄x̄x̄MMMCCXCII</t>
        </is>
      </c>
      <c r="C33293">
        <f>ROMAN(33292)</f>
        <v/>
      </c>
      <c r="D33293">
        <f>IF(B33293=C33293, "YES", "WRONG")</f>
        <v/>
      </c>
    </row>
    <row r="33294">
      <c r="A33294" t="n">
        <v>33293</v>
      </c>
      <c r="B33294" t="inlineStr">
        <is>
          <t>x̄x̄x̄MMMCCXCIII</t>
        </is>
      </c>
      <c r="C33294">
        <f>ROMAN(33293)</f>
        <v/>
      </c>
      <c r="D33294">
        <f>IF(B33294=C33294, "YES", "WRONG")</f>
        <v/>
      </c>
    </row>
    <row r="33295">
      <c r="A33295" t="n">
        <v>33294</v>
      </c>
      <c r="B33295" t="inlineStr">
        <is>
          <t>x̄x̄x̄MMMCCXCIV</t>
        </is>
      </c>
      <c r="C33295">
        <f>ROMAN(33294)</f>
        <v/>
      </c>
      <c r="D33295">
        <f>IF(B33295=C33295, "YES", "WRONG")</f>
        <v/>
      </c>
    </row>
    <row r="33296">
      <c r="A33296" t="n">
        <v>33295</v>
      </c>
      <c r="B33296" t="inlineStr">
        <is>
          <t>x̄x̄x̄MMMCCXCV</t>
        </is>
      </c>
      <c r="C33296">
        <f>ROMAN(33295)</f>
        <v/>
      </c>
      <c r="D33296">
        <f>IF(B33296=C33296, "YES", "WRONG")</f>
        <v/>
      </c>
    </row>
    <row r="33297">
      <c r="A33297" t="n">
        <v>33296</v>
      </c>
      <c r="B33297" t="inlineStr">
        <is>
          <t>x̄x̄x̄MMMCCXCVI</t>
        </is>
      </c>
      <c r="C33297">
        <f>ROMAN(33296)</f>
        <v/>
      </c>
      <c r="D33297">
        <f>IF(B33297=C33297, "YES", "WRONG")</f>
        <v/>
      </c>
    </row>
    <row r="33298">
      <c r="A33298" t="n">
        <v>33297</v>
      </c>
      <c r="B33298" t="inlineStr">
        <is>
          <t>x̄x̄x̄MMMCCXCVII</t>
        </is>
      </c>
      <c r="C33298">
        <f>ROMAN(33297)</f>
        <v/>
      </c>
      <c r="D33298">
        <f>IF(B33298=C33298, "YES", "WRONG")</f>
        <v/>
      </c>
    </row>
    <row r="33299">
      <c r="A33299" t="n">
        <v>33298</v>
      </c>
      <c r="B33299" t="inlineStr">
        <is>
          <t>x̄x̄x̄MMMCCXCVIII</t>
        </is>
      </c>
      <c r="C33299">
        <f>ROMAN(33298)</f>
        <v/>
      </c>
      <c r="D33299">
        <f>IF(B33299=C33299, "YES", "WRONG")</f>
        <v/>
      </c>
    </row>
    <row r="33300">
      <c r="A33300" t="n">
        <v>33299</v>
      </c>
      <c r="B33300" t="inlineStr">
        <is>
          <t>x̄x̄x̄MMMCCXCIX</t>
        </is>
      </c>
      <c r="C33300">
        <f>ROMAN(33299)</f>
        <v/>
      </c>
      <c r="D33300">
        <f>IF(B33300=C33300, "YES", "WRONG")</f>
        <v/>
      </c>
    </row>
    <row r="33301">
      <c r="A33301" t="n">
        <v>33300</v>
      </c>
      <c r="B33301" t="inlineStr">
        <is>
          <t>x̄x̄x̄MMMCCC</t>
        </is>
      </c>
      <c r="C33301">
        <f>ROMAN(33300)</f>
        <v/>
      </c>
      <c r="D33301">
        <f>IF(B33301=C33301, "YES", "WRONG")</f>
        <v/>
      </c>
    </row>
    <row r="33302">
      <c r="A33302" t="n">
        <v>33301</v>
      </c>
      <c r="B33302" t="inlineStr">
        <is>
          <t>x̄x̄x̄MMMCCCI</t>
        </is>
      </c>
      <c r="C33302">
        <f>ROMAN(33301)</f>
        <v/>
      </c>
      <c r="D33302">
        <f>IF(B33302=C33302, "YES", "WRONG")</f>
        <v/>
      </c>
    </row>
    <row r="33303">
      <c r="A33303" t="n">
        <v>33302</v>
      </c>
      <c r="B33303" t="inlineStr">
        <is>
          <t>x̄x̄x̄MMMCCCII</t>
        </is>
      </c>
      <c r="C33303">
        <f>ROMAN(33302)</f>
        <v/>
      </c>
      <c r="D33303">
        <f>IF(B33303=C33303, "YES", "WRONG")</f>
        <v/>
      </c>
    </row>
    <row r="33304">
      <c r="A33304" t="n">
        <v>33303</v>
      </c>
      <c r="B33304" t="inlineStr">
        <is>
          <t>x̄x̄x̄MMMCCCIII</t>
        </is>
      </c>
      <c r="C33304">
        <f>ROMAN(33303)</f>
        <v/>
      </c>
      <c r="D33304">
        <f>IF(B33304=C33304, "YES", "WRONG")</f>
        <v/>
      </c>
    </row>
    <row r="33305">
      <c r="A33305" t="n">
        <v>33304</v>
      </c>
      <c r="B33305" t="inlineStr">
        <is>
          <t>x̄x̄x̄MMMCCCIV</t>
        </is>
      </c>
      <c r="C33305">
        <f>ROMAN(33304)</f>
        <v/>
      </c>
      <c r="D33305">
        <f>IF(B33305=C33305, "YES", "WRONG")</f>
        <v/>
      </c>
    </row>
    <row r="33306">
      <c r="A33306" t="n">
        <v>33305</v>
      </c>
      <c r="B33306" t="inlineStr">
        <is>
          <t>x̄x̄x̄MMMCCCV</t>
        </is>
      </c>
      <c r="C33306">
        <f>ROMAN(33305)</f>
        <v/>
      </c>
      <c r="D33306">
        <f>IF(B33306=C33306, "YES", "WRONG")</f>
        <v/>
      </c>
    </row>
    <row r="33307">
      <c r="A33307" t="n">
        <v>33306</v>
      </c>
      <c r="B33307" t="inlineStr">
        <is>
          <t>x̄x̄x̄MMMCCCVI</t>
        </is>
      </c>
      <c r="C33307">
        <f>ROMAN(33306)</f>
        <v/>
      </c>
      <c r="D33307">
        <f>IF(B33307=C33307, "YES", "WRONG")</f>
        <v/>
      </c>
    </row>
    <row r="33308">
      <c r="A33308" t="n">
        <v>33307</v>
      </c>
      <c r="B33308" t="inlineStr">
        <is>
          <t>x̄x̄x̄MMMCCCVII</t>
        </is>
      </c>
      <c r="C33308">
        <f>ROMAN(33307)</f>
        <v/>
      </c>
      <c r="D33308">
        <f>IF(B33308=C33308, "YES", "WRONG")</f>
        <v/>
      </c>
    </row>
    <row r="33309">
      <c r="A33309" t="n">
        <v>33308</v>
      </c>
      <c r="B33309" t="inlineStr">
        <is>
          <t>x̄x̄x̄MMMCCCVIII</t>
        </is>
      </c>
      <c r="C33309">
        <f>ROMAN(33308)</f>
        <v/>
      </c>
      <c r="D33309">
        <f>IF(B33309=C33309, "YES", "WRONG")</f>
        <v/>
      </c>
    </row>
    <row r="33310">
      <c r="A33310" t="n">
        <v>33309</v>
      </c>
      <c r="B33310" t="inlineStr">
        <is>
          <t>x̄x̄x̄MMMCCCIX</t>
        </is>
      </c>
      <c r="C33310">
        <f>ROMAN(33309)</f>
        <v/>
      </c>
      <c r="D33310">
        <f>IF(B33310=C33310, "YES", "WRONG")</f>
        <v/>
      </c>
    </row>
    <row r="33311">
      <c r="A33311" t="n">
        <v>33310</v>
      </c>
      <c r="B33311" t="inlineStr">
        <is>
          <t>x̄x̄x̄MMMCCCX</t>
        </is>
      </c>
      <c r="C33311">
        <f>ROMAN(33310)</f>
        <v/>
      </c>
      <c r="D33311">
        <f>IF(B33311=C33311, "YES", "WRONG")</f>
        <v/>
      </c>
    </row>
    <row r="33312">
      <c r="A33312" t="n">
        <v>33311</v>
      </c>
      <c r="B33312" t="inlineStr">
        <is>
          <t>x̄x̄x̄MMMCCCXI</t>
        </is>
      </c>
      <c r="C33312">
        <f>ROMAN(33311)</f>
        <v/>
      </c>
      <c r="D33312">
        <f>IF(B33312=C33312, "YES", "WRONG")</f>
        <v/>
      </c>
    </row>
    <row r="33313">
      <c r="A33313" t="n">
        <v>33312</v>
      </c>
      <c r="B33313" t="inlineStr">
        <is>
          <t>x̄x̄x̄MMMCCCXII</t>
        </is>
      </c>
      <c r="C33313">
        <f>ROMAN(33312)</f>
        <v/>
      </c>
      <c r="D33313">
        <f>IF(B33313=C33313, "YES", "WRONG")</f>
        <v/>
      </c>
    </row>
    <row r="33314">
      <c r="A33314" t="n">
        <v>33313</v>
      </c>
      <c r="B33314" t="inlineStr">
        <is>
          <t>x̄x̄x̄MMMCCCXIII</t>
        </is>
      </c>
      <c r="C33314">
        <f>ROMAN(33313)</f>
        <v/>
      </c>
      <c r="D33314">
        <f>IF(B33314=C33314, "YES", "WRONG")</f>
        <v/>
      </c>
    </row>
    <row r="33315">
      <c r="A33315" t="n">
        <v>33314</v>
      </c>
      <c r="B33315" t="inlineStr">
        <is>
          <t>x̄x̄x̄MMMCCCXIV</t>
        </is>
      </c>
      <c r="C33315">
        <f>ROMAN(33314)</f>
        <v/>
      </c>
      <c r="D33315">
        <f>IF(B33315=C33315, "YES", "WRONG")</f>
        <v/>
      </c>
    </row>
    <row r="33316">
      <c r="A33316" t="n">
        <v>33315</v>
      </c>
      <c r="B33316" t="inlineStr">
        <is>
          <t>x̄x̄x̄MMMCCCXV</t>
        </is>
      </c>
      <c r="C33316">
        <f>ROMAN(33315)</f>
        <v/>
      </c>
      <c r="D33316">
        <f>IF(B33316=C33316, "YES", "WRONG")</f>
        <v/>
      </c>
    </row>
    <row r="33317">
      <c r="A33317" t="n">
        <v>33316</v>
      </c>
      <c r="B33317" t="inlineStr">
        <is>
          <t>x̄x̄x̄MMMCCCXVI</t>
        </is>
      </c>
      <c r="C33317">
        <f>ROMAN(33316)</f>
        <v/>
      </c>
      <c r="D33317">
        <f>IF(B33317=C33317, "YES", "WRONG")</f>
        <v/>
      </c>
    </row>
    <row r="33318">
      <c r="A33318" t="n">
        <v>33317</v>
      </c>
      <c r="B33318" t="inlineStr">
        <is>
          <t>x̄x̄x̄MMMCCCXVII</t>
        </is>
      </c>
      <c r="C33318">
        <f>ROMAN(33317)</f>
        <v/>
      </c>
      <c r="D33318">
        <f>IF(B33318=C33318, "YES", "WRONG")</f>
        <v/>
      </c>
    </row>
    <row r="33319">
      <c r="A33319" t="n">
        <v>33318</v>
      </c>
      <c r="B33319" t="inlineStr">
        <is>
          <t>x̄x̄x̄MMMCCCXVIII</t>
        </is>
      </c>
      <c r="C33319">
        <f>ROMAN(33318)</f>
        <v/>
      </c>
      <c r="D33319">
        <f>IF(B33319=C33319, "YES", "WRONG")</f>
        <v/>
      </c>
    </row>
    <row r="33320">
      <c r="A33320" t="n">
        <v>33319</v>
      </c>
      <c r="B33320" t="inlineStr">
        <is>
          <t>x̄x̄x̄MMMCCCXIX</t>
        </is>
      </c>
      <c r="C33320">
        <f>ROMAN(33319)</f>
        <v/>
      </c>
      <c r="D33320">
        <f>IF(B33320=C33320, "YES", "WRONG")</f>
        <v/>
      </c>
    </row>
    <row r="33321">
      <c r="A33321" t="n">
        <v>33320</v>
      </c>
      <c r="B33321" t="inlineStr">
        <is>
          <t>x̄x̄x̄MMMCCCXX</t>
        </is>
      </c>
      <c r="C33321">
        <f>ROMAN(33320)</f>
        <v/>
      </c>
      <c r="D33321">
        <f>IF(B33321=C33321, "YES", "WRONG")</f>
        <v/>
      </c>
    </row>
    <row r="33322">
      <c r="A33322" t="n">
        <v>33321</v>
      </c>
      <c r="B33322" t="inlineStr">
        <is>
          <t>x̄x̄x̄MMMCCCXXI</t>
        </is>
      </c>
      <c r="C33322">
        <f>ROMAN(33321)</f>
        <v/>
      </c>
      <c r="D33322">
        <f>IF(B33322=C33322, "YES", "WRONG")</f>
        <v/>
      </c>
    </row>
    <row r="33323">
      <c r="A33323" t="n">
        <v>33322</v>
      </c>
      <c r="B33323" t="inlineStr">
        <is>
          <t>x̄x̄x̄MMMCCCXXII</t>
        </is>
      </c>
      <c r="C33323">
        <f>ROMAN(33322)</f>
        <v/>
      </c>
      <c r="D33323">
        <f>IF(B33323=C33323, "YES", "WRONG")</f>
        <v/>
      </c>
    </row>
    <row r="33324">
      <c r="A33324" t="n">
        <v>33323</v>
      </c>
      <c r="B33324" t="inlineStr">
        <is>
          <t>x̄x̄x̄MMMCCCXXIII</t>
        </is>
      </c>
      <c r="C33324">
        <f>ROMAN(33323)</f>
        <v/>
      </c>
      <c r="D33324">
        <f>IF(B33324=C33324, "YES", "WRONG")</f>
        <v/>
      </c>
    </row>
    <row r="33325">
      <c r="A33325" t="n">
        <v>33324</v>
      </c>
      <c r="B33325" t="inlineStr">
        <is>
          <t>x̄x̄x̄MMMCCCXXIV</t>
        </is>
      </c>
      <c r="C33325">
        <f>ROMAN(33324)</f>
        <v/>
      </c>
      <c r="D33325">
        <f>IF(B33325=C33325, "YES", "WRONG")</f>
        <v/>
      </c>
    </row>
    <row r="33326">
      <c r="A33326" t="n">
        <v>33325</v>
      </c>
      <c r="B33326" t="inlineStr">
        <is>
          <t>x̄x̄x̄MMMCCCXXV</t>
        </is>
      </c>
      <c r="C33326">
        <f>ROMAN(33325)</f>
        <v/>
      </c>
      <c r="D33326">
        <f>IF(B33326=C33326, "YES", "WRONG")</f>
        <v/>
      </c>
    </row>
    <row r="33327">
      <c r="A33327" t="n">
        <v>33326</v>
      </c>
      <c r="B33327" t="inlineStr">
        <is>
          <t>x̄x̄x̄MMMCCCXXVI</t>
        </is>
      </c>
      <c r="C33327">
        <f>ROMAN(33326)</f>
        <v/>
      </c>
      <c r="D33327">
        <f>IF(B33327=C33327, "YES", "WRONG")</f>
        <v/>
      </c>
    </row>
    <row r="33328">
      <c r="A33328" t="n">
        <v>33327</v>
      </c>
      <c r="B33328" t="inlineStr">
        <is>
          <t>x̄x̄x̄MMMCCCXXVII</t>
        </is>
      </c>
      <c r="C33328">
        <f>ROMAN(33327)</f>
        <v/>
      </c>
      <c r="D33328">
        <f>IF(B33328=C33328, "YES", "WRONG")</f>
        <v/>
      </c>
    </row>
    <row r="33329">
      <c r="A33329" t="n">
        <v>33328</v>
      </c>
      <c r="B33329" t="inlineStr">
        <is>
          <t>x̄x̄x̄MMMCCCXXVIII</t>
        </is>
      </c>
      <c r="C33329">
        <f>ROMAN(33328)</f>
        <v/>
      </c>
      <c r="D33329">
        <f>IF(B33329=C33329, "YES", "WRONG")</f>
        <v/>
      </c>
    </row>
    <row r="33330">
      <c r="A33330" t="n">
        <v>33329</v>
      </c>
      <c r="B33330" t="inlineStr">
        <is>
          <t>x̄x̄x̄MMMCCCXXIX</t>
        </is>
      </c>
      <c r="C33330">
        <f>ROMAN(33329)</f>
        <v/>
      </c>
      <c r="D33330">
        <f>IF(B33330=C33330, "YES", "WRONG")</f>
        <v/>
      </c>
    </row>
    <row r="33331">
      <c r="A33331" t="n">
        <v>33330</v>
      </c>
      <c r="B33331" t="inlineStr">
        <is>
          <t>x̄x̄x̄MMMCCCXXX</t>
        </is>
      </c>
      <c r="C33331">
        <f>ROMAN(33330)</f>
        <v/>
      </c>
      <c r="D33331">
        <f>IF(B33331=C33331, "YES", "WRONG")</f>
        <v/>
      </c>
    </row>
    <row r="33332">
      <c r="A33332" t="n">
        <v>33331</v>
      </c>
      <c r="B33332" t="inlineStr">
        <is>
          <t>x̄x̄x̄MMMCCCXXXI</t>
        </is>
      </c>
      <c r="C33332">
        <f>ROMAN(33331)</f>
        <v/>
      </c>
      <c r="D33332">
        <f>IF(B33332=C33332, "YES", "WRONG")</f>
        <v/>
      </c>
    </row>
    <row r="33333">
      <c r="A33333" t="n">
        <v>33332</v>
      </c>
      <c r="B33333" t="inlineStr">
        <is>
          <t>x̄x̄x̄MMMCCCXXXII</t>
        </is>
      </c>
      <c r="C33333">
        <f>ROMAN(33332)</f>
        <v/>
      </c>
      <c r="D33333">
        <f>IF(B33333=C33333, "YES", "WRONG")</f>
        <v/>
      </c>
    </row>
    <row r="33334">
      <c r="A33334" t="n">
        <v>33333</v>
      </c>
      <c r="B33334" t="inlineStr">
        <is>
          <t>x̄x̄x̄MMMCCCXXXIII</t>
        </is>
      </c>
      <c r="C33334">
        <f>ROMAN(33333)</f>
        <v/>
      </c>
      <c r="D33334">
        <f>IF(B33334=C33334, "YES", "WRONG")</f>
        <v/>
      </c>
    </row>
    <row r="33335">
      <c r="A33335" t="n">
        <v>33334</v>
      </c>
      <c r="B33335" t="inlineStr">
        <is>
          <t>x̄x̄x̄MMMCCCXXXIV</t>
        </is>
      </c>
      <c r="C33335">
        <f>ROMAN(33334)</f>
        <v/>
      </c>
      <c r="D33335">
        <f>IF(B33335=C33335, "YES", "WRONG")</f>
        <v/>
      </c>
    </row>
    <row r="33336">
      <c r="A33336" t="n">
        <v>33335</v>
      </c>
      <c r="B33336" t="inlineStr">
        <is>
          <t>x̄x̄x̄MMMCCCXXXV</t>
        </is>
      </c>
      <c r="C33336">
        <f>ROMAN(33335)</f>
        <v/>
      </c>
      <c r="D33336">
        <f>IF(B33336=C33336, "YES", "WRONG")</f>
        <v/>
      </c>
    </row>
    <row r="33337">
      <c r="A33337" t="n">
        <v>33336</v>
      </c>
      <c r="B33337" t="inlineStr">
        <is>
          <t>x̄x̄x̄MMMCCCXXXVI</t>
        </is>
      </c>
      <c r="C33337">
        <f>ROMAN(33336)</f>
        <v/>
      </c>
      <c r="D33337">
        <f>IF(B33337=C33337, "YES", "WRONG")</f>
        <v/>
      </c>
    </row>
    <row r="33338">
      <c r="A33338" t="n">
        <v>33337</v>
      </c>
      <c r="B33338" t="inlineStr">
        <is>
          <t>x̄x̄x̄MMMCCCXXXVII</t>
        </is>
      </c>
      <c r="C33338">
        <f>ROMAN(33337)</f>
        <v/>
      </c>
      <c r="D33338">
        <f>IF(B33338=C33338, "YES", "WRONG")</f>
        <v/>
      </c>
    </row>
    <row r="33339">
      <c r="A33339" t="n">
        <v>33338</v>
      </c>
      <c r="B33339" t="inlineStr">
        <is>
          <t>x̄x̄x̄MMMCCCXXXVIII</t>
        </is>
      </c>
      <c r="C33339">
        <f>ROMAN(33338)</f>
        <v/>
      </c>
      <c r="D33339">
        <f>IF(B33339=C33339, "YES", "WRONG")</f>
        <v/>
      </c>
    </row>
    <row r="33340">
      <c r="A33340" t="n">
        <v>33339</v>
      </c>
      <c r="B33340" t="inlineStr">
        <is>
          <t>x̄x̄x̄MMMCCCXXXIX</t>
        </is>
      </c>
      <c r="C33340">
        <f>ROMAN(33339)</f>
        <v/>
      </c>
      <c r="D33340">
        <f>IF(B33340=C33340, "YES", "WRONG")</f>
        <v/>
      </c>
    </row>
    <row r="33341">
      <c r="A33341" t="n">
        <v>33340</v>
      </c>
      <c r="B33341" t="inlineStr">
        <is>
          <t>x̄x̄x̄MMMCCCXL</t>
        </is>
      </c>
      <c r="C33341">
        <f>ROMAN(33340)</f>
        <v/>
      </c>
      <c r="D33341">
        <f>IF(B33341=C33341, "YES", "WRONG")</f>
        <v/>
      </c>
    </row>
    <row r="33342">
      <c r="A33342" t="n">
        <v>33341</v>
      </c>
      <c r="B33342" t="inlineStr">
        <is>
          <t>x̄x̄x̄MMMCCCXLI</t>
        </is>
      </c>
      <c r="C33342">
        <f>ROMAN(33341)</f>
        <v/>
      </c>
      <c r="D33342">
        <f>IF(B33342=C33342, "YES", "WRONG")</f>
        <v/>
      </c>
    </row>
    <row r="33343">
      <c r="A33343" t="n">
        <v>33342</v>
      </c>
      <c r="B33343" t="inlineStr">
        <is>
          <t>x̄x̄x̄MMMCCCXLII</t>
        </is>
      </c>
      <c r="C33343">
        <f>ROMAN(33342)</f>
        <v/>
      </c>
      <c r="D33343">
        <f>IF(B33343=C33343, "YES", "WRONG")</f>
        <v/>
      </c>
    </row>
    <row r="33344">
      <c r="A33344" t="n">
        <v>33343</v>
      </c>
      <c r="B33344" t="inlineStr">
        <is>
          <t>x̄x̄x̄MMMCCCXLIII</t>
        </is>
      </c>
      <c r="C33344">
        <f>ROMAN(33343)</f>
        <v/>
      </c>
      <c r="D33344">
        <f>IF(B33344=C33344, "YES", "WRONG")</f>
        <v/>
      </c>
    </row>
    <row r="33345">
      <c r="A33345" t="n">
        <v>33344</v>
      </c>
      <c r="B33345" t="inlineStr">
        <is>
          <t>x̄x̄x̄MMMCCCXLIV</t>
        </is>
      </c>
      <c r="C33345">
        <f>ROMAN(33344)</f>
        <v/>
      </c>
      <c r="D33345">
        <f>IF(B33345=C33345, "YES", "WRONG")</f>
        <v/>
      </c>
    </row>
    <row r="33346">
      <c r="A33346" t="n">
        <v>33345</v>
      </c>
      <c r="B33346" t="inlineStr">
        <is>
          <t>x̄x̄x̄MMMCCCXLV</t>
        </is>
      </c>
      <c r="C33346">
        <f>ROMAN(33345)</f>
        <v/>
      </c>
      <c r="D33346">
        <f>IF(B33346=C33346, "YES", "WRONG")</f>
        <v/>
      </c>
    </row>
    <row r="33347">
      <c r="A33347" t="n">
        <v>33346</v>
      </c>
      <c r="B33347" t="inlineStr">
        <is>
          <t>x̄x̄x̄MMMCCCXLVI</t>
        </is>
      </c>
      <c r="C33347">
        <f>ROMAN(33346)</f>
        <v/>
      </c>
      <c r="D33347">
        <f>IF(B33347=C33347, "YES", "WRONG")</f>
        <v/>
      </c>
    </row>
    <row r="33348">
      <c r="A33348" t="n">
        <v>33347</v>
      </c>
      <c r="B33348" t="inlineStr">
        <is>
          <t>x̄x̄x̄MMMCCCXLVII</t>
        </is>
      </c>
      <c r="C33348">
        <f>ROMAN(33347)</f>
        <v/>
      </c>
      <c r="D33348">
        <f>IF(B33348=C33348, "YES", "WRONG")</f>
        <v/>
      </c>
    </row>
    <row r="33349">
      <c r="A33349" t="n">
        <v>33348</v>
      </c>
      <c r="B33349" t="inlineStr">
        <is>
          <t>x̄x̄x̄MMMCCCXLVIII</t>
        </is>
      </c>
      <c r="C33349">
        <f>ROMAN(33348)</f>
        <v/>
      </c>
      <c r="D33349">
        <f>IF(B33349=C33349, "YES", "WRONG")</f>
        <v/>
      </c>
    </row>
    <row r="33350">
      <c r="A33350" t="n">
        <v>33349</v>
      </c>
      <c r="B33350" t="inlineStr">
        <is>
          <t>x̄x̄x̄MMMCCCXLIX</t>
        </is>
      </c>
      <c r="C33350">
        <f>ROMAN(33349)</f>
        <v/>
      </c>
      <c r="D33350">
        <f>IF(B33350=C33350, "YES", "WRONG")</f>
        <v/>
      </c>
    </row>
    <row r="33351">
      <c r="A33351" t="n">
        <v>33350</v>
      </c>
      <c r="B33351" t="inlineStr">
        <is>
          <t>x̄x̄x̄MMMCCCL</t>
        </is>
      </c>
      <c r="C33351">
        <f>ROMAN(33350)</f>
        <v/>
      </c>
      <c r="D33351">
        <f>IF(B33351=C33351, "YES", "WRONG")</f>
        <v/>
      </c>
    </row>
    <row r="33352">
      <c r="A33352" t="n">
        <v>33351</v>
      </c>
      <c r="B33352" t="inlineStr">
        <is>
          <t>x̄x̄x̄MMMCCCLI</t>
        </is>
      </c>
      <c r="C33352">
        <f>ROMAN(33351)</f>
        <v/>
      </c>
      <c r="D33352">
        <f>IF(B33352=C33352, "YES", "WRONG")</f>
        <v/>
      </c>
    </row>
    <row r="33353">
      <c r="A33353" t="n">
        <v>33352</v>
      </c>
      <c r="B33353" t="inlineStr">
        <is>
          <t>x̄x̄x̄MMMCCCLII</t>
        </is>
      </c>
      <c r="C33353">
        <f>ROMAN(33352)</f>
        <v/>
      </c>
      <c r="D33353">
        <f>IF(B33353=C33353, "YES", "WRONG")</f>
        <v/>
      </c>
    </row>
    <row r="33354">
      <c r="A33354" t="n">
        <v>33353</v>
      </c>
      <c r="B33354" t="inlineStr">
        <is>
          <t>x̄x̄x̄MMMCCCLIII</t>
        </is>
      </c>
      <c r="C33354">
        <f>ROMAN(33353)</f>
        <v/>
      </c>
      <c r="D33354">
        <f>IF(B33354=C33354, "YES", "WRONG")</f>
        <v/>
      </c>
    </row>
    <row r="33355">
      <c r="A33355" t="n">
        <v>33354</v>
      </c>
      <c r="B33355" t="inlineStr">
        <is>
          <t>x̄x̄x̄MMMCCCLIV</t>
        </is>
      </c>
      <c r="C33355">
        <f>ROMAN(33354)</f>
        <v/>
      </c>
      <c r="D33355">
        <f>IF(B33355=C33355, "YES", "WRONG")</f>
        <v/>
      </c>
    </row>
    <row r="33356">
      <c r="A33356" t="n">
        <v>33355</v>
      </c>
      <c r="B33356" t="inlineStr">
        <is>
          <t>x̄x̄x̄MMMCCCLV</t>
        </is>
      </c>
      <c r="C33356">
        <f>ROMAN(33355)</f>
        <v/>
      </c>
      <c r="D33356">
        <f>IF(B33356=C33356, "YES", "WRONG")</f>
        <v/>
      </c>
    </row>
    <row r="33357">
      <c r="A33357" t="n">
        <v>33356</v>
      </c>
      <c r="B33357" t="inlineStr">
        <is>
          <t>x̄x̄x̄MMMCCCLVI</t>
        </is>
      </c>
      <c r="C33357">
        <f>ROMAN(33356)</f>
        <v/>
      </c>
      <c r="D33357">
        <f>IF(B33357=C33357, "YES", "WRONG")</f>
        <v/>
      </c>
    </row>
    <row r="33358">
      <c r="A33358" t="n">
        <v>33357</v>
      </c>
      <c r="B33358" t="inlineStr">
        <is>
          <t>x̄x̄x̄MMMCCCLVII</t>
        </is>
      </c>
      <c r="C33358">
        <f>ROMAN(33357)</f>
        <v/>
      </c>
      <c r="D33358">
        <f>IF(B33358=C33358, "YES", "WRONG")</f>
        <v/>
      </c>
    </row>
    <row r="33359">
      <c r="A33359" t="n">
        <v>33358</v>
      </c>
      <c r="B33359" t="inlineStr">
        <is>
          <t>x̄x̄x̄MMMCCCLVIII</t>
        </is>
      </c>
      <c r="C33359">
        <f>ROMAN(33358)</f>
        <v/>
      </c>
      <c r="D33359">
        <f>IF(B33359=C33359, "YES", "WRONG")</f>
        <v/>
      </c>
    </row>
    <row r="33360">
      <c r="A33360" t="n">
        <v>33359</v>
      </c>
      <c r="B33360" t="inlineStr">
        <is>
          <t>x̄x̄x̄MMMCCCLIX</t>
        </is>
      </c>
      <c r="C33360">
        <f>ROMAN(33359)</f>
        <v/>
      </c>
      <c r="D33360">
        <f>IF(B33360=C33360, "YES", "WRONG")</f>
        <v/>
      </c>
    </row>
    <row r="33361">
      <c r="A33361" t="n">
        <v>33360</v>
      </c>
      <c r="B33361" t="inlineStr">
        <is>
          <t>x̄x̄x̄MMMCCCLX</t>
        </is>
      </c>
      <c r="C33361">
        <f>ROMAN(33360)</f>
        <v/>
      </c>
      <c r="D33361">
        <f>IF(B33361=C33361, "YES", "WRONG")</f>
        <v/>
      </c>
    </row>
    <row r="33362">
      <c r="A33362" t="n">
        <v>33361</v>
      </c>
      <c r="B33362" t="inlineStr">
        <is>
          <t>x̄x̄x̄MMMCCCLXI</t>
        </is>
      </c>
      <c r="C33362">
        <f>ROMAN(33361)</f>
        <v/>
      </c>
      <c r="D33362">
        <f>IF(B33362=C33362, "YES", "WRONG")</f>
        <v/>
      </c>
    </row>
    <row r="33363">
      <c r="A33363" t="n">
        <v>33362</v>
      </c>
      <c r="B33363" t="inlineStr">
        <is>
          <t>x̄x̄x̄MMMCCCLXII</t>
        </is>
      </c>
      <c r="C33363">
        <f>ROMAN(33362)</f>
        <v/>
      </c>
      <c r="D33363">
        <f>IF(B33363=C33363, "YES", "WRONG")</f>
        <v/>
      </c>
    </row>
    <row r="33364">
      <c r="A33364" t="n">
        <v>33363</v>
      </c>
      <c r="B33364" t="inlineStr">
        <is>
          <t>x̄x̄x̄MMMCCCLXIII</t>
        </is>
      </c>
      <c r="C33364">
        <f>ROMAN(33363)</f>
        <v/>
      </c>
      <c r="D33364">
        <f>IF(B33364=C33364, "YES", "WRONG")</f>
        <v/>
      </c>
    </row>
    <row r="33365">
      <c r="A33365" t="n">
        <v>33364</v>
      </c>
      <c r="B33365" t="inlineStr">
        <is>
          <t>x̄x̄x̄MMMCCCLXIV</t>
        </is>
      </c>
      <c r="C33365">
        <f>ROMAN(33364)</f>
        <v/>
      </c>
      <c r="D33365">
        <f>IF(B33365=C33365, "YES", "WRONG")</f>
        <v/>
      </c>
    </row>
    <row r="33366">
      <c r="A33366" t="n">
        <v>33365</v>
      </c>
      <c r="B33366" t="inlineStr">
        <is>
          <t>x̄x̄x̄MMMCCCLXV</t>
        </is>
      </c>
      <c r="C33366">
        <f>ROMAN(33365)</f>
        <v/>
      </c>
      <c r="D33366">
        <f>IF(B33366=C33366, "YES", "WRONG")</f>
        <v/>
      </c>
    </row>
    <row r="33367">
      <c r="A33367" t="n">
        <v>33366</v>
      </c>
      <c r="B33367" t="inlineStr">
        <is>
          <t>x̄x̄x̄MMMCCCLXVI</t>
        </is>
      </c>
      <c r="C33367">
        <f>ROMAN(33366)</f>
        <v/>
      </c>
      <c r="D33367">
        <f>IF(B33367=C33367, "YES", "WRONG")</f>
        <v/>
      </c>
    </row>
    <row r="33368">
      <c r="A33368" t="n">
        <v>33367</v>
      </c>
      <c r="B33368" t="inlineStr">
        <is>
          <t>x̄x̄x̄MMMCCCLXVII</t>
        </is>
      </c>
      <c r="C33368">
        <f>ROMAN(33367)</f>
        <v/>
      </c>
      <c r="D33368">
        <f>IF(B33368=C33368, "YES", "WRONG")</f>
        <v/>
      </c>
    </row>
    <row r="33369">
      <c r="A33369" t="n">
        <v>33368</v>
      </c>
      <c r="B33369" t="inlineStr">
        <is>
          <t>x̄x̄x̄MMMCCCLXVIII</t>
        </is>
      </c>
      <c r="C33369">
        <f>ROMAN(33368)</f>
        <v/>
      </c>
      <c r="D33369">
        <f>IF(B33369=C33369, "YES", "WRONG")</f>
        <v/>
      </c>
    </row>
    <row r="33370">
      <c r="A33370" t="n">
        <v>33369</v>
      </c>
      <c r="B33370" t="inlineStr">
        <is>
          <t>x̄x̄x̄MMMCCCLXIX</t>
        </is>
      </c>
      <c r="C33370">
        <f>ROMAN(33369)</f>
        <v/>
      </c>
      <c r="D33370">
        <f>IF(B33370=C33370, "YES", "WRONG")</f>
        <v/>
      </c>
    </row>
    <row r="33371">
      <c r="A33371" t="n">
        <v>33370</v>
      </c>
      <c r="B33371" t="inlineStr">
        <is>
          <t>x̄x̄x̄MMMCCCLXX</t>
        </is>
      </c>
      <c r="C33371">
        <f>ROMAN(33370)</f>
        <v/>
      </c>
      <c r="D33371">
        <f>IF(B33371=C33371, "YES", "WRONG")</f>
        <v/>
      </c>
    </row>
    <row r="33372">
      <c r="A33372" t="n">
        <v>33371</v>
      </c>
      <c r="B33372" t="inlineStr">
        <is>
          <t>x̄x̄x̄MMMCCCLXXI</t>
        </is>
      </c>
      <c r="C33372">
        <f>ROMAN(33371)</f>
        <v/>
      </c>
      <c r="D33372">
        <f>IF(B33372=C33372, "YES", "WRONG")</f>
        <v/>
      </c>
    </row>
    <row r="33373">
      <c r="A33373" t="n">
        <v>33372</v>
      </c>
      <c r="B33373" t="inlineStr">
        <is>
          <t>x̄x̄x̄MMMCCCLXXII</t>
        </is>
      </c>
      <c r="C33373">
        <f>ROMAN(33372)</f>
        <v/>
      </c>
      <c r="D33373">
        <f>IF(B33373=C33373, "YES", "WRONG")</f>
        <v/>
      </c>
    </row>
    <row r="33374">
      <c r="A33374" t="n">
        <v>33373</v>
      </c>
      <c r="B33374" t="inlineStr">
        <is>
          <t>x̄x̄x̄MMMCCCLXXIII</t>
        </is>
      </c>
      <c r="C33374">
        <f>ROMAN(33373)</f>
        <v/>
      </c>
      <c r="D33374">
        <f>IF(B33374=C33374, "YES", "WRONG")</f>
        <v/>
      </c>
    </row>
    <row r="33375">
      <c r="A33375" t="n">
        <v>33374</v>
      </c>
      <c r="B33375" t="inlineStr">
        <is>
          <t>x̄x̄x̄MMMCCCLXXIV</t>
        </is>
      </c>
      <c r="C33375">
        <f>ROMAN(33374)</f>
        <v/>
      </c>
      <c r="D33375">
        <f>IF(B33375=C33375, "YES", "WRONG")</f>
        <v/>
      </c>
    </row>
    <row r="33376">
      <c r="A33376" t="n">
        <v>33375</v>
      </c>
      <c r="B33376" t="inlineStr">
        <is>
          <t>x̄x̄x̄MMMCCCLXXV</t>
        </is>
      </c>
      <c r="C33376">
        <f>ROMAN(33375)</f>
        <v/>
      </c>
      <c r="D33376">
        <f>IF(B33376=C33376, "YES", "WRONG")</f>
        <v/>
      </c>
    </row>
    <row r="33377">
      <c r="A33377" t="n">
        <v>33376</v>
      </c>
      <c r="B33377" t="inlineStr">
        <is>
          <t>x̄x̄x̄MMMCCCLXXVI</t>
        </is>
      </c>
      <c r="C33377">
        <f>ROMAN(33376)</f>
        <v/>
      </c>
      <c r="D33377">
        <f>IF(B33377=C33377, "YES", "WRONG")</f>
        <v/>
      </c>
    </row>
    <row r="33378">
      <c r="A33378" t="n">
        <v>33377</v>
      </c>
      <c r="B33378" t="inlineStr">
        <is>
          <t>x̄x̄x̄MMMCCCLXXVII</t>
        </is>
      </c>
      <c r="C33378">
        <f>ROMAN(33377)</f>
        <v/>
      </c>
      <c r="D33378">
        <f>IF(B33378=C33378, "YES", "WRONG")</f>
        <v/>
      </c>
    </row>
    <row r="33379">
      <c r="A33379" t="n">
        <v>33378</v>
      </c>
      <c r="B33379" t="inlineStr">
        <is>
          <t>x̄x̄x̄MMMCCCLXXVIII</t>
        </is>
      </c>
      <c r="C33379">
        <f>ROMAN(33378)</f>
        <v/>
      </c>
      <c r="D33379">
        <f>IF(B33379=C33379, "YES", "WRONG")</f>
        <v/>
      </c>
    </row>
    <row r="33380">
      <c r="A33380" t="n">
        <v>33379</v>
      </c>
      <c r="B33380" t="inlineStr">
        <is>
          <t>x̄x̄x̄MMMCCCLXXIX</t>
        </is>
      </c>
      <c r="C33380">
        <f>ROMAN(33379)</f>
        <v/>
      </c>
      <c r="D33380">
        <f>IF(B33380=C33380, "YES", "WRONG")</f>
        <v/>
      </c>
    </row>
    <row r="33381">
      <c r="A33381" t="n">
        <v>33380</v>
      </c>
      <c r="B33381" t="inlineStr">
        <is>
          <t>x̄x̄x̄MMMCCCLXXX</t>
        </is>
      </c>
      <c r="C33381">
        <f>ROMAN(33380)</f>
        <v/>
      </c>
      <c r="D33381">
        <f>IF(B33381=C33381, "YES", "WRONG")</f>
        <v/>
      </c>
    </row>
    <row r="33382">
      <c r="A33382" t="n">
        <v>33381</v>
      </c>
      <c r="B33382" t="inlineStr">
        <is>
          <t>x̄x̄x̄MMMCCCLXXXI</t>
        </is>
      </c>
      <c r="C33382">
        <f>ROMAN(33381)</f>
        <v/>
      </c>
      <c r="D33382">
        <f>IF(B33382=C33382, "YES", "WRONG")</f>
        <v/>
      </c>
    </row>
    <row r="33383">
      <c r="A33383" t="n">
        <v>33382</v>
      </c>
      <c r="B33383" t="inlineStr">
        <is>
          <t>x̄x̄x̄MMMCCCLXXXII</t>
        </is>
      </c>
      <c r="C33383">
        <f>ROMAN(33382)</f>
        <v/>
      </c>
      <c r="D33383">
        <f>IF(B33383=C33383, "YES", "WRONG")</f>
        <v/>
      </c>
    </row>
    <row r="33384">
      <c r="A33384" t="n">
        <v>33383</v>
      </c>
      <c r="B33384" t="inlineStr">
        <is>
          <t>x̄x̄x̄MMMCCCLXXXIII</t>
        </is>
      </c>
      <c r="C33384">
        <f>ROMAN(33383)</f>
        <v/>
      </c>
      <c r="D33384">
        <f>IF(B33384=C33384, "YES", "WRONG")</f>
        <v/>
      </c>
    </row>
    <row r="33385">
      <c r="A33385" t="n">
        <v>33384</v>
      </c>
      <c r="B33385" t="inlineStr">
        <is>
          <t>x̄x̄x̄MMMCCCLXXXIV</t>
        </is>
      </c>
      <c r="C33385">
        <f>ROMAN(33384)</f>
        <v/>
      </c>
      <c r="D33385">
        <f>IF(B33385=C33385, "YES", "WRONG")</f>
        <v/>
      </c>
    </row>
    <row r="33386">
      <c r="A33386" t="n">
        <v>33385</v>
      </c>
      <c r="B33386" t="inlineStr">
        <is>
          <t>x̄x̄x̄MMMCCCLXXXV</t>
        </is>
      </c>
      <c r="C33386">
        <f>ROMAN(33385)</f>
        <v/>
      </c>
      <c r="D33386">
        <f>IF(B33386=C33386, "YES", "WRONG")</f>
        <v/>
      </c>
    </row>
    <row r="33387">
      <c r="A33387" t="n">
        <v>33386</v>
      </c>
      <c r="B33387" t="inlineStr">
        <is>
          <t>x̄x̄x̄MMMCCCLXXXVI</t>
        </is>
      </c>
      <c r="C33387">
        <f>ROMAN(33386)</f>
        <v/>
      </c>
      <c r="D33387">
        <f>IF(B33387=C33387, "YES", "WRONG")</f>
        <v/>
      </c>
    </row>
    <row r="33388">
      <c r="A33388" t="n">
        <v>33387</v>
      </c>
      <c r="B33388" t="inlineStr">
        <is>
          <t>x̄x̄x̄MMMCCCLXXXVII</t>
        </is>
      </c>
      <c r="C33388">
        <f>ROMAN(33387)</f>
        <v/>
      </c>
      <c r="D33388">
        <f>IF(B33388=C33388, "YES", "WRONG")</f>
        <v/>
      </c>
    </row>
    <row r="33389">
      <c r="A33389" t="n">
        <v>33388</v>
      </c>
      <c r="B33389" t="inlineStr">
        <is>
          <t>x̄x̄x̄MMMCCCLXXXVIII</t>
        </is>
      </c>
      <c r="C33389">
        <f>ROMAN(33388)</f>
        <v/>
      </c>
      <c r="D33389">
        <f>IF(B33389=C33389, "YES", "WRONG")</f>
        <v/>
      </c>
    </row>
    <row r="33390">
      <c r="A33390" t="n">
        <v>33389</v>
      </c>
      <c r="B33390" t="inlineStr">
        <is>
          <t>x̄x̄x̄MMMCCCLXXXIX</t>
        </is>
      </c>
      <c r="C33390">
        <f>ROMAN(33389)</f>
        <v/>
      </c>
      <c r="D33390">
        <f>IF(B33390=C33390, "YES", "WRONG")</f>
        <v/>
      </c>
    </row>
    <row r="33391">
      <c r="A33391" t="n">
        <v>33390</v>
      </c>
      <c r="B33391" t="inlineStr">
        <is>
          <t>x̄x̄x̄MMMCCCXC</t>
        </is>
      </c>
      <c r="C33391">
        <f>ROMAN(33390)</f>
        <v/>
      </c>
      <c r="D33391">
        <f>IF(B33391=C33391, "YES", "WRONG")</f>
        <v/>
      </c>
    </row>
    <row r="33392">
      <c r="A33392" t="n">
        <v>33391</v>
      </c>
      <c r="B33392" t="inlineStr">
        <is>
          <t>x̄x̄x̄MMMCCCXCI</t>
        </is>
      </c>
      <c r="C33392">
        <f>ROMAN(33391)</f>
        <v/>
      </c>
      <c r="D33392">
        <f>IF(B33392=C33392, "YES", "WRONG")</f>
        <v/>
      </c>
    </row>
    <row r="33393">
      <c r="A33393" t="n">
        <v>33392</v>
      </c>
      <c r="B33393" t="inlineStr">
        <is>
          <t>x̄x̄x̄MMMCCCXCII</t>
        </is>
      </c>
      <c r="C33393">
        <f>ROMAN(33392)</f>
        <v/>
      </c>
      <c r="D33393">
        <f>IF(B33393=C33393, "YES", "WRONG")</f>
        <v/>
      </c>
    </row>
    <row r="33394">
      <c r="A33394" t="n">
        <v>33393</v>
      </c>
      <c r="B33394" t="inlineStr">
        <is>
          <t>x̄x̄x̄MMMCCCXCIII</t>
        </is>
      </c>
      <c r="C33394">
        <f>ROMAN(33393)</f>
        <v/>
      </c>
      <c r="D33394">
        <f>IF(B33394=C33394, "YES", "WRONG")</f>
        <v/>
      </c>
    </row>
    <row r="33395">
      <c r="A33395" t="n">
        <v>33394</v>
      </c>
      <c r="B33395" t="inlineStr">
        <is>
          <t>x̄x̄x̄MMMCCCXCIV</t>
        </is>
      </c>
      <c r="C33395">
        <f>ROMAN(33394)</f>
        <v/>
      </c>
      <c r="D33395">
        <f>IF(B33395=C33395, "YES", "WRONG")</f>
        <v/>
      </c>
    </row>
    <row r="33396">
      <c r="A33396" t="n">
        <v>33395</v>
      </c>
      <c r="B33396" t="inlineStr">
        <is>
          <t>x̄x̄x̄MMMCCCXCV</t>
        </is>
      </c>
      <c r="C33396">
        <f>ROMAN(33395)</f>
        <v/>
      </c>
      <c r="D33396">
        <f>IF(B33396=C33396, "YES", "WRONG")</f>
        <v/>
      </c>
    </row>
    <row r="33397">
      <c r="A33397" t="n">
        <v>33396</v>
      </c>
      <c r="B33397" t="inlineStr">
        <is>
          <t>x̄x̄x̄MMMCCCXCVI</t>
        </is>
      </c>
      <c r="C33397">
        <f>ROMAN(33396)</f>
        <v/>
      </c>
      <c r="D33397">
        <f>IF(B33397=C33397, "YES", "WRONG")</f>
        <v/>
      </c>
    </row>
    <row r="33398">
      <c r="A33398" t="n">
        <v>33397</v>
      </c>
      <c r="B33398" t="inlineStr">
        <is>
          <t>x̄x̄x̄MMMCCCXCVII</t>
        </is>
      </c>
      <c r="C33398">
        <f>ROMAN(33397)</f>
        <v/>
      </c>
      <c r="D33398">
        <f>IF(B33398=C33398, "YES", "WRONG")</f>
        <v/>
      </c>
    </row>
    <row r="33399">
      <c r="A33399" t="n">
        <v>33398</v>
      </c>
      <c r="B33399" t="inlineStr">
        <is>
          <t>x̄x̄x̄MMMCCCXCVIII</t>
        </is>
      </c>
      <c r="C33399">
        <f>ROMAN(33398)</f>
        <v/>
      </c>
      <c r="D33399">
        <f>IF(B33399=C33399, "YES", "WRONG")</f>
        <v/>
      </c>
    </row>
    <row r="33400">
      <c r="A33400" t="n">
        <v>33399</v>
      </c>
      <c r="B33400" t="inlineStr">
        <is>
          <t>x̄x̄x̄MMMCCCXCIX</t>
        </is>
      </c>
      <c r="C33400">
        <f>ROMAN(33399)</f>
        <v/>
      </c>
      <c r="D33400">
        <f>IF(B33400=C33400, "YES", "WRONG")</f>
        <v/>
      </c>
    </row>
    <row r="33401">
      <c r="A33401" t="n">
        <v>33400</v>
      </c>
      <c r="B33401" t="inlineStr">
        <is>
          <t>x̄x̄x̄MMMCD</t>
        </is>
      </c>
      <c r="C33401">
        <f>ROMAN(33400)</f>
        <v/>
      </c>
      <c r="D33401">
        <f>IF(B33401=C33401, "YES", "WRONG")</f>
        <v/>
      </c>
    </row>
    <row r="33402">
      <c r="A33402" t="n">
        <v>33401</v>
      </c>
      <c r="B33402" t="inlineStr">
        <is>
          <t>x̄x̄x̄MMMCDI</t>
        </is>
      </c>
      <c r="C33402">
        <f>ROMAN(33401)</f>
        <v/>
      </c>
      <c r="D33402">
        <f>IF(B33402=C33402, "YES", "WRONG")</f>
        <v/>
      </c>
    </row>
    <row r="33403">
      <c r="A33403" t="n">
        <v>33402</v>
      </c>
      <c r="B33403" t="inlineStr">
        <is>
          <t>x̄x̄x̄MMMCDII</t>
        </is>
      </c>
      <c r="C33403">
        <f>ROMAN(33402)</f>
        <v/>
      </c>
      <c r="D33403">
        <f>IF(B33403=C33403, "YES", "WRONG")</f>
        <v/>
      </c>
    </row>
    <row r="33404">
      <c r="A33404" t="n">
        <v>33403</v>
      </c>
      <c r="B33404" t="inlineStr">
        <is>
          <t>x̄x̄x̄MMMCDIII</t>
        </is>
      </c>
      <c r="C33404">
        <f>ROMAN(33403)</f>
        <v/>
      </c>
      <c r="D33404">
        <f>IF(B33404=C33404, "YES", "WRONG")</f>
        <v/>
      </c>
    </row>
    <row r="33405">
      <c r="A33405" t="n">
        <v>33404</v>
      </c>
      <c r="B33405" t="inlineStr">
        <is>
          <t>x̄x̄x̄MMMCDIV</t>
        </is>
      </c>
      <c r="C33405">
        <f>ROMAN(33404)</f>
        <v/>
      </c>
      <c r="D33405">
        <f>IF(B33405=C33405, "YES", "WRONG")</f>
        <v/>
      </c>
    </row>
    <row r="33406">
      <c r="A33406" t="n">
        <v>33405</v>
      </c>
      <c r="B33406" t="inlineStr">
        <is>
          <t>x̄x̄x̄MMMCDV</t>
        </is>
      </c>
      <c r="C33406">
        <f>ROMAN(33405)</f>
        <v/>
      </c>
      <c r="D33406">
        <f>IF(B33406=C33406, "YES", "WRONG")</f>
        <v/>
      </c>
    </row>
    <row r="33407">
      <c r="A33407" t="n">
        <v>33406</v>
      </c>
      <c r="B33407" t="inlineStr">
        <is>
          <t>x̄x̄x̄MMMCDVI</t>
        </is>
      </c>
      <c r="C33407">
        <f>ROMAN(33406)</f>
        <v/>
      </c>
      <c r="D33407">
        <f>IF(B33407=C33407, "YES", "WRONG")</f>
        <v/>
      </c>
    </row>
    <row r="33408">
      <c r="A33408" t="n">
        <v>33407</v>
      </c>
      <c r="B33408" t="inlineStr">
        <is>
          <t>x̄x̄x̄MMMCDVII</t>
        </is>
      </c>
      <c r="C33408">
        <f>ROMAN(33407)</f>
        <v/>
      </c>
      <c r="D33408">
        <f>IF(B33408=C33408, "YES", "WRONG")</f>
        <v/>
      </c>
    </row>
    <row r="33409">
      <c r="A33409" t="n">
        <v>33408</v>
      </c>
      <c r="B33409" t="inlineStr">
        <is>
          <t>x̄x̄x̄MMMCDVIII</t>
        </is>
      </c>
      <c r="C33409">
        <f>ROMAN(33408)</f>
        <v/>
      </c>
      <c r="D33409">
        <f>IF(B33409=C33409, "YES", "WRONG")</f>
        <v/>
      </c>
    </row>
    <row r="33410">
      <c r="A33410" t="n">
        <v>33409</v>
      </c>
      <c r="B33410" t="inlineStr">
        <is>
          <t>x̄x̄x̄MMMCDIX</t>
        </is>
      </c>
      <c r="C33410">
        <f>ROMAN(33409)</f>
        <v/>
      </c>
      <c r="D33410">
        <f>IF(B33410=C33410, "YES", "WRONG")</f>
        <v/>
      </c>
    </row>
    <row r="33411">
      <c r="A33411" t="n">
        <v>33410</v>
      </c>
      <c r="B33411" t="inlineStr">
        <is>
          <t>x̄x̄x̄MMMCDX</t>
        </is>
      </c>
      <c r="C33411">
        <f>ROMAN(33410)</f>
        <v/>
      </c>
      <c r="D33411">
        <f>IF(B33411=C33411, "YES", "WRONG")</f>
        <v/>
      </c>
    </row>
    <row r="33412">
      <c r="A33412" t="n">
        <v>33411</v>
      </c>
      <c r="B33412" t="inlineStr">
        <is>
          <t>x̄x̄x̄MMMCDXI</t>
        </is>
      </c>
      <c r="C33412">
        <f>ROMAN(33411)</f>
        <v/>
      </c>
      <c r="D33412">
        <f>IF(B33412=C33412, "YES", "WRONG")</f>
        <v/>
      </c>
    </row>
    <row r="33413">
      <c r="A33413" t="n">
        <v>33412</v>
      </c>
      <c r="B33413" t="inlineStr">
        <is>
          <t>x̄x̄x̄MMMCDXII</t>
        </is>
      </c>
      <c r="C33413">
        <f>ROMAN(33412)</f>
        <v/>
      </c>
      <c r="D33413">
        <f>IF(B33413=C33413, "YES", "WRONG")</f>
        <v/>
      </c>
    </row>
    <row r="33414">
      <c r="A33414" t="n">
        <v>33413</v>
      </c>
      <c r="B33414" t="inlineStr">
        <is>
          <t>x̄x̄x̄MMMCDXIII</t>
        </is>
      </c>
      <c r="C33414">
        <f>ROMAN(33413)</f>
        <v/>
      </c>
      <c r="D33414">
        <f>IF(B33414=C33414, "YES", "WRONG")</f>
        <v/>
      </c>
    </row>
    <row r="33415">
      <c r="A33415" t="n">
        <v>33414</v>
      </c>
      <c r="B33415" t="inlineStr">
        <is>
          <t>x̄x̄x̄MMMCDXIV</t>
        </is>
      </c>
      <c r="C33415">
        <f>ROMAN(33414)</f>
        <v/>
      </c>
      <c r="D33415">
        <f>IF(B33415=C33415, "YES", "WRONG")</f>
        <v/>
      </c>
    </row>
    <row r="33416">
      <c r="A33416" t="n">
        <v>33415</v>
      </c>
      <c r="B33416" t="inlineStr">
        <is>
          <t>x̄x̄x̄MMMCDXV</t>
        </is>
      </c>
      <c r="C33416">
        <f>ROMAN(33415)</f>
        <v/>
      </c>
      <c r="D33416">
        <f>IF(B33416=C33416, "YES", "WRONG")</f>
        <v/>
      </c>
    </row>
    <row r="33417">
      <c r="A33417" t="n">
        <v>33416</v>
      </c>
      <c r="B33417" t="inlineStr">
        <is>
          <t>x̄x̄x̄MMMCDXVI</t>
        </is>
      </c>
      <c r="C33417">
        <f>ROMAN(33416)</f>
        <v/>
      </c>
      <c r="D33417">
        <f>IF(B33417=C33417, "YES", "WRONG")</f>
        <v/>
      </c>
    </row>
    <row r="33418">
      <c r="A33418" t="n">
        <v>33417</v>
      </c>
      <c r="B33418" t="inlineStr">
        <is>
          <t>x̄x̄x̄MMMCDXVII</t>
        </is>
      </c>
      <c r="C33418">
        <f>ROMAN(33417)</f>
        <v/>
      </c>
      <c r="D33418">
        <f>IF(B33418=C33418, "YES", "WRONG")</f>
        <v/>
      </c>
    </row>
    <row r="33419">
      <c r="A33419" t="n">
        <v>33418</v>
      </c>
      <c r="B33419" t="inlineStr">
        <is>
          <t>x̄x̄x̄MMMCDXVIII</t>
        </is>
      </c>
      <c r="C33419">
        <f>ROMAN(33418)</f>
        <v/>
      </c>
      <c r="D33419">
        <f>IF(B33419=C33419, "YES", "WRONG")</f>
        <v/>
      </c>
    </row>
    <row r="33420">
      <c r="A33420" t="n">
        <v>33419</v>
      </c>
      <c r="B33420" t="inlineStr">
        <is>
          <t>x̄x̄x̄MMMCDXIX</t>
        </is>
      </c>
      <c r="C33420">
        <f>ROMAN(33419)</f>
        <v/>
      </c>
      <c r="D33420">
        <f>IF(B33420=C33420, "YES", "WRONG")</f>
        <v/>
      </c>
    </row>
    <row r="33421">
      <c r="A33421" t="n">
        <v>33420</v>
      </c>
      <c r="B33421" t="inlineStr">
        <is>
          <t>x̄x̄x̄MMMCDXX</t>
        </is>
      </c>
      <c r="C33421">
        <f>ROMAN(33420)</f>
        <v/>
      </c>
      <c r="D33421">
        <f>IF(B33421=C33421, "YES", "WRONG")</f>
        <v/>
      </c>
    </row>
    <row r="33422">
      <c r="A33422" t="n">
        <v>33421</v>
      </c>
      <c r="B33422" t="inlineStr">
        <is>
          <t>x̄x̄x̄MMMCDXXI</t>
        </is>
      </c>
      <c r="C33422">
        <f>ROMAN(33421)</f>
        <v/>
      </c>
      <c r="D33422">
        <f>IF(B33422=C33422, "YES", "WRONG")</f>
        <v/>
      </c>
    </row>
    <row r="33423">
      <c r="A33423" t="n">
        <v>33422</v>
      </c>
      <c r="B33423" t="inlineStr">
        <is>
          <t>x̄x̄x̄MMMCDXXII</t>
        </is>
      </c>
      <c r="C33423">
        <f>ROMAN(33422)</f>
        <v/>
      </c>
      <c r="D33423">
        <f>IF(B33423=C33423, "YES", "WRONG")</f>
        <v/>
      </c>
    </row>
    <row r="33424">
      <c r="A33424" t="n">
        <v>33423</v>
      </c>
      <c r="B33424" t="inlineStr">
        <is>
          <t>x̄x̄x̄MMMCDXXIII</t>
        </is>
      </c>
      <c r="C33424">
        <f>ROMAN(33423)</f>
        <v/>
      </c>
      <c r="D33424">
        <f>IF(B33424=C33424, "YES", "WRONG")</f>
        <v/>
      </c>
    </row>
    <row r="33425">
      <c r="A33425" t="n">
        <v>33424</v>
      </c>
      <c r="B33425" t="inlineStr">
        <is>
          <t>x̄x̄x̄MMMCDXXIV</t>
        </is>
      </c>
      <c r="C33425">
        <f>ROMAN(33424)</f>
        <v/>
      </c>
      <c r="D33425">
        <f>IF(B33425=C33425, "YES", "WRONG")</f>
        <v/>
      </c>
    </row>
    <row r="33426">
      <c r="A33426" t="n">
        <v>33425</v>
      </c>
      <c r="B33426" t="inlineStr">
        <is>
          <t>x̄x̄x̄MMMCDXXV</t>
        </is>
      </c>
      <c r="C33426">
        <f>ROMAN(33425)</f>
        <v/>
      </c>
      <c r="D33426">
        <f>IF(B33426=C33426, "YES", "WRONG")</f>
        <v/>
      </c>
    </row>
    <row r="33427">
      <c r="A33427" t="n">
        <v>33426</v>
      </c>
      <c r="B33427" t="inlineStr">
        <is>
          <t>x̄x̄x̄MMMCDXXVI</t>
        </is>
      </c>
      <c r="C33427">
        <f>ROMAN(33426)</f>
        <v/>
      </c>
      <c r="D33427">
        <f>IF(B33427=C33427, "YES", "WRONG")</f>
        <v/>
      </c>
    </row>
    <row r="33428">
      <c r="A33428" t="n">
        <v>33427</v>
      </c>
      <c r="B33428" t="inlineStr">
        <is>
          <t>x̄x̄x̄MMMCDXXVII</t>
        </is>
      </c>
      <c r="C33428">
        <f>ROMAN(33427)</f>
        <v/>
      </c>
      <c r="D33428">
        <f>IF(B33428=C33428, "YES", "WRONG")</f>
        <v/>
      </c>
    </row>
    <row r="33429">
      <c r="A33429" t="n">
        <v>33428</v>
      </c>
      <c r="B33429" t="inlineStr">
        <is>
          <t>x̄x̄x̄MMMCDXXVIII</t>
        </is>
      </c>
      <c r="C33429">
        <f>ROMAN(33428)</f>
        <v/>
      </c>
      <c r="D33429">
        <f>IF(B33429=C33429, "YES", "WRONG")</f>
        <v/>
      </c>
    </row>
    <row r="33430">
      <c r="A33430" t="n">
        <v>33429</v>
      </c>
      <c r="B33430" t="inlineStr">
        <is>
          <t>x̄x̄x̄MMMCDXXIX</t>
        </is>
      </c>
      <c r="C33430">
        <f>ROMAN(33429)</f>
        <v/>
      </c>
      <c r="D33430">
        <f>IF(B33430=C33430, "YES", "WRONG")</f>
        <v/>
      </c>
    </row>
    <row r="33431">
      <c r="A33431" t="n">
        <v>33430</v>
      </c>
      <c r="B33431" t="inlineStr">
        <is>
          <t>x̄x̄x̄MMMCDXXX</t>
        </is>
      </c>
      <c r="C33431">
        <f>ROMAN(33430)</f>
        <v/>
      </c>
      <c r="D33431">
        <f>IF(B33431=C33431, "YES", "WRONG")</f>
        <v/>
      </c>
    </row>
    <row r="33432">
      <c r="A33432" t="n">
        <v>33431</v>
      </c>
      <c r="B33432" t="inlineStr">
        <is>
          <t>x̄x̄x̄MMMCDXXXI</t>
        </is>
      </c>
      <c r="C33432">
        <f>ROMAN(33431)</f>
        <v/>
      </c>
      <c r="D33432">
        <f>IF(B33432=C33432, "YES", "WRONG")</f>
        <v/>
      </c>
    </row>
    <row r="33433">
      <c r="A33433" t="n">
        <v>33432</v>
      </c>
      <c r="B33433" t="inlineStr">
        <is>
          <t>x̄x̄x̄MMMCDXXXII</t>
        </is>
      </c>
      <c r="C33433">
        <f>ROMAN(33432)</f>
        <v/>
      </c>
      <c r="D33433">
        <f>IF(B33433=C33433, "YES", "WRONG")</f>
        <v/>
      </c>
    </row>
    <row r="33434">
      <c r="A33434" t="n">
        <v>33433</v>
      </c>
      <c r="B33434" t="inlineStr">
        <is>
          <t>x̄x̄x̄MMMCDXXXIII</t>
        </is>
      </c>
      <c r="C33434">
        <f>ROMAN(33433)</f>
        <v/>
      </c>
      <c r="D33434">
        <f>IF(B33434=C33434, "YES", "WRONG")</f>
        <v/>
      </c>
    </row>
    <row r="33435">
      <c r="A33435" t="n">
        <v>33434</v>
      </c>
      <c r="B33435" t="inlineStr">
        <is>
          <t>x̄x̄x̄MMMCDXXXIV</t>
        </is>
      </c>
      <c r="C33435">
        <f>ROMAN(33434)</f>
        <v/>
      </c>
      <c r="D33435">
        <f>IF(B33435=C33435, "YES", "WRONG")</f>
        <v/>
      </c>
    </row>
    <row r="33436">
      <c r="A33436" t="n">
        <v>33435</v>
      </c>
      <c r="B33436" t="inlineStr">
        <is>
          <t>x̄x̄x̄MMMCDXXXV</t>
        </is>
      </c>
      <c r="C33436">
        <f>ROMAN(33435)</f>
        <v/>
      </c>
      <c r="D33436">
        <f>IF(B33436=C33436, "YES", "WRONG")</f>
        <v/>
      </c>
    </row>
    <row r="33437">
      <c r="A33437" t="n">
        <v>33436</v>
      </c>
      <c r="B33437" t="inlineStr">
        <is>
          <t>x̄x̄x̄MMMCDXXXVI</t>
        </is>
      </c>
      <c r="C33437">
        <f>ROMAN(33436)</f>
        <v/>
      </c>
      <c r="D33437">
        <f>IF(B33437=C33437, "YES", "WRONG")</f>
        <v/>
      </c>
    </row>
    <row r="33438">
      <c r="A33438" t="n">
        <v>33437</v>
      </c>
      <c r="B33438" t="inlineStr">
        <is>
          <t>x̄x̄x̄MMMCDXXXVII</t>
        </is>
      </c>
      <c r="C33438">
        <f>ROMAN(33437)</f>
        <v/>
      </c>
      <c r="D33438">
        <f>IF(B33438=C33438, "YES", "WRONG")</f>
        <v/>
      </c>
    </row>
    <row r="33439">
      <c r="A33439" t="n">
        <v>33438</v>
      </c>
      <c r="B33439" t="inlineStr">
        <is>
          <t>x̄x̄x̄MMMCDXXXVIII</t>
        </is>
      </c>
      <c r="C33439">
        <f>ROMAN(33438)</f>
        <v/>
      </c>
      <c r="D33439">
        <f>IF(B33439=C33439, "YES", "WRONG")</f>
        <v/>
      </c>
    </row>
    <row r="33440">
      <c r="A33440" t="n">
        <v>33439</v>
      </c>
      <c r="B33440" t="inlineStr">
        <is>
          <t>x̄x̄x̄MMMCDXXXIX</t>
        </is>
      </c>
      <c r="C33440">
        <f>ROMAN(33439)</f>
        <v/>
      </c>
      <c r="D33440">
        <f>IF(B33440=C33440, "YES", "WRONG")</f>
        <v/>
      </c>
    </row>
    <row r="33441">
      <c r="A33441" t="n">
        <v>33440</v>
      </c>
      <c r="B33441" t="inlineStr">
        <is>
          <t>x̄x̄x̄MMMCDXL</t>
        </is>
      </c>
      <c r="C33441">
        <f>ROMAN(33440)</f>
        <v/>
      </c>
      <c r="D33441">
        <f>IF(B33441=C33441, "YES", "WRONG")</f>
        <v/>
      </c>
    </row>
    <row r="33442">
      <c r="A33442" t="n">
        <v>33441</v>
      </c>
      <c r="B33442" t="inlineStr">
        <is>
          <t>x̄x̄x̄MMMCDXLI</t>
        </is>
      </c>
      <c r="C33442">
        <f>ROMAN(33441)</f>
        <v/>
      </c>
      <c r="D33442">
        <f>IF(B33442=C33442, "YES", "WRONG")</f>
        <v/>
      </c>
    </row>
    <row r="33443">
      <c r="A33443" t="n">
        <v>33442</v>
      </c>
      <c r="B33443" t="inlineStr">
        <is>
          <t>x̄x̄x̄MMMCDXLII</t>
        </is>
      </c>
      <c r="C33443">
        <f>ROMAN(33442)</f>
        <v/>
      </c>
      <c r="D33443">
        <f>IF(B33443=C33443, "YES", "WRONG")</f>
        <v/>
      </c>
    </row>
    <row r="33444">
      <c r="A33444" t="n">
        <v>33443</v>
      </c>
      <c r="B33444" t="inlineStr">
        <is>
          <t>x̄x̄x̄MMMCDXLIII</t>
        </is>
      </c>
      <c r="C33444">
        <f>ROMAN(33443)</f>
        <v/>
      </c>
      <c r="D33444">
        <f>IF(B33444=C33444, "YES", "WRONG")</f>
        <v/>
      </c>
    </row>
    <row r="33445">
      <c r="A33445" t="n">
        <v>33444</v>
      </c>
      <c r="B33445" t="inlineStr">
        <is>
          <t>x̄x̄x̄MMMCDXLIV</t>
        </is>
      </c>
      <c r="C33445">
        <f>ROMAN(33444)</f>
        <v/>
      </c>
      <c r="D33445">
        <f>IF(B33445=C33445, "YES", "WRONG")</f>
        <v/>
      </c>
    </row>
    <row r="33446">
      <c r="A33446" t="n">
        <v>33445</v>
      </c>
      <c r="B33446" t="inlineStr">
        <is>
          <t>x̄x̄x̄MMMCDXLV</t>
        </is>
      </c>
      <c r="C33446">
        <f>ROMAN(33445)</f>
        <v/>
      </c>
      <c r="D33446">
        <f>IF(B33446=C33446, "YES", "WRONG")</f>
        <v/>
      </c>
    </row>
    <row r="33447">
      <c r="A33447" t="n">
        <v>33446</v>
      </c>
      <c r="B33447" t="inlineStr">
        <is>
          <t>x̄x̄x̄MMMCDXLVI</t>
        </is>
      </c>
      <c r="C33447">
        <f>ROMAN(33446)</f>
        <v/>
      </c>
      <c r="D33447">
        <f>IF(B33447=C33447, "YES", "WRONG")</f>
        <v/>
      </c>
    </row>
    <row r="33448">
      <c r="A33448" t="n">
        <v>33447</v>
      </c>
      <c r="B33448" t="inlineStr">
        <is>
          <t>x̄x̄x̄MMMCDXLVII</t>
        </is>
      </c>
      <c r="C33448">
        <f>ROMAN(33447)</f>
        <v/>
      </c>
      <c r="D33448">
        <f>IF(B33448=C33448, "YES", "WRONG")</f>
        <v/>
      </c>
    </row>
    <row r="33449">
      <c r="A33449" t="n">
        <v>33448</v>
      </c>
      <c r="B33449" t="inlineStr">
        <is>
          <t>x̄x̄x̄MMMCDXLVIII</t>
        </is>
      </c>
      <c r="C33449">
        <f>ROMAN(33448)</f>
        <v/>
      </c>
      <c r="D33449">
        <f>IF(B33449=C33449, "YES", "WRONG")</f>
        <v/>
      </c>
    </row>
    <row r="33450">
      <c r="A33450" t="n">
        <v>33449</v>
      </c>
      <c r="B33450" t="inlineStr">
        <is>
          <t>x̄x̄x̄MMMCDXLIX</t>
        </is>
      </c>
      <c r="C33450">
        <f>ROMAN(33449)</f>
        <v/>
      </c>
      <c r="D33450">
        <f>IF(B33450=C33450, "YES", "WRONG")</f>
        <v/>
      </c>
    </row>
    <row r="33451">
      <c r="A33451" t="n">
        <v>33450</v>
      </c>
      <c r="B33451" t="inlineStr">
        <is>
          <t>x̄x̄x̄MMMCDL</t>
        </is>
      </c>
      <c r="C33451">
        <f>ROMAN(33450)</f>
        <v/>
      </c>
      <c r="D33451">
        <f>IF(B33451=C33451, "YES", "WRONG")</f>
        <v/>
      </c>
    </row>
    <row r="33452">
      <c r="A33452" t="n">
        <v>33451</v>
      </c>
      <c r="B33452" t="inlineStr">
        <is>
          <t>x̄x̄x̄MMMCDLI</t>
        </is>
      </c>
      <c r="C33452">
        <f>ROMAN(33451)</f>
        <v/>
      </c>
      <c r="D33452">
        <f>IF(B33452=C33452, "YES", "WRONG")</f>
        <v/>
      </c>
    </row>
    <row r="33453">
      <c r="A33453" t="n">
        <v>33452</v>
      </c>
      <c r="B33453" t="inlineStr">
        <is>
          <t>x̄x̄x̄MMMCDLII</t>
        </is>
      </c>
      <c r="C33453">
        <f>ROMAN(33452)</f>
        <v/>
      </c>
      <c r="D33453">
        <f>IF(B33453=C33453, "YES", "WRONG")</f>
        <v/>
      </c>
    </row>
    <row r="33454">
      <c r="A33454" t="n">
        <v>33453</v>
      </c>
      <c r="B33454" t="inlineStr">
        <is>
          <t>x̄x̄x̄MMMCDLIII</t>
        </is>
      </c>
      <c r="C33454">
        <f>ROMAN(33453)</f>
        <v/>
      </c>
      <c r="D33454">
        <f>IF(B33454=C33454, "YES", "WRONG")</f>
        <v/>
      </c>
    </row>
    <row r="33455">
      <c r="A33455" t="n">
        <v>33454</v>
      </c>
      <c r="B33455" t="inlineStr">
        <is>
          <t>x̄x̄x̄MMMCDLIV</t>
        </is>
      </c>
      <c r="C33455">
        <f>ROMAN(33454)</f>
        <v/>
      </c>
      <c r="D33455">
        <f>IF(B33455=C33455, "YES", "WRONG")</f>
        <v/>
      </c>
    </row>
    <row r="33456">
      <c r="A33456" t="n">
        <v>33455</v>
      </c>
      <c r="B33456" t="inlineStr">
        <is>
          <t>x̄x̄x̄MMMCDLV</t>
        </is>
      </c>
      <c r="C33456">
        <f>ROMAN(33455)</f>
        <v/>
      </c>
      <c r="D33456">
        <f>IF(B33456=C33456, "YES", "WRONG")</f>
        <v/>
      </c>
    </row>
    <row r="33457">
      <c r="A33457" t="n">
        <v>33456</v>
      </c>
      <c r="B33457" t="inlineStr">
        <is>
          <t>x̄x̄x̄MMMCDLVI</t>
        </is>
      </c>
      <c r="C33457">
        <f>ROMAN(33456)</f>
        <v/>
      </c>
      <c r="D33457">
        <f>IF(B33457=C33457, "YES", "WRONG")</f>
        <v/>
      </c>
    </row>
    <row r="33458">
      <c r="A33458" t="n">
        <v>33457</v>
      </c>
      <c r="B33458" t="inlineStr">
        <is>
          <t>x̄x̄x̄MMMCDLVII</t>
        </is>
      </c>
      <c r="C33458">
        <f>ROMAN(33457)</f>
        <v/>
      </c>
      <c r="D33458">
        <f>IF(B33458=C33458, "YES", "WRONG")</f>
        <v/>
      </c>
    </row>
    <row r="33459">
      <c r="A33459" t="n">
        <v>33458</v>
      </c>
      <c r="B33459" t="inlineStr">
        <is>
          <t>x̄x̄x̄MMMCDLVIII</t>
        </is>
      </c>
      <c r="C33459">
        <f>ROMAN(33458)</f>
        <v/>
      </c>
      <c r="D33459">
        <f>IF(B33459=C33459, "YES", "WRONG")</f>
        <v/>
      </c>
    </row>
    <row r="33460">
      <c r="A33460" t="n">
        <v>33459</v>
      </c>
      <c r="B33460" t="inlineStr">
        <is>
          <t>x̄x̄x̄MMMCDLIX</t>
        </is>
      </c>
      <c r="C33460">
        <f>ROMAN(33459)</f>
        <v/>
      </c>
      <c r="D33460">
        <f>IF(B33460=C33460, "YES", "WRONG")</f>
        <v/>
      </c>
    </row>
    <row r="33461">
      <c r="A33461" t="n">
        <v>33460</v>
      </c>
      <c r="B33461" t="inlineStr">
        <is>
          <t>x̄x̄x̄MMMCDLX</t>
        </is>
      </c>
      <c r="C33461">
        <f>ROMAN(33460)</f>
        <v/>
      </c>
      <c r="D33461">
        <f>IF(B33461=C33461, "YES", "WRONG")</f>
        <v/>
      </c>
    </row>
    <row r="33462">
      <c r="A33462" t="n">
        <v>33461</v>
      </c>
      <c r="B33462" t="inlineStr">
        <is>
          <t>x̄x̄x̄MMMCDLXI</t>
        </is>
      </c>
      <c r="C33462">
        <f>ROMAN(33461)</f>
        <v/>
      </c>
      <c r="D33462">
        <f>IF(B33462=C33462, "YES", "WRONG")</f>
        <v/>
      </c>
    </row>
    <row r="33463">
      <c r="A33463" t="n">
        <v>33462</v>
      </c>
      <c r="B33463" t="inlineStr">
        <is>
          <t>x̄x̄x̄MMMCDLXII</t>
        </is>
      </c>
      <c r="C33463">
        <f>ROMAN(33462)</f>
        <v/>
      </c>
      <c r="D33463">
        <f>IF(B33463=C33463, "YES", "WRONG")</f>
        <v/>
      </c>
    </row>
    <row r="33464">
      <c r="A33464" t="n">
        <v>33463</v>
      </c>
      <c r="B33464" t="inlineStr">
        <is>
          <t>x̄x̄x̄MMMCDLXIII</t>
        </is>
      </c>
      <c r="C33464">
        <f>ROMAN(33463)</f>
        <v/>
      </c>
      <c r="D33464">
        <f>IF(B33464=C33464, "YES", "WRONG")</f>
        <v/>
      </c>
    </row>
    <row r="33465">
      <c r="A33465" t="n">
        <v>33464</v>
      </c>
      <c r="B33465" t="inlineStr">
        <is>
          <t>x̄x̄x̄MMMCDLXIV</t>
        </is>
      </c>
      <c r="C33465">
        <f>ROMAN(33464)</f>
        <v/>
      </c>
      <c r="D33465">
        <f>IF(B33465=C33465, "YES", "WRONG")</f>
        <v/>
      </c>
    </row>
    <row r="33466">
      <c r="A33466" t="n">
        <v>33465</v>
      </c>
      <c r="B33466" t="inlineStr">
        <is>
          <t>x̄x̄x̄MMMCDLXV</t>
        </is>
      </c>
      <c r="C33466">
        <f>ROMAN(33465)</f>
        <v/>
      </c>
      <c r="D33466">
        <f>IF(B33466=C33466, "YES", "WRONG")</f>
        <v/>
      </c>
    </row>
    <row r="33467">
      <c r="A33467" t="n">
        <v>33466</v>
      </c>
      <c r="B33467" t="inlineStr">
        <is>
          <t>x̄x̄x̄MMMCDLXVI</t>
        </is>
      </c>
      <c r="C33467">
        <f>ROMAN(33466)</f>
        <v/>
      </c>
      <c r="D33467">
        <f>IF(B33467=C33467, "YES", "WRONG")</f>
        <v/>
      </c>
    </row>
    <row r="33468">
      <c r="A33468" t="n">
        <v>33467</v>
      </c>
      <c r="B33468" t="inlineStr">
        <is>
          <t>x̄x̄x̄MMMCDLXVII</t>
        </is>
      </c>
      <c r="C33468">
        <f>ROMAN(33467)</f>
        <v/>
      </c>
      <c r="D33468">
        <f>IF(B33468=C33468, "YES", "WRONG")</f>
        <v/>
      </c>
    </row>
    <row r="33469">
      <c r="A33469" t="n">
        <v>33468</v>
      </c>
      <c r="B33469" t="inlineStr">
        <is>
          <t>x̄x̄x̄MMMCDLXVIII</t>
        </is>
      </c>
      <c r="C33469">
        <f>ROMAN(33468)</f>
        <v/>
      </c>
      <c r="D33469">
        <f>IF(B33469=C33469, "YES", "WRONG")</f>
        <v/>
      </c>
    </row>
    <row r="33470">
      <c r="A33470" t="n">
        <v>33469</v>
      </c>
      <c r="B33470" t="inlineStr">
        <is>
          <t>x̄x̄x̄MMMCDLXIX</t>
        </is>
      </c>
      <c r="C33470">
        <f>ROMAN(33469)</f>
        <v/>
      </c>
      <c r="D33470">
        <f>IF(B33470=C33470, "YES", "WRONG")</f>
        <v/>
      </c>
    </row>
    <row r="33471">
      <c r="A33471" t="n">
        <v>33470</v>
      </c>
      <c r="B33471" t="inlineStr">
        <is>
          <t>x̄x̄x̄MMMCDLXX</t>
        </is>
      </c>
      <c r="C33471">
        <f>ROMAN(33470)</f>
        <v/>
      </c>
      <c r="D33471">
        <f>IF(B33471=C33471, "YES", "WRONG")</f>
        <v/>
      </c>
    </row>
    <row r="33472">
      <c r="A33472" t="n">
        <v>33471</v>
      </c>
      <c r="B33472" t="inlineStr">
        <is>
          <t>x̄x̄x̄MMMCDLXXI</t>
        </is>
      </c>
      <c r="C33472">
        <f>ROMAN(33471)</f>
        <v/>
      </c>
      <c r="D33472">
        <f>IF(B33472=C33472, "YES", "WRONG")</f>
        <v/>
      </c>
    </row>
    <row r="33473">
      <c r="A33473" t="n">
        <v>33472</v>
      </c>
      <c r="B33473" t="inlineStr">
        <is>
          <t>x̄x̄x̄MMMCDLXXII</t>
        </is>
      </c>
      <c r="C33473">
        <f>ROMAN(33472)</f>
        <v/>
      </c>
      <c r="D33473">
        <f>IF(B33473=C33473, "YES", "WRONG")</f>
        <v/>
      </c>
    </row>
    <row r="33474">
      <c r="A33474" t="n">
        <v>33473</v>
      </c>
      <c r="B33474" t="inlineStr">
        <is>
          <t>x̄x̄x̄MMMCDLXXIII</t>
        </is>
      </c>
      <c r="C33474">
        <f>ROMAN(33473)</f>
        <v/>
      </c>
      <c r="D33474">
        <f>IF(B33474=C33474, "YES", "WRONG")</f>
        <v/>
      </c>
    </row>
    <row r="33475">
      <c r="A33475" t="n">
        <v>33474</v>
      </c>
      <c r="B33475" t="inlineStr">
        <is>
          <t>x̄x̄x̄MMMCDLXXIV</t>
        </is>
      </c>
      <c r="C33475">
        <f>ROMAN(33474)</f>
        <v/>
      </c>
      <c r="D33475">
        <f>IF(B33475=C33475, "YES", "WRONG")</f>
        <v/>
      </c>
    </row>
    <row r="33476">
      <c r="A33476" t="n">
        <v>33475</v>
      </c>
      <c r="B33476" t="inlineStr">
        <is>
          <t>x̄x̄x̄MMMCDLXXV</t>
        </is>
      </c>
      <c r="C33476">
        <f>ROMAN(33475)</f>
        <v/>
      </c>
      <c r="D33476">
        <f>IF(B33476=C33476, "YES", "WRONG")</f>
        <v/>
      </c>
    </row>
    <row r="33477">
      <c r="A33477" t="n">
        <v>33476</v>
      </c>
      <c r="B33477" t="inlineStr">
        <is>
          <t>x̄x̄x̄MMMCDLXXVI</t>
        </is>
      </c>
      <c r="C33477">
        <f>ROMAN(33476)</f>
        <v/>
      </c>
      <c r="D33477">
        <f>IF(B33477=C33477, "YES", "WRONG")</f>
        <v/>
      </c>
    </row>
    <row r="33478">
      <c r="A33478" t="n">
        <v>33477</v>
      </c>
      <c r="B33478" t="inlineStr">
        <is>
          <t>x̄x̄x̄MMMCDLXXVII</t>
        </is>
      </c>
      <c r="C33478">
        <f>ROMAN(33477)</f>
        <v/>
      </c>
      <c r="D33478">
        <f>IF(B33478=C33478, "YES", "WRONG")</f>
        <v/>
      </c>
    </row>
    <row r="33479">
      <c r="A33479" t="n">
        <v>33478</v>
      </c>
      <c r="B33479" t="inlineStr">
        <is>
          <t>x̄x̄x̄MMMCDLXXVIII</t>
        </is>
      </c>
      <c r="C33479">
        <f>ROMAN(33478)</f>
        <v/>
      </c>
      <c r="D33479">
        <f>IF(B33479=C33479, "YES", "WRONG")</f>
        <v/>
      </c>
    </row>
    <row r="33480">
      <c r="A33480" t="n">
        <v>33479</v>
      </c>
      <c r="B33480" t="inlineStr">
        <is>
          <t>x̄x̄x̄MMMCDLXXIX</t>
        </is>
      </c>
      <c r="C33480">
        <f>ROMAN(33479)</f>
        <v/>
      </c>
      <c r="D33480">
        <f>IF(B33480=C33480, "YES", "WRONG")</f>
        <v/>
      </c>
    </row>
    <row r="33481">
      <c r="A33481" t="n">
        <v>33480</v>
      </c>
      <c r="B33481" t="inlineStr">
        <is>
          <t>x̄x̄x̄MMMCDLXXX</t>
        </is>
      </c>
      <c r="C33481">
        <f>ROMAN(33480)</f>
        <v/>
      </c>
      <c r="D33481">
        <f>IF(B33481=C33481, "YES", "WRONG")</f>
        <v/>
      </c>
    </row>
    <row r="33482">
      <c r="A33482" t="n">
        <v>33481</v>
      </c>
      <c r="B33482" t="inlineStr">
        <is>
          <t>x̄x̄x̄MMMCDLXXXI</t>
        </is>
      </c>
      <c r="C33482">
        <f>ROMAN(33481)</f>
        <v/>
      </c>
      <c r="D33482">
        <f>IF(B33482=C33482, "YES", "WRONG")</f>
        <v/>
      </c>
    </row>
    <row r="33483">
      <c r="A33483" t="n">
        <v>33482</v>
      </c>
      <c r="B33483" t="inlineStr">
        <is>
          <t>x̄x̄x̄MMMCDLXXXII</t>
        </is>
      </c>
      <c r="C33483">
        <f>ROMAN(33482)</f>
        <v/>
      </c>
      <c r="D33483">
        <f>IF(B33483=C33483, "YES", "WRONG")</f>
        <v/>
      </c>
    </row>
    <row r="33484">
      <c r="A33484" t="n">
        <v>33483</v>
      </c>
      <c r="B33484" t="inlineStr">
        <is>
          <t>x̄x̄x̄MMMCDLXXXIII</t>
        </is>
      </c>
      <c r="C33484">
        <f>ROMAN(33483)</f>
        <v/>
      </c>
      <c r="D33484">
        <f>IF(B33484=C33484, "YES", "WRONG")</f>
        <v/>
      </c>
    </row>
    <row r="33485">
      <c r="A33485" t="n">
        <v>33484</v>
      </c>
      <c r="B33485" t="inlineStr">
        <is>
          <t>x̄x̄x̄MMMCDLXXXIV</t>
        </is>
      </c>
      <c r="C33485">
        <f>ROMAN(33484)</f>
        <v/>
      </c>
      <c r="D33485">
        <f>IF(B33485=C33485, "YES", "WRONG")</f>
        <v/>
      </c>
    </row>
    <row r="33486">
      <c r="A33486" t="n">
        <v>33485</v>
      </c>
      <c r="B33486" t="inlineStr">
        <is>
          <t>x̄x̄x̄MMMCDLXXXV</t>
        </is>
      </c>
      <c r="C33486">
        <f>ROMAN(33485)</f>
        <v/>
      </c>
      <c r="D33486">
        <f>IF(B33486=C33486, "YES", "WRONG")</f>
        <v/>
      </c>
    </row>
    <row r="33487">
      <c r="A33487" t="n">
        <v>33486</v>
      </c>
      <c r="B33487" t="inlineStr">
        <is>
          <t>x̄x̄x̄MMMCDLXXXVI</t>
        </is>
      </c>
      <c r="C33487">
        <f>ROMAN(33486)</f>
        <v/>
      </c>
      <c r="D33487">
        <f>IF(B33487=C33487, "YES", "WRONG")</f>
        <v/>
      </c>
    </row>
    <row r="33488">
      <c r="A33488" t="n">
        <v>33487</v>
      </c>
      <c r="B33488" t="inlineStr">
        <is>
          <t>x̄x̄x̄MMMCDLXXXVII</t>
        </is>
      </c>
      <c r="C33488">
        <f>ROMAN(33487)</f>
        <v/>
      </c>
      <c r="D33488">
        <f>IF(B33488=C33488, "YES", "WRONG")</f>
        <v/>
      </c>
    </row>
    <row r="33489">
      <c r="A33489" t="n">
        <v>33488</v>
      </c>
      <c r="B33489" t="inlineStr">
        <is>
          <t>x̄x̄x̄MMMCDLXXXVIII</t>
        </is>
      </c>
      <c r="C33489">
        <f>ROMAN(33488)</f>
        <v/>
      </c>
      <c r="D33489">
        <f>IF(B33489=C33489, "YES", "WRONG")</f>
        <v/>
      </c>
    </row>
    <row r="33490">
      <c r="A33490" t="n">
        <v>33489</v>
      </c>
      <c r="B33490" t="inlineStr">
        <is>
          <t>x̄x̄x̄MMMCDLXXXIX</t>
        </is>
      </c>
      <c r="C33490">
        <f>ROMAN(33489)</f>
        <v/>
      </c>
      <c r="D33490">
        <f>IF(B33490=C33490, "YES", "WRONG")</f>
        <v/>
      </c>
    </row>
    <row r="33491">
      <c r="A33491" t="n">
        <v>33490</v>
      </c>
      <c r="B33491" t="inlineStr">
        <is>
          <t>x̄x̄x̄MMMCDXC</t>
        </is>
      </c>
      <c r="C33491">
        <f>ROMAN(33490)</f>
        <v/>
      </c>
      <c r="D33491">
        <f>IF(B33491=C33491, "YES", "WRONG")</f>
        <v/>
      </c>
    </row>
    <row r="33492">
      <c r="A33492" t="n">
        <v>33491</v>
      </c>
      <c r="B33492" t="inlineStr">
        <is>
          <t>x̄x̄x̄MMMCDXCI</t>
        </is>
      </c>
      <c r="C33492">
        <f>ROMAN(33491)</f>
        <v/>
      </c>
      <c r="D33492">
        <f>IF(B33492=C33492, "YES", "WRONG")</f>
        <v/>
      </c>
    </row>
    <row r="33493">
      <c r="A33493" t="n">
        <v>33492</v>
      </c>
      <c r="B33493" t="inlineStr">
        <is>
          <t>x̄x̄x̄MMMCDXCII</t>
        </is>
      </c>
      <c r="C33493">
        <f>ROMAN(33492)</f>
        <v/>
      </c>
      <c r="D33493">
        <f>IF(B33493=C33493, "YES", "WRONG")</f>
        <v/>
      </c>
    </row>
    <row r="33494">
      <c r="A33494" t="n">
        <v>33493</v>
      </c>
      <c r="B33494" t="inlineStr">
        <is>
          <t>x̄x̄x̄MMMCDXCIII</t>
        </is>
      </c>
      <c r="C33494">
        <f>ROMAN(33493)</f>
        <v/>
      </c>
      <c r="D33494">
        <f>IF(B33494=C33494, "YES", "WRONG")</f>
        <v/>
      </c>
    </row>
    <row r="33495">
      <c r="A33495" t="n">
        <v>33494</v>
      </c>
      <c r="B33495" t="inlineStr">
        <is>
          <t>x̄x̄x̄MMMCDXCIV</t>
        </is>
      </c>
      <c r="C33495">
        <f>ROMAN(33494)</f>
        <v/>
      </c>
      <c r="D33495">
        <f>IF(B33495=C33495, "YES", "WRONG")</f>
        <v/>
      </c>
    </row>
    <row r="33496">
      <c r="A33496" t="n">
        <v>33495</v>
      </c>
      <c r="B33496" t="inlineStr">
        <is>
          <t>x̄x̄x̄MMMCDXCV</t>
        </is>
      </c>
      <c r="C33496">
        <f>ROMAN(33495)</f>
        <v/>
      </c>
      <c r="D33496">
        <f>IF(B33496=C33496, "YES", "WRONG")</f>
        <v/>
      </c>
    </row>
    <row r="33497">
      <c r="A33497" t="n">
        <v>33496</v>
      </c>
      <c r="B33497" t="inlineStr">
        <is>
          <t>x̄x̄x̄MMMCDXCVI</t>
        </is>
      </c>
      <c r="C33497">
        <f>ROMAN(33496)</f>
        <v/>
      </c>
      <c r="D33497">
        <f>IF(B33497=C33497, "YES", "WRONG")</f>
        <v/>
      </c>
    </row>
    <row r="33498">
      <c r="A33498" t="n">
        <v>33497</v>
      </c>
      <c r="B33498" t="inlineStr">
        <is>
          <t>x̄x̄x̄MMMCDXCVII</t>
        </is>
      </c>
      <c r="C33498">
        <f>ROMAN(33497)</f>
        <v/>
      </c>
      <c r="D33498">
        <f>IF(B33498=C33498, "YES", "WRONG")</f>
        <v/>
      </c>
    </row>
    <row r="33499">
      <c r="A33499" t="n">
        <v>33498</v>
      </c>
      <c r="B33499" t="inlineStr">
        <is>
          <t>x̄x̄x̄MMMCDXCVIII</t>
        </is>
      </c>
      <c r="C33499">
        <f>ROMAN(33498)</f>
        <v/>
      </c>
      <c r="D33499">
        <f>IF(B33499=C33499, "YES", "WRONG")</f>
        <v/>
      </c>
    </row>
    <row r="33500">
      <c r="A33500" t="n">
        <v>33499</v>
      </c>
      <c r="B33500" t="inlineStr">
        <is>
          <t>x̄x̄x̄MMMCDXCIX</t>
        </is>
      </c>
      <c r="C33500">
        <f>ROMAN(33499)</f>
        <v/>
      </c>
      <c r="D33500">
        <f>IF(B33500=C33500, "YES", "WRONG")</f>
        <v/>
      </c>
    </row>
    <row r="33501">
      <c r="A33501" t="n">
        <v>33500</v>
      </c>
      <c r="B33501" t="inlineStr">
        <is>
          <t>x̄x̄x̄MMMD</t>
        </is>
      </c>
      <c r="C33501">
        <f>ROMAN(33500)</f>
        <v/>
      </c>
      <c r="D33501">
        <f>IF(B33501=C33501, "YES", "WRONG")</f>
        <v/>
      </c>
    </row>
    <row r="33502">
      <c r="A33502" t="n">
        <v>33501</v>
      </c>
      <c r="B33502" t="inlineStr">
        <is>
          <t>x̄x̄x̄MMMDI</t>
        </is>
      </c>
      <c r="C33502">
        <f>ROMAN(33501)</f>
        <v/>
      </c>
      <c r="D33502">
        <f>IF(B33502=C33502, "YES", "WRONG")</f>
        <v/>
      </c>
    </row>
    <row r="33503">
      <c r="A33503" t="n">
        <v>33502</v>
      </c>
      <c r="B33503" t="inlineStr">
        <is>
          <t>x̄x̄x̄MMMDII</t>
        </is>
      </c>
      <c r="C33503">
        <f>ROMAN(33502)</f>
        <v/>
      </c>
      <c r="D33503">
        <f>IF(B33503=C33503, "YES", "WRONG")</f>
        <v/>
      </c>
    </row>
    <row r="33504">
      <c r="A33504" t="n">
        <v>33503</v>
      </c>
      <c r="B33504" t="inlineStr">
        <is>
          <t>x̄x̄x̄MMMDIII</t>
        </is>
      </c>
      <c r="C33504">
        <f>ROMAN(33503)</f>
        <v/>
      </c>
      <c r="D33504">
        <f>IF(B33504=C33504, "YES", "WRONG")</f>
        <v/>
      </c>
    </row>
    <row r="33505">
      <c r="A33505" t="n">
        <v>33504</v>
      </c>
      <c r="B33505" t="inlineStr">
        <is>
          <t>x̄x̄x̄MMMDIV</t>
        </is>
      </c>
      <c r="C33505">
        <f>ROMAN(33504)</f>
        <v/>
      </c>
      <c r="D33505">
        <f>IF(B33505=C33505, "YES", "WRONG")</f>
        <v/>
      </c>
    </row>
    <row r="33506">
      <c r="A33506" t="n">
        <v>33505</v>
      </c>
      <c r="B33506" t="inlineStr">
        <is>
          <t>x̄x̄x̄MMMDV</t>
        </is>
      </c>
      <c r="C33506">
        <f>ROMAN(33505)</f>
        <v/>
      </c>
      <c r="D33506">
        <f>IF(B33506=C33506, "YES", "WRONG")</f>
        <v/>
      </c>
    </row>
    <row r="33507">
      <c r="A33507" t="n">
        <v>33506</v>
      </c>
      <c r="B33507" t="inlineStr">
        <is>
          <t>x̄x̄x̄MMMDVI</t>
        </is>
      </c>
      <c r="C33507">
        <f>ROMAN(33506)</f>
        <v/>
      </c>
      <c r="D33507">
        <f>IF(B33507=C33507, "YES", "WRONG")</f>
        <v/>
      </c>
    </row>
    <row r="33508">
      <c r="A33508" t="n">
        <v>33507</v>
      </c>
      <c r="B33508" t="inlineStr">
        <is>
          <t>x̄x̄x̄MMMDVII</t>
        </is>
      </c>
      <c r="C33508">
        <f>ROMAN(33507)</f>
        <v/>
      </c>
      <c r="D33508">
        <f>IF(B33508=C33508, "YES", "WRONG")</f>
        <v/>
      </c>
    </row>
    <row r="33509">
      <c r="A33509" t="n">
        <v>33508</v>
      </c>
      <c r="B33509" t="inlineStr">
        <is>
          <t>x̄x̄x̄MMMDVIII</t>
        </is>
      </c>
      <c r="C33509">
        <f>ROMAN(33508)</f>
        <v/>
      </c>
      <c r="D33509">
        <f>IF(B33509=C33509, "YES", "WRONG")</f>
        <v/>
      </c>
    </row>
    <row r="33510">
      <c r="A33510" t="n">
        <v>33509</v>
      </c>
      <c r="B33510" t="inlineStr">
        <is>
          <t>x̄x̄x̄MMMDIX</t>
        </is>
      </c>
      <c r="C33510">
        <f>ROMAN(33509)</f>
        <v/>
      </c>
      <c r="D33510">
        <f>IF(B33510=C33510, "YES", "WRONG")</f>
        <v/>
      </c>
    </row>
    <row r="33511">
      <c r="A33511" t="n">
        <v>33510</v>
      </c>
      <c r="B33511" t="inlineStr">
        <is>
          <t>x̄x̄x̄MMMDX</t>
        </is>
      </c>
      <c r="C33511">
        <f>ROMAN(33510)</f>
        <v/>
      </c>
      <c r="D33511">
        <f>IF(B33511=C33511, "YES", "WRONG")</f>
        <v/>
      </c>
    </row>
    <row r="33512">
      <c r="A33512" t="n">
        <v>33511</v>
      </c>
      <c r="B33512" t="inlineStr">
        <is>
          <t>x̄x̄x̄MMMDXI</t>
        </is>
      </c>
      <c r="C33512">
        <f>ROMAN(33511)</f>
        <v/>
      </c>
      <c r="D33512">
        <f>IF(B33512=C33512, "YES", "WRONG")</f>
        <v/>
      </c>
    </row>
    <row r="33513">
      <c r="A33513" t="n">
        <v>33512</v>
      </c>
      <c r="B33513" t="inlineStr">
        <is>
          <t>x̄x̄x̄MMMDXII</t>
        </is>
      </c>
      <c r="C33513">
        <f>ROMAN(33512)</f>
        <v/>
      </c>
      <c r="D33513">
        <f>IF(B33513=C33513, "YES", "WRONG")</f>
        <v/>
      </c>
    </row>
    <row r="33514">
      <c r="A33514" t="n">
        <v>33513</v>
      </c>
      <c r="B33514" t="inlineStr">
        <is>
          <t>x̄x̄x̄MMMDXIII</t>
        </is>
      </c>
      <c r="C33514">
        <f>ROMAN(33513)</f>
        <v/>
      </c>
      <c r="D33514">
        <f>IF(B33514=C33514, "YES", "WRONG")</f>
        <v/>
      </c>
    </row>
    <row r="33515">
      <c r="A33515" t="n">
        <v>33514</v>
      </c>
      <c r="B33515" t="inlineStr">
        <is>
          <t>x̄x̄x̄MMMDXIV</t>
        </is>
      </c>
      <c r="C33515">
        <f>ROMAN(33514)</f>
        <v/>
      </c>
      <c r="D33515">
        <f>IF(B33515=C33515, "YES", "WRONG")</f>
        <v/>
      </c>
    </row>
    <row r="33516">
      <c r="A33516" t="n">
        <v>33515</v>
      </c>
      <c r="B33516" t="inlineStr">
        <is>
          <t>x̄x̄x̄MMMDXV</t>
        </is>
      </c>
      <c r="C33516">
        <f>ROMAN(33515)</f>
        <v/>
      </c>
      <c r="D33516">
        <f>IF(B33516=C33516, "YES", "WRONG")</f>
        <v/>
      </c>
    </row>
    <row r="33517">
      <c r="A33517" t="n">
        <v>33516</v>
      </c>
      <c r="B33517" t="inlineStr">
        <is>
          <t>x̄x̄x̄MMMDXVI</t>
        </is>
      </c>
      <c r="C33517">
        <f>ROMAN(33516)</f>
        <v/>
      </c>
      <c r="D33517">
        <f>IF(B33517=C33517, "YES", "WRONG")</f>
        <v/>
      </c>
    </row>
    <row r="33518">
      <c r="A33518" t="n">
        <v>33517</v>
      </c>
      <c r="B33518" t="inlineStr">
        <is>
          <t>x̄x̄x̄MMMDXVII</t>
        </is>
      </c>
      <c r="C33518">
        <f>ROMAN(33517)</f>
        <v/>
      </c>
      <c r="D33518">
        <f>IF(B33518=C33518, "YES", "WRONG")</f>
        <v/>
      </c>
    </row>
    <row r="33519">
      <c r="A33519" t="n">
        <v>33518</v>
      </c>
      <c r="B33519" t="inlineStr">
        <is>
          <t>x̄x̄x̄MMMDXVIII</t>
        </is>
      </c>
      <c r="C33519">
        <f>ROMAN(33518)</f>
        <v/>
      </c>
      <c r="D33519">
        <f>IF(B33519=C33519, "YES", "WRONG")</f>
        <v/>
      </c>
    </row>
    <row r="33520">
      <c r="A33520" t="n">
        <v>33519</v>
      </c>
      <c r="B33520" t="inlineStr">
        <is>
          <t>x̄x̄x̄MMMDXIX</t>
        </is>
      </c>
      <c r="C33520">
        <f>ROMAN(33519)</f>
        <v/>
      </c>
      <c r="D33520">
        <f>IF(B33520=C33520, "YES", "WRONG")</f>
        <v/>
      </c>
    </row>
    <row r="33521">
      <c r="A33521" t="n">
        <v>33520</v>
      </c>
      <c r="B33521" t="inlineStr">
        <is>
          <t>x̄x̄x̄MMMDXX</t>
        </is>
      </c>
      <c r="C33521">
        <f>ROMAN(33520)</f>
        <v/>
      </c>
      <c r="D33521">
        <f>IF(B33521=C33521, "YES", "WRONG")</f>
        <v/>
      </c>
    </row>
    <row r="33522">
      <c r="A33522" t="n">
        <v>33521</v>
      </c>
      <c r="B33522" t="inlineStr">
        <is>
          <t>x̄x̄x̄MMMDXXI</t>
        </is>
      </c>
      <c r="C33522">
        <f>ROMAN(33521)</f>
        <v/>
      </c>
      <c r="D33522">
        <f>IF(B33522=C33522, "YES", "WRONG")</f>
        <v/>
      </c>
    </row>
    <row r="33523">
      <c r="A33523" t="n">
        <v>33522</v>
      </c>
      <c r="B33523" t="inlineStr">
        <is>
          <t>x̄x̄x̄MMMDXXII</t>
        </is>
      </c>
      <c r="C33523">
        <f>ROMAN(33522)</f>
        <v/>
      </c>
      <c r="D33523">
        <f>IF(B33523=C33523, "YES", "WRONG")</f>
        <v/>
      </c>
    </row>
    <row r="33524">
      <c r="A33524" t="n">
        <v>33523</v>
      </c>
      <c r="B33524" t="inlineStr">
        <is>
          <t>x̄x̄x̄MMMDXXIII</t>
        </is>
      </c>
      <c r="C33524">
        <f>ROMAN(33523)</f>
        <v/>
      </c>
      <c r="D33524">
        <f>IF(B33524=C33524, "YES", "WRONG")</f>
        <v/>
      </c>
    </row>
    <row r="33525">
      <c r="A33525" t="n">
        <v>33524</v>
      </c>
      <c r="B33525" t="inlineStr">
        <is>
          <t>x̄x̄x̄MMMDXXIV</t>
        </is>
      </c>
      <c r="C33525">
        <f>ROMAN(33524)</f>
        <v/>
      </c>
      <c r="D33525">
        <f>IF(B33525=C33525, "YES", "WRONG")</f>
        <v/>
      </c>
    </row>
    <row r="33526">
      <c r="A33526" t="n">
        <v>33525</v>
      </c>
      <c r="B33526" t="inlineStr">
        <is>
          <t>x̄x̄x̄MMMDXXV</t>
        </is>
      </c>
      <c r="C33526">
        <f>ROMAN(33525)</f>
        <v/>
      </c>
      <c r="D33526">
        <f>IF(B33526=C33526, "YES", "WRONG")</f>
        <v/>
      </c>
    </row>
    <row r="33527">
      <c r="A33527" t="n">
        <v>33526</v>
      </c>
      <c r="B33527" t="inlineStr">
        <is>
          <t>x̄x̄x̄MMMDXXVI</t>
        </is>
      </c>
      <c r="C33527">
        <f>ROMAN(33526)</f>
        <v/>
      </c>
      <c r="D33527">
        <f>IF(B33527=C33527, "YES", "WRONG")</f>
        <v/>
      </c>
    </row>
    <row r="33528">
      <c r="A33528" t="n">
        <v>33527</v>
      </c>
      <c r="B33528" t="inlineStr">
        <is>
          <t>x̄x̄x̄MMMDXXVII</t>
        </is>
      </c>
      <c r="C33528">
        <f>ROMAN(33527)</f>
        <v/>
      </c>
      <c r="D33528">
        <f>IF(B33528=C33528, "YES", "WRONG")</f>
        <v/>
      </c>
    </row>
    <row r="33529">
      <c r="A33529" t="n">
        <v>33528</v>
      </c>
      <c r="B33529" t="inlineStr">
        <is>
          <t>x̄x̄x̄MMMDXXVIII</t>
        </is>
      </c>
      <c r="C33529">
        <f>ROMAN(33528)</f>
        <v/>
      </c>
      <c r="D33529">
        <f>IF(B33529=C33529, "YES", "WRONG")</f>
        <v/>
      </c>
    </row>
    <row r="33530">
      <c r="A33530" t="n">
        <v>33529</v>
      </c>
      <c r="B33530" t="inlineStr">
        <is>
          <t>x̄x̄x̄MMMDXXIX</t>
        </is>
      </c>
      <c r="C33530">
        <f>ROMAN(33529)</f>
        <v/>
      </c>
      <c r="D33530">
        <f>IF(B33530=C33530, "YES", "WRONG")</f>
        <v/>
      </c>
    </row>
    <row r="33531">
      <c r="A33531" t="n">
        <v>33530</v>
      </c>
      <c r="B33531" t="inlineStr">
        <is>
          <t>x̄x̄x̄MMMDXXX</t>
        </is>
      </c>
      <c r="C33531">
        <f>ROMAN(33530)</f>
        <v/>
      </c>
      <c r="D33531">
        <f>IF(B33531=C33531, "YES", "WRONG")</f>
        <v/>
      </c>
    </row>
    <row r="33532">
      <c r="A33532" t="n">
        <v>33531</v>
      </c>
      <c r="B33532" t="inlineStr">
        <is>
          <t>x̄x̄x̄MMMDXXXI</t>
        </is>
      </c>
      <c r="C33532">
        <f>ROMAN(33531)</f>
        <v/>
      </c>
      <c r="D33532">
        <f>IF(B33532=C33532, "YES", "WRONG")</f>
        <v/>
      </c>
    </row>
    <row r="33533">
      <c r="A33533" t="n">
        <v>33532</v>
      </c>
      <c r="B33533" t="inlineStr">
        <is>
          <t>x̄x̄x̄MMMDXXXII</t>
        </is>
      </c>
      <c r="C33533">
        <f>ROMAN(33532)</f>
        <v/>
      </c>
      <c r="D33533">
        <f>IF(B33533=C33533, "YES", "WRONG")</f>
        <v/>
      </c>
    </row>
    <row r="33534">
      <c r="A33534" t="n">
        <v>33533</v>
      </c>
      <c r="B33534" t="inlineStr">
        <is>
          <t>x̄x̄x̄MMMDXXXIII</t>
        </is>
      </c>
      <c r="C33534">
        <f>ROMAN(33533)</f>
        <v/>
      </c>
      <c r="D33534">
        <f>IF(B33534=C33534, "YES", "WRONG")</f>
        <v/>
      </c>
    </row>
    <row r="33535">
      <c r="A33535" t="n">
        <v>33534</v>
      </c>
      <c r="B33535" t="inlineStr">
        <is>
          <t>x̄x̄x̄MMMDXXXIV</t>
        </is>
      </c>
      <c r="C33535">
        <f>ROMAN(33534)</f>
        <v/>
      </c>
      <c r="D33535">
        <f>IF(B33535=C33535, "YES", "WRONG")</f>
        <v/>
      </c>
    </row>
    <row r="33536">
      <c r="A33536" t="n">
        <v>33535</v>
      </c>
      <c r="B33536" t="inlineStr">
        <is>
          <t>x̄x̄x̄MMMDXXXV</t>
        </is>
      </c>
      <c r="C33536">
        <f>ROMAN(33535)</f>
        <v/>
      </c>
      <c r="D33536">
        <f>IF(B33536=C33536, "YES", "WRONG")</f>
        <v/>
      </c>
    </row>
    <row r="33537">
      <c r="A33537" t="n">
        <v>33536</v>
      </c>
      <c r="B33537" t="inlineStr">
        <is>
          <t>x̄x̄x̄MMMDXXXVI</t>
        </is>
      </c>
      <c r="C33537">
        <f>ROMAN(33536)</f>
        <v/>
      </c>
      <c r="D33537">
        <f>IF(B33537=C33537, "YES", "WRONG")</f>
        <v/>
      </c>
    </row>
    <row r="33538">
      <c r="A33538" t="n">
        <v>33537</v>
      </c>
      <c r="B33538" t="inlineStr">
        <is>
          <t>x̄x̄x̄MMMDXXXVII</t>
        </is>
      </c>
      <c r="C33538">
        <f>ROMAN(33537)</f>
        <v/>
      </c>
      <c r="D33538">
        <f>IF(B33538=C33538, "YES", "WRONG")</f>
        <v/>
      </c>
    </row>
    <row r="33539">
      <c r="A33539" t="n">
        <v>33538</v>
      </c>
      <c r="B33539" t="inlineStr">
        <is>
          <t>x̄x̄x̄MMMDXXXVIII</t>
        </is>
      </c>
      <c r="C33539">
        <f>ROMAN(33538)</f>
        <v/>
      </c>
      <c r="D33539">
        <f>IF(B33539=C33539, "YES", "WRONG")</f>
        <v/>
      </c>
    </row>
    <row r="33540">
      <c r="A33540" t="n">
        <v>33539</v>
      </c>
      <c r="B33540" t="inlineStr">
        <is>
          <t>x̄x̄x̄MMMDXXXIX</t>
        </is>
      </c>
      <c r="C33540">
        <f>ROMAN(33539)</f>
        <v/>
      </c>
      <c r="D33540">
        <f>IF(B33540=C33540, "YES", "WRONG")</f>
        <v/>
      </c>
    </row>
    <row r="33541">
      <c r="A33541" t="n">
        <v>33540</v>
      </c>
      <c r="B33541" t="inlineStr">
        <is>
          <t>x̄x̄x̄MMMDXL</t>
        </is>
      </c>
      <c r="C33541">
        <f>ROMAN(33540)</f>
        <v/>
      </c>
      <c r="D33541">
        <f>IF(B33541=C33541, "YES", "WRONG")</f>
        <v/>
      </c>
    </row>
    <row r="33542">
      <c r="A33542" t="n">
        <v>33541</v>
      </c>
      <c r="B33542" t="inlineStr">
        <is>
          <t>x̄x̄x̄MMMDXLI</t>
        </is>
      </c>
      <c r="C33542">
        <f>ROMAN(33541)</f>
        <v/>
      </c>
      <c r="D33542">
        <f>IF(B33542=C33542, "YES", "WRONG")</f>
        <v/>
      </c>
    </row>
    <row r="33543">
      <c r="A33543" t="n">
        <v>33542</v>
      </c>
      <c r="B33543" t="inlineStr">
        <is>
          <t>x̄x̄x̄MMMDXLII</t>
        </is>
      </c>
      <c r="C33543">
        <f>ROMAN(33542)</f>
        <v/>
      </c>
      <c r="D33543">
        <f>IF(B33543=C33543, "YES", "WRONG")</f>
        <v/>
      </c>
    </row>
    <row r="33544">
      <c r="A33544" t="n">
        <v>33543</v>
      </c>
      <c r="B33544" t="inlineStr">
        <is>
          <t>x̄x̄x̄MMMDXLIII</t>
        </is>
      </c>
      <c r="C33544">
        <f>ROMAN(33543)</f>
        <v/>
      </c>
      <c r="D33544">
        <f>IF(B33544=C33544, "YES", "WRONG")</f>
        <v/>
      </c>
    </row>
    <row r="33545">
      <c r="A33545" t="n">
        <v>33544</v>
      </c>
      <c r="B33545" t="inlineStr">
        <is>
          <t>x̄x̄x̄MMMDXLIV</t>
        </is>
      </c>
      <c r="C33545">
        <f>ROMAN(33544)</f>
        <v/>
      </c>
      <c r="D33545">
        <f>IF(B33545=C33545, "YES", "WRONG")</f>
        <v/>
      </c>
    </row>
    <row r="33546">
      <c r="A33546" t="n">
        <v>33545</v>
      </c>
      <c r="B33546" t="inlineStr">
        <is>
          <t>x̄x̄x̄MMMDXLV</t>
        </is>
      </c>
      <c r="C33546">
        <f>ROMAN(33545)</f>
        <v/>
      </c>
      <c r="D33546">
        <f>IF(B33546=C33546, "YES", "WRONG")</f>
        <v/>
      </c>
    </row>
    <row r="33547">
      <c r="A33547" t="n">
        <v>33546</v>
      </c>
      <c r="B33547" t="inlineStr">
        <is>
          <t>x̄x̄x̄MMMDXLVI</t>
        </is>
      </c>
      <c r="C33547">
        <f>ROMAN(33546)</f>
        <v/>
      </c>
      <c r="D33547">
        <f>IF(B33547=C33547, "YES", "WRONG")</f>
        <v/>
      </c>
    </row>
    <row r="33548">
      <c r="A33548" t="n">
        <v>33547</v>
      </c>
      <c r="B33548" t="inlineStr">
        <is>
          <t>x̄x̄x̄MMMDXLVII</t>
        </is>
      </c>
      <c r="C33548">
        <f>ROMAN(33547)</f>
        <v/>
      </c>
      <c r="D33548">
        <f>IF(B33548=C33548, "YES", "WRONG")</f>
        <v/>
      </c>
    </row>
    <row r="33549">
      <c r="A33549" t="n">
        <v>33548</v>
      </c>
      <c r="B33549" t="inlineStr">
        <is>
          <t>x̄x̄x̄MMMDXLVIII</t>
        </is>
      </c>
      <c r="C33549">
        <f>ROMAN(33548)</f>
        <v/>
      </c>
      <c r="D33549">
        <f>IF(B33549=C33549, "YES", "WRONG")</f>
        <v/>
      </c>
    </row>
    <row r="33550">
      <c r="A33550" t="n">
        <v>33549</v>
      </c>
      <c r="B33550" t="inlineStr">
        <is>
          <t>x̄x̄x̄MMMDXLIX</t>
        </is>
      </c>
      <c r="C33550">
        <f>ROMAN(33549)</f>
        <v/>
      </c>
      <c r="D33550">
        <f>IF(B33550=C33550, "YES", "WRONG")</f>
        <v/>
      </c>
    </row>
    <row r="33551">
      <c r="A33551" t="n">
        <v>33550</v>
      </c>
      <c r="B33551" t="inlineStr">
        <is>
          <t>x̄x̄x̄MMMDL</t>
        </is>
      </c>
      <c r="C33551">
        <f>ROMAN(33550)</f>
        <v/>
      </c>
      <c r="D33551">
        <f>IF(B33551=C33551, "YES", "WRONG")</f>
        <v/>
      </c>
    </row>
    <row r="33552">
      <c r="A33552" t="n">
        <v>33551</v>
      </c>
      <c r="B33552" t="inlineStr">
        <is>
          <t>x̄x̄x̄MMMDLI</t>
        </is>
      </c>
      <c r="C33552">
        <f>ROMAN(33551)</f>
        <v/>
      </c>
      <c r="D33552">
        <f>IF(B33552=C33552, "YES", "WRONG")</f>
        <v/>
      </c>
    </row>
    <row r="33553">
      <c r="A33553" t="n">
        <v>33552</v>
      </c>
      <c r="B33553" t="inlineStr">
        <is>
          <t>x̄x̄x̄MMMDLII</t>
        </is>
      </c>
      <c r="C33553">
        <f>ROMAN(33552)</f>
        <v/>
      </c>
      <c r="D33553">
        <f>IF(B33553=C33553, "YES", "WRONG")</f>
        <v/>
      </c>
    </row>
    <row r="33554">
      <c r="A33554" t="n">
        <v>33553</v>
      </c>
      <c r="B33554" t="inlineStr">
        <is>
          <t>x̄x̄x̄MMMDLIII</t>
        </is>
      </c>
      <c r="C33554">
        <f>ROMAN(33553)</f>
        <v/>
      </c>
      <c r="D33554">
        <f>IF(B33554=C33554, "YES", "WRONG")</f>
        <v/>
      </c>
    </row>
    <row r="33555">
      <c r="A33555" t="n">
        <v>33554</v>
      </c>
      <c r="B33555" t="inlineStr">
        <is>
          <t>x̄x̄x̄MMMDLIV</t>
        </is>
      </c>
      <c r="C33555">
        <f>ROMAN(33554)</f>
        <v/>
      </c>
      <c r="D33555">
        <f>IF(B33555=C33555, "YES", "WRONG")</f>
        <v/>
      </c>
    </row>
    <row r="33556">
      <c r="A33556" t="n">
        <v>33555</v>
      </c>
      <c r="B33556" t="inlineStr">
        <is>
          <t>x̄x̄x̄MMMDLV</t>
        </is>
      </c>
      <c r="C33556">
        <f>ROMAN(33555)</f>
        <v/>
      </c>
      <c r="D33556">
        <f>IF(B33556=C33556, "YES", "WRONG")</f>
        <v/>
      </c>
    </row>
    <row r="33557">
      <c r="A33557" t="n">
        <v>33556</v>
      </c>
      <c r="B33557" t="inlineStr">
        <is>
          <t>x̄x̄x̄MMMDLVI</t>
        </is>
      </c>
      <c r="C33557">
        <f>ROMAN(33556)</f>
        <v/>
      </c>
      <c r="D33557">
        <f>IF(B33557=C33557, "YES", "WRONG")</f>
        <v/>
      </c>
    </row>
    <row r="33558">
      <c r="A33558" t="n">
        <v>33557</v>
      </c>
      <c r="B33558" t="inlineStr">
        <is>
          <t>x̄x̄x̄MMMDLVII</t>
        </is>
      </c>
      <c r="C33558">
        <f>ROMAN(33557)</f>
        <v/>
      </c>
      <c r="D33558">
        <f>IF(B33558=C33558, "YES", "WRONG")</f>
        <v/>
      </c>
    </row>
    <row r="33559">
      <c r="A33559" t="n">
        <v>33558</v>
      </c>
      <c r="B33559" t="inlineStr">
        <is>
          <t>x̄x̄x̄MMMDLVIII</t>
        </is>
      </c>
      <c r="C33559">
        <f>ROMAN(33558)</f>
        <v/>
      </c>
      <c r="D33559">
        <f>IF(B33559=C33559, "YES", "WRONG")</f>
        <v/>
      </c>
    </row>
    <row r="33560">
      <c r="A33560" t="n">
        <v>33559</v>
      </c>
      <c r="B33560" t="inlineStr">
        <is>
          <t>x̄x̄x̄MMMDLIX</t>
        </is>
      </c>
      <c r="C33560">
        <f>ROMAN(33559)</f>
        <v/>
      </c>
      <c r="D33560">
        <f>IF(B33560=C33560, "YES", "WRONG")</f>
        <v/>
      </c>
    </row>
    <row r="33561">
      <c r="A33561" t="n">
        <v>33560</v>
      </c>
      <c r="B33561" t="inlineStr">
        <is>
          <t>x̄x̄x̄MMMDLX</t>
        </is>
      </c>
      <c r="C33561">
        <f>ROMAN(33560)</f>
        <v/>
      </c>
      <c r="D33561">
        <f>IF(B33561=C33561, "YES", "WRONG")</f>
        <v/>
      </c>
    </row>
    <row r="33562">
      <c r="A33562" t="n">
        <v>33561</v>
      </c>
      <c r="B33562" t="inlineStr">
        <is>
          <t>x̄x̄x̄MMMDLXI</t>
        </is>
      </c>
      <c r="C33562">
        <f>ROMAN(33561)</f>
        <v/>
      </c>
      <c r="D33562">
        <f>IF(B33562=C33562, "YES", "WRONG")</f>
        <v/>
      </c>
    </row>
    <row r="33563">
      <c r="A33563" t="n">
        <v>33562</v>
      </c>
      <c r="B33563" t="inlineStr">
        <is>
          <t>x̄x̄x̄MMMDLXII</t>
        </is>
      </c>
      <c r="C33563">
        <f>ROMAN(33562)</f>
        <v/>
      </c>
      <c r="D33563">
        <f>IF(B33563=C33563, "YES", "WRONG")</f>
        <v/>
      </c>
    </row>
    <row r="33564">
      <c r="A33564" t="n">
        <v>33563</v>
      </c>
      <c r="B33564" t="inlineStr">
        <is>
          <t>x̄x̄x̄MMMDLXIII</t>
        </is>
      </c>
      <c r="C33564">
        <f>ROMAN(33563)</f>
        <v/>
      </c>
      <c r="D33564">
        <f>IF(B33564=C33564, "YES", "WRONG")</f>
        <v/>
      </c>
    </row>
    <row r="33565">
      <c r="A33565" t="n">
        <v>33564</v>
      </c>
      <c r="B33565" t="inlineStr">
        <is>
          <t>x̄x̄x̄MMMDLXIV</t>
        </is>
      </c>
      <c r="C33565">
        <f>ROMAN(33564)</f>
        <v/>
      </c>
      <c r="D33565">
        <f>IF(B33565=C33565, "YES", "WRONG")</f>
        <v/>
      </c>
    </row>
    <row r="33566">
      <c r="A33566" t="n">
        <v>33565</v>
      </c>
      <c r="B33566" t="inlineStr">
        <is>
          <t>x̄x̄x̄MMMDLXV</t>
        </is>
      </c>
      <c r="C33566">
        <f>ROMAN(33565)</f>
        <v/>
      </c>
      <c r="D33566">
        <f>IF(B33566=C33566, "YES", "WRONG")</f>
        <v/>
      </c>
    </row>
    <row r="33567">
      <c r="A33567" t="n">
        <v>33566</v>
      </c>
      <c r="B33567" t="inlineStr">
        <is>
          <t>x̄x̄x̄MMMDLXVI</t>
        </is>
      </c>
      <c r="C33567">
        <f>ROMAN(33566)</f>
        <v/>
      </c>
      <c r="D33567">
        <f>IF(B33567=C33567, "YES", "WRONG")</f>
        <v/>
      </c>
    </row>
    <row r="33568">
      <c r="A33568" t="n">
        <v>33567</v>
      </c>
      <c r="B33568" t="inlineStr">
        <is>
          <t>x̄x̄x̄MMMDLXVII</t>
        </is>
      </c>
      <c r="C33568">
        <f>ROMAN(33567)</f>
        <v/>
      </c>
      <c r="D33568">
        <f>IF(B33568=C33568, "YES", "WRONG")</f>
        <v/>
      </c>
    </row>
    <row r="33569">
      <c r="A33569" t="n">
        <v>33568</v>
      </c>
      <c r="B33569" t="inlineStr">
        <is>
          <t>x̄x̄x̄MMMDLXVIII</t>
        </is>
      </c>
      <c r="C33569">
        <f>ROMAN(33568)</f>
        <v/>
      </c>
      <c r="D33569">
        <f>IF(B33569=C33569, "YES", "WRONG")</f>
        <v/>
      </c>
    </row>
    <row r="33570">
      <c r="A33570" t="n">
        <v>33569</v>
      </c>
      <c r="B33570" t="inlineStr">
        <is>
          <t>x̄x̄x̄MMMDLXIX</t>
        </is>
      </c>
      <c r="C33570">
        <f>ROMAN(33569)</f>
        <v/>
      </c>
      <c r="D33570">
        <f>IF(B33570=C33570, "YES", "WRONG")</f>
        <v/>
      </c>
    </row>
    <row r="33571">
      <c r="A33571" t="n">
        <v>33570</v>
      </c>
      <c r="B33571" t="inlineStr">
        <is>
          <t>x̄x̄x̄MMMDLXX</t>
        </is>
      </c>
      <c r="C33571">
        <f>ROMAN(33570)</f>
        <v/>
      </c>
      <c r="D33571">
        <f>IF(B33571=C33571, "YES", "WRONG")</f>
        <v/>
      </c>
    </row>
    <row r="33572">
      <c r="A33572" t="n">
        <v>33571</v>
      </c>
      <c r="B33572" t="inlineStr">
        <is>
          <t>x̄x̄x̄MMMDLXXI</t>
        </is>
      </c>
      <c r="C33572">
        <f>ROMAN(33571)</f>
        <v/>
      </c>
      <c r="D33572">
        <f>IF(B33572=C33572, "YES", "WRONG")</f>
        <v/>
      </c>
    </row>
    <row r="33573">
      <c r="A33573" t="n">
        <v>33572</v>
      </c>
      <c r="B33573" t="inlineStr">
        <is>
          <t>x̄x̄x̄MMMDLXXII</t>
        </is>
      </c>
      <c r="C33573">
        <f>ROMAN(33572)</f>
        <v/>
      </c>
      <c r="D33573">
        <f>IF(B33573=C33573, "YES", "WRONG")</f>
        <v/>
      </c>
    </row>
    <row r="33574">
      <c r="A33574" t="n">
        <v>33573</v>
      </c>
      <c r="B33574" t="inlineStr">
        <is>
          <t>x̄x̄x̄MMMDLXXIII</t>
        </is>
      </c>
      <c r="C33574">
        <f>ROMAN(33573)</f>
        <v/>
      </c>
      <c r="D33574">
        <f>IF(B33574=C33574, "YES", "WRONG")</f>
        <v/>
      </c>
    </row>
    <row r="33575">
      <c r="A33575" t="n">
        <v>33574</v>
      </c>
      <c r="B33575" t="inlineStr">
        <is>
          <t>x̄x̄x̄MMMDLXXIV</t>
        </is>
      </c>
      <c r="C33575">
        <f>ROMAN(33574)</f>
        <v/>
      </c>
      <c r="D33575">
        <f>IF(B33575=C33575, "YES", "WRONG")</f>
        <v/>
      </c>
    </row>
    <row r="33576">
      <c r="A33576" t="n">
        <v>33575</v>
      </c>
      <c r="B33576" t="inlineStr">
        <is>
          <t>x̄x̄x̄MMMDLXXV</t>
        </is>
      </c>
      <c r="C33576">
        <f>ROMAN(33575)</f>
        <v/>
      </c>
      <c r="D33576">
        <f>IF(B33576=C33576, "YES", "WRONG")</f>
        <v/>
      </c>
    </row>
    <row r="33577">
      <c r="A33577" t="n">
        <v>33576</v>
      </c>
      <c r="B33577" t="inlineStr">
        <is>
          <t>x̄x̄x̄MMMDLXXVI</t>
        </is>
      </c>
      <c r="C33577">
        <f>ROMAN(33576)</f>
        <v/>
      </c>
      <c r="D33577">
        <f>IF(B33577=C33577, "YES", "WRONG")</f>
        <v/>
      </c>
    </row>
    <row r="33578">
      <c r="A33578" t="n">
        <v>33577</v>
      </c>
      <c r="B33578" t="inlineStr">
        <is>
          <t>x̄x̄x̄MMMDLXXVII</t>
        </is>
      </c>
      <c r="C33578">
        <f>ROMAN(33577)</f>
        <v/>
      </c>
      <c r="D33578">
        <f>IF(B33578=C33578, "YES", "WRONG")</f>
        <v/>
      </c>
    </row>
    <row r="33579">
      <c r="A33579" t="n">
        <v>33578</v>
      </c>
      <c r="B33579" t="inlineStr">
        <is>
          <t>x̄x̄x̄MMMDLXXVIII</t>
        </is>
      </c>
      <c r="C33579">
        <f>ROMAN(33578)</f>
        <v/>
      </c>
      <c r="D33579">
        <f>IF(B33579=C33579, "YES", "WRONG")</f>
        <v/>
      </c>
    </row>
    <row r="33580">
      <c r="A33580" t="n">
        <v>33579</v>
      </c>
      <c r="B33580" t="inlineStr">
        <is>
          <t>x̄x̄x̄MMMDLXXIX</t>
        </is>
      </c>
      <c r="C33580">
        <f>ROMAN(33579)</f>
        <v/>
      </c>
      <c r="D33580">
        <f>IF(B33580=C33580, "YES", "WRONG")</f>
        <v/>
      </c>
    </row>
    <row r="33581">
      <c r="A33581" t="n">
        <v>33580</v>
      </c>
      <c r="B33581" t="inlineStr">
        <is>
          <t>x̄x̄x̄MMMDLXXX</t>
        </is>
      </c>
      <c r="C33581">
        <f>ROMAN(33580)</f>
        <v/>
      </c>
      <c r="D33581">
        <f>IF(B33581=C33581, "YES", "WRONG")</f>
        <v/>
      </c>
    </row>
    <row r="33582">
      <c r="A33582" t="n">
        <v>33581</v>
      </c>
      <c r="B33582" t="inlineStr">
        <is>
          <t>x̄x̄x̄MMMDLXXXI</t>
        </is>
      </c>
      <c r="C33582">
        <f>ROMAN(33581)</f>
        <v/>
      </c>
      <c r="D33582">
        <f>IF(B33582=C33582, "YES", "WRONG")</f>
        <v/>
      </c>
    </row>
    <row r="33583">
      <c r="A33583" t="n">
        <v>33582</v>
      </c>
      <c r="B33583" t="inlineStr">
        <is>
          <t>x̄x̄x̄MMMDLXXXII</t>
        </is>
      </c>
      <c r="C33583">
        <f>ROMAN(33582)</f>
        <v/>
      </c>
      <c r="D33583">
        <f>IF(B33583=C33583, "YES", "WRONG")</f>
        <v/>
      </c>
    </row>
    <row r="33584">
      <c r="A33584" t="n">
        <v>33583</v>
      </c>
      <c r="B33584" t="inlineStr">
        <is>
          <t>x̄x̄x̄MMMDLXXXIII</t>
        </is>
      </c>
      <c r="C33584">
        <f>ROMAN(33583)</f>
        <v/>
      </c>
      <c r="D33584">
        <f>IF(B33584=C33584, "YES", "WRONG")</f>
        <v/>
      </c>
    </row>
    <row r="33585">
      <c r="A33585" t="n">
        <v>33584</v>
      </c>
      <c r="B33585" t="inlineStr">
        <is>
          <t>x̄x̄x̄MMMDLXXXIV</t>
        </is>
      </c>
      <c r="C33585">
        <f>ROMAN(33584)</f>
        <v/>
      </c>
      <c r="D33585">
        <f>IF(B33585=C33585, "YES", "WRONG")</f>
        <v/>
      </c>
    </row>
    <row r="33586">
      <c r="A33586" t="n">
        <v>33585</v>
      </c>
      <c r="B33586" t="inlineStr">
        <is>
          <t>x̄x̄x̄MMMDLXXXV</t>
        </is>
      </c>
      <c r="C33586">
        <f>ROMAN(33585)</f>
        <v/>
      </c>
      <c r="D33586">
        <f>IF(B33586=C33586, "YES", "WRONG")</f>
        <v/>
      </c>
    </row>
    <row r="33587">
      <c r="A33587" t="n">
        <v>33586</v>
      </c>
      <c r="B33587" t="inlineStr">
        <is>
          <t>x̄x̄x̄MMMDLXXXVI</t>
        </is>
      </c>
      <c r="C33587">
        <f>ROMAN(33586)</f>
        <v/>
      </c>
      <c r="D33587">
        <f>IF(B33587=C33587, "YES", "WRONG")</f>
        <v/>
      </c>
    </row>
    <row r="33588">
      <c r="A33588" t="n">
        <v>33587</v>
      </c>
      <c r="B33588" t="inlineStr">
        <is>
          <t>x̄x̄x̄MMMDLXXXVII</t>
        </is>
      </c>
      <c r="C33588">
        <f>ROMAN(33587)</f>
        <v/>
      </c>
      <c r="D33588">
        <f>IF(B33588=C33588, "YES", "WRONG")</f>
        <v/>
      </c>
    </row>
    <row r="33589">
      <c r="A33589" t="n">
        <v>33588</v>
      </c>
      <c r="B33589" t="inlineStr">
        <is>
          <t>x̄x̄x̄MMMDLXXXVIII</t>
        </is>
      </c>
      <c r="C33589">
        <f>ROMAN(33588)</f>
        <v/>
      </c>
      <c r="D33589">
        <f>IF(B33589=C33589, "YES", "WRONG")</f>
        <v/>
      </c>
    </row>
    <row r="33590">
      <c r="A33590" t="n">
        <v>33589</v>
      </c>
      <c r="B33590" t="inlineStr">
        <is>
          <t>x̄x̄x̄MMMDLXXXIX</t>
        </is>
      </c>
      <c r="C33590">
        <f>ROMAN(33589)</f>
        <v/>
      </c>
      <c r="D33590">
        <f>IF(B33590=C33590, "YES", "WRONG")</f>
        <v/>
      </c>
    </row>
    <row r="33591">
      <c r="A33591" t="n">
        <v>33590</v>
      </c>
      <c r="B33591" t="inlineStr">
        <is>
          <t>x̄x̄x̄MMMDXC</t>
        </is>
      </c>
      <c r="C33591">
        <f>ROMAN(33590)</f>
        <v/>
      </c>
      <c r="D33591">
        <f>IF(B33591=C33591, "YES", "WRONG")</f>
        <v/>
      </c>
    </row>
    <row r="33592">
      <c r="A33592" t="n">
        <v>33591</v>
      </c>
      <c r="B33592" t="inlineStr">
        <is>
          <t>x̄x̄x̄MMMDXCI</t>
        </is>
      </c>
      <c r="C33592">
        <f>ROMAN(33591)</f>
        <v/>
      </c>
      <c r="D33592">
        <f>IF(B33592=C33592, "YES", "WRONG")</f>
        <v/>
      </c>
    </row>
    <row r="33593">
      <c r="A33593" t="n">
        <v>33592</v>
      </c>
      <c r="B33593" t="inlineStr">
        <is>
          <t>x̄x̄x̄MMMDXCII</t>
        </is>
      </c>
      <c r="C33593">
        <f>ROMAN(33592)</f>
        <v/>
      </c>
      <c r="D33593">
        <f>IF(B33593=C33593, "YES", "WRONG")</f>
        <v/>
      </c>
    </row>
    <row r="33594">
      <c r="A33594" t="n">
        <v>33593</v>
      </c>
      <c r="B33594" t="inlineStr">
        <is>
          <t>x̄x̄x̄MMMDXCIII</t>
        </is>
      </c>
      <c r="C33594">
        <f>ROMAN(33593)</f>
        <v/>
      </c>
      <c r="D33594">
        <f>IF(B33594=C33594, "YES", "WRONG")</f>
        <v/>
      </c>
    </row>
    <row r="33595">
      <c r="A33595" t="n">
        <v>33594</v>
      </c>
      <c r="B33595" t="inlineStr">
        <is>
          <t>x̄x̄x̄MMMDXCIV</t>
        </is>
      </c>
      <c r="C33595">
        <f>ROMAN(33594)</f>
        <v/>
      </c>
      <c r="D33595">
        <f>IF(B33595=C33595, "YES", "WRONG")</f>
        <v/>
      </c>
    </row>
    <row r="33596">
      <c r="A33596" t="n">
        <v>33595</v>
      </c>
      <c r="B33596" t="inlineStr">
        <is>
          <t>x̄x̄x̄MMMDXCV</t>
        </is>
      </c>
      <c r="C33596">
        <f>ROMAN(33595)</f>
        <v/>
      </c>
      <c r="D33596">
        <f>IF(B33596=C33596, "YES", "WRONG")</f>
        <v/>
      </c>
    </row>
    <row r="33597">
      <c r="A33597" t="n">
        <v>33596</v>
      </c>
      <c r="B33597" t="inlineStr">
        <is>
          <t>x̄x̄x̄MMMDXCVI</t>
        </is>
      </c>
      <c r="C33597">
        <f>ROMAN(33596)</f>
        <v/>
      </c>
      <c r="D33597">
        <f>IF(B33597=C33597, "YES", "WRONG")</f>
        <v/>
      </c>
    </row>
    <row r="33598">
      <c r="A33598" t="n">
        <v>33597</v>
      </c>
      <c r="B33598" t="inlineStr">
        <is>
          <t>x̄x̄x̄MMMDXCVII</t>
        </is>
      </c>
      <c r="C33598">
        <f>ROMAN(33597)</f>
        <v/>
      </c>
      <c r="D33598">
        <f>IF(B33598=C33598, "YES", "WRONG")</f>
        <v/>
      </c>
    </row>
    <row r="33599">
      <c r="A33599" t="n">
        <v>33598</v>
      </c>
      <c r="B33599" t="inlineStr">
        <is>
          <t>x̄x̄x̄MMMDXCVIII</t>
        </is>
      </c>
      <c r="C33599">
        <f>ROMAN(33598)</f>
        <v/>
      </c>
      <c r="D33599">
        <f>IF(B33599=C33599, "YES", "WRONG")</f>
        <v/>
      </c>
    </row>
    <row r="33600">
      <c r="A33600" t="n">
        <v>33599</v>
      </c>
      <c r="B33600" t="inlineStr">
        <is>
          <t>x̄x̄x̄MMMDXCIX</t>
        </is>
      </c>
      <c r="C33600">
        <f>ROMAN(33599)</f>
        <v/>
      </c>
      <c r="D33600">
        <f>IF(B33600=C33600, "YES", "WRONG")</f>
        <v/>
      </c>
    </row>
    <row r="33601">
      <c r="A33601" t="n">
        <v>33600</v>
      </c>
      <c r="B33601" t="inlineStr">
        <is>
          <t>x̄x̄x̄MMMDC</t>
        </is>
      </c>
      <c r="C33601">
        <f>ROMAN(33600)</f>
        <v/>
      </c>
      <c r="D33601">
        <f>IF(B33601=C33601, "YES", "WRONG")</f>
        <v/>
      </c>
    </row>
    <row r="33602">
      <c r="A33602" t="n">
        <v>33601</v>
      </c>
      <c r="B33602" t="inlineStr">
        <is>
          <t>x̄x̄x̄MMMDCI</t>
        </is>
      </c>
      <c r="C33602">
        <f>ROMAN(33601)</f>
        <v/>
      </c>
      <c r="D33602">
        <f>IF(B33602=C33602, "YES", "WRONG")</f>
        <v/>
      </c>
    </row>
    <row r="33603">
      <c r="A33603" t="n">
        <v>33602</v>
      </c>
      <c r="B33603" t="inlineStr">
        <is>
          <t>x̄x̄x̄MMMDCII</t>
        </is>
      </c>
      <c r="C33603">
        <f>ROMAN(33602)</f>
        <v/>
      </c>
      <c r="D33603">
        <f>IF(B33603=C33603, "YES", "WRONG")</f>
        <v/>
      </c>
    </row>
    <row r="33604">
      <c r="A33604" t="n">
        <v>33603</v>
      </c>
      <c r="B33604" t="inlineStr">
        <is>
          <t>x̄x̄x̄MMMDCIII</t>
        </is>
      </c>
      <c r="C33604">
        <f>ROMAN(33603)</f>
        <v/>
      </c>
      <c r="D33604">
        <f>IF(B33604=C33604, "YES", "WRONG")</f>
        <v/>
      </c>
    </row>
    <row r="33605">
      <c r="A33605" t="n">
        <v>33604</v>
      </c>
      <c r="B33605" t="inlineStr">
        <is>
          <t>x̄x̄x̄MMMDCIV</t>
        </is>
      </c>
      <c r="C33605">
        <f>ROMAN(33604)</f>
        <v/>
      </c>
      <c r="D33605">
        <f>IF(B33605=C33605, "YES", "WRONG")</f>
        <v/>
      </c>
    </row>
    <row r="33606">
      <c r="A33606" t="n">
        <v>33605</v>
      </c>
      <c r="B33606" t="inlineStr">
        <is>
          <t>x̄x̄x̄MMMDCV</t>
        </is>
      </c>
      <c r="C33606">
        <f>ROMAN(33605)</f>
        <v/>
      </c>
      <c r="D33606">
        <f>IF(B33606=C33606, "YES", "WRONG")</f>
        <v/>
      </c>
    </row>
    <row r="33607">
      <c r="A33607" t="n">
        <v>33606</v>
      </c>
      <c r="B33607" t="inlineStr">
        <is>
          <t>x̄x̄x̄MMMDCVI</t>
        </is>
      </c>
      <c r="C33607">
        <f>ROMAN(33606)</f>
        <v/>
      </c>
      <c r="D33607">
        <f>IF(B33607=C33607, "YES", "WRONG")</f>
        <v/>
      </c>
    </row>
    <row r="33608">
      <c r="A33608" t="n">
        <v>33607</v>
      </c>
      <c r="B33608" t="inlineStr">
        <is>
          <t>x̄x̄x̄MMMDCVII</t>
        </is>
      </c>
      <c r="C33608">
        <f>ROMAN(33607)</f>
        <v/>
      </c>
      <c r="D33608">
        <f>IF(B33608=C33608, "YES", "WRONG")</f>
        <v/>
      </c>
    </row>
    <row r="33609">
      <c r="A33609" t="n">
        <v>33608</v>
      </c>
      <c r="B33609" t="inlineStr">
        <is>
          <t>x̄x̄x̄MMMDCVIII</t>
        </is>
      </c>
      <c r="C33609">
        <f>ROMAN(33608)</f>
        <v/>
      </c>
      <c r="D33609">
        <f>IF(B33609=C33609, "YES", "WRONG")</f>
        <v/>
      </c>
    </row>
    <row r="33610">
      <c r="A33610" t="n">
        <v>33609</v>
      </c>
      <c r="B33610" t="inlineStr">
        <is>
          <t>x̄x̄x̄MMMDCIX</t>
        </is>
      </c>
      <c r="C33610">
        <f>ROMAN(33609)</f>
        <v/>
      </c>
      <c r="D33610">
        <f>IF(B33610=C33610, "YES", "WRONG")</f>
        <v/>
      </c>
    </row>
    <row r="33611">
      <c r="A33611" t="n">
        <v>33610</v>
      </c>
      <c r="B33611" t="inlineStr">
        <is>
          <t>x̄x̄x̄MMMDCX</t>
        </is>
      </c>
      <c r="C33611">
        <f>ROMAN(33610)</f>
        <v/>
      </c>
      <c r="D33611">
        <f>IF(B33611=C33611, "YES", "WRONG")</f>
        <v/>
      </c>
    </row>
    <row r="33612">
      <c r="A33612" t="n">
        <v>33611</v>
      </c>
      <c r="B33612" t="inlineStr">
        <is>
          <t>x̄x̄x̄MMMDCXI</t>
        </is>
      </c>
      <c r="C33612">
        <f>ROMAN(33611)</f>
        <v/>
      </c>
      <c r="D33612">
        <f>IF(B33612=C33612, "YES", "WRONG")</f>
        <v/>
      </c>
    </row>
    <row r="33613">
      <c r="A33613" t="n">
        <v>33612</v>
      </c>
      <c r="B33613" t="inlineStr">
        <is>
          <t>x̄x̄x̄MMMDCXII</t>
        </is>
      </c>
      <c r="C33613">
        <f>ROMAN(33612)</f>
        <v/>
      </c>
      <c r="D33613">
        <f>IF(B33613=C33613, "YES", "WRONG")</f>
        <v/>
      </c>
    </row>
    <row r="33614">
      <c r="A33614" t="n">
        <v>33613</v>
      </c>
      <c r="B33614" t="inlineStr">
        <is>
          <t>x̄x̄x̄MMMDCXIII</t>
        </is>
      </c>
      <c r="C33614">
        <f>ROMAN(33613)</f>
        <v/>
      </c>
      <c r="D33614">
        <f>IF(B33614=C33614, "YES", "WRONG")</f>
        <v/>
      </c>
    </row>
    <row r="33615">
      <c r="A33615" t="n">
        <v>33614</v>
      </c>
      <c r="B33615" t="inlineStr">
        <is>
          <t>x̄x̄x̄MMMDCXIV</t>
        </is>
      </c>
      <c r="C33615">
        <f>ROMAN(33614)</f>
        <v/>
      </c>
      <c r="D33615">
        <f>IF(B33615=C33615, "YES", "WRONG")</f>
        <v/>
      </c>
    </row>
    <row r="33616">
      <c r="A33616" t="n">
        <v>33615</v>
      </c>
      <c r="B33616" t="inlineStr">
        <is>
          <t>x̄x̄x̄MMMDCXV</t>
        </is>
      </c>
      <c r="C33616">
        <f>ROMAN(33615)</f>
        <v/>
      </c>
      <c r="D33616">
        <f>IF(B33616=C33616, "YES", "WRONG")</f>
        <v/>
      </c>
    </row>
    <row r="33617">
      <c r="A33617" t="n">
        <v>33616</v>
      </c>
      <c r="B33617" t="inlineStr">
        <is>
          <t>x̄x̄x̄MMMDCXVI</t>
        </is>
      </c>
      <c r="C33617">
        <f>ROMAN(33616)</f>
        <v/>
      </c>
      <c r="D33617">
        <f>IF(B33617=C33617, "YES", "WRONG")</f>
        <v/>
      </c>
    </row>
    <row r="33618">
      <c r="A33618" t="n">
        <v>33617</v>
      </c>
      <c r="B33618" t="inlineStr">
        <is>
          <t>x̄x̄x̄MMMDCXVII</t>
        </is>
      </c>
      <c r="C33618">
        <f>ROMAN(33617)</f>
        <v/>
      </c>
      <c r="D33618">
        <f>IF(B33618=C33618, "YES", "WRONG")</f>
        <v/>
      </c>
    </row>
    <row r="33619">
      <c r="A33619" t="n">
        <v>33618</v>
      </c>
      <c r="B33619" t="inlineStr">
        <is>
          <t>x̄x̄x̄MMMDCXVIII</t>
        </is>
      </c>
      <c r="C33619">
        <f>ROMAN(33618)</f>
        <v/>
      </c>
      <c r="D33619">
        <f>IF(B33619=C33619, "YES", "WRONG")</f>
        <v/>
      </c>
    </row>
    <row r="33620">
      <c r="A33620" t="n">
        <v>33619</v>
      </c>
      <c r="B33620" t="inlineStr">
        <is>
          <t>x̄x̄x̄MMMDCXIX</t>
        </is>
      </c>
      <c r="C33620">
        <f>ROMAN(33619)</f>
        <v/>
      </c>
      <c r="D33620">
        <f>IF(B33620=C33620, "YES", "WRONG")</f>
        <v/>
      </c>
    </row>
    <row r="33621">
      <c r="A33621" t="n">
        <v>33620</v>
      </c>
      <c r="B33621" t="inlineStr">
        <is>
          <t>x̄x̄x̄MMMDCXX</t>
        </is>
      </c>
      <c r="C33621">
        <f>ROMAN(33620)</f>
        <v/>
      </c>
      <c r="D33621">
        <f>IF(B33621=C33621, "YES", "WRONG")</f>
        <v/>
      </c>
    </row>
    <row r="33622">
      <c r="A33622" t="n">
        <v>33621</v>
      </c>
      <c r="B33622" t="inlineStr">
        <is>
          <t>x̄x̄x̄MMMDCXXI</t>
        </is>
      </c>
      <c r="C33622">
        <f>ROMAN(33621)</f>
        <v/>
      </c>
      <c r="D33622">
        <f>IF(B33622=C33622, "YES", "WRONG")</f>
        <v/>
      </c>
    </row>
    <row r="33623">
      <c r="A33623" t="n">
        <v>33622</v>
      </c>
      <c r="B33623" t="inlineStr">
        <is>
          <t>x̄x̄x̄MMMDCXXII</t>
        </is>
      </c>
      <c r="C33623">
        <f>ROMAN(33622)</f>
        <v/>
      </c>
      <c r="D33623">
        <f>IF(B33623=C33623, "YES", "WRONG")</f>
        <v/>
      </c>
    </row>
    <row r="33624">
      <c r="A33624" t="n">
        <v>33623</v>
      </c>
      <c r="B33624" t="inlineStr">
        <is>
          <t>x̄x̄x̄MMMDCXXIII</t>
        </is>
      </c>
      <c r="C33624">
        <f>ROMAN(33623)</f>
        <v/>
      </c>
      <c r="D33624">
        <f>IF(B33624=C33624, "YES", "WRONG")</f>
        <v/>
      </c>
    </row>
    <row r="33625">
      <c r="A33625" t="n">
        <v>33624</v>
      </c>
      <c r="B33625" t="inlineStr">
        <is>
          <t>x̄x̄x̄MMMDCXXIV</t>
        </is>
      </c>
      <c r="C33625">
        <f>ROMAN(33624)</f>
        <v/>
      </c>
      <c r="D33625">
        <f>IF(B33625=C33625, "YES", "WRONG")</f>
        <v/>
      </c>
    </row>
    <row r="33626">
      <c r="A33626" t="n">
        <v>33625</v>
      </c>
      <c r="B33626" t="inlineStr">
        <is>
          <t>x̄x̄x̄MMMDCXXV</t>
        </is>
      </c>
      <c r="C33626">
        <f>ROMAN(33625)</f>
        <v/>
      </c>
      <c r="D33626">
        <f>IF(B33626=C33626, "YES", "WRONG")</f>
        <v/>
      </c>
    </row>
    <row r="33627">
      <c r="A33627" t="n">
        <v>33626</v>
      </c>
      <c r="B33627" t="inlineStr">
        <is>
          <t>x̄x̄x̄MMMDCXXVI</t>
        </is>
      </c>
      <c r="C33627">
        <f>ROMAN(33626)</f>
        <v/>
      </c>
      <c r="D33627">
        <f>IF(B33627=C33627, "YES", "WRONG")</f>
        <v/>
      </c>
    </row>
    <row r="33628">
      <c r="A33628" t="n">
        <v>33627</v>
      </c>
      <c r="B33628" t="inlineStr">
        <is>
          <t>x̄x̄x̄MMMDCXXVII</t>
        </is>
      </c>
      <c r="C33628">
        <f>ROMAN(33627)</f>
        <v/>
      </c>
      <c r="D33628">
        <f>IF(B33628=C33628, "YES", "WRONG")</f>
        <v/>
      </c>
    </row>
    <row r="33629">
      <c r="A33629" t="n">
        <v>33628</v>
      </c>
      <c r="B33629" t="inlineStr">
        <is>
          <t>x̄x̄x̄MMMDCXXVIII</t>
        </is>
      </c>
      <c r="C33629">
        <f>ROMAN(33628)</f>
        <v/>
      </c>
      <c r="D33629">
        <f>IF(B33629=C33629, "YES", "WRONG")</f>
        <v/>
      </c>
    </row>
    <row r="33630">
      <c r="A33630" t="n">
        <v>33629</v>
      </c>
      <c r="B33630" t="inlineStr">
        <is>
          <t>x̄x̄x̄MMMDCXXIX</t>
        </is>
      </c>
      <c r="C33630">
        <f>ROMAN(33629)</f>
        <v/>
      </c>
      <c r="D33630">
        <f>IF(B33630=C33630, "YES", "WRONG")</f>
        <v/>
      </c>
    </row>
    <row r="33631">
      <c r="A33631" t="n">
        <v>33630</v>
      </c>
      <c r="B33631" t="inlineStr">
        <is>
          <t>x̄x̄x̄MMMDCXXX</t>
        </is>
      </c>
      <c r="C33631">
        <f>ROMAN(33630)</f>
        <v/>
      </c>
      <c r="D33631">
        <f>IF(B33631=C33631, "YES", "WRONG")</f>
        <v/>
      </c>
    </row>
    <row r="33632">
      <c r="A33632" t="n">
        <v>33631</v>
      </c>
      <c r="B33632" t="inlineStr">
        <is>
          <t>x̄x̄x̄MMMDCXXXI</t>
        </is>
      </c>
      <c r="C33632">
        <f>ROMAN(33631)</f>
        <v/>
      </c>
      <c r="D33632">
        <f>IF(B33632=C33632, "YES", "WRONG")</f>
        <v/>
      </c>
    </row>
    <row r="33633">
      <c r="A33633" t="n">
        <v>33632</v>
      </c>
      <c r="B33633" t="inlineStr">
        <is>
          <t>x̄x̄x̄MMMDCXXXII</t>
        </is>
      </c>
      <c r="C33633">
        <f>ROMAN(33632)</f>
        <v/>
      </c>
      <c r="D33633">
        <f>IF(B33633=C33633, "YES", "WRONG")</f>
        <v/>
      </c>
    </row>
    <row r="33634">
      <c r="A33634" t="n">
        <v>33633</v>
      </c>
      <c r="B33634" t="inlineStr">
        <is>
          <t>x̄x̄x̄MMMDCXXXIII</t>
        </is>
      </c>
      <c r="C33634">
        <f>ROMAN(33633)</f>
        <v/>
      </c>
      <c r="D33634">
        <f>IF(B33634=C33634, "YES", "WRONG")</f>
        <v/>
      </c>
    </row>
    <row r="33635">
      <c r="A33635" t="n">
        <v>33634</v>
      </c>
      <c r="B33635" t="inlineStr">
        <is>
          <t>x̄x̄x̄MMMDCXXXIV</t>
        </is>
      </c>
      <c r="C33635">
        <f>ROMAN(33634)</f>
        <v/>
      </c>
      <c r="D33635">
        <f>IF(B33635=C33635, "YES", "WRONG")</f>
        <v/>
      </c>
    </row>
    <row r="33636">
      <c r="A33636" t="n">
        <v>33635</v>
      </c>
      <c r="B33636" t="inlineStr">
        <is>
          <t>x̄x̄x̄MMMDCXXXV</t>
        </is>
      </c>
      <c r="C33636">
        <f>ROMAN(33635)</f>
        <v/>
      </c>
      <c r="D33636">
        <f>IF(B33636=C33636, "YES", "WRONG")</f>
        <v/>
      </c>
    </row>
    <row r="33637">
      <c r="A33637" t="n">
        <v>33636</v>
      </c>
      <c r="B33637" t="inlineStr">
        <is>
          <t>x̄x̄x̄MMMDCXXXVI</t>
        </is>
      </c>
      <c r="C33637">
        <f>ROMAN(33636)</f>
        <v/>
      </c>
      <c r="D33637">
        <f>IF(B33637=C33637, "YES", "WRONG")</f>
        <v/>
      </c>
    </row>
    <row r="33638">
      <c r="A33638" t="n">
        <v>33637</v>
      </c>
      <c r="B33638" t="inlineStr">
        <is>
          <t>x̄x̄x̄MMMDCXXXVII</t>
        </is>
      </c>
      <c r="C33638">
        <f>ROMAN(33637)</f>
        <v/>
      </c>
      <c r="D33638">
        <f>IF(B33638=C33638, "YES", "WRONG")</f>
        <v/>
      </c>
    </row>
    <row r="33639">
      <c r="A33639" t="n">
        <v>33638</v>
      </c>
      <c r="B33639" t="inlineStr">
        <is>
          <t>x̄x̄x̄MMMDCXXXVIII</t>
        </is>
      </c>
      <c r="C33639">
        <f>ROMAN(33638)</f>
        <v/>
      </c>
      <c r="D33639">
        <f>IF(B33639=C33639, "YES", "WRONG")</f>
        <v/>
      </c>
    </row>
    <row r="33640">
      <c r="A33640" t="n">
        <v>33639</v>
      </c>
      <c r="B33640" t="inlineStr">
        <is>
          <t>x̄x̄x̄MMMDCXXXIX</t>
        </is>
      </c>
      <c r="C33640">
        <f>ROMAN(33639)</f>
        <v/>
      </c>
      <c r="D33640">
        <f>IF(B33640=C33640, "YES", "WRONG")</f>
        <v/>
      </c>
    </row>
    <row r="33641">
      <c r="A33641" t="n">
        <v>33640</v>
      </c>
      <c r="B33641" t="inlineStr">
        <is>
          <t>x̄x̄x̄MMMDCXL</t>
        </is>
      </c>
      <c r="C33641">
        <f>ROMAN(33640)</f>
        <v/>
      </c>
      <c r="D33641">
        <f>IF(B33641=C33641, "YES", "WRONG")</f>
        <v/>
      </c>
    </row>
    <row r="33642">
      <c r="A33642" t="n">
        <v>33641</v>
      </c>
      <c r="B33642" t="inlineStr">
        <is>
          <t>x̄x̄x̄MMMDCXLI</t>
        </is>
      </c>
      <c r="C33642">
        <f>ROMAN(33641)</f>
        <v/>
      </c>
      <c r="D33642">
        <f>IF(B33642=C33642, "YES", "WRONG")</f>
        <v/>
      </c>
    </row>
    <row r="33643">
      <c r="A33643" t="n">
        <v>33642</v>
      </c>
      <c r="B33643" t="inlineStr">
        <is>
          <t>x̄x̄x̄MMMDCXLII</t>
        </is>
      </c>
      <c r="C33643">
        <f>ROMAN(33642)</f>
        <v/>
      </c>
      <c r="D33643">
        <f>IF(B33643=C33643, "YES", "WRONG")</f>
        <v/>
      </c>
    </row>
    <row r="33644">
      <c r="A33644" t="n">
        <v>33643</v>
      </c>
      <c r="B33644" t="inlineStr">
        <is>
          <t>x̄x̄x̄MMMDCXLIII</t>
        </is>
      </c>
      <c r="C33644">
        <f>ROMAN(33643)</f>
        <v/>
      </c>
      <c r="D33644">
        <f>IF(B33644=C33644, "YES", "WRONG")</f>
        <v/>
      </c>
    </row>
    <row r="33645">
      <c r="A33645" t="n">
        <v>33644</v>
      </c>
      <c r="B33645" t="inlineStr">
        <is>
          <t>x̄x̄x̄MMMDCXLIV</t>
        </is>
      </c>
      <c r="C33645">
        <f>ROMAN(33644)</f>
        <v/>
      </c>
      <c r="D33645">
        <f>IF(B33645=C33645, "YES", "WRONG")</f>
        <v/>
      </c>
    </row>
    <row r="33646">
      <c r="A33646" t="n">
        <v>33645</v>
      </c>
      <c r="B33646" t="inlineStr">
        <is>
          <t>x̄x̄x̄MMMDCXLV</t>
        </is>
      </c>
      <c r="C33646">
        <f>ROMAN(33645)</f>
        <v/>
      </c>
      <c r="D33646">
        <f>IF(B33646=C33646, "YES", "WRONG")</f>
        <v/>
      </c>
    </row>
    <row r="33647">
      <c r="A33647" t="n">
        <v>33646</v>
      </c>
      <c r="B33647" t="inlineStr">
        <is>
          <t>x̄x̄x̄MMMDCXLVI</t>
        </is>
      </c>
      <c r="C33647">
        <f>ROMAN(33646)</f>
        <v/>
      </c>
      <c r="D33647">
        <f>IF(B33647=C33647, "YES", "WRONG")</f>
        <v/>
      </c>
    </row>
    <row r="33648">
      <c r="A33648" t="n">
        <v>33647</v>
      </c>
      <c r="B33648" t="inlineStr">
        <is>
          <t>x̄x̄x̄MMMDCXLVII</t>
        </is>
      </c>
      <c r="C33648">
        <f>ROMAN(33647)</f>
        <v/>
      </c>
      <c r="D33648">
        <f>IF(B33648=C33648, "YES", "WRONG")</f>
        <v/>
      </c>
    </row>
    <row r="33649">
      <c r="A33649" t="n">
        <v>33648</v>
      </c>
      <c r="B33649" t="inlineStr">
        <is>
          <t>x̄x̄x̄MMMDCXLVIII</t>
        </is>
      </c>
      <c r="C33649">
        <f>ROMAN(33648)</f>
        <v/>
      </c>
      <c r="D33649">
        <f>IF(B33649=C33649, "YES", "WRONG")</f>
        <v/>
      </c>
    </row>
    <row r="33650">
      <c r="A33650" t="n">
        <v>33649</v>
      </c>
      <c r="B33650" t="inlineStr">
        <is>
          <t>x̄x̄x̄MMMDCXLIX</t>
        </is>
      </c>
      <c r="C33650">
        <f>ROMAN(33649)</f>
        <v/>
      </c>
      <c r="D33650">
        <f>IF(B33650=C33650, "YES", "WRONG")</f>
        <v/>
      </c>
    </row>
    <row r="33651">
      <c r="A33651" t="n">
        <v>33650</v>
      </c>
      <c r="B33651" t="inlineStr">
        <is>
          <t>x̄x̄x̄MMMDCL</t>
        </is>
      </c>
      <c r="C33651">
        <f>ROMAN(33650)</f>
        <v/>
      </c>
      <c r="D33651">
        <f>IF(B33651=C33651, "YES", "WRONG")</f>
        <v/>
      </c>
    </row>
    <row r="33652">
      <c r="A33652" t="n">
        <v>33651</v>
      </c>
      <c r="B33652" t="inlineStr">
        <is>
          <t>x̄x̄x̄MMMDCLI</t>
        </is>
      </c>
      <c r="C33652">
        <f>ROMAN(33651)</f>
        <v/>
      </c>
      <c r="D33652">
        <f>IF(B33652=C33652, "YES", "WRONG")</f>
        <v/>
      </c>
    </row>
    <row r="33653">
      <c r="A33653" t="n">
        <v>33652</v>
      </c>
      <c r="B33653" t="inlineStr">
        <is>
          <t>x̄x̄x̄MMMDCLII</t>
        </is>
      </c>
      <c r="C33653">
        <f>ROMAN(33652)</f>
        <v/>
      </c>
      <c r="D33653">
        <f>IF(B33653=C33653, "YES", "WRONG")</f>
        <v/>
      </c>
    </row>
    <row r="33654">
      <c r="A33654" t="n">
        <v>33653</v>
      </c>
      <c r="B33654" t="inlineStr">
        <is>
          <t>x̄x̄x̄MMMDCLIII</t>
        </is>
      </c>
      <c r="C33654">
        <f>ROMAN(33653)</f>
        <v/>
      </c>
      <c r="D33654">
        <f>IF(B33654=C33654, "YES", "WRONG")</f>
        <v/>
      </c>
    </row>
    <row r="33655">
      <c r="A33655" t="n">
        <v>33654</v>
      </c>
      <c r="B33655" t="inlineStr">
        <is>
          <t>x̄x̄x̄MMMDCLIV</t>
        </is>
      </c>
      <c r="C33655">
        <f>ROMAN(33654)</f>
        <v/>
      </c>
      <c r="D33655">
        <f>IF(B33655=C33655, "YES", "WRONG")</f>
        <v/>
      </c>
    </row>
    <row r="33656">
      <c r="A33656" t="n">
        <v>33655</v>
      </c>
      <c r="B33656" t="inlineStr">
        <is>
          <t>x̄x̄x̄MMMDCLV</t>
        </is>
      </c>
      <c r="C33656">
        <f>ROMAN(33655)</f>
        <v/>
      </c>
      <c r="D33656">
        <f>IF(B33656=C33656, "YES", "WRONG")</f>
        <v/>
      </c>
    </row>
    <row r="33657">
      <c r="A33657" t="n">
        <v>33656</v>
      </c>
      <c r="B33657" t="inlineStr">
        <is>
          <t>x̄x̄x̄MMMDCLVI</t>
        </is>
      </c>
      <c r="C33657">
        <f>ROMAN(33656)</f>
        <v/>
      </c>
      <c r="D33657">
        <f>IF(B33657=C33657, "YES", "WRONG")</f>
        <v/>
      </c>
    </row>
    <row r="33658">
      <c r="A33658" t="n">
        <v>33657</v>
      </c>
      <c r="B33658" t="inlineStr">
        <is>
          <t>x̄x̄x̄MMMDCLVII</t>
        </is>
      </c>
      <c r="C33658">
        <f>ROMAN(33657)</f>
        <v/>
      </c>
      <c r="D33658">
        <f>IF(B33658=C33658, "YES", "WRONG")</f>
        <v/>
      </c>
    </row>
    <row r="33659">
      <c r="A33659" t="n">
        <v>33658</v>
      </c>
      <c r="B33659" t="inlineStr">
        <is>
          <t>x̄x̄x̄MMMDCLVIII</t>
        </is>
      </c>
      <c r="C33659">
        <f>ROMAN(33658)</f>
        <v/>
      </c>
      <c r="D33659">
        <f>IF(B33659=C33659, "YES", "WRONG")</f>
        <v/>
      </c>
    </row>
    <row r="33660">
      <c r="A33660" t="n">
        <v>33659</v>
      </c>
      <c r="B33660" t="inlineStr">
        <is>
          <t>x̄x̄x̄MMMDCLIX</t>
        </is>
      </c>
      <c r="C33660">
        <f>ROMAN(33659)</f>
        <v/>
      </c>
      <c r="D33660">
        <f>IF(B33660=C33660, "YES", "WRONG")</f>
        <v/>
      </c>
    </row>
    <row r="33661">
      <c r="A33661" t="n">
        <v>33660</v>
      </c>
      <c r="B33661" t="inlineStr">
        <is>
          <t>x̄x̄x̄MMMDCLX</t>
        </is>
      </c>
      <c r="C33661">
        <f>ROMAN(33660)</f>
        <v/>
      </c>
      <c r="D33661">
        <f>IF(B33661=C33661, "YES", "WRONG")</f>
        <v/>
      </c>
    </row>
    <row r="33662">
      <c r="A33662" t="n">
        <v>33661</v>
      </c>
      <c r="B33662" t="inlineStr">
        <is>
          <t>x̄x̄x̄MMMDCLXI</t>
        </is>
      </c>
      <c r="C33662">
        <f>ROMAN(33661)</f>
        <v/>
      </c>
      <c r="D33662">
        <f>IF(B33662=C33662, "YES", "WRONG")</f>
        <v/>
      </c>
    </row>
    <row r="33663">
      <c r="A33663" t="n">
        <v>33662</v>
      </c>
      <c r="B33663" t="inlineStr">
        <is>
          <t>x̄x̄x̄MMMDCLXII</t>
        </is>
      </c>
      <c r="C33663">
        <f>ROMAN(33662)</f>
        <v/>
      </c>
      <c r="D33663">
        <f>IF(B33663=C33663, "YES", "WRONG")</f>
        <v/>
      </c>
    </row>
    <row r="33664">
      <c r="A33664" t="n">
        <v>33663</v>
      </c>
      <c r="B33664" t="inlineStr">
        <is>
          <t>x̄x̄x̄MMMDCLXIII</t>
        </is>
      </c>
      <c r="C33664">
        <f>ROMAN(33663)</f>
        <v/>
      </c>
      <c r="D33664">
        <f>IF(B33664=C33664, "YES", "WRONG")</f>
        <v/>
      </c>
    </row>
    <row r="33665">
      <c r="A33665" t="n">
        <v>33664</v>
      </c>
      <c r="B33665" t="inlineStr">
        <is>
          <t>x̄x̄x̄MMMDCLXIV</t>
        </is>
      </c>
      <c r="C33665">
        <f>ROMAN(33664)</f>
        <v/>
      </c>
      <c r="D33665">
        <f>IF(B33665=C33665, "YES", "WRONG")</f>
        <v/>
      </c>
    </row>
    <row r="33666">
      <c r="A33666" t="n">
        <v>33665</v>
      </c>
      <c r="B33666" t="inlineStr">
        <is>
          <t>x̄x̄x̄MMMDCLXV</t>
        </is>
      </c>
      <c r="C33666">
        <f>ROMAN(33665)</f>
        <v/>
      </c>
      <c r="D33666">
        <f>IF(B33666=C33666, "YES", "WRONG")</f>
        <v/>
      </c>
    </row>
    <row r="33667">
      <c r="A33667" t="n">
        <v>33666</v>
      </c>
      <c r="B33667" t="inlineStr">
        <is>
          <t>x̄x̄x̄MMMDCLXVI</t>
        </is>
      </c>
      <c r="C33667">
        <f>ROMAN(33666)</f>
        <v/>
      </c>
      <c r="D33667">
        <f>IF(B33667=C33667, "YES", "WRONG")</f>
        <v/>
      </c>
    </row>
    <row r="33668">
      <c r="A33668" t="n">
        <v>33667</v>
      </c>
      <c r="B33668" t="inlineStr">
        <is>
          <t>x̄x̄x̄MMMDCLXVII</t>
        </is>
      </c>
      <c r="C33668">
        <f>ROMAN(33667)</f>
        <v/>
      </c>
      <c r="D33668">
        <f>IF(B33668=C33668, "YES", "WRONG")</f>
        <v/>
      </c>
    </row>
    <row r="33669">
      <c r="A33669" t="n">
        <v>33668</v>
      </c>
      <c r="B33669" t="inlineStr">
        <is>
          <t>x̄x̄x̄MMMDCLXVIII</t>
        </is>
      </c>
      <c r="C33669">
        <f>ROMAN(33668)</f>
        <v/>
      </c>
      <c r="D33669">
        <f>IF(B33669=C33669, "YES", "WRONG")</f>
        <v/>
      </c>
    </row>
    <row r="33670">
      <c r="A33670" t="n">
        <v>33669</v>
      </c>
      <c r="B33670" t="inlineStr">
        <is>
          <t>x̄x̄x̄MMMDCLXIX</t>
        </is>
      </c>
      <c r="C33670">
        <f>ROMAN(33669)</f>
        <v/>
      </c>
      <c r="D33670">
        <f>IF(B33670=C33670, "YES", "WRONG")</f>
        <v/>
      </c>
    </row>
    <row r="33671">
      <c r="A33671" t="n">
        <v>33670</v>
      </c>
      <c r="B33671" t="inlineStr">
        <is>
          <t>x̄x̄x̄MMMDCLXX</t>
        </is>
      </c>
      <c r="C33671">
        <f>ROMAN(33670)</f>
        <v/>
      </c>
      <c r="D33671">
        <f>IF(B33671=C33671, "YES", "WRONG")</f>
        <v/>
      </c>
    </row>
    <row r="33672">
      <c r="A33672" t="n">
        <v>33671</v>
      </c>
      <c r="B33672" t="inlineStr">
        <is>
          <t>x̄x̄x̄MMMDCLXXI</t>
        </is>
      </c>
      <c r="C33672">
        <f>ROMAN(33671)</f>
        <v/>
      </c>
      <c r="D33672">
        <f>IF(B33672=C33672, "YES", "WRONG")</f>
        <v/>
      </c>
    </row>
    <row r="33673">
      <c r="A33673" t="n">
        <v>33672</v>
      </c>
      <c r="B33673" t="inlineStr">
        <is>
          <t>x̄x̄x̄MMMDCLXXII</t>
        </is>
      </c>
      <c r="C33673">
        <f>ROMAN(33672)</f>
        <v/>
      </c>
      <c r="D33673">
        <f>IF(B33673=C33673, "YES", "WRONG")</f>
        <v/>
      </c>
    </row>
    <row r="33674">
      <c r="A33674" t="n">
        <v>33673</v>
      </c>
      <c r="B33674" t="inlineStr">
        <is>
          <t>x̄x̄x̄MMMDCLXXIII</t>
        </is>
      </c>
      <c r="C33674">
        <f>ROMAN(33673)</f>
        <v/>
      </c>
      <c r="D33674">
        <f>IF(B33674=C33674, "YES", "WRONG")</f>
        <v/>
      </c>
    </row>
    <row r="33675">
      <c r="A33675" t="n">
        <v>33674</v>
      </c>
      <c r="B33675" t="inlineStr">
        <is>
          <t>x̄x̄x̄MMMDCLXXIV</t>
        </is>
      </c>
      <c r="C33675">
        <f>ROMAN(33674)</f>
        <v/>
      </c>
      <c r="D33675">
        <f>IF(B33675=C33675, "YES", "WRONG")</f>
        <v/>
      </c>
    </row>
    <row r="33676">
      <c r="A33676" t="n">
        <v>33675</v>
      </c>
      <c r="B33676" t="inlineStr">
        <is>
          <t>x̄x̄x̄MMMDCLXXV</t>
        </is>
      </c>
      <c r="C33676">
        <f>ROMAN(33675)</f>
        <v/>
      </c>
      <c r="D33676">
        <f>IF(B33676=C33676, "YES", "WRONG")</f>
        <v/>
      </c>
    </row>
    <row r="33677">
      <c r="A33677" t="n">
        <v>33676</v>
      </c>
      <c r="B33677" t="inlineStr">
        <is>
          <t>x̄x̄x̄MMMDCLXXVI</t>
        </is>
      </c>
      <c r="C33677">
        <f>ROMAN(33676)</f>
        <v/>
      </c>
      <c r="D33677">
        <f>IF(B33677=C33677, "YES", "WRONG")</f>
        <v/>
      </c>
    </row>
    <row r="33678">
      <c r="A33678" t="n">
        <v>33677</v>
      </c>
      <c r="B33678" t="inlineStr">
        <is>
          <t>x̄x̄x̄MMMDCLXXVII</t>
        </is>
      </c>
      <c r="C33678">
        <f>ROMAN(33677)</f>
        <v/>
      </c>
      <c r="D33678">
        <f>IF(B33678=C33678, "YES", "WRONG")</f>
        <v/>
      </c>
    </row>
    <row r="33679">
      <c r="A33679" t="n">
        <v>33678</v>
      </c>
      <c r="B33679" t="inlineStr">
        <is>
          <t>x̄x̄x̄MMMDCLXXVIII</t>
        </is>
      </c>
      <c r="C33679">
        <f>ROMAN(33678)</f>
        <v/>
      </c>
      <c r="D33679">
        <f>IF(B33679=C33679, "YES", "WRONG")</f>
        <v/>
      </c>
    </row>
    <row r="33680">
      <c r="A33680" t="n">
        <v>33679</v>
      </c>
      <c r="B33680" t="inlineStr">
        <is>
          <t>x̄x̄x̄MMMDCLXXIX</t>
        </is>
      </c>
      <c r="C33680">
        <f>ROMAN(33679)</f>
        <v/>
      </c>
      <c r="D33680">
        <f>IF(B33680=C33680, "YES", "WRONG")</f>
        <v/>
      </c>
    </row>
    <row r="33681">
      <c r="A33681" t="n">
        <v>33680</v>
      </c>
      <c r="B33681" t="inlineStr">
        <is>
          <t>x̄x̄x̄MMMDCLXXX</t>
        </is>
      </c>
      <c r="C33681">
        <f>ROMAN(33680)</f>
        <v/>
      </c>
      <c r="D33681">
        <f>IF(B33681=C33681, "YES", "WRONG")</f>
        <v/>
      </c>
    </row>
    <row r="33682">
      <c r="A33682" t="n">
        <v>33681</v>
      </c>
      <c r="B33682" t="inlineStr">
        <is>
          <t>x̄x̄x̄MMMDCLXXXI</t>
        </is>
      </c>
      <c r="C33682">
        <f>ROMAN(33681)</f>
        <v/>
      </c>
      <c r="D33682">
        <f>IF(B33682=C33682, "YES", "WRONG")</f>
        <v/>
      </c>
    </row>
    <row r="33683">
      <c r="A33683" t="n">
        <v>33682</v>
      </c>
      <c r="B33683" t="inlineStr">
        <is>
          <t>x̄x̄x̄MMMDCLXXXII</t>
        </is>
      </c>
      <c r="C33683">
        <f>ROMAN(33682)</f>
        <v/>
      </c>
      <c r="D33683">
        <f>IF(B33683=C33683, "YES", "WRONG")</f>
        <v/>
      </c>
    </row>
    <row r="33684">
      <c r="A33684" t="n">
        <v>33683</v>
      </c>
      <c r="B33684" t="inlineStr">
        <is>
          <t>x̄x̄x̄MMMDCLXXXIII</t>
        </is>
      </c>
      <c r="C33684">
        <f>ROMAN(33683)</f>
        <v/>
      </c>
      <c r="D33684">
        <f>IF(B33684=C33684, "YES", "WRONG")</f>
        <v/>
      </c>
    </row>
    <row r="33685">
      <c r="A33685" t="n">
        <v>33684</v>
      </c>
      <c r="B33685" t="inlineStr">
        <is>
          <t>x̄x̄x̄MMMDCLXXXIV</t>
        </is>
      </c>
      <c r="C33685">
        <f>ROMAN(33684)</f>
        <v/>
      </c>
      <c r="D33685">
        <f>IF(B33685=C33685, "YES", "WRONG")</f>
        <v/>
      </c>
    </row>
    <row r="33686">
      <c r="A33686" t="n">
        <v>33685</v>
      </c>
      <c r="B33686" t="inlineStr">
        <is>
          <t>x̄x̄x̄MMMDCLXXXV</t>
        </is>
      </c>
      <c r="C33686">
        <f>ROMAN(33685)</f>
        <v/>
      </c>
      <c r="D33686">
        <f>IF(B33686=C33686, "YES", "WRONG")</f>
        <v/>
      </c>
    </row>
    <row r="33687">
      <c r="A33687" t="n">
        <v>33686</v>
      </c>
      <c r="B33687" t="inlineStr">
        <is>
          <t>x̄x̄x̄MMMDCLXXXVI</t>
        </is>
      </c>
      <c r="C33687">
        <f>ROMAN(33686)</f>
        <v/>
      </c>
      <c r="D33687">
        <f>IF(B33687=C33687, "YES", "WRONG")</f>
        <v/>
      </c>
    </row>
    <row r="33688">
      <c r="A33688" t="n">
        <v>33687</v>
      </c>
      <c r="B33688" t="inlineStr">
        <is>
          <t>x̄x̄x̄MMMDCLXXXVII</t>
        </is>
      </c>
      <c r="C33688">
        <f>ROMAN(33687)</f>
        <v/>
      </c>
      <c r="D33688">
        <f>IF(B33688=C33688, "YES", "WRONG")</f>
        <v/>
      </c>
    </row>
    <row r="33689">
      <c r="A33689" t="n">
        <v>33688</v>
      </c>
      <c r="B33689" t="inlineStr">
        <is>
          <t>x̄x̄x̄MMMDCLXXXVIII</t>
        </is>
      </c>
      <c r="C33689">
        <f>ROMAN(33688)</f>
        <v/>
      </c>
      <c r="D33689">
        <f>IF(B33689=C33689, "YES", "WRONG")</f>
        <v/>
      </c>
    </row>
    <row r="33690">
      <c r="A33690" t="n">
        <v>33689</v>
      </c>
      <c r="B33690" t="inlineStr">
        <is>
          <t>x̄x̄x̄MMMDCLXXXIX</t>
        </is>
      </c>
      <c r="C33690">
        <f>ROMAN(33689)</f>
        <v/>
      </c>
      <c r="D33690">
        <f>IF(B33690=C33690, "YES", "WRONG")</f>
        <v/>
      </c>
    </row>
    <row r="33691">
      <c r="A33691" t="n">
        <v>33690</v>
      </c>
      <c r="B33691" t="inlineStr">
        <is>
          <t>x̄x̄x̄MMMDCXC</t>
        </is>
      </c>
      <c r="C33691">
        <f>ROMAN(33690)</f>
        <v/>
      </c>
      <c r="D33691">
        <f>IF(B33691=C33691, "YES", "WRONG")</f>
        <v/>
      </c>
    </row>
    <row r="33692">
      <c r="A33692" t="n">
        <v>33691</v>
      </c>
      <c r="B33692" t="inlineStr">
        <is>
          <t>x̄x̄x̄MMMDCXCI</t>
        </is>
      </c>
      <c r="C33692">
        <f>ROMAN(33691)</f>
        <v/>
      </c>
      <c r="D33692">
        <f>IF(B33692=C33692, "YES", "WRONG")</f>
        <v/>
      </c>
    </row>
    <row r="33693">
      <c r="A33693" t="n">
        <v>33692</v>
      </c>
      <c r="B33693" t="inlineStr">
        <is>
          <t>x̄x̄x̄MMMDCXCII</t>
        </is>
      </c>
      <c r="C33693">
        <f>ROMAN(33692)</f>
        <v/>
      </c>
      <c r="D33693">
        <f>IF(B33693=C33693, "YES", "WRONG")</f>
        <v/>
      </c>
    </row>
    <row r="33694">
      <c r="A33694" t="n">
        <v>33693</v>
      </c>
      <c r="B33694" t="inlineStr">
        <is>
          <t>x̄x̄x̄MMMDCXCIII</t>
        </is>
      </c>
      <c r="C33694">
        <f>ROMAN(33693)</f>
        <v/>
      </c>
      <c r="D33694">
        <f>IF(B33694=C33694, "YES", "WRONG")</f>
        <v/>
      </c>
    </row>
    <row r="33695">
      <c r="A33695" t="n">
        <v>33694</v>
      </c>
      <c r="B33695" t="inlineStr">
        <is>
          <t>x̄x̄x̄MMMDCXCIV</t>
        </is>
      </c>
      <c r="C33695">
        <f>ROMAN(33694)</f>
        <v/>
      </c>
      <c r="D33695">
        <f>IF(B33695=C33695, "YES", "WRONG")</f>
        <v/>
      </c>
    </row>
    <row r="33696">
      <c r="A33696" t="n">
        <v>33695</v>
      </c>
      <c r="B33696" t="inlineStr">
        <is>
          <t>x̄x̄x̄MMMDCXCV</t>
        </is>
      </c>
      <c r="C33696">
        <f>ROMAN(33695)</f>
        <v/>
      </c>
      <c r="D33696">
        <f>IF(B33696=C33696, "YES", "WRONG")</f>
        <v/>
      </c>
    </row>
    <row r="33697">
      <c r="A33697" t="n">
        <v>33696</v>
      </c>
      <c r="B33697" t="inlineStr">
        <is>
          <t>x̄x̄x̄MMMDCXCVI</t>
        </is>
      </c>
      <c r="C33697">
        <f>ROMAN(33696)</f>
        <v/>
      </c>
      <c r="D33697">
        <f>IF(B33697=C33697, "YES", "WRONG")</f>
        <v/>
      </c>
    </row>
    <row r="33698">
      <c r="A33698" t="n">
        <v>33697</v>
      </c>
      <c r="B33698" t="inlineStr">
        <is>
          <t>x̄x̄x̄MMMDCXCVII</t>
        </is>
      </c>
      <c r="C33698">
        <f>ROMAN(33697)</f>
        <v/>
      </c>
      <c r="D33698">
        <f>IF(B33698=C33698, "YES", "WRONG")</f>
        <v/>
      </c>
    </row>
    <row r="33699">
      <c r="A33699" t="n">
        <v>33698</v>
      </c>
      <c r="B33699" t="inlineStr">
        <is>
          <t>x̄x̄x̄MMMDCXCVIII</t>
        </is>
      </c>
      <c r="C33699">
        <f>ROMAN(33698)</f>
        <v/>
      </c>
      <c r="D33699">
        <f>IF(B33699=C33699, "YES", "WRONG")</f>
        <v/>
      </c>
    </row>
    <row r="33700">
      <c r="A33700" t="n">
        <v>33699</v>
      </c>
      <c r="B33700" t="inlineStr">
        <is>
          <t>x̄x̄x̄MMMDCXCIX</t>
        </is>
      </c>
      <c r="C33700">
        <f>ROMAN(33699)</f>
        <v/>
      </c>
      <c r="D33700">
        <f>IF(B33700=C33700, "YES", "WRONG")</f>
        <v/>
      </c>
    </row>
    <row r="33701">
      <c r="A33701" t="n">
        <v>33700</v>
      </c>
      <c r="B33701" t="inlineStr">
        <is>
          <t>x̄x̄x̄MMMDCC</t>
        </is>
      </c>
      <c r="C33701">
        <f>ROMAN(33700)</f>
        <v/>
      </c>
      <c r="D33701">
        <f>IF(B33701=C33701, "YES", "WRONG")</f>
        <v/>
      </c>
    </row>
    <row r="33702">
      <c r="A33702" t="n">
        <v>33701</v>
      </c>
      <c r="B33702" t="inlineStr">
        <is>
          <t>x̄x̄x̄MMMDCCI</t>
        </is>
      </c>
      <c r="C33702">
        <f>ROMAN(33701)</f>
        <v/>
      </c>
      <c r="D33702">
        <f>IF(B33702=C33702, "YES", "WRONG")</f>
        <v/>
      </c>
    </row>
    <row r="33703">
      <c r="A33703" t="n">
        <v>33702</v>
      </c>
      <c r="B33703" t="inlineStr">
        <is>
          <t>x̄x̄x̄MMMDCCII</t>
        </is>
      </c>
      <c r="C33703">
        <f>ROMAN(33702)</f>
        <v/>
      </c>
      <c r="D33703">
        <f>IF(B33703=C33703, "YES", "WRONG")</f>
        <v/>
      </c>
    </row>
    <row r="33704">
      <c r="A33704" t="n">
        <v>33703</v>
      </c>
      <c r="B33704" t="inlineStr">
        <is>
          <t>x̄x̄x̄MMMDCCIII</t>
        </is>
      </c>
      <c r="C33704">
        <f>ROMAN(33703)</f>
        <v/>
      </c>
      <c r="D33704">
        <f>IF(B33704=C33704, "YES", "WRONG")</f>
        <v/>
      </c>
    </row>
    <row r="33705">
      <c r="A33705" t="n">
        <v>33704</v>
      </c>
      <c r="B33705" t="inlineStr">
        <is>
          <t>x̄x̄x̄MMMDCCIV</t>
        </is>
      </c>
      <c r="C33705">
        <f>ROMAN(33704)</f>
        <v/>
      </c>
      <c r="D33705">
        <f>IF(B33705=C33705, "YES", "WRONG")</f>
        <v/>
      </c>
    </row>
    <row r="33706">
      <c r="A33706" t="n">
        <v>33705</v>
      </c>
      <c r="B33706" t="inlineStr">
        <is>
          <t>x̄x̄x̄MMMDCCV</t>
        </is>
      </c>
      <c r="C33706">
        <f>ROMAN(33705)</f>
        <v/>
      </c>
      <c r="D33706">
        <f>IF(B33706=C33706, "YES", "WRONG")</f>
        <v/>
      </c>
    </row>
    <row r="33707">
      <c r="A33707" t="n">
        <v>33706</v>
      </c>
      <c r="B33707" t="inlineStr">
        <is>
          <t>x̄x̄x̄MMMDCCVI</t>
        </is>
      </c>
      <c r="C33707">
        <f>ROMAN(33706)</f>
        <v/>
      </c>
      <c r="D33707">
        <f>IF(B33707=C33707, "YES", "WRONG")</f>
        <v/>
      </c>
    </row>
    <row r="33708">
      <c r="A33708" t="n">
        <v>33707</v>
      </c>
      <c r="B33708" t="inlineStr">
        <is>
          <t>x̄x̄x̄MMMDCCVII</t>
        </is>
      </c>
      <c r="C33708">
        <f>ROMAN(33707)</f>
        <v/>
      </c>
      <c r="D33708">
        <f>IF(B33708=C33708, "YES", "WRONG")</f>
        <v/>
      </c>
    </row>
    <row r="33709">
      <c r="A33709" t="n">
        <v>33708</v>
      </c>
      <c r="B33709" t="inlineStr">
        <is>
          <t>x̄x̄x̄MMMDCCVIII</t>
        </is>
      </c>
      <c r="C33709">
        <f>ROMAN(33708)</f>
        <v/>
      </c>
      <c r="D33709">
        <f>IF(B33709=C33709, "YES", "WRONG")</f>
        <v/>
      </c>
    </row>
    <row r="33710">
      <c r="A33710" t="n">
        <v>33709</v>
      </c>
      <c r="B33710" t="inlineStr">
        <is>
          <t>x̄x̄x̄MMMDCCIX</t>
        </is>
      </c>
      <c r="C33710">
        <f>ROMAN(33709)</f>
        <v/>
      </c>
      <c r="D33710">
        <f>IF(B33710=C33710, "YES", "WRONG")</f>
        <v/>
      </c>
    </row>
    <row r="33711">
      <c r="A33711" t="n">
        <v>33710</v>
      </c>
      <c r="B33711" t="inlineStr">
        <is>
          <t>x̄x̄x̄MMMDCCX</t>
        </is>
      </c>
      <c r="C33711">
        <f>ROMAN(33710)</f>
        <v/>
      </c>
      <c r="D33711">
        <f>IF(B33711=C33711, "YES", "WRONG")</f>
        <v/>
      </c>
    </row>
    <row r="33712">
      <c r="A33712" t="n">
        <v>33711</v>
      </c>
      <c r="B33712" t="inlineStr">
        <is>
          <t>x̄x̄x̄MMMDCCXI</t>
        </is>
      </c>
      <c r="C33712">
        <f>ROMAN(33711)</f>
        <v/>
      </c>
      <c r="D33712">
        <f>IF(B33712=C33712, "YES", "WRONG")</f>
        <v/>
      </c>
    </row>
    <row r="33713">
      <c r="A33713" t="n">
        <v>33712</v>
      </c>
      <c r="B33713" t="inlineStr">
        <is>
          <t>x̄x̄x̄MMMDCCXII</t>
        </is>
      </c>
      <c r="C33713">
        <f>ROMAN(33712)</f>
        <v/>
      </c>
      <c r="D33713">
        <f>IF(B33713=C33713, "YES", "WRONG")</f>
        <v/>
      </c>
    </row>
    <row r="33714">
      <c r="A33714" t="n">
        <v>33713</v>
      </c>
      <c r="B33714" t="inlineStr">
        <is>
          <t>x̄x̄x̄MMMDCCXIII</t>
        </is>
      </c>
      <c r="C33714">
        <f>ROMAN(33713)</f>
        <v/>
      </c>
      <c r="D33714">
        <f>IF(B33714=C33714, "YES", "WRONG")</f>
        <v/>
      </c>
    </row>
    <row r="33715">
      <c r="A33715" t="n">
        <v>33714</v>
      </c>
      <c r="B33715" t="inlineStr">
        <is>
          <t>x̄x̄x̄MMMDCCXIV</t>
        </is>
      </c>
      <c r="C33715">
        <f>ROMAN(33714)</f>
        <v/>
      </c>
      <c r="D33715">
        <f>IF(B33715=C33715, "YES", "WRONG")</f>
        <v/>
      </c>
    </row>
    <row r="33716">
      <c r="A33716" t="n">
        <v>33715</v>
      </c>
      <c r="B33716" t="inlineStr">
        <is>
          <t>x̄x̄x̄MMMDCCXV</t>
        </is>
      </c>
      <c r="C33716">
        <f>ROMAN(33715)</f>
        <v/>
      </c>
      <c r="D33716">
        <f>IF(B33716=C33716, "YES", "WRONG")</f>
        <v/>
      </c>
    </row>
    <row r="33717">
      <c r="A33717" t="n">
        <v>33716</v>
      </c>
      <c r="B33717" t="inlineStr">
        <is>
          <t>x̄x̄x̄MMMDCCXVI</t>
        </is>
      </c>
      <c r="C33717">
        <f>ROMAN(33716)</f>
        <v/>
      </c>
      <c r="D33717">
        <f>IF(B33717=C33717, "YES", "WRONG")</f>
        <v/>
      </c>
    </row>
    <row r="33718">
      <c r="A33718" t="n">
        <v>33717</v>
      </c>
      <c r="B33718" t="inlineStr">
        <is>
          <t>x̄x̄x̄MMMDCCXVII</t>
        </is>
      </c>
      <c r="C33718">
        <f>ROMAN(33717)</f>
        <v/>
      </c>
      <c r="D33718">
        <f>IF(B33718=C33718, "YES", "WRONG")</f>
        <v/>
      </c>
    </row>
    <row r="33719">
      <c r="A33719" t="n">
        <v>33718</v>
      </c>
      <c r="B33719" t="inlineStr">
        <is>
          <t>x̄x̄x̄MMMDCCXVIII</t>
        </is>
      </c>
      <c r="C33719">
        <f>ROMAN(33718)</f>
        <v/>
      </c>
      <c r="D33719">
        <f>IF(B33719=C33719, "YES", "WRONG")</f>
        <v/>
      </c>
    </row>
    <row r="33720">
      <c r="A33720" t="n">
        <v>33719</v>
      </c>
      <c r="B33720" t="inlineStr">
        <is>
          <t>x̄x̄x̄MMMDCCXIX</t>
        </is>
      </c>
      <c r="C33720">
        <f>ROMAN(33719)</f>
        <v/>
      </c>
      <c r="D33720">
        <f>IF(B33720=C33720, "YES", "WRONG")</f>
        <v/>
      </c>
    </row>
    <row r="33721">
      <c r="A33721" t="n">
        <v>33720</v>
      </c>
      <c r="B33721" t="inlineStr">
        <is>
          <t>x̄x̄x̄MMMDCCXX</t>
        </is>
      </c>
      <c r="C33721">
        <f>ROMAN(33720)</f>
        <v/>
      </c>
      <c r="D33721">
        <f>IF(B33721=C33721, "YES", "WRONG")</f>
        <v/>
      </c>
    </row>
    <row r="33722">
      <c r="A33722" t="n">
        <v>33721</v>
      </c>
      <c r="B33722" t="inlineStr">
        <is>
          <t>x̄x̄x̄MMMDCCXXI</t>
        </is>
      </c>
      <c r="C33722">
        <f>ROMAN(33721)</f>
        <v/>
      </c>
      <c r="D33722">
        <f>IF(B33722=C33722, "YES", "WRONG")</f>
        <v/>
      </c>
    </row>
    <row r="33723">
      <c r="A33723" t="n">
        <v>33722</v>
      </c>
      <c r="B33723" t="inlineStr">
        <is>
          <t>x̄x̄x̄MMMDCCXXII</t>
        </is>
      </c>
      <c r="C33723">
        <f>ROMAN(33722)</f>
        <v/>
      </c>
      <c r="D33723">
        <f>IF(B33723=C33723, "YES", "WRONG")</f>
        <v/>
      </c>
    </row>
    <row r="33724">
      <c r="A33724" t="n">
        <v>33723</v>
      </c>
      <c r="B33724" t="inlineStr">
        <is>
          <t>x̄x̄x̄MMMDCCXXIII</t>
        </is>
      </c>
      <c r="C33724">
        <f>ROMAN(33723)</f>
        <v/>
      </c>
      <c r="D33724">
        <f>IF(B33724=C33724, "YES", "WRONG")</f>
        <v/>
      </c>
    </row>
    <row r="33725">
      <c r="A33725" t="n">
        <v>33724</v>
      </c>
      <c r="B33725" t="inlineStr">
        <is>
          <t>x̄x̄x̄MMMDCCXXIV</t>
        </is>
      </c>
      <c r="C33725">
        <f>ROMAN(33724)</f>
        <v/>
      </c>
      <c r="D33725">
        <f>IF(B33725=C33725, "YES", "WRONG")</f>
        <v/>
      </c>
    </row>
    <row r="33726">
      <c r="A33726" t="n">
        <v>33725</v>
      </c>
      <c r="B33726" t="inlineStr">
        <is>
          <t>x̄x̄x̄MMMDCCXXV</t>
        </is>
      </c>
      <c r="C33726">
        <f>ROMAN(33725)</f>
        <v/>
      </c>
      <c r="D33726">
        <f>IF(B33726=C33726, "YES", "WRONG")</f>
        <v/>
      </c>
    </row>
    <row r="33727">
      <c r="A33727" t="n">
        <v>33726</v>
      </c>
      <c r="B33727" t="inlineStr">
        <is>
          <t>x̄x̄x̄MMMDCCXXVI</t>
        </is>
      </c>
      <c r="C33727">
        <f>ROMAN(33726)</f>
        <v/>
      </c>
      <c r="D33727">
        <f>IF(B33727=C33727, "YES", "WRONG")</f>
        <v/>
      </c>
    </row>
    <row r="33728">
      <c r="A33728" t="n">
        <v>33727</v>
      </c>
      <c r="B33728" t="inlineStr">
        <is>
          <t>x̄x̄x̄MMMDCCXXVII</t>
        </is>
      </c>
      <c r="C33728">
        <f>ROMAN(33727)</f>
        <v/>
      </c>
      <c r="D33728">
        <f>IF(B33728=C33728, "YES", "WRONG")</f>
        <v/>
      </c>
    </row>
    <row r="33729">
      <c r="A33729" t="n">
        <v>33728</v>
      </c>
      <c r="B33729" t="inlineStr">
        <is>
          <t>x̄x̄x̄MMMDCCXXVIII</t>
        </is>
      </c>
      <c r="C33729">
        <f>ROMAN(33728)</f>
        <v/>
      </c>
      <c r="D33729">
        <f>IF(B33729=C33729, "YES", "WRONG")</f>
        <v/>
      </c>
    </row>
    <row r="33730">
      <c r="A33730" t="n">
        <v>33729</v>
      </c>
      <c r="B33730" t="inlineStr">
        <is>
          <t>x̄x̄x̄MMMDCCXXIX</t>
        </is>
      </c>
      <c r="C33730">
        <f>ROMAN(33729)</f>
        <v/>
      </c>
      <c r="D33730">
        <f>IF(B33730=C33730, "YES", "WRONG")</f>
        <v/>
      </c>
    </row>
    <row r="33731">
      <c r="A33731" t="n">
        <v>33730</v>
      </c>
      <c r="B33731" t="inlineStr">
        <is>
          <t>x̄x̄x̄MMMDCCXXX</t>
        </is>
      </c>
      <c r="C33731">
        <f>ROMAN(33730)</f>
        <v/>
      </c>
      <c r="D33731">
        <f>IF(B33731=C33731, "YES", "WRONG")</f>
        <v/>
      </c>
    </row>
    <row r="33732">
      <c r="A33732" t="n">
        <v>33731</v>
      </c>
      <c r="B33732" t="inlineStr">
        <is>
          <t>x̄x̄x̄MMMDCCXXXI</t>
        </is>
      </c>
      <c r="C33732">
        <f>ROMAN(33731)</f>
        <v/>
      </c>
      <c r="D33732">
        <f>IF(B33732=C33732, "YES", "WRONG")</f>
        <v/>
      </c>
    </row>
    <row r="33733">
      <c r="A33733" t="n">
        <v>33732</v>
      </c>
      <c r="B33733" t="inlineStr">
        <is>
          <t>x̄x̄x̄MMMDCCXXXII</t>
        </is>
      </c>
      <c r="C33733">
        <f>ROMAN(33732)</f>
        <v/>
      </c>
      <c r="D33733">
        <f>IF(B33733=C33733, "YES", "WRONG")</f>
        <v/>
      </c>
    </row>
    <row r="33734">
      <c r="A33734" t="n">
        <v>33733</v>
      </c>
      <c r="B33734" t="inlineStr">
        <is>
          <t>x̄x̄x̄MMMDCCXXXIII</t>
        </is>
      </c>
      <c r="C33734">
        <f>ROMAN(33733)</f>
        <v/>
      </c>
      <c r="D33734">
        <f>IF(B33734=C33734, "YES", "WRONG")</f>
        <v/>
      </c>
    </row>
    <row r="33735">
      <c r="A33735" t="n">
        <v>33734</v>
      </c>
      <c r="B33735" t="inlineStr">
        <is>
          <t>x̄x̄x̄MMMDCCXXXIV</t>
        </is>
      </c>
      <c r="C33735">
        <f>ROMAN(33734)</f>
        <v/>
      </c>
      <c r="D33735">
        <f>IF(B33735=C33735, "YES", "WRONG")</f>
        <v/>
      </c>
    </row>
    <row r="33736">
      <c r="A33736" t="n">
        <v>33735</v>
      </c>
      <c r="B33736" t="inlineStr">
        <is>
          <t>x̄x̄x̄MMMDCCXXXV</t>
        </is>
      </c>
      <c r="C33736">
        <f>ROMAN(33735)</f>
        <v/>
      </c>
      <c r="D33736">
        <f>IF(B33736=C33736, "YES", "WRONG")</f>
        <v/>
      </c>
    </row>
    <row r="33737">
      <c r="A33737" t="n">
        <v>33736</v>
      </c>
      <c r="B33737" t="inlineStr">
        <is>
          <t>x̄x̄x̄MMMDCCXXXVI</t>
        </is>
      </c>
      <c r="C33737">
        <f>ROMAN(33736)</f>
        <v/>
      </c>
      <c r="D33737">
        <f>IF(B33737=C33737, "YES", "WRONG")</f>
        <v/>
      </c>
    </row>
    <row r="33738">
      <c r="A33738" t="n">
        <v>33737</v>
      </c>
      <c r="B33738" t="inlineStr">
        <is>
          <t>x̄x̄x̄MMMDCCXXXVII</t>
        </is>
      </c>
      <c r="C33738">
        <f>ROMAN(33737)</f>
        <v/>
      </c>
      <c r="D33738">
        <f>IF(B33738=C33738, "YES", "WRONG")</f>
        <v/>
      </c>
    </row>
    <row r="33739">
      <c r="A33739" t="n">
        <v>33738</v>
      </c>
      <c r="B33739" t="inlineStr">
        <is>
          <t>x̄x̄x̄MMMDCCXXXVIII</t>
        </is>
      </c>
      <c r="C33739">
        <f>ROMAN(33738)</f>
        <v/>
      </c>
      <c r="D33739">
        <f>IF(B33739=C33739, "YES", "WRONG")</f>
        <v/>
      </c>
    </row>
    <row r="33740">
      <c r="A33740" t="n">
        <v>33739</v>
      </c>
      <c r="B33740" t="inlineStr">
        <is>
          <t>x̄x̄x̄MMMDCCXXXIX</t>
        </is>
      </c>
      <c r="C33740">
        <f>ROMAN(33739)</f>
        <v/>
      </c>
      <c r="D33740">
        <f>IF(B33740=C33740, "YES", "WRONG")</f>
        <v/>
      </c>
    </row>
    <row r="33741">
      <c r="A33741" t="n">
        <v>33740</v>
      </c>
      <c r="B33741" t="inlineStr">
        <is>
          <t>x̄x̄x̄MMMDCCXL</t>
        </is>
      </c>
      <c r="C33741">
        <f>ROMAN(33740)</f>
        <v/>
      </c>
      <c r="D33741">
        <f>IF(B33741=C33741, "YES", "WRONG")</f>
        <v/>
      </c>
    </row>
    <row r="33742">
      <c r="A33742" t="n">
        <v>33741</v>
      </c>
      <c r="B33742" t="inlineStr">
        <is>
          <t>x̄x̄x̄MMMDCCXLI</t>
        </is>
      </c>
      <c r="C33742">
        <f>ROMAN(33741)</f>
        <v/>
      </c>
      <c r="D33742">
        <f>IF(B33742=C33742, "YES", "WRONG")</f>
        <v/>
      </c>
    </row>
    <row r="33743">
      <c r="A33743" t="n">
        <v>33742</v>
      </c>
      <c r="B33743" t="inlineStr">
        <is>
          <t>x̄x̄x̄MMMDCCXLII</t>
        </is>
      </c>
      <c r="C33743">
        <f>ROMAN(33742)</f>
        <v/>
      </c>
      <c r="D33743">
        <f>IF(B33743=C33743, "YES", "WRONG")</f>
        <v/>
      </c>
    </row>
    <row r="33744">
      <c r="A33744" t="n">
        <v>33743</v>
      </c>
      <c r="B33744" t="inlineStr">
        <is>
          <t>x̄x̄x̄MMMDCCXLIII</t>
        </is>
      </c>
      <c r="C33744">
        <f>ROMAN(33743)</f>
        <v/>
      </c>
      <c r="D33744">
        <f>IF(B33744=C33744, "YES", "WRONG")</f>
        <v/>
      </c>
    </row>
    <row r="33745">
      <c r="A33745" t="n">
        <v>33744</v>
      </c>
      <c r="B33745" t="inlineStr">
        <is>
          <t>x̄x̄x̄MMMDCCXLIV</t>
        </is>
      </c>
      <c r="C33745">
        <f>ROMAN(33744)</f>
        <v/>
      </c>
      <c r="D33745">
        <f>IF(B33745=C33745, "YES", "WRONG")</f>
        <v/>
      </c>
    </row>
    <row r="33746">
      <c r="A33746" t="n">
        <v>33745</v>
      </c>
      <c r="B33746" t="inlineStr">
        <is>
          <t>x̄x̄x̄MMMDCCXLV</t>
        </is>
      </c>
      <c r="C33746">
        <f>ROMAN(33745)</f>
        <v/>
      </c>
      <c r="D33746">
        <f>IF(B33746=C33746, "YES", "WRONG")</f>
        <v/>
      </c>
    </row>
    <row r="33747">
      <c r="A33747" t="n">
        <v>33746</v>
      </c>
      <c r="B33747" t="inlineStr">
        <is>
          <t>x̄x̄x̄MMMDCCXLVI</t>
        </is>
      </c>
      <c r="C33747">
        <f>ROMAN(33746)</f>
        <v/>
      </c>
      <c r="D33747">
        <f>IF(B33747=C33747, "YES", "WRONG")</f>
        <v/>
      </c>
    </row>
    <row r="33748">
      <c r="A33748" t="n">
        <v>33747</v>
      </c>
      <c r="B33748" t="inlineStr">
        <is>
          <t>x̄x̄x̄MMMDCCXLVII</t>
        </is>
      </c>
      <c r="C33748">
        <f>ROMAN(33747)</f>
        <v/>
      </c>
      <c r="D33748">
        <f>IF(B33748=C33748, "YES", "WRONG")</f>
        <v/>
      </c>
    </row>
    <row r="33749">
      <c r="A33749" t="n">
        <v>33748</v>
      </c>
      <c r="B33749" t="inlineStr">
        <is>
          <t>x̄x̄x̄MMMDCCXLVIII</t>
        </is>
      </c>
      <c r="C33749">
        <f>ROMAN(33748)</f>
        <v/>
      </c>
      <c r="D33749">
        <f>IF(B33749=C33749, "YES", "WRONG")</f>
        <v/>
      </c>
    </row>
    <row r="33750">
      <c r="A33750" t="n">
        <v>33749</v>
      </c>
      <c r="B33750" t="inlineStr">
        <is>
          <t>x̄x̄x̄MMMDCCXLIX</t>
        </is>
      </c>
      <c r="C33750">
        <f>ROMAN(33749)</f>
        <v/>
      </c>
      <c r="D33750">
        <f>IF(B33750=C33750, "YES", "WRONG")</f>
        <v/>
      </c>
    </row>
    <row r="33751">
      <c r="A33751" t="n">
        <v>33750</v>
      </c>
      <c r="B33751" t="inlineStr">
        <is>
          <t>x̄x̄x̄MMMDCCL</t>
        </is>
      </c>
      <c r="C33751">
        <f>ROMAN(33750)</f>
        <v/>
      </c>
      <c r="D33751">
        <f>IF(B33751=C33751, "YES", "WRONG")</f>
        <v/>
      </c>
    </row>
    <row r="33752">
      <c r="A33752" t="n">
        <v>33751</v>
      </c>
      <c r="B33752" t="inlineStr">
        <is>
          <t>x̄x̄x̄MMMDCCLI</t>
        </is>
      </c>
      <c r="C33752">
        <f>ROMAN(33751)</f>
        <v/>
      </c>
      <c r="D33752">
        <f>IF(B33752=C33752, "YES", "WRONG")</f>
        <v/>
      </c>
    </row>
    <row r="33753">
      <c r="A33753" t="n">
        <v>33752</v>
      </c>
      <c r="B33753" t="inlineStr">
        <is>
          <t>x̄x̄x̄MMMDCCLII</t>
        </is>
      </c>
      <c r="C33753">
        <f>ROMAN(33752)</f>
        <v/>
      </c>
      <c r="D33753">
        <f>IF(B33753=C33753, "YES", "WRONG")</f>
        <v/>
      </c>
    </row>
    <row r="33754">
      <c r="A33754" t="n">
        <v>33753</v>
      </c>
      <c r="B33754" t="inlineStr">
        <is>
          <t>x̄x̄x̄MMMDCCLIII</t>
        </is>
      </c>
      <c r="C33754">
        <f>ROMAN(33753)</f>
        <v/>
      </c>
      <c r="D33754">
        <f>IF(B33754=C33754, "YES", "WRONG")</f>
        <v/>
      </c>
    </row>
    <row r="33755">
      <c r="A33755" t="n">
        <v>33754</v>
      </c>
      <c r="B33755" t="inlineStr">
        <is>
          <t>x̄x̄x̄MMMDCCLIV</t>
        </is>
      </c>
      <c r="C33755">
        <f>ROMAN(33754)</f>
        <v/>
      </c>
      <c r="D33755">
        <f>IF(B33755=C33755, "YES", "WRONG")</f>
        <v/>
      </c>
    </row>
    <row r="33756">
      <c r="A33756" t="n">
        <v>33755</v>
      </c>
      <c r="B33756" t="inlineStr">
        <is>
          <t>x̄x̄x̄MMMDCCLV</t>
        </is>
      </c>
      <c r="C33756">
        <f>ROMAN(33755)</f>
        <v/>
      </c>
      <c r="D33756">
        <f>IF(B33756=C33756, "YES", "WRONG")</f>
        <v/>
      </c>
    </row>
    <row r="33757">
      <c r="A33757" t="n">
        <v>33756</v>
      </c>
      <c r="B33757" t="inlineStr">
        <is>
          <t>x̄x̄x̄MMMDCCLVI</t>
        </is>
      </c>
      <c r="C33757">
        <f>ROMAN(33756)</f>
        <v/>
      </c>
      <c r="D33757">
        <f>IF(B33757=C33757, "YES", "WRONG")</f>
        <v/>
      </c>
    </row>
    <row r="33758">
      <c r="A33758" t="n">
        <v>33757</v>
      </c>
      <c r="B33758" t="inlineStr">
        <is>
          <t>x̄x̄x̄MMMDCCLVII</t>
        </is>
      </c>
      <c r="C33758">
        <f>ROMAN(33757)</f>
        <v/>
      </c>
      <c r="D33758">
        <f>IF(B33758=C33758, "YES", "WRONG")</f>
        <v/>
      </c>
    </row>
    <row r="33759">
      <c r="A33759" t="n">
        <v>33758</v>
      </c>
      <c r="B33759" t="inlineStr">
        <is>
          <t>x̄x̄x̄MMMDCCLVIII</t>
        </is>
      </c>
      <c r="C33759">
        <f>ROMAN(33758)</f>
        <v/>
      </c>
      <c r="D33759">
        <f>IF(B33759=C33759, "YES", "WRONG")</f>
        <v/>
      </c>
    </row>
    <row r="33760">
      <c r="A33760" t="n">
        <v>33759</v>
      </c>
      <c r="B33760" t="inlineStr">
        <is>
          <t>x̄x̄x̄MMMDCCLIX</t>
        </is>
      </c>
      <c r="C33760">
        <f>ROMAN(33759)</f>
        <v/>
      </c>
      <c r="D33760">
        <f>IF(B33760=C33760, "YES", "WRONG")</f>
        <v/>
      </c>
    </row>
    <row r="33761">
      <c r="A33761" t="n">
        <v>33760</v>
      </c>
      <c r="B33761" t="inlineStr">
        <is>
          <t>x̄x̄x̄MMMDCCLX</t>
        </is>
      </c>
      <c r="C33761">
        <f>ROMAN(33760)</f>
        <v/>
      </c>
      <c r="D33761">
        <f>IF(B33761=C33761, "YES", "WRONG")</f>
        <v/>
      </c>
    </row>
    <row r="33762">
      <c r="A33762" t="n">
        <v>33761</v>
      </c>
      <c r="B33762" t="inlineStr">
        <is>
          <t>x̄x̄x̄MMMDCCLXI</t>
        </is>
      </c>
      <c r="C33762">
        <f>ROMAN(33761)</f>
        <v/>
      </c>
      <c r="D33762">
        <f>IF(B33762=C33762, "YES", "WRONG")</f>
        <v/>
      </c>
    </row>
    <row r="33763">
      <c r="A33763" t="n">
        <v>33762</v>
      </c>
      <c r="B33763" t="inlineStr">
        <is>
          <t>x̄x̄x̄MMMDCCLXII</t>
        </is>
      </c>
      <c r="C33763">
        <f>ROMAN(33762)</f>
        <v/>
      </c>
      <c r="D33763">
        <f>IF(B33763=C33763, "YES", "WRONG")</f>
        <v/>
      </c>
    </row>
    <row r="33764">
      <c r="A33764" t="n">
        <v>33763</v>
      </c>
      <c r="B33764" t="inlineStr">
        <is>
          <t>x̄x̄x̄MMMDCCLXIII</t>
        </is>
      </c>
      <c r="C33764">
        <f>ROMAN(33763)</f>
        <v/>
      </c>
      <c r="D33764">
        <f>IF(B33764=C33764, "YES", "WRONG")</f>
        <v/>
      </c>
    </row>
    <row r="33765">
      <c r="A33765" t="n">
        <v>33764</v>
      </c>
      <c r="B33765" t="inlineStr">
        <is>
          <t>x̄x̄x̄MMMDCCLXIV</t>
        </is>
      </c>
      <c r="C33765">
        <f>ROMAN(33764)</f>
        <v/>
      </c>
      <c r="D33765">
        <f>IF(B33765=C33765, "YES", "WRONG")</f>
        <v/>
      </c>
    </row>
    <row r="33766">
      <c r="A33766" t="n">
        <v>33765</v>
      </c>
      <c r="B33766" t="inlineStr">
        <is>
          <t>x̄x̄x̄MMMDCCLXV</t>
        </is>
      </c>
      <c r="C33766">
        <f>ROMAN(33765)</f>
        <v/>
      </c>
      <c r="D33766">
        <f>IF(B33766=C33766, "YES", "WRONG")</f>
        <v/>
      </c>
    </row>
    <row r="33767">
      <c r="A33767" t="n">
        <v>33766</v>
      </c>
      <c r="B33767" t="inlineStr">
        <is>
          <t>x̄x̄x̄MMMDCCLXVI</t>
        </is>
      </c>
      <c r="C33767">
        <f>ROMAN(33766)</f>
        <v/>
      </c>
      <c r="D33767">
        <f>IF(B33767=C33767, "YES", "WRONG")</f>
        <v/>
      </c>
    </row>
    <row r="33768">
      <c r="A33768" t="n">
        <v>33767</v>
      </c>
      <c r="B33768" t="inlineStr">
        <is>
          <t>x̄x̄x̄MMMDCCLXVII</t>
        </is>
      </c>
      <c r="C33768">
        <f>ROMAN(33767)</f>
        <v/>
      </c>
      <c r="D33768">
        <f>IF(B33768=C33768, "YES", "WRONG")</f>
        <v/>
      </c>
    </row>
    <row r="33769">
      <c r="A33769" t="n">
        <v>33768</v>
      </c>
      <c r="B33769" t="inlineStr">
        <is>
          <t>x̄x̄x̄MMMDCCLXVIII</t>
        </is>
      </c>
      <c r="C33769">
        <f>ROMAN(33768)</f>
        <v/>
      </c>
      <c r="D33769">
        <f>IF(B33769=C33769, "YES", "WRONG")</f>
        <v/>
      </c>
    </row>
    <row r="33770">
      <c r="A33770" t="n">
        <v>33769</v>
      </c>
      <c r="B33770" t="inlineStr">
        <is>
          <t>x̄x̄x̄MMMDCCLXIX</t>
        </is>
      </c>
      <c r="C33770">
        <f>ROMAN(33769)</f>
        <v/>
      </c>
      <c r="D33770">
        <f>IF(B33770=C33770, "YES", "WRONG")</f>
        <v/>
      </c>
    </row>
    <row r="33771">
      <c r="A33771" t="n">
        <v>33770</v>
      </c>
      <c r="B33771" t="inlineStr">
        <is>
          <t>x̄x̄x̄MMMDCCLXX</t>
        </is>
      </c>
      <c r="C33771">
        <f>ROMAN(33770)</f>
        <v/>
      </c>
      <c r="D33771">
        <f>IF(B33771=C33771, "YES", "WRONG")</f>
        <v/>
      </c>
    </row>
    <row r="33772">
      <c r="A33772" t="n">
        <v>33771</v>
      </c>
      <c r="B33772" t="inlineStr">
        <is>
          <t>x̄x̄x̄MMMDCCLXXI</t>
        </is>
      </c>
      <c r="C33772">
        <f>ROMAN(33771)</f>
        <v/>
      </c>
      <c r="D33772">
        <f>IF(B33772=C33772, "YES", "WRONG")</f>
        <v/>
      </c>
    </row>
    <row r="33773">
      <c r="A33773" t="n">
        <v>33772</v>
      </c>
      <c r="B33773" t="inlineStr">
        <is>
          <t>x̄x̄x̄MMMDCCLXXII</t>
        </is>
      </c>
      <c r="C33773">
        <f>ROMAN(33772)</f>
        <v/>
      </c>
      <c r="D33773">
        <f>IF(B33773=C33773, "YES", "WRONG")</f>
        <v/>
      </c>
    </row>
    <row r="33774">
      <c r="A33774" t="n">
        <v>33773</v>
      </c>
      <c r="B33774" t="inlineStr">
        <is>
          <t>x̄x̄x̄MMMDCCLXXIII</t>
        </is>
      </c>
      <c r="C33774">
        <f>ROMAN(33773)</f>
        <v/>
      </c>
      <c r="D33774">
        <f>IF(B33774=C33774, "YES", "WRONG")</f>
        <v/>
      </c>
    </row>
    <row r="33775">
      <c r="A33775" t="n">
        <v>33774</v>
      </c>
      <c r="B33775" t="inlineStr">
        <is>
          <t>x̄x̄x̄MMMDCCLXXIV</t>
        </is>
      </c>
      <c r="C33775">
        <f>ROMAN(33774)</f>
        <v/>
      </c>
      <c r="D33775">
        <f>IF(B33775=C33775, "YES", "WRONG")</f>
        <v/>
      </c>
    </row>
    <row r="33776">
      <c r="A33776" t="n">
        <v>33775</v>
      </c>
      <c r="B33776" t="inlineStr">
        <is>
          <t>x̄x̄x̄MMMDCCLXXV</t>
        </is>
      </c>
      <c r="C33776">
        <f>ROMAN(33775)</f>
        <v/>
      </c>
      <c r="D33776">
        <f>IF(B33776=C33776, "YES", "WRONG")</f>
        <v/>
      </c>
    </row>
    <row r="33777">
      <c r="A33777" t="n">
        <v>33776</v>
      </c>
      <c r="B33777" t="inlineStr">
        <is>
          <t>x̄x̄x̄MMMDCCLXXVI</t>
        </is>
      </c>
      <c r="C33777">
        <f>ROMAN(33776)</f>
        <v/>
      </c>
      <c r="D33777">
        <f>IF(B33777=C33777, "YES", "WRONG")</f>
        <v/>
      </c>
    </row>
    <row r="33778">
      <c r="A33778" t="n">
        <v>33777</v>
      </c>
      <c r="B33778" t="inlineStr">
        <is>
          <t>x̄x̄x̄MMMDCCLXXVII</t>
        </is>
      </c>
      <c r="C33778">
        <f>ROMAN(33777)</f>
        <v/>
      </c>
      <c r="D33778">
        <f>IF(B33778=C33778, "YES", "WRONG")</f>
        <v/>
      </c>
    </row>
    <row r="33779">
      <c r="A33779" t="n">
        <v>33778</v>
      </c>
      <c r="B33779" t="inlineStr">
        <is>
          <t>x̄x̄x̄MMMDCCLXXVIII</t>
        </is>
      </c>
      <c r="C33779">
        <f>ROMAN(33778)</f>
        <v/>
      </c>
      <c r="D33779">
        <f>IF(B33779=C33779, "YES", "WRONG")</f>
        <v/>
      </c>
    </row>
    <row r="33780">
      <c r="A33780" t="n">
        <v>33779</v>
      </c>
      <c r="B33780" t="inlineStr">
        <is>
          <t>x̄x̄x̄MMMDCCLXXIX</t>
        </is>
      </c>
      <c r="C33780">
        <f>ROMAN(33779)</f>
        <v/>
      </c>
      <c r="D33780">
        <f>IF(B33780=C33780, "YES", "WRONG")</f>
        <v/>
      </c>
    </row>
    <row r="33781">
      <c r="A33781" t="n">
        <v>33780</v>
      </c>
      <c r="B33781" t="inlineStr">
        <is>
          <t>x̄x̄x̄MMMDCCLXXX</t>
        </is>
      </c>
      <c r="C33781">
        <f>ROMAN(33780)</f>
        <v/>
      </c>
      <c r="D33781">
        <f>IF(B33781=C33781, "YES", "WRONG")</f>
        <v/>
      </c>
    </row>
    <row r="33782">
      <c r="A33782" t="n">
        <v>33781</v>
      </c>
      <c r="B33782" t="inlineStr">
        <is>
          <t>x̄x̄x̄MMMDCCLXXXI</t>
        </is>
      </c>
      <c r="C33782">
        <f>ROMAN(33781)</f>
        <v/>
      </c>
      <c r="D33782">
        <f>IF(B33782=C33782, "YES", "WRONG")</f>
        <v/>
      </c>
    </row>
    <row r="33783">
      <c r="A33783" t="n">
        <v>33782</v>
      </c>
      <c r="B33783" t="inlineStr">
        <is>
          <t>x̄x̄x̄MMMDCCLXXXII</t>
        </is>
      </c>
      <c r="C33783">
        <f>ROMAN(33782)</f>
        <v/>
      </c>
      <c r="D33783">
        <f>IF(B33783=C33783, "YES", "WRONG")</f>
        <v/>
      </c>
    </row>
    <row r="33784">
      <c r="A33784" t="n">
        <v>33783</v>
      </c>
      <c r="B33784" t="inlineStr">
        <is>
          <t>x̄x̄x̄MMMDCCLXXXIII</t>
        </is>
      </c>
      <c r="C33784">
        <f>ROMAN(33783)</f>
        <v/>
      </c>
      <c r="D33784">
        <f>IF(B33784=C33784, "YES", "WRONG")</f>
        <v/>
      </c>
    </row>
    <row r="33785">
      <c r="A33785" t="n">
        <v>33784</v>
      </c>
      <c r="B33785" t="inlineStr">
        <is>
          <t>x̄x̄x̄MMMDCCLXXXIV</t>
        </is>
      </c>
      <c r="C33785">
        <f>ROMAN(33784)</f>
        <v/>
      </c>
      <c r="D33785">
        <f>IF(B33785=C33785, "YES", "WRONG")</f>
        <v/>
      </c>
    </row>
    <row r="33786">
      <c r="A33786" t="n">
        <v>33785</v>
      </c>
      <c r="B33786" t="inlineStr">
        <is>
          <t>x̄x̄x̄MMMDCCLXXXV</t>
        </is>
      </c>
      <c r="C33786">
        <f>ROMAN(33785)</f>
        <v/>
      </c>
      <c r="D33786">
        <f>IF(B33786=C33786, "YES", "WRONG")</f>
        <v/>
      </c>
    </row>
    <row r="33787">
      <c r="A33787" t="n">
        <v>33786</v>
      </c>
      <c r="B33787" t="inlineStr">
        <is>
          <t>x̄x̄x̄MMMDCCLXXXVI</t>
        </is>
      </c>
      <c r="C33787">
        <f>ROMAN(33786)</f>
        <v/>
      </c>
      <c r="D33787">
        <f>IF(B33787=C33787, "YES", "WRONG")</f>
        <v/>
      </c>
    </row>
    <row r="33788">
      <c r="A33788" t="n">
        <v>33787</v>
      </c>
      <c r="B33788" t="inlineStr">
        <is>
          <t>x̄x̄x̄MMMDCCLXXXVII</t>
        </is>
      </c>
      <c r="C33788">
        <f>ROMAN(33787)</f>
        <v/>
      </c>
      <c r="D33788">
        <f>IF(B33788=C33788, "YES", "WRONG")</f>
        <v/>
      </c>
    </row>
    <row r="33789">
      <c r="A33789" t="n">
        <v>33788</v>
      </c>
      <c r="B33789" t="inlineStr">
        <is>
          <t>x̄x̄x̄MMMDCCLXXXVIII</t>
        </is>
      </c>
      <c r="C33789">
        <f>ROMAN(33788)</f>
        <v/>
      </c>
      <c r="D33789">
        <f>IF(B33789=C33789, "YES", "WRONG")</f>
        <v/>
      </c>
    </row>
    <row r="33790">
      <c r="A33790" t="n">
        <v>33789</v>
      </c>
      <c r="B33790" t="inlineStr">
        <is>
          <t>x̄x̄x̄MMMDCCLXXXIX</t>
        </is>
      </c>
      <c r="C33790">
        <f>ROMAN(33789)</f>
        <v/>
      </c>
      <c r="D33790">
        <f>IF(B33790=C33790, "YES", "WRONG")</f>
        <v/>
      </c>
    </row>
    <row r="33791">
      <c r="A33791" t="n">
        <v>33790</v>
      </c>
      <c r="B33791" t="inlineStr">
        <is>
          <t>x̄x̄x̄MMMDCCXC</t>
        </is>
      </c>
      <c r="C33791">
        <f>ROMAN(33790)</f>
        <v/>
      </c>
      <c r="D33791">
        <f>IF(B33791=C33791, "YES", "WRONG")</f>
        <v/>
      </c>
    </row>
    <row r="33792">
      <c r="A33792" t="n">
        <v>33791</v>
      </c>
      <c r="B33792" t="inlineStr">
        <is>
          <t>x̄x̄x̄MMMDCCXCI</t>
        </is>
      </c>
      <c r="C33792">
        <f>ROMAN(33791)</f>
        <v/>
      </c>
      <c r="D33792">
        <f>IF(B33792=C33792, "YES", "WRONG")</f>
        <v/>
      </c>
    </row>
    <row r="33793">
      <c r="A33793" t="n">
        <v>33792</v>
      </c>
      <c r="B33793" t="inlineStr">
        <is>
          <t>x̄x̄x̄MMMDCCXCII</t>
        </is>
      </c>
      <c r="C33793">
        <f>ROMAN(33792)</f>
        <v/>
      </c>
      <c r="D33793">
        <f>IF(B33793=C33793, "YES", "WRONG")</f>
        <v/>
      </c>
    </row>
    <row r="33794">
      <c r="A33794" t="n">
        <v>33793</v>
      </c>
      <c r="B33794" t="inlineStr">
        <is>
          <t>x̄x̄x̄MMMDCCXCIII</t>
        </is>
      </c>
      <c r="C33794">
        <f>ROMAN(33793)</f>
        <v/>
      </c>
      <c r="D33794">
        <f>IF(B33794=C33794, "YES", "WRONG")</f>
        <v/>
      </c>
    </row>
    <row r="33795">
      <c r="A33795" t="n">
        <v>33794</v>
      </c>
      <c r="B33795" t="inlineStr">
        <is>
          <t>x̄x̄x̄MMMDCCXCIV</t>
        </is>
      </c>
      <c r="C33795">
        <f>ROMAN(33794)</f>
        <v/>
      </c>
      <c r="D33795">
        <f>IF(B33795=C33795, "YES", "WRONG")</f>
        <v/>
      </c>
    </row>
    <row r="33796">
      <c r="A33796" t="n">
        <v>33795</v>
      </c>
      <c r="B33796" t="inlineStr">
        <is>
          <t>x̄x̄x̄MMMDCCXCV</t>
        </is>
      </c>
      <c r="C33796">
        <f>ROMAN(33795)</f>
        <v/>
      </c>
      <c r="D33796">
        <f>IF(B33796=C33796, "YES", "WRONG")</f>
        <v/>
      </c>
    </row>
    <row r="33797">
      <c r="A33797" t="n">
        <v>33796</v>
      </c>
      <c r="B33797" t="inlineStr">
        <is>
          <t>x̄x̄x̄MMMDCCXCVI</t>
        </is>
      </c>
      <c r="C33797">
        <f>ROMAN(33796)</f>
        <v/>
      </c>
      <c r="D33797">
        <f>IF(B33797=C33797, "YES", "WRONG")</f>
        <v/>
      </c>
    </row>
    <row r="33798">
      <c r="A33798" t="n">
        <v>33797</v>
      </c>
      <c r="B33798" t="inlineStr">
        <is>
          <t>x̄x̄x̄MMMDCCXCVII</t>
        </is>
      </c>
      <c r="C33798">
        <f>ROMAN(33797)</f>
        <v/>
      </c>
      <c r="D33798">
        <f>IF(B33798=C33798, "YES", "WRONG")</f>
        <v/>
      </c>
    </row>
    <row r="33799">
      <c r="A33799" t="n">
        <v>33798</v>
      </c>
      <c r="B33799" t="inlineStr">
        <is>
          <t>x̄x̄x̄MMMDCCXCVIII</t>
        </is>
      </c>
      <c r="C33799">
        <f>ROMAN(33798)</f>
        <v/>
      </c>
      <c r="D33799">
        <f>IF(B33799=C33799, "YES", "WRONG")</f>
        <v/>
      </c>
    </row>
    <row r="33800">
      <c r="A33800" t="n">
        <v>33799</v>
      </c>
      <c r="B33800" t="inlineStr">
        <is>
          <t>x̄x̄x̄MMMDCCXCIX</t>
        </is>
      </c>
      <c r="C33800">
        <f>ROMAN(33799)</f>
        <v/>
      </c>
      <c r="D33800">
        <f>IF(B33800=C33800, "YES", "WRONG")</f>
        <v/>
      </c>
    </row>
    <row r="33801">
      <c r="A33801" t="n">
        <v>33800</v>
      </c>
      <c r="B33801" t="inlineStr">
        <is>
          <t>x̄x̄x̄MMMDCCC</t>
        </is>
      </c>
      <c r="C33801">
        <f>ROMAN(33800)</f>
        <v/>
      </c>
      <c r="D33801">
        <f>IF(B33801=C33801, "YES", "WRONG")</f>
        <v/>
      </c>
    </row>
    <row r="33802">
      <c r="A33802" t="n">
        <v>33801</v>
      </c>
      <c r="B33802" t="inlineStr">
        <is>
          <t>x̄x̄x̄MMMDCCCI</t>
        </is>
      </c>
      <c r="C33802">
        <f>ROMAN(33801)</f>
        <v/>
      </c>
      <c r="D33802">
        <f>IF(B33802=C33802, "YES", "WRONG")</f>
        <v/>
      </c>
    </row>
    <row r="33803">
      <c r="A33803" t="n">
        <v>33802</v>
      </c>
      <c r="B33803" t="inlineStr">
        <is>
          <t>x̄x̄x̄MMMDCCCII</t>
        </is>
      </c>
      <c r="C33803">
        <f>ROMAN(33802)</f>
        <v/>
      </c>
      <c r="D33803">
        <f>IF(B33803=C33803, "YES", "WRONG")</f>
        <v/>
      </c>
    </row>
    <row r="33804">
      <c r="A33804" t="n">
        <v>33803</v>
      </c>
      <c r="B33804" t="inlineStr">
        <is>
          <t>x̄x̄x̄MMMDCCCIII</t>
        </is>
      </c>
      <c r="C33804">
        <f>ROMAN(33803)</f>
        <v/>
      </c>
      <c r="D33804">
        <f>IF(B33804=C33804, "YES", "WRONG")</f>
        <v/>
      </c>
    </row>
    <row r="33805">
      <c r="A33805" t="n">
        <v>33804</v>
      </c>
      <c r="B33805" t="inlineStr">
        <is>
          <t>x̄x̄x̄MMMDCCCIV</t>
        </is>
      </c>
      <c r="C33805">
        <f>ROMAN(33804)</f>
        <v/>
      </c>
      <c r="D33805">
        <f>IF(B33805=C33805, "YES", "WRONG")</f>
        <v/>
      </c>
    </row>
    <row r="33806">
      <c r="A33806" t="n">
        <v>33805</v>
      </c>
      <c r="B33806" t="inlineStr">
        <is>
          <t>x̄x̄x̄MMMDCCCV</t>
        </is>
      </c>
      <c r="C33806">
        <f>ROMAN(33805)</f>
        <v/>
      </c>
      <c r="D33806">
        <f>IF(B33806=C33806, "YES", "WRONG")</f>
        <v/>
      </c>
    </row>
    <row r="33807">
      <c r="A33807" t="n">
        <v>33806</v>
      </c>
      <c r="B33807" t="inlineStr">
        <is>
          <t>x̄x̄x̄MMMDCCCVI</t>
        </is>
      </c>
      <c r="C33807">
        <f>ROMAN(33806)</f>
        <v/>
      </c>
      <c r="D33807">
        <f>IF(B33807=C33807, "YES", "WRONG")</f>
        <v/>
      </c>
    </row>
    <row r="33808">
      <c r="A33808" t="n">
        <v>33807</v>
      </c>
      <c r="B33808" t="inlineStr">
        <is>
          <t>x̄x̄x̄MMMDCCCVII</t>
        </is>
      </c>
      <c r="C33808">
        <f>ROMAN(33807)</f>
        <v/>
      </c>
      <c r="D33808">
        <f>IF(B33808=C33808, "YES", "WRONG")</f>
        <v/>
      </c>
    </row>
    <row r="33809">
      <c r="A33809" t="n">
        <v>33808</v>
      </c>
      <c r="B33809" t="inlineStr">
        <is>
          <t>x̄x̄x̄MMMDCCCVIII</t>
        </is>
      </c>
      <c r="C33809">
        <f>ROMAN(33808)</f>
        <v/>
      </c>
      <c r="D33809">
        <f>IF(B33809=C33809, "YES", "WRONG")</f>
        <v/>
      </c>
    </row>
    <row r="33810">
      <c r="A33810" t="n">
        <v>33809</v>
      </c>
      <c r="B33810" t="inlineStr">
        <is>
          <t>x̄x̄x̄MMMDCCCIX</t>
        </is>
      </c>
      <c r="C33810">
        <f>ROMAN(33809)</f>
        <v/>
      </c>
      <c r="D33810">
        <f>IF(B33810=C33810, "YES", "WRONG")</f>
        <v/>
      </c>
    </row>
    <row r="33811">
      <c r="A33811" t="n">
        <v>33810</v>
      </c>
      <c r="B33811" t="inlineStr">
        <is>
          <t>x̄x̄x̄MMMDCCCX</t>
        </is>
      </c>
      <c r="C33811">
        <f>ROMAN(33810)</f>
        <v/>
      </c>
      <c r="D33811">
        <f>IF(B33811=C33811, "YES", "WRONG")</f>
        <v/>
      </c>
    </row>
    <row r="33812">
      <c r="A33812" t="n">
        <v>33811</v>
      </c>
      <c r="B33812" t="inlineStr">
        <is>
          <t>x̄x̄x̄MMMDCCCXI</t>
        </is>
      </c>
      <c r="C33812">
        <f>ROMAN(33811)</f>
        <v/>
      </c>
      <c r="D33812">
        <f>IF(B33812=C33812, "YES", "WRONG")</f>
        <v/>
      </c>
    </row>
    <row r="33813">
      <c r="A33813" t="n">
        <v>33812</v>
      </c>
      <c r="B33813" t="inlineStr">
        <is>
          <t>x̄x̄x̄MMMDCCCXII</t>
        </is>
      </c>
      <c r="C33813">
        <f>ROMAN(33812)</f>
        <v/>
      </c>
      <c r="D33813">
        <f>IF(B33813=C33813, "YES", "WRONG")</f>
        <v/>
      </c>
    </row>
    <row r="33814">
      <c r="A33814" t="n">
        <v>33813</v>
      </c>
      <c r="B33814" t="inlineStr">
        <is>
          <t>x̄x̄x̄MMMDCCCXIII</t>
        </is>
      </c>
      <c r="C33814">
        <f>ROMAN(33813)</f>
        <v/>
      </c>
      <c r="D33814">
        <f>IF(B33814=C33814, "YES", "WRONG")</f>
        <v/>
      </c>
    </row>
    <row r="33815">
      <c r="A33815" t="n">
        <v>33814</v>
      </c>
      <c r="B33815" t="inlineStr">
        <is>
          <t>x̄x̄x̄MMMDCCCXIV</t>
        </is>
      </c>
      <c r="C33815">
        <f>ROMAN(33814)</f>
        <v/>
      </c>
      <c r="D33815">
        <f>IF(B33815=C33815, "YES", "WRONG")</f>
        <v/>
      </c>
    </row>
    <row r="33816">
      <c r="A33816" t="n">
        <v>33815</v>
      </c>
      <c r="B33816" t="inlineStr">
        <is>
          <t>x̄x̄x̄MMMDCCCXV</t>
        </is>
      </c>
      <c r="C33816">
        <f>ROMAN(33815)</f>
        <v/>
      </c>
      <c r="D33816">
        <f>IF(B33816=C33816, "YES", "WRONG")</f>
        <v/>
      </c>
    </row>
    <row r="33817">
      <c r="A33817" t="n">
        <v>33816</v>
      </c>
      <c r="B33817" t="inlineStr">
        <is>
          <t>x̄x̄x̄MMMDCCCXVI</t>
        </is>
      </c>
      <c r="C33817">
        <f>ROMAN(33816)</f>
        <v/>
      </c>
      <c r="D33817">
        <f>IF(B33817=C33817, "YES", "WRONG")</f>
        <v/>
      </c>
    </row>
    <row r="33818">
      <c r="A33818" t="n">
        <v>33817</v>
      </c>
      <c r="B33818" t="inlineStr">
        <is>
          <t>x̄x̄x̄MMMDCCCXVII</t>
        </is>
      </c>
      <c r="C33818">
        <f>ROMAN(33817)</f>
        <v/>
      </c>
      <c r="D33818">
        <f>IF(B33818=C33818, "YES", "WRONG")</f>
        <v/>
      </c>
    </row>
    <row r="33819">
      <c r="A33819" t="n">
        <v>33818</v>
      </c>
      <c r="B33819" t="inlineStr">
        <is>
          <t>x̄x̄x̄MMMDCCCXVIII</t>
        </is>
      </c>
      <c r="C33819">
        <f>ROMAN(33818)</f>
        <v/>
      </c>
      <c r="D33819">
        <f>IF(B33819=C33819, "YES", "WRONG")</f>
        <v/>
      </c>
    </row>
    <row r="33820">
      <c r="A33820" t="n">
        <v>33819</v>
      </c>
      <c r="B33820" t="inlineStr">
        <is>
          <t>x̄x̄x̄MMMDCCCXIX</t>
        </is>
      </c>
      <c r="C33820">
        <f>ROMAN(33819)</f>
        <v/>
      </c>
      <c r="D33820">
        <f>IF(B33820=C33820, "YES", "WRONG")</f>
        <v/>
      </c>
    </row>
    <row r="33821">
      <c r="A33821" t="n">
        <v>33820</v>
      </c>
      <c r="B33821" t="inlineStr">
        <is>
          <t>x̄x̄x̄MMMDCCCXX</t>
        </is>
      </c>
      <c r="C33821">
        <f>ROMAN(33820)</f>
        <v/>
      </c>
      <c r="D33821">
        <f>IF(B33821=C33821, "YES", "WRONG")</f>
        <v/>
      </c>
    </row>
    <row r="33822">
      <c r="A33822" t="n">
        <v>33821</v>
      </c>
      <c r="B33822" t="inlineStr">
        <is>
          <t>x̄x̄x̄MMMDCCCXXI</t>
        </is>
      </c>
      <c r="C33822">
        <f>ROMAN(33821)</f>
        <v/>
      </c>
      <c r="D33822">
        <f>IF(B33822=C33822, "YES", "WRONG")</f>
        <v/>
      </c>
    </row>
    <row r="33823">
      <c r="A33823" t="n">
        <v>33822</v>
      </c>
      <c r="B33823" t="inlineStr">
        <is>
          <t>x̄x̄x̄MMMDCCCXXII</t>
        </is>
      </c>
      <c r="C33823">
        <f>ROMAN(33822)</f>
        <v/>
      </c>
      <c r="D33823">
        <f>IF(B33823=C33823, "YES", "WRONG")</f>
        <v/>
      </c>
    </row>
    <row r="33824">
      <c r="A33824" t="n">
        <v>33823</v>
      </c>
      <c r="B33824" t="inlineStr">
        <is>
          <t>x̄x̄x̄MMMDCCCXXIII</t>
        </is>
      </c>
      <c r="C33824">
        <f>ROMAN(33823)</f>
        <v/>
      </c>
      <c r="D33824">
        <f>IF(B33824=C33824, "YES", "WRONG")</f>
        <v/>
      </c>
    </row>
    <row r="33825">
      <c r="A33825" t="n">
        <v>33824</v>
      </c>
      <c r="B33825" t="inlineStr">
        <is>
          <t>x̄x̄x̄MMMDCCCXXIV</t>
        </is>
      </c>
      <c r="C33825">
        <f>ROMAN(33824)</f>
        <v/>
      </c>
      <c r="D33825">
        <f>IF(B33825=C33825, "YES", "WRONG")</f>
        <v/>
      </c>
    </row>
    <row r="33826">
      <c r="A33826" t="n">
        <v>33825</v>
      </c>
      <c r="B33826" t="inlineStr">
        <is>
          <t>x̄x̄x̄MMMDCCCXXV</t>
        </is>
      </c>
      <c r="C33826">
        <f>ROMAN(33825)</f>
        <v/>
      </c>
      <c r="D33826">
        <f>IF(B33826=C33826, "YES", "WRONG")</f>
        <v/>
      </c>
    </row>
    <row r="33827">
      <c r="A33827" t="n">
        <v>33826</v>
      </c>
      <c r="B33827" t="inlineStr">
        <is>
          <t>x̄x̄x̄MMMDCCCXXVI</t>
        </is>
      </c>
      <c r="C33827">
        <f>ROMAN(33826)</f>
        <v/>
      </c>
      <c r="D33827">
        <f>IF(B33827=C33827, "YES", "WRONG")</f>
        <v/>
      </c>
    </row>
    <row r="33828">
      <c r="A33828" t="n">
        <v>33827</v>
      </c>
      <c r="B33828" t="inlineStr">
        <is>
          <t>x̄x̄x̄MMMDCCCXXVII</t>
        </is>
      </c>
      <c r="C33828">
        <f>ROMAN(33827)</f>
        <v/>
      </c>
      <c r="D33828">
        <f>IF(B33828=C33828, "YES", "WRONG")</f>
        <v/>
      </c>
    </row>
    <row r="33829">
      <c r="A33829" t="n">
        <v>33828</v>
      </c>
      <c r="B33829" t="inlineStr">
        <is>
          <t>x̄x̄x̄MMMDCCCXXVIII</t>
        </is>
      </c>
      <c r="C33829">
        <f>ROMAN(33828)</f>
        <v/>
      </c>
      <c r="D33829">
        <f>IF(B33829=C33829, "YES", "WRONG")</f>
        <v/>
      </c>
    </row>
    <row r="33830">
      <c r="A33830" t="n">
        <v>33829</v>
      </c>
      <c r="B33830" t="inlineStr">
        <is>
          <t>x̄x̄x̄MMMDCCCXXIX</t>
        </is>
      </c>
      <c r="C33830">
        <f>ROMAN(33829)</f>
        <v/>
      </c>
      <c r="D33830">
        <f>IF(B33830=C33830, "YES", "WRONG")</f>
        <v/>
      </c>
    </row>
    <row r="33831">
      <c r="A33831" t="n">
        <v>33830</v>
      </c>
      <c r="B33831" t="inlineStr">
        <is>
          <t>x̄x̄x̄MMMDCCCXXX</t>
        </is>
      </c>
      <c r="C33831">
        <f>ROMAN(33830)</f>
        <v/>
      </c>
      <c r="D33831">
        <f>IF(B33831=C33831, "YES", "WRONG")</f>
        <v/>
      </c>
    </row>
    <row r="33832">
      <c r="A33832" t="n">
        <v>33831</v>
      </c>
      <c r="B33832" t="inlineStr">
        <is>
          <t>x̄x̄x̄MMMDCCCXXXI</t>
        </is>
      </c>
      <c r="C33832">
        <f>ROMAN(33831)</f>
        <v/>
      </c>
      <c r="D33832">
        <f>IF(B33832=C33832, "YES", "WRONG")</f>
        <v/>
      </c>
    </row>
    <row r="33833">
      <c r="A33833" t="n">
        <v>33832</v>
      </c>
      <c r="B33833" t="inlineStr">
        <is>
          <t>x̄x̄x̄MMMDCCCXXXII</t>
        </is>
      </c>
      <c r="C33833">
        <f>ROMAN(33832)</f>
        <v/>
      </c>
      <c r="D33833">
        <f>IF(B33833=C33833, "YES", "WRONG")</f>
        <v/>
      </c>
    </row>
    <row r="33834">
      <c r="A33834" t="n">
        <v>33833</v>
      </c>
      <c r="B33834" t="inlineStr">
        <is>
          <t>x̄x̄x̄MMMDCCCXXXIII</t>
        </is>
      </c>
      <c r="C33834">
        <f>ROMAN(33833)</f>
        <v/>
      </c>
      <c r="D33834">
        <f>IF(B33834=C33834, "YES", "WRONG")</f>
        <v/>
      </c>
    </row>
    <row r="33835">
      <c r="A33835" t="n">
        <v>33834</v>
      </c>
      <c r="B33835" t="inlineStr">
        <is>
          <t>x̄x̄x̄MMMDCCCXXXIV</t>
        </is>
      </c>
      <c r="C33835">
        <f>ROMAN(33834)</f>
        <v/>
      </c>
      <c r="D33835">
        <f>IF(B33835=C33835, "YES", "WRONG")</f>
        <v/>
      </c>
    </row>
    <row r="33836">
      <c r="A33836" t="n">
        <v>33835</v>
      </c>
      <c r="B33836" t="inlineStr">
        <is>
          <t>x̄x̄x̄MMMDCCCXXXV</t>
        </is>
      </c>
      <c r="C33836">
        <f>ROMAN(33835)</f>
        <v/>
      </c>
      <c r="D33836">
        <f>IF(B33836=C33836, "YES", "WRONG")</f>
        <v/>
      </c>
    </row>
    <row r="33837">
      <c r="A33837" t="n">
        <v>33836</v>
      </c>
      <c r="B33837" t="inlineStr">
        <is>
          <t>x̄x̄x̄MMMDCCCXXXVI</t>
        </is>
      </c>
      <c r="C33837">
        <f>ROMAN(33836)</f>
        <v/>
      </c>
      <c r="D33837">
        <f>IF(B33837=C33837, "YES", "WRONG")</f>
        <v/>
      </c>
    </row>
    <row r="33838">
      <c r="A33838" t="n">
        <v>33837</v>
      </c>
      <c r="B33838" t="inlineStr">
        <is>
          <t>x̄x̄x̄MMMDCCCXXXVII</t>
        </is>
      </c>
      <c r="C33838">
        <f>ROMAN(33837)</f>
        <v/>
      </c>
      <c r="D33838">
        <f>IF(B33838=C33838, "YES", "WRONG")</f>
        <v/>
      </c>
    </row>
    <row r="33839">
      <c r="A33839" t="n">
        <v>33838</v>
      </c>
      <c r="B33839" t="inlineStr">
        <is>
          <t>x̄x̄x̄MMMDCCCXXXVIII</t>
        </is>
      </c>
      <c r="C33839">
        <f>ROMAN(33838)</f>
        <v/>
      </c>
      <c r="D33839">
        <f>IF(B33839=C33839, "YES", "WRONG")</f>
        <v/>
      </c>
    </row>
    <row r="33840">
      <c r="A33840" t="n">
        <v>33839</v>
      </c>
      <c r="B33840" t="inlineStr">
        <is>
          <t>x̄x̄x̄MMMDCCCXXXIX</t>
        </is>
      </c>
      <c r="C33840">
        <f>ROMAN(33839)</f>
        <v/>
      </c>
      <c r="D33840">
        <f>IF(B33840=C33840, "YES", "WRONG")</f>
        <v/>
      </c>
    </row>
    <row r="33841">
      <c r="A33841" t="n">
        <v>33840</v>
      </c>
      <c r="B33841" t="inlineStr">
        <is>
          <t>x̄x̄x̄MMMDCCCXL</t>
        </is>
      </c>
      <c r="C33841">
        <f>ROMAN(33840)</f>
        <v/>
      </c>
      <c r="D33841">
        <f>IF(B33841=C33841, "YES", "WRONG")</f>
        <v/>
      </c>
    </row>
    <row r="33842">
      <c r="A33842" t="n">
        <v>33841</v>
      </c>
      <c r="B33842" t="inlineStr">
        <is>
          <t>x̄x̄x̄MMMDCCCXLI</t>
        </is>
      </c>
      <c r="C33842">
        <f>ROMAN(33841)</f>
        <v/>
      </c>
      <c r="D33842">
        <f>IF(B33842=C33842, "YES", "WRONG")</f>
        <v/>
      </c>
    </row>
    <row r="33843">
      <c r="A33843" t="n">
        <v>33842</v>
      </c>
      <c r="B33843" t="inlineStr">
        <is>
          <t>x̄x̄x̄MMMDCCCXLII</t>
        </is>
      </c>
      <c r="C33843">
        <f>ROMAN(33842)</f>
        <v/>
      </c>
      <c r="D33843">
        <f>IF(B33843=C33843, "YES", "WRONG")</f>
        <v/>
      </c>
    </row>
    <row r="33844">
      <c r="A33844" t="n">
        <v>33843</v>
      </c>
      <c r="B33844" t="inlineStr">
        <is>
          <t>x̄x̄x̄MMMDCCCXLIII</t>
        </is>
      </c>
      <c r="C33844">
        <f>ROMAN(33843)</f>
        <v/>
      </c>
      <c r="D33844">
        <f>IF(B33844=C33844, "YES", "WRONG")</f>
        <v/>
      </c>
    </row>
    <row r="33845">
      <c r="A33845" t="n">
        <v>33844</v>
      </c>
      <c r="B33845" t="inlineStr">
        <is>
          <t>x̄x̄x̄MMMDCCCXLIV</t>
        </is>
      </c>
      <c r="C33845">
        <f>ROMAN(33844)</f>
        <v/>
      </c>
      <c r="D33845">
        <f>IF(B33845=C33845, "YES", "WRONG")</f>
        <v/>
      </c>
    </row>
    <row r="33846">
      <c r="A33846" t="n">
        <v>33845</v>
      </c>
      <c r="B33846" t="inlineStr">
        <is>
          <t>x̄x̄x̄MMMDCCCXLV</t>
        </is>
      </c>
      <c r="C33846">
        <f>ROMAN(33845)</f>
        <v/>
      </c>
      <c r="D33846">
        <f>IF(B33846=C33846, "YES", "WRONG")</f>
        <v/>
      </c>
    </row>
    <row r="33847">
      <c r="A33847" t="n">
        <v>33846</v>
      </c>
      <c r="B33847" t="inlineStr">
        <is>
          <t>x̄x̄x̄MMMDCCCXLVI</t>
        </is>
      </c>
      <c r="C33847">
        <f>ROMAN(33846)</f>
        <v/>
      </c>
      <c r="D33847">
        <f>IF(B33847=C33847, "YES", "WRONG")</f>
        <v/>
      </c>
    </row>
    <row r="33848">
      <c r="A33848" t="n">
        <v>33847</v>
      </c>
      <c r="B33848" t="inlineStr">
        <is>
          <t>x̄x̄x̄MMMDCCCXLVII</t>
        </is>
      </c>
      <c r="C33848">
        <f>ROMAN(33847)</f>
        <v/>
      </c>
      <c r="D33848">
        <f>IF(B33848=C33848, "YES", "WRONG")</f>
        <v/>
      </c>
    </row>
    <row r="33849">
      <c r="A33849" t="n">
        <v>33848</v>
      </c>
      <c r="B33849" t="inlineStr">
        <is>
          <t>x̄x̄x̄MMMDCCCXLVIII</t>
        </is>
      </c>
      <c r="C33849">
        <f>ROMAN(33848)</f>
        <v/>
      </c>
      <c r="D33849">
        <f>IF(B33849=C33849, "YES", "WRONG")</f>
        <v/>
      </c>
    </row>
    <row r="33850">
      <c r="A33850" t="n">
        <v>33849</v>
      </c>
      <c r="B33850" t="inlineStr">
        <is>
          <t>x̄x̄x̄MMMDCCCXLIX</t>
        </is>
      </c>
      <c r="C33850">
        <f>ROMAN(33849)</f>
        <v/>
      </c>
      <c r="D33850">
        <f>IF(B33850=C33850, "YES", "WRONG")</f>
        <v/>
      </c>
    </row>
    <row r="33851">
      <c r="A33851" t="n">
        <v>33850</v>
      </c>
      <c r="B33851" t="inlineStr">
        <is>
          <t>x̄x̄x̄MMMDCCCL</t>
        </is>
      </c>
      <c r="C33851">
        <f>ROMAN(33850)</f>
        <v/>
      </c>
      <c r="D33851">
        <f>IF(B33851=C33851, "YES", "WRONG")</f>
        <v/>
      </c>
    </row>
    <row r="33852">
      <c r="A33852" t="n">
        <v>33851</v>
      </c>
      <c r="B33852" t="inlineStr">
        <is>
          <t>x̄x̄x̄MMMDCCCLI</t>
        </is>
      </c>
      <c r="C33852">
        <f>ROMAN(33851)</f>
        <v/>
      </c>
      <c r="D33852">
        <f>IF(B33852=C33852, "YES", "WRONG")</f>
        <v/>
      </c>
    </row>
    <row r="33853">
      <c r="A33853" t="n">
        <v>33852</v>
      </c>
      <c r="B33853" t="inlineStr">
        <is>
          <t>x̄x̄x̄MMMDCCCLII</t>
        </is>
      </c>
      <c r="C33853">
        <f>ROMAN(33852)</f>
        <v/>
      </c>
      <c r="D33853">
        <f>IF(B33853=C33853, "YES", "WRONG")</f>
        <v/>
      </c>
    </row>
    <row r="33854">
      <c r="A33854" t="n">
        <v>33853</v>
      </c>
      <c r="B33854" t="inlineStr">
        <is>
          <t>x̄x̄x̄MMMDCCCLIII</t>
        </is>
      </c>
      <c r="C33854">
        <f>ROMAN(33853)</f>
        <v/>
      </c>
      <c r="D33854">
        <f>IF(B33854=C33854, "YES", "WRONG")</f>
        <v/>
      </c>
    </row>
    <row r="33855">
      <c r="A33855" t="n">
        <v>33854</v>
      </c>
      <c r="B33855" t="inlineStr">
        <is>
          <t>x̄x̄x̄MMMDCCCLIV</t>
        </is>
      </c>
      <c r="C33855">
        <f>ROMAN(33854)</f>
        <v/>
      </c>
      <c r="D33855">
        <f>IF(B33855=C33855, "YES", "WRONG")</f>
        <v/>
      </c>
    </row>
    <row r="33856">
      <c r="A33856" t="n">
        <v>33855</v>
      </c>
      <c r="B33856" t="inlineStr">
        <is>
          <t>x̄x̄x̄MMMDCCCLV</t>
        </is>
      </c>
      <c r="C33856">
        <f>ROMAN(33855)</f>
        <v/>
      </c>
      <c r="D33856">
        <f>IF(B33856=C33856, "YES", "WRONG")</f>
        <v/>
      </c>
    </row>
    <row r="33857">
      <c r="A33857" t="n">
        <v>33856</v>
      </c>
      <c r="B33857" t="inlineStr">
        <is>
          <t>x̄x̄x̄MMMDCCCLVI</t>
        </is>
      </c>
      <c r="C33857">
        <f>ROMAN(33856)</f>
        <v/>
      </c>
      <c r="D33857">
        <f>IF(B33857=C33857, "YES", "WRONG")</f>
        <v/>
      </c>
    </row>
    <row r="33858">
      <c r="A33858" t="n">
        <v>33857</v>
      </c>
      <c r="B33858" t="inlineStr">
        <is>
          <t>x̄x̄x̄MMMDCCCLVII</t>
        </is>
      </c>
      <c r="C33858">
        <f>ROMAN(33857)</f>
        <v/>
      </c>
      <c r="D33858">
        <f>IF(B33858=C33858, "YES", "WRONG")</f>
        <v/>
      </c>
    </row>
    <row r="33859">
      <c r="A33859" t="n">
        <v>33858</v>
      </c>
      <c r="B33859" t="inlineStr">
        <is>
          <t>x̄x̄x̄MMMDCCCLVIII</t>
        </is>
      </c>
      <c r="C33859">
        <f>ROMAN(33858)</f>
        <v/>
      </c>
      <c r="D33859">
        <f>IF(B33859=C33859, "YES", "WRONG")</f>
        <v/>
      </c>
    </row>
    <row r="33860">
      <c r="A33860" t="n">
        <v>33859</v>
      </c>
      <c r="B33860" t="inlineStr">
        <is>
          <t>x̄x̄x̄MMMDCCCLIX</t>
        </is>
      </c>
      <c r="C33860">
        <f>ROMAN(33859)</f>
        <v/>
      </c>
      <c r="D33860">
        <f>IF(B33860=C33860, "YES", "WRONG")</f>
        <v/>
      </c>
    </row>
    <row r="33861">
      <c r="A33861" t="n">
        <v>33860</v>
      </c>
      <c r="B33861" t="inlineStr">
        <is>
          <t>x̄x̄x̄MMMDCCCLX</t>
        </is>
      </c>
      <c r="C33861">
        <f>ROMAN(33860)</f>
        <v/>
      </c>
      <c r="D33861">
        <f>IF(B33861=C33861, "YES", "WRONG")</f>
        <v/>
      </c>
    </row>
    <row r="33862">
      <c r="A33862" t="n">
        <v>33861</v>
      </c>
      <c r="B33862" t="inlineStr">
        <is>
          <t>x̄x̄x̄MMMDCCCLXI</t>
        </is>
      </c>
      <c r="C33862">
        <f>ROMAN(33861)</f>
        <v/>
      </c>
      <c r="D33862">
        <f>IF(B33862=C33862, "YES", "WRONG")</f>
        <v/>
      </c>
    </row>
    <row r="33863">
      <c r="A33863" t="n">
        <v>33862</v>
      </c>
      <c r="B33863" t="inlineStr">
        <is>
          <t>x̄x̄x̄MMMDCCCLXII</t>
        </is>
      </c>
      <c r="C33863">
        <f>ROMAN(33862)</f>
        <v/>
      </c>
      <c r="D33863">
        <f>IF(B33863=C33863, "YES", "WRONG")</f>
        <v/>
      </c>
    </row>
    <row r="33864">
      <c r="A33864" t="n">
        <v>33863</v>
      </c>
      <c r="B33864" t="inlineStr">
        <is>
          <t>x̄x̄x̄MMMDCCCLXIII</t>
        </is>
      </c>
      <c r="C33864">
        <f>ROMAN(33863)</f>
        <v/>
      </c>
      <c r="D33864">
        <f>IF(B33864=C33864, "YES", "WRONG")</f>
        <v/>
      </c>
    </row>
    <row r="33865">
      <c r="A33865" t="n">
        <v>33864</v>
      </c>
      <c r="B33865" t="inlineStr">
        <is>
          <t>x̄x̄x̄MMMDCCCLXIV</t>
        </is>
      </c>
      <c r="C33865">
        <f>ROMAN(33864)</f>
        <v/>
      </c>
      <c r="D33865">
        <f>IF(B33865=C33865, "YES", "WRONG")</f>
        <v/>
      </c>
    </row>
    <row r="33866">
      <c r="A33866" t="n">
        <v>33865</v>
      </c>
      <c r="B33866" t="inlineStr">
        <is>
          <t>x̄x̄x̄MMMDCCCLXV</t>
        </is>
      </c>
      <c r="C33866">
        <f>ROMAN(33865)</f>
        <v/>
      </c>
      <c r="D33866">
        <f>IF(B33866=C33866, "YES", "WRONG")</f>
        <v/>
      </c>
    </row>
    <row r="33867">
      <c r="A33867" t="n">
        <v>33866</v>
      </c>
      <c r="B33867" t="inlineStr">
        <is>
          <t>x̄x̄x̄MMMDCCCLXVI</t>
        </is>
      </c>
      <c r="C33867">
        <f>ROMAN(33866)</f>
        <v/>
      </c>
      <c r="D33867">
        <f>IF(B33867=C33867, "YES", "WRONG")</f>
        <v/>
      </c>
    </row>
    <row r="33868">
      <c r="A33868" t="n">
        <v>33867</v>
      </c>
      <c r="B33868" t="inlineStr">
        <is>
          <t>x̄x̄x̄MMMDCCCLXVII</t>
        </is>
      </c>
      <c r="C33868">
        <f>ROMAN(33867)</f>
        <v/>
      </c>
      <c r="D33868">
        <f>IF(B33868=C33868, "YES", "WRONG")</f>
        <v/>
      </c>
    </row>
    <row r="33869">
      <c r="A33869" t="n">
        <v>33868</v>
      </c>
      <c r="B33869" t="inlineStr">
        <is>
          <t>x̄x̄x̄MMMDCCCLXVIII</t>
        </is>
      </c>
      <c r="C33869">
        <f>ROMAN(33868)</f>
        <v/>
      </c>
      <c r="D33869">
        <f>IF(B33869=C33869, "YES", "WRONG")</f>
        <v/>
      </c>
    </row>
    <row r="33870">
      <c r="A33870" t="n">
        <v>33869</v>
      </c>
      <c r="B33870" t="inlineStr">
        <is>
          <t>x̄x̄x̄MMMDCCCLXIX</t>
        </is>
      </c>
      <c r="C33870">
        <f>ROMAN(33869)</f>
        <v/>
      </c>
      <c r="D33870">
        <f>IF(B33870=C33870, "YES", "WRONG")</f>
        <v/>
      </c>
    </row>
    <row r="33871">
      <c r="A33871" t="n">
        <v>33870</v>
      </c>
      <c r="B33871" t="inlineStr">
        <is>
          <t>x̄x̄x̄MMMDCCCLXX</t>
        </is>
      </c>
      <c r="C33871">
        <f>ROMAN(33870)</f>
        <v/>
      </c>
      <c r="D33871">
        <f>IF(B33871=C33871, "YES", "WRONG")</f>
        <v/>
      </c>
    </row>
    <row r="33872">
      <c r="A33872" t="n">
        <v>33871</v>
      </c>
      <c r="B33872" t="inlineStr">
        <is>
          <t>x̄x̄x̄MMMDCCCLXXI</t>
        </is>
      </c>
      <c r="C33872">
        <f>ROMAN(33871)</f>
        <v/>
      </c>
      <c r="D33872">
        <f>IF(B33872=C33872, "YES", "WRONG")</f>
        <v/>
      </c>
    </row>
    <row r="33873">
      <c r="A33873" t="n">
        <v>33872</v>
      </c>
      <c r="B33873" t="inlineStr">
        <is>
          <t>x̄x̄x̄MMMDCCCLXXII</t>
        </is>
      </c>
      <c r="C33873">
        <f>ROMAN(33872)</f>
        <v/>
      </c>
      <c r="D33873">
        <f>IF(B33873=C33873, "YES", "WRONG")</f>
        <v/>
      </c>
    </row>
    <row r="33874">
      <c r="A33874" t="n">
        <v>33873</v>
      </c>
      <c r="B33874" t="inlineStr">
        <is>
          <t>x̄x̄x̄MMMDCCCLXXIII</t>
        </is>
      </c>
      <c r="C33874">
        <f>ROMAN(33873)</f>
        <v/>
      </c>
      <c r="D33874">
        <f>IF(B33874=C33874, "YES", "WRONG")</f>
        <v/>
      </c>
    </row>
    <row r="33875">
      <c r="A33875" t="n">
        <v>33874</v>
      </c>
      <c r="B33875" t="inlineStr">
        <is>
          <t>x̄x̄x̄MMMDCCCLXXIV</t>
        </is>
      </c>
      <c r="C33875">
        <f>ROMAN(33874)</f>
        <v/>
      </c>
      <c r="D33875">
        <f>IF(B33875=C33875, "YES", "WRONG")</f>
        <v/>
      </c>
    </row>
    <row r="33876">
      <c r="A33876" t="n">
        <v>33875</v>
      </c>
      <c r="B33876" t="inlineStr">
        <is>
          <t>x̄x̄x̄MMMDCCCLXXV</t>
        </is>
      </c>
      <c r="C33876">
        <f>ROMAN(33875)</f>
        <v/>
      </c>
      <c r="D33876">
        <f>IF(B33876=C33876, "YES", "WRONG")</f>
        <v/>
      </c>
    </row>
    <row r="33877">
      <c r="A33877" t="n">
        <v>33876</v>
      </c>
      <c r="B33877" t="inlineStr">
        <is>
          <t>x̄x̄x̄MMMDCCCLXXVI</t>
        </is>
      </c>
      <c r="C33877">
        <f>ROMAN(33876)</f>
        <v/>
      </c>
      <c r="D33877">
        <f>IF(B33877=C33877, "YES", "WRONG")</f>
        <v/>
      </c>
    </row>
    <row r="33878">
      <c r="A33878" t="n">
        <v>33877</v>
      </c>
      <c r="B33878" t="inlineStr">
        <is>
          <t>x̄x̄x̄MMMDCCCLXXVII</t>
        </is>
      </c>
      <c r="C33878">
        <f>ROMAN(33877)</f>
        <v/>
      </c>
      <c r="D33878">
        <f>IF(B33878=C33878, "YES", "WRONG")</f>
        <v/>
      </c>
    </row>
    <row r="33879">
      <c r="A33879" t="n">
        <v>33878</v>
      </c>
      <c r="B33879" t="inlineStr">
        <is>
          <t>x̄x̄x̄MMMDCCCLXXVIII</t>
        </is>
      </c>
      <c r="C33879">
        <f>ROMAN(33878)</f>
        <v/>
      </c>
      <c r="D33879">
        <f>IF(B33879=C33879, "YES", "WRONG")</f>
        <v/>
      </c>
    </row>
    <row r="33880">
      <c r="A33880" t="n">
        <v>33879</v>
      </c>
      <c r="B33880" t="inlineStr">
        <is>
          <t>x̄x̄x̄MMMDCCCLXXIX</t>
        </is>
      </c>
      <c r="C33880">
        <f>ROMAN(33879)</f>
        <v/>
      </c>
      <c r="D33880">
        <f>IF(B33880=C33880, "YES", "WRONG")</f>
        <v/>
      </c>
    </row>
    <row r="33881">
      <c r="A33881" t="n">
        <v>33880</v>
      </c>
      <c r="B33881" t="inlineStr">
        <is>
          <t>x̄x̄x̄MMMDCCCLXXX</t>
        </is>
      </c>
      <c r="C33881">
        <f>ROMAN(33880)</f>
        <v/>
      </c>
      <c r="D33881">
        <f>IF(B33881=C33881, "YES", "WRONG")</f>
        <v/>
      </c>
    </row>
    <row r="33882">
      <c r="A33882" t="n">
        <v>33881</v>
      </c>
      <c r="B33882" t="inlineStr">
        <is>
          <t>x̄x̄x̄MMMDCCCLXXXI</t>
        </is>
      </c>
      <c r="C33882">
        <f>ROMAN(33881)</f>
        <v/>
      </c>
      <c r="D33882">
        <f>IF(B33882=C33882, "YES", "WRONG")</f>
        <v/>
      </c>
    </row>
    <row r="33883">
      <c r="A33883" t="n">
        <v>33882</v>
      </c>
      <c r="B33883" t="inlineStr">
        <is>
          <t>x̄x̄x̄MMMDCCCLXXXII</t>
        </is>
      </c>
      <c r="C33883">
        <f>ROMAN(33882)</f>
        <v/>
      </c>
      <c r="D33883">
        <f>IF(B33883=C33883, "YES", "WRONG")</f>
        <v/>
      </c>
    </row>
    <row r="33884">
      <c r="A33884" t="n">
        <v>33883</v>
      </c>
      <c r="B33884" t="inlineStr">
        <is>
          <t>x̄x̄x̄MMMDCCCLXXXIII</t>
        </is>
      </c>
      <c r="C33884">
        <f>ROMAN(33883)</f>
        <v/>
      </c>
      <c r="D33884">
        <f>IF(B33884=C33884, "YES", "WRONG")</f>
        <v/>
      </c>
    </row>
    <row r="33885">
      <c r="A33885" t="n">
        <v>33884</v>
      </c>
      <c r="B33885" t="inlineStr">
        <is>
          <t>x̄x̄x̄MMMDCCCLXXXIV</t>
        </is>
      </c>
      <c r="C33885">
        <f>ROMAN(33884)</f>
        <v/>
      </c>
      <c r="D33885">
        <f>IF(B33885=C33885, "YES", "WRONG")</f>
        <v/>
      </c>
    </row>
    <row r="33886">
      <c r="A33886" t="n">
        <v>33885</v>
      </c>
      <c r="B33886" t="inlineStr">
        <is>
          <t>x̄x̄x̄MMMDCCCLXXXV</t>
        </is>
      </c>
      <c r="C33886">
        <f>ROMAN(33885)</f>
        <v/>
      </c>
      <c r="D33886">
        <f>IF(B33886=C33886, "YES", "WRONG")</f>
        <v/>
      </c>
    </row>
    <row r="33887">
      <c r="A33887" t="n">
        <v>33886</v>
      </c>
      <c r="B33887" t="inlineStr">
        <is>
          <t>x̄x̄x̄MMMDCCCLXXXVI</t>
        </is>
      </c>
      <c r="C33887">
        <f>ROMAN(33886)</f>
        <v/>
      </c>
      <c r="D33887">
        <f>IF(B33887=C33887, "YES", "WRONG")</f>
        <v/>
      </c>
    </row>
    <row r="33888">
      <c r="A33888" t="n">
        <v>33887</v>
      </c>
      <c r="B33888" t="inlineStr">
        <is>
          <t>x̄x̄x̄MMMDCCCLXXXVII</t>
        </is>
      </c>
      <c r="C33888">
        <f>ROMAN(33887)</f>
        <v/>
      </c>
      <c r="D33888">
        <f>IF(B33888=C33888, "YES", "WRONG")</f>
        <v/>
      </c>
    </row>
    <row r="33889">
      <c r="A33889" t="n">
        <v>33888</v>
      </c>
      <c r="B33889" t="inlineStr">
        <is>
          <t>x̄x̄x̄MMMDCCCLXXXVIII</t>
        </is>
      </c>
      <c r="C33889">
        <f>ROMAN(33888)</f>
        <v/>
      </c>
      <c r="D33889">
        <f>IF(B33889=C33889, "YES", "WRONG")</f>
        <v/>
      </c>
    </row>
    <row r="33890">
      <c r="A33890" t="n">
        <v>33889</v>
      </c>
      <c r="B33890" t="inlineStr">
        <is>
          <t>x̄x̄x̄MMMDCCCLXXXIX</t>
        </is>
      </c>
      <c r="C33890">
        <f>ROMAN(33889)</f>
        <v/>
      </c>
      <c r="D33890">
        <f>IF(B33890=C33890, "YES", "WRONG")</f>
        <v/>
      </c>
    </row>
    <row r="33891">
      <c r="A33891" t="n">
        <v>33890</v>
      </c>
      <c r="B33891" t="inlineStr">
        <is>
          <t>x̄x̄x̄MMMDCCCXC</t>
        </is>
      </c>
      <c r="C33891">
        <f>ROMAN(33890)</f>
        <v/>
      </c>
      <c r="D33891">
        <f>IF(B33891=C33891, "YES", "WRONG")</f>
        <v/>
      </c>
    </row>
    <row r="33892">
      <c r="A33892" t="n">
        <v>33891</v>
      </c>
      <c r="B33892" t="inlineStr">
        <is>
          <t>x̄x̄x̄MMMDCCCXCI</t>
        </is>
      </c>
      <c r="C33892">
        <f>ROMAN(33891)</f>
        <v/>
      </c>
      <c r="D33892">
        <f>IF(B33892=C33892, "YES", "WRONG")</f>
        <v/>
      </c>
    </row>
    <row r="33893">
      <c r="A33893" t="n">
        <v>33892</v>
      </c>
      <c r="B33893" t="inlineStr">
        <is>
          <t>x̄x̄x̄MMMDCCCXCII</t>
        </is>
      </c>
      <c r="C33893">
        <f>ROMAN(33892)</f>
        <v/>
      </c>
      <c r="D33893">
        <f>IF(B33893=C33893, "YES", "WRONG")</f>
        <v/>
      </c>
    </row>
    <row r="33894">
      <c r="A33894" t="n">
        <v>33893</v>
      </c>
      <c r="B33894" t="inlineStr">
        <is>
          <t>x̄x̄x̄MMMDCCCXCIII</t>
        </is>
      </c>
      <c r="C33894">
        <f>ROMAN(33893)</f>
        <v/>
      </c>
      <c r="D33894">
        <f>IF(B33894=C33894, "YES", "WRONG")</f>
        <v/>
      </c>
    </row>
    <row r="33895">
      <c r="A33895" t="n">
        <v>33894</v>
      </c>
      <c r="B33895" t="inlineStr">
        <is>
          <t>x̄x̄x̄MMMDCCCXCIV</t>
        </is>
      </c>
      <c r="C33895">
        <f>ROMAN(33894)</f>
        <v/>
      </c>
      <c r="D33895">
        <f>IF(B33895=C33895, "YES", "WRONG")</f>
        <v/>
      </c>
    </row>
    <row r="33896">
      <c r="A33896" t="n">
        <v>33895</v>
      </c>
      <c r="B33896" t="inlineStr">
        <is>
          <t>x̄x̄x̄MMMDCCCXCV</t>
        </is>
      </c>
      <c r="C33896">
        <f>ROMAN(33895)</f>
        <v/>
      </c>
      <c r="D33896">
        <f>IF(B33896=C33896, "YES", "WRONG")</f>
        <v/>
      </c>
    </row>
    <row r="33897">
      <c r="A33897" t="n">
        <v>33896</v>
      </c>
      <c r="B33897" t="inlineStr">
        <is>
          <t>x̄x̄x̄MMMDCCCXCVI</t>
        </is>
      </c>
      <c r="C33897">
        <f>ROMAN(33896)</f>
        <v/>
      </c>
      <c r="D33897">
        <f>IF(B33897=C33897, "YES", "WRONG")</f>
        <v/>
      </c>
    </row>
    <row r="33898">
      <c r="A33898" t="n">
        <v>33897</v>
      </c>
      <c r="B33898" t="inlineStr">
        <is>
          <t>x̄x̄x̄MMMDCCCXCVII</t>
        </is>
      </c>
      <c r="C33898">
        <f>ROMAN(33897)</f>
        <v/>
      </c>
      <c r="D33898">
        <f>IF(B33898=C33898, "YES", "WRONG")</f>
        <v/>
      </c>
    </row>
    <row r="33899">
      <c r="A33899" t="n">
        <v>33898</v>
      </c>
      <c r="B33899" t="inlineStr">
        <is>
          <t>x̄x̄x̄MMMDCCCXCVIII</t>
        </is>
      </c>
      <c r="C33899">
        <f>ROMAN(33898)</f>
        <v/>
      </c>
      <c r="D33899">
        <f>IF(B33899=C33899, "YES", "WRONG")</f>
        <v/>
      </c>
    </row>
    <row r="33900">
      <c r="A33900" t="n">
        <v>33899</v>
      </c>
      <c r="B33900" t="inlineStr">
        <is>
          <t>x̄x̄x̄MMMDCCCXCIX</t>
        </is>
      </c>
      <c r="C33900">
        <f>ROMAN(33899)</f>
        <v/>
      </c>
      <c r="D33900">
        <f>IF(B33900=C33900, "YES", "WRONG")</f>
        <v/>
      </c>
    </row>
    <row r="33901">
      <c r="A33901" t="n">
        <v>33900</v>
      </c>
      <c r="B33901" t="inlineStr">
        <is>
          <t>x̄x̄x̄MMMCM</t>
        </is>
      </c>
      <c r="C33901">
        <f>ROMAN(33900)</f>
        <v/>
      </c>
      <c r="D33901">
        <f>IF(B33901=C33901, "YES", "WRONG")</f>
        <v/>
      </c>
    </row>
    <row r="33902">
      <c r="A33902" t="n">
        <v>33901</v>
      </c>
      <c r="B33902" t="inlineStr">
        <is>
          <t>x̄x̄x̄MMMCMI</t>
        </is>
      </c>
      <c r="C33902">
        <f>ROMAN(33901)</f>
        <v/>
      </c>
      <c r="D33902">
        <f>IF(B33902=C33902, "YES", "WRONG")</f>
        <v/>
      </c>
    </row>
    <row r="33903">
      <c r="A33903" t="n">
        <v>33902</v>
      </c>
      <c r="B33903" t="inlineStr">
        <is>
          <t>x̄x̄x̄MMMCMII</t>
        </is>
      </c>
      <c r="C33903">
        <f>ROMAN(33902)</f>
        <v/>
      </c>
      <c r="D33903">
        <f>IF(B33903=C33903, "YES", "WRONG")</f>
        <v/>
      </c>
    </row>
    <row r="33904">
      <c r="A33904" t="n">
        <v>33903</v>
      </c>
      <c r="B33904" t="inlineStr">
        <is>
          <t>x̄x̄x̄MMMCMIII</t>
        </is>
      </c>
      <c r="C33904">
        <f>ROMAN(33903)</f>
        <v/>
      </c>
      <c r="D33904">
        <f>IF(B33904=C33904, "YES", "WRONG")</f>
        <v/>
      </c>
    </row>
    <row r="33905">
      <c r="A33905" t="n">
        <v>33904</v>
      </c>
      <c r="B33905" t="inlineStr">
        <is>
          <t>x̄x̄x̄MMMCMIV</t>
        </is>
      </c>
      <c r="C33905">
        <f>ROMAN(33904)</f>
        <v/>
      </c>
      <c r="D33905">
        <f>IF(B33905=C33905, "YES", "WRONG")</f>
        <v/>
      </c>
    </row>
    <row r="33906">
      <c r="A33906" t="n">
        <v>33905</v>
      </c>
      <c r="B33906" t="inlineStr">
        <is>
          <t>x̄x̄x̄MMMCMV</t>
        </is>
      </c>
      <c r="C33906">
        <f>ROMAN(33905)</f>
        <v/>
      </c>
      <c r="D33906">
        <f>IF(B33906=C33906, "YES", "WRONG")</f>
        <v/>
      </c>
    </row>
    <row r="33907">
      <c r="A33907" t="n">
        <v>33906</v>
      </c>
      <c r="B33907" t="inlineStr">
        <is>
          <t>x̄x̄x̄MMMCMVI</t>
        </is>
      </c>
      <c r="C33907">
        <f>ROMAN(33906)</f>
        <v/>
      </c>
      <c r="D33907">
        <f>IF(B33907=C33907, "YES", "WRONG")</f>
        <v/>
      </c>
    </row>
    <row r="33908">
      <c r="A33908" t="n">
        <v>33907</v>
      </c>
      <c r="B33908" t="inlineStr">
        <is>
          <t>x̄x̄x̄MMMCMVII</t>
        </is>
      </c>
      <c r="C33908">
        <f>ROMAN(33907)</f>
        <v/>
      </c>
      <c r="D33908">
        <f>IF(B33908=C33908, "YES", "WRONG")</f>
        <v/>
      </c>
    </row>
    <row r="33909">
      <c r="A33909" t="n">
        <v>33908</v>
      </c>
      <c r="B33909" t="inlineStr">
        <is>
          <t>x̄x̄x̄MMMCMVIII</t>
        </is>
      </c>
      <c r="C33909">
        <f>ROMAN(33908)</f>
        <v/>
      </c>
      <c r="D33909">
        <f>IF(B33909=C33909, "YES", "WRONG")</f>
        <v/>
      </c>
    </row>
    <row r="33910">
      <c r="A33910" t="n">
        <v>33909</v>
      </c>
      <c r="B33910" t="inlineStr">
        <is>
          <t>x̄x̄x̄MMMCMIX</t>
        </is>
      </c>
      <c r="C33910">
        <f>ROMAN(33909)</f>
        <v/>
      </c>
      <c r="D33910">
        <f>IF(B33910=C33910, "YES", "WRONG")</f>
        <v/>
      </c>
    </row>
    <row r="33911">
      <c r="A33911" t="n">
        <v>33910</v>
      </c>
      <c r="B33911" t="inlineStr">
        <is>
          <t>x̄x̄x̄MMMCMX</t>
        </is>
      </c>
      <c r="C33911">
        <f>ROMAN(33910)</f>
        <v/>
      </c>
      <c r="D33911">
        <f>IF(B33911=C33911, "YES", "WRONG")</f>
        <v/>
      </c>
    </row>
    <row r="33912">
      <c r="A33912" t="n">
        <v>33911</v>
      </c>
      <c r="B33912" t="inlineStr">
        <is>
          <t>x̄x̄x̄MMMCMXI</t>
        </is>
      </c>
      <c r="C33912">
        <f>ROMAN(33911)</f>
        <v/>
      </c>
      <c r="D33912">
        <f>IF(B33912=C33912, "YES", "WRONG")</f>
        <v/>
      </c>
    </row>
    <row r="33913">
      <c r="A33913" t="n">
        <v>33912</v>
      </c>
      <c r="B33913" t="inlineStr">
        <is>
          <t>x̄x̄x̄MMMCMXII</t>
        </is>
      </c>
      <c r="C33913">
        <f>ROMAN(33912)</f>
        <v/>
      </c>
      <c r="D33913">
        <f>IF(B33913=C33913, "YES", "WRONG")</f>
        <v/>
      </c>
    </row>
    <row r="33914">
      <c r="A33914" t="n">
        <v>33913</v>
      </c>
      <c r="B33914" t="inlineStr">
        <is>
          <t>x̄x̄x̄MMMCMXIII</t>
        </is>
      </c>
      <c r="C33914">
        <f>ROMAN(33913)</f>
        <v/>
      </c>
      <c r="D33914">
        <f>IF(B33914=C33914, "YES", "WRONG")</f>
        <v/>
      </c>
    </row>
    <row r="33915">
      <c r="A33915" t="n">
        <v>33914</v>
      </c>
      <c r="B33915" t="inlineStr">
        <is>
          <t>x̄x̄x̄MMMCMXIV</t>
        </is>
      </c>
      <c r="C33915">
        <f>ROMAN(33914)</f>
        <v/>
      </c>
      <c r="D33915">
        <f>IF(B33915=C33915, "YES", "WRONG")</f>
        <v/>
      </c>
    </row>
    <row r="33916">
      <c r="A33916" t="n">
        <v>33915</v>
      </c>
      <c r="B33916" t="inlineStr">
        <is>
          <t>x̄x̄x̄MMMCMXV</t>
        </is>
      </c>
      <c r="C33916">
        <f>ROMAN(33915)</f>
        <v/>
      </c>
      <c r="D33916">
        <f>IF(B33916=C33916, "YES", "WRONG")</f>
        <v/>
      </c>
    </row>
    <row r="33917">
      <c r="A33917" t="n">
        <v>33916</v>
      </c>
      <c r="B33917" t="inlineStr">
        <is>
          <t>x̄x̄x̄MMMCMXVI</t>
        </is>
      </c>
      <c r="C33917">
        <f>ROMAN(33916)</f>
        <v/>
      </c>
      <c r="D33917">
        <f>IF(B33917=C33917, "YES", "WRONG")</f>
        <v/>
      </c>
    </row>
    <row r="33918">
      <c r="A33918" t="n">
        <v>33917</v>
      </c>
      <c r="B33918" t="inlineStr">
        <is>
          <t>x̄x̄x̄MMMCMXVII</t>
        </is>
      </c>
      <c r="C33918">
        <f>ROMAN(33917)</f>
        <v/>
      </c>
      <c r="D33918">
        <f>IF(B33918=C33918, "YES", "WRONG")</f>
        <v/>
      </c>
    </row>
    <row r="33919">
      <c r="A33919" t="n">
        <v>33918</v>
      </c>
      <c r="B33919" t="inlineStr">
        <is>
          <t>x̄x̄x̄MMMCMXVIII</t>
        </is>
      </c>
      <c r="C33919">
        <f>ROMAN(33918)</f>
        <v/>
      </c>
      <c r="D33919">
        <f>IF(B33919=C33919, "YES", "WRONG")</f>
        <v/>
      </c>
    </row>
    <row r="33920">
      <c r="A33920" t="n">
        <v>33919</v>
      </c>
      <c r="B33920" t="inlineStr">
        <is>
          <t>x̄x̄x̄MMMCMXIX</t>
        </is>
      </c>
      <c r="C33920">
        <f>ROMAN(33919)</f>
        <v/>
      </c>
      <c r="D33920">
        <f>IF(B33920=C33920, "YES", "WRONG")</f>
        <v/>
      </c>
    </row>
    <row r="33921">
      <c r="A33921" t="n">
        <v>33920</v>
      </c>
      <c r="B33921" t="inlineStr">
        <is>
          <t>x̄x̄x̄MMMCMXX</t>
        </is>
      </c>
      <c r="C33921">
        <f>ROMAN(33920)</f>
        <v/>
      </c>
      <c r="D33921">
        <f>IF(B33921=C33921, "YES", "WRONG")</f>
        <v/>
      </c>
    </row>
    <row r="33922">
      <c r="A33922" t="n">
        <v>33921</v>
      </c>
      <c r="B33922" t="inlineStr">
        <is>
          <t>x̄x̄x̄MMMCMXXI</t>
        </is>
      </c>
      <c r="C33922">
        <f>ROMAN(33921)</f>
        <v/>
      </c>
      <c r="D33922">
        <f>IF(B33922=C33922, "YES", "WRONG")</f>
        <v/>
      </c>
    </row>
    <row r="33923">
      <c r="A33923" t="n">
        <v>33922</v>
      </c>
      <c r="B33923" t="inlineStr">
        <is>
          <t>x̄x̄x̄MMMCMXXII</t>
        </is>
      </c>
      <c r="C33923">
        <f>ROMAN(33922)</f>
        <v/>
      </c>
      <c r="D33923">
        <f>IF(B33923=C33923, "YES", "WRONG")</f>
        <v/>
      </c>
    </row>
    <row r="33924">
      <c r="A33924" t="n">
        <v>33923</v>
      </c>
      <c r="B33924" t="inlineStr">
        <is>
          <t>x̄x̄x̄MMMCMXXIII</t>
        </is>
      </c>
      <c r="C33924">
        <f>ROMAN(33923)</f>
        <v/>
      </c>
      <c r="D33924">
        <f>IF(B33924=C33924, "YES", "WRONG")</f>
        <v/>
      </c>
    </row>
    <row r="33925">
      <c r="A33925" t="n">
        <v>33924</v>
      </c>
      <c r="B33925" t="inlineStr">
        <is>
          <t>x̄x̄x̄MMMCMXXIV</t>
        </is>
      </c>
      <c r="C33925">
        <f>ROMAN(33924)</f>
        <v/>
      </c>
      <c r="D33925">
        <f>IF(B33925=C33925, "YES", "WRONG")</f>
        <v/>
      </c>
    </row>
    <row r="33926">
      <c r="A33926" t="n">
        <v>33925</v>
      </c>
      <c r="B33926" t="inlineStr">
        <is>
          <t>x̄x̄x̄MMMCMXXV</t>
        </is>
      </c>
      <c r="C33926">
        <f>ROMAN(33925)</f>
        <v/>
      </c>
      <c r="D33926">
        <f>IF(B33926=C33926, "YES", "WRONG")</f>
        <v/>
      </c>
    </row>
    <row r="33927">
      <c r="A33927" t="n">
        <v>33926</v>
      </c>
      <c r="B33927" t="inlineStr">
        <is>
          <t>x̄x̄x̄MMMCMXXVI</t>
        </is>
      </c>
      <c r="C33927">
        <f>ROMAN(33926)</f>
        <v/>
      </c>
      <c r="D33927">
        <f>IF(B33927=C33927, "YES", "WRONG")</f>
        <v/>
      </c>
    </row>
    <row r="33928">
      <c r="A33928" t="n">
        <v>33927</v>
      </c>
      <c r="B33928" t="inlineStr">
        <is>
          <t>x̄x̄x̄MMMCMXXVII</t>
        </is>
      </c>
      <c r="C33928">
        <f>ROMAN(33927)</f>
        <v/>
      </c>
      <c r="D33928">
        <f>IF(B33928=C33928, "YES", "WRONG")</f>
        <v/>
      </c>
    </row>
    <row r="33929">
      <c r="A33929" t="n">
        <v>33928</v>
      </c>
      <c r="B33929" t="inlineStr">
        <is>
          <t>x̄x̄x̄MMMCMXXVIII</t>
        </is>
      </c>
      <c r="C33929">
        <f>ROMAN(33928)</f>
        <v/>
      </c>
      <c r="D33929">
        <f>IF(B33929=C33929, "YES", "WRONG")</f>
        <v/>
      </c>
    </row>
    <row r="33930">
      <c r="A33930" t="n">
        <v>33929</v>
      </c>
      <c r="B33930" t="inlineStr">
        <is>
          <t>x̄x̄x̄MMMCMXXIX</t>
        </is>
      </c>
      <c r="C33930">
        <f>ROMAN(33929)</f>
        <v/>
      </c>
      <c r="D33930">
        <f>IF(B33930=C33930, "YES", "WRONG")</f>
        <v/>
      </c>
    </row>
    <row r="33931">
      <c r="A33931" t="n">
        <v>33930</v>
      </c>
      <c r="B33931" t="inlineStr">
        <is>
          <t>x̄x̄x̄MMMCMXXX</t>
        </is>
      </c>
      <c r="C33931">
        <f>ROMAN(33930)</f>
        <v/>
      </c>
      <c r="D33931">
        <f>IF(B33931=C33931, "YES", "WRONG")</f>
        <v/>
      </c>
    </row>
    <row r="33932">
      <c r="A33932" t="n">
        <v>33931</v>
      </c>
      <c r="B33932" t="inlineStr">
        <is>
          <t>x̄x̄x̄MMMCMXXXI</t>
        </is>
      </c>
      <c r="C33932">
        <f>ROMAN(33931)</f>
        <v/>
      </c>
      <c r="D33932">
        <f>IF(B33932=C33932, "YES", "WRONG")</f>
        <v/>
      </c>
    </row>
    <row r="33933">
      <c r="A33933" t="n">
        <v>33932</v>
      </c>
      <c r="B33933" t="inlineStr">
        <is>
          <t>x̄x̄x̄MMMCMXXXII</t>
        </is>
      </c>
      <c r="C33933">
        <f>ROMAN(33932)</f>
        <v/>
      </c>
      <c r="D33933">
        <f>IF(B33933=C33933, "YES", "WRONG")</f>
        <v/>
      </c>
    </row>
    <row r="33934">
      <c r="A33934" t="n">
        <v>33933</v>
      </c>
      <c r="B33934" t="inlineStr">
        <is>
          <t>x̄x̄x̄MMMCMXXXIII</t>
        </is>
      </c>
      <c r="C33934">
        <f>ROMAN(33933)</f>
        <v/>
      </c>
      <c r="D33934">
        <f>IF(B33934=C33934, "YES", "WRONG")</f>
        <v/>
      </c>
    </row>
    <row r="33935">
      <c r="A33935" t="n">
        <v>33934</v>
      </c>
      <c r="B33935" t="inlineStr">
        <is>
          <t>x̄x̄x̄MMMCMXXXIV</t>
        </is>
      </c>
      <c r="C33935">
        <f>ROMAN(33934)</f>
        <v/>
      </c>
      <c r="D33935">
        <f>IF(B33935=C33935, "YES", "WRONG")</f>
        <v/>
      </c>
    </row>
    <row r="33936">
      <c r="A33936" t="n">
        <v>33935</v>
      </c>
      <c r="B33936" t="inlineStr">
        <is>
          <t>x̄x̄x̄MMMCMXXXV</t>
        </is>
      </c>
      <c r="C33936">
        <f>ROMAN(33935)</f>
        <v/>
      </c>
      <c r="D33936">
        <f>IF(B33936=C33936, "YES", "WRONG")</f>
        <v/>
      </c>
    </row>
    <row r="33937">
      <c r="A33937" t="n">
        <v>33936</v>
      </c>
      <c r="B33937" t="inlineStr">
        <is>
          <t>x̄x̄x̄MMMCMXXXVI</t>
        </is>
      </c>
      <c r="C33937">
        <f>ROMAN(33936)</f>
        <v/>
      </c>
      <c r="D33937">
        <f>IF(B33937=C33937, "YES", "WRONG")</f>
        <v/>
      </c>
    </row>
    <row r="33938">
      <c r="A33938" t="n">
        <v>33937</v>
      </c>
      <c r="B33938" t="inlineStr">
        <is>
          <t>x̄x̄x̄MMMCMXXXVII</t>
        </is>
      </c>
      <c r="C33938">
        <f>ROMAN(33937)</f>
        <v/>
      </c>
      <c r="D33938">
        <f>IF(B33938=C33938, "YES", "WRONG")</f>
        <v/>
      </c>
    </row>
    <row r="33939">
      <c r="A33939" t="n">
        <v>33938</v>
      </c>
      <c r="B33939" t="inlineStr">
        <is>
          <t>x̄x̄x̄MMMCMXXXVIII</t>
        </is>
      </c>
      <c r="C33939">
        <f>ROMAN(33938)</f>
        <v/>
      </c>
      <c r="D33939">
        <f>IF(B33939=C33939, "YES", "WRONG")</f>
        <v/>
      </c>
    </row>
    <row r="33940">
      <c r="A33940" t="n">
        <v>33939</v>
      </c>
      <c r="B33940" t="inlineStr">
        <is>
          <t>x̄x̄x̄MMMCMXXXIX</t>
        </is>
      </c>
      <c r="C33940">
        <f>ROMAN(33939)</f>
        <v/>
      </c>
      <c r="D33940">
        <f>IF(B33940=C33940, "YES", "WRONG")</f>
        <v/>
      </c>
    </row>
    <row r="33941">
      <c r="A33941" t="n">
        <v>33940</v>
      </c>
      <c r="B33941" t="inlineStr">
        <is>
          <t>x̄x̄x̄MMMCMXL</t>
        </is>
      </c>
      <c r="C33941">
        <f>ROMAN(33940)</f>
        <v/>
      </c>
      <c r="D33941">
        <f>IF(B33941=C33941, "YES", "WRONG")</f>
        <v/>
      </c>
    </row>
    <row r="33942">
      <c r="A33942" t="n">
        <v>33941</v>
      </c>
      <c r="B33942" t="inlineStr">
        <is>
          <t>x̄x̄x̄MMMCMXLI</t>
        </is>
      </c>
      <c r="C33942">
        <f>ROMAN(33941)</f>
        <v/>
      </c>
      <c r="D33942">
        <f>IF(B33942=C33942, "YES", "WRONG")</f>
        <v/>
      </c>
    </row>
    <row r="33943">
      <c r="A33943" t="n">
        <v>33942</v>
      </c>
      <c r="B33943" t="inlineStr">
        <is>
          <t>x̄x̄x̄MMMCMXLII</t>
        </is>
      </c>
      <c r="C33943">
        <f>ROMAN(33942)</f>
        <v/>
      </c>
      <c r="D33943">
        <f>IF(B33943=C33943, "YES", "WRONG")</f>
        <v/>
      </c>
    </row>
    <row r="33944">
      <c r="A33944" t="n">
        <v>33943</v>
      </c>
      <c r="B33944" t="inlineStr">
        <is>
          <t>x̄x̄x̄MMMCMXLIII</t>
        </is>
      </c>
      <c r="C33944">
        <f>ROMAN(33943)</f>
        <v/>
      </c>
      <c r="D33944">
        <f>IF(B33944=C33944, "YES", "WRONG")</f>
        <v/>
      </c>
    </row>
    <row r="33945">
      <c r="A33945" t="n">
        <v>33944</v>
      </c>
      <c r="B33945" t="inlineStr">
        <is>
          <t>x̄x̄x̄MMMCMXLIV</t>
        </is>
      </c>
      <c r="C33945">
        <f>ROMAN(33944)</f>
        <v/>
      </c>
      <c r="D33945">
        <f>IF(B33945=C33945, "YES", "WRONG")</f>
        <v/>
      </c>
    </row>
    <row r="33946">
      <c r="A33946" t="n">
        <v>33945</v>
      </c>
      <c r="B33946" t="inlineStr">
        <is>
          <t>x̄x̄x̄MMMCMXLV</t>
        </is>
      </c>
      <c r="C33946">
        <f>ROMAN(33945)</f>
        <v/>
      </c>
      <c r="D33946">
        <f>IF(B33946=C33946, "YES", "WRONG")</f>
        <v/>
      </c>
    </row>
    <row r="33947">
      <c r="A33947" t="n">
        <v>33946</v>
      </c>
      <c r="B33947" t="inlineStr">
        <is>
          <t>x̄x̄x̄MMMCMXLVI</t>
        </is>
      </c>
      <c r="C33947">
        <f>ROMAN(33946)</f>
        <v/>
      </c>
      <c r="D33947">
        <f>IF(B33947=C33947, "YES", "WRONG")</f>
        <v/>
      </c>
    </row>
    <row r="33948">
      <c r="A33948" t="n">
        <v>33947</v>
      </c>
      <c r="B33948" t="inlineStr">
        <is>
          <t>x̄x̄x̄MMMCMXLVII</t>
        </is>
      </c>
      <c r="C33948">
        <f>ROMAN(33947)</f>
        <v/>
      </c>
      <c r="D33948">
        <f>IF(B33948=C33948, "YES", "WRONG")</f>
        <v/>
      </c>
    </row>
    <row r="33949">
      <c r="A33949" t="n">
        <v>33948</v>
      </c>
      <c r="B33949" t="inlineStr">
        <is>
          <t>x̄x̄x̄MMMCMXLVIII</t>
        </is>
      </c>
      <c r="C33949">
        <f>ROMAN(33948)</f>
        <v/>
      </c>
      <c r="D33949">
        <f>IF(B33949=C33949, "YES", "WRONG")</f>
        <v/>
      </c>
    </row>
    <row r="33950">
      <c r="A33950" t="n">
        <v>33949</v>
      </c>
      <c r="B33950" t="inlineStr">
        <is>
          <t>x̄x̄x̄MMMCMXLIX</t>
        </is>
      </c>
      <c r="C33950">
        <f>ROMAN(33949)</f>
        <v/>
      </c>
      <c r="D33950">
        <f>IF(B33950=C33950, "YES", "WRONG")</f>
        <v/>
      </c>
    </row>
    <row r="33951">
      <c r="A33951" t="n">
        <v>33950</v>
      </c>
      <c r="B33951" t="inlineStr">
        <is>
          <t>x̄x̄x̄MMMCML</t>
        </is>
      </c>
      <c r="C33951">
        <f>ROMAN(33950)</f>
        <v/>
      </c>
      <c r="D33951">
        <f>IF(B33951=C33951, "YES", "WRONG")</f>
        <v/>
      </c>
    </row>
    <row r="33952">
      <c r="A33952" t="n">
        <v>33951</v>
      </c>
      <c r="B33952" t="inlineStr">
        <is>
          <t>x̄x̄x̄MMMCMLI</t>
        </is>
      </c>
      <c r="C33952">
        <f>ROMAN(33951)</f>
        <v/>
      </c>
      <c r="D33952">
        <f>IF(B33952=C33952, "YES", "WRONG")</f>
        <v/>
      </c>
    </row>
    <row r="33953">
      <c r="A33953" t="n">
        <v>33952</v>
      </c>
      <c r="B33953" t="inlineStr">
        <is>
          <t>x̄x̄x̄MMMCMLII</t>
        </is>
      </c>
      <c r="C33953">
        <f>ROMAN(33952)</f>
        <v/>
      </c>
      <c r="D33953">
        <f>IF(B33953=C33953, "YES", "WRONG")</f>
        <v/>
      </c>
    </row>
    <row r="33954">
      <c r="A33954" t="n">
        <v>33953</v>
      </c>
      <c r="B33954" t="inlineStr">
        <is>
          <t>x̄x̄x̄MMMCMLIII</t>
        </is>
      </c>
      <c r="C33954">
        <f>ROMAN(33953)</f>
        <v/>
      </c>
      <c r="D33954">
        <f>IF(B33954=C33954, "YES", "WRONG")</f>
        <v/>
      </c>
    </row>
    <row r="33955">
      <c r="A33955" t="n">
        <v>33954</v>
      </c>
      <c r="B33955" t="inlineStr">
        <is>
          <t>x̄x̄x̄MMMCMLIV</t>
        </is>
      </c>
      <c r="C33955">
        <f>ROMAN(33954)</f>
        <v/>
      </c>
      <c r="D33955">
        <f>IF(B33955=C33955, "YES", "WRONG")</f>
        <v/>
      </c>
    </row>
    <row r="33956">
      <c r="A33956" t="n">
        <v>33955</v>
      </c>
      <c r="B33956" t="inlineStr">
        <is>
          <t>x̄x̄x̄MMMCMLV</t>
        </is>
      </c>
      <c r="C33956">
        <f>ROMAN(33955)</f>
        <v/>
      </c>
      <c r="D33956">
        <f>IF(B33956=C33956, "YES", "WRONG")</f>
        <v/>
      </c>
    </row>
    <row r="33957">
      <c r="A33957" t="n">
        <v>33956</v>
      </c>
      <c r="B33957" t="inlineStr">
        <is>
          <t>x̄x̄x̄MMMCMLVI</t>
        </is>
      </c>
      <c r="C33957">
        <f>ROMAN(33956)</f>
        <v/>
      </c>
      <c r="D33957">
        <f>IF(B33957=C33957, "YES", "WRONG")</f>
        <v/>
      </c>
    </row>
    <row r="33958">
      <c r="A33958" t="n">
        <v>33957</v>
      </c>
      <c r="B33958" t="inlineStr">
        <is>
          <t>x̄x̄x̄MMMCMLVII</t>
        </is>
      </c>
      <c r="C33958">
        <f>ROMAN(33957)</f>
        <v/>
      </c>
      <c r="D33958">
        <f>IF(B33958=C33958, "YES", "WRONG")</f>
        <v/>
      </c>
    </row>
    <row r="33959">
      <c r="A33959" t="n">
        <v>33958</v>
      </c>
      <c r="B33959" t="inlineStr">
        <is>
          <t>x̄x̄x̄MMMCMLVIII</t>
        </is>
      </c>
      <c r="C33959">
        <f>ROMAN(33958)</f>
        <v/>
      </c>
      <c r="D33959">
        <f>IF(B33959=C33959, "YES", "WRONG")</f>
        <v/>
      </c>
    </row>
    <row r="33960">
      <c r="A33960" t="n">
        <v>33959</v>
      </c>
      <c r="B33960" t="inlineStr">
        <is>
          <t>x̄x̄x̄MMMCMLIX</t>
        </is>
      </c>
      <c r="C33960">
        <f>ROMAN(33959)</f>
        <v/>
      </c>
      <c r="D33960">
        <f>IF(B33960=C33960, "YES", "WRONG")</f>
        <v/>
      </c>
    </row>
    <row r="33961">
      <c r="A33961" t="n">
        <v>33960</v>
      </c>
      <c r="B33961" t="inlineStr">
        <is>
          <t>x̄x̄x̄MMMCMLX</t>
        </is>
      </c>
      <c r="C33961">
        <f>ROMAN(33960)</f>
        <v/>
      </c>
      <c r="D33961">
        <f>IF(B33961=C33961, "YES", "WRONG")</f>
        <v/>
      </c>
    </row>
    <row r="33962">
      <c r="A33962" t="n">
        <v>33961</v>
      </c>
      <c r="B33962" t="inlineStr">
        <is>
          <t>x̄x̄x̄MMMCMLXI</t>
        </is>
      </c>
      <c r="C33962">
        <f>ROMAN(33961)</f>
        <v/>
      </c>
      <c r="D33962">
        <f>IF(B33962=C33962, "YES", "WRONG")</f>
        <v/>
      </c>
    </row>
    <row r="33963">
      <c r="A33963" t="n">
        <v>33962</v>
      </c>
      <c r="B33963" t="inlineStr">
        <is>
          <t>x̄x̄x̄MMMCMLXII</t>
        </is>
      </c>
      <c r="C33963">
        <f>ROMAN(33962)</f>
        <v/>
      </c>
      <c r="D33963">
        <f>IF(B33963=C33963, "YES", "WRONG")</f>
        <v/>
      </c>
    </row>
    <row r="33964">
      <c r="A33964" t="n">
        <v>33963</v>
      </c>
      <c r="B33964" t="inlineStr">
        <is>
          <t>x̄x̄x̄MMMCMLXIII</t>
        </is>
      </c>
      <c r="C33964">
        <f>ROMAN(33963)</f>
        <v/>
      </c>
      <c r="D33964">
        <f>IF(B33964=C33964, "YES", "WRONG")</f>
        <v/>
      </c>
    </row>
    <row r="33965">
      <c r="A33965" t="n">
        <v>33964</v>
      </c>
      <c r="B33965" t="inlineStr">
        <is>
          <t>x̄x̄x̄MMMCMLXIV</t>
        </is>
      </c>
      <c r="C33965">
        <f>ROMAN(33964)</f>
        <v/>
      </c>
      <c r="D33965">
        <f>IF(B33965=C33965, "YES", "WRONG")</f>
        <v/>
      </c>
    </row>
    <row r="33966">
      <c r="A33966" t="n">
        <v>33965</v>
      </c>
      <c r="B33966" t="inlineStr">
        <is>
          <t>x̄x̄x̄MMMCMLXV</t>
        </is>
      </c>
      <c r="C33966">
        <f>ROMAN(33965)</f>
        <v/>
      </c>
      <c r="D33966">
        <f>IF(B33966=C33966, "YES", "WRONG")</f>
        <v/>
      </c>
    </row>
    <row r="33967">
      <c r="A33967" t="n">
        <v>33966</v>
      </c>
      <c r="B33967" t="inlineStr">
        <is>
          <t>x̄x̄x̄MMMCMLXVI</t>
        </is>
      </c>
      <c r="C33967">
        <f>ROMAN(33966)</f>
        <v/>
      </c>
      <c r="D33967">
        <f>IF(B33967=C33967, "YES", "WRONG")</f>
        <v/>
      </c>
    </row>
    <row r="33968">
      <c r="A33968" t="n">
        <v>33967</v>
      </c>
      <c r="B33968" t="inlineStr">
        <is>
          <t>x̄x̄x̄MMMCMLXVII</t>
        </is>
      </c>
      <c r="C33968">
        <f>ROMAN(33967)</f>
        <v/>
      </c>
      <c r="D33968">
        <f>IF(B33968=C33968, "YES", "WRONG")</f>
        <v/>
      </c>
    </row>
    <row r="33969">
      <c r="A33969" t="n">
        <v>33968</v>
      </c>
      <c r="B33969" t="inlineStr">
        <is>
          <t>x̄x̄x̄MMMCMLXVIII</t>
        </is>
      </c>
      <c r="C33969">
        <f>ROMAN(33968)</f>
        <v/>
      </c>
      <c r="D33969">
        <f>IF(B33969=C33969, "YES", "WRONG")</f>
        <v/>
      </c>
    </row>
    <row r="33970">
      <c r="A33970" t="n">
        <v>33969</v>
      </c>
      <c r="B33970" t="inlineStr">
        <is>
          <t>x̄x̄x̄MMMCMLXIX</t>
        </is>
      </c>
      <c r="C33970">
        <f>ROMAN(33969)</f>
        <v/>
      </c>
      <c r="D33970">
        <f>IF(B33970=C33970, "YES", "WRONG")</f>
        <v/>
      </c>
    </row>
    <row r="33971">
      <c r="A33971" t="n">
        <v>33970</v>
      </c>
      <c r="B33971" t="inlineStr">
        <is>
          <t>x̄x̄x̄MMMCMLXX</t>
        </is>
      </c>
      <c r="C33971">
        <f>ROMAN(33970)</f>
        <v/>
      </c>
      <c r="D33971">
        <f>IF(B33971=C33971, "YES", "WRONG")</f>
        <v/>
      </c>
    </row>
    <row r="33972">
      <c r="A33972" t="n">
        <v>33971</v>
      </c>
      <c r="B33972" t="inlineStr">
        <is>
          <t>x̄x̄x̄MMMCMLXXI</t>
        </is>
      </c>
      <c r="C33972">
        <f>ROMAN(33971)</f>
        <v/>
      </c>
      <c r="D33972">
        <f>IF(B33972=C33972, "YES", "WRONG")</f>
        <v/>
      </c>
    </row>
    <row r="33973">
      <c r="A33973" t="n">
        <v>33972</v>
      </c>
      <c r="B33973" t="inlineStr">
        <is>
          <t>x̄x̄x̄MMMCMLXXII</t>
        </is>
      </c>
      <c r="C33973">
        <f>ROMAN(33972)</f>
        <v/>
      </c>
      <c r="D33973">
        <f>IF(B33973=C33973, "YES", "WRONG")</f>
        <v/>
      </c>
    </row>
    <row r="33974">
      <c r="A33974" t="n">
        <v>33973</v>
      </c>
      <c r="B33974" t="inlineStr">
        <is>
          <t>x̄x̄x̄MMMCMLXXIII</t>
        </is>
      </c>
      <c r="C33974">
        <f>ROMAN(33973)</f>
        <v/>
      </c>
      <c r="D33974">
        <f>IF(B33974=C33974, "YES", "WRONG")</f>
        <v/>
      </c>
    </row>
    <row r="33975">
      <c r="A33975" t="n">
        <v>33974</v>
      </c>
      <c r="B33975" t="inlineStr">
        <is>
          <t>x̄x̄x̄MMMCMLXXIV</t>
        </is>
      </c>
      <c r="C33975">
        <f>ROMAN(33974)</f>
        <v/>
      </c>
      <c r="D33975">
        <f>IF(B33975=C33975, "YES", "WRONG")</f>
        <v/>
      </c>
    </row>
    <row r="33976">
      <c r="A33976" t="n">
        <v>33975</v>
      </c>
      <c r="B33976" t="inlineStr">
        <is>
          <t>x̄x̄x̄MMMCMLXXV</t>
        </is>
      </c>
      <c r="C33976">
        <f>ROMAN(33975)</f>
        <v/>
      </c>
      <c r="D33976">
        <f>IF(B33976=C33976, "YES", "WRONG")</f>
        <v/>
      </c>
    </row>
    <row r="33977">
      <c r="A33977" t="n">
        <v>33976</v>
      </c>
      <c r="B33977" t="inlineStr">
        <is>
          <t>x̄x̄x̄MMMCMLXXVI</t>
        </is>
      </c>
      <c r="C33977">
        <f>ROMAN(33976)</f>
        <v/>
      </c>
      <c r="D33977">
        <f>IF(B33977=C33977, "YES", "WRONG")</f>
        <v/>
      </c>
    </row>
    <row r="33978">
      <c r="A33978" t="n">
        <v>33977</v>
      </c>
      <c r="B33978" t="inlineStr">
        <is>
          <t>x̄x̄x̄MMMCMLXXVII</t>
        </is>
      </c>
      <c r="C33978">
        <f>ROMAN(33977)</f>
        <v/>
      </c>
      <c r="D33978">
        <f>IF(B33978=C33978, "YES", "WRONG")</f>
        <v/>
      </c>
    </row>
    <row r="33979">
      <c r="A33979" t="n">
        <v>33978</v>
      </c>
      <c r="B33979" t="inlineStr">
        <is>
          <t>x̄x̄x̄MMMCMLXXVIII</t>
        </is>
      </c>
      <c r="C33979">
        <f>ROMAN(33978)</f>
        <v/>
      </c>
      <c r="D33979">
        <f>IF(B33979=C33979, "YES", "WRONG")</f>
        <v/>
      </c>
    </row>
    <row r="33980">
      <c r="A33980" t="n">
        <v>33979</v>
      </c>
      <c r="B33980" t="inlineStr">
        <is>
          <t>x̄x̄x̄MMMCMLXXIX</t>
        </is>
      </c>
      <c r="C33980">
        <f>ROMAN(33979)</f>
        <v/>
      </c>
      <c r="D33980">
        <f>IF(B33980=C33980, "YES", "WRONG")</f>
        <v/>
      </c>
    </row>
    <row r="33981">
      <c r="A33981" t="n">
        <v>33980</v>
      </c>
      <c r="B33981" t="inlineStr">
        <is>
          <t>x̄x̄x̄MMMCMLXXX</t>
        </is>
      </c>
      <c r="C33981">
        <f>ROMAN(33980)</f>
        <v/>
      </c>
      <c r="D33981">
        <f>IF(B33981=C33981, "YES", "WRONG")</f>
        <v/>
      </c>
    </row>
    <row r="33982">
      <c r="A33982" t="n">
        <v>33981</v>
      </c>
      <c r="B33982" t="inlineStr">
        <is>
          <t>x̄x̄x̄MMMCMLXXXI</t>
        </is>
      </c>
      <c r="C33982">
        <f>ROMAN(33981)</f>
        <v/>
      </c>
      <c r="D33982">
        <f>IF(B33982=C33982, "YES", "WRONG")</f>
        <v/>
      </c>
    </row>
    <row r="33983">
      <c r="A33983" t="n">
        <v>33982</v>
      </c>
      <c r="B33983" t="inlineStr">
        <is>
          <t>x̄x̄x̄MMMCMLXXXII</t>
        </is>
      </c>
      <c r="C33983">
        <f>ROMAN(33982)</f>
        <v/>
      </c>
      <c r="D33983">
        <f>IF(B33983=C33983, "YES", "WRONG")</f>
        <v/>
      </c>
    </row>
    <row r="33984">
      <c r="A33984" t="n">
        <v>33983</v>
      </c>
      <c r="B33984" t="inlineStr">
        <is>
          <t>x̄x̄x̄MMMCMLXXXIII</t>
        </is>
      </c>
      <c r="C33984">
        <f>ROMAN(33983)</f>
        <v/>
      </c>
      <c r="D33984">
        <f>IF(B33984=C33984, "YES", "WRONG")</f>
        <v/>
      </c>
    </row>
    <row r="33985">
      <c r="A33985" t="n">
        <v>33984</v>
      </c>
      <c r="B33985" t="inlineStr">
        <is>
          <t>x̄x̄x̄MMMCMLXXXIV</t>
        </is>
      </c>
      <c r="C33985">
        <f>ROMAN(33984)</f>
        <v/>
      </c>
      <c r="D33985">
        <f>IF(B33985=C33985, "YES", "WRONG")</f>
        <v/>
      </c>
    </row>
    <row r="33986">
      <c r="A33986" t="n">
        <v>33985</v>
      </c>
      <c r="B33986" t="inlineStr">
        <is>
          <t>x̄x̄x̄MMMCMLXXXV</t>
        </is>
      </c>
      <c r="C33986">
        <f>ROMAN(33985)</f>
        <v/>
      </c>
      <c r="D33986">
        <f>IF(B33986=C33986, "YES", "WRONG")</f>
        <v/>
      </c>
    </row>
    <row r="33987">
      <c r="A33987" t="n">
        <v>33986</v>
      </c>
      <c r="B33987" t="inlineStr">
        <is>
          <t>x̄x̄x̄MMMCMLXXXVI</t>
        </is>
      </c>
      <c r="C33987">
        <f>ROMAN(33986)</f>
        <v/>
      </c>
      <c r="D33987">
        <f>IF(B33987=C33987, "YES", "WRONG")</f>
        <v/>
      </c>
    </row>
    <row r="33988">
      <c r="A33988" t="n">
        <v>33987</v>
      </c>
      <c r="B33988" t="inlineStr">
        <is>
          <t>x̄x̄x̄MMMCMLXXXVII</t>
        </is>
      </c>
      <c r="C33988">
        <f>ROMAN(33987)</f>
        <v/>
      </c>
      <c r="D33988">
        <f>IF(B33988=C33988, "YES", "WRONG")</f>
        <v/>
      </c>
    </row>
    <row r="33989">
      <c r="A33989" t="n">
        <v>33988</v>
      </c>
      <c r="B33989" t="inlineStr">
        <is>
          <t>x̄x̄x̄MMMCMLXXXVIII</t>
        </is>
      </c>
      <c r="C33989">
        <f>ROMAN(33988)</f>
        <v/>
      </c>
      <c r="D33989">
        <f>IF(B33989=C33989, "YES", "WRONG")</f>
        <v/>
      </c>
    </row>
    <row r="33990">
      <c r="A33990" t="n">
        <v>33989</v>
      </c>
      <c r="B33990" t="inlineStr">
        <is>
          <t>x̄x̄x̄MMMCMLXXXIX</t>
        </is>
      </c>
      <c r="C33990">
        <f>ROMAN(33989)</f>
        <v/>
      </c>
      <c r="D33990">
        <f>IF(B33990=C33990, "YES", "WRONG")</f>
        <v/>
      </c>
    </row>
    <row r="33991">
      <c r="A33991" t="n">
        <v>33990</v>
      </c>
      <c r="B33991" t="inlineStr">
        <is>
          <t>x̄x̄x̄MMMCMXC</t>
        </is>
      </c>
      <c r="C33991">
        <f>ROMAN(33990)</f>
        <v/>
      </c>
      <c r="D33991">
        <f>IF(B33991=C33991, "YES", "WRONG")</f>
        <v/>
      </c>
    </row>
    <row r="33992">
      <c r="A33992" t="n">
        <v>33991</v>
      </c>
      <c r="B33992" t="inlineStr">
        <is>
          <t>x̄x̄x̄MMMCMXCI</t>
        </is>
      </c>
      <c r="C33992">
        <f>ROMAN(33991)</f>
        <v/>
      </c>
      <c r="D33992">
        <f>IF(B33992=C33992, "YES", "WRONG")</f>
        <v/>
      </c>
    </row>
    <row r="33993">
      <c r="A33993" t="n">
        <v>33992</v>
      </c>
      <c r="B33993" t="inlineStr">
        <is>
          <t>x̄x̄x̄MMMCMXCII</t>
        </is>
      </c>
      <c r="C33993">
        <f>ROMAN(33992)</f>
        <v/>
      </c>
      <c r="D33993">
        <f>IF(B33993=C33993, "YES", "WRONG")</f>
        <v/>
      </c>
    </row>
    <row r="33994">
      <c r="A33994" t="n">
        <v>33993</v>
      </c>
      <c r="B33994" t="inlineStr">
        <is>
          <t>x̄x̄x̄MMMCMXCIII</t>
        </is>
      </c>
      <c r="C33994">
        <f>ROMAN(33993)</f>
        <v/>
      </c>
      <c r="D33994">
        <f>IF(B33994=C33994, "YES", "WRONG")</f>
        <v/>
      </c>
    </row>
    <row r="33995">
      <c r="A33995" t="n">
        <v>33994</v>
      </c>
      <c r="B33995" t="inlineStr">
        <is>
          <t>x̄x̄x̄MMMCMXCIV</t>
        </is>
      </c>
      <c r="C33995">
        <f>ROMAN(33994)</f>
        <v/>
      </c>
      <c r="D33995">
        <f>IF(B33995=C33995, "YES", "WRONG")</f>
        <v/>
      </c>
    </row>
    <row r="33996">
      <c r="A33996" t="n">
        <v>33995</v>
      </c>
      <c r="B33996" t="inlineStr">
        <is>
          <t>x̄x̄x̄MMMCMXCV</t>
        </is>
      </c>
      <c r="C33996">
        <f>ROMAN(33995)</f>
        <v/>
      </c>
      <c r="D33996">
        <f>IF(B33996=C33996, "YES", "WRONG")</f>
        <v/>
      </c>
    </row>
    <row r="33997">
      <c r="A33997" t="n">
        <v>33996</v>
      </c>
      <c r="B33997" t="inlineStr">
        <is>
          <t>x̄x̄x̄MMMCMXCVI</t>
        </is>
      </c>
      <c r="C33997">
        <f>ROMAN(33996)</f>
        <v/>
      </c>
      <c r="D33997">
        <f>IF(B33997=C33997, "YES", "WRONG")</f>
        <v/>
      </c>
    </row>
    <row r="33998">
      <c r="A33998" t="n">
        <v>33997</v>
      </c>
      <c r="B33998" t="inlineStr">
        <is>
          <t>x̄x̄x̄MMMCMXCVII</t>
        </is>
      </c>
      <c r="C33998">
        <f>ROMAN(33997)</f>
        <v/>
      </c>
      <c r="D33998">
        <f>IF(B33998=C33998, "YES", "WRONG")</f>
        <v/>
      </c>
    </row>
    <row r="33999">
      <c r="A33999" t="n">
        <v>33998</v>
      </c>
      <c r="B33999" t="inlineStr">
        <is>
          <t>x̄x̄x̄MMMCMXCVIII</t>
        </is>
      </c>
      <c r="C33999">
        <f>ROMAN(33998)</f>
        <v/>
      </c>
      <c r="D33999">
        <f>IF(B33999=C33999, "YES", "WRONG")</f>
        <v/>
      </c>
    </row>
    <row r="34000">
      <c r="A34000" t="n">
        <v>33999</v>
      </c>
      <c r="B34000" t="inlineStr">
        <is>
          <t>x̄x̄x̄MMMCMXCIX</t>
        </is>
      </c>
      <c r="C34000">
        <f>ROMAN(33999)</f>
        <v/>
      </c>
      <c r="D34000">
        <f>IF(B34000=C34000, "YES", "WRONG")</f>
        <v/>
      </c>
    </row>
    <row r="34001">
      <c r="A34001" t="n">
        <v>34000</v>
      </c>
      <c r="B34001" t="inlineStr">
        <is>
          <t>x̄x̄x̄MV̅</t>
        </is>
      </c>
      <c r="C34001">
        <f>ROMAN(34000)</f>
        <v/>
      </c>
      <c r="D34001">
        <f>IF(B34001=C34001, "YES", "WRONG")</f>
        <v/>
      </c>
    </row>
    <row r="34002">
      <c r="A34002" t="n">
        <v>34001</v>
      </c>
      <c r="B34002" t="inlineStr">
        <is>
          <t>x̄x̄x̄MV̅I</t>
        </is>
      </c>
      <c r="C34002">
        <f>ROMAN(34001)</f>
        <v/>
      </c>
      <c r="D34002">
        <f>IF(B34002=C34002, "YES", "WRONG")</f>
        <v/>
      </c>
    </row>
    <row r="34003">
      <c r="A34003" t="n">
        <v>34002</v>
      </c>
      <c r="B34003" t="inlineStr">
        <is>
          <t>x̄x̄x̄MV̅II</t>
        </is>
      </c>
      <c r="C34003">
        <f>ROMAN(34002)</f>
        <v/>
      </c>
      <c r="D34003">
        <f>IF(B34003=C34003, "YES", "WRONG")</f>
        <v/>
      </c>
    </row>
    <row r="34004">
      <c r="A34004" t="n">
        <v>34003</v>
      </c>
      <c r="B34004" t="inlineStr">
        <is>
          <t>x̄x̄x̄MV̅III</t>
        </is>
      </c>
      <c r="C34004">
        <f>ROMAN(34003)</f>
        <v/>
      </c>
      <c r="D34004">
        <f>IF(B34004=C34004, "YES", "WRONG")</f>
        <v/>
      </c>
    </row>
    <row r="34005">
      <c r="A34005" t="n">
        <v>34004</v>
      </c>
      <c r="B34005" t="inlineStr">
        <is>
          <t>x̄x̄x̄MV̅IV</t>
        </is>
      </c>
      <c r="C34005">
        <f>ROMAN(34004)</f>
        <v/>
      </c>
      <c r="D34005">
        <f>IF(B34005=C34005, "YES", "WRONG")</f>
        <v/>
      </c>
    </row>
    <row r="34006">
      <c r="A34006" t="n">
        <v>34005</v>
      </c>
      <c r="B34006" t="inlineStr">
        <is>
          <t>x̄x̄x̄MV̅V</t>
        </is>
      </c>
      <c r="C34006">
        <f>ROMAN(34005)</f>
        <v/>
      </c>
      <c r="D34006">
        <f>IF(B34006=C34006, "YES", "WRONG")</f>
        <v/>
      </c>
    </row>
    <row r="34007">
      <c r="A34007" t="n">
        <v>34006</v>
      </c>
      <c r="B34007" t="inlineStr">
        <is>
          <t>x̄x̄x̄MV̅VI</t>
        </is>
      </c>
      <c r="C34007">
        <f>ROMAN(34006)</f>
        <v/>
      </c>
      <c r="D34007">
        <f>IF(B34007=C34007, "YES", "WRONG")</f>
        <v/>
      </c>
    </row>
    <row r="34008">
      <c r="A34008" t="n">
        <v>34007</v>
      </c>
      <c r="B34008" t="inlineStr">
        <is>
          <t>x̄x̄x̄MV̅VII</t>
        </is>
      </c>
      <c r="C34008">
        <f>ROMAN(34007)</f>
        <v/>
      </c>
      <c r="D34008">
        <f>IF(B34008=C34008, "YES", "WRONG")</f>
        <v/>
      </c>
    </row>
    <row r="34009">
      <c r="A34009" t="n">
        <v>34008</v>
      </c>
      <c r="B34009" t="inlineStr">
        <is>
          <t>x̄x̄x̄MV̅VIII</t>
        </is>
      </c>
      <c r="C34009">
        <f>ROMAN(34008)</f>
        <v/>
      </c>
      <c r="D34009">
        <f>IF(B34009=C34009, "YES", "WRONG")</f>
        <v/>
      </c>
    </row>
    <row r="34010">
      <c r="A34010" t="n">
        <v>34009</v>
      </c>
      <c r="B34010" t="inlineStr">
        <is>
          <t>x̄x̄x̄MV̅IX</t>
        </is>
      </c>
      <c r="C34010">
        <f>ROMAN(34009)</f>
        <v/>
      </c>
      <c r="D34010">
        <f>IF(B34010=C34010, "YES", "WRONG")</f>
        <v/>
      </c>
    </row>
    <row r="34011">
      <c r="A34011" t="n">
        <v>34010</v>
      </c>
      <c r="B34011" t="inlineStr">
        <is>
          <t>x̄x̄x̄MV̅X</t>
        </is>
      </c>
      <c r="C34011">
        <f>ROMAN(34010)</f>
        <v/>
      </c>
      <c r="D34011">
        <f>IF(B34011=C34011, "YES", "WRONG")</f>
        <v/>
      </c>
    </row>
    <row r="34012">
      <c r="A34012" t="n">
        <v>34011</v>
      </c>
      <c r="B34012" t="inlineStr">
        <is>
          <t>x̄x̄x̄MV̅XI</t>
        </is>
      </c>
      <c r="C34012">
        <f>ROMAN(34011)</f>
        <v/>
      </c>
      <c r="D34012">
        <f>IF(B34012=C34012, "YES", "WRONG")</f>
        <v/>
      </c>
    </row>
    <row r="34013">
      <c r="A34013" t="n">
        <v>34012</v>
      </c>
      <c r="B34013" t="inlineStr">
        <is>
          <t>x̄x̄x̄MV̅XII</t>
        </is>
      </c>
      <c r="C34013">
        <f>ROMAN(34012)</f>
        <v/>
      </c>
      <c r="D34013">
        <f>IF(B34013=C34013, "YES", "WRONG")</f>
        <v/>
      </c>
    </row>
    <row r="34014">
      <c r="A34014" t="n">
        <v>34013</v>
      </c>
      <c r="B34014" t="inlineStr">
        <is>
          <t>x̄x̄x̄MV̅XIII</t>
        </is>
      </c>
      <c r="C34014">
        <f>ROMAN(34013)</f>
        <v/>
      </c>
      <c r="D34014">
        <f>IF(B34014=C34014, "YES", "WRONG")</f>
        <v/>
      </c>
    </row>
    <row r="34015">
      <c r="A34015" t="n">
        <v>34014</v>
      </c>
      <c r="B34015" t="inlineStr">
        <is>
          <t>x̄x̄x̄MV̅XIV</t>
        </is>
      </c>
      <c r="C34015">
        <f>ROMAN(34014)</f>
        <v/>
      </c>
      <c r="D34015">
        <f>IF(B34015=C34015, "YES", "WRONG")</f>
        <v/>
      </c>
    </row>
    <row r="34016">
      <c r="A34016" t="n">
        <v>34015</v>
      </c>
      <c r="B34016" t="inlineStr">
        <is>
          <t>x̄x̄x̄MV̅XV</t>
        </is>
      </c>
      <c r="C34016">
        <f>ROMAN(34015)</f>
        <v/>
      </c>
      <c r="D34016">
        <f>IF(B34016=C34016, "YES", "WRONG")</f>
        <v/>
      </c>
    </row>
    <row r="34017">
      <c r="A34017" t="n">
        <v>34016</v>
      </c>
      <c r="B34017" t="inlineStr">
        <is>
          <t>x̄x̄x̄MV̅XVI</t>
        </is>
      </c>
      <c r="C34017">
        <f>ROMAN(34016)</f>
        <v/>
      </c>
      <c r="D34017">
        <f>IF(B34017=C34017, "YES", "WRONG")</f>
        <v/>
      </c>
    </row>
    <row r="34018">
      <c r="A34018" t="n">
        <v>34017</v>
      </c>
      <c r="B34018" t="inlineStr">
        <is>
          <t>x̄x̄x̄MV̅XVII</t>
        </is>
      </c>
      <c r="C34018">
        <f>ROMAN(34017)</f>
        <v/>
      </c>
      <c r="D34018">
        <f>IF(B34018=C34018, "YES", "WRONG")</f>
        <v/>
      </c>
    </row>
    <row r="34019">
      <c r="A34019" t="n">
        <v>34018</v>
      </c>
      <c r="B34019" t="inlineStr">
        <is>
          <t>x̄x̄x̄MV̅XVIII</t>
        </is>
      </c>
      <c r="C34019">
        <f>ROMAN(34018)</f>
        <v/>
      </c>
      <c r="D34019">
        <f>IF(B34019=C34019, "YES", "WRONG")</f>
        <v/>
      </c>
    </row>
    <row r="34020">
      <c r="A34020" t="n">
        <v>34019</v>
      </c>
      <c r="B34020" t="inlineStr">
        <is>
          <t>x̄x̄x̄MV̅XIX</t>
        </is>
      </c>
      <c r="C34020">
        <f>ROMAN(34019)</f>
        <v/>
      </c>
      <c r="D34020">
        <f>IF(B34020=C34020, "YES", "WRONG")</f>
        <v/>
      </c>
    </row>
    <row r="34021">
      <c r="A34021" t="n">
        <v>34020</v>
      </c>
      <c r="B34021" t="inlineStr">
        <is>
          <t>x̄x̄x̄MV̅XX</t>
        </is>
      </c>
      <c r="C34021">
        <f>ROMAN(34020)</f>
        <v/>
      </c>
      <c r="D34021">
        <f>IF(B34021=C34021, "YES", "WRONG")</f>
        <v/>
      </c>
    </row>
    <row r="34022">
      <c r="A34022" t="n">
        <v>34021</v>
      </c>
      <c r="B34022" t="inlineStr">
        <is>
          <t>x̄x̄x̄MV̅XXI</t>
        </is>
      </c>
      <c r="C34022">
        <f>ROMAN(34021)</f>
        <v/>
      </c>
      <c r="D34022">
        <f>IF(B34022=C34022, "YES", "WRONG")</f>
        <v/>
      </c>
    </row>
    <row r="34023">
      <c r="A34023" t="n">
        <v>34022</v>
      </c>
      <c r="B34023" t="inlineStr">
        <is>
          <t>x̄x̄x̄MV̅XXII</t>
        </is>
      </c>
      <c r="C34023">
        <f>ROMAN(34022)</f>
        <v/>
      </c>
      <c r="D34023">
        <f>IF(B34023=C34023, "YES", "WRONG")</f>
        <v/>
      </c>
    </row>
    <row r="34024">
      <c r="A34024" t="n">
        <v>34023</v>
      </c>
      <c r="B34024" t="inlineStr">
        <is>
          <t>x̄x̄x̄MV̅XXIII</t>
        </is>
      </c>
      <c r="C34024">
        <f>ROMAN(34023)</f>
        <v/>
      </c>
      <c r="D34024">
        <f>IF(B34024=C34024, "YES", "WRONG")</f>
        <v/>
      </c>
    </row>
    <row r="34025">
      <c r="A34025" t="n">
        <v>34024</v>
      </c>
      <c r="B34025" t="inlineStr">
        <is>
          <t>x̄x̄x̄MV̅XXIV</t>
        </is>
      </c>
      <c r="C34025">
        <f>ROMAN(34024)</f>
        <v/>
      </c>
      <c r="D34025">
        <f>IF(B34025=C34025, "YES", "WRONG")</f>
        <v/>
      </c>
    </row>
    <row r="34026">
      <c r="A34026" t="n">
        <v>34025</v>
      </c>
      <c r="B34026" t="inlineStr">
        <is>
          <t>x̄x̄x̄MV̅XXV</t>
        </is>
      </c>
      <c r="C34026">
        <f>ROMAN(34025)</f>
        <v/>
      </c>
      <c r="D34026">
        <f>IF(B34026=C34026, "YES", "WRONG")</f>
        <v/>
      </c>
    </row>
    <row r="34027">
      <c r="A34027" t="n">
        <v>34026</v>
      </c>
      <c r="B34027" t="inlineStr">
        <is>
          <t>x̄x̄x̄MV̅XXVI</t>
        </is>
      </c>
      <c r="C34027">
        <f>ROMAN(34026)</f>
        <v/>
      </c>
      <c r="D34027">
        <f>IF(B34027=C34027, "YES", "WRONG")</f>
        <v/>
      </c>
    </row>
    <row r="34028">
      <c r="A34028" t="n">
        <v>34027</v>
      </c>
      <c r="B34028" t="inlineStr">
        <is>
          <t>x̄x̄x̄MV̅XXVII</t>
        </is>
      </c>
      <c r="C34028">
        <f>ROMAN(34027)</f>
        <v/>
      </c>
      <c r="D34028">
        <f>IF(B34028=C34028, "YES", "WRONG")</f>
        <v/>
      </c>
    </row>
    <row r="34029">
      <c r="A34029" t="n">
        <v>34028</v>
      </c>
      <c r="B34029" t="inlineStr">
        <is>
          <t>x̄x̄x̄MV̅XXVIII</t>
        </is>
      </c>
      <c r="C34029">
        <f>ROMAN(34028)</f>
        <v/>
      </c>
      <c r="D34029">
        <f>IF(B34029=C34029, "YES", "WRONG")</f>
        <v/>
      </c>
    </row>
    <row r="34030">
      <c r="A34030" t="n">
        <v>34029</v>
      </c>
      <c r="B34030" t="inlineStr">
        <is>
          <t>x̄x̄x̄MV̅XXIX</t>
        </is>
      </c>
      <c r="C34030">
        <f>ROMAN(34029)</f>
        <v/>
      </c>
      <c r="D34030">
        <f>IF(B34030=C34030, "YES", "WRONG")</f>
        <v/>
      </c>
    </row>
    <row r="34031">
      <c r="A34031" t="n">
        <v>34030</v>
      </c>
      <c r="B34031" t="inlineStr">
        <is>
          <t>x̄x̄x̄MV̅XXX</t>
        </is>
      </c>
      <c r="C34031">
        <f>ROMAN(34030)</f>
        <v/>
      </c>
      <c r="D34031">
        <f>IF(B34031=C34031, "YES", "WRONG")</f>
        <v/>
      </c>
    </row>
    <row r="34032">
      <c r="A34032" t="n">
        <v>34031</v>
      </c>
      <c r="B34032" t="inlineStr">
        <is>
          <t>x̄x̄x̄MV̅XXXI</t>
        </is>
      </c>
      <c r="C34032">
        <f>ROMAN(34031)</f>
        <v/>
      </c>
      <c r="D34032">
        <f>IF(B34032=C34032, "YES", "WRONG")</f>
        <v/>
      </c>
    </row>
    <row r="34033">
      <c r="A34033" t="n">
        <v>34032</v>
      </c>
      <c r="B34033" t="inlineStr">
        <is>
          <t>x̄x̄x̄MV̅XXXII</t>
        </is>
      </c>
      <c r="C34033">
        <f>ROMAN(34032)</f>
        <v/>
      </c>
      <c r="D34033">
        <f>IF(B34033=C34033, "YES", "WRONG")</f>
        <v/>
      </c>
    </row>
    <row r="34034">
      <c r="A34034" t="n">
        <v>34033</v>
      </c>
      <c r="B34034" t="inlineStr">
        <is>
          <t>x̄x̄x̄MV̅XXXIII</t>
        </is>
      </c>
      <c r="C34034">
        <f>ROMAN(34033)</f>
        <v/>
      </c>
      <c r="D34034">
        <f>IF(B34034=C34034, "YES", "WRONG")</f>
        <v/>
      </c>
    </row>
    <row r="34035">
      <c r="A34035" t="n">
        <v>34034</v>
      </c>
      <c r="B34035" t="inlineStr">
        <is>
          <t>x̄x̄x̄MV̅XXXIV</t>
        </is>
      </c>
      <c r="C34035">
        <f>ROMAN(34034)</f>
        <v/>
      </c>
      <c r="D34035">
        <f>IF(B34035=C34035, "YES", "WRONG")</f>
        <v/>
      </c>
    </row>
    <row r="34036">
      <c r="A34036" t="n">
        <v>34035</v>
      </c>
      <c r="B34036" t="inlineStr">
        <is>
          <t>x̄x̄x̄MV̅XXXV</t>
        </is>
      </c>
      <c r="C34036">
        <f>ROMAN(34035)</f>
        <v/>
      </c>
      <c r="D34036">
        <f>IF(B34036=C34036, "YES", "WRONG")</f>
        <v/>
      </c>
    </row>
    <row r="34037">
      <c r="A34037" t="n">
        <v>34036</v>
      </c>
      <c r="B34037" t="inlineStr">
        <is>
          <t>x̄x̄x̄MV̅XXXVI</t>
        </is>
      </c>
      <c r="C34037">
        <f>ROMAN(34036)</f>
        <v/>
      </c>
      <c r="D34037">
        <f>IF(B34037=C34037, "YES", "WRONG")</f>
        <v/>
      </c>
    </row>
    <row r="34038">
      <c r="A34038" t="n">
        <v>34037</v>
      </c>
      <c r="B34038" t="inlineStr">
        <is>
          <t>x̄x̄x̄MV̅XXXVII</t>
        </is>
      </c>
      <c r="C34038">
        <f>ROMAN(34037)</f>
        <v/>
      </c>
      <c r="D34038">
        <f>IF(B34038=C34038, "YES", "WRONG")</f>
        <v/>
      </c>
    </row>
    <row r="34039">
      <c r="A34039" t="n">
        <v>34038</v>
      </c>
      <c r="B34039" t="inlineStr">
        <is>
          <t>x̄x̄x̄MV̅XXXVIII</t>
        </is>
      </c>
      <c r="C34039">
        <f>ROMAN(34038)</f>
        <v/>
      </c>
      <c r="D34039">
        <f>IF(B34039=C34039, "YES", "WRONG")</f>
        <v/>
      </c>
    </row>
    <row r="34040">
      <c r="A34040" t="n">
        <v>34039</v>
      </c>
      <c r="B34040" t="inlineStr">
        <is>
          <t>x̄x̄x̄MV̅XXXIX</t>
        </is>
      </c>
      <c r="C34040">
        <f>ROMAN(34039)</f>
        <v/>
      </c>
      <c r="D34040">
        <f>IF(B34040=C34040, "YES", "WRONG")</f>
        <v/>
      </c>
    </row>
    <row r="34041">
      <c r="A34041" t="n">
        <v>34040</v>
      </c>
      <c r="B34041" t="inlineStr">
        <is>
          <t>x̄x̄x̄MV̅XL</t>
        </is>
      </c>
      <c r="C34041">
        <f>ROMAN(34040)</f>
        <v/>
      </c>
      <c r="D34041">
        <f>IF(B34041=C34041, "YES", "WRONG")</f>
        <v/>
      </c>
    </row>
    <row r="34042">
      <c r="A34042" t="n">
        <v>34041</v>
      </c>
      <c r="B34042" t="inlineStr">
        <is>
          <t>x̄x̄x̄MV̅XLI</t>
        </is>
      </c>
      <c r="C34042">
        <f>ROMAN(34041)</f>
        <v/>
      </c>
      <c r="D34042">
        <f>IF(B34042=C34042, "YES", "WRONG")</f>
        <v/>
      </c>
    </row>
    <row r="34043">
      <c r="A34043" t="n">
        <v>34042</v>
      </c>
      <c r="B34043" t="inlineStr">
        <is>
          <t>x̄x̄x̄MV̅XLII</t>
        </is>
      </c>
      <c r="C34043">
        <f>ROMAN(34042)</f>
        <v/>
      </c>
      <c r="D34043">
        <f>IF(B34043=C34043, "YES", "WRONG")</f>
        <v/>
      </c>
    </row>
    <row r="34044">
      <c r="A34044" t="n">
        <v>34043</v>
      </c>
      <c r="B34044" t="inlineStr">
        <is>
          <t>x̄x̄x̄MV̅XLIII</t>
        </is>
      </c>
      <c r="C34044">
        <f>ROMAN(34043)</f>
        <v/>
      </c>
      <c r="D34044">
        <f>IF(B34044=C34044, "YES", "WRONG")</f>
        <v/>
      </c>
    </row>
    <row r="34045">
      <c r="A34045" t="n">
        <v>34044</v>
      </c>
      <c r="B34045" t="inlineStr">
        <is>
          <t>x̄x̄x̄MV̅XLIV</t>
        </is>
      </c>
      <c r="C34045">
        <f>ROMAN(34044)</f>
        <v/>
      </c>
      <c r="D34045">
        <f>IF(B34045=C34045, "YES", "WRONG")</f>
        <v/>
      </c>
    </row>
    <row r="34046">
      <c r="A34046" t="n">
        <v>34045</v>
      </c>
      <c r="B34046" t="inlineStr">
        <is>
          <t>x̄x̄x̄MV̅XLV</t>
        </is>
      </c>
      <c r="C34046">
        <f>ROMAN(34045)</f>
        <v/>
      </c>
      <c r="D34046">
        <f>IF(B34046=C34046, "YES", "WRONG")</f>
        <v/>
      </c>
    </row>
    <row r="34047">
      <c r="A34047" t="n">
        <v>34046</v>
      </c>
      <c r="B34047" t="inlineStr">
        <is>
          <t>x̄x̄x̄MV̅XLVI</t>
        </is>
      </c>
      <c r="C34047">
        <f>ROMAN(34046)</f>
        <v/>
      </c>
      <c r="D34047">
        <f>IF(B34047=C34047, "YES", "WRONG")</f>
        <v/>
      </c>
    </row>
    <row r="34048">
      <c r="A34048" t="n">
        <v>34047</v>
      </c>
      <c r="B34048" t="inlineStr">
        <is>
          <t>x̄x̄x̄MV̅XLVII</t>
        </is>
      </c>
      <c r="C34048">
        <f>ROMAN(34047)</f>
        <v/>
      </c>
      <c r="D34048">
        <f>IF(B34048=C34048, "YES", "WRONG")</f>
        <v/>
      </c>
    </row>
    <row r="34049">
      <c r="A34049" t="n">
        <v>34048</v>
      </c>
      <c r="B34049" t="inlineStr">
        <is>
          <t>x̄x̄x̄MV̅XLVIII</t>
        </is>
      </c>
      <c r="C34049">
        <f>ROMAN(34048)</f>
        <v/>
      </c>
      <c r="D34049">
        <f>IF(B34049=C34049, "YES", "WRONG")</f>
        <v/>
      </c>
    </row>
    <row r="34050">
      <c r="A34050" t="n">
        <v>34049</v>
      </c>
      <c r="B34050" t="inlineStr">
        <is>
          <t>x̄x̄x̄MV̅XLIX</t>
        </is>
      </c>
      <c r="C34050">
        <f>ROMAN(34049)</f>
        <v/>
      </c>
      <c r="D34050">
        <f>IF(B34050=C34050, "YES", "WRONG")</f>
        <v/>
      </c>
    </row>
    <row r="34051">
      <c r="A34051" t="n">
        <v>34050</v>
      </c>
      <c r="B34051" t="inlineStr">
        <is>
          <t>x̄x̄x̄MV̅L</t>
        </is>
      </c>
      <c r="C34051">
        <f>ROMAN(34050)</f>
        <v/>
      </c>
      <c r="D34051">
        <f>IF(B34051=C34051, "YES", "WRONG")</f>
        <v/>
      </c>
    </row>
    <row r="34052">
      <c r="A34052" t="n">
        <v>34051</v>
      </c>
      <c r="B34052" t="inlineStr">
        <is>
          <t>x̄x̄x̄MV̅LI</t>
        </is>
      </c>
      <c r="C34052">
        <f>ROMAN(34051)</f>
        <v/>
      </c>
      <c r="D34052">
        <f>IF(B34052=C34052, "YES", "WRONG")</f>
        <v/>
      </c>
    </row>
    <row r="34053">
      <c r="A34053" t="n">
        <v>34052</v>
      </c>
      <c r="B34053" t="inlineStr">
        <is>
          <t>x̄x̄x̄MV̅LII</t>
        </is>
      </c>
      <c r="C34053">
        <f>ROMAN(34052)</f>
        <v/>
      </c>
      <c r="D34053">
        <f>IF(B34053=C34053, "YES", "WRONG")</f>
        <v/>
      </c>
    </row>
    <row r="34054">
      <c r="A34054" t="n">
        <v>34053</v>
      </c>
      <c r="B34054" t="inlineStr">
        <is>
          <t>x̄x̄x̄MV̅LIII</t>
        </is>
      </c>
      <c r="C34054">
        <f>ROMAN(34053)</f>
        <v/>
      </c>
      <c r="D34054">
        <f>IF(B34054=C34054, "YES", "WRONG")</f>
        <v/>
      </c>
    </row>
    <row r="34055">
      <c r="A34055" t="n">
        <v>34054</v>
      </c>
      <c r="B34055" t="inlineStr">
        <is>
          <t>x̄x̄x̄MV̅LIV</t>
        </is>
      </c>
      <c r="C34055">
        <f>ROMAN(34054)</f>
        <v/>
      </c>
      <c r="D34055">
        <f>IF(B34055=C34055, "YES", "WRONG")</f>
        <v/>
      </c>
    </row>
    <row r="34056">
      <c r="A34056" t="n">
        <v>34055</v>
      </c>
      <c r="B34056" t="inlineStr">
        <is>
          <t>x̄x̄x̄MV̅LV</t>
        </is>
      </c>
      <c r="C34056">
        <f>ROMAN(34055)</f>
        <v/>
      </c>
      <c r="D34056">
        <f>IF(B34056=C34056, "YES", "WRONG")</f>
        <v/>
      </c>
    </row>
    <row r="34057">
      <c r="A34057" t="n">
        <v>34056</v>
      </c>
      <c r="B34057" t="inlineStr">
        <is>
          <t>x̄x̄x̄MV̅LVI</t>
        </is>
      </c>
      <c r="C34057">
        <f>ROMAN(34056)</f>
        <v/>
      </c>
      <c r="D34057">
        <f>IF(B34057=C34057, "YES", "WRONG")</f>
        <v/>
      </c>
    </row>
    <row r="34058">
      <c r="A34058" t="n">
        <v>34057</v>
      </c>
      <c r="B34058" t="inlineStr">
        <is>
          <t>x̄x̄x̄MV̅LVII</t>
        </is>
      </c>
      <c r="C34058">
        <f>ROMAN(34057)</f>
        <v/>
      </c>
      <c r="D34058">
        <f>IF(B34058=C34058, "YES", "WRONG")</f>
        <v/>
      </c>
    </row>
    <row r="34059">
      <c r="A34059" t="n">
        <v>34058</v>
      </c>
      <c r="B34059" t="inlineStr">
        <is>
          <t>x̄x̄x̄MV̅LVIII</t>
        </is>
      </c>
      <c r="C34059">
        <f>ROMAN(34058)</f>
        <v/>
      </c>
      <c r="D34059">
        <f>IF(B34059=C34059, "YES", "WRONG")</f>
        <v/>
      </c>
    </row>
    <row r="34060">
      <c r="A34060" t="n">
        <v>34059</v>
      </c>
      <c r="B34060" t="inlineStr">
        <is>
          <t>x̄x̄x̄MV̅LIX</t>
        </is>
      </c>
      <c r="C34060">
        <f>ROMAN(34059)</f>
        <v/>
      </c>
      <c r="D34060">
        <f>IF(B34060=C34060, "YES", "WRONG")</f>
        <v/>
      </c>
    </row>
    <row r="34061">
      <c r="A34061" t="n">
        <v>34060</v>
      </c>
      <c r="B34061" t="inlineStr">
        <is>
          <t>x̄x̄x̄MV̅LX</t>
        </is>
      </c>
      <c r="C34061">
        <f>ROMAN(34060)</f>
        <v/>
      </c>
      <c r="D34061">
        <f>IF(B34061=C34061, "YES", "WRONG")</f>
        <v/>
      </c>
    </row>
    <row r="34062">
      <c r="A34062" t="n">
        <v>34061</v>
      </c>
      <c r="B34062" t="inlineStr">
        <is>
          <t>x̄x̄x̄MV̅LXI</t>
        </is>
      </c>
      <c r="C34062">
        <f>ROMAN(34061)</f>
        <v/>
      </c>
      <c r="D34062">
        <f>IF(B34062=C34062, "YES", "WRONG")</f>
        <v/>
      </c>
    </row>
    <row r="34063">
      <c r="A34063" t="n">
        <v>34062</v>
      </c>
      <c r="B34063" t="inlineStr">
        <is>
          <t>x̄x̄x̄MV̅LXII</t>
        </is>
      </c>
      <c r="C34063">
        <f>ROMAN(34062)</f>
        <v/>
      </c>
      <c r="D34063">
        <f>IF(B34063=C34063, "YES", "WRONG")</f>
        <v/>
      </c>
    </row>
    <row r="34064">
      <c r="A34064" t="n">
        <v>34063</v>
      </c>
      <c r="B34064" t="inlineStr">
        <is>
          <t>x̄x̄x̄MV̅LXIII</t>
        </is>
      </c>
      <c r="C34064">
        <f>ROMAN(34063)</f>
        <v/>
      </c>
      <c r="D34064">
        <f>IF(B34064=C34064, "YES", "WRONG")</f>
        <v/>
      </c>
    </row>
    <row r="34065">
      <c r="A34065" t="n">
        <v>34064</v>
      </c>
      <c r="B34065" t="inlineStr">
        <is>
          <t>x̄x̄x̄MV̅LXIV</t>
        </is>
      </c>
      <c r="C34065">
        <f>ROMAN(34064)</f>
        <v/>
      </c>
      <c r="D34065">
        <f>IF(B34065=C34065, "YES", "WRONG")</f>
        <v/>
      </c>
    </row>
    <row r="34066">
      <c r="A34066" t="n">
        <v>34065</v>
      </c>
      <c r="B34066" t="inlineStr">
        <is>
          <t>x̄x̄x̄MV̅LXV</t>
        </is>
      </c>
      <c r="C34066">
        <f>ROMAN(34065)</f>
        <v/>
      </c>
      <c r="D34066">
        <f>IF(B34066=C34066, "YES", "WRONG")</f>
        <v/>
      </c>
    </row>
    <row r="34067">
      <c r="A34067" t="n">
        <v>34066</v>
      </c>
      <c r="B34067" t="inlineStr">
        <is>
          <t>x̄x̄x̄MV̅LXVI</t>
        </is>
      </c>
      <c r="C34067">
        <f>ROMAN(34066)</f>
        <v/>
      </c>
      <c r="D34067">
        <f>IF(B34067=C34067, "YES", "WRONG")</f>
        <v/>
      </c>
    </row>
    <row r="34068">
      <c r="A34068" t="n">
        <v>34067</v>
      </c>
      <c r="B34068" t="inlineStr">
        <is>
          <t>x̄x̄x̄MV̅LXVII</t>
        </is>
      </c>
      <c r="C34068">
        <f>ROMAN(34067)</f>
        <v/>
      </c>
      <c r="D34068">
        <f>IF(B34068=C34068, "YES", "WRONG")</f>
        <v/>
      </c>
    </row>
    <row r="34069">
      <c r="A34069" t="n">
        <v>34068</v>
      </c>
      <c r="B34069" t="inlineStr">
        <is>
          <t>x̄x̄x̄MV̅LXVIII</t>
        </is>
      </c>
      <c r="C34069">
        <f>ROMAN(34068)</f>
        <v/>
      </c>
      <c r="D34069">
        <f>IF(B34069=C34069, "YES", "WRONG")</f>
        <v/>
      </c>
    </row>
    <row r="34070">
      <c r="A34070" t="n">
        <v>34069</v>
      </c>
      <c r="B34070" t="inlineStr">
        <is>
          <t>x̄x̄x̄MV̅LXIX</t>
        </is>
      </c>
      <c r="C34070">
        <f>ROMAN(34069)</f>
        <v/>
      </c>
      <c r="D34070">
        <f>IF(B34070=C34070, "YES", "WRONG")</f>
        <v/>
      </c>
    </row>
    <row r="34071">
      <c r="A34071" t="n">
        <v>34070</v>
      </c>
      <c r="B34071" t="inlineStr">
        <is>
          <t>x̄x̄x̄MV̅LXX</t>
        </is>
      </c>
      <c r="C34071">
        <f>ROMAN(34070)</f>
        <v/>
      </c>
      <c r="D34071">
        <f>IF(B34071=C34071, "YES", "WRONG")</f>
        <v/>
      </c>
    </row>
    <row r="34072">
      <c r="A34072" t="n">
        <v>34071</v>
      </c>
      <c r="B34072" t="inlineStr">
        <is>
          <t>x̄x̄x̄MV̅LXXI</t>
        </is>
      </c>
      <c r="C34072">
        <f>ROMAN(34071)</f>
        <v/>
      </c>
      <c r="D34072">
        <f>IF(B34072=C34072, "YES", "WRONG")</f>
        <v/>
      </c>
    </row>
    <row r="34073">
      <c r="A34073" t="n">
        <v>34072</v>
      </c>
      <c r="B34073" t="inlineStr">
        <is>
          <t>x̄x̄x̄MV̅LXXII</t>
        </is>
      </c>
      <c r="C34073">
        <f>ROMAN(34072)</f>
        <v/>
      </c>
      <c r="D34073">
        <f>IF(B34073=C34073, "YES", "WRONG")</f>
        <v/>
      </c>
    </row>
    <row r="34074">
      <c r="A34074" t="n">
        <v>34073</v>
      </c>
      <c r="B34074" t="inlineStr">
        <is>
          <t>x̄x̄x̄MV̅LXXIII</t>
        </is>
      </c>
      <c r="C34074">
        <f>ROMAN(34073)</f>
        <v/>
      </c>
      <c r="D34074">
        <f>IF(B34074=C34074, "YES", "WRONG")</f>
        <v/>
      </c>
    </row>
    <row r="34075">
      <c r="A34075" t="n">
        <v>34074</v>
      </c>
      <c r="B34075" t="inlineStr">
        <is>
          <t>x̄x̄x̄MV̅LXXIV</t>
        </is>
      </c>
      <c r="C34075">
        <f>ROMAN(34074)</f>
        <v/>
      </c>
      <c r="D34075">
        <f>IF(B34075=C34075, "YES", "WRONG")</f>
        <v/>
      </c>
    </row>
    <row r="34076">
      <c r="A34076" t="n">
        <v>34075</v>
      </c>
      <c r="B34076" t="inlineStr">
        <is>
          <t>x̄x̄x̄MV̅LXXV</t>
        </is>
      </c>
      <c r="C34076">
        <f>ROMAN(34075)</f>
        <v/>
      </c>
      <c r="D34076">
        <f>IF(B34076=C34076, "YES", "WRONG")</f>
        <v/>
      </c>
    </row>
    <row r="34077">
      <c r="A34077" t="n">
        <v>34076</v>
      </c>
      <c r="B34077" t="inlineStr">
        <is>
          <t>x̄x̄x̄MV̅LXXVI</t>
        </is>
      </c>
      <c r="C34077">
        <f>ROMAN(34076)</f>
        <v/>
      </c>
      <c r="D34077">
        <f>IF(B34077=C34077, "YES", "WRONG")</f>
        <v/>
      </c>
    </row>
    <row r="34078">
      <c r="A34078" t="n">
        <v>34077</v>
      </c>
      <c r="B34078" t="inlineStr">
        <is>
          <t>x̄x̄x̄MV̅LXXVII</t>
        </is>
      </c>
      <c r="C34078">
        <f>ROMAN(34077)</f>
        <v/>
      </c>
      <c r="D34078">
        <f>IF(B34078=C34078, "YES", "WRONG")</f>
        <v/>
      </c>
    </row>
    <row r="34079">
      <c r="A34079" t="n">
        <v>34078</v>
      </c>
      <c r="B34079" t="inlineStr">
        <is>
          <t>x̄x̄x̄MV̅LXXVIII</t>
        </is>
      </c>
      <c r="C34079">
        <f>ROMAN(34078)</f>
        <v/>
      </c>
      <c r="D34079">
        <f>IF(B34079=C34079, "YES", "WRONG")</f>
        <v/>
      </c>
    </row>
    <row r="34080">
      <c r="A34080" t="n">
        <v>34079</v>
      </c>
      <c r="B34080" t="inlineStr">
        <is>
          <t>x̄x̄x̄MV̅LXXIX</t>
        </is>
      </c>
      <c r="C34080">
        <f>ROMAN(34079)</f>
        <v/>
      </c>
      <c r="D34080">
        <f>IF(B34080=C34080, "YES", "WRONG")</f>
        <v/>
      </c>
    </row>
    <row r="34081">
      <c r="A34081" t="n">
        <v>34080</v>
      </c>
      <c r="B34081" t="inlineStr">
        <is>
          <t>x̄x̄x̄MV̅LXXX</t>
        </is>
      </c>
      <c r="C34081">
        <f>ROMAN(34080)</f>
        <v/>
      </c>
      <c r="D34081">
        <f>IF(B34081=C34081, "YES", "WRONG")</f>
        <v/>
      </c>
    </row>
    <row r="34082">
      <c r="A34082" t="n">
        <v>34081</v>
      </c>
      <c r="B34082" t="inlineStr">
        <is>
          <t>x̄x̄x̄MV̅LXXXI</t>
        </is>
      </c>
      <c r="C34082">
        <f>ROMAN(34081)</f>
        <v/>
      </c>
      <c r="D34082">
        <f>IF(B34082=C34082, "YES", "WRONG")</f>
        <v/>
      </c>
    </row>
    <row r="34083">
      <c r="A34083" t="n">
        <v>34082</v>
      </c>
      <c r="B34083" t="inlineStr">
        <is>
          <t>x̄x̄x̄MV̅LXXXII</t>
        </is>
      </c>
      <c r="C34083">
        <f>ROMAN(34082)</f>
        <v/>
      </c>
      <c r="D34083">
        <f>IF(B34083=C34083, "YES", "WRONG")</f>
        <v/>
      </c>
    </row>
    <row r="34084">
      <c r="A34084" t="n">
        <v>34083</v>
      </c>
      <c r="B34084" t="inlineStr">
        <is>
          <t>x̄x̄x̄MV̅LXXXIII</t>
        </is>
      </c>
      <c r="C34084">
        <f>ROMAN(34083)</f>
        <v/>
      </c>
      <c r="D34084">
        <f>IF(B34084=C34084, "YES", "WRONG")</f>
        <v/>
      </c>
    </row>
    <row r="34085">
      <c r="A34085" t="n">
        <v>34084</v>
      </c>
      <c r="B34085" t="inlineStr">
        <is>
          <t>x̄x̄x̄MV̅LXXXIV</t>
        </is>
      </c>
      <c r="C34085">
        <f>ROMAN(34084)</f>
        <v/>
      </c>
      <c r="D34085">
        <f>IF(B34085=C34085, "YES", "WRONG")</f>
        <v/>
      </c>
    </row>
    <row r="34086">
      <c r="A34086" t="n">
        <v>34085</v>
      </c>
      <c r="B34086" t="inlineStr">
        <is>
          <t>x̄x̄x̄MV̅LXXXV</t>
        </is>
      </c>
      <c r="C34086">
        <f>ROMAN(34085)</f>
        <v/>
      </c>
      <c r="D34086">
        <f>IF(B34086=C34086, "YES", "WRONG")</f>
        <v/>
      </c>
    </row>
    <row r="34087">
      <c r="A34087" t="n">
        <v>34086</v>
      </c>
      <c r="B34087" t="inlineStr">
        <is>
          <t>x̄x̄x̄MV̅LXXXVI</t>
        </is>
      </c>
      <c r="C34087">
        <f>ROMAN(34086)</f>
        <v/>
      </c>
      <c r="D34087">
        <f>IF(B34087=C34087, "YES", "WRONG")</f>
        <v/>
      </c>
    </row>
    <row r="34088">
      <c r="A34088" t="n">
        <v>34087</v>
      </c>
      <c r="B34088" t="inlineStr">
        <is>
          <t>x̄x̄x̄MV̅LXXXVII</t>
        </is>
      </c>
      <c r="C34088">
        <f>ROMAN(34087)</f>
        <v/>
      </c>
      <c r="D34088">
        <f>IF(B34088=C34088, "YES", "WRONG")</f>
        <v/>
      </c>
    </row>
    <row r="34089">
      <c r="A34089" t="n">
        <v>34088</v>
      </c>
      <c r="B34089" t="inlineStr">
        <is>
          <t>x̄x̄x̄MV̅LXXXVIII</t>
        </is>
      </c>
      <c r="C34089">
        <f>ROMAN(34088)</f>
        <v/>
      </c>
      <c r="D34089">
        <f>IF(B34089=C34089, "YES", "WRONG")</f>
        <v/>
      </c>
    </row>
    <row r="34090">
      <c r="A34090" t="n">
        <v>34089</v>
      </c>
      <c r="B34090" t="inlineStr">
        <is>
          <t>x̄x̄x̄MV̅LXXXIX</t>
        </is>
      </c>
      <c r="C34090">
        <f>ROMAN(34089)</f>
        <v/>
      </c>
      <c r="D34090">
        <f>IF(B34090=C34090, "YES", "WRONG")</f>
        <v/>
      </c>
    </row>
    <row r="34091">
      <c r="A34091" t="n">
        <v>34090</v>
      </c>
      <c r="B34091" t="inlineStr">
        <is>
          <t>x̄x̄x̄MV̅XC</t>
        </is>
      </c>
      <c r="C34091">
        <f>ROMAN(34090)</f>
        <v/>
      </c>
      <c r="D34091">
        <f>IF(B34091=C34091, "YES", "WRONG")</f>
        <v/>
      </c>
    </row>
    <row r="34092">
      <c r="A34092" t="n">
        <v>34091</v>
      </c>
      <c r="B34092" t="inlineStr">
        <is>
          <t>x̄x̄x̄MV̅XCI</t>
        </is>
      </c>
      <c r="C34092">
        <f>ROMAN(34091)</f>
        <v/>
      </c>
      <c r="D34092">
        <f>IF(B34092=C34092, "YES", "WRONG")</f>
        <v/>
      </c>
    </row>
    <row r="34093">
      <c r="A34093" t="n">
        <v>34092</v>
      </c>
      <c r="B34093" t="inlineStr">
        <is>
          <t>x̄x̄x̄MV̅XCII</t>
        </is>
      </c>
      <c r="C34093">
        <f>ROMAN(34092)</f>
        <v/>
      </c>
      <c r="D34093">
        <f>IF(B34093=C34093, "YES", "WRONG")</f>
        <v/>
      </c>
    </row>
    <row r="34094">
      <c r="A34094" t="n">
        <v>34093</v>
      </c>
      <c r="B34094" t="inlineStr">
        <is>
          <t>x̄x̄x̄MV̅XCIII</t>
        </is>
      </c>
      <c r="C34094">
        <f>ROMAN(34093)</f>
        <v/>
      </c>
      <c r="D34094">
        <f>IF(B34094=C34094, "YES", "WRONG")</f>
        <v/>
      </c>
    </row>
    <row r="34095">
      <c r="A34095" t="n">
        <v>34094</v>
      </c>
      <c r="B34095" t="inlineStr">
        <is>
          <t>x̄x̄x̄MV̅XCIV</t>
        </is>
      </c>
      <c r="C34095">
        <f>ROMAN(34094)</f>
        <v/>
      </c>
      <c r="D34095">
        <f>IF(B34095=C34095, "YES", "WRONG")</f>
        <v/>
      </c>
    </row>
    <row r="34096">
      <c r="A34096" t="n">
        <v>34095</v>
      </c>
      <c r="B34096" t="inlineStr">
        <is>
          <t>x̄x̄x̄MV̅XCV</t>
        </is>
      </c>
      <c r="C34096">
        <f>ROMAN(34095)</f>
        <v/>
      </c>
      <c r="D34096">
        <f>IF(B34096=C34096, "YES", "WRONG")</f>
        <v/>
      </c>
    </row>
    <row r="34097">
      <c r="A34097" t="n">
        <v>34096</v>
      </c>
      <c r="B34097" t="inlineStr">
        <is>
          <t>x̄x̄x̄MV̅XCVI</t>
        </is>
      </c>
      <c r="C34097">
        <f>ROMAN(34096)</f>
        <v/>
      </c>
      <c r="D34097">
        <f>IF(B34097=C34097, "YES", "WRONG")</f>
        <v/>
      </c>
    </row>
    <row r="34098">
      <c r="A34098" t="n">
        <v>34097</v>
      </c>
      <c r="B34098" t="inlineStr">
        <is>
          <t>x̄x̄x̄MV̅XCVII</t>
        </is>
      </c>
      <c r="C34098">
        <f>ROMAN(34097)</f>
        <v/>
      </c>
      <c r="D34098">
        <f>IF(B34098=C34098, "YES", "WRONG")</f>
        <v/>
      </c>
    </row>
    <row r="34099">
      <c r="A34099" t="n">
        <v>34098</v>
      </c>
      <c r="B34099" t="inlineStr">
        <is>
          <t>x̄x̄x̄MV̅XCVIII</t>
        </is>
      </c>
      <c r="C34099">
        <f>ROMAN(34098)</f>
        <v/>
      </c>
      <c r="D34099">
        <f>IF(B34099=C34099, "YES", "WRONG")</f>
        <v/>
      </c>
    </row>
    <row r="34100">
      <c r="A34100" t="n">
        <v>34099</v>
      </c>
      <c r="B34100" t="inlineStr">
        <is>
          <t>x̄x̄x̄MV̅XCIX</t>
        </is>
      </c>
      <c r="C34100">
        <f>ROMAN(34099)</f>
        <v/>
      </c>
      <c r="D34100">
        <f>IF(B34100=C34100, "YES", "WRONG")</f>
        <v/>
      </c>
    </row>
    <row r="34101">
      <c r="A34101" t="n">
        <v>34100</v>
      </c>
      <c r="B34101" t="inlineStr">
        <is>
          <t>x̄x̄x̄MV̅C</t>
        </is>
      </c>
      <c r="C34101">
        <f>ROMAN(34100)</f>
        <v/>
      </c>
      <c r="D34101">
        <f>IF(B34101=C34101, "YES", "WRONG")</f>
        <v/>
      </c>
    </row>
    <row r="34102">
      <c r="A34102" t="n">
        <v>34101</v>
      </c>
      <c r="B34102" t="inlineStr">
        <is>
          <t>x̄x̄x̄MV̅CI</t>
        </is>
      </c>
      <c r="C34102">
        <f>ROMAN(34101)</f>
        <v/>
      </c>
      <c r="D34102">
        <f>IF(B34102=C34102, "YES", "WRONG")</f>
        <v/>
      </c>
    </row>
    <row r="34103">
      <c r="A34103" t="n">
        <v>34102</v>
      </c>
      <c r="B34103" t="inlineStr">
        <is>
          <t>x̄x̄x̄MV̅CII</t>
        </is>
      </c>
      <c r="C34103">
        <f>ROMAN(34102)</f>
        <v/>
      </c>
      <c r="D34103">
        <f>IF(B34103=C34103, "YES", "WRONG")</f>
        <v/>
      </c>
    </row>
    <row r="34104">
      <c r="A34104" t="n">
        <v>34103</v>
      </c>
      <c r="B34104" t="inlineStr">
        <is>
          <t>x̄x̄x̄MV̅CIII</t>
        </is>
      </c>
      <c r="C34104">
        <f>ROMAN(34103)</f>
        <v/>
      </c>
      <c r="D34104">
        <f>IF(B34104=C34104, "YES", "WRONG")</f>
        <v/>
      </c>
    </row>
    <row r="34105">
      <c r="A34105" t="n">
        <v>34104</v>
      </c>
      <c r="B34105" t="inlineStr">
        <is>
          <t>x̄x̄x̄MV̅CIV</t>
        </is>
      </c>
      <c r="C34105">
        <f>ROMAN(34104)</f>
        <v/>
      </c>
      <c r="D34105">
        <f>IF(B34105=C34105, "YES", "WRONG")</f>
        <v/>
      </c>
    </row>
    <row r="34106">
      <c r="A34106" t="n">
        <v>34105</v>
      </c>
      <c r="B34106" t="inlineStr">
        <is>
          <t>x̄x̄x̄MV̅CV</t>
        </is>
      </c>
      <c r="C34106">
        <f>ROMAN(34105)</f>
        <v/>
      </c>
      <c r="D34106">
        <f>IF(B34106=C34106, "YES", "WRONG")</f>
        <v/>
      </c>
    </row>
    <row r="34107">
      <c r="A34107" t="n">
        <v>34106</v>
      </c>
      <c r="B34107" t="inlineStr">
        <is>
          <t>x̄x̄x̄MV̅CVI</t>
        </is>
      </c>
      <c r="C34107">
        <f>ROMAN(34106)</f>
        <v/>
      </c>
      <c r="D34107">
        <f>IF(B34107=C34107, "YES", "WRONG")</f>
        <v/>
      </c>
    </row>
    <row r="34108">
      <c r="A34108" t="n">
        <v>34107</v>
      </c>
      <c r="B34108" t="inlineStr">
        <is>
          <t>x̄x̄x̄MV̅CVII</t>
        </is>
      </c>
      <c r="C34108">
        <f>ROMAN(34107)</f>
        <v/>
      </c>
      <c r="D34108">
        <f>IF(B34108=C34108, "YES", "WRONG")</f>
        <v/>
      </c>
    </row>
    <row r="34109">
      <c r="A34109" t="n">
        <v>34108</v>
      </c>
      <c r="B34109" t="inlineStr">
        <is>
          <t>x̄x̄x̄MV̅CVIII</t>
        </is>
      </c>
      <c r="C34109">
        <f>ROMAN(34108)</f>
        <v/>
      </c>
      <c r="D34109">
        <f>IF(B34109=C34109, "YES", "WRONG")</f>
        <v/>
      </c>
    </row>
    <row r="34110">
      <c r="A34110" t="n">
        <v>34109</v>
      </c>
      <c r="B34110" t="inlineStr">
        <is>
          <t>x̄x̄x̄MV̅CIX</t>
        </is>
      </c>
      <c r="C34110">
        <f>ROMAN(34109)</f>
        <v/>
      </c>
      <c r="D34110">
        <f>IF(B34110=C34110, "YES", "WRONG")</f>
        <v/>
      </c>
    </row>
    <row r="34111">
      <c r="A34111" t="n">
        <v>34110</v>
      </c>
      <c r="B34111" t="inlineStr">
        <is>
          <t>x̄x̄x̄MV̅CX</t>
        </is>
      </c>
      <c r="C34111">
        <f>ROMAN(34110)</f>
        <v/>
      </c>
      <c r="D34111">
        <f>IF(B34111=C34111, "YES", "WRONG")</f>
        <v/>
      </c>
    </row>
    <row r="34112">
      <c r="A34112" t="n">
        <v>34111</v>
      </c>
      <c r="B34112" t="inlineStr">
        <is>
          <t>x̄x̄x̄MV̅CXI</t>
        </is>
      </c>
      <c r="C34112">
        <f>ROMAN(34111)</f>
        <v/>
      </c>
      <c r="D34112">
        <f>IF(B34112=C34112, "YES", "WRONG")</f>
        <v/>
      </c>
    </row>
    <row r="34113">
      <c r="A34113" t="n">
        <v>34112</v>
      </c>
      <c r="B34113" t="inlineStr">
        <is>
          <t>x̄x̄x̄MV̅CXII</t>
        </is>
      </c>
      <c r="C34113">
        <f>ROMAN(34112)</f>
        <v/>
      </c>
      <c r="D34113">
        <f>IF(B34113=C34113, "YES", "WRONG")</f>
        <v/>
      </c>
    </row>
    <row r="34114">
      <c r="A34114" t="n">
        <v>34113</v>
      </c>
      <c r="B34114" t="inlineStr">
        <is>
          <t>x̄x̄x̄MV̅CXIII</t>
        </is>
      </c>
      <c r="C34114">
        <f>ROMAN(34113)</f>
        <v/>
      </c>
      <c r="D34114">
        <f>IF(B34114=C34114, "YES", "WRONG")</f>
        <v/>
      </c>
    </row>
    <row r="34115">
      <c r="A34115" t="n">
        <v>34114</v>
      </c>
      <c r="B34115" t="inlineStr">
        <is>
          <t>x̄x̄x̄MV̅CXIV</t>
        </is>
      </c>
      <c r="C34115">
        <f>ROMAN(34114)</f>
        <v/>
      </c>
      <c r="D34115">
        <f>IF(B34115=C34115, "YES", "WRONG")</f>
        <v/>
      </c>
    </row>
    <row r="34116">
      <c r="A34116" t="n">
        <v>34115</v>
      </c>
      <c r="B34116" t="inlineStr">
        <is>
          <t>x̄x̄x̄MV̅CXV</t>
        </is>
      </c>
      <c r="C34116">
        <f>ROMAN(34115)</f>
        <v/>
      </c>
      <c r="D34116">
        <f>IF(B34116=C34116, "YES", "WRONG")</f>
        <v/>
      </c>
    </row>
    <row r="34117">
      <c r="A34117" t="n">
        <v>34116</v>
      </c>
      <c r="B34117" t="inlineStr">
        <is>
          <t>x̄x̄x̄MV̅CXVI</t>
        </is>
      </c>
      <c r="C34117">
        <f>ROMAN(34116)</f>
        <v/>
      </c>
      <c r="D34117">
        <f>IF(B34117=C34117, "YES", "WRONG")</f>
        <v/>
      </c>
    </row>
    <row r="34118">
      <c r="A34118" t="n">
        <v>34117</v>
      </c>
      <c r="B34118" t="inlineStr">
        <is>
          <t>x̄x̄x̄MV̅CXVII</t>
        </is>
      </c>
      <c r="C34118">
        <f>ROMAN(34117)</f>
        <v/>
      </c>
      <c r="D34118">
        <f>IF(B34118=C34118, "YES", "WRONG")</f>
        <v/>
      </c>
    </row>
    <row r="34119">
      <c r="A34119" t="n">
        <v>34118</v>
      </c>
      <c r="B34119" t="inlineStr">
        <is>
          <t>x̄x̄x̄MV̅CXVIII</t>
        </is>
      </c>
      <c r="C34119">
        <f>ROMAN(34118)</f>
        <v/>
      </c>
      <c r="D34119">
        <f>IF(B34119=C34119, "YES", "WRONG")</f>
        <v/>
      </c>
    </row>
    <row r="34120">
      <c r="A34120" t="n">
        <v>34119</v>
      </c>
      <c r="B34120" t="inlineStr">
        <is>
          <t>x̄x̄x̄MV̅CXIX</t>
        </is>
      </c>
      <c r="C34120">
        <f>ROMAN(34119)</f>
        <v/>
      </c>
      <c r="D34120">
        <f>IF(B34120=C34120, "YES", "WRONG")</f>
        <v/>
      </c>
    </row>
    <row r="34121">
      <c r="A34121" t="n">
        <v>34120</v>
      </c>
      <c r="B34121" t="inlineStr">
        <is>
          <t>x̄x̄x̄MV̅CXX</t>
        </is>
      </c>
      <c r="C34121">
        <f>ROMAN(34120)</f>
        <v/>
      </c>
      <c r="D34121">
        <f>IF(B34121=C34121, "YES", "WRONG")</f>
        <v/>
      </c>
    </row>
    <row r="34122">
      <c r="A34122" t="n">
        <v>34121</v>
      </c>
      <c r="B34122" t="inlineStr">
        <is>
          <t>x̄x̄x̄MV̅CXXI</t>
        </is>
      </c>
      <c r="C34122">
        <f>ROMAN(34121)</f>
        <v/>
      </c>
      <c r="D34122">
        <f>IF(B34122=C34122, "YES", "WRONG")</f>
        <v/>
      </c>
    </row>
    <row r="34123">
      <c r="A34123" t="n">
        <v>34122</v>
      </c>
      <c r="B34123" t="inlineStr">
        <is>
          <t>x̄x̄x̄MV̅CXXII</t>
        </is>
      </c>
      <c r="C34123">
        <f>ROMAN(34122)</f>
        <v/>
      </c>
      <c r="D34123">
        <f>IF(B34123=C34123, "YES", "WRONG")</f>
        <v/>
      </c>
    </row>
    <row r="34124">
      <c r="A34124" t="n">
        <v>34123</v>
      </c>
      <c r="B34124" t="inlineStr">
        <is>
          <t>x̄x̄x̄MV̅CXXIII</t>
        </is>
      </c>
      <c r="C34124">
        <f>ROMAN(34123)</f>
        <v/>
      </c>
      <c r="D34124">
        <f>IF(B34124=C34124, "YES", "WRONG")</f>
        <v/>
      </c>
    </row>
    <row r="34125">
      <c r="A34125" t="n">
        <v>34124</v>
      </c>
      <c r="B34125" t="inlineStr">
        <is>
          <t>x̄x̄x̄MV̅CXXIV</t>
        </is>
      </c>
      <c r="C34125">
        <f>ROMAN(34124)</f>
        <v/>
      </c>
      <c r="D34125">
        <f>IF(B34125=C34125, "YES", "WRONG")</f>
        <v/>
      </c>
    </row>
    <row r="34126">
      <c r="A34126" t="n">
        <v>34125</v>
      </c>
      <c r="B34126" t="inlineStr">
        <is>
          <t>x̄x̄x̄MV̅CXXV</t>
        </is>
      </c>
      <c r="C34126">
        <f>ROMAN(34125)</f>
        <v/>
      </c>
      <c r="D34126">
        <f>IF(B34126=C34126, "YES", "WRONG")</f>
        <v/>
      </c>
    </row>
    <row r="34127">
      <c r="A34127" t="n">
        <v>34126</v>
      </c>
      <c r="B34127" t="inlineStr">
        <is>
          <t>x̄x̄x̄MV̅CXXVI</t>
        </is>
      </c>
      <c r="C34127">
        <f>ROMAN(34126)</f>
        <v/>
      </c>
      <c r="D34127">
        <f>IF(B34127=C34127, "YES", "WRONG")</f>
        <v/>
      </c>
    </row>
    <row r="34128">
      <c r="A34128" t="n">
        <v>34127</v>
      </c>
      <c r="B34128" t="inlineStr">
        <is>
          <t>x̄x̄x̄MV̅CXXVII</t>
        </is>
      </c>
      <c r="C34128">
        <f>ROMAN(34127)</f>
        <v/>
      </c>
      <c r="D34128">
        <f>IF(B34128=C34128, "YES", "WRONG")</f>
        <v/>
      </c>
    </row>
    <row r="34129">
      <c r="A34129" t="n">
        <v>34128</v>
      </c>
      <c r="B34129" t="inlineStr">
        <is>
          <t>x̄x̄x̄MV̅CXXVIII</t>
        </is>
      </c>
      <c r="C34129">
        <f>ROMAN(34128)</f>
        <v/>
      </c>
      <c r="D34129">
        <f>IF(B34129=C34129, "YES", "WRONG")</f>
        <v/>
      </c>
    </row>
    <row r="34130">
      <c r="A34130" t="n">
        <v>34129</v>
      </c>
      <c r="B34130" t="inlineStr">
        <is>
          <t>x̄x̄x̄MV̅CXXIX</t>
        </is>
      </c>
      <c r="C34130">
        <f>ROMAN(34129)</f>
        <v/>
      </c>
      <c r="D34130">
        <f>IF(B34130=C34130, "YES", "WRONG")</f>
        <v/>
      </c>
    </row>
    <row r="34131">
      <c r="A34131" t="n">
        <v>34130</v>
      </c>
      <c r="B34131" t="inlineStr">
        <is>
          <t>x̄x̄x̄MV̅CXXX</t>
        </is>
      </c>
      <c r="C34131">
        <f>ROMAN(34130)</f>
        <v/>
      </c>
      <c r="D34131">
        <f>IF(B34131=C34131, "YES", "WRONG")</f>
        <v/>
      </c>
    </row>
    <row r="34132">
      <c r="A34132" t="n">
        <v>34131</v>
      </c>
      <c r="B34132" t="inlineStr">
        <is>
          <t>x̄x̄x̄MV̅CXXXI</t>
        </is>
      </c>
      <c r="C34132">
        <f>ROMAN(34131)</f>
        <v/>
      </c>
      <c r="D34132">
        <f>IF(B34132=C34132, "YES", "WRONG")</f>
        <v/>
      </c>
    </row>
    <row r="34133">
      <c r="A34133" t="n">
        <v>34132</v>
      </c>
      <c r="B34133" t="inlineStr">
        <is>
          <t>x̄x̄x̄MV̅CXXXII</t>
        </is>
      </c>
      <c r="C34133">
        <f>ROMAN(34132)</f>
        <v/>
      </c>
      <c r="D34133">
        <f>IF(B34133=C34133, "YES", "WRONG")</f>
        <v/>
      </c>
    </row>
    <row r="34134">
      <c r="A34134" t="n">
        <v>34133</v>
      </c>
      <c r="B34134" t="inlineStr">
        <is>
          <t>x̄x̄x̄MV̅CXXXIII</t>
        </is>
      </c>
      <c r="C34134">
        <f>ROMAN(34133)</f>
        <v/>
      </c>
      <c r="D34134">
        <f>IF(B34134=C34134, "YES", "WRONG")</f>
        <v/>
      </c>
    </row>
    <row r="34135">
      <c r="A34135" t="n">
        <v>34134</v>
      </c>
      <c r="B34135" t="inlineStr">
        <is>
          <t>x̄x̄x̄MV̅CXXXIV</t>
        </is>
      </c>
      <c r="C34135">
        <f>ROMAN(34134)</f>
        <v/>
      </c>
      <c r="D34135">
        <f>IF(B34135=C34135, "YES", "WRONG")</f>
        <v/>
      </c>
    </row>
    <row r="34136">
      <c r="A34136" t="n">
        <v>34135</v>
      </c>
      <c r="B34136" t="inlineStr">
        <is>
          <t>x̄x̄x̄MV̅CXXXV</t>
        </is>
      </c>
      <c r="C34136">
        <f>ROMAN(34135)</f>
        <v/>
      </c>
      <c r="D34136">
        <f>IF(B34136=C34136, "YES", "WRONG")</f>
        <v/>
      </c>
    </row>
    <row r="34137">
      <c r="A34137" t="n">
        <v>34136</v>
      </c>
      <c r="B34137" t="inlineStr">
        <is>
          <t>x̄x̄x̄MV̅CXXXVI</t>
        </is>
      </c>
      <c r="C34137">
        <f>ROMAN(34136)</f>
        <v/>
      </c>
      <c r="D34137">
        <f>IF(B34137=C34137, "YES", "WRONG")</f>
        <v/>
      </c>
    </row>
    <row r="34138">
      <c r="A34138" t="n">
        <v>34137</v>
      </c>
      <c r="B34138" t="inlineStr">
        <is>
          <t>x̄x̄x̄MV̅CXXXVII</t>
        </is>
      </c>
      <c r="C34138">
        <f>ROMAN(34137)</f>
        <v/>
      </c>
      <c r="D34138">
        <f>IF(B34138=C34138, "YES", "WRONG")</f>
        <v/>
      </c>
    </row>
    <row r="34139">
      <c r="A34139" t="n">
        <v>34138</v>
      </c>
      <c r="B34139" t="inlineStr">
        <is>
          <t>x̄x̄x̄MV̅CXXXVIII</t>
        </is>
      </c>
      <c r="C34139">
        <f>ROMAN(34138)</f>
        <v/>
      </c>
      <c r="D34139">
        <f>IF(B34139=C34139, "YES", "WRONG")</f>
        <v/>
      </c>
    </row>
    <row r="34140">
      <c r="A34140" t="n">
        <v>34139</v>
      </c>
      <c r="B34140" t="inlineStr">
        <is>
          <t>x̄x̄x̄MV̅CXXXIX</t>
        </is>
      </c>
      <c r="C34140">
        <f>ROMAN(34139)</f>
        <v/>
      </c>
      <c r="D34140">
        <f>IF(B34140=C34140, "YES", "WRONG")</f>
        <v/>
      </c>
    </row>
    <row r="34141">
      <c r="A34141" t="n">
        <v>34140</v>
      </c>
      <c r="B34141" t="inlineStr">
        <is>
          <t>x̄x̄x̄MV̅CXL</t>
        </is>
      </c>
      <c r="C34141">
        <f>ROMAN(34140)</f>
        <v/>
      </c>
      <c r="D34141">
        <f>IF(B34141=C34141, "YES", "WRONG")</f>
        <v/>
      </c>
    </row>
    <row r="34142">
      <c r="A34142" t="n">
        <v>34141</v>
      </c>
      <c r="B34142" t="inlineStr">
        <is>
          <t>x̄x̄x̄MV̅CXLI</t>
        </is>
      </c>
      <c r="C34142">
        <f>ROMAN(34141)</f>
        <v/>
      </c>
      <c r="D34142">
        <f>IF(B34142=C34142, "YES", "WRONG")</f>
        <v/>
      </c>
    </row>
    <row r="34143">
      <c r="A34143" t="n">
        <v>34142</v>
      </c>
      <c r="B34143" t="inlineStr">
        <is>
          <t>x̄x̄x̄MV̅CXLII</t>
        </is>
      </c>
      <c r="C34143">
        <f>ROMAN(34142)</f>
        <v/>
      </c>
      <c r="D34143">
        <f>IF(B34143=C34143, "YES", "WRONG")</f>
        <v/>
      </c>
    </row>
    <row r="34144">
      <c r="A34144" t="n">
        <v>34143</v>
      </c>
      <c r="B34144" t="inlineStr">
        <is>
          <t>x̄x̄x̄MV̅CXLIII</t>
        </is>
      </c>
      <c r="C34144">
        <f>ROMAN(34143)</f>
        <v/>
      </c>
      <c r="D34144">
        <f>IF(B34144=C34144, "YES", "WRONG")</f>
        <v/>
      </c>
    </row>
    <row r="34145">
      <c r="A34145" t="n">
        <v>34144</v>
      </c>
      <c r="B34145" t="inlineStr">
        <is>
          <t>x̄x̄x̄MV̅CXLIV</t>
        </is>
      </c>
      <c r="C34145">
        <f>ROMAN(34144)</f>
        <v/>
      </c>
      <c r="D34145">
        <f>IF(B34145=C34145, "YES", "WRONG")</f>
        <v/>
      </c>
    </row>
    <row r="34146">
      <c r="A34146" t="n">
        <v>34145</v>
      </c>
      <c r="B34146" t="inlineStr">
        <is>
          <t>x̄x̄x̄MV̅CXLV</t>
        </is>
      </c>
      <c r="C34146">
        <f>ROMAN(34145)</f>
        <v/>
      </c>
      <c r="D34146">
        <f>IF(B34146=C34146, "YES", "WRONG")</f>
        <v/>
      </c>
    </row>
    <row r="34147">
      <c r="A34147" t="n">
        <v>34146</v>
      </c>
      <c r="B34147" t="inlineStr">
        <is>
          <t>x̄x̄x̄MV̅CXLVI</t>
        </is>
      </c>
      <c r="C34147">
        <f>ROMAN(34146)</f>
        <v/>
      </c>
      <c r="D34147">
        <f>IF(B34147=C34147, "YES", "WRONG")</f>
        <v/>
      </c>
    </row>
    <row r="34148">
      <c r="A34148" t="n">
        <v>34147</v>
      </c>
      <c r="B34148" t="inlineStr">
        <is>
          <t>x̄x̄x̄MV̅CXLVII</t>
        </is>
      </c>
      <c r="C34148">
        <f>ROMAN(34147)</f>
        <v/>
      </c>
      <c r="D34148">
        <f>IF(B34148=C34148, "YES", "WRONG")</f>
        <v/>
      </c>
    </row>
    <row r="34149">
      <c r="A34149" t="n">
        <v>34148</v>
      </c>
      <c r="B34149" t="inlineStr">
        <is>
          <t>x̄x̄x̄MV̅CXLVIII</t>
        </is>
      </c>
      <c r="C34149">
        <f>ROMAN(34148)</f>
        <v/>
      </c>
      <c r="D34149">
        <f>IF(B34149=C34149, "YES", "WRONG")</f>
        <v/>
      </c>
    </row>
    <row r="34150">
      <c r="A34150" t="n">
        <v>34149</v>
      </c>
      <c r="B34150" t="inlineStr">
        <is>
          <t>x̄x̄x̄MV̅CXLIX</t>
        </is>
      </c>
      <c r="C34150">
        <f>ROMAN(34149)</f>
        <v/>
      </c>
      <c r="D34150">
        <f>IF(B34150=C34150, "YES", "WRONG")</f>
        <v/>
      </c>
    </row>
    <row r="34151">
      <c r="A34151" t="n">
        <v>34150</v>
      </c>
      <c r="B34151" t="inlineStr">
        <is>
          <t>x̄x̄x̄MV̅CL</t>
        </is>
      </c>
      <c r="C34151">
        <f>ROMAN(34150)</f>
        <v/>
      </c>
      <c r="D34151">
        <f>IF(B34151=C34151, "YES", "WRONG")</f>
        <v/>
      </c>
    </row>
    <row r="34152">
      <c r="A34152" t="n">
        <v>34151</v>
      </c>
      <c r="B34152" t="inlineStr">
        <is>
          <t>x̄x̄x̄MV̅CLI</t>
        </is>
      </c>
      <c r="C34152">
        <f>ROMAN(34151)</f>
        <v/>
      </c>
      <c r="D34152">
        <f>IF(B34152=C34152, "YES", "WRONG")</f>
        <v/>
      </c>
    </row>
    <row r="34153">
      <c r="A34153" t="n">
        <v>34152</v>
      </c>
      <c r="B34153" t="inlineStr">
        <is>
          <t>x̄x̄x̄MV̅CLII</t>
        </is>
      </c>
      <c r="C34153">
        <f>ROMAN(34152)</f>
        <v/>
      </c>
      <c r="D34153">
        <f>IF(B34153=C34153, "YES", "WRONG")</f>
        <v/>
      </c>
    </row>
    <row r="34154">
      <c r="A34154" t="n">
        <v>34153</v>
      </c>
      <c r="B34154" t="inlineStr">
        <is>
          <t>x̄x̄x̄MV̅CLIII</t>
        </is>
      </c>
      <c r="C34154">
        <f>ROMAN(34153)</f>
        <v/>
      </c>
      <c r="D34154">
        <f>IF(B34154=C34154, "YES", "WRONG")</f>
        <v/>
      </c>
    </row>
    <row r="34155">
      <c r="A34155" t="n">
        <v>34154</v>
      </c>
      <c r="B34155" t="inlineStr">
        <is>
          <t>x̄x̄x̄MV̅CLIV</t>
        </is>
      </c>
      <c r="C34155">
        <f>ROMAN(34154)</f>
        <v/>
      </c>
      <c r="D34155">
        <f>IF(B34155=C34155, "YES", "WRONG")</f>
        <v/>
      </c>
    </row>
    <row r="34156">
      <c r="A34156" t="n">
        <v>34155</v>
      </c>
      <c r="B34156" t="inlineStr">
        <is>
          <t>x̄x̄x̄MV̅CLV</t>
        </is>
      </c>
      <c r="C34156">
        <f>ROMAN(34155)</f>
        <v/>
      </c>
      <c r="D34156">
        <f>IF(B34156=C34156, "YES", "WRONG")</f>
        <v/>
      </c>
    </row>
    <row r="34157">
      <c r="A34157" t="n">
        <v>34156</v>
      </c>
      <c r="B34157" t="inlineStr">
        <is>
          <t>x̄x̄x̄MV̅CLVI</t>
        </is>
      </c>
      <c r="C34157">
        <f>ROMAN(34156)</f>
        <v/>
      </c>
      <c r="D34157">
        <f>IF(B34157=C34157, "YES", "WRONG")</f>
        <v/>
      </c>
    </row>
    <row r="34158">
      <c r="A34158" t="n">
        <v>34157</v>
      </c>
      <c r="B34158" t="inlineStr">
        <is>
          <t>x̄x̄x̄MV̅CLVII</t>
        </is>
      </c>
      <c r="C34158">
        <f>ROMAN(34157)</f>
        <v/>
      </c>
      <c r="D34158">
        <f>IF(B34158=C34158, "YES", "WRONG")</f>
        <v/>
      </c>
    </row>
    <row r="34159">
      <c r="A34159" t="n">
        <v>34158</v>
      </c>
      <c r="B34159" t="inlineStr">
        <is>
          <t>x̄x̄x̄MV̅CLVIII</t>
        </is>
      </c>
      <c r="C34159">
        <f>ROMAN(34158)</f>
        <v/>
      </c>
      <c r="D34159">
        <f>IF(B34159=C34159, "YES", "WRONG")</f>
        <v/>
      </c>
    </row>
    <row r="34160">
      <c r="A34160" t="n">
        <v>34159</v>
      </c>
      <c r="B34160" t="inlineStr">
        <is>
          <t>x̄x̄x̄MV̅CLIX</t>
        </is>
      </c>
      <c r="C34160">
        <f>ROMAN(34159)</f>
        <v/>
      </c>
      <c r="D34160">
        <f>IF(B34160=C34160, "YES", "WRONG")</f>
        <v/>
      </c>
    </row>
    <row r="34161">
      <c r="A34161" t="n">
        <v>34160</v>
      </c>
      <c r="B34161" t="inlineStr">
        <is>
          <t>x̄x̄x̄MV̅CLX</t>
        </is>
      </c>
      <c r="C34161">
        <f>ROMAN(34160)</f>
        <v/>
      </c>
      <c r="D34161">
        <f>IF(B34161=C34161, "YES", "WRONG")</f>
        <v/>
      </c>
    </row>
    <row r="34162">
      <c r="A34162" t="n">
        <v>34161</v>
      </c>
      <c r="B34162" t="inlineStr">
        <is>
          <t>x̄x̄x̄MV̅CLXI</t>
        </is>
      </c>
      <c r="C34162">
        <f>ROMAN(34161)</f>
        <v/>
      </c>
      <c r="D34162">
        <f>IF(B34162=C34162, "YES", "WRONG")</f>
        <v/>
      </c>
    </row>
    <row r="34163">
      <c r="A34163" t="n">
        <v>34162</v>
      </c>
      <c r="B34163" t="inlineStr">
        <is>
          <t>x̄x̄x̄MV̅CLXII</t>
        </is>
      </c>
      <c r="C34163">
        <f>ROMAN(34162)</f>
        <v/>
      </c>
      <c r="D34163">
        <f>IF(B34163=C34163, "YES", "WRONG")</f>
        <v/>
      </c>
    </row>
    <row r="34164">
      <c r="A34164" t="n">
        <v>34163</v>
      </c>
      <c r="B34164" t="inlineStr">
        <is>
          <t>x̄x̄x̄MV̅CLXIII</t>
        </is>
      </c>
      <c r="C34164">
        <f>ROMAN(34163)</f>
        <v/>
      </c>
      <c r="D34164">
        <f>IF(B34164=C34164, "YES", "WRONG")</f>
        <v/>
      </c>
    </row>
    <row r="34165">
      <c r="A34165" t="n">
        <v>34164</v>
      </c>
      <c r="B34165" t="inlineStr">
        <is>
          <t>x̄x̄x̄MV̅CLXIV</t>
        </is>
      </c>
      <c r="C34165">
        <f>ROMAN(34164)</f>
        <v/>
      </c>
      <c r="D34165">
        <f>IF(B34165=C34165, "YES", "WRONG")</f>
        <v/>
      </c>
    </row>
    <row r="34166">
      <c r="A34166" t="n">
        <v>34165</v>
      </c>
      <c r="B34166" t="inlineStr">
        <is>
          <t>x̄x̄x̄MV̅CLXV</t>
        </is>
      </c>
      <c r="C34166">
        <f>ROMAN(34165)</f>
        <v/>
      </c>
      <c r="D34166">
        <f>IF(B34166=C34166, "YES", "WRONG")</f>
        <v/>
      </c>
    </row>
    <row r="34167">
      <c r="A34167" t="n">
        <v>34166</v>
      </c>
      <c r="B34167" t="inlineStr">
        <is>
          <t>x̄x̄x̄MV̅CLXVI</t>
        </is>
      </c>
      <c r="C34167">
        <f>ROMAN(34166)</f>
        <v/>
      </c>
      <c r="D34167">
        <f>IF(B34167=C34167, "YES", "WRONG")</f>
        <v/>
      </c>
    </row>
    <row r="34168">
      <c r="A34168" t="n">
        <v>34167</v>
      </c>
      <c r="B34168" t="inlineStr">
        <is>
          <t>x̄x̄x̄MV̅CLXVII</t>
        </is>
      </c>
      <c r="C34168">
        <f>ROMAN(34167)</f>
        <v/>
      </c>
      <c r="D34168">
        <f>IF(B34168=C34168, "YES", "WRONG")</f>
        <v/>
      </c>
    </row>
    <row r="34169">
      <c r="A34169" t="n">
        <v>34168</v>
      </c>
      <c r="B34169" t="inlineStr">
        <is>
          <t>x̄x̄x̄MV̅CLXVIII</t>
        </is>
      </c>
      <c r="C34169">
        <f>ROMAN(34168)</f>
        <v/>
      </c>
      <c r="D34169">
        <f>IF(B34169=C34169, "YES", "WRONG")</f>
        <v/>
      </c>
    </row>
    <row r="34170">
      <c r="A34170" t="n">
        <v>34169</v>
      </c>
      <c r="B34170" t="inlineStr">
        <is>
          <t>x̄x̄x̄MV̅CLXIX</t>
        </is>
      </c>
      <c r="C34170">
        <f>ROMAN(34169)</f>
        <v/>
      </c>
      <c r="D34170">
        <f>IF(B34170=C34170, "YES", "WRONG")</f>
        <v/>
      </c>
    </row>
    <row r="34171">
      <c r="A34171" t="n">
        <v>34170</v>
      </c>
      <c r="B34171" t="inlineStr">
        <is>
          <t>x̄x̄x̄MV̅CLXX</t>
        </is>
      </c>
      <c r="C34171">
        <f>ROMAN(34170)</f>
        <v/>
      </c>
      <c r="D34171">
        <f>IF(B34171=C34171, "YES", "WRONG")</f>
        <v/>
      </c>
    </row>
    <row r="34172">
      <c r="A34172" t="n">
        <v>34171</v>
      </c>
      <c r="B34172" t="inlineStr">
        <is>
          <t>x̄x̄x̄MV̅CLXXI</t>
        </is>
      </c>
      <c r="C34172">
        <f>ROMAN(34171)</f>
        <v/>
      </c>
      <c r="D34172">
        <f>IF(B34172=C34172, "YES", "WRONG")</f>
        <v/>
      </c>
    </row>
    <row r="34173">
      <c r="A34173" t="n">
        <v>34172</v>
      </c>
      <c r="B34173" t="inlineStr">
        <is>
          <t>x̄x̄x̄MV̅CLXXII</t>
        </is>
      </c>
      <c r="C34173">
        <f>ROMAN(34172)</f>
        <v/>
      </c>
      <c r="D34173">
        <f>IF(B34173=C34173, "YES", "WRONG")</f>
        <v/>
      </c>
    </row>
    <row r="34174">
      <c r="A34174" t="n">
        <v>34173</v>
      </c>
      <c r="B34174" t="inlineStr">
        <is>
          <t>x̄x̄x̄MV̅CLXXIII</t>
        </is>
      </c>
      <c r="C34174">
        <f>ROMAN(34173)</f>
        <v/>
      </c>
      <c r="D34174">
        <f>IF(B34174=C34174, "YES", "WRONG")</f>
        <v/>
      </c>
    </row>
    <row r="34175">
      <c r="A34175" t="n">
        <v>34174</v>
      </c>
      <c r="B34175" t="inlineStr">
        <is>
          <t>x̄x̄x̄MV̅CLXXIV</t>
        </is>
      </c>
      <c r="C34175">
        <f>ROMAN(34174)</f>
        <v/>
      </c>
      <c r="D34175">
        <f>IF(B34175=C34175, "YES", "WRONG")</f>
        <v/>
      </c>
    </row>
    <row r="34176">
      <c r="A34176" t="n">
        <v>34175</v>
      </c>
      <c r="B34176" t="inlineStr">
        <is>
          <t>x̄x̄x̄MV̅CLXXV</t>
        </is>
      </c>
      <c r="C34176">
        <f>ROMAN(34175)</f>
        <v/>
      </c>
      <c r="D34176">
        <f>IF(B34176=C34176, "YES", "WRONG")</f>
        <v/>
      </c>
    </row>
    <row r="34177">
      <c r="A34177" t="n">
        <v>34176</v>
      </c>
      <c r="B34177" t="inlineStr">
        <is>
          <t>x̄x̄x̄MV̅CLXXVI</t>
        </is>
      </c>
      <c r="C34177">
        <f>ROMAN(34176)</f>
        <v/>
      </c>
      <c r="D34177">
        <f>IF(B34177=C34177, "YES", "WRONG")</f>
        <v/>
      </c>
    </row>
    <row r="34178">
      <c r="A34178" t="n">
        <v>34177</v>
      </c>
      <c r="B34178" t="inlineStr">
        <is>
          <t>x̄x̄x̄MV̅CLXXVII</t>
        </is>
      </c>
      <c r="C34178">
        <f>ROMAN(34177)</f>
        <v/>
      </c>
      <c r="D34178">
        <f>IF(B34178=C34178, "YES", "WRONG")</f>
        <v/>
      </c>
    </row>
    <row r="34179">
      <c r="A34179" t="n">
        <v>34178</v>
      </c>
      <c r="B34179" t="inlineStr">
        <is>
          <t>x̄x̄x̄MV̅CLXXVIII</t>
        </is>
      </c>
      <c r="C34179">
        <f>ROMAN(34178)</f>
        <v/>
      </c>
      <c r="D34179">
        <f>IF(B34179=C34179, "YES", "WRONG")</f>
        <v/>
      </c>
    </row>
    <row r="34180">
      <c r="A34180" t="n">
        <v>34179</v>
      </c>
      <c r="B34180" t="inlineStr">
        <is>
          <t>x̄x̄x̄MV̅CLXXIX</t>
        </is>
      </c>
      <c r="C34180">
        <f>ROMAN(34179)</f>
        <v/>
      </c>
      <c r="D34180">
        <f>IF(B34180=C34180, "YES", "WRONG")</f>
        <v/>
      </c>
    </row>
    <row r="34181">
      <c r="A34181" t="n">
        <v>34180</v>
      </c>
      <c r="B34181" t="inlineStr">
        <is>
          <t>x̄x̄x̄MV̅CLXXX</t>
        </is>
      </c>
      <c r="C34181">
        <f>ROMAN(34180)</f>
        <v/>
      </c>
      <c r="D34181">
        <f>IF(B34181=C34181, "YES", "WRONG")</f>
        <v/>
      </c>
    </row>
    <row r="34182">
      <c r="A34182" t="n">
        <v>34181</v>
      </c>
      <c r="B34182" t="inlineStr">
        <is>
          <t>x̄x̄x̄MV̅CLXXXI</t>
        </is>
      </c>
      <c r="C34182">
        <f>ROMAN(34181)</f>
        <v/>
      </c>
      <c r="D34182">
        <f>IF(B34182=C34182, "YES", "WRONG")</f>
        <v/>
      </c>
    </row>
    <row r="34183">
      <c r="A34183" t="n">
        <v>34182</v>
      </c>
      <c r="B34183" t="inlineStr">
        <is>
          <t>x̄x̄x̄MV̅CLXXXII</t>
        </is>
      </c>
      <c r="C34183">
        <f>ROMAN(34182)</f>
        <v/>
      </c>
      <c r="D34183">
        <f>IF(B34183=C34183, "YES", "WRONG")</f>
        <v/>
      </c>
    </row>
    <row r="34184">
      <c r="A34184" t="n">
        <v>34183</v>
      </c>
      <c r="B34184" t="inlineStr">
        <is>
          <t>x̄x̄x̄MV̅CLXXXIII</t>
        </is>
      </c>
      <c r="C34184">
        <f>ROMAN(34183)</f>
        <v/>
      </c>
      <c r="D34184">
        <f>IF(B34184=C34184, "YES", "WRONG")</f>
        <v/>
      </c>
    </row>
    <row r="34185">
      <c r="A34185" t="n">
        <v>34184</v>
      </c>
      <c r="B34185" t="inlineStr">
        <is>
          <t>x̄x̄x̄MV̅CLXXXIV</t>
        </is>
      </c>
      <c r="C34185">
        <f>ROMAN(34184)</f>
        <v/>
      </c>
      <c r="D34185">
        <f>IF(B34185=C34185, "YES", "WRONG")</f>
        <v/>
      </c>
    </row>
    <row r="34186">
      <c r="A34186" t="n">
        <v>34185</v>
      </c>
      <c r="B34186" t="inlineStr">
        <is>
          <t>x̄x̄x̄MV̅CLXXXV</t>
        </is>
      </c>
      <c r="C34186">
        <f>ROMAN(34185)</f>
        <v/>
      </c>
      <c r="D34186">
        <f>IF(B34186=C34186, "YES", "WRONG")</f>
        <v/>
      </c>
    </row>
    <row r="34187">
      <c r="A34187" t="n">
        <v>34186</v>
      </c>
      <c r="B34187" t="inlineStr">
        <is>
          <t>x̄x̄x̄MV̅CLXXXVI</t>
        </is>
      </c>
      <c r="C34187">
        <f>ROMAN(34186)</f>
        <v/>
      </c>
      <c r="D34187">
        <f>IF(B34187=C34187, "YES", "WRONG")</f>
        <v/>
      </c>
    </row>
    <row r="34188">
      <c r="A34188" t="n">
        <v>34187</v>
      </c>
      <c r="B34188" t="inlineStr">
        <is>
          <t>x̄x̄x̄MV̅CLXXXVII</t>
        </is>
      </c>
      <c r="C34188">
        <f>ROMAN(34187)</f>
        <v/>
      </c>
      <c r="D34188">
        <f>IF(B34188=C34188, "YES", "WRONG")</f>
        <v/>
      </c>
    </row>
    <row r="34189">
      <c r="A34189" t="n">
        <v>34188</v>
      </c>
      <c r="B34189" t="inlineStr">
        <is>
          <t>x̄x̄x̄MV̅CLXXXVIII</t>
        </is>
      </c>
      <c r="C34189">
        <f>ROMAN(34188)</f>
        <v/>
      </c>
      <c r="D34189">
        <f>IF(B34189=C34189, "YES", "WRONG")</f>
        <v/>
      </c>
    </row>
    <row r="34190">
      <c r="A34190" t="n">
        <v>34189</v>
      </c>
      <c r="B34190" t="inlineStr">
        <is>
          <t>x̄x̄x̄MV̅CLXXXIX</t>
        </is>
      </c>
      <c r="C34190">
        <f>ROMAN(34189)</f>
        <v/>
      </c>
      <c r="D34190">
        <f>IF(B34190=C34190, "YES", "WRONG")</f>
        <v/>
      </c>
    </row>
    <row r="34191">
      <c r="A34191" t="n">
        <v>34190</v>
      </c>
      <c r="B34191" t="inlineStr">
        <is>
          <t>x̄x̄x̄MV̅CXC</t>
        </is>
      </c>
      <c r="C34191">
        <f>ROMAN(34190)</f>
        <v/>
      </c>
      <c r="D34191">
        <f>IF(B34191=C34191, "YES", "WRONG")</f>
        <v/>
      </c>
    </row>
    <row r="34192">
      <c r="A34192" t="n">
        <v>34191</v>
      </c>
      <c r="B34192" t="inlineStr">
        <is>
          <t>x̄x̄x̄MV̅CXCI</t>
        </is>
      </c>
      <c r="C34192">
        <f>ROMAN(34191)</f>
        <v/>
      </c>
      <c r="D34192">
        <f>IF(B34192=C34192, "YES", "WRONG")</f>
        <v/>
      </c>
    </row>
    <row r="34193">
      <c r="A34193" t="n">
        <v>34192</v>
      </c>
      <c r="B34193" t="inlineStr">
        <is>
          <t>x̄x̄x̄MV̅CXCII</t>
        </is>
      </c>
      <c r="C34193">
        <f>ROMAN(34192)</f>
        <v/>
      </c>
      <c r="D34193">
        <f>IF(B34193=C34193, "YES", "WRONG")</f>
        <v/>
      </c>
    </row>
    <row r="34194">
      <c r="A34194" t="n">
        <v>34193</v>
      </c>
      <c r="B34194" t="inlineStr">
        <is>
          <t>x̄x̄x̄MV̅CXCIII</t>
        </is>
      </c>
      <c r="C34194">
        <f>ROMAN(34193)</f>
        <v/>
      </c>
      <c r="D34194">
        <f>IF(B34194=C34194, "YES", "WRONG")</f>
        <v/>
      </c>
    </row>
    <row r="34195">
      <c r="A34195" t="n">
        <v>34194</v>
      </c>
      <c r="B34195" t="inlineStr">
        <is>
          <t>x̄x̄x̄MV̅CXCIV</t>
        </is>
      </c>
      <c r="C34195">
        <f>ROMAN(34194)</f>
        <v/>
      </c>
      <c r="D34195">
        <f>IF(B34195=C34195, "YES", "WRONG")</f>
        <v/>
      </c>
    </row>
    <row r="34196">
      <c r="A34196" t="n">
        <v>34195</v>
      </c>
      <c r="B34196" t="inlineStr">
        <is>
          <t>x̄x̄x̄MV̅CXCV</t>
        </is>
      </c>
      <c r="C34196">
        <f>ROMAN(34195)</f>
        <v/>
      </c>
      <c r="D34196">
        <f>IF(B34196=C34196, "YES", "WRONG")</f>
        <v/>
      </c>
    </row>
    <row r="34197">
      <c r="A34197" t="n">
        <v>34196</v>
      </c>
      <c r="B34197" t="inlineStr">
        <is>
          <t>x̄x̄x̄MV̅CXCVI</t>
        </is>
      </c>
      <c r="C34197">
        <f>ROMAN(34196)</f>
        <v/>
      </c>
      <c r="D34197">
        <f>IF(B34197=C34197, "YES", "WRONG")</f>
        <v/>
      </c>
    </row>
    <row r="34198">
      <c r="A34198" t="n">
        <v>34197</v>
      </c>
      <c r="B34198" t="inlineStr">
        <is>
          <t>x̄x̄x̄MV̅CXCVII</t>
        </is>
      </c>
      <c r="C34198">
        <f>ROMAN(34197)</f>
        <v/>
      </c>
      <c r="D34198">
        <f>IF(B34198=C34198, "YES", "WRONG")</f>
        <v/>
      </c>
    </row>
    <row r="34199">
      <c r="A34199" t="n">
        <v>34198</v>
      </c>
      <c r="B34199" t="inlineStr">
        <is>
          <t>x̄x̄x̄MV̅CXCVIII</t>
        </is>
      </c>
      <c r="C34199">
        <f>ROMAN(34198)</f>
        <v/>
      </c>
      <c r="D34199">
        <f>IF(B34199=C34199, "YES", "WRONG")</f>
        <v/>
      </c>
    </row>
    <row r="34200">
      <c r="A34200" t="n">
        <v>34199</v>
      </c>
      <c r="B34200" t="inlineStr">
        <is>
          <t>x̄x̄x̄MV̅CXCIX</t>
        </is>
      </c>
      <c r="C34200">
        <f>ROMAN(34199)</f>
        <v/>
      </c>
      <c r="D34200">
        <f>IF(B34200=C34200, "YES", "WRONG")</f>
        <v/>
      </c>
    </row>
    <row r="34201">
      <c r="A34201" t="n">
        <v>34200</v>
      </c>
      <c r="B34201" t="inlineStr">
        <is>
          <t>x̄x̄x̄MV̅CC</t>
        </is>
      </c>
      <c r="C34201">
        <f>ROMAN(34200)</f>
        <v/>
      </c>
      <c r="D34201">
        <f>IF(B34201=C34201, "YES", "WRONG")</f>
        <v/>
      </c>
    </row>
    <row r="34202">
      <c r="A34202" t="n">
        <v>34201</v>
      </c>
      <c r="B34202" t="inlineStr">
        <is>
          <t>x̄x̄x̄MV̅CCI</t>
        </is>
      </c>
      <c r="C34202">
        <f>ROMAN(34201)</f>
        <v/>
      </c>
      <c r="D34202">
        <f>IF(B34202=C34202, "YES", "WRONG")</f>
        <v/>
      </c>
    </row>
    <row r="34203">
      <c r="A34203" t="n">
        <v>34202</v>
      </c>
      <c r="B34203" t="inlineStr">
        <is>
          <t>x̄x̄x̄MV̅CCII</t>
        </is>
      </c>
      <c r="C34203">
        <f>ROMAN(34202)</f>
        <v/>
      </c>
      <c r="D34203">
        <f>IF(B34203=C34203, "YES", "WRONG")</f>
        <v/>
      </c>
    </row>
    <row r="34204">
      <c r="A34204" t="n">
        <v>34203</v>
      </c>
      <c r="B34204" t="inlineStr">
        <is>
          <t>x̄x̄x̄MV̅CCIII</t>
        </is>
      </c>
      <c r="C34204">
        <f>ROMAN(34203)</f>
        <v/>
      </c>
      <c r="D34204">
        <f>IF(B34204=C34204, "YES", "WRONG")</f>
        <v/>
      </c>
    </row>
    <row r="34205">
      <c r="A34205" t="n">
        <v>34204</v>
      </c>
      <c r="B34205" t="inlineStr">
        <is>
          <t>x̄x̄x̄MV̅CCIV</t>
        </is>
      </c>
      <c r="C34205">
        <f>ROMAN(34204)</f>
        <v/>
      </c>
      <c r="D34205">
        <f>IF(B34205=C34205, "YES", "WRONG")</f>
        <v/>
      </c>
    </row>
    <row r="34206">
      <c r="A34206" t="n">
        <v>34205</v>
      </c>
      <c r="B34206" t="inlineStr">
        <is>
          <t>x̄x̄x̄MV̅CCV</t>
        </is>
      </c>
      <c r="C34206">
        <f>ROMAN(34205)</f>
        <v/>
      </c>
      <c r="D34206">
        <f>IF(B34206=C34206, "YES", "WRONG")</f>
        <v/>
      </c>
    </row>
    <row r="34207">
      <c r="A34207" t="n">
        <v>34206</v>
      </c>
      <c r="B34207" t="inlineStr">
        <is>
          <t>x̄x̄x̄MV̅CCVI</t>
        </is>
      </c>
      <c r="C34207">
        <f>ROMAN(34206)</f>
        <v/>
      </c>
      <c r="D34207">
        <f>IF(B34207=C34207, "YES", "WRONG")</f>
        <v/>
      </c>
    </row>
    <row r="34208">
      <c r="A34208" t="n">
        <v>34207</v>
      </c>
      <c r="B34208" t="inlineStr">
        <is>
          <t>x̄x̄x̄MV̅CCVII</t>
        </is>
      </c>
      <c r="C34208">
        <f>ROMAN(34207)</f>
        <v/>
      </c>
      <c r="D34208">
        <f>IF(B34208=C34208, "YES", "WRONG")</f>
        <v/>
      </c>
    </row>
    <row r="34209">
      <c r="A34209" t="n">
        <v>34208</v>
      </c>
      <c r="B34209" t="inlineStr">
        <is>
          <t>x̄x̄x̄MV̅CCVIII</t>
        </is>
      </c>
      <c r="C34209">
        <f>ROMAN(34208)</f>
        <v/>
      </c>
      <c r="D34209">
        <f>IF(B34209=C34209, "YES", "WRONG")</f>
        <v/>
      </c>
    </row>
    <row r="34210">
      <c r="A34210" t="n">
        <v>34209</v>
      </c>
      <c r="B34210" t="inlineStr">
        <is>
          <t>x̄x̄x̄MV̅CCIX</t>
        </is>
      </c>
      <c r="C34210">
        <f>ROMAN(34209)</f>
        <v/>
      </c>
      <c r="D34210">
        <f>IF(B34210=C34210, "YES", "WRONG")</f>
        <v/>
      </c>
    </row>
    <row r="34211">
      <c r="A34211" t="n">
        <v>34210</v>
      </c>
      <c r="B34211" t="inlineStr">
        <is>
          <t>x̄x̄x̄MV̅CCX</t>
        </is>
      </c>
      <c r="C34211">
        <f>ROMAN(34210)</f>
        <v/>
      </c>
      <c r="D34211">
        <f>IF(B34211=C34211, "YES", "WRONG")</f>
        <v/>
      </c>
    </row>
    <row r="34212">
      <c r="A34212" t="n">
        <v>34211</v>
      </c>
      <c r="B34212" t="inlineStr">
        <is>
          <t>x̄x̄x̄MV̅CCXI</t>
        </is>
      </c>
      <c r="C34212">
        <f>ROMAN(34211)</f>
        <v/>
      </c>
      <c r="D34212">
        <f>IF(B34212=C34212, "YES", "WRONG")</f>
        <v/>
      </c>
    </row>
    <row r="34213">
      <c r="A34213" t="n">
        <v>34212</v>
      </c>
      <c r="B34213" t="inlineStr">
        <is>
          <t>x̄x̄x̄MV̅CCXII</t>
        </is>
      </c>
      <c r="C34213">
        <f>ROMAN(34212)</f>
        <v/>
      </c>
      <c r="D34213">
        <f>IF(B34213=C34213, "YES", "WRONG")</f>
        <v/>
      </c>
    </row>
    <row r="34214">
      <c r="A34214" t="n">
        <v>34213</v>
      </c>
      <c r="B34214" t="inlineStr">
        <is>
          <t>x̄x̄x̄MV̅CCXIII</t>
        </is>
      </c>
      <c r="C34214">
        <f>ROMAN(34213)</f>
        <v/>
      </c>
      <c r="D34214">
        <f>IF(B34214=C34214, "YES", "WRONG")</f>
        <v/>
      </c>
    </row>
    <row r="34215">
      <c r="A34215" t="n">
        <v>34214</v>
      </c>
      <c r="B34215" t="inlineStr">
        <is>
          <t>x̄x̄x̄MV̅CCXIV</t>
        </is>
      </c>
      <c r="C34215">
        <f>ROMAN(34214)</f>
        <v/>
      </c>
      <c r="D34215">
        <f>IF(B34215=C34215, "YES", "WRONG")</f>
        <v/>
      </c>
    </row>
    <row r="34216">
      <c r="A34216" t="n">
        <v>34215</v>
      </c>
      <c r="B34216" t="inlineStr">
        <is>
          <t>x̄x̄x̄MV̅CCXV</t>
        </is>
      </c>
      <c r="C34216">
        <f>ROMAN(34215)</f>
        <v/>
      </c>
      <c r="D34216">
        <f>IF(B34216=C34216, "YES", "WRONG")</f>
        <v/>
      </c>
    </row>
    <row r="34217">
      <c r="A34217" t="n">
        <v>34216</v>
      </c>
      <c r="B34217" t="inlineStr">
        <is>
          <t>x̄x̄x̄MV̅CCXVI</t>
        </is>
      </c>
      <c r="C34217">
        <f>ROMAN(34216)</f>
        <v/>
      </c>
      <c r="D34217">
        <f>IF(B34217=C34217, "YES", "WRONG")</f>
        <v/>
      </c>
    </row>
    <row r="34218">
      <c r="A34218" t="n">
        <v>34217</v>
      </c>
      <c r="B34218" t="inlineStr">
        <is>
          <t>x̄x̄x̄MV̅CCXVII</t>
        </is>
      </c>
      <c r="C34218">
        <f>ROMAN(34217)</f>
        <v/>
      </c>
      <c r="D34218">
        <f>IF(B34218=C34218, "YES", "WRONG")</f>
        <v/>
      </c>
    </row>
    <row r="34219">
      <c r="A34219" t="n">
        <v>34218</v>
      </c>
      <c r="B34219" t="inlineStr">
        <is>
          <t>x̄x̄x̄MV̅CCXVIII</t>
        </is>
      </c>
      <c r="C34219">
        <f>ROMAN(34218)</f>
        <v/>
      </c>
      <c r="D34219">
        <f>IF(B34219=C34219, "YES", "WRONG")</f>
        <v/>
      </c>
    </row>
    <row r="34220">
      <c r="A34220" t="n">
        <v>34219</v>
      </c>
      <c r="B34220" t="inlineStr">
        <is>
          <t>x̄x̄x̄MV̅CCXIX</t>
        </is>
      </c>
      <c r="C34220">
        <f>ROMAN(34219)</f>
        <v/>
      </c>
      <c r="D34220">
        <f>IF(B34220=C34220, "YES", "WRONG")</f>
        <v/>
      </c>
    </row>
    <row r="34221">
      <c r="A34221" t="n">
        <v>34220</v>
      </c>
      <c r="B34221" t="inlineStr">
        <is>
          <t>x̄x̄x̄MV̅CCXX</t>
        </is>
      </c>
      <c r="C34221">
        <f>ROMAN(34220)</f>
        <v/>
      </c>
      <c r="D34221">
        <f>IF(B34221=C34221, "YES", "WRONG")</f>
        <v/>
      </c>
    </row>
    <row r="34222">
      <c r="A34222" t="n">
        <v>34221</v>
      </c>
      <c r="B34222" t="inlineStr">
        <is>
          <t>x̄x̄x̄MV̅CCXXI</t>
        </is>
      </c>
      <c r="C34222">
        <f>ROMAN(34221)</f>
        <v/>
      </c>
      <c r="D34222">
        <f>IF(B34222=C34222, "YES", "WRONG")</f>
        <v/>
      </c>
    </row>
    <row r="34223">
      <c r="A34223" t="n">
        <v>34222</v>
      </c>
      <c r="B34223" t="inlineStr">
        <is>
          <t>x̄x̄x̄MV̅CCXXII</t>
        </is>
      </c>
      <c r="C34223">
        <f>ROMAN(34222)</f>
        <v/>
      </c>
      <c r="D34223">
        <f>IF(B34223=C34223, "YES", "WRONG")</f>
        <v/>
      </c>
    </row>
    <row r="34224">
      <c r="A34224" t="n">
        <v>34223</v>
      </c>
      <c r="B34224" t="inlineStr">
        <is>
          <t>x̄x̄x̄MV̅CCXXIII</t>
        </is>
      </c>
      <c r="C34224">
        <f>ROMAN(34223)</f>
        <v/>
      </c>
      <c r="D34224">
        <f>IF(B34224=C34224, "YES", "WRONG")</f>
        <v/>
      </c>
    </row>
    <row r="34225">
      <c r="A34225" t="n">
        <v>34224</v>
      </c>
      <c r="B34225" t="inlineStr">
        <is>
          <t>x̄x̄x̄MV̅CCXXIV</t>
        </is>
      </c>
      <c r="C34225">
        <f>ROMAN(34224)</f>
        <v/>
      </c>
      <c r="D34225">
        <f>IF(B34225=C34225, "YES", "WRONG")</f>
        <v/>
      </c>
    </row>
    <row r="34226">
      <c r="A34226" t="n">
        <v>34225</v>
      </c>
      <c r="B34226" t="inlineStr">
        <is>
          <t>x̄x̄x̄MV̅CCXXV</t>
        </is>
      </c>
      <c r="C34226">
        <f>ROMAN(34225)</f>
        <v/>
      </c>
      <c r="D34226">
        <f>IF(B34226=C34226, "YES", "WRONG")</f>
        <v/>
      </c>
    </row>
    <row r="34227">
      <c r="A34227" t="n">
        <v>34226</v>
      </c>
      <c r="B34227" t="inlineStr">
        <is>
          <t>x̄x̄x̄MV̅CCXXVI</t>
        </is>
      </c>
      <c r="C34227">
        <f>ROMAN(34226)</f>
        <v/>
      </c>
      <c r="D34227">
        <f>IF(B34227=C34227, "YES", "WRONG")</f>
        <v/>
      </c>
    </row>
    <row r="34228">
      <c r="A34228" t="n">
        <v>34227</v>
      </c>
      <c r="B34228" t="inlineStr">
        <is>
          <t>x̄x̄x̄MV̅CCXXVII</t>
        </is>
      </c>
      <c r="C34228">
        <f>ROMAN(34227)</f>
        <v/>
      </c>
      <c r="D34228">
        <f>IF(B34228=C34228, "YES", "WRONG")</f>
        <v/>
      </c>
    </row>
    <row r="34229">
      <c r="A34229" t="n">
        <v>34228</v>
      </c>
      <c r="B34229" t="inlineStr">
        <is>
          <t>x̄x̄x̄MV̅CCXXVIII</t>
        </is>
      </c>
      <c r="C34229">
        <f>ROMAN(34228)</f>
        <v/>
      </c>
      <c r="D34229">
        <f>IF(B34229=C34229, "YES", "WRONG")</f>
        <v/>
      </c>
    </row>
    <row r="34230">
      <c r="A34230" t="n">
        <v>34229</v>
      </c>
      <c r="B34230" t="inlineStr">
        <is>
          <t>x̄x̄x̄MV̅CCXXIX</t>
        </is>
      </c>
      <c r="C34230">
        <f>ROMAN(34229)</f>
        <v/>
      </c>
      <c r="D34230">
        <f>IF(B34230=C34230, "YES", "WRONG")</f>
        <v/>
      </c>
    </row>
    <row r="34231">
      <c r="A34231" t="n">
        <v>34230</v>
      </c>
      <c r="B34231" t="inlineStr">
        <is>
          <t>x̄x̄x̄MV̅CCXXX</t>
        </is>
      </c>
      <c r="C34231">
        <f>ROMAN(34230)</f>
        <v/>
      </c>
      <c r="D34231">
        <f>IF(B34231=C34231, "YES", "WRONG")</f>
        <v/>
      </c>
    </row>
    <row r="34232">
      <c r="A34232" t="n">
        <v>34231</v>
      </c>
      <c r="B34232" t="inlineStr">
        <is>
          <t>x̄x̄x̄MV̅CCXXXI</t>
        </is>
      </c>
      <c r="C34232">
        <f>ROMAN(34231)</f>
        <v/>
      </c>
      <c r="D34232">
        <f>IF(B34232=C34232, "YES", "WRONG")</f>
        <v/>
      </c>
    </row>
    <row r="34233">
      <c r="A34233" t="n">
        <v>34232</v>
      </c>
      <c r="B34233" t="inlineStr">
        <is>
          <t>x̄x̄x̄MV̅CCXXXII</t>
        </is>
      </c>
      <c r="C34233">
        <f>ROMAN(34232)</f>
        <v/>
      </c>
      <c r="D34233">
        <f>IF(B34233=C34233, "YES", "WRONG")</f>
        <v/>
      </c>
    </row>
    <row r="34234">
      <c r="A34234" t="n">
        <v>34233</v>
      </c>
      <c r="B34234" t="inlineStr">
        <is>
          <t>x̄x̄x̄MV̅CCXXXIII</t>
        </is>
      </c>
      <c r="C34234">
        <f>ROMAN(34233)</f>
        <v/>
      </c>
      <c r="D34234">
        <f>IF(B34234=C34234, "YES", "WRONG")</f>
        <v/>
      </c>
    </row>
    <row r="34235">
      <c r="A34235" t="n">
        <v>34234</v>
      </c>
      <c r="B34235" t="inlineStr">
        <is>
          <t>x̄x̄x̄MV̅CCXXXIV</t>
        </is>
      </c>
      <c r="C34235">
        <f>ROMAN(34234)</f>
        <v/>
      </c>
      <c r="D34235">
        <f>IF(B34235=C34235, "YES", "WRONG")</f>
        <v/>
      </c>
    </row>
    <row r="34236">
      <c r="A34236" t="n">
        <v>34235</v>
      </c>
      <c r="B34236" t="inlineStr">
        <is>
          <t>x̄x̄x̄MV̅CCXXXV</t>
        </is>
      </c>
      <c r="C34236">
        <f>ROMAN(34235)</f>
        <v/>
      </c>
      <c r="D34236">
        <f>IF(B34236=C34236, "YES", "WRONG")</f>
        <v/>
      </c>
    </row>
    <row r="34237">
      <c r="A34237" t="n">
        <v>34236</v>
      </c>
      <c r="B34237" t="inlineStr">
        <is>
          <t>x̄x̄x̄MV̅CCXXXVI</t>
        </is>
      </c>
      <c r="C34237">
        <f>ROMAN(34236)</f>
        <v/>
      </c>
      <c r="D34237">
        <f>IF(B34237=C34237, "YES", "WRONG")</f>
        <v/>
      </c>
    </row>
    <row r="34238">
      <c r="A34238" t="n">
        <v>34237</v>
      </c>
      <c r="B34238" t="inlineStr">
        <is>
          <t>x̄x̄x̄MV̅CCXXXVII</t>
        </is>
      </c>
      <c r="C34238">
        <f>ROMAN(34237)</f>
        <v/>
      </c>
      <c r="D34238">
        <f>IF(B34238=C34238, "YES", "WRONG")</f>
        <v/>
      </c>
    </row>
    <row r="34239">
      <c r="A34239" t="n">
        <v>34238</v>
      </c>
      <c r="B34239" t="inlineStr">
        <is>
          <t>x̄x̄x̄MV̅CCXXXVIII</t>
        </is>
      </c>
      <c r="C34239">
        <f>ROMAN(34238)</f>
        <v/>
      </c>
      <c r="D34239">
        <f>IF(B34239=C34239, "YES", "WRONG")</f>
        <v/>
      </c>
    </row>
    <row r="34240">
      <c r="A34240" t="n">
        <v>34239</v>
      </c>
      <c r="B34240" t="inlineStr">
        <is>
          <t>x̄x̄x̄MV̅CCXXXIX</t>
        </is>
      </c>
      <c r="C34240">
        <f>ROMAN(34239)</f>
        <v/>
      </c>
      <c r="D34240">
        <f>IF(B34240=C34240, "YES", "WRONG")</f>
        <v/>
      </c>
    </row>
    <row r="34241">
      <c r="A34241" t="n">
        <v>34240</v>
      </c>
      <c r="B34241" t="inlineStr">
        <is>
          <t>x̄x̄x̄MV̅CCXL</t>
        </is>
      </c>
      <c r="C34241">
        <f>ROMAN(34240)</f>
        <v/>
      </c>
      <c r="D34241">
        <f>IF(B34241=C34241, "YES", "WRONG")</f>
        <v/>
      </c>
    </row>
    <row r="34242">
      <c r="A34242" t="n">
        <v>34241</v>
      </c>
      <c r="B34242" t="inlineStr">
        <is>
          <t>x̄x̄x̄MV̅CCXLI</t>
        </is>
      </c>
      <c r="C34242">
        <f>ROMAN(34241)</f>
        <v/>
      </c>
      <c r="D34242">
        <f>IF(B34242=C34242, "YES", "WRONG")</f>
        <v/>
      </c>
    </row>
    <row r="34243">
      <c r="A34243" t="n">
        <v>34242</v>
      </c>
      <c r="B34243" t="inlineStr">
        <is>
          <t>x̄x̄x̄MV̅CCXLII</t>
        </is>
      </c>
      <c r="C34243">
        <f>ROMAN(34242)</f>
        <v/>
      </c>
      <c r="D34243">
        <f>IF(B34243=C34243, "YES", "WRONG")</f>
        <v/>
      </c>
    </row>
    <row r="34244">
      <c r="A34244" t="n">
        <v>34243</v>
      </c>
      <c r="B34244" t="inlineStr">
        <is>
          <t>x̄x̄x̄MV̅CCXLIII</t>
        </is>
      </c>
      <c r="C34244">
        <f>ROMAN(34243)</f>
        <v/>
      </c>
      <c r="D34244">
        <f>IF(B34244=C34244, "YES", "WRONG")</f>
        <v/>
      </c>
    </row>
    <row r="34245">
      <c r="A34245" t="n">
        <v>34244</v>
      </c>
      <c r="B34245" t="inlineStr">
        <is>
          <t>x̄x̄x̄MV̅CCXLIV</t>
        </is>
      </c>
      <c r="C34245">
        <f>ROMAN(34244)</f>
        <v/>
      </c>
      <c r="D34245">
        <f>IF(B34245=C34245, "YES", "WRONG")</f>
        <v/>
      </c>
    </row>
    <row r="34246">
      <c r="A34246" t="n">
        <v>34245</v>
      </c>
      <c r="B34246" t="inlineStr">
        <is>
          <t>x̄x̄x̄MV̅CCXLV</t>
        </is>
      </c>
      <c r="C34246">
        <f>ROMAN(34245)</f>
        <v/>
      </c>
      <c r="D34246">
        <f>IF(B34246=C34246, "YES", "WRONG")</f>
        <v/>
      </c>
    </row>
    <row r="34247">
      <c r="A34247" t="n">
        <v>34246</v>
      </c>
      <c r="B34247" t="inlineStr">
        <is>
          <t>x̄x̄x̄MV̅CCXLVI</t>
        </is>
      </c>
      <c r="C34247">
        <f>ROMAN(34246)</f>
        <v/>
      </c>
      <c r="D34247">
        <f>IF(B34247=C34247, "YES", "WRONG")</f>
        <v/>
      </c>
    </row>
    <row r="34248">
      <c r="A34248" t="n">
        <v>34247</v>
      </c>
      <c r="B34248" t="inlineStr">
        <is>
          <t>x̄x̄x̄MV̅CCXLVII</t>
        </is>
      </c>
      <c r="C34248">
        <f>ROMAN(34247)</f>
        <v/>
      </c>
      <c r="D34248">
        <f>IF(B34248=C34248, "YES", "WRONG")</f>
        <v/>
      </c>
    </row>
    <row r="34249">
      <c r="A34249" t="n">
        <v>34248</v>
      </c>
      <c r="B34249" t="inlineStr">
        <is>
          <t>x̄x̄x̄MV̅CCXLVIII</t>
        </is>
      </c>
      <c r="C34249">
        <f>ROMAN(34248)</f>
        <v/>
      </c>
      <c r="D34249">
        <f>IF(B34249=C34249, "YES", "WRONG")</f>
        <v/>
      </c>
    </row>
    <row r="34250">
      <c r="A34250" t="n">
        <v>34249</v>
      </c>
      <c r="B34250" t="inlineStr">
        <is>
          <t>x̄x̄x̄MV̅CCXLIX</t>
        </is>
      </c>
      <c r="C34250">
        <f>ROMAN(34249)</f>
        <v/>
      </c>
      <c r="D34250">
        <f>IF(B34250=C34250, "YES", "WRONG")</f>
        <v/>
      </c>
    </row>
    <row r="34251">
      <c r="A34251" t="n">
        <v>34250</v>
      </c>
      <c r="B34251" t="inlineStr">
        <is>
          <t>x̄x̄x̄MV̅CCL</t>
        </is>
      </c>
      <c r="C34251">
        <f>ROMAN(34250)</f>
        <v/>
      </c>
      <c r="D34251">
        <f>IF(B34251=C34251, "YES", "WRONG")</f>
        <v/>
      </c>
    </row>
    <row r="34252">
      <c r="A34252" t="n">
        <v>34251</v>
      </c>
      <c r="B34252" t="inlineStr">
        <is>
          <t>x̄x̄x̄MV̅CCLI</t>
        </is>
      </c>
      <c r="C34252">
        <f>ROMAN(34251)</f>
        <v/>
      </c>
      <c r="D34252">
        <f>IF(B34252=C34252, "YES", "WRONG")</f>
        <v/>
      </c>
    </row>
    <row r="34253">
      <c r="A34253" t="n">
        <v>34252</v>
      </c>
      <c r="B34253" t="inlineStr">
        <is>
          <t>x̄x̄x̄MV̅CCLII</t>
        </is>
      </c>
      <c r="C34253">
        <f>ROMAN(34252)</f>
        <v/>
      </c>
      <c r="D34253">
        <f>IF(B34253=C34253, "YES", "WRONG")</f>
        <v/>
      </c>
    </row>
    <row r="34254">
      <c r="A34254" t="n">
        <v>34253</v>
      </c>
      <c r="B34254" t="inlineStr">
        <is>
          <t>x̄x̄x̄MV̅CCLIII</t>
        </is>
      </c>
      <c r="C34254">
        <f>ROMAN(34253)</f>
        <v/>
      </c>
      <c r="D34254">
        <f>IF(B34254=C34254, "YES", "WRONG")</f>
        <v/>
      </c>
    </row>
    <row r="34255">
      <c r="A34255" t="n">
        <v>34254</v>
      </c>
      <c r="B34255" t="inlineStr">
        <is>
          <t>x̄x̄x̄MV̅CCLIV</t>
        </is>
      </c>
      <c r="C34255">
        <f>ROMAN(34254)</f>
        <v/>
      </c>
      <c r="D34255">
        <f>IF(B34255=C34255, "YES", "WRONG")</f>
        <v/>
      </c>
    </row>
    <row r="34256">
      <c r="A34256" t="n">
        <v>34255</v>
      </c>
      <c r="B34256" t="inlineStr">
        <is>
          <t>x̄x̄x̄MV̅CCLV</t>
        </is>
      </c>
      <c r="C34256">
        <f>ROMAN(34255)</f>
        <v/>
      </c>
      <c r="D34256">
        <f>IF(B34256=C34256, "YES", "WRONG")</f>
        <v/>
      </c>
    </row>
    <row r="34257">
      <c r="A34257" t="n">
        <v>34256</v>
      </c>
      <c r="B34257" t="inlineStr">
        <is>
          <t>x̄x̄x̄MV̅CCLVI</t>
        </is>
      </c>
      <c r="C34257">
        <f>ROMAN(34256)</f>
        <v/>
      </c>
      <c r="D34257">
        <f>IF(B34257=C34257, "YES", "WRONG")</f>
        <v/>
      </c>
    </row>
    <row r="34258">
      <c r="A34258" t="n">
        <v>34257</v>
      </c>
      <c r="B34258" t="inlineStr">
        <is>
          <t>x̄x̄x̄MV̅CCLVII</t>
        </is>
      </c>
      <c r="C34258">
        <f>ROMAN(34257)</f>
        <v/>
      </c>
      <c r="D34258">
        <f>IF(B34258=C34258, "YES", "WRONG")</f>
        <v/>
      </c>
    </row>
    <row r="34259">
      <c r="A34259" t="n">
        <v>34258</v>
      </c>
      <c r="B34259" t="inlineStr">
        <is>
          <t>x̄x̄x̄MV̅CCLVIII</t>
        </is>
      </c>
      <c r="C34259">
        <f>ROMAN(34258)</f>
        <v/>
      </c>
      <c r="D34259">
        <f>IF(B34259=C34259, "YES", "WRONG")</f>
        <v/>
      </c>
    </row>
    <row r="34260">
      <c r="A34260" t="n">
        <v>34259</v>
      </c>
      <c r="B34260" t="inlineStr">
        <is>
          <t>x̄x̄x̄MV̅CCLIX</t>
        </is>
      </c>
      <c r="C34260">
        <f>ROMAN(34259)</f>
        <v/>
      </c>
      <c r="D34260">
        <f>IF(B34260=C34260, "YES", "WRONG")</f>
        <v/>
      </c>
    </row>
    <row r="34261">
      <c r="A34261" t="n">
        <v>34260</v>
      </c>
      <c r="B34261" t="inlineStr">
        <is>
          <t>x̄x̄x̄MV̅CCLX</t>
        </is>
      </c>
      <c r="C34261">
        <f>ROMAN(34260)</f>
        <v/>
      </c>
      <c r="D34261">
        <f>IF(B34261=C34261, "YES", "WRONG")</f>
        <v/>
      </c>
    </row>
    <row r="34262">
      <c r="A34262" t="n">
        <v>34261</v>
      </c>
      <c r="B34262" t="inlineStr">
        <is>
          <t>x̄x̄x̄MV̅CCLXI</t>
        </is>
      </c>
      <c r="C34262">
        <f>ROMAN(34261)</f>
        <v/>
      </c>
      <c r="D34262">
        <f>IF(B34262=C34262, "YES", "WRONG")</f>
        <v/>
      </c>
    </row>
    <row r="34263">
      <c r="A34263" t="n">
        <v>34262</v>
      </c>
      <c r="B34263" t="inlineStr">
        <is>
          <t>x̄x̄x̄MV̅CCLXII</t>
        </is>
      </c>
      <c r="C34263">
        <f>ROMAN(34262)</f>
        <v/>
      </c>
      <c r="D34263">
        <f>IF(B34263=C34263, "YES", "WRONG")</f>
        <v/>
      </c>
    </row>
    <row r="34264">
      <c r="A34264" t="n">
        <v>34263</v>
      </c>
      <c r="B34264" t="inlineStr">
        <is>
          <t>x̄x̄x̄MV̅CCLXIII</t>
        </is>
      </c>
      <c r="C34264">
        <f>ROMAN(34263)</f>
        <v/>
      </c>
      <c r="D34264">
        <f>IF(B34264=C34264, "YES", "WRONG")</f>
        <v/>
      </c>
    </row>
    <row r="34265">
      <c r="A34265" t="n">
        <v>34264</v>
      </c>
      <c r="B34265" t="inlineStr">
        <is>
          <t>x̄x̄x̄MV̅CCLXIV</t>
        </is>
      </c>
      <c r="C34265">
        <f>ROMAN(34264)</f>
        <v/>
      </c>
      <c r="D34265">
        <f>IF(B34265=C34265, "YES", "WRONG")</f>
        <v/>
      </c>
    </row>
    <row r="34266">
      <c r="A34266" t="n">
        <v>34265</v>
      </c>
      <c r="B34266" t="inlineStr">
        <is>
          <t>x̄x̄x̄MV̅CCLXV</t>
        </is>
      </c>
      <c r="C34266">
        <f>ROMAN(34265)</f>
        <v/>
      </c>
      <c r="D34266">
        <f>IF(B34266=C34266, "YES", "WRONG")</f>
        <v/>
      </c>
    </row>
    <row r="34267">
      <c r="A34267" t="n">
        <v>34266</v>
      </c>
      <c r="B34267" t="inlineStr">
        <is>
          <t>x̄x̄x̄MV̅CCLXVI</t>
        </is>
      </c>
      <c r="C34267">
        <f>ROMAN(34266)</f>
        <v/>
      </c>
      <c r="D34267">
        <f>IF(B34267=C34267, "YES", "WRONG")</f>
        <v/>
      </c>
    </row>
    <row r="34268">
      <c r="A34268" t="n">
        <v>34267</v>
      </c>
      <c r="B34268" t="inlineStr">
        <is>
          <t>x̄x̄x̄MV̅CCLXVII</t>
        </is>
      </c>
      <c r="C34268">
        <f>ROMAN(34267)</f>
        <v/>
      </c>
      <c r="D34268">
        <f>IF(B34268=C34268, "YES", "WRONG")</f>
        <v/>
      </c>
    </row>
    <row r="34269">
      <c r="A34269" t="n">
        <v>34268</v>
      </c>
      <c r="B34269" t="inlineStr">
        <is>
          <t>x̄x̄x̄MV̅CCLXVIII</t>
        </is>
      </c>
      <c r="C34269">
        <f>ROMAN(34268)</f>
        <v/>
      </c>
      <c r="D34269">
        <f>IF(B34269=C34269, "YES", "WRONG")</f>
        <v/>
      </c>
    </row>
    <row r="34270">
      <c r="A34270" t="n">
        <v>34269</v>
      </c>
      <c r="B34270" t="inlineStr">
        <is>
          <t>x̄x̄x̄MV̅CCLXIX</t>
        </is>
      </c>
      <c r="C34270">
        <f>ROMAN(34269)</f>
        <v/>
      </c>
      <c r="D34270">
        <f>IF(B34270=C34270, "YES", "WRONG")</f>
        <v/>
      </c>
    </row>
    <row r="34271">
      <c r="A34271" t="n">
        <v>34270</v>
      </c>
      <c r="B34271" t="inlineStr">
        <is>
          <t>x̄x̄x̄MV̅CCLXX</t>
        </is>
      </c>
      <c r="C34271">
        <f>ROMAN(34270)</f>
        <v/>
      </c>
      <c r="D34271">
        <f>IF(B34271=C34271, "YES", "WRONG")</f>
        <v/>
      </c>
    </row>
    <row r="34272">
      <c r="A34272" t="n">
        <v>34271</v>
      </c>
      <c r="B34272" t="inlineStr">
        <is>
          <t>x̄x̄x̄MV̅CCLXXI</t>
        </is>
      </c>
      <c r="C34272">
        <f>ROMAN(34271)</f>
        <v/>
      </c>
      <c r="D34272">
        <f>IF(B34272=C34272, "YES", "WRONG")</f>
        <v/>
      </c>
    </row>
    <row r="34273">
      <c r="A34273" t="n">
        <v>34272</v>
      </c>
      <c r="B34273" t="inlineStr">
        <is>
          <t>x̄x̄x̄MV̅CCLXXII</t>
        </is>
      </c>
      <c r="C34273">
        <f>ROMAN(34272)</f>
        <v/>
      </c>
      <c r="D34273">
        <f>IF(B34273=C34273, "YES", "WRONG")</f>
        <v/>
      </c>
    </row>
    <row r="34274">
      <c r="A34274" t="n">
        <v>34273</v>
      </c>
      <c r="B34274" t="inlineStr">
        <is>
          <t>x̄x̄x̄MV̅CCLXXIII</t>
        </is>
      </c>
      <c r="C34274">
        <f>ROMAN(34273)</f>
        <v/>
      </c>
      <c r="D34274">
        <f>IF(B34274=C34274, "YES", "WRONG")</f>
        <v/>
      </c>
    </row>
    <row r="34275">
      <c r="A34275" t="n">
        <v>34274</v>
      </c>
      <c r="B34275" t="inlineStr">
        <is>
          <t>x̄x̄x̄MV̅CCLXXIV</t>
        </is>
      </c>
      <c r="C34275">
        <f>ROMAN(34274)</f>
        <v/>
      </c>
      <c r="D34275">
        <f>IF(B34275=C34275, "YES", "WRONG")</f>
        <v/>
      </c>
    </row>
    <row r="34276">
      <c r="A34276" t="n">
        <v>34275</v>
      </c>
      <c r="B34276" t="inlineStr">
        <is>
          <t>x̄x̄x̄MV̅CCLXXV</t>
        </is>
      </c>
      <c r="C34276">
        <f>ROMAN(34275)</f>
        <v/>
      </c>
      <c r="D34276">
        <f>IF(B34276=C34276, "YES", "WRONG")</f>
        <v/>
      </c>
    </row>
    <row r="34277">
      <c r="A34277" t="n">
        <v>34276</v>
      </c>
      <c r="B34277" t="inlineStr">
        <is>
          <t>x̄x̄x̄MV̅CCLXXVI</t>
        </is>
      </c>
      <c r="C34277">
        <f>ROMAN(34276)</f>
        <v/>
      </c>
      <c r="D34277">
        <f>IF(B34277=C34277, "YES", "WRONG")</f>
        <v/>
      </c>
    </row>
    <row r="34278">
      <c r="A34278" t="n">
        <v>34277</v>
      </c>
      <c r="B34278" t="inlineStr">
        <is>
          <t>x̄x̄x̄MV̅CCLXXVII</t>
        </is>
      </c>
      <c r="C34278">
        <f>ROMAN(34277)</f>
        <v/>
      </c>
      <c r="D34278">
        <f>IF(B34278=C34278, "YES", "WRONG")</f>
        <v/>
      </c>
    </row>
    <row r="34279">
      <c r="A34279" t="n">
        <v>34278</v>
      </c>
      <c r="B34279" t="inlineStr">
        <is>
          <t>x̄x̄x̄MV̅CCLXXVIII</t>
        </is>
      </c>
      <c r="C34279">
        <f>ROMAN(34278)</f>
        <v/>
      </c>
      <c r="D34279">
        <f>IF(B34279=C34279, "YES", "WRONG")</f>
        <v/>
      </c>
    </row>
    <row r="34280">
      <c r="A34280" t="n">
        <v>34279</v>
      </c>
      <c r="B34280" t="inlineStr">
        <is>
          <t>x̄x̄x̄MV̅CCLXXIX</t>
        </is>
      </c>
      <c r="C34280">
        <f>ROMAN(34279)</f>
        <v/>
      </c>
      <c r="D34280">
        <f>IF(B34280=C34280, "YES", "WRONG")</f>
        <v/>
      </c>
    </row>
    <row r="34281">
      <c r="A34281" t="n">
        <v>34280</v>
      </c>
      <c r="B34281" t="inlineStr">
        <is>
          <t>x̄x̄x̄MV̅CCLXXX</t>
        </is>
      </c>
      <c r="C34281">
        <f>ROMAN(34280)</f>
        <v/>
      </c>
      <c r="D34281">
        <f>IF(B34281=C34281, "YES", "WRONG")</f>
        <v/>
      </c>
    </row>
    <row r="34282">
      <c r="A34282" t="n">
        <v>34281</v>
      </c>
      <c r="B34282" t="inlineStr">
        <is>
          <t>x̄x̄x̄MV̅CCLXXXI</t>
        </is>
      </c>
      <c r="C34282">
        <f>ROMAN(34281)</f>
        <v/>
      </c>
      <c r="D34282">
        <f>IF(B34282=C34282, "YES", "WRONG")</f>
        <v/>
      </c>
    </row>
    <row r="34283">
      <c r="A34283" t="n">
        <v>34282</v>
      </c>
      <c r="B34283" t="inlineStr">
        <is>
          <t>x̄x̄x̄MV̅CCLXXXII</t>
        </is>
      </c>
      <c r="C34283">
        <f>ROMAN(34282)</f>
        <v/>
      </c>
      <c r="D34283">
        <f>IF(B34283=C34283, "YES", "WRONG")</f>
        <v/>
      </c>
    </row>
    <row r="34284">
      <c r="A34284" t="n">
        <v>34283</v>
      </c>
      <c r="B34284" t="inlineStr">
        <is>
          <t>x̄x̄x̄MV̅CCLXXXIII</t>
        </is>
      </c>
      <c r="C34284">
        <f>ROMAN(34283)</f>
        <v/>
      </c>
      <c r="D34284">
        <f>IF(B34284=C34284, "YES", "WRONG")</f>
        <v/>
      </c>
    </row>
    <row r="34285">
      <c r="A34285" t="n">
        <v>34284</v>
      </c>
      <c r="B34285" t="inlineStr">
        <is>
          <t>x̄x̄x̄MV̅CCLXXXIV</t>
        </is>
      </c>
      <c r="C34285">
        <f>ROMAN(34284)</f>
        <v/>
      </c>
      <c r="D34285">
        <f>IF(B34285=C34285, "YES", "WRONG")</f>
        <v/>
      </c>
    </row>
    <row r="34286">
      <c r="A34286" t="n">
        <v>34285</v>
      </c>
      <c r="B34286" t="inlineStr">
        <is>
          <t>x̄x̄x̄MV̅CCLXXXV</t>
        </is>
      </c>
      <c r="C34286">
        <f>ROMAN(34285)</f>
        <v/>
      </c>
      <c r="D34286">
        <f>IF(B34286=C34286, "YES", "WRONG")</f>
        <v/>
      </c>
    </row>
    <row r="34287">
      <c r="A34287" t="n">
        <v>34286</v>
      </c>
      <c r="B34287" t="inlineStr">
        <is>
          <t>x̄x̄x̄MV̅CCLXXXVI</t>
        </is>
      </c>
      <c r="C34287">
        <f>ROMAN(34286)</f>
        <v/>
      </c>
      <c r="D34287">
        <f>IF(B34287=C34287, "YES", "WRONG")</f>
        <v/>
      </c>
    </row>
    <row r="34288">
      <c r="A34288" t="n">
        <v>34287</v>
      </c>
      <c r="B34288" t="inlineStr">
        <is>
          <t>x̄x̄x̄MV̅CCLXXXVII</t>
        </is>
      </c>
      <c r="C34288">
        <f>ROMAN(34287)</f>
        <v/>
      </c>
      <c r="D34288">
        <f>IF(B34288=C34288, "YES", "WRONG")</f>
        <v/>
      </c>
    </row>
    <row r="34289">
      <c r="A34289" t="n">
        <v>34288</v>
      </c>
      <c r="B34289" t="inlineStr">
        <is>
          <t>x̄x̄x̄MV̅CCLXXXVIII</t>
        </is>
      </c>
      <c r="C34289">
        <f>ROMAN(34288)</f>
        <v/>
      </c>
      <c r="D34289">
        <f>IF(B34289=C34289, "YES", "WRONG")</f>
        <v/>
      </c>
    </row>
    <row r="34290">
      <c r="A34290" t="n">
        <v>34289</v>
      </c>
      <c r="B34290" t="inlineStr">
        <is>
          <t>x̄x̄x̄MV̅CCLXXXIX</t>
        </is>
      </c>
      <c r="C34290">
        <f>ROMAN(34289)</f>
        <v/>
      </c>
      <c r="D34290">
        <f>IF(B34290=C34290, "YES", "WRONG")</f>
        <v/>
      </c>
    </row>
    <row r="34291">
      <c r="A34291" t="n">
        <v>34290</v>
      </c>
      <c r="B34291" t="inlineStr">
        <is>
          <t>x̄x̄x̄MV̅CCXC</t>
        </is>
      </c>
      <c r="C34291">
        <f>ROMAN(34290)</f>
        <v/>
      </c>
      <c r="D34291">
        <f>IF(B34291=C34291, "YES", "WRONG")</f>
        <v/>
      </c>
    </row>
    <row r="34292">
      <c r="A34292" t="n">
        <v>34291</v>
      </c>
      <c r="B34292" t="inlineStr">
        <is>
          <t>x̄x̄x̄MV̅CCXCI</t>
        </is>
      </c>
      <c r="C34292">
        <f>ROMAN(34291)</f>
        <v/>
      </c>
      <c r="D34292">
        <f>IF(B34292=C34292, "YES", "WRONG")</f>
        <v/>
      </c>
    </row>
    <row r="34293">
      <c r="A34293" t="n">
        <v>34292</v>
      </c>
      <c r="B34293" t="inlineStr">
        <is>
          <t>x̄x̄x̄MV̅CCXCII</t>
        </is>
      </c>
      <c r="C34293">
        <f>ROMAN(34292)</f>
        <v/>
      </c>
      <c r="D34293">
        <f>IF(B34293=C34293, "YES", "WRONG")</f>
        <v/>
      </c>
    </row>
    <row r="34294">
      <c r="A34294" t="n">
        <v>34293</v>
      </c>
      <c r="B34294" t="inlineStr">
        <is>
          <t>x̄x̄x̄MV̅CCXCIII</t>
        </is>
      </c>
      <c r="C34294">
        <f>ROMAN(34293)</f>
        <v/>
      </c>
      <c r="D34294">
        <f>IF(B34294=C34294, "YES", "WRONG")</f>
        <v/>
      </c>
    </row>
    <row r="34295">
      <c r="A34295" t="n">
        <v>34294</v>
      </c>
      <c r="B34295" t="inlineStr">
        <is>
          <t>x̄x̄x̄MV̅CCXCIV</t>
        </is>
      </c>
      <c r="C34295">
        <f>ROMAN(34294)</f>
        <v/>
      </c>
      <c r="D34295">
        <f>IF(B34295=C34295, "YES", "WRONG")</f>
        <v/>
      </c>
    </row>
    <row r="34296">
      <c r="A34296" t="n">
        <v>34295</v>
      </c>
      <c r="B34296" t="inlineStr">
        <is>
          <t>x̄x̄x̄MV̅CCXCV</t>
        </is>
      </c>
      <c r="C34296">
        <f>ROMAN(34295)</f>
        <v/>
      </c>
      <c r="D34296">
        <f>IF(B34296=C34296, "YES", "WRONG")</f>
        <v/>
      </c>
    </row>
    <row r="34297">
      <c r="A34297" t="n">
        <v>34296</v>
      </c>
      <c r="B34297" t="inlineStr">
        <is>
          <t>x̄x̄x̄MV̅CCXCVI</t>
        </is>
      </c>
      <c r="C34297">
        <f>ROMAN(34296)</f>
        <v/>
      </c>
      <c r="D34297">
        <f>IF(B34297=C34297, "YES", "WRONG")</f>
        <v/>
      </c>
    </row>
    <row r="34298">
      <c r="A34298" t="n">
        <v>34297</v>
      </c>
      <c r="B34298" t="inlineStr">
        <is>
          <t>x̄x̄x̄MV̅CCXCVII</t>
        </is>
      </c>
      <c r="C34298">
        <f>ROMAN(34297)</f>
        <v/>
      </c>
      <c r="D34298">
        <f>IF(B34298=C34298, "YES", "WRONG")</f>
        <v/>
      </c>
    </row>
    <row r="34299">
      <c r="A34299" t="n">
        <v>34298</v>
      </c>
      <c r="B34299" t="inlineStr">
        <is>
          <t>x̄x̄x̄MV̅CCXCVIII</t>
        </is>
      </c>
      <c r="C34299">
        <f>ROMAN(34298)</f>
        <v/>
      </c>
      <c r="D34299">
        <f>IF(B34299=C34299, "YES", "WRONG")</f>
        <v/>
      </c>
    </row>
    <row r="34300">
      <c r="A34300" t="n">
        <v>34299</v>
      </c>
      <c r="B34300" t="inlineStr">
        <is>
          <t>x̄x̄x̄MV̅CCXCIX</t>
        </is>
      </c>
      <c r="C34300">
        <f>ROMAN(34299)</f>
        <v/>
      </c>
      <c r="D34300">
        <f>IF(B34300=C34300, "YES", "WRONG")</f>
        <v/>
      </c>
    </row>
    <row r="34301">
      <c r="A34301" t="n">
        <v>34300</v>
      </c>
      <c r="B34301" t="inlineStr">
        <is>
          <t>x̄x̄x̄MV̅CCC</t>
        </is>
      </c>
      <c r="C34301">
        <f>ROMAN(34300)</f>
        <v/>
      </c>
      <c r="D34301">
        <f>IF(B34301=C34301, "YES", "WRONG")</f>
        <v/>
      </c>
    </row>
    <row r="34302">
      <c r="A34302" t="n">
        <v>34301</v>
      </c>
      <c r="B34302" t="inlineStr">
        <is>
          <t>x̄x̄x̄MV̅CCCI</t>
        </is>
      </c>
      <c r="C34302">
        <f>ROMAN(34301)</f>
        <v/>
      </c>
      <c r="D34302">
        <f>IF(B34302=C34302, "YES", "WRONG")</f>
        <v/>
      </c>
    </row>
    <row r="34303">
      <c r="A34303" t="n">
        <v>34302</v>
      </c>
      <c r="B34303" t="inlineStr">
        <is>
          <t>x̄x̄x̄MV̅CCCII</t>
        </is>
      </c>
      <c r="C34303">
        <f>ROMAN(34302)</f>
        <v/>
      </c>
      <c r="D34303">
        <f>IF(B34303=C34303, "YES", "WRONG")</f>
        <v/>
      </c>
    </row>
    <row r="34304">
      <c r="A34304" t="n">
        <v>34303</v>
      </c>
      <c r="B34304" t="inlineStr">
        <is>
          <t>x̄x̄x̄MV̅CCCIII</t>
        </is>
      </c>
      <c r="C34304">
        <f>ROMAN(34303)</f>
        <v/>
      </c>
      <c r="D34304">
        <f>IF(B34304=C34304, "YES", "WRONG")</f>
        <v/>
      </c>
    </row>
    <row r="34305">
      <c r="A34305" t="n">
        <v>34304</v>
      </c>
      <c r="B34305" t="inlineStr">
        <is>
          <t>x̄x̄x̄MV̅CCCIV</t>
        </is>
      </c>
      <c r="C34305">
        <f>ROMAN(34304)</f>
        <v/>
      </c>
      <c r="D34305">
        <f>IF(B34305=C34305, "YES", "WRONG")</f>
        <v/>
      </c>
    </row>
    <row r="34306">
      <c r="A34306" t="n">
        <v>34305</v>
      </c>
      <c r="B34306" t="inlineStr">
        <is>
          <t>x̄x̄x̄MV̅CCCV</t>
        </is>
      </c>
      <c r="C34306">
        <f>ROMAN(34305)</f>
        <v/>
      </c>
      <c r="D34306">
        <f>IF(B34306=C34306, "YES", "WRONG")</f>
        <v/>
      </c>
    </row>
    <row r="34307">
      <c r="A34307" t="n">
        <v>34306</v>
      </c>
      <c r="B34307" t="inlineStr">
        <is>
          <t>x̄x̄x̄MV̅CCCVI</t>
        </is>
      </c>
      <c r="C34307">
        <f>ROMAN(34306)</f>
        <v/>
      </c>
      <c r="D34307">
        <f>IF(B34307=C34307, "YES", "WRONG")</f>
        <v/>
      </c>
    </row>
    <row r="34308">
      <c r="A34308" t="n">
        <v>34307</v>
      </c>
      <c r="B34308" t="inlineStr">
        <is>
          <t>x̄x̄x̄MV̅CCCVII</t>
        </is>
      </c>
      <c r="C34308">
        <f>ROMAN(34307)</f>
        <v/>
      </c>
      <c r="D34308">
        <f>IF(B34308=C34308, "YES", "WRONG")</f>
        <v/>
      </c>
    </row>
    <row r="34309">
      <c r="A34309" t="n">
        <v>34308</v>
      </c>
      <c r="B34309" t="inlineStr">
        <is>
          <t>x̄x̄x̄MV̅CCCVIII</t>
        </is>
      </c>
      <c r="C34309">
        <f>ROMAN(34308)</f>
        <v/>
      </c>
      <c r="D34309">
        <f>IF(B34309=C34309, "YES", "WRONG")</f>
        <v/>
      </c>
    </row>
    <row r="34310">
      <c r="A34310" t="n">
        <v>34309</v>
      </c>
      <c r="B34310" t="inlineStr">
        <is>
          <t>x̄x̄x̄MV̅CCCIX</t>
        </is>
      </c>
      <c r="C34310">
        <f>ROMAN(34309)</f>
        <v/>
      </c>
      <c r="D34310">
        <f>IF(B34310=C34310, "YES", "WRONG")</f>
        <v/>
      </c>
    </row>
    <row r="34311">
      <c r="A34311" t="n">
        <v>34310</v>
      </c>
      <c r="B34311" t="inlineStr">
        <is>
          <t>x̄x̄x̄MV̅CCCX</t>
        </is>
      </c>
      <c r="C34311">
        <f>ROMAN(34310)</f>
        <v/>
      </c>
      <c r="D34311">
        <f>IF(B34311=C34311, "YES", "WRONG")</f>
        <v/>
      </c>
    </row>
    <row r="34312">
      <c r="A34312" t="n">
        <v>34311</v>
      </c>
      <c r="B34312" t="inlineStr">
        <is>
          <t>x̄x̄x̄MV̅CCCXI</t>
        </is>
      </c>
      <c r="C34312">
        <f>ROMAN(34311)</f>
        <v/>
      </c>
      <c r="D34312">
        <f>IF(B34312=C34312, "YES", "WRONG")</f>
        <v/>
      </c>
    </row>
    <row r="34313">
      <c r="A34313" t="n">
        <v>34312</v>
      </c>
      <c r="B34313" t="inlineStr">
        <is>
          <t>x̄x̄x̄MV̅CCCXII</t>
        </is>
      </c>
      <c r="C34313">
        <f>ROMAN(34312)</f>
        <v/>
      </c>
      <c r="D34313">
        <f>IF(B34313=C34313, "YES", "WRONG")</f>
        <v/>
      </c>
    </row>
    <row r="34314">
      <c r="A34314" t="n">
        <v>34313</v>
      </c>
      <c r="B34314" t="inlineStr">
        <is>
          <t>x̄x̄x̄MV̅CCCXIII</t>
        </is>
      </c>
      <c r="C34314">
        <f>ROMAN(34313)</f>
        <v/>
      </c>
      <c r="D34314">
        <f>IF(B34314=C34314, "YES", "WRONG")</f>
        <v/>
      </c>
    </row>
    <row r="34315">
      <c r="A34315" t="n">
        <v>34314</v>
      </c>
      <c r="B34315" t="inlineStr">
        <is>
          <t>x̄x̄x̄MV̅CCCXIV</t>
        </is>
      </c>
      <c r="C34315">
        <f>ROMAN(34314)</f>
        <v/>
      </c>
      <c r="D34315">
        <f>IF(B34315=C34315, "YES", "WRONG")</f>
        <v/>
      </c>
    </row>
    <row r="34316">
      <c r="A34316" t="n">
        <v>34315</v>
      </c>
      <c r="B34316" t="inlineStr">
        <is>
          <t>x̄x̄x̄MV̅CCCXV</t>
        </is>
      </c>
      <c r="C34316">
        <f>ROMAN(34315)</f>
        <v/>
      </c>
      <c r="D34316">
        <f>IF(B34316=C34316, "YES", "WRONG")</f>
        <v/>
      </c>
    </row>
    <row r="34317">
      <c r="A34317" t="n">
        <v>34316</v>
      </c>
      <c r="B34317" t="inlineStr">
        <is>
          <t>x̄x̄x̄MV̅CCCXVI</t>
        </is>
      </c>
      <c r="C34317">
        <f>ROMAN(34316)</f>
        <v/>
      </c>
      <c r="D34317">
        <f>IF(B34317=C34317, "YES", "WRONG")</f>
        <v/>
      </c>
    </row>
    <row r="34318">
      <c r="A34318" t="n">
        <v>34317</v>
      </c>
      <c r="B34318" t="inlineStr">
        <is>
          <t>x̄x̄x̄MV̅CCCXVII</t>
        </is>
      </c>
      <c r="C34318">
        <f>ROMAN(34317)</f>
        <v/>
      </c>
      <c r="D34318">
        <f>IF(B34318=C34318, "YES", "WRONG")</f>
        <v/>
      </c>
    </row>
    <row r="34319">
      <c r="A34319" t="n">
        <v>34318</v>
      </c>
      <c r="B34319" t="inlineStr">
        <is>
          <t>x̄x̄x̄MV̅CCCXVIII</t>
        </is>
      </c>
      <c r="C34319">
        <f>ROMAN(34318)</f>
        <v/>
      </c>
      <c r="D34319">
        <f>IF(B34319=C34319, "YES", "WRONG")</f>
        <v/>
      </c>
    </row>
    <row r="34320">
      <c r="A34320" t="n">
        <v>34319</v>
      </c>
      <c r="B34320" t="inlineStr">
        <is>
          <t>x̄x̄x̄MV̅CCCXIX</t>
        </is>
      </c>
      <c r="C34320">
        <f>ROMAN(34319)</f>
        <v/>
      </c>
      <c r="D34320">
        <f>IF(B34320=C34320, "YES", "WRONG")</f>
        <v/>
      </c>
    </row>
    <row r="34321">
      <c r="A34321" t="n">
        <v>34320</v>
      </c>
      <c r="B34321" t="inlineStr">
        <is>
          <t>x̄x̄x̄MV̅CCCXX</t>
        </is>
      </c>
      <c r="C34321">
        <f>ROMAN(34320)</f>
        <v/>
      </c>
      <c r="D34321">
        <f>IF(B34321=C34321, "YES", "WRONG")</f>
        <v/>
      </c>
    </row>
    <row r="34322">
      <c r="A34322" t="n">
        <v>34321</v>
      </c>
      <c r="B34322" t="inlineStr">
        <is>
          <t>x̄x̄x̄MV̅CCCXXI</t>
        </is>
      </c>
      <c r="C34322">
        <f>ROMAN(34321)</f>
        <v/>
      </c>
      <c r="D34322">
        <f>IF(B34322=C34322, "YES", "WRONG")</f>
        <v/>
      </c>
    </row>
    <row r="34323">
      <c r="A34323" t="n">
        <v>34322</v>
      </c>
      <c r="B34323" t="inlineStr">
        <is>
          <t>x̄x̄x̄MV̅CCCXXII</t>
        </is>
      </c>
      <c r="C34323">
        <f>ROMAN(34322)</f>
        <v/>
      </c>
      <c r="D34323">
        <f>IF(B34323=C34323, "YES", "WRONG")</f>
        <v/>
      </c>
    </row>
    <row r="34324">
      <c r="A34324" t="n">
        <v>34323</v>
      </c>
      <c r="B34324" t="inlineStr">
        <is>
          <t>x̄x̄x̄MV̅CCCXXIII</t>
        </is>
      </c>
      <c r="C34324">
        <f>ROMAN(34323)</f>
        <v/>
      </c>
      <c r="D34324">
        <f>IF(B34324=C34324, "YES", "WRONG")</f>
        <v/>
      </c>
    </row>
    <row r="34325">
      <c r="A34325" t="n">
        <v>34324</v>
      </c>
      <c r="B34325" t="inlineStr">
        <is>
          <t>x̄x̄x̄MV̅CCCXXIV</t>
        </is>
      </c>
      <c r="C34325">
        <f>ROMAN(34324)</f>
        <v/>
      </c>
      <c r="D34325">
        <f>IF(B34325=C34325, "YES", "WRONG")</f>
        <v/>
      </c>
    </row>
    <row r="34326">
      <c r="A34326" t="n">
        <v>34325</v>
      </c>
      <c r="B34326" t="inlineStr">
        <is>
          <t>x̄x̄x̄MV̅CCCXXV</t>
        </is>
      </c>
      <c r="C34326">
        <f>ROMAN(34325)</f>
        <v/>
      </c>
      <c r="D34326">
        <f>IF(B34326=C34326, "YES", "WRONG")</f>
        <v/>
      </c>
    </row>
    <row r="34327">
      <c r="A34327" t="n">
        <v>34326</v>
      </c>
      <c r="B34327" t="inlineStr">
        <is>
          <t>x̄x̄x̄MV̅CCCXXVI</t>
        </is>
      </c>
      <c r="C34327">
        <f>ROMAN(34326)</f>
        <v/>
      </c>
      <c r="D34327">
        <f>IF(B34327=C34327, "YES", "WRONG")</f>
        <v/>
      </c>
    </row>
    <row r="34328">
      <c r="A34328" t="n">
        <v>34327</v>
      </c>
      <c r="B34328" t="inlineStr">
        <is>
          <t>x̄x̄x̄MV̅CCCXXVII</t>
        </is>
      </c>
      <c r="C34328">
        <f>ROMAN(34327)</f>
        <v/>
      </c>
      <c r="D34328">
        <f>IF(B34328=C34328, "YES", "WRONG")</f>
        <v/>
      </c>
    </row>
    <row r="34329">
      <c r="A34329" t="n">
        <v>34328</v>
      </c>
      <c r="B34329" t="inlineStr">
        <is>
          <t>x̄x̄x̄MV̅CCCXXVIII</t>
        </is>
      </c>
      <c r="C34329">
        <f>ROMAN(34328)</f>
        <v/>
      </c>
      <c r="D34329">
        <f>IF(B34329=C34329, "YES", "WRONG")</f>
        <v/>
      </c>
    </row>
    <row r="34330">
      <c r="A34330" t="n">
        <v>34329</v>
      </c>
      <c r="B34330" t="inlineStr">
        <is>
          <t>x̄x̄x̄MV̅CCCXXIX</t>
        </is>
      </c>
      <c r="C34330">
        <f>ROMAN(34329)</f>
        <v/>
      </c>
      <c r="D34330">
        <f>IF(B34330=C34330, "YES", "WRONG")</f>
        <v/>
      </c>
    </row>
    <row r="34331">
      <c r="A34331" t="n">
        <v>34330</v>
      </c>
      <c r="B34331" t="inlineStr">
        <is>
          <t>x̄x̄x̄MV̅CCCXXX</t>
        </is>
      </c>
      <c r="C34331">
        <f>ROMAN(34330)</f>
        <v/>
      </c>
      <c r="D34331">
        <f>IF(B34331=C34331, "YES", "WRONG")</f>
        <v/>
      </c>
    </row>
    <row r="34332">
      <c r="A34332" t="n">
        <v>34331</v>
      </c>
      <c r="B34332" t="inlineStr">
        <is>
          <t>x̄x̄x̄MV̅CCCXXXI</t>
        </is>
      </c>
      <c r="C34332">
        <f>ROMAN(34331)</f>
        <v/>
      </c>
      <c r="D34332">
        <f>IF(B34332=C34332, "YES", "WRONG")</f>
        <v/>
      </c>
    </row>
    <row r="34333">
      <c r="A34333" t="n">
        <v>34332</v>
      </c>
      <c r="B34333" t="inlineStr">
        <is>
          <t>x̄x̄x̄MV̅CCCXXXII</t>
        </is>
      </c>
      <c r="C34333">
        <f>ROMAN(34332)</f>
        <v/>
      </c>
      <c r="D34333">
        <f>IF(B34333=C34333, "YES", "WRONG")</f>
        <v/>
      </c>
    </row>
    <row r="34334">
      <c r="A34334" t="n">
        <v>34333</v>
      </c>
      <c r="B34334" t="inlineStr">
        <is>
          <t>x̄x̄x̄MV̅CCCXXXIII</t>
        </is>
      </c>
      <c r="C34334">
        <f>ROMAN(34333)</f>
        <v/>
      </c>
      <c r="D34334">
        <f>IF(B34334=C34334, "YES", "WRONG")</f>
        <v/>
      </c>
    </row>
    <row r="34335">
      <c r="A34335" t="n">
        <v>34334</v>
      </c>
      <c r="B34335" t="inlineStr">
        <is>
          <t>x̄x̄x̄MV̅CCCXXXIV</t>
        </is>
      </c>
      <c r="C34335">
        <f>ROMAN(34334)</f>
        <v/>
      </c>
      <c r="D34335">
        <f>IF(B34335=C34335, "YES", "WRONG")</f>
        <v/>
      </c>
    </row>
    <row r="34336">
      <c r="A34336" t="n">
        <v>34335</v>
      </c>
      <c r="B34336" t="inlineStr">
        <is>
          <t>x̄x̄x̄MV̅CCCXXXV</t>
        </is>
      </c>
      <c r="C34336">
        <f>ROMAN(34335)</f>
        <v/>
      </c>
      <c r="D34336">
        <f>IF(B34336=C34336, "YES", "WRONG")</f>
        <v/>
      </c>
    </row>
    <row r="34337">
      <c r="A34337" t="n">
        <v>34336</v>
      </c>
      <c r="B34337" t="inlineStr">
        <is>
          <t>x̄x̄x̄MV̅CCCXXXVI</t>
        </is>
      </c>
      <c r="C34337">
        <f>ROMAN(34336)</f>
        <v/>
      </c>
      <c r="D34337">
        <f>IF(B34337=C34337, "YES", "WRONG")</f>
        <v/>
      </c>
    </row>
    <row r="34338">
      <c r="A34338" t="n">
        <v>34337</v>
      </c>
      <c r="B34338" t="inlineStr">
        <is>
          <t>x̄x̄x̄MV̅CCCXXXVII</t>
        </is>
      </c>
      <c r="C34338">
        <f>ROMAN(34337)</f>
        <v/>
      </c>
      <c r="D34338">
        <f>IF(B34338=C34338, "YES", "WRONG")</f>
        <v/>
      </c>
    </row>
    <row r="34339">
      <c r="A34339" t="n">
        <v>34338</v>
      </c>
      <c r="B34339" t="inlineStr">
        <is>
          <t>x̄x̄x̄MV̅CCCXXXVIII</t>
        </is>
      </c>
      <c r="C34339">
        <f>ROMAN(34338)</f>
        <v/>
      </c>
      <c r="D34339">
        <f>IF(B34339=C34339, "YES", "WRONG")</f>
        <v/>
      </c>
    </row>
    <row r="34340">
      <c r="A34340" t="n">
        <v>34339</v>
      </c>
      <c r="B34340" t="inlineStr">
        <is>
          <t>x̄x̄x̄MV̅CCCXXXIX</t>
        </is>
      </c>
      <c r="C34340">
        <f>ROMAN(34339)</f>
        <v/>
      </c>
      <c r="D34340">
        <f>IF(B34340=C34340, "YES", "WRONG")</f>
        <v/>
      </c>
    </row>
    <row r="34341">
      <c r="A34341" t="n">
        <v>34340</v>
      </c>
      <c r="B34341" t="inlineStr">
        <is>
          <t>x̄x̄x̄MV̅CCCXL</t>
        </is>
      </c>
      <c r="C34341">
        <f>ROMAN(34340)</f>
        <v/>
      </c>
      <c r="D34341">
        <f>IF(B34341=C34341, "YES", "WRONG")</f>
        <v/>
      </c>
    </row>
    <row r="34342">
      <c r="A34342" t="n">
        <v>34341</v>
      </c>
      <c r="B34342" t="inlineStr">
        <is>
          <t>x̄x̄x̄MV̅CCCXLI</t>
        </is>
      </c>
      <c r="C34342">
        <f>ROMAN(34341)</f>
        <v/>
      </c>
      <c r="D34342">
        <f>IF(B34342=C34342, "YES", "WRONG")</f>
        <v/>
      </c>
    </row>
    <row r="34343">
      <c r="A34343" t="n">
        <v>34342</v>
      </c>
      <c r="B34343" t="inlineStr">
        <is>
          <t>x̄x̄x̄MV̅CCCXLII</t>
        </is>
      </c>
      <c r="C34343">
        <f>ROMAN(34342)</f>
        <v/>
      </c>
      <c r="D34343">
        <f>IF(B34343=C34343, "YES", "WRONG")</f>
        <v/>
      </c>
    </row>
    <row r="34344">
      <c r="A34344" t="n">
        <v>34343</v>
      </c>
      <c r="B34344" t="inlineStr">
        <is>
          <t>x̄x̄x̄MV̅CCCXLIII</t>
        </is>
      </c>
      <c r="C34344">
        <f>ROMAN(34343)</f>
        <v/>
      </c>
      <c r="D34344">
        <f>IF(B34344=C34344, "YES", "WRONG")</f>
        <v/>
      </c>
    </row>
    <row r="34345">
      <c r="A34345" t="n">
        <v>34344</v>
      </c>
      <c r="B34345" t="inlineStr">
        <is>
          <t>x̄x̄x̄MV̅CCCXLIV</t>
        </is>
      </c>
      <c r="C34345">
        <f>ROMAN(34344)</f>
        <v/>
      </c>
      <c r="D34345">
        <f>IF(B34345=C34345, "YES", "WRONG")</f>
        <v/>
      </c>
    </row>
    <row r="34346">
      <c r="A34346" t="n">
        <v>34345</v>
      </c>
      <c r="B34346" t="inlineStr">
        <is>
          <t>x̄x̄x̄MV̅CCCXLV</t>
        </is>
      </c>
      <c r="C34346">
        <f>ROMAN(34345)</f>
        <v/>
      </c>
      <c r="D34346">
        <f>IF(B34346=C34346, "YES", "WRONG")</f>
        <v/>
      </c>
    </row>
    <row r="34347">
      <c r="A34347" t="n">
        <v>34346</v>
      </c>
      <c r="B34347" t="inlineStr">
        <is>
          <t>x̄x̄x̄MV̅CCCXLVI</t>
        </is>
      </c>
      <c r="C34347">
        <f>ROMAN(34346)</f>
        <v/>
      </c>
      <c r="D34347">
        <f>IF(B34347=C34347, "YES", "WRONG")</f>
        <v/>
      </c>
    </row>
    <row r="34348">
      <c r="A34348" t="n">
        <v>34347</v>
      </c>
      <c r="B34348" t="inlineStr">
        <is>
          <t>x̄x̄x̄MV̅CCCXLVII</t>
        </is>
      </c>
      <c r="C34348">
        <f>ROMAN(34347)</f>
        <v/>
      </c>
      <c r="D34348">
        <f>IF(B34348=C34348, "YES", "WRONG")</f>
        <v/>
      </c>
    </row>
    <row r="34349">
      <c r="A34349" t="n">
        <v>34348</v>
      </c>
      <c r="B34349" t="inlineStr">
        <is>
          <t>x̄x̄x̄MV̅CCCXLVIII</t>
        </is>
      </c>
      <c r="C34349">
        <f>ROMAN(34348)</f>
        <v/>
      </c>
      <c r="D34349">
        <f>IF(B34349=C34349, "YES", "WRONG")</f>
        <v/>
      </c>
    </row>
    <row r="34350">
      <c r="A34350" t="n">
        <v>34349</v>
      </c>
      <c r="B34350" t="inlineStr">
        <is>
          <t>x̄x̄x̄MV̅CCCXLIX</t>
        </is>
      </c>
      <c r="C34350">
        <f>ROMAN(34349)</f>
        <v/>
      </c>
      <c r="D34350">
        <f>IF(B34350=C34350, "YES", "WRONG")</f>
        <v/>
      </c>
    </row>
    <row r="34351">
      <c r="A34351" t="n">
        <v>34350</v>
      </c>
      <c r="B34351" t="inlineStr">
        <is>
          <t>x̄x̄x̄MV̅CCCL</t>
        </is>
      </c>
      <c r="C34351">
        <f>ROMAN(34350)</f>
        <v/>
      </c>
      <c r="D34351">
        <f>IF(B34351=C34351, "YES", "WRONG")</f>
        <v/>
      </c>
    </row>
    <row r="34352">
      <c r="A34352" t="n">
        <v>34351</v>
      </c>
      <c r="B34352" t="inlineStr">
        <is>
          <t>x̄x̄x̄MV̅CCCLI</t>
        </is>
      </c>
      <c r="C34352">
        <f>ROMAN(34351)</f>
        <v/>
      </c>
      <c r="D34352">
        <f>IF(B34352=C34352, "YES", "WRONG")</f>
        <v/>
      </c>
    </row>
    <row r="34353">
      <c r="A34353" t="n">
        <v>34352</v>
      </c>
      <c r="B34353" t="inlineStr">
        <is>
          <t>x̄x̄x̄MV̅CCCLII</t>
        </is>
      </c>
      <c r="C34353">
        <f>ROMAN(34352)</f>
        <v/>
      </c>
      <c r="D34353">
        <f>IF(B34353=C34353, "YES", "WRONG")</f>
        <v/>
      </c>
    </row>
    <row r="34354">
      <c r="A34354" t="n">
        <v>34353</v>
      </c>
      <c r="B34354" t="inlineStr">
        <is>
          <t>x̄x̄x̄MV̅CCCLIII</t>
        </is>
      </c>
      <c r="C34354">
        <f>ROMAN(34353)</f>
        <v/>
      </c>
      <c r="D34354">
        <f>IF(B34354=C34354, "YES", "WRONG")</f>
        <v/>
      </c>
    </row>
    <row r="34355">
      <c r="A34355" t="n">
        <v>34354</v>
      </c>
      <c r="B34355" t="inlineStr">
        <is>
          <t>x̄x̄x̄MV̅CCCLIV</t>
        </is>
      </c>
      <c r="C34355">
        <f>ROMAN(34354)</f>
        <v/>
      </c>
      <c r="D34355">
        <f>IF(B34355=C34355, "YES", "WRONG")</f>
        <v/>
      </c>
    </row>
    <row r="34356">
      <c r="A34356" t="n">
        <v>34355</v>
      </c>
      <c r="B34356" t="inlineStr">
        <is>
          <t>x̄x̄x̄MV̅CCCLV</t>
        </is>
      </c>
      <c r="C34356">
        <f>ROMAN(34355)</f>
        <v/>
      </c>
      <c r="D34356">
        <f>IF(B34356=C34356, "YES", "WRONG")</f>
        <v/>
      </c>
    </row>
    <row r="34357">
      <c r="A34357" t="n">
        <v>34356</v>
      </c>
      <c r="B34357" t="inlineStr">
        <is>
          <t>x̄x̄x̄MV̅CCCLVI</t>
        </is>
      </c>
      <c r="C34357">
        <f>ROMAN(34356)</f>
        <v/>
      </c>
      <c r="D34357">
        <f>IF(B34357=C34357, "YES", "WRONG")</f>
        <v/>
      </c>
    </row>
    <row r="34358">
      <c r="A34358" t="n">
        <v>34357</v>
      </c>
      <c r="B34358" t="inlineStr">
        <is>
          <t>x̄x̄x̄MV̅CCCLVII</t>
        </is>
      </c>
      <c r="C34358">
        <f>ROMAN(34357)</f>
        <v/>
      </c>
      <c r="D34358">
        <f>IF(B34358=C34358, "YES", "WRONG")</f>
        <v/>
      </c>
    </row>
    <row r="34359">
      <c r="A34359" t="n">
        <v>34358</v>
      </c>
      <c r="B34359" t="inlineStr">
        <is>
          <t>x̄x̄x̄MV̅CCCLVIII</t>
        </is>
      </c>
      <c r="C34359">
        <f>ROMAN(34358)</f>
        <v/>
      </c>
      <c r="D34359">
        <f>IF(B34359=C34359, "YES", "WRONG")</f>
        <v/>
      </c>
    </row>
    <row r="34360">
      <c r="A34360" t="n">
        <v>34359</v>
      </c>
      <c r="B34360" t="inlineStr">
        <is>
          <t>x̄x̄x̄MV̅CCCLIX</t>
        </is>
      </c>
      <c r="C34360">
        <f>ROMAN(34359)</f>
        <v/>
      </c>
      <c r="D34360">
        <f>IF(B34360=C34360, "YES", "WRONG")</f>
        <v/>
      </c>
    </row>
    <row r="34361">
      <c r="A34361" t="n">
        <v>34360</v>
      </c>
      <c r="B34361" t="inlineStr">
        <is>
          <t>x̄x̄x̄MV̅CCCLX</t>
        </is>
      </c>
      <c r="C34361">
        <f>ROMAN(34360)</f>
        <v/>
      </c>
      <c r="D34361">
        <f>IF(B34361=C34361, "YES", "WRONG")</f>
        <v/>
      </c>
    </row>
    <row r="34362">
      <c r="A34362" t="n">
        <v>34361</v>
      </c>
      <c r="B34362" t="inlineStr">
        <is>
          <t>x̄x̄x̄MV̅CCCLXI</t>
        </is>
      </c>
      <c r="C34362">
        <f>ROMAN(34361)</f>
        <v/>
      </c>
      <c r="D34362">
        <f>IF(B34362=C34362, "YES", "WRONG")</f>
        <v/>
      </c>
    </row>
    <row r="34363">
      <c r="A34363" t="n">
        <v>34362</v>
      </c>
      <c r="B34363" t="inlineStr">
        <is>
          <t>x̄x̄x̄MV̅CCCLXII</t>
        </is>
      </c>
      <c r="C34363">
        <f>ROMAN(34362)</f>
        <v/>
      </c>
      <c r="D34363">
        <f>IF(B34363=C34363, "YES", "WRONG")</f>
        <v/>
      </c>
    </row>
    <row r="34364">
      <c r="A34364" t="n">
        <v>34363</v>
      </c>
      <c r="B34364" t="inlineStr">
        <is>
          <t>x̄x̄x̄MV̅CCCLXIII</t>
        </is>
      </c>
      <c r="C34364">
        <f>ROMAN(34363)</f>
        <v/>
      </c>
      <c r="D34364">
        <f>IF(B34364=C34364, "YES", "WRONG")</f>
        <v/>
      </c>
    </row>
    <row r="34365">
      <c r="A34365" t="n">
        <v>34364</v>
      </c>
      <c r="B34365" t="inlineStr">
        <is>
          <t>x̄x̄x̄MV̅CCCLXIV</t>
        </is>
      </c>
      <c r="C34365">
        <f>ROMAN(34364)</f>
        <v/>
      </c>
      <c r="D34365">
        <f>IF(B34365=C34365, "YES", "WRONG")</f>
        <v/>
      </c>
    </row>
    <row r="34366">
      <c r="A34366" t="n">
        <v>34365</v>
      </c>
      <c r="B34366" t="inlineStr">
        <is>
          <t>x̄x̄x̄MV̅CCCLXV</t>
        </is>
      </c>
      <c r="C34366">
        <f>ROMAN(34365)</f>
        <v/>
      </c>
      <c r="D34366">
        <f>IF(B34366=C34366, "YES", "WRONG")</f>
        <v/>
      </c>
    </row>
    <row r="34367">
      <c r="A34367" t="n">
        <v>34366</v>
      </c>
      <c r="B34367" t="inlineStr">
        <is>
          <t>x̄x̄x̄MV̅CCCLXVI</t>
        </is>
      </c>
      <c r="C34367">
        <f>ROMAN(34366)</f>
        <v/>
      </c>
      <c r="D34367">
        <f>IF(B34367=C34367, "YES", "WRONG")</f>
        <v/>
      </c>
    </row>
    <row r="34368">
      <c r="A34368" t="n">
        <v>34367</v>
      </c>
      <c r="B34368" t="inlineStr">
        <is>
          <t>x̄x̄x̄MV̅CCCLXVII</t>
        </is>
      </c>
      <c r="C34368">
        <f>ROMAN(34367)</f>
        <v/>
      </c>
      <c r="D34368">
        <f>IF(B34368=C34368, "YES", "WRONG")</f>
        <v/>
      </c>
    </row>
    <row r="34369">
      <c r="A34369" t="n">
        <v>34368</v>
      </c>
      <c r="B34369" t="inlineStr">
        <is>
          <t>x̄x̄x̄MV̅CCCLXVIII</t>
        </is>
      </c>
      <c r="C34369">
        <f>ROMAN(34368)</f>
        <v/>
      </c>
      <c r="D34369">
        <f>IF(B34369=C34369, "YES", "WRONG")</f>
        <v/>
      </c>
    </row>
    <row r="34370">
      <c r="A34370" t="n">
        <v>34369</v>
      </c>
      <c r="B34370" t="inlineStr">
        <is>
          <t>x̄x̄x̄MV̅CCCLXIX</t>
        </is>
      </c>
      <c r="C34370">
        <f>ROMAN(34369)</f>
        <v/>
      </c>
      <c r="D34370">
        <f>IF(B34370=C34370, "YES", "WRONG")</f>
        <v/>
      </c>
    </row>
    <row r="34371">
      <c r="A34371" t="n">
        <v>34370</v>
      </c>
      <c r="B34371" t="inlineStr">
        <is>
          <t>x̄x̄x̄MV̅CCCLXX</t>
        </is>
      </c>
      <c r="C34371">
        <f>ROMAN(34370)</f>
        <v/>
      </c>
      <c r="D34371">
        <f>IF(B34371=C34371, "YES", "WRONG")</f>
        <v/>
      </c>
    </row>
    <row r="34372">
      <c r="A34372" t="n">
        <v>34371</v>
      </c>
      <c r="B34372" t="inlineStr">
        <is>
          <t>x̄x̄x̄MV̅CCCLXXI</t>
        </is>
      </c>
      <c r="C34372">
        <f>ROMAN(34371)</f>
        <v/>
      </c>
      <c r="D34372">
        <f>IF(B34372=C34372, "YES", "WRONG")</f>
        <v/>
      </c>
    </row>
    <row r="34373">
      <c r="A34373" t="n">
        <v>34372</v>
      </c>
      <c r="B34373" t="inlineStr">
        <is>
          <t>x̄x̄x̄MV̅CCCLXXII</t>
        </is>
      </c>
      <c r="C34373">
        <f>ROMAN(34372)</f>
        <v/>
      </c>
      <c r="D34373">
        <f>IF(B34373=C34373, "YES", "WRONG")</f>
        <v/>
      </c>
    </row>
    <row r="34374">
      <c r="A34374" t="n">
        <v>34373</v>
      </c>
      <c r="B34374" t="inlineStr">
        <is>
          <t>x̄x̄x̄MV̅CCCLXXIII</t>
        </is>
      </c>
      <c r="C34374">
        <f>ROMAN(34373)</f>
        <v/>
      </c>
      <c r="D34374">
        <f>IF(B34374=C34374, "YES", "WRONG")</f>
        <v/>
      </c>
    </row>
    <row r="34375">
      <c r="A34375" t="n">
        <v>34374</v>
      </c>
      <c r="B34375" t="inlineStr">
        <is>
          <t>x̄x̄x̄MV̅CCCLXXIV</t>
        </is>
      </c>
      <c r="C34375">
        <f>ROMAN(34374)</f>
        <v/>
      </c>
      <c r="D34375">
        <f>IF(B34375=C34375, "YES", "WRONG")</f>
        <v/>
      </c>
    </row>
    <row r="34376">
      <c r="A34376" t="n">
        <v>34375</v>
      </c>
      <c r="B34376" t="inlineStr">
        <is>
          <t>x̄x̄x̄MV̅CCCLXXV</t>
        </is>
      </c>
      <c r="C34376">
        <f>ROMAN(34375)</f>
        <v/>
      </c>
      <c r="D34376">
        <f>IF(B34376=C34376, "YES", "WRONG")</f>
        <v/>
      </c>
    </row>
    <row r="34377">
      <c r="A34377" t="n">
        <v>34376</v>
      </c>
      <c r="B34377" t="inlineStr">
        <is>
          <t>x̄x̄x̄MV̅CCCLXXVI</t>
        </is>
      </c>
      <c r="C34377">
        <f>ROMAN(34376)</f>
        <v/>
      </c>
      <c r="D34377">
        <f>IF(B34377=C34377, "YES", "WRONG")</f>
        <v/>
      </c>
    </row>
    <row r="34378">
      <c r="A34378" t="n">
        <v>34377</v>
      </c>
      <c r="B34378" t="inlineStr">
        <is>
          <t>x̄x̄x̄MV̅CCCLXXVII</t>
        </is>
      </c>
      <c r="C34378">
        <f>ROMAN(34377)</f>
        <v/>
      </c>
      <c r="D34378">
        <f>IF(B34378=C34378, "YES", "WRONG")</f>
        <v/>
      </c>
    </row>
    <row r="34379">
      <c r="A34379" t="n">
        <v>34378</v>
      </c>
      <c r="B34379" t="inlineStr">
        <is>
          <t>x̄x̄x̄MV̅CCCLXXVIII</t>
        </is>
      </c>
      <c r="C34379">
        <f>ROMAN(34378)</f>
        <v/>
      </c>
      <c r="D34379">
        <f>IF(B34379=C34379, "YES", "WRONG")</f>
        <v/>
      </c>
    </row>
    <row r="34380">
      <c r="A34380" t="n">
        <v>34379</v>
      </c>
      <c r="B34380" t="inlineStr">
        <is>
          <t>x̄x̄x̄MV̅CCCLXXIX</t>
        </is>
      </c>
      <c r="C34380">
        <f>ROMAN(34379)</f>
        <v/>
      </c>
      <c r="D34380">
        <f>IF(B34380=C34380, "YES", "WRONG")</f>
        <v/>
      </c>
    </row>
    <row r="34381">
      <c r="A34381" t="n">
        <v>34380</v>
      </c>
      <c r="B34381" t="inlineStr">
        <is>
          <t>x̄x̄x̄MV̅CCCLXXX</t>
        </is>
      </c>
      <c r="C34381">
        <f>ROMAN(34380)</f>
        <v/>
      </c>
      <c r="D34381">
        <f>IF(B34381=C34381, "YES", "WRONG")</f>
        <v/>
      </c>
    </row>
    <row r="34382">
      <c r="A34382" t="n">
        <v>34381</v>
      </c>
      <c r="B34382" t="inlineStr">
        <is>
          <t>x̄x̄x̄MV̅CCCLXXXI</t>
        </is>
      </c>
      <c r="C34382">
        <f>ROMAN(34381)</f>
        <v/>
      </c>
      <c r="D34382">
        <f>IF(B34382=C34382, "YES", "WRONG")</f>
        <v/>
      </c>
    </row>
    <row r="34383">
      <c r="A34383" t="n">
        <v>34382</v>
      </c>
      <c r="B34383" t="inlineStr">
        <is>
          <t>x̄x̄x̄MV̅CCCLXXXII</t>
        </is>
      </c>
      <c r="C34383">
        <f>ROMAN(34382)</f>
        <v/>
      </c>
      <c r="D34383">
        <f>IF(B34383=C34383, "YES", "WRONG")</f>
        <v/>
      </c>
    </row>
    <row r="34384">
      <c r="A34384" t="n">
        <v>34383</v>
      </c>
      <c r="B34384" t="inlineStr">
        <is>
          <t>x̄x̄x̄MV̅CCCLXXXIII</t>
        </is>
      </c>
      <c r="C34384">
        <f>ROMAN(34383)</f>
        <v/>
      </c>
      <c r="D34384">
        <f>IF(B34384=C34384, "YES", "WRONG")</f>
        <v/>
      </c>
    </row>
    <row r="34385">
      <c r="A34385" t="n">
        <v>34384</v>
      </c>
      <c r="B34385" t="inlineStr">
        <is>
          <t>x̄x̄x̄MV̅CCCLXXXIV</t>
        </is>
      </c>
      <c r="C34385">
        <f>ROMAN(34384)</f>
        <v/>
      </c>
      <c r="D34385">
        <f>IF(B34385=C34385, "YES", "WRONG")</f>
        <v/>
      </c>
    </row>
    <row r="34386">
      <c r="A34386" t="n">
        <v>34385</v>
      </c>
      <c r="B34386" t="inlineStr">
        <is>
          <t>x̄x̄x̄MV̅CCCLXXXV</t>
        </is>
      </c>
      <c r="C34386">
        <f>ROMAN(34385)</f>
        <v/>
      </c>
      <c r="D34386">
        <f>IF(B34386=C34386, "YES", "WRONG")</f>
        <v/>
      </c>
    </row>
    <row r="34387">
      <c r="A34387" t="n">
        <v>34386</v>
      </c>
      <c r="B34387" t="inlineStr">
        <is>
          <t>x̄x̄x̄MV̅CCCLXXXVI</t>
        </is>
      </c>
      <c r="C34387">
        <f>ROMAN(34386)</f>
        <v/>
      </c>
      <c r="D34387">
        <f>IF(B34387=C34387, "YES", "WRONG")</f>
        <v/>
      </c>
    </row>
    <row r="34388">
      <c r="A34388" t="n">
        <v>34387</v>
      </c>
      <c r="B34388" t="inlineStr">
        <is>
          <t>x̄x̄x̄MV̅CCCLXXXVII</t>
        </is>
      </c>
      <c r="C34388">
        <f>ROMAN(34387)</f>
        <v/>
      </c>
      <c r="D34388">
        <f>IF(B34388=C34388, "YES", "WRONG")</f>
        <v/>
      </c>
    </row>
    <row r="34389">
      <c r="A34389" t="n">
        <v>34388</v>
      </c>
      <c r="B34389" t="inlineStr">
        <is>
          <t>x̄x̄x̄MV̅CCCLXXXVIII</t>
        </is>
      </c>
      <c r="C34389">
        <f>ROMAN(34388)</f>
        <v/>
      </c>
      <c r="D34389">
        <f>IF(B34389=C34389, "YES", "WRONG")</f>
        <v/>
      </c>
    </row>
    <row r="34390">
      <c r="A34390" t="n">
        <v>34389</v>
      </c>
      <c r="B34390" t="inlineStr">
        <is>
          <t>x̄x̄x̄MV̅CCCLXXXIX</t>
        </is>
      </c>
      <c r="C34390">
        <f>ROMAN(34389)</f>
        <v/>
      </c>
      <c r="D34390">
        <f>IF(B34390=C34390, "YES", "WRONG")</f>
        <v/>
      </c>
    </row>
    <row r="34391">
      <c r="A34391" t="n">
        <v>34390</v>
      </c>
      <c r="B34391" t="inlineStr">
        <is>
          <t>x̄x̄x̄MV̅CCCXC</t>
        </is>
      </c>
      <c r="C34391">
        <f>ROMAN(34390)</f>
        <v/>
      </c>
      <c r="D34391">
        <f>IF(B34391=C34391, "YES", "WRONG")</f>
        <v/>
      </c>
    </row>
    <row r="34392">
      <c r="A34392" t="n">
        <v>34391</v>
      </c>
      <c r="B34392" t="inlineStr">
        <is>
          <t>x̄x̄x̄MV̅CCCXCI</t>
        </is>
      </c>
      <c r="C34392">
        <f>ROMAN(34391)</f>
        <v/>
      </c>
      <c r="D34392">
        <f>IF(B34392=C34392, "YES", "WRONG")</f>
        <v/>
      </c>
    </row>
    <row r="34393">
      <c r="A34393" t="n">
        <v>34392</v>
      </c>
      <c r="B34393" t="inlineStr">
        <is>
          <t>x̄x̄x̄MV̅CCCXCII</t>
        </is>
      </c>
      <c r="C34393">
        <f>ROMAN(34392)</f>
        <v/>
      </c>
      <c r="D34393">
        <f>IF(B34393=C34393, "YES", "WRONG")</f>
        <v/>
      </c>
    </row>
    <row r="34394">
      <c r="A34394" t="n">
        <v>34393</v>
      </c>
      <c r="B34394" t="inlineStr">
        <is>
          <t>x̄x̄x̄MV̅CCCXCIII</t>
        </is>
      </c>
      <c r="C34394">
        <f>ROMAN(34393)</f>
        <v/>
      </c>
      <c r="D34394">
        <f>IF(B34394=C34394, "YES", "WRONG")</f>
        <v/>
      </c>
    </row>
    <row r="34395">
      <c r="A34395" t="n">
        <v>34394</v>
      </c>
      <c r="B34395" t="inlineStr">
        <is>
          <t>x̄x̄x̄MV̅CCCXCIV</t>
        </is>
      </c>
      <c r="C34395">
        <f>ROMAN(34394)</f>
        <v/>
      </c>
      <c r="D34395">
        <f>IF(B34395=C34395, "YES", "WRONG")</f>
        <v/>
      </c>
    </row>
    <row r="34396">
      <c r="A34396" t="n">
        <v>34395</v>
      </c>
      <c r="B34396" t="inlineStr">
        <is>
          <t>x̄x̄x̄MV̅CCCXCV</t>
        </is>
      </c>
      <c r="C34396">
        <f>ROMAN(34395)</f>
        <v/>
      </c>
      <c r="D34396">
        <f>IF(B34396=C34396, "YES", "WRONG")</f>
        <v/>
      </c>
    </row>
    <row r="34397">
      <c r="A34397" t="n">
        <v>34396</v>
      </c>
      <c r="B34397" t="inlineStr">
        <is>
          <t>x̄x̄x̄MV̅CCCXCVI</t>
        </is>
      </c>
      <c r="C34397">
        <f>ROMAN(34396)</f>
        <v/>
      </c>
      <c r="D34397">
        <f>IF(B34397=C34397, "YES", "WRONG")</f>
        <v/>
      </c>
    </row>
    <row r="34398">
      <c r="A34398" t="n">
        <v>34397</v>
      </c>
      <c r="B34398" t="inlineStr">
        <is>
          <t>x̄x̄x̄MV̅CCCXCVII</t>
        </is>
      </c>
      <c r="C34398">
        <f>ROMAN(34397)</f>
        <v/>
      </c>
      <c r="D34398">
        <f>IF(B34398=C34398, "YES", "WRONG")</f>
        <v/>
      </c>
    </row>
    <row r="34399">
      <c r="A34399" t="n">
        <v>34398</v>
      </c>
      <c r="B34399" t="inlineStr">
        <is>
          <t>x̄x̄x̄MV̅CCCXCVIII</t>
        </is>
      </c>
      <c r="C34399">
        <f>ROMAN(34398)</f>
        <v/>
      </c>
      <c r="D34399">
        <f>IF(B34399=C34399, "YES", "WRONG")</f>
        <v/>
      </c>
    </row>
    <row r="34400">
      <c r="A34400" t="n">
        <v>34399</v>
      </c>
      <c r="B34400" t="inlineStr">
        <is>
          <t>x̄x̄x̄MV̅CCCXCIX</t>
        </is>
      </c>
      <c r="C34400">
        <f>ROMAN(34399)</f>
        <v/>
      </c>
      <c r="D34400">
        <f>IF(B34400=C34400, "YES", "WRONG")</f>
        <v/>
      </c>
    </row>
    <row r="34401">
      <c r="A34401" t="n">
        <v>34400</v>
      </c>
      <c r="B34401" t="inlineStr">
        <is>
          <t>x̄x̄x̄MV̅CD</t>
        </is>
      </c>
      <c r="C34401">
        <f>ROMAN(34400)</f>
        <v/>
      </c>
      <c r="D34401">
        <f>IF(B34401=C34401, "YES", "WRONG")</f>
        <v/>
      </c>
    </row>
    <row r="34402">
      <c r="A34402" t="n">
        <v>34401</v>
      </c>
      <c r="B34402" t="inlineStr">
        <is>
          <t>x̄x̄x̄MV̅CDI</t>
        </is>
      </c>
      <c r="C34402">
        <f>ROMAN(34401)</f>
        <v/>
      </c>
      <c r="D34402">
        <f>IF(B34402=C34402, "YES", "WRONG")</f>
        <v/>
      </c>
    </row>
    <row r="34403">
      <c r="A34403" t="n">
        <v>34402</v>
      </c>
      <c r="B34403" t="inlineStr">
        <is>
          <t>x̄x̄x̄MV̅CDII</t>
        </is>
      </c>
      <c r="C34403">
        <f>ROMAN(34402)</f>
        <v/>
      </c>
      <c r="D34403">
        <f>IF(B34403=C34403, "YES", "WRONG")</f>
        <v/>
      </c>
    </row>
    <row r="34404">
      <c r="A34404" t="n">
        <v>34403</v>
      </c>
      <c r="B34404" t="inlineStr">
        <is>
          <t>x̄x̄x̄MV̅CDIII</t>
        </is>
      </c>
      <c r="C34404">
        <f>ROMAN(34403)</f>
        <v/>
      </c>
      <c r="D34404">
        <f>IF(B34404=C34404, "YES", "WRONG")</f>
        <v/>
      </c>
    </row>
    <row r="34405">
      <c r="A34405" t="n">
        <v>34404</v>
      </c>
      <c r="B34405" t="inlineStr">
        <is>
          <t>x̄x̄x̄MV̅CDIV</t>
        </is>
      </c>
      <c r="C34405">
        <f>ROMAN(34404)</f>
        <v/>
      </c>
      <c r="D34405">
        <f>IF(B34405=C34405, "YES", "WRONG")</f>
        <v/>
      </c>
    </row>
    <row r="34406">
      <c r="A34406" t="n">
        <v>34405</v>
      </c>
      <c r="B34406" t="inlineStr">
        <is>
          <t>x̄x̄x̄MV̅CDV</t>
        </is>
      </c>
      <c r="C34406">
        <f>ROMAN(34405)</f>
        <v/>
      </c>
      <c r="D34406">
        <f>IF(B34406=C34406, "YES", "WRONG")</f>
        <v/>
      </c>
    </row>
    <row r="34407">
      <c r="A34407" t="n">
        <v>34406</v>
      </c>
      <c r="B34407" t="inlineStr">
        <is>
          <t>x̄x̄x̄MV̅CDVI</t>
        </is>
      </c>
      <c r="C34407">
        <f>ROMAN(34406)</f>
        <v/>
      </c>
      <c r="D34407">
        <f>IF(B34407=C34407, "YES", "WRONG")</f>
        <v/>
      </c>
    </row>
    <row r="34408">
      <c r="A34408" t="n">
        <v>34407</v>
      </c>
      <c r="B34408" t="inlineStr">
        <is>
          <t>x̄x̄x̄MV̅CDVII</t>
        </is>
      </c>
      <c r="C34408">
        <f>ROMAN(34407)</f>
        <v/>
      </c>
      <c r="D34408">
        <f>IF(B34408=C34408, "YES", "WRONG")</f>
        <v/>
      </c>
    </row>
    <row r="34409">
      <c r="A34409" t="n">
        <v>34408</v>
      </c>
      <c r="B34409" t="inlineStr">
        <is>
          <t>x̄x̄x̄MV̅CDVIII</t>
        </is>
      </c>
      <c r="C34409">
        <f>ROMAN(34408)</f>
        <v/>
      </c>
      <c r="D34409">
        <f>IF(B34409=C34409, "YES", "WRONG")</f>
        <v/>
      </c>
    </row>
    <row r="34410">
      <c r="A34410" t="n">
        <v>34409</v>
      </c>
      <c r="B34410" t="inlineStr">
        <is>
          <t>x̄x̄x̄MV̅CDIX</t>
        </is>
      </c>
      <c r="C34410">
        <f>ROMAN(34409)</f>
        <v/>
      </c>
      <c r="D34410">
        <f>IF(B34410=C34410, "YES", "WRONG")</f>
        <v/>
      </c>
    </row>
    <row r="34411">
      <c r="A34411" t="n">
        <v>34410</v>
      </c>
      <c r="B34411" t="inlineStr">
        <is>
          <t>x̄x̄x̄MV̅CDX</t>
        </is>
      </c>
      <c r="C34411">
        <f>ROMAN(34410)</f>
        <v/>
      </c>
      <c r="D34411">
        <f>IF(B34411=C34411, "YES", "WRONG")</f>
        <v/>
      </c>
    </row>
    <row r="34412">
      <c r="A34412" t="n">
        <v>34411</v>
      </c>
      <c r="B34412" t="inlineStr">
        <is>
          <t>x̄x̄x̄MV̅CDXI</t>
        </is>
      </c>
      <c r="C34412">
        <f>ROMAN(34411)</f>
        <v/>
      </c>
      <c r="D34412">
        <f>IF(B34412=C34412, "YES", "WRONG")</f>
        <v/>
      </c>
    </row>
    <row r="34413">
      <c r="A34413" t="n">
        <v>34412</v>
      </c>
      <c r="B34413" t="inlineStr">
        <is>
          <t>x̄x̄x̄MV̅CDXII</t>
        </is>
      </c>
      <c r="C34413">
        <f>ROMAN(34412)</f>
        <v/>
      </c>
      <c r="D34413">
        <f>IF(B34413=C34413, "YES", "WRONG")</f>
        <v/>
      </c>
    </row>
    <row r="34414">
      <c r="A34414" t="n">
        <v>34413</v>
      </c>
      <c r="B34414" t="inlineStr">
        <is>
          <t>x̄x̄x̄MV̅CDXIII</t>
        </is>
      </c>
      <c r="C34414">
        <f>ROMAN(34413)</f>
        <v/>
      </c>
      <c r="D34414">
        <f>IF(B34414=C34414, "YES", "WRONG")</f>
        <v/>
      </c>
    </row>
    <row r="34415">
      <c r="A34415" t="n">
        <v>34414</v>
      </c>
      <c r="B34415" t="inlineStr">
        <is>
          <t>x̄x̄x̄MV̅CDXIV</t>
        </is>
      </c>
      <c r="C34415">
        <f>ROMAN(34414)</f>
        <v/>
      </c>
      <c r="D34415">
        <f>IF(B34415=C34415, "YES", "WRONG")</f>
        <v/>
      </c>
    </row>
    <row r="34416">
      <c r="A34416" t="n">
        <v>34415</v>
      </c>
      <c r="B34416" t="inlineStr">
        <is>
          <t>x̄x̄x̄MV̅CDXV</t>
        </is>
      </c>
      <c r="C34416">
        <f>ROMAN(34415)</f>
        <v/>
      </c>
      <c r="D34416">
        <f>IF(B34416=C34416, "YES", "WRONG")</f>
        <v/>
      </c>
    </row>
    <row r="34417">
      <c r="A34417" t="n">
        <v>34416</v>
      </c>
      <c r="B34417" t="inlineStr">
        <is>
          <t>x̄x̄x̄MV̅CDXVI</t>
        </is>
      </c>
      <c r="C34417">
        <f>ROMAN(34416)</f>
        <v/>
      </c>
      <c r="D34417">
        <f>IF(B34417=C34417, "YES", "WRONG")</f>
        <v/>
      </c>
    </row>
    <row r="34418">
      <c r="A34418" t="n">
        <v>34417</v>
      </c>
      <c r="B34418" t="inlineStr">
        <is>
          <t>x̄x̄x̄MV̅CDXVII</t>
        </is>
      </c>
      <c r="C34418">
        <f>ROMAN(34417)</f>
        <v/>
      </c>
      <c r="D34418">
        <f>IF(B34418=C34418, "YES", "WRONG")</f>
        <v/>
      </c>
    </row>
    <row r="34419">
      <c r="A34419" t="n">
        <v>34418</v>
      </c>
      <c r="B34419" t="inlineStr">
        <is>
          <t>x̄x̄x̄MV̅CDXVIII</t>
        </is>
      </c>
      <c r="C34419">
        <f>ROMAN(34418)</f>
        <v/>
      </c>
      <c r="D34419">
        <f>IF(B34419=C34419, "YES", "WRONG")</f>
        <v/>
      </c>
    </row>
    <row r="34420">
      <c r="A34420" t="n">
        <v>34419</v>
      </c>
      <c r="B34420" t="inlineStr">
        <is>
          <t>x̄x̄x̄MV̅CDXIX</t>
        </is>
      </c>
      <c r="C34420">
        <f>ROMAN(34419)</f>
        <v/>
      </c>
      <c r="D34420">
        <f>IF(B34420=C34420, "YES", "WRONG")</f>
        <v/>
      </c>
    </row>
    <row r="34421">
      <c r="A34421" t="n">
        <v>34420</v>
      </c>
      <c r="B34421" t="inlineStr">
        <is>
          <t>x̄x̄x̄MV̅CDXX</t>
        </is>
      </c>
      <c r="C34421">
        <f>ROMAN(34420)</f>
        <v/>
      </c>
      <c r="D34421">
        <f>IF(B34421=C34421, "YES", "WRONG")</f>
        <v/>
      </c>
    </row>
    <row r="34422">
      <c r="A34422" t="n">
        <v>34421</v>
      </c>
      <c r="B34422" t="inlineStr">
        <is>
          <t>x̄x̄x̄MV̅CDXXI</t>
        </is>
      </c>
      <c r="C34422">
        <f>ROMAN(34421)</f>
        <v/>
      </c>
      <c r="D34422">
        <f>IF(B34422=C34422, "YES", "WRONG")</f>
        <v/>
      </c>
    </row>
    <row r="34423">
      <c r="A34423" t="n">
        <v>34422</v>
      </c>
      <c r="B34423" t="inlineStr">
        <is>
          <t>x̄x̄x̄MV̅CDXXII</t>
        </is>
      </c>
      <c r="C34423">
        <f>ROMAN(34422)</f>
        <v/>
      </c>
      <c r="D34423">
        <f>IF(B34423=C34423, "YES", "WRONG")</f>
        <v/>
      </c>
    </row>
    <row r="34424">
      <c r="A34424" t="n">
        <v>34423</v>
      </c>
      <c r="B34424" t="inlineStr">
        <is>
          <t>x̄x̄x̄MV̅CDXXIII</t>
        </is>
      </c>
      <c r="C34424">
        <f>ROMAN(34423)</f>
        <v/>
      </c>
      <c r="D34424">
        <f>IF(B34424=C34424, "YES", "WRONG")</f>
        <v/>
      </c>
    </row>
    <row r="34425">
      <c r="A34425" t="n">
        <v>34424</v>
      </c>
      <c r="B34425" t="inlineStr">
        <is>
          <t>x̄x̄x̄MV̅CDXXIV</t>
        </is>
      </c>
      <c r="C34425">
        <f>ROMAN(34424)</f>
        <v/>
      </c>
      <c r="D34425">
        <f>IF(B34425=C34425, "YES", "WRONG")</f>
        <v/>
      </c>
    </row>
    <row r="34426">
      <c r="A34426" t="n">
        <v>34425</v>
      </c>
      <c r="B34426" t="inlineStr">
        <is>
          <t>x̄x̄x̄MV̅CDXXV</t>
        </is>
      </c>
      <c r="C34426">
        <f>ROMAN(34425)</f>
        <v/>
      </c>
      <c r="D34426">
        <f>IF(B34426=C34426, "YES", "WRONG")</f>
        <v/>
      </c>
    </row>
    <row r="34427">
      <c r="A34427" t="n">
        <v>34426</v>
      </c>
      <c r="B34427" t="inlineStr">
        <is>
          <t>x̄x̄x̄MV̅CDXXVI</t>
        </is>
      </c>
      <c r="C34427">
        <f>ROMAN(34426)</f>
        <v/>
      </c>
      <c r="D34427">
        <f>IF(B34427=C34427, "YES", "WRONG")</f>
        <v/>
      </c>
    </row>
    <row r="34428">
      <c r="A34428" t="n">
        <v>34427</v>
      </c>
      <c r="B34428" t="inlineStr">
        <is>
          <t>x̄x̄x̄MV̅CDXXVII</t>
        </is>
      </c>
      <c r="C34428">
        <f>ROMAN(34427)</f>
        <v/>
      </c>
      <c r="D34428">
        <f>IF(B34428=C34428, "YES", "WRONG")</f>
        <v/>
      </c>
    </row>
    <row r="34429">
      <c r="A34429" t="n">
        <v>34428</v>
      </c>
      <c r="B34429" t="inlineStr">
        <is>
          <t>x̄x̄x̄MV̅CDXXVIII</t>
        </is>
      </c>
      <c r="C34429">
        <f>ROMAN(34428)</f>
        <v/>
      </c>
      <c r="D34429">
        <f>IF(B34429=C34429, "YES", "WRONG")</f>
        <v/>
      </c>
    </row>
    <row r="34430">
      <c r="A34430" t="n">
        <v>34429</v>
      </c>
      <c r="B34430" t="inlineStr">
        <is>
          <t>x̄x̄x̄MV̅CDXXIX</t>
        </is>
      </c>
      <c r="C34430">
        <f>ROMAN(34429)</f>
        <v/>
      </c>
      <c r="D34430">
        <f>IF(B34430=C34430, "YES", "WRONG")</f>
        <v/>
      </c>
    </row>
    <row r="34431">
      <c r="A34431" t="n">
        <v>34430</v>
      </c>
      <c r="B34431" t="inlineStr">
        <is>
          <t>x̄x̄x̄MV̅CDXXX</t>
        </is>
      </c>
      <c r="C34431">
        <f>ROMAN(34430)</f>
        <v/>
      </c>
      <c r="D34431">
        <f>IF(B34431=C34431, "YES", "WRONG")</f>
        <v/>
      </c>
    </row>
    <row r="34432">
      <c r="A34432" t="n">
        <v>34431</v>
      </c>
      <c r="B34432" t="inlineStr">
        <is>
          <t>x̄x̄x̄MV̅CDXXXI</t>
        </is>
      </c>
      <c r="C34432">
        <f>ROMAN(34431)</f>
        <v/>
      </c>
      <c r="D34432">
        <f>IF(B34432=C34432, "YES", "WRONG")</f>
        <v/>
      </c>
    </row>
    <row r="34433">
      <c r="A34433" t="n">
        <v>34432</v>
      </c>
      <c r="B34433" t="inlineStr">
        <is>
          <t>x̄x̄x̄MV̅CDXXXII</t>
        </is>
      </c>
      <c r="C34433">
        <f>ROMAN(34432)</f>
        <v/>
      </c>
      <c r="D34433">
        <f>IF(B34433=C34433, "YES", "WRONG")</f>
        <v/>
      </c>
    </row>
    <row r="34434">
      <c r="A34434" t="n">
        <v>34433</v>
      </c>
      <c r="B34434" t="inlineStr">
        <is>
          <t>x̄x̄x̄MV̅CDXXXIII</t>
        </is>
      </c>
      <c r="C34434">
        <f>ROMAN(34433)</f>
        <v/>
      </c>
      <c r="D34434">
        <f>IF(B34434=C34434, "YES", "WRONG")</f>
        <v/>
      </c>
    </row>
    <row r="34435">
      <c r="A34435" t="n">
        <v>34434</v>
      </c>
      <c r="B34435" t="inlineStr">
        <is>
          <t>x̄x̄x̄MV̅CDXXXIV</t>
        </is>
      </c>
      <c r="C34435">
        <f>ROMAN(34434)</f>
        <v/>
      </c>
      <c r="D34435">
        <f>IF(B34435=C34435, "YES", "WRONG")</f>
        <v/>
      </c>
    </row>
    <row r="34436">
      <c r="A34436" t="n">
        <v>34435</v>
      </c>
      <c r="B34436" t="inlineStr">
        <is>
          <t>x̄x̄x̄MV̅CDXXXV</t>
        </is>
      </c>
      <c r="C34436">
        <f>ROMAN(34435)</f>
        <v/>
      </c>
      <c r="D34436">
        <f>IF(B34436=C34436, "YES", "WRONG")</f>
        <v/>
      </c>
    </row>
    <row r="34437">
      <c r="A34437" t="n">
        <v>34436</v>
      </c>
      <c r="B34437" t="inlineStr">
        <is>
          <t>x̄x̄x̄MV̅CDXXXVI</t>
        </is>
      </c>
      <c r="C34437">
        <f>ROMAN(34436)</f>
        <v/>
      </c>
      <c r="D34437">
        <f>IF(B34437=C34437, "YES", "WRONG")</f>
        <v/>
      </c>
    </row>
    <row r="34438">
      <c r="A34438" t="n">
        <v>34437</v>
      </c>
      <c r="B34438" t="inlineStr">
        <is>
          <t>x̄x̄x̄MV̅CDXXXVII</t>
        </is>
      </c>
      <c r="C34438">
        <f>ROMAN(34437)</f>
        <v/>
      </c>
      <c r="D34438">
        <f>IF(B34438=C34438, "YES", "WRONG")</f>
        <v/>
      </c>
    </row>
    <row r="34439">
      <c r="A34439" t="n">
        <v>34438</v>
      </c>
      <c r="B34439" t="inlineStr">
        <is>
          <t>x̄x̄x̄MV̅CDXXXVIII</t>
        </is>
      </c>
      <c r="C34439">
        <f>ROMAN(34438)</f>
        <v/>
      </c>
      <c r="D34439">
        <f>IF(B34439=C34439, "YES", "WRONG")</f>
        <v/>
      </c>
    </row>
    <row r="34440">
      <c r="A34440" t="n">
        <v>34439</v>
      </c>
      <c r="B34440" t="inlineStr">
        <is>
          <t>x̄x̄x̄MV̅CDXXXIX</t>
        </is>
      </c>
      <c r="C34440">
        <f>ROMAN(34439)</f>
        <v/>
      </c>
      <c r="D34440">
        <f>IF(B34440=C34440, "YES", "WRONG")</f>
        <v/>
      </c>
    </row>
    <row r="34441">
      <c r="A34441" t="n">
        <v>34440</v>
      </c>
      <c r="B34441" t="inlineStr">
        <is>
          <t>x̄x̄x̄MV̅CDXL</t>
        </is>
      </c>
      <c r="C34441">
        <f>ROMAN(34440)</f>
        <v/>
      </c>
      <c r="D34441">
        <f>IF(B34441=C34441, "YES", "WRONG")</f>
        <v/>
      </c>
    </row>
    <row r="34442">
      <c r="A34442" t="n">
        <v>34441</v>
      </c>
      <c r="B34442" t="inlineStr">
        <is>
          <t>x̄x̄x̄MV̅CDXLI</t>
        </is>
      </c>
      <c r="C34442">
        <f>ROMAN(34441)</f>
        <v/>
      </c>
      <c r="D34442">
        <f>IF(B34442=C34442, "YES", "WRONG")</f>
        <v/>
      </c>
    </row>
    <row r="34443">
      <c r="A34443" t="n">
        <v>34442</v>
      </c>
      <c r="B34443" t="inlineStr">
        <is>
          <t>x̄x̄x̄MV̅CDXLII</t>
        </is>
      </c>
      <c r="C34443">
        <f>ROMAN(34442)</f>
        <v/>
      </c>
      <c r="D34443">
        <f>IF(B34443=C34443, "YES", "WRONG")</f>
        <v/>
      </c>
    </row>
    <row r="34444">
      <c r="A34444" t="n">
        <v>34443</v>
      </c>
      <c r="B34444" t="inlineStr">
        <is>
          <t>x̄x̄x̄MV̅CDXLIII</t>
        </is>
      </c>
      <c r="C34444">
        <f>ROMAN(34443)</f>
        <v/>
      </c>
      <c r="D34444">
        <f>IF(B34444=C34444, "YES", "WRONG")</f>
        <v/>
      </c>
    </row>
    <row r="34445">
      <c r="A34445" t="n">
        <v>34444</v>
      </c>
      <c r="B34445" t="inlineStr">
        <is>
          <t>x̄x̄x̄MV̅CDXLIV</t>
        </is>
      </c>
      <c r="C34445">
        <f>ROMAN(34444)</f>
        <v/>
      </c>
      <c r="D34445">
        <f>IF(B34445=C34445, "YES", "WRONG")</f>
        <v/>
      </c>
    </row>
    <row r="34446">
      <c r="A34446" t="n">
        <v>34445</v>
      </c>
      <c r="B34446" t="inlineStr">
        <is>
          <t>x̄x̄x̄MV̅CDXLV</t>
        </is>
      </c>
      <c r="C34446">
        <f>ROMAN(34445)</f>
        <v/>
      </c>
      <c r="D34446">
        <f>IF(B34446=C34446, "YES", "WRONG")</f>
        <v/>
      </c>
    </row>
    <row r="34447">
      <c r="A34447" t="n">
        <v>34446</v>
      </c>
      <c r="B34447" t="inlineStr">
        <is>
          <t>x̄x̄x̄MV̅CDXLVI</t>
        </is>
      </c>
      <c r="C34447">
        <f>ROMAN(34446)</f>
        <v/>
      </c>
      <c r="D34447">
        <f>IF(B34447=C34447, "YES", "WRONG")</f>
        <v/>
      </c>
    </row>
    <row r="34448">
      <c r="A34448" t="n">
        <v>34447</v>
      </c>
      <c r="B34448" t="inlineStr">
        <is>
          <t>x̄x̄x̄MV̅CDXLVII</t>
        </is>
      </c>
      <c r="C34448">
        <f>ROMAN(34447)</f>
        <v/>
      </c>
      <c r="D34448">
        <f>IF(B34448=C34448, "YES", "WRONG")</f>
        <v/>
      </c>
    </row>
    <row r="34449">
      <c r="A34449" t="n">
        <v>34448</v>
      </c>
      <c r="B34449" t="inlineStr">
        <is>
          <t>x̄x̄x̄MV̅CDXLVIII</t>
        </is>
      </c>
      <c r="C34449">
        <f>ROMAN(34448)</f>
        <v/>
      </c>
      <c r="D34449">
        <f>IF(B34449=C34449, "YES", "WRONG")</f>
        <v/>
      </c>
    </row>
    <row r="34450">
      <c r="A34450" t="n">
        <v>34449</v>
      </c>
      <c r="B34450" t="inlineStr">
        <is>
          <t>x̄x̄x̄MV̅CDXLIX</t>
        </is>
      </c>
      <c r="C34450">
        <f>ROMAN(34449)</f>
        <v/>
      </c>
      <c r="D34450">
        <f>IF(B34450=C34450, "YES", "WRONG")</f>
        <v/>
      </c>
    </row>
    <row r="34451">
      <c r="A34451" t="n">
        <v>34450</v>
      </c>
      <c r="B34451" t="inlineStr">
        <is>
          <t>x̄x̄x̄MV̅CDL</t>
        </is>
      </c>
      <c r="C34451">
        <f>ROMAN(34450)</f>
        <v/>
      </c>
      <c r="D34451">
        <f>IF(B34451=C34451, "YES", "WRONG")</f>
        <v/>
      </c>
    </row>
    <row r="34452">
      <c r="A34452" t="n">
        <v>34451</v>
      </c>
      <c r="B34452" t="inlineStr">
        <is>
          <t>x̄x̄x̄MV̅CDLI</t>
        </is>
      </c>
      <c r="C34452">
        <f>ROMAN(34451)</f>
        <v/>
      </c>
      <c r="D34452">
        <f>IF(B34452=C34452, "YES", "WRONG")</f>
        <v/>
      </c>
    </row>
    <row r="34453">
      <c r="A34453" t="n">
        <v>34452</v>
      </c>
      <c r="B34453" t="inlineStr">
        <is>
          <t>x̄x̄x̄MV̅CDLII</t>
        </is>
      </c>
      <c r="C34453">
        <f>ROMAN(34452)</f>
        <v/>
      </c>
      <c r="D34453">
        <f>IF(B34453=C34453, "YES", "WRONG")</f>
        <v/>
      </c>
    </row>
    <row r="34454">
      <c r="A34454" t="n">
        <v>34453</v>
      </c>
      <c r="B34454" t="inlineStr">
        <is>
          <t>x̄x̄x̄MV̅CDLIII</t>
        </is>
      </c>
      <c r="C34454">
        <f>ROMAN(34453)</f>
        <v/>
      </c>
      <c r="D34454">
        <f>IF(B34454=C34454, "YES", "WRONG")</f>
        <v/>
      </c>
    </row>
    <row r="34455">
      <c r="A34455" t="n">
        <v>34454</v>
      </c>
      <c r="B34455" t="inlineStr">
        <is>
          <t>x̄x̄x̄MV̅CDLIV</t>
        </is>
      </c>
      <c r="C34455">
        <f>ROMAN(34454)</f>
        <v/>
      </c>
      <c r="D34455">
        <f>IF(B34455=C34455, "YES", "WRONG")</f>
        <v/>
      </c>
    </row>
    <row r="34456">
      <c r="A34456" t="n">
        <v>34455</v>
      </c>
      <c r="B34456" t="inlineStr">
        <is>
          <t>x̄x̄x̄MV̅CDLV</t>
        </is>
      </c>
      <c r="C34456">
        <f>ROMAN(34455)</f>
        <v/>
      </c>
      <c r="D34456">
        <f>IF(B34456=C34456, "YES", "WRONG")</f>
        <v/>
      </c>
    </row>
    <row r="34457">
      <c r="A34457" t="n">
        <v>34456</v>
      </c>
      <c r="B34457" t="inlineStr">
        <is>
          <t>x̄x̄x̄MV̅CDLVI</t>
        </is>
      </c>
      <c r="C34457">
        <f>ROMAN(34456)</f>
        <v/>
      </c>
      <c r="D34457">
        <f>IF(B34457=C34457, "YES", "WRONG")</f>
        <v/>
      </c>
    </row>
    <row r="34458">
      <c r="A34458" t="n">
        <v>34457</v>
      </c>
      <c r="B34458" t="inlineStr">
        <is>
          <t>x̄x̄x̄MV̅CDLVII</t>
        </is>
      </c>
      <c r="C34458">
        <f>ROMAN(34457)</f>
        <v/>
      </c>
      <c r="D34458">
        <f>IF(B34458=C34458, "YES", "WRONG")</f>
        <v/>
      </c>
    </row>
    <row r="34459">
      <c r="A34459" t="n">
        <v>34458</v>
      </c>
      <c r="B34459" t="inlineStr">
        <is>
          <t>x̄x̄x̄MV̅CDLVIII</t>
        </is>
      </c>
      <c r="C34459">
        <f>ROMAN(34458)</f>
        <v/>
      </c>
      <c r="D34459">
        <f>IF(B34459=C34459, "YES", "WRONG")</f>
        <v/>
      </c>
    </row>
    <row r="34460">
      <c r="A34460" t="n">
        <v>34459</v>
      </c>
      <c r="B34460" t="inlineStr">
        <is>
          <t>x̄x̄x̄MV̅CDLIX</t>
        </is>
      </c>
      <c r="C34460">
        <f>ROMAN(34459)</f>
        <v/>
      </c>
      <c r="D34460">
        <f>IF(B34460=C34460, "YES", "WRONG")</f>
        <v/>
      </c>
    </row>
    <row r="34461">
      <c r="A34461" t="n">
        <v>34460</v>
      </c>
      <c r="B34461" t="inlineStr">
        <is>
          <t>x̄x̄x̄MV̅CDLX</t>
        </is>
      </c>
      <c r="C34461">
        <f>ROMAN(34460)</f>
        <v/>
      </c>
      <c r="D34461">
        <f>IF(B34461=C34461, "YES", "WRONG")</f>
        <v/>
      </c>
    </row>
    <row r="34462">
      <c r="A34462" t="n">
        <v>34461</v>
      </c>
      <c r="B34462" t="inlineStr">
        <is>
          <t>x̄x̄x̄MV̅CDLXI</t>
        </is>
      </c>
      <c r="C34462">
        <f>ROMAN(34461)</f>
        <v/>
      </c>
      <c r="D34462">
        <f>IF(B34462=C34462, "YES", "WRONG")</f>
        <v/>
      </c>
    </row>
    <row r="34463">
      <c r="A34463" t="n">
        <v>34462</v>
      </c>
      <c r="B34463" t="inlineStr">
        <is>
          <t>x̄x̄x̄MV̅CDLXII</t>
        </is>
      </c>
      <c r="C34463">
        <f>ROMAN(34462)</f>
        <v/>
      </c>
      <c r="D34463">
        <f>IF(B34463=C34463, "YES", "WRONG")</f>
        <v/>
      </c>
    </row>
    <row r="34464">
      <c r="A34464" t="n">
        <v>34463</v>
      </c>
      <c r="B34464" t="inlineStr">
        <is>
          <t>x̄x̄x̄MV̅CDLXIII</t>
        </is>
      </c>
      <c r="C34464">
        <f>ROMAN(34463)</f>
        <v/>
      </c>
      <c r="D34464">
        <f>IF(B34464=C34464, "YES", "WRONG")</f>
        <v/>
      </c>
    </row>
    <row r="34465">
      <c r="A34465" t="n">
        <v>34464</v>
      </c>
      <c r="B34465" t="inlineStr">
        <is>
          <t>x̄x̄x̄MV̅CDLXIV</t>
        </is>
      </c>
      <c r="C34465">
        <f>ROMAN(34464)</f>
        <v/>
      </c>
      <c r="D34465">
        <f>IF(B34465=C34465, "YES", "WRONG")</f>
        <v/>
      </c>
    </row>
    <row r="34466">
      <c r="A34466" t="n">
        <v>34465</v>
      </c>
      <c r="B34466" t="inlineStr">
        <is>
          <t>x̄x̄x̄MV̅CDLXV</t>
        </is>
      </c>
      <c r="C34466">
        <f>ROMAN(34465)</f>
        <v/>
      </c>
      <c r="D34466">
        <f>IF(B34466=C34466, "YES", "WRONG")</f>
        <v/>
      </c>
    </row>
    <row r="34467">
      <c r="A34467" t="n">
        <v>34466</v>
      </c>
      <c r="B34467" t="inlineStr">
        <is>
          <t>x̄x̄x̄MV̅CDLXVI</t>
        </is>
      </c>
      <c r="C34467">
        <f>ROMAN(34466)</f>
        <v/>
      </c>
      <c r="D34467">
        <f>IF(B34467=C34467, "YES", "WRONG")</f>
        <v/>
      </c>
    </row>
    <row r="34468">
      <c r="A34468" t="n">
        <v>34467</v>
      </c>
      <c r="B34468" t="inlineStr">
        <is>
          <t>x̄x̄x̄MV̅CDLXVII</t>
        </is>
      </c>
      <c r="C34468">
        <f>ROMAN(34467)</f>
        <v/>
      </c>
      <c r="D34468">
        <f>IF(B34468=C34468, "YES", "WRONG")</f>
        <v/>
      </c>
    </row>
    <row r="34469">
      <c r="A34469" t="n">
        <v>34468</v>
      </c>
      <c r="B34469" t="inlineStr">
        <is>
          <t>x̄x̄x̄MV̅CDLXVIII</t>
        </is>
      </c>
      <c r="C34469">
        <f>ROMAN(34468)</f>
        <v/>
      </c>
      <c r="D34469">
        <f>IF(B34469=C34469, "YES", "WRONG")</f>
        <v/>
      </c>
    </row>
    <row r="34470">
      <c r="A34470" t="n">
        <v>34469</v>
      </c>
      <c r="B34470" t="inlineStr">
        <is>
          <t>x̄x̄x̄MV̅CDLXIX</t>
        </is>
      </c>
      <c r="C34470">
        <f>ROMAN(34469)</f>
        <v/>
      </c>
      <c r="D34470">
        <f>IF(B34470=C34470, "YES", "WRONG")</f>
        <v/>
      </c>
    </row>
    <row r="34471">
      <c r="A34471" t="n">
        <v>34470</v>
      </c>
      <c r="B34471" t="inlineStr">
        <is>
          <t>x̄x̄x̄MV̅CDLXX</t>
        </is>
      </c>
      <c r="C34471">
        <f>ROMAN(34470)</f>
        <v/>
      </c>
      <c r="D34471">
        <f>IF(B34471=C34471, "YES", "WRONG")</f>
        <v/>
      </c>
    </row>
    <row r="34472">
      <c r="A34472" t="n">
        <v>34471</v>
      </c>
      <c r="B34472" t="inlineStr">
        <is>
          <t>x̄x̄x̄MV̅CDLXXI</t>
        </is>
      </c>
      <c r="C34472">
        <f>ROMAN(34471)</f>
        <v/>
      </c>
      <c r="D34472">
        <f>IF(B34472=C34472, "YES", "WRONG")</f>
        <v/>
      </c>
    </row>
    <row r="34473">
      <c r="A34473" t="n">
        <v>34472</v>
      </c>
      <c r="B34473" t="inlineStr">
        <is>
          <t>x̄x̄x̄MV̅CDLXXII</t>
        </is>
      </c>
      <c r="C34473">
        <f>ROMAN(34472)</f>
        <v/>
      </c>
      <c r="D34473">
        <f>IF(B34473=C34473, "YES", "WRONG")</f>
        <v/>
      </c>
    </row>
    <row r="34474">
      <c r="A34474" t="n">
        <v>34473</v>
      </c>
      <c r="B34474" t="inlineStr">
        <is>
          <t>x̄x̄x̄MV̅CDLXXIII</t>
        </is>
      </c>
      <c r="C34474">
        <f>ROMAN(34473)</f>
        <v/>
      </c>
      <c r="D34474">
        <f>IF(B34474=C34474, "YES", "WRONG")</f>
        <v/>
      </c>
    </row>
    <row r="34475">
      <c r="A34475" t="n">
        <v>34474</v>
      </c>
      <c r="B34475" t="inlineStr">
        <is>
          <t>x̄x̄x̄MV̅CDLXXIV</t>
        </is>
      </c>
      <c r="C34475">
        <f>ROMAN(34474)</f>
        <v/>
      </c>
      <c r="D34475">
        <f>IF(B34475=C34475, "YES", "WRONG")</f>
        <v/>
      </c>
    </row>
    <row r="34476">
      <c r="A34476" t="n">
        <v>34475</v>
      </c>
      <c r="B34476" t="inlineStr">
        <is>
          <t>x̄x̄x̄MV̅CDLXXV</t>
        </is>
      </c>
      <c r="C34476">
        <f>ROMAN(34475)</f>
        <v/>
      </c>
      <c r="D34476">
        <f>IF(B34476=C34476, "YES", "WRONG")</f>
        <v/>
      </c>
    </row>
    <row r="34477">
      <c r="A34477" t="n">
        <v>34476</v>
      </c>
      <c r="B34477" t="inlineStr">
        <is>
          <t>x̄x̄x̄MV̅CDLXXVI</t>
        </is>
      </c>
      <c r="C34477">
        <f>ROMAN(34476)</f>
        <v/>
      </c>
      <c r="D34477">
        <f>IF(B34477=C34477, "YES", "WRONG")</f>
        <v/>
      </c>
    </row>
    <row r="34478">
      <c r="A34478" t="n">
        <v>34477</v>
      </c>
      <c r="B34478" t="inlineStr">
        <is>
          <t>x̄x̄x̄MV̅CDLXXVII</t>
        </is>
      </c>
      <c r="C34478">
        <f>ROMAN(34477)</f>
        <v/>
      </c>
      <c r="D34478">
        <f>IF(B34478=C34478, "YES", "WRONG")</f>
        <v/>
      </c>
    </row>
    <row r="34479">
      <c r="A34479" t="n">
        <v>34478</v>
      </c>
      <c r="B34479" t="inlineStr">
        <is>
          <t>x̄x̄x̄MV̅CDLXXVIII</t>
        </is>
      </c>
      <c r="C34479">
        <f>ROMAN(34478)</f>
        <v/>
      </c>
      <c r="D34479">
        <f>IF(B34479=C34479, "YES", "WRONG")</f>
        <v/>
      </c>
    </row>
    <row r="34480">
      <c r="A34480" t="n">
        <v>34479</v>
      </c>
      <c r="B34480" t="inlineStr">
        <is>
          <t>x̄x̄x̄MV̅CDLXXIX</t>
        </is>
      </c>
      <c r="C34480">
        <f>ROMAN(34479)</f>
        <v/>
      </c>
      <c r="D34480">
        <f>IF(B34480=C34480, "YES", "WRONG")</f>
        <v/>
      </c>
    </row>
    <row r="34481">
      <c r="A34481" t="n">
        <v>34480</v>
      </c>
      <c r="B34481" t="inlineStr">
        <is>
          <t>x̄x̄x̄MV̅CDLXXX</t>
        </is>
      </c>
      <c r="C34481">
        <f>ROMAN(34480)</f>
        <v/>
      </c>
      <c r="D34481">
        <f>IF(B34481=C34481, "YES", "WRONG")</f>
        <v/>
      </c>
    </row>
    <row r="34482">
      <c r="A34482" t="n">
        <v>34481</v>
      </c>
      <c r="B34482" t="inlineStr">
        <is>
          <t>x̄x̄x̄MV̅CDLXXXI</t>
        </is>
      </c>
      <c r="C34482">
        <f>ROMAN(34481)</f>
        <v/>
      </c>
      <c r="D34482">
        <f>IF(B34482=C34482, "YES", "WRONG")</f>
        <v/>
      </c>
    </row>
    <row r="34483">
      <c r="A34483" t="n">
        <v>34482</v>
      </c>
      <c r="B34483" t="inlineStr">
        <is>
          <t>x̄x̄x̄MV̅CDLXXXII</t>
        </is>
      </c>
      <c r="C34483">
        <f>ROMAN(34482)</f>
        <v/>
      </c>
      <c r="D34483">
        <f>IF(B34483=C34483, "YES", "WRONG")</f>
        <v/>
      </c>
    </row>
    <row r="34484">
      <c r="A34484" t="n">
        <v>34483</v>
      </c>
      <c r="B34484" t="inlineStr">
        <is>
          <t>x̄x̄x̄MV̅CDLXXXIII</t>
        </is>
      </c>
      <c r="C34484">
        <f>ROMAN(34483)</f>
        <v/>
      </c>
      <c r="D34484">
        <f>IF(B34484=C34484, "YES", "WRONG")</f>
        <v/>
      </c>
    </row>
    <row r="34485">
      <c r="A34485" t="n">
        <v>34484</v>
      </c>
      <c r="B34485" t="inlineStr">
        <is>
          <t>x̄x̄x̄MV̅CDLXXXIV</t>
        </is>
      </c>
      <c r="C34485">
        <f>ROMAN(34484)</f>
        <v/>
      </c>
      <c r="D34485">
        <f>IF(B34485=C34485, "YES", "WRONG")</f>
        <v/>
      </c>
    </row>
    <row r="34486">
      <c r="A34486" t="n">
        <v>34485</v>
      </c>
      <c r="B34486" t="inlineStr">
        <is>
          <t>x̄x̄x̄MV̅CDLXXXV</t>
        </is>
      </c>
      <c r="C34486">
        <f>ROMAN(34485)</f>
        <v/>
      </c>
      <c r="D34486">
        <f>IF(B34486=C34486, "YES", "WRONG")</f>
        <v/>
      </c>
    </row>
    <row r="34487">
      <c r="A34487" t="n">
        <v>34486</v>
      </c>
      <c r="B34487" t="inlineStr">
        <is>
          <t>x̄x̄x̄MV̅CDLXXXVI</t>
        </is>
      </c>
      <c r="C34487">
        <f>ROMAN(34486)</f>
        <v/>
      </c>
      <c r="D34487">
        <f>IF(B34487=C34487, "YES", "WRONG")</f>
        <v/>
      </c>
    </row>
    <row r="34488">
      <c r="A34488" t="n">
        <v>34487</v>
      </c>
      <c r="B34488" t="inlineStr">
        <is>
          <t>x̄x̄x̄MV̅CDLXXXVII</t>
        </is>
      </c>
      <c r="C34488">
        <f>ROMAN(34487)</f>
        <v/>
      </c>
      <c r="D34488">
        <f>IF(B34488=C34488, "YES", "WRONG")</f>
        <v/>
      </c>
    </row>
    <row r="34489">
      <c r="A34489" t="n">
        <v>34488</v>
      </c>
      <c r="B34489" t="inlineStr">
        <is>
          <t>x̄x̄x̄MV̅CDLXXXVIII</t>
        </is>
      </c>
      <c r="C34489">
        <f>ROMAN(34488)</f>
        <v/>
      </c>
      <c r="D34489">
        <f>IF(B34489=C34489, "YES", "WRONG")</f>
        <v/>
      </c>
    </row>
    <row r="34490">
      <c r="A34490" t="n">
        <v>34489</v>
      </c>
      <c r="B34490" t="inlineStr">
        <is>
          <t>x̄x̄x̄MV̅CDLXXXIX</t>
        </is>
      </c>
      <c r="C34490">
        <f>ROMAN(34489)</f>
        <v/>
      </c>
      <c r="D34490">
        <f>IF(B34490=C34490, "YES", "WRONG")</f>
        <v/>
      </c>
    </row>
    <row r="34491">
      <c r="A34491" t="n">
        <v>34490</v>
      </c>
      <c r="B34491" t="inlineStr">
        <is>
          <t>x̄x̄x̄MV̅CDXC</t>
        </is>
      </c>
      <c r="C34491">
        <f>ROMAN(34490)</f>
        <v/>
      </c>
      <c r="D34491">
        <f>IF(B34491=C34491, "YES", "WRONG")</f>
        <v/>
      </c>
    </row>
    <row r="34492">
      <c r="A34492" t="n">
        <v>34491</v>
      </c>
      <c r="B34492" t="inlineStr">
        <is>
          <t>x̄x̄x̄MV̅CDXCI</t>
        </is>
      </c>
      <c r="C34492">
        <f>ROMAN(34491)</f>
        <v/>
      </c>
      <c r="D34492">
        <f>IF(B34492=C34492, "YES", "WRONG")</f>
        <v/>
      </c>
    </row>
    <row r="34493">
      <c r="A34493" t="n">
        <v>34492</v>
      </c>
      <c r="B34493" t="inlineStr">
        <is>
          <t>x̄x̄x̄MV̅CDXCII</t>
        </is>
      </c>
      <c r="C34493">
        <f>ROMAN(34492)</f>
        <v/>
      </c>
      <c r="D34493">
        <f>IF(B34493=C34493, "YES", "WRONG")</f>
        <v/>
      </c>
    </row>
    <row r="34494">
      <c r="A34494" t="n">
        <v>34493</v>
      </c>
      <c r="B34494" t="inlineStr">
        <is>
          <t>x̄x̄x̄MV̅CDXCIII</t>
        </is>
      </c>
      <c r="C34494">
        <f>ROMAN(34493)</f>
        <v/>
      </c>
      <c r="D34494">
        <f>IF(B34494=C34494, "YES", "WRONG")</f>
        <v/>
      </c>
    </row>
    <row r="34495">
      <c r="A34495" t="n">
        <v>34494</v>
      </c>
      <c r="B34495" t="inlineStr">
        <is>
          <t>x̄x̄x̄MV̅CDXCIV</t>
        </is>
      </c>
      <c r="C34495">
        <f>ROMAN(34494)</f>
        <v/>
      </c>
      <c r="D34495">
        <f>IF(B34495=C34495, "YES", "WRONG")</f>
        <v/>
      </c>
    </row>
    <row r="34496">
      <c r="A34496" t="n">
        <v>34495</v>
      </c>
      <c r="B34496" t="inlineStr">
        <is>
          <t>x̄x̄x̄MV̅CDXCV</t>
        </is>
      </c>
      <c r="C34496">
        <f>ROMAN(34495)</f>
        <v/>
      </c>
      <c r="D34496">
        <f>IF(B34496=C34496, "YES", "WRONG")</f>
        <v/>
      </c>
    </row>
    <row r="34497">
      <c r="A34497" t="n">
        <v>34496</v>
      </c>
      <c r="B34497" t="inlineStr">
        <is>
          <t>x̄x̄x̄MV̅CDXCVI</t>
        </is>
      </c>
      <c r="C34497">
        <f>ROMAN(34496)</f>
        <v/>
      </c>
      <c r="D34497">
        <f>IF(B34497=C34497, "YES", "WRONG")</f>
        <v/>
      </c>
    </row>
    <row r="34498">
      <c r="A34498" t="n">
        <v>34497</v>
      </c>
      <c r="B34498" t="inlineStr">
        <is>
          <t>x̄x̄x̄MV̅CDXCVII</t>
        </is>
      </c>
      <c r="C34498">
        <f>ROMAN(34497)</f>
        <v/>
      </c>
      <c r="D34498">
        <f>IF(B34498=C34498, "YES", "WRONG")</f>
        <v/>
      </c>
    </row>
    <row r="34499">
      <c r="A34499" t="n">
        <v>34498</v>
      </c>
      <c r="B34499" t="inlineStr">
        <is>
          <t>x̄x̄x̄MV̅CDXCVIII</t>
        </is>
      </c>
      <c r="C34499">
        <f>ROMAN(34498)</f>
        <v/>
      </c>
      <c r="D34499">
        <f>IF(B34499=C34499, "YES", "WRONG")</f>
        <v/>
      </c>
    </row>
    <row r="34500">
      <c r="A34500" t="n">
        <v>34499</v>
      </c>
      <c r="B34500" t="inlineStr">
        <is>
          <t>x̄x̄x̄MV̅CDXCIX</t>
        </is>
      </c>
      <c r="C34500">
        <f>ROMAN(34499)</f>
        <v/>
      </c>
      <c r="D34500">
        <f>IF(B34500=C34500, "YES", "WRONG")</f>
        <v/>
      </c>
    </row>
    <row r="34501">
      <c r="A34501" t="n">
        <v>34500</v>
      </c>
      <c r="B34501" t="inlineStr">
        <is>
          <t>x̄x̄x̄MV̅D</t>
        </is>
      </c>
      <c r="C34501">
        <f>ROMAN(34500)</f>
        <v/>
      </c>
      <c r="D34501">
        <f>IF(B34501=C34501, "YES", "WRONG")</f>
        <v/>
      </c>
    </row>
    <row r="34502">
      <c r="A34502" t="n">
        <v>34501</v>
      </c>
      <c r="B34502" t="inlineStr">
        <is>
          <t>x̄x̄x̄MV̅DI</t>
        </is>
      </c>
      <c r="C34502">
        <f>ROMAN(34501)</f>
        <v/>
      </c>
      <c r="D34502">
        <f>IF(B34502=C34502, "YES", "WRONG")</f>
        <v/>
      </c>
    </row>
    <row r="34503">
      <c r="A34503" t="n">
        <v>34502</v>
      </c>
      <c r="B34503" t="inlineStr">
        <is>
          <t>x̄x̄x̄MV̅DII</t>
        </is>
      </c>
      <c r="C34503">
        <f>ROMAN(34502)</f>
        <v/>
      </c>
      <c r="D34503">
        <f>IF(B34503=C34503, "YES", "WRONG")</f>
        <v/>
      </c>
    </row>
    <row r="34504">
      <c r="A34504" t="n">
        <v>34503</v>
      </c>
      <c r="B34504" t="inlineStr">
        <is>
          <t>x̄x̄x̄MV̅DIII</t>
        </is>
      </c>
      <c r="C34504">
        <f>ROMAN(34503)</f>
        <v/>
      </c>
      <c r="D34504">
        <f>IF(B34504=C34504, "YES", "WRONG")</f>
        <v/>
      </c>
    </row>
    <row r="34505">
      <c r="A34505" t="n">
        <v>34504</v>
      </c>
      <c r="B34505" t="inlineStr">
        <is>
          <t>x̄x̄x̄MV̅DIV</t>
        </is>
      </c>
      <c r="C34505">
        <f>ROMAN(34504)</f>
        <v/>
      </c>
      <c r="D34505">
        <f>IF(B34505=C34505, "YES", "WRONG")</f>
        <v/>
      </c>
    </row>
    <row r="34506">
      <c r="A34506" t="n">
        <v>34505</v>
      </c>
      <c r="B34506" t="inlineStr">
        <is>
          <t>x̄x̄x̄MV̅DV</t>
        </is>
      </c>
      <c r="C34506">
        <f>ROMAN(34505)</f>
        <v/>
      </c>
      <c r="D34506">
        <f>IF(B34506=C34506, "YES", "WRONG")</f>
        <v/>
      </c>
    </row>
    <row r="34507">
      <c r="A34507" t="n">
        <v>34506</v>
      </c>
      <c r="B34507" t="inlineStr">
        <is>
          <t>x̄x̄x̄MV̅DVI</t>
        </is>
      </c>
      <c r="C34507">
        <f>ROMAN(34506)</f>
        <v/>
      </c>
      <c r="D34507">
        <f>IF(B34507=C34507, "YES", "WRONG")</f>
        <v/>
      </c>
    </row>
    <row r="34508">
      <c r="A34508" t="n">
        <v>34507</v>
      </c>
      <c r="B34508" t="inlineStr">
        <is>
          <t>x̄x̄x̄MV̅DVII</t>
        </is>
      </c>
      <c r="C34508">
        <f>ROMAN(34507)</f>
        <v/>
      </c>
      <c r="D34508">
        <f>IF(B34508=C34508, "YES", "WRONG")</f>
        <v/>
      </c>
    </row>
    <row r="34509">
      <c r="A34509" t="n">
        <v>34508</v>
      </c>
      <c r="B34509" t="inlineStr">
        <is>
          <t>x̄x̄x̄MV̅DVIII</t>
        </is>
      </c>
      <c r="C34509">
        <f>ROMAN(34508)</f>
        <v/>
      </c>
      <c r="D34509">
        <f>IF(B34509=C34509, "YES", "WRONG")</f>
        <v/>
      </c>
    </row>
    <row r="34510">
      <c r="A34510" t="n">
        <v>34509</v>
      </c>
      <c r="B34510" t="inlineStr">
        <is>
          <t>x̄x̄x̄MV̅DIX</t>
        </is>
      </c>
      <c r="C34510">
        <f>ROMAN(34509)</f>
        <v/>
      </c>
      <c r="D34510">
        <f>IF(B34510=C34510, "YES", "WRONG")</f>
        <v/>
      </c>
    </row>
    <row r="34511">
      <c r="A34511" t="n">
        <v>34510</v>
      </c>
      <c r="B34511" t="inlineStr">
        <is>
          <t>x̄x̄x̄MV̅DX</t>
        </is>
      </c>
      <c r="C34511">
        <f>ROMAN(34510)</f>
        <v/>
      </c>
      <c r="D34511">
        <f>IF(B34511=C34511, "YES", "WRONG")</f>
        <v/>
      </c>
    </row>
    <row r="34512">
      <c r="A34512" t="n">
        <v>34511</v>
      </c>
      <c r="B34512" t="inlineStr">
        <is>
          <t>x̄x̄x̄MV̅DXI</t>
        </is>
      </c>
      <c r="C34512">
        <f>ROMAN(34511)</f>
        <v/>
      </c>
      <c r="D34512">
        <f>IF(B34512=C34512, "YES", "WRONG")</f>
        <v/>
      </c>
    </row>
    <row r="34513">
      <c r="A34513" t="n">
        <v>34512</v>
      </c>
      <c r="B34513" t="inlineStr">
        <is>
          <t>x̄x̄x̄MV̅DXII</t>
        </is>
      </c>
      <c r="C34513">
        <f>ROMAN(34512)</f>
        <v/>
      </c>
      <c r="D34513">
        <f>IF(B34513=C34513, "YES", "WRONG")</f>
        <v/>
      </c>
    </row>
    <row r="34514">
      <c r="A34514" t="n">
        <v>34513</v>
      </c>
      <c r="B34514" t="inlineStr">
        <is>
          <t>x̄x̄x̄MV̅DXIII</t>
        </is>
      </c>
      <c r="C34514">
        <f>ROMAN(34513)</f>
        <v/>
      </c>
      <c r="D34514">
        <f>IF(B34514=C34514, "YES", "WRONG")</f>
        <v/>
      </c>
    </row>
    <row r="34515">
      <c r="A34515" t="n">
        <v>34514</v>
      </c>
      <c r="B34515" t="inlineStr">
        <is>
          <t>x̄x̄x̄MV̅DXIV</t>
        </is>
      </c>
      <c r="C34515">
        <f>ROMAN(34514)</f>
        <v/>
      </c>
      <c r="D34515">
        <f>IF(B34515=C34515, "YES", "WRONG")</f>
        <v/>
      </c>
    </row>
    <row r="34516">
      <c r="A34516" t="n">
        <v>34515</v>
      </c>
      <c r="B34516" t="inlineStr">
        <is>
          <t>x̄x̄x̄MV̅DXV</t>
        </is>
      </c>
      <c r="C34516">
        <f>ROMAN(34515)</f>
        <v/>
      </c>
      <c r="D34516">
        <f>IF(B34516=C34516, "YES", "WRONG")</f>
        <v/>
      </c>
    </row>
    <row r="34517">
      <c r="A34517" t="n">
        <v>34516</v>
      </c>
      <c r="B34517" t="inlineStr">
        <is>
          <t>x̄x̄x̄MV̅DXVI</t>
        </is>
      </c>
      <c r="C34517">
        <f>ROMAN(34516)</f>
        <v/>
      </c>
      <c r="D34517">
        <f>IF(B34517=C34517, "YES", "WRONG")</f>
        <v/>
      </c>
    </row>
    <row r="34518">
      <c r="A34518" t="n">
        <v>34517</v>
      </c>
      <c r="B34518" t="inlineStr">
        <is>
          <t>x̄x̄x̄MV̅DXVII</t>
        </is>
      </c>
      <c r="C34518">
        <f>ROMAN(34517)</f>
        <v/>
      </c>
      <c r="D34518">
        <f>IF(B34518=C34518, "YES", "WRONG")</f>
        <v/>
      </c>
    </row>
    <row r="34519">
      <c r="A34519" t="n">
        <v>34518</v>
      </c>
      <c r="B34519" t="inlineStr">
        <is>
          <t>x̄x̄x̄MV̅DXVIII</t>
        </is>
      </c>
      <c r="C34519">
        <f>ROMAN(34518)</f>
        <v/>
      </c>
      <c r="D34519">
        <f>IF(B34519=C34519, "YES", "WRONG")</f>
        <v/>
      </c>
    </row>
    <row r="34520">
      <c r="A34520" t="n">
        <v>34519</v>
      </c>
      <c r="B34520" t="inlineStr">
        <is>
          <t>x̄x̄x̄MV̅DXIX</t>
        </is>
      </c>
      <c r="C34520">
        <f>ROMAN(34519)</f>
        <v/>
      </c>
      <c r="D34520">
        <f>IF(B34520=C34520, "YES", "WRONG")</f>
        <v/>
      </c>
    </row>
    <row r="34521">
      <c r="A34521" t="n">
        <v>34520</v>
      </c>
      <c r="B34521" t="inlineStr">
        <is>
          <t>x̄x̄x̄MV̅DXX</t>
        </is>
      </c>
      <c r="C34521">
        <f>ROMAN(34520)</f>
        <v/>
      </c>
      <c r="D34521">
        <f>IF(B34521=C34521, "YES", "WRONG")</f>
        <v/>
      </c>
    </row>
    <row r="34522">
      <c r="A34522" t="n">
        <v>34521</v>
      </c>
      <c r="B34522" t="inlineStr">
        <is>
          <t>x̄x̄x̄MV̅DXXI</t>
        </is>
      </c>
      <c r="C34522">
        <f>ROMAN(34521)</f>
        <v/>
      </c>
      <c r="D34522">
        <f>IF(B34522=C34522, "YES", "WRONG")</f>
        <v/>
      </c>
    </row>
    <row r="34523">
      <c r="A34523" t="n">
        <v>34522</v>
      </c>
      <c r="B34523" t="inlineStr">
        <is>
          <t>x̄x̄x̄MV̅DXXII</t>
        </is>
      </c>
      <c r="C34523">
        <f>ROMAN(34522)</f>
        <v/>
      </c>
      <c r="D34523">
        <f>IF(B34523=C34523, "YES", "WRONG")</f>
        <v/>
      </c>
    </row>
    <row r="34524">
      <c r="A34524" t="n">
        <v>34523</v>
      </c>
      <c r="B34524" t="inlineStr">
        <is>
          <t>x̄x̄x̄MV̅DXXIII</t>
        </is>
      </c>
      <c r="C34524">
        <f>ROMAN(34523)</f>
        <v/>
      </c>
      <c r="D34524">
        <f>IF(B34524=C34524, "YES", "WRONG")</f>
        <v/>
      </c>
    </row>
    <row r="34525">
      <c r="A34525" t="n">
        <v>34524</v>
      </c>
      <c r="B34525" t="inlineStr">
        <is>
          <t>x̄x̄x̄MV̅DXXIV</t>
        </is>
      </c>
      <c r="C34525">
        <f>ROMAN(34524)</f>
        <v/>
      </c>
      <c r="D34525">
        <f>IF(B34525=C34525, "YES", "WRONG")</f>
        <v/>
      </c>
    </row>
    <row r="34526">
      <c r="A34526" t="n">
        <v>34525</v>
      </c>
      <c r="B34526" t="inlineStr">
        <is>
          <t>x̄x̄x̄MV̅DXXV</t>
        </is>
      </c>
      <c r="C34526">
        <f>ROMAN(34525)</f>
        <v/>
      </c>
      <c r="D34526">
        <f>IF(B34526=C34526, "YES", "WRONG")</f>
        <v/>
      </c>
    </row>
    <row r="34527">
      <c r="A34527" t="n">
        <v>34526</v>
      </c>
      <c r="B34527" t="inlineStr">
        <is>
          <t>x̄x̄x̄MV̅DXXVI</t>
        </is>
      </c>
      <c r="C34527">
        <f>ROMAN(34526)</f>
        <v/>
      </c>
      <c r="D34527">
        <f>IF(B34527=C34527, "YES", "WRONG")</f>
        <v/>
      </c>
    </row>
    <row r="34528">
      <c r="A34528" t="n">
        <v>34527</v>
      </c>
      <c r="B34528" t="inlineStr">
        <is>
          <t>x̄x̄x̄MV̅DXXVII</t>
        </is>
      </c>
      <c r="C34528">
        <f>ROMAN(34527)</f>
        <v/>
      </c>
      <c r="D34528">
        <f>IF(B34528=C34528, "YES", "WRONG")</f>
        <v/>
      </c>
    </row>
    <row r="34529">
      <c r="A34529" t="n">
        <v>34528</v>
      </c>
      <c r="B34529" t="inlineStr">
        <is>
          <t>x̄x̄x̄MV̅DXXVIII</t>
        </is>
      </c>
      <c r="C34529">
        <f>ROMAN(34528)</f>
        <v/>
      </c>
      <c r="D34529">
        <f>IF(B34529=C34529, "YES", "WRONG")</f>
        <v/>
      </c>
    </row>
    <row r="34530">
      <c r="A34530" t="n">
        <v>34529</v>
      </c>
      <c r="B34530" t="inlineStr">
        <is>
          <t>x̄x̄x̄MV̅DXXIX</t>
        </is>
      </c>
      <c r="C34530">
        <f>ROMAN(34529)</f>
        <v/>
      </c>
      <c r="D34530">
        <f>IF(B34530=C34530, "YES", "WRONG")</f>
        <v/>
      </c>
    </row>
    <row r="34531">
      <c r="A34531" t="n">
        <v>34530</v>
      </c>
      <c r="B34531" t="inlineStr">
        <is>
          <t>x̄x̄x̄MV̅DXXX</t>
        </is>
      </c>
      <c r="C34531">
        <f>ROMAN(34530)</f>
        <v/>
      </c>
      <c r="D34531">
        <f>IF(B34531=C34531, "YES", "WRONG")</f>
        <v/>
      </c>
    </row>
    <row r="34532">
      <c r="A34532" t="n">
        <v>34531</v>
      </c>
      <c r="B34532" t="inlineStr">
        <is>
          <t>x̄x̄x̄MV̅DXXXI</t>
        </is>
      </c>
      <c r="C34532">
        <f>ROMAN(34531)</f>
        <v/>
      </c>
      <c r="D34532">
        <f>IF(B34532=C34532, "YES", "WRONG")</f>
        <v/>
      </c>
    </row>
    <row r="34533">
      <c r="A34533" t="n">
        <v>34532</v>
      </c>
      <c r="B34533" t="inlineStr">
        <is>
          <t>x̄x̄x̄MV̅DXXXII</t>
        </is>
      </c>
      <c r="C34533">
        <f>ROMAN(34532)</f>
        <v/>
      </c>
      <c r="D34533">
        <f>IF(B34533=C34533, "YES", "WRONG")</f>
        <v/>
      </c>
    </row>
    <row r="34534">
      <c r="A34534" t="n">
        <v>34533</v>
      </c>
      <c r="B34534" t="inlineStr">
        <is>
          <t>x̄x̄x̄MV̅DXXXIII</t>
        </is>
      </c>
      <c r="C34534">
        <f>ROMAN(34533)</f>
        <v/>
      </c>
      <c r="D34534">
        <f>IF(B34534=C34534, "YES", "WRONG")</f>
        <v/>
      </c>
    </row>
    <row r="34535">
      <c r="A34535" t="n">
        <v>34534</v>
      </c>
      <c r="B34535" t="inlineStr">
        <is>
          <t>x̄x̄x̄MV̅DXXXIV</t>
        </is>
      </c>
      <c r="C34535">
        <f>ROMAN(34534)</f>
        <v/>
      </c>
      <c r="D34535">
        <f>IF(B34535=C34535, "YES", "WRONG")</f>
        <v/>
      </c>
    </row>
    <row r="34536">
      <c r="A34536" t="n">
        <v>34535</v>
      </c>
      <c r="B34536" t="inlineStr">
        <is>
          <t>x̄x̄x̄MV̅DXXXV</t>
        </is>
      </c>
      <c r="C34536">
        <f>ROMAN(34535)</f>
        <v/>
      </c>
      <c r="D34536">
        <f>IF(B34536=C34536, "YES", "WRONG")</f>
        <v/>
      </c>
    </row>
    <row r="34537">
      <c r="A34537" t="n">
        <v>34536</v>
      </c>
      <c r="B34537" t="inlineStr">
        <is>
          <t>x̄x̄x̄MV̅DXXXVI</t>
        </is>
      </c>
      <c r="C34537">
        <f>ROMAN(34536)</f>
        <v/>
      </c>
      <c r="D34537">
        <f>IF(B34537=C34537, "YES", "WRONG")</f>
        <v/>
      </c>
    </row>
    <row r="34538">
      <c r="A34538" t="n">
        <v>34537</v>
      </c>
      <c r="B34538" t="inlineStr">
        <is>
          <t>x̄x̄x̄MV̅DXXXVII</t>
        </is>
      </c>
      <c r="C34538">
        <f>ROMAN(34537)</f>
        <v/>
      </c>
      <c r="D34538">
        <f>IF(B34538=C34538, "YES", "WRONG")</f>
        <v/>
      </c>
    </row>
    <row r="34539">
      <c r="A34539" t="n">
        <v>34538</v>
      </c>
      <c r="B34539" t="inlineStr">
        <is>
          <t>x̄x̄x̄MV̅DXXXVIII</t>
        </is>
      </c>
      <c r="C34539">
        <f>ROMAN(34538)</f>
        <v/>
      </c>
      <c r="D34539">
        <f>IF(B34539=C34539, "YES", "WRONG")</f>
        <v/>
      </c>
    </row>
    <row r="34540">
      <c r="A34540" t="n">
        <v>34539</v>
      </c>
      <c r="B34540" t="inlineStr">
        <is>
          <t>x̄x̄x̄MV̅DXXXIX</t>
        </is>
      </c>
      <c r="C34540">
        <f>ROMAN(34539)</f>
        <v/>
      </c>
      <c r="D34540">
        <f>IF(B34540=C34540, "YES", "WRONG")</f>
        <v/>
      </c>
    </row>
    <row r="34541">
      <c r="A34541" t="n">
        <v>34540</v>
      </c>
      <c r="B34541" t="inlineStr">
        <is>
          <t>x̄x̄x̄MV̅DXL</t>
        </is>
      </c>
      <c r="C34541">
        <f>ROMAN(34540)</f>
        <v/>
      </c>
      <c r="D34541">
        <f>IF(B34541=C34541, "YES", "WRONG")</f>
        <v/>
      </c>
    </row>
    <row r="34542">
      <c r="A34542" t="n">
        <v>34541</v>
      </c>
      <c r="B34542" t="inlineStr">
        <is>
          <t>x̄x̄x̄MV̅DXLI</t>
        </is>
      </c>
      <c r="C34542">
        <f>ROMAN(34541)</f>
        <v/>
      </c>
      <c r="D34542">
        <f>IF(B34542=C34542, "YES", "WRONG")</f>
        <v/>
      </c>
    </row>
    <row r="34543">
      <c r="A34543" t="n">
        <v>34542</v>
      </c>
      <c r="B34543" t="inlineStr">
        <is>
          <t>x̄x̄x̄MV̅DXLII</t>
        </is>
      </c>
      <c r="C34543">
        <f>ROMAN(34542)</f>
        <v/>
      </c>
      <c r="D34543">
        <f>IF(B34543=C34543, "YES", "WRONG")</f>
        <v/>
      </c>
    </row>
    <row r="34544">
      <c r="A34544" t="n">
        <v>34543</v>
      </c>
      <c r="B34544" t="inlineStr">
        <is>
          <t>x̄x̄x̄MV̅DXLIII</t>
        </is>
      </c>
      <c r="C34544">
        <f>ROMAN(34543)</f>
        <v/>
      </c>
      <c r="D34544">
        <f>IF(B34544=C34544, "YES", "WRONG")</f>
        <v/>
      </c>
    </row>
    <row r="34545">
      <c r="A34545" t="n">
        <v>34544</v>
      </c>
      <c r="B34545" t="inlineStr">
        <is>
          <t>x̄x̄x̄MV̅DXLIV</t>
        </is>
      </c>
      <c r="C34545">
        <f>ROMAN(34544)</f>
        <v/>
      </c>
      <c r="D34545">
        <f>IF(B34545=C34545, "YES", "WRONG")</f>
        <v/>
      </c>
    </row>
    <row r="34546">
      <c r="A34546" t="n">
        <v>34545</v>
      </c>
      <c r="B34546" t="inlineStr">
        <is>
          <t>x̄x̄x̄MV̅DXLV</t>
        </is>
      </c>
      <c r="C34546">
        <f>ROMAN(34545)</f>
        <v/>
      </c>
      <c r="D34546">
        <f>IF(B34546=C34546, "YES", "WRONG")</f>
        <v/>
      </c>
    </row>
    <row r="34547">
      <c r="A34547" t="n">
        <v>34546</v>
      </c>
      <c r="B34547" t="inlineStr">
        <is>
          <t>x̄x̄x̄MV̅DXLVI</t>
        </is>
      </c>
      <c r="C34547">
        <f>ROMAN(34546)</f>
        <v/>
      </c>
      <c r="D34547">
        <f>IF(B34547=C34547, "YES", "WRONG")</f>
        <v/>
      </c>
    </row>
    <row r="34548">
      <c r="A34548" t="n">
        <v>34547</v>
      </c>
      <c r="B34548" t="inlineStr">
        <is>
          <t>x̄x̄x̄MV̅DXLVII</t>
        </is>
      </c>
      <c r="C34548">
        <f>ROMAN(34547)</f>
        <v/>
      </c>
      <c r="D34548">
        <f>IF(B34548=C34548, "YES", "WRONG")</f>
        <v/>
      </c>
    </row>
    <row r="34549">
      <c r="A34549" t="n">
        <v>34548</v>
      </c>
      <c r="B34549" t="inlineStr">
        <is>
          <t>x̄x̄x̄MV̅DXLVIII</t>
        </is>
      </c>
      <c r="C34549">
        <f>ROMAN(34548)</f>
        <v/>
      </c>
      <c r="D34549">
        <f>IF(B34549=C34549, "YES", "WRONG")</f>
        <v/>
      </c>
    </row>
    <row r="34550">
      <c r="A34550" t="n">
        <v>34549</v>
      </c>
      <c r="B34550" t="inlineStr">
        <is>
          <t>x̄x̄x̄MV̅DXLIX</t>
        </is>
      </c>
      <c r="C34550">
        <f>ROMAN(34549)</f>
        <v/>
      </c>
      <c r="D34550">
        <f>IF(B34550=C34550, "YES", "WRONG")</f>
        <v/>
      </c>
    </row>
    <row r="34551">
      <c r="A34551" t="n">
        <v>34550</v>
      </c>
      <c r="B34551" t="inlineStr">
        <is>
          <t>x̄x̄x̄MV̅DL</t>
        </is>
      </c>
      <c r="C34551">
        <f>ROMAN(34550)</f>
        <v/>
      </c>
      <c r="D34551">
        <f>IF(B34551=C34551, "YES", "WRONG")</f>
        <v/>
      </c>
    </row>
    <row r="34552">
      <c r="A34552" t="n">
        <v>34551</v>
      </c>
      <c r="B34552" t="inlineStr">
        <is>
          <t>x̄x̄x̄MV̅DLI</t>
        </is>
      </c>
      <c r="C34552">
        <f>ROMAN(34551)</f>
        <v/>
      </c>
      <c r="D34552">
        <f>IF(B34552=C34552, "YES", "WRONG")</f>
        <v/>
      </c>
    </row>
    <row r="34553">
      <c r="A34553" t="n">
        <v>34552</v>
      </c>
      <c r="B34553" t="inlineStr">
        <is>
          <t>x̄x̄x̄MV̅DLII</t>
        </is>
      </c>
      <c r="C34553">
        <f>ROMAN(34552)</f>
        <v/>
      </c>
      <c r="D34553">
        <f>IF(B34553=C34553, "YES", "WRONG")</f>
        <v/>
      </c>
    </row>
    <row r="34554">
      <c r="A34554" t="n">
        <v>34553</v>
      </c>
      <c r="B34554" t="inlineStr">
        <is>
          <t>x̄x̄x̄MV̅DLIII</t>
        </is>
      </c>
      <c r="C34554">
        <f>ROMAN(34553)</f>
        <v/>
      </c>
      <c r="D34554">
        <f>IF(B34554=C34554, "YES", "WRONG")</f>
        <v/>
      </c>
    </row>
    <row r="34555">
      <c r="A34555" t="n">
        <v>34554</v>
      </c>
      <c r="B34555" t="inlineStr">
        <is>
          <t>x̄x̄x̄MV̅DLIV</t>
        </is>
      </c>
      <c r="C34555">
        <f>ROMAN(34554)</f>
        <v/>
      </c>
      <c r="D34555">
        <f>IF(B34555=C34555, "YES", "WRONG")</f>
        <v/>
      </c>
    </row>
    <row r="34556">
      <c r="A34556" t="n">
        <v>34555</v>
      </c>
      <c r="B34556" t="inlineStr">
        <is>
          <t>x̄x̄x̄MV̅DLV</t>
        </is>
      </c>
      <c r="C34556">
        <f>ROMAN(34555)</f>
        <v/>
      </c>
      <c r="D34556">
        <f>IF(B34556=C34556, "YES", "WRONG")</f>
        <v/>
      </c>
    </row>
    <row r="34557">
      <c r="A34557" t="n">
        <v>34556</v>
      </c>
      <c r="B34557" t="inlineStr">
        <is>
          <t>x̄x̄x̄MV̅DLVI</t>
        </is>
      </c>
      <c r="C34557">
        <f>ROMAN(34556)</f>
        <v/>
      </c>
      <c r="D34557">
        <f>IF(B34557=C34557, "YES", "WRONG")</f>
        <v/>
      </c>
    </row>
    <row r="34558">
      <c r="A34558" t="n">
        <v>34557</v>
      </c>
      <c r="B34558" t="inlineStr">
        <is>
          <t>x̄x̄x̄MV̅DLVII</t>
        </is>
      </c>
      <c r="C34558">
        <f>ROMAN(34557)</f>
        <v/>
      </c>
      <c r="D34558">
        <f>IF(B34558=C34558, "YES", "WRONG")</f>
        <v/>
      </c>
    </row>
    <row r="34559">
      <c r="A34559" t="n">
        <v>34558</v>
      </c>
      <c r="B34559" t="inlineStr">
        <is>
          <t>x̄x̄x̄MV̅DLVIII</t>
        </is>
      </c>
      <c r="C34559">
        <f>ROMAN(34558)</f>
        <v/>
      </c>
      <c r="D34559">
        <f>IF(B34559=C34559, "YES", "WRONG")</f>
        <v/>
      </c>
    </row>
    <row r="34560">
      <c r="A34560" t="n">
        <v>34559</v>
      </c>
      <c r="B34560" t="inlineStr">
        <is>
          <t>x̄x̄x̄MV̅DLIX</t>
        </is>
      </c>
      <c r="C34560">
        <f>ROMAN(34559)</f>
        <v/>
      </c>
      <c r="D34560">
        <f>IF(B34560=C34560, "YES", "WRONG")</f>
        <v/>
      </c>
    </row>
    <row r="34561">
      <c r="A34561" t="n">
        <v>34560</v>
      </c>
      <c r="B34561" t="inlineStr">
        <is>
          <t>x̄x̄x̄MV̅DLX</t>
        </is>
      </c>
      <c r="C34561">
        <f>ROMAN(34560)</f>
        <v/>
      </c>
      <c r="D34561">
        <f>IF(B34561=C34561, "YES", "WRONG")</f>
        <v/>
      </c>
    </row>
    <row r="34562">
      <c r="A34562" t="n">
        <v>34561</v>
      </c>
      <c r="B34562" t="inlineStr">
        <is>
          <t>x̄x̄x̄MV̅DLXI</t>
        </is>
      </c>
      <c r="C34562">
        <f>ROMAN(34561)</f>
        <v/>
      </c>
      <c r="D34562">
        <f>IF(B34562=C34562, "YES", "WRONG")</f>
        <v/>
      </c>
    </row>
    <row r="34563">
      <c r="A34563" t="n">
        <v>34562</v>
      </c>
      <c r="B34563" t="inlineStr">
        <is>
          <t>x̄x̄x̄MV̅DLXII</t>
        </is>
      </c>
      <c r="C34563">
        <f>ROMAN(34562)</f>
        <v/>
      </c>
      <c r="D34563">
        <f>IF(B34563=C34563, "YES", "WRONG")</f>
        <v/>
      </c>
    </row>
    <row r="34564">
      <c r="A34564" t="n">
        <v>34563</v>
      </c>
      <c r="B34564" t="inlineStr">
        <is>
          <t>x̄x̄x̄MV̅DLXIII</t>
        </is>
      </c>
      <c r="C34564">
        <f>ROMAN(34563)</f>
        <v/>
      </c>
      <c r="D34564">
        <f>IF(B34564=C34564, "YES", "WRONG")</f>
        <v/>
      </c>
    </row>
    <row r="34565">
      <c r="A34565" t="n">
        <v>34564</v>
      </c>
      <c r="B34565" t="inlineStr">
        <is>
          <t>x̄x̄x̄MV̅DLXIV</t>
        </is>
      </c>
      <c r="C34565">
        <f>ROMAN(34564)</f>
        <v/>
      </c>
      <c r="D34565">
        <f>IF(B34565=C34565, "YES", "WRONG")</f>
        <v/>
      </c>
    </row>
    <row r="34566">
      <c r="A34566" t="n">
        <v>34565</v>
      </c>
      <c r="B34566" t="inlineStr">
        <is>
          <t>x̄x̄x̄MV̅DLXV</t>
        </is>
      </c>
      <c r="C34566">
        <f>ROMAN(34565)</f>
        <v/>
      </c>
      <c r="D34566">
        <f>IF(B34566=C34566, "YES", "WRONG")</f>
        <v/>
      </c>
    </row>
    <row r="34567">
      <c r="A34567" t="n">
        <v>34566</v>
      </c>
      <c r="B34567" t="inlineStr">
        <is>
          <t>x̄x̄x̄MV̅DLXVI</t>
        </is>
      </c>
      <c r="C34567">
        <f>ROMAN(34566)</f>
        <v/>
      </c>
      <c r="D34567">
        <f>IF(B34567=C34567, "YES", "WRONG")</f>
        <v/>
      </c>
    </row>
    <row r="34568">
      <c r="A34568" t="n">
        <v>34567</v>
      </c>
      <c r="B34568" t="inlineStr">
        <is>
          <t>x̄x̄x̄MV̅DLXVII</t>
        </is>
      </c>
      <c r="C34568">
        <f>ROMAN(34567)</f>
        <v/>
      </c>
      <c r="D34568">
        <f>IF(B34568=C34568, "YES", "WRONG")</f>
        <v/>
      </c>
    </row>
    <row r="34569">
      <c r="A34569" t="n">
        <v>34568</v>
      </c>
      <c r="B34569" t="inlineStr">
        <is>
          <t>x̄x̄x̄MV̅DLXVIII</t>
        </is>
      </c>
      <c r="C34569">
        <f>ROMAN(34568)</f>
        <v/>
      </c>
      <c r="D34569">
        <f>IF(B34569=C34569, "YES", "WRONG")</f>
        <v/>
      </c>
    </row>
    <row r="34570">
      <c r="A34570" t="n">
        <v>34569</v>
      </c>
      <c r="B34570" t="inlineStr">
        <is>
          <t>x̄x̄x̄MV̅DLXIX</t>
        </is>
      </c>
      <c r="C34570">
        <f>ROMAN(34569)</f>
        <v/>
      </c>
      <c r="D34570">
        <f>IF(B34570=C34570, "YES", "WRONG")</f>
        <v/>
      </c>
    </row>
    <row r="34571">
      <c r="A34571" t="n">
        <v>34570</v>
      </c>
      <c r="B34571" t="inlineStr">
        <is>
          <t>x̄x̄x̄MV̅DLXX</t>
        </is>
      </c>
      <c r="C34571">
        <f>ROMAN(34570)</f>
        <v/>
      </c>
      <c r="D34571">
        <f>IF(B34571=C34571, "YES", "WRONG")</f>
        <v/>
      </c>
    </row>
    <row r="34572">
      <c r="A34572" t="n">
        <v>34571</v>
      </c>
      <c r="B34572" t="inlineStr">
        <is>
          <t>x̄x̄x̄MV̅DLXXI</t>
        </is>
      </c>
      <c r="C34572">
        <f>ROMAN(34571)</f>
        <v/>
      </c>
      <c r="D34572">
        <f>IF(B34572=C34572, "YES", "WRONG")</f>
        <v/>
      </c>
    </row>
    <row r="34573">
      <c r="A34573" t="n">
        <v>34572</v>
      </c>
      <c r="B34573" t="inlineStr">
        <is>
          <t>x̄x̄x̄MV̅DLXXII</t>
        </is>
      </c>
      <c r="C34573">
        <f>ROMAN(34572)</f>
        <v/>
      </c>
      <c r="D34573">
        <f>IF(B34573=C34573, "YES", "WRONG")</f>
        <v/>
      </c>
    </row>
    <row r="34574">
      <c r="A34574" t="n">
        <v>34573</v>
      </c>
      <c r="B34574" t="inlineStr">
        <is>
          <t>x̄x̄x̄MV̅DLXXIII</t>
        </is>
      </c>
      <c r="C34574">
        <f>ROMAN(34573)</f>
        <v/>
      </c>
      <c r="D34574">
        <f>IF(B34574=C34574, "YES", "WRONG")</f>
        <v/>
      </c>
    </row>
    <row r="34575">
      <c r="A34575" t="n">
        <v>34574</v>
      </c>
      <c r="B34575" t="inlineStr">
        <is>
          <t>x̄x̄x̄MV̅DLXXIV</t>
        </is>
      </c>
      <c r="C34575">
        <f>ROMAN(34574)</f>
        <v/>
      </c>
      <c r="D34575">
        <f>IF(B34575=C34575, "YES", "WRONG")</f>
        <v/>
      </c>
    </row>
    <row r="34576">
      <c r="A34576" t="n">
        <v>34575</v>
      </c>
      <c r="B34576" t="inlineStr">
        <is>
          <t>x̄x̄x̄MV̅DLXXV</t>
        </is>
      </c>
      <c r="C34576">
        <f>ROMAN(34575)</f>
        <v/>
      </c>
      <c r="D34576">
        <f>IF(B34576=C34576, "YES", "WRONG")</f>
        <v/>
      </c>
    </row>
    <row r="34577">
      <c r="A34577" t="n">
        <v>34576</v>
      </c>
      <c r="B34577" t="inlineStr">
        <is>
          <t>x̄x̄x̄MV̅DLXXVI</t>
        </is>
      </c>
      <c r="C34577">
        <f>ROMAN(34576)</f>
        <v/>
      </c>
      <c r="D34577">
        <f>IF(B34577=C34577, "YES", "WRONG")</f>
        <v/>
      </c>
    </row>
    <row r="34578">
      <c r="A34578" t="n">
        <v>34577</v>
      </c>
      <c r="B34578" t="inlineStr">
        <is>
          <t>x̄x̄x̄MV̅DLXXVII</t>
        </is>
      </c>
      <c r="C34578">
        <f>ROMAN(34577)</f>
        <v/>
      </c>
      <c r="D34578">
        <f>IF(B34578=C34578, "YES", "WRONG")</f>
        <v/>
      </c>
    </row>
    <row r="34579">
      <c r="A34579" t="n">
        <v>34578</v>
      </c>
      <c r="B34579" t="inlineStr">
        <is>
          <t>x̄x̄x̄MV̅DLXXVIII</t>
        </is>
      </c>
      <c r="C34579">
        <f>ROMAN(34578)</f>
        <v/>
      </c>
      <c r="D34579">
        <f>IF(B34579=C34579, "YES", "WRONG")</f>
        <v/>
      </c>
    </row>
    <row r="34580">
      <c r="A34580" t="n">
        <v>34579</v>
      </c>
      <c r="B34580" t="inlineStr">
        <is>
          <t>x̄x̄x̄MV̅DLXXIX</t>
        </is>
      </c>
      <c r="C34580">
        <f>ROMAN(34579)</f>
        <v/>
      </c>
      <c r="D34580">
        <f>IF(B34580=C34580, "YES", "WRONG")</f>
        <v/>
      </c>
    </row>
    <row r="34581">
      <c r="A34581" t="n">
        <v>34580</v>
      </c>
      <c r="B34581" t="inlineStr">
        <is>
          <t>x̄x̄x̄MV̅DLXXX</t>
        </is>
      </c>
      <c r="C34581">
        <f>ROMAN(34580)</f>
        <v/>
      </c>
      <c r="D34581">
        <f>IF(B34581=C34581, "YES", "WRONG")</f>
        <v/>
      </c>
    </row>
    <row r="34582">
      <c r="A34582" t="n">
        <v>34581</v>
      </c>
      <c r="B34582" t="inlineStr">
        <is>
          <t>x̄x̄x̄MV̅DLXXXI</t>
        </is>
      </c>
      <c r="C34582">
        <f>ROMAN(34581)</f>
        <v/>
      </c>
      <c r="D34582">
        <f>IF(B34582=C34582, "YES", "WRONG")</f>
        <v/>
      </c>
    </row>
    <row r="34583">
      <c r="A34583" t="n">
        <v>34582</v>
      </c>
      <c r="B34583" t="inlineStr">
        <is>
          <t>x̄x̄x̄MV̅DLXXXII</t>
        </is>
      </c>
      <c r="C34583">
        <f>ROMAN(34582)</f>
        <v/>
      </c>
      <c r="D34583">
        <f>IF(B34583=C34583, "YES", "WRONG")</f>
        <v/>
      </c>
    </row>
    <row r="34584">
      <c r="A34584" t="n">
        <v>34583</v>
      </c>
      <c r="B34584" t="inlineStr">
        <is>
          <t>x̄x̄x̄MV̅DLXXXIII</t>
        </is>
      </c>
      <c r="C34584">
        <f>ROMAN(34583)</f>
        <v/>
      </c>
      <c r="D34584">
        <f>IF(B34584=C34584, "YES", "WRONG")</f>
        <v/>
      </c>
    </row>
    <row r="34585">
      <c r="A34585" t="n">
        <v>34584</v>
      </c>
      <c r="B34585" t="inlineStr">
        <is>
          <t>x̄x̄x̄MV̅DLXXXIV</t>
        </is>
      </c>
      <c r="C34585">
        <f>ROMAN(34584)</f>
        <v/>
      </c>
      <c r="D34585">
        <f>IF(B34585=C34585, "YES", "WRONG")</f>
        <v/>
      </c>
    </row>
    <row r="34586">
      <c r="A34586" t="n">
        <v>34585</v>
      </c>
      <c r="B34586" t="inlineStr">
        <is>
          <t>x̄x̄x̄MV̅DLXXXV</t>
        </is>
      </c>
      <c r="C34586">
        <f>ROMAN(34585)</f>
        <v/>
      </c>
      <c r="D34586">
        <f>IF(B34586=C34586, "YES", "WRONG")</f>
        <v/>
      </c>
    </row>
    <row r="34587">
      <c r="A34587" t="n">
        <v>34586</v>
      </c>
      <c r="B34587" t="inlineStr">
        <is>
          <t>x̄x̄x̄MV̅DLXXXVI</t>
        </is>
      </c>
      <c r="C34587">
        <f>ROMAN(34586)</f>
        <v/>
      </c>
      <c r="D34587">
        <f>IF(B34587=C34587, "YES", "WRONG")</f>
        <v/>
      </c>
    </row>
    <row r="34588">
      <c r="A34588" t="n">
        <v>34587</v>
      </c>
      <c r="B34588" t="inlineStr">
        <is>
          <t>x̄x̄x̄MV̅DLXXXVII</t>
        </is>
      </c>
      <c r="C34588">
        <f>ROMAN(34587)</f>
        <v/>
      </c>
      <c r="D34588">
        <f>IF(B34588=C34588, "YES", "WRONG")</f>
        <v/>
      </c>
    </row>
    <row r="34589">
      <c r="A34589" t="n">
        <v>34588</v>
      </c>
      <c r="B34589" t="inlineStr">
        <is>
          <t>x̄x̄x̄MV̅DLXXXVIII</t>
        </is>
      </c>
      <c r="C34589">
        <f>ROMAN(34588)</f>
        <v/>
      </c>
      <c r="D34589">
        <f>IF(B34589=C34589, "YES", "WRONG")</f>
        <v/>
      </c>
    </row>
    <row r="34590">
      <c r="A34590" t="n">
        <v>34589</v>
      </c>
      <c r="B34590" t="inlineStr">
        <is>
          <t>x̄x̄x̄MV̅DLXXXIX</t>
        </is>
      </c>
      <c r="C34590">
        <f>ROMAN(34589)</f>
        <v/>
      </c>
      <c r="D34590">
        <f>IF(B34590=C34590, "YES", "WRONG")</f>
        <v/>
      </c>
    </row>
    <row r="34591">
      <c r="A34591" t="n">
        <v>34590</v>
      </c>
      <c r="B34591" t="inlineStr">
        <is>
          <t>x̄x̄x̄MV̅DXC</t>
        </is>
      </c>
      <c r="C34591">
        <f>ROMAN(34590)</f>
        <v/>
      </c>
      <c r="D34591">
        <f>IF(B34591=C34591, "YES", "WRONG")</f>
        <v/>
      </c>
    </row>
    <row r="34592">
      <c r="A34592" t="n">
        <v>34591</v>
      </c>
      <c r="B34592" t="inlineStr">
        <is>
          <t>x̄x̄x̄MV̅DXCI</t>
        </is>
      </c>
      <c r="C34592">
        <f>ROMAN(34591)</f>
        <v/>
      </c>
      <c r="D34592">
        <f>IF(B34592=C34592, "YES", "WRONG")</f>
        <v/>
      </c>
    </row>
    <row r="34593">
      <c r="A34593" t="n">
        <v>34592</v>
      </c>
      <c r="B34593" t="inlineStr">
        <is>
          <t>x̄x̄x̄MV̅DXCII</t>
        </is>
      </c>
      <c r="C34593">
        <f>ROMAN(34592)</f>
        <v/>
      </c>
      <c r="D34593">
        <f>IF(B34593=C34593, "YES", "WRONG")</f>
        <v/>
      </c>
    </row>
    <row r="34594">
      <c r="A34594" t="n">
        <v>34593</v>
      </c>
      <c r="B34594" t="inlineStr">
        <is>
          <t>x̄x̄x̄MV̅DXCIII</t>
        </is>
      </c>
      <c r="C34594">
        <f>ROMAN(34593)</f>
        <v/>
      </c>
      <c r="D34594">
        <f>IF(B34594=C34594, "YES", "WRONG")</f>
        <v/>
      </c>
    </row>
    <row r="34595">
      <c r="A34595" t="n">
        <v>34594</v>
      </c>
      <c r="B34595" t="inlineStr">
        <is>
          <t>x̄x̄x̄MV̅DXCIV</t>
        </is>
      </c>
      <c r="C34595">
        <f>ROMAN(34594)</f>
        <v/>
      </c>
      <c r="D34595">
        <f>IF(B34595=C34595, "YES", "WRONG")</f>
        <v/>
      </c>
    </row>
    <row r="34596">
      <c r="A34596" t="n">
        <v>34595</v>
      </c>
      <c r="B34596" t="inlineStr">
        <is>
          <t>x̄x̄x̄MV̅DXCV</t>
        </is>
      </c>
      <c r="C34596">
        <f>ROMAN(34595)</f>
        <v/>
      </c>
      <c r="D34596">
        <f>IF(B34596=C34596, "YES", "WRONG")</f>
        <v/>
      </c>
    </row>
    <row r="34597">
      <c r="A34597" t="n">
        <v>34596</v>
      </c>
      <c r="B34597" t="inlineStr">
        <is>
          <t>x̄x̄x̄MV̅DXCVI</t>
        </is>
      </c>
      <c r="C34597">
        <f>ROMAN(34596)</f>
        <v/>
      </c>
      <c r="D34597">
        <f>IF(B34597=C34597, "YES", "WRONG")</f>
        <v/>
      </c>
    </row>
    <row r="34598">
      <c r="A34598" t="n">
        <v>34597</v>
      </c>
      <c r="B34598" t="inlineStr">
        <is>
          <t>x̄x̄x̄MV̅DXCVII</t>
        </is>
      </c>
      <c r="C34598">
        <f>ROMAN(34597)</f>
        <v/>
      </c>
      <c r="D34598">
        <f>IF(B34598=C34598, "YES", "WRONG")</f>
        <v/>
      </c>
    </row>
    <row r="34599">
      <c r="A34599" t="n">
        <v>34598</v>
      </c>
      <c r="B34599" t="inlineStr">
        <is>
          <t>x̄x̄x̄MV̅DXCVIII</t>
        </is>
      </c>
      <c r="C34599">
        <f>ROMAN(34598)</f>
        <v/>
      </c>
      <c r="D34599">
        <f>IF(B34599=C34599, "YES", "WRONG")</f>
        <v/>
      </c>
    </row>
    <row r="34600">
      <c r="A34600" t="n">
        <v>34599</v>
      </c>
      <c r="B34600" t="inlineStr">
        <is>
          <t>x̄x̄x̄MV̅DXCIX</t>
        </is>
      </c>
      <c r="C34600">
        <f>ROMAN(34599)</f>
        <v/>
      </c>
      <c r="D34600">
        <f>IF(B34600=C34600, "YES", "WRONG")</f>
        <v/>
      </c>
    </row>
    <row r="34601">
      <c r="A34601" t="n">
        <v>34600</v>
      </c>
      <c r="B34601" t="inlineStr">
        <is>
          <t>x̄x̄x̄MV̅DC</t>
        </is>
      </c>
      <c r="C34601">
        <f>ROMAN(34600)</f>
        <v/>
      </c>
      <c r="D34601">
        <f>IF(B34601=C34601, "YES", "WRONG")</f>
        <v/>
      </c>
    </row>
    <row r="34602">
      <c r="A34602" t="n">
        <v>34601</v>
      </c>
      <c r="B34602" t="inlineStr">
        <is>
          <t>x̄x̄x̄MV̅DCI</t>
        </is>
      </c>
      <c r="C34602">
        <f>ROMAN(34601)</f>
        <v/>
      </c>
      <c r="D34602">
        <f>IF(B34602=C34602, "YES", "WRONG")</f>
        <v/>
      </c>
    </row>
    <row r="34603">
      <c r="A34603" t="n">
        <v>34602</v>
      </c>
      <c r="B34603" t="inlineStr">
        <is>
          <t>x̄x̄x̄MV̅DCII</t>
        </is>
      </c>
      <c r="C34603">
        <f>ROMAN(34602)</f>
        <v/>
      </c>
      <c r="D34603">
        <f>IF(B34603=C34603, "YES", "WRONG")</f>
        <v/>
      </c>
    </row>
    <row r="34604">
      <c r="A34604" t="n">
        <v>34603</v>
      </c>
      <c r="B34604" t="inlineStr">
        <is>
          <t>x̄x̄x̄MV̅DCIII</t>
        </is>
      </c>
      <c r="C34604">
        <f>ROMAN(34603)</f>
        <v/>
      </c>
      <c r="D34604">
        <f>IF(B34604=C34604, "YES", "WRONG")</f>
        <v/>
      </c>
    </row>
    <row r="34605">
      <c r="A34605" t="n">
        <v>34604</v>
      </c>
      <c r="B34605" t="inlineStr">
        <is>
          <t>x̄x̄x̄MV̅DCIV</t>
        </is>
      </c>
      <c r="C34605">
        <f>ROMAN(34604)</f>
        <v/>
      </c>
      <c r="D34605">
        <f>IF(B34605=C34605, "YES", "WRONG")</f>
        <v/>
      </c>
    </row>
    <row r="34606">
      <c r="A34606" t="n">
        <v>34605</v>
      </c>
      <c r="B34606" t="inlineStr">
        <is>
          <t>x̄x̄x̄MV̅DCV</t>
        </is>
      </c>
      <c r="C34606">
        <f>ROMAN(34605)</f>
        <v/>
      </c>
      <c r="D34606">
        <f>IF(B34606=C34606, "YES", "WRONG")</f>
        <v/>
      </c>
    </row>
    <row r="34607">
      <c r="A34607" t="n">
        <v>34606</v>
      </c>
      <c r="B34607" t="inlineStr">
        <is>
          <t>x̄x̄x̄MV̅DCVI</t>
        </is>
      </c>
      <c r="C34607">
        <f>ROMAN(34606)</f>
        <v/>
      </c>
      <c r="D34607">
        <f>IF(B34607=C34607, "YES", "WRONG")</f>
        <v/>
      </c>
    </row>
    <row r="34608">
      <c r="A34608" t="n">
        <v>34607</v>
      </c>
      <c r="B34608" t="inlineStr">
        <is>
          <t>x̄x̄x̄MV̅DCVII</t>
        </is>
      </c>
      <c r="C34608">
        <f>ROMAN(34607)</f>
        <v/>
      </c>
      <c r="D34608">
        <f>IF(B34608=C34608, "YES", "WRONG")</f>
        <v/>
      </c>
    </row>
    <row r="34609">
      <c r="A34609" t="n">
        <v>34608</v>
      </c>
      <c r="B34609" t="inlineStr">
        <is>
          <t>x̄x̄x̄MV̅DCVIII</t>
        </is>
      </c>
      <c r="C34609">
        <f>ROMAN(34608)</f>
        <v/>
      </c>
      <c r="D34609">
        <f>IF(B34609=C34609, "YES", "WRONG")</f>
        <v/>
      </c>
    </row>
    <row r="34610">
      <c r="A34610" t="n">
        <v>34609</v>
      </c>
      <c r="B34610" t="inlineStr">
        <is>
          <t>x̄x̄x̄MV̅DCIX</t>
        </is>
      </c>
      <c r="C34610">
        <f>ROMAN(34609)</f>
        <v/>
      </c>
      <c r="D34610">
        <f>IF(B34610=C34610, "YES", "WRONG")</f>
        <v/>
      </c>
    </row>
    <row r="34611">
      <c r="A34611" t="n">
        <v>34610</v>
      </c>
      <c r="B34611" t="inlineStr">
        <is>
          <t>x̄x̄x̄MV̅DCX</t>
        </is>
      </c>
      <c r="C34611">
        <f>ROMAN(34610)</f>
        <v/>
      </c>
      <c r="D34611">
        <f>IF(B34611=C34611, "YES", "WRONG")</f>
        <v/>
      </c>
    </row>
    <row r="34612">
      <c r="A34612" t="n">
        <v>34611</v>
      </c>
      <c r="B34612" t="inlineStr">
        <is>
          <t>x̄x̄x̄MV̅DCXI</t>
        </is>
      </c>
      <c r="C34612">
        <f>ROMAN(34611)</f>
        <v/>
      </c>
      <c r="D34612">
        <f>IF(B34612=C34612, "YES", "WRONG")</f>
        <v/>
      </c>
    </row>
    <row r="34613">
      <c r="A34613" t="n">
        <v>34612</v>
      </c>
      <c r="B34613" t="inlineStr">
        <is>
          <t>x̄x̄x̄MV̅DCXII</t>
        </is>
      </c>
      <c r="C34613">
        <f>ROMAN(34612)</f>
        <v/>
      </c>
      <c r="D34613">
        <f>IF(B34613=C34613, "YES", "WRONG")</f>
        <v/>
      </c>
    </row>
    <row r="34614">
      <c r="A34614" t="n">
        <v>34613</v>
      </c>
      <c r="B34614" t="inlineStr">
        <is>
          <t>x̄x̄x̄MV̅DCXIII</t>
        </is>
      </c>
      <c r="C34614">
        <f>ROMAN(34613)</f>
        <v/>
      </c>
      <c r="D34614">
        <f>IF(B34614=C34614, "YES", "WRONG")</f>
        <v/>
      </c>
    </row>
    <row r="34615">
      <c r="A34615" t="n">
        <v>34614</v>
      </c>
      <c r="B34615" t="inlineStr">
        <is>
          <t>x̄x̄x̄MV̅DCXIV</t>
        </is>
      </c>
      <c r="C34615">
        <f>ROMAN(34614)</f>
        <v/>
      </c>
      <c r="D34615">
        <f>IF(B34615=C34615, "YES", "WRONG")</f>
        <v/>
      </c>
    </row>
    <row r="34616">
      <c r="A34616" t="n">
        <v>34615</v>
      </c>
      <c r="B34616" t="inlineStr">
        <is>
          <t>x̄x̄x̄MV̅DCXV</t>
        </is>
      </c>
      <c r="C34616">
        <f>ROMAN(34615)</f>
        <v/>
      </c>
      <c r="D34616">
        <f>IF(B34616=C34616, "YES", "WRONG")</f>
        <v/>
      </c>
    </row>
    <row r="34617">
      <c r="A34617" t="n">
        <v>34616</v>
      </c>
      <c r="B34617" t="inlineStr">
        <is>
          <t>x̄x̄x̄MV̅DCXVI</t>
        </is>
      </c>
      <c r="C34617">
        <f>ROMAN(34616)</f>
        <v/>
      </c>
      <c r="D34617">
        <f>IF(B34617=C34617, "YES", "WRONG")</f>
        <v/>
      </c>
    </row>
    <row r="34618">
      <c r="A34618" t="n">
        <v>34617</v>
      </c>
      <c r="B34618" t="inlineStr">
        <is>
          <t>x̄x̄x̄MV̅DCXVII</t>
        </is>
      </c>
      <c r="C34618">
        <f>ROMAN(34617)</f>
        <v/>
      </c>
      <c r="D34618">
        <f>IF(B34618=C34618, "YES", "WRONG")</f>
        <v/>
      </c>
    </row>
    <row r="34619">
      <c r="A34619" t="n">
        <v>34618</v>
      </c>
      <c r="B34619" t="inlineStr">
        <is>
          <t>x̄x̄x̄MV̅DCXVIII</t>
        </is>
      </c>
      <c r="C34619">
        <f>ROMAN(34618)</f>
        <v/>
      </c>
      <c r="D34619">
        <f>IF(B34619=C34619, "YES", "WRONG")</f>
        <v/>
      </c>
    </row>
    <row r="34620">
      <c r="A34620" t="n">
        <v>34619</v>
      </c>
      <c r="B34620" t="inlineStr">
        <is>
          <t>x̄x̄x̄MV̅DCXIX</t>
        </is>
      </c>
      <c r="C34620">
        <f>ROMAN(34619)</f>
        <v/>
      </c>
      <c r="D34620">
        <f>IF(B34620=C34620, "YES", "WRONG")</f>
        <v/>
      </c>
    </row>
    <row r="34621">
      <c r="A34621" t="n">
        <v>34620</v>
      </c>
      <c r="B34621" t="inlineStr">
        <is>
          <t>x̄x̄x̄MV̅DCXX</t>
        </is>
      </c>
      <c r="C34621">
        <f>ROMAN(34620)</f>
        <v/>
      </c>
      <c r="D34621">
        <f>IF(B34621=C34621, "YES", "WRONG")</f>
        <v/>
      </c>
    </row>
    <row r="34622">
      <c r="A34622" t="n">
        <v>34621</v>
      </c>
      <c r="B34622" t="inlineStr">
        <is>
          <t>x̄x̄x̄MV̅DCXXI</t>
        </is>
      </c>
      <c r="C34622">
        <f>ROMAN(34621)</f>
        <v/>
      </c>
      <c r="D34622">
        <f>IF(B34622=C34622, "YES", "WRONG")</f>
        <v/>
      </c>
    </row>
    <row r="34623">
      <c r="A34623" t="n">
        <v>34622</v>
      </c>
      <c r="B34623" t="inlineStr">
        <is>
          <t>x̄x̄x̄MV̅DCXXII</t>
        </is>
      </c>
      <c r="C34623">
        <f>ROMAN(34622)</f>
        <v/>
      </c>
      <c r="D34623">
        <f>IF(B34623=C34623, "YES", "WRONG")</f>
        <v/>
      </c>
    </row>
    <row r="34624">
      <c r="A34624" t="n">
        <v>34623</v>
      </c>
      <c r="B34624" t="inlineStr">
        <is>
          <t>x̄x̄x̄MV̅DCXXIII</t>
        </is>
      </c>
      <c r="C34624">
        <f>ROMAN(34623)</f>
        <v/>
      </c>
      <c r="D34624">
        <f>IF(B34624=C34624, "YES", "WRONG")</f>
        <v/>
      </c>
    </row>
    <row r="34625">
      <c r="A34625" t="n">
        <v>34624</v>
      </c>
      <c r="B34625" t="inlineStr">
        <is>
          <t>x̄x̄x̄MV̅DCXXIV</t>
        </is>
      </c>
      <c r="C34625">
        <f>ROMAN(34624)</f>
        <v/>
      </c>
      <c r="D34625">
        <f>IF(B34625=C34625, "YES", "WRONG")</f>
        <v/>
      </c>
    </row>
    <row r="34626">
      <c r="A34626" t="n">
        <v>34625</v>
      </c>
      <c r="B34626" t="inlineStr">
        <is>
          <t>x̄x̄x̄MV̅DCXXV</t>
        </is>
      </c>
      <c r="C34626">
        <f>ROMAN(34625)</f>
        <v/>
      </c>
      <c r="D34626">
        <f>IF(B34626=C34626, "YES", "WRONG")</f>
        <v/>
      </c>
    </row>
    <row r="34627">
      <c r="A34627" t="n">
        <v>34626</v>
      </c>
      <c r="B34627" t="inlineStr">
        <is>
          <t>x̄x̄x̄MV̅DCXXVI</t>
        </is>
      </c>
      <c r="C34627">
        <f>ROMAN(34626)</f>
        <v/>
      </c>
      <c r="D34627">
        <f>IF(B34627=C34627, "YES", "WRONG")</f>
        <v/>
      </c>
    </row>
    <row r="34628">
      <c r="A34628" t="n">
        <v>34627</v>
      </c>
      <c r="B34628" t="inlineStr">
        <is>
          <t>x̄x̄x̄MV̅DCXXVII</t>
        </is>
      </c>
      <c r="C34628">
        <f>ROMAN(34627)</f>
        <v/>
      </c>
      <c r="D34628">
        <f>IF(B34628=C34628, "YES", "WRONG")</f>
        <v/>
      </c>
    </row>
    <row r="34629">
      <c r="A34629" t="n">
        <v>34628</v>
      </c>
      <c r="B34629" t="inlineStr">
        <is>
          <t>x̄x̄x̄MV̅DCXXVIII</t>
        </is>
      </c>
      <c r="C34629">
        <f>ROMAN(34628)</f>
        <v/>
      </c>
      <c r="D34629">
        <f>IF(B34629=C34629, "YES", "WRONG")</f>
        <v/>
      </c>
    </row>
    <row r="34630">
      <c r="A34630" t="n">
        <v>34629</v>
      </c>
      <c r="B34630" t="inlineStr">
        <is>
          <t>x̄x̄x̄MV̅DCXXIX</t>
        </is>
      </c>
      <c r="C34630">
        <f>ROMAN(34629)</f>
        <v/>
      </c>
      <c r="D34630">
        <f>IF(B34630=C34630, "YES", "WRONG")</f>
        <v/>
      </c>
    </row>
    <row r="34631">
      <c r="A34631" t="n">
        <v>34630</v>
      </c>
      <c r="B34631" t="inlineStr">
        <is>
          <t>x̄x̄x̄MV̅DCXXX</t>
        </is>
      </c>
      <c r="C34631">
        <f>ROMAN(34630)</f>
        <v/>
      </c>
      <c r="D34631">
        <f>IF(B34631=C34631, "YES", "WRONG")</f>
        <v/>
      </c>
    </row>
    <row r="34632">
      <c r="A34632" t="n">
        <v>34631</v>
      </c>
      <c r="B34632" t="inlineStr">
        <is>
          <t>x̄x̄x̄MV̅DCXXXI</t>
        </is>
      </c>
      <c r="C34632">
        <f>ROMAN(34631)</f>
        <v/>
      </c>
      <c r="D34632">
        <f>IF(B34632=C34632, "YES", "WRONG")</f>
        <v/>
      </c>
    </row>
    <row r="34633">
      <c r="A34633" t="n">
        <v>34632</v>
      </c>
      <c r="B34633" t="inlineStr">
        <is>
          <t>x̄x̄x̄MV̅DCXXXII</t>
        </is>
      </c>
      <c r="C34633">
        <f>ROMAN(34632)</f>
        <v/>
      </c>
      <c r="D34633">
        <f>IF(B34633=C34633, "YES", "WRONG")</f>
        <v/>
      </c>
    </row>
    <row r="34634">
      <c r="A34634" t="n">
        <v>34633</v>
      </c>
      <c r="B34634" t="inlineStr">
        <is>
          <t>x̄x̄x̄MV̅DCXXXIII</t>
        </is>
      </c>
      <c r="C34634">
        <f>ROMAN(34633)</f>
        <v/>
      </c>
      <c r="D34634">
        <f>IF(B34634=C34634, "YES", "WRONG")</f>
        <v/>
      </c>
    </row>
    <row r="34635">
      <c r="A34635" t="n">
        <v>34634</v>
      </c>
      <c r="B34635" t="inlineStr">
        <is>
          <t>x̄x̄x̄MV̅DCXXXIV</t>
        </is>
      </c>
      <c r="C34635">
        <f>ROMAN(34634)</f>
        <v/>
      </c>
      <c r="D34635">
        <f>IF(B34635=C34635, "YES", "WRONG")</f>
        <v/>
      </c>
    </row>
    <row r="34636">
      <c r="A34636" t="n">
        <v>34635</v>
      </c>
      <c r="B34636" t="inlineStr">
        <is>
          <t>x̄x̄x̄MV̅DCXXXV</t>
        </is>
      </c>
      <c r="C34636">
        <f>ROMAN(34635)</f>
        <v/>
      </c>
      <c r="D34636">
        <f>IF(B34636=C34636, "YES", "WRONG")</f>
        <v/>
      </c>
    </row>
    <row r="34637">
      <c r="A34637" t="n">
        <v>34636</v>
      </c>
      <c r="B34637" t="inlineStr">
        <is>
          <t>x̄x̄x̄MV̅DCXXXVI</t>
        </is>
      </c>
      <c r="C34637">
        <f>ROMAN(34636)</f>
        <v/>
      </c>
      <c r="D34637">
        <f>IF(B34637=C34637, "YES", "WRONG")</f>
        <v/>
      </c>
    </row>
    <row r="34638">
      <c r="A34638" t="n">
        <v>34637</v>
      </c>
      <c r="B34638" t="inlineStr">
        <is>
          <t>x̄x̄x̄MV̅DCXXXVII</t>
        </is>
      </c>
      <c r="C34638">
        <f>ROMAN(34637)</f>
        <v/>
      </c>
      <c r="D34638">
        <f>IF(B34638=C34638, "YES", "WRONG")</f>
        <v/>
      </c>
    </row>
    <row r="34639">
      <c r="A34639" t="n">
        <v>34638</v>
      </c>
      <c r="B34639" t="inlineStr">
        <is>
          <t>x̄x̄x̄MV̅DCXXXVIII</t>
        </is>
      </c>
      <c r="C34639">
        <f>ROMAN(34638)</f>
        <v/>
      </c>
      <c r="D34639">
        <f>IF(B34639=C34639, "YES", "WRONG")</f>
        <v/>
      </c>
    </row>
    <row r="34640">
      <c r="A34640" t="n">
        <v>34639</v>
      </c>
      <c r="B34640" t="inlineStr">
        <is>
          <t>x̄x̄x̄MV̅DCXXXIX</t>
        </is>
      </c>
      <c r="C34640">
        <f>ROMAN(34639)</f>
        <v/>
      </c>
      <c r="D34640">
        <f>IF(B34640=C34640, "YES", "WRONG")</f>
        <v/>
      </c>
    </row>
    <row r="34641">
      <c r="A34641" t="n">
        <v>34640</v>
      </c>
      <c r="B34641" t="inlineStr">
        <is>
          <t>x̄x̄x̄MV̅DCXL</t>
        </is>
      </c>
      <c r="C34641">
        <f>ROMAN(34640)</f>
        <v/>
      </c>
      <c r="D34641">
        <f>IF(B34641=C34641, "YES", "WRONG")</f>
        <v/>
      </c>
    </row>
    <row r="34642">
      <c r="A34642" t="n">
        <v>34641</v>
      </c>
      <c r="B34642" t="inlineStr">
        <is>
          <t>x̄x̄x̄MV̅DCXLI</t>
        </is>
      </c>
      <c r="C34642">
        <f>ROMAN(34641)</f>
        <v/>
      </c>
      <c r="D34642">
        <f>IF(B34642=C34642, "YES", "WRONG")</f>
        <v/>
      </c>
    </row>
    <row r="34643">
      <c r="A34643" t="n">
        <v>34642</v>
      </c>
      <c r="B34643" t="inlineStr">
        <is>
          <t>x̄x̄x̄MV̅DCXLII</t>
        </is>
      </c>
      <c r="C34643">
        <f>ROMAN(34642)</f>
        <v/>
      </c>
      <c r="D34643">
        <f>IF(B34643=C34643, "YES", "WRONG")</f>
        <v/>
      </c>
    </row>
    <row r="34644">
      <c r="A34644" t="n">
        <v>34643</v>
      </c>
      <c r="B34644" t="inlineStr">
        <is>
          <t>x̄x̄x̄MV̅DCXLIII</t>
        </is>
      </c>
      <c r="C34644">
        <f>ROMAN(34643)</f>
        <v/>
      </c>
      <c r="D34644">
        <f>IF(B34644=C34644, "YES", "WRONG")</f>
        <v/>
      </c>
    </row>
    <row r="34645">
      <c r="A34645" t="n">
        <v>34644</v>
      </c>
      <c r="B34645" t="inlineStr">
        <is>
          <t>x̄x̄x̄MV̅DCXLIV</t>
        </is>
      </c>
      <c r="C34645">
        <f>ROMAN(34644)</f>
        <v/>
      </c>
      <c r="D34645">
        <f>IF(B34645=C34645, "YES", "WRONG")</f>
        <v/>
      </c>
    </row>
    <row r="34646">
      <c r="A34646" t="n">
        <v>34645</v>
      </c>
      <c r="B34646" t="inlineStr">
        <is>
          <t>x̄x̄x̄MV̅DCXLV</t>
        </is>
      </c>
      <c r="C34646">
        <f>ROMAN(34645)</f>
        <v/>
      </c>
      <c r="D34646">
        <f>IF(B34646=C34646, "YES", "WRONG")</f>
        <v/>
      </c>
    </row>
    <row r="34647">
      <c r="A34647" t="n">
        <v>34646</v>
      </c>
      <c r="B34647" t="inlineStr">
        <is>
          <t>x̄x̄x̄MV̅DCXLVI</t>
        </is>
      </c>
      <c r="C34647">
        <f>ROMAN(34646)</f>
        <v/>
      </c>
      <c r="D34647">
        <f>IF(B34647=C34647, "YES", "WRONG")</f>
        <v/>
      </c>
    </row>
    <row r="34648">
      <c r="A34648" t="n">
        <v>34647</v>
      </c>
      <c r="B34648" t="inlineStr">
        <is>
          <t>x̄x̄x̄MV̅DCXLVII</t>
        </is>
      </c>
      <c r="C34648">
        <f>ROMAN(34647)</f>
        <v/>
      </c>
      <c r="D34648">
        <f>IF(B34648=C34648, "YES", "WRONG")</f>
        <v/>
      </c>
    </row>
    <row r="34649">
      <c r="A34649" t="n">
        <v>34648</v>
      </c>
      <c r="B34649" t="inlineStr">
        <is>
          <t>x̄x̄x̄MV̅DCXLVIII</t>
        </is>
      </c>
      <c r="C34649">
        <f>ROMAN(34648)</f>
        <v/>
      </c>
      <c r="D34649">
        <f>IF(B34649=C34649, "YES", "WRONG")</f>
        <v/>
      </c>
    </row>
    <row r="34650">
      <c r="A34650" t="n">
        <v>34649</v>
      </c>
      <c r="B34650" t="inlineStr">
        <is>
          <t>x̄x̄x̄MV̅DCXLIX</t>
        </is>
      </c>
      <c r="C34650">
        <f>ROMAN(34649)</f>
        <v/>
      </c>
      <c r="D34650">
        <f>IF(B34650=C34650, "YES", "WRONG")</f>
        <v/>
      </c>
    </row>
    <row r="34651">
      <c r="A34651" t="n">
        <v>34650</v>
      </c>
      <c r="B34651" t="inlineStr">
        <is>
          <t>x̄x̄x̄MV̅DCL</t>
        </is>
      </c>
      <c r="C34651">
        <f>ROMAN(34650)</f>
        <v/>
      </c>
      <c r="D34651">
        <f>IF(B34651=C34651, "YES", "WRONG")</f>
        <v/>
      </c>
    </row>
    <row r="34652">
      <c r="A34652" t="n">
        <v>34651</v>
      </c>
      <c r="B34652" t="inlineStr">
        <is>
          <t>x̄x̄x̄MV̅DCLI</t>
        </is>
      </c>
      <c r="C34652">
        <f>ROMAN(34651)</f>
        <v/>
      </c>
      <c r="D34652">
        <f>IF(B34652=C34652, "YES", "WRONG")</f>
        <v/>
      </c>
    </row>
    <row r="34653">
      <c r="A34653" t="n">
        <v>34652</v>
      </c>
      <c r="B34653" t="inlineStr">
        <is>
          <t>x̄x̄x̄MV̅DCLII</t>
        </is>
      </c>
      <c r="C34653">
        <f>ROMAN(34652)</f>
        <v/>
      </c>
      <c r="D34653">
        <f>IF(B34653=C34653, "YES", "WRONG")</f>
        <v/>
      </c>
    </row>
    <row r="34654">
      <c r="A34654" t="n">
        <v>34653</v>
      </c>
      <c r="B34654" t="inlineStr">
        <is>
          <t>x̄x̄x̄MV̅DCLIII</t>
        </is>
      </c>
      <c r="C34654">
        <f>ROMAN(34653)</f>
        <v/>
      </c>
      <c r="D34654">
        <f>IF(B34654=C34654, "YES", "WRONG")</f>
        <v/>
      </c>
    </row>
    <row r="34655">
      <c r="A34655" t="n">
        <v>34654</v>
      </c>
      <c r="B34655" t="inlineStr">
        <is>
          <t>x̄x̄x̄MV̅DCLIV</t>
        </is>
      </c>
      <c r="C34655">
        <f>ROMAN(34654)</f>
        <v/>
      </c>
      <c r="D34655">
        <f>IF(B34655=C34655, "YES", "WRONG")</f>
        <v/>
      </c>
    </row>
    <row r="34656">
      <c r="A34656" t="n">
        <v>34655</v>
      </c>
      <c r="B34656" t="inlineStr">
        <is>
          <t>x̄x̄x̄MV̅DCLV</t>
        </is>
      </c>
      <c r="C34656">
        <f>ROMAN(34655)</f>
        <v/>
      </c>
      <c r="D34656">
        <f>IF(B34656=C34656, "YES", "WRONG")</f>
        <v/>
      </c>
    </row>
    <row r="34657">
      <c r="A34657" t="n">
        <v>34656</v>
      </c>
      <c r="B34657" t="inlineStr">
        <is>
          <t>x̄x̄x̄MV̅DCLVI</t>
        </is>
      </c>
      <c r="C34657">
        <f>ROMAN(34656)</f>
        <v/>
      </c>
      <c r="D34657">
        <f>IF(B34657=C34657, "YES", "WRONG")</f>
        <v/>
      </c>
    </row>
    <row r="34658">
      <c r="A34658" t="n">
        <v>34657</v>
      </c>
      <c r="B34658" t="inlineStr">
        <is>
          <t>x̄x̄x̄MV̅DCLVII</t>
        </is>
      </c>
      <c r="C34658">
        <f>ROMAN(34657)</f>
        <v/>
      </c>
      <c r="D34658">
        <f>IF(B34658=C34658, "YES", "WRONG")</f>
        <v/>
      </c>
    </row>
    <row r="34659">
      <c r="A34659" t="n">
        <v>34658</v>
      </c>
      <c r="B34659" t="inlineStr">
        <is>
          <t>x̄x̄x̄MV̅DCLVIII</t>
        </is>
      </c>
      <c r="C34659">
        <f>ROMAN(34658)</f>
        <v/>
      </c>
      <c r="D34659">
        <f>IF(B34659=C34659, "YES", "WRONG")</f>
        <v/>
      </c>
    </row>
    <row r="34660">
      <c r="A34660" t="n">
        <v>34659</v>
      </c>
      <c r="B34660" t="inlineStr">
        <is>
          <t>x̄x̄x̄MV̅DCLIX</t>
        </is>
      </c>
      <c r="C34660">
        <f>ROMAN(34659)</f>
        <v/>
      </c>
      <c r="D34660">
        <f>IF(B34660=C34660, "YES", "WRONG")</f>
        <v/>
      </c>
    </row>
    <row r="34661">
      <c r="A34661" t="n">
        <v>34660</v>
      </c>
      <c r="B34661" t="inlineStr">
        <is>
          <t>x̄x̄x̄MV̅DCLX</t>
        </is>
      </c>
      <c r="C34661">
        <f>ROMAN(34660)</f>
        <v/>
      </c>
      <c r="D34661">
        <f>IF(B34661=C34661, "YES", "WRONG")</f>
        <v/>
      </c>
    </row>
    <row r="34662">
      <c r="A34662" t="n">
        <v>34661</v>
      </c>
      <c r="B34662" t="inlineStr">
        <is>
          <t>x̄x̄x̄MV̅DCLXI</t>
        </is>
      </c>
      <c r="C34662">
        <f>ROMAN(34661)</f>
        <v/>
      </c>
      <c r="D34662">
        <f>IF(B34662=C34662, "YES", "WRONG")</f>
        <v/>
      </c>
    </row>
    <row r="34663">
      <c r="A34663" t="n">
        <v>34662</v>
      </c>
      <c r="B34663" t="inlineStr">
        <is>
          <t>x̄x̄x̄MV̅DCLXII</t>
        </is>
      </c>
      <c r="C34663">
        <f>ROMAN(34662)</f>
        <v/>
      </c>
      <c r="D34663">
        <f>IF(B34663=C34663, "YES", "WRONG")</f>
        <v/>
      </c>
    </row>
    <row r="34664">
      <c r="A34664" t="n">
        <v>34663</v>
      </c>
      <c r="B34664" t="inlineStr">
        <is>
          <t>x̄x̄x̄MV̅DCLXIII</t>
        </is>
      </c>
      <c r="C34664">
        <f>ROMAN(34663)</f>
        <v/>
      </c>
      <c r="D34664">
        <f>IF(B34664=C34664, "YES", "WRONG")</f>
        <v/>
      </c>
    </row>
    <row r="34665">
      <c r="A34665" t="n">
        <v>34664</v>
      </c>
      <c r="B34665" t="inlineStr">
        <is>
          <t>x̄x̄x̄MV̅DCLXIV</t>
        </is>
      </c>
      <c r="C34665">
        <f>ROMAN(34664)</f>
        <v/>
      </c>
      <c r="D34665">
        <f>IF(B34665=C34665, "YES", "WRONG")</f>
        <v/>
      </c>
    </row>
    <row r="34666">
      <c r="A34666" t="n">
        <v>34665</v>
      </c>
      <c r="B34666" t="inlineStr">
        <is>
          <t>x̄x̄x̄MV̅DCLXV</t>
        </is>
      </c>
      <c r="C34666">
        <f>ROMAN(34665)</f>
        <v/>
      </c>
      <c r="D34666">
        <f>IF(B34666=C34666, "YES", "WRONG")</f>
        <v/>
      </c>
    </row>
    <row r="34667">
      <c r="A34667" t="n">
        <v>34666</v>
      </c>
      <c r="B34667" t="inlineStr">
        <is>
          <t>x̄x̄x̄MV̅DCLXVI</t>
        </is>
      </c>
      <c r="C34667">
        <f>ROMAN(34666)</f>
        <v/>
      </c>
      <c r="D34667">
        <f>IF(B34667=C34667, "YES", "WRONG")</f>
        <v/>
      </c>
    </row>
    <row r="34668">
      <c r="A34668" t="n">
        <v>34667</v>
      </c>
      <c r="B34668" t="inlineStr">
        <is>
          <t>x̄x̄x̄MV̅DCLXVII</t>
        </is>
      </c>
      <c r="C34668">
        <f>ROMAN(34667)</f>
        <v/>
      </c>
      <c r="D34668">
        <f>IF(B34668=C34668, "YES", "WRONG")</f>
        <v/>
      </c>
    </row>
    <row r="34669">
      <c r="A34669" t="n">
        <v>34668</v>
      </c>
      <c r="B34669" t="inlineStr">
        <is>
          <t>x̄x̄x̄MV̅DCLXVIII</t>
        </is>
      </c>
      <c r="C34669">
        <f>ROMAN(34668)</f>
        <v/>
      </c>
      <c r="D34669">
        <f>IF(B34669=C34669, "YES", "WRONG")</f>
        <v/>
      </c>
    </row>
    <row r="34670">
      <c r="A34670" t="n">
        <v>34669</v>
      </c>
      <c r="B34670" t="inlineStr">
        <is>
          <t>x̄x̄x̄MV̅DCLXIX</t>
        </is>
      </c>
      <c r="C34670">
        <f>ROMAN(34669)</f>
        <v/>
      </c>
      <c r="D34670">
        <f>IF(B34670=C34670, "YES", "WRONG")</f>
        <v/>
      </c>
    </row>
    <row r="34671">
      <c r="A34671" t="n">
        <v>34670</v>
      </c>
      <c r="B34671" t="inlineStr">
        <is>
          <t>x̄x̄x̄MV̅DCLXX</t>
        </is>
      </c>
      <c r="C34671">
        <f>ROMAN(34670)</f>
        <v/>
      </c>
      <c r="D34671">
        <f>IF(B34671=C34671, "YES", "WRONG")</f>
        <v/>
      </c>
    </row>
    <row r="34672">
      <c r="A34672" t="n">
        <v>34671</v>
      </c>
      <c r="B34672" t="inlineStr">
        <is>
          <t>x̄x̄x̄MV̅DCLXXI</t>
        </is>
      </c>
      <c r="C34672">
        <f>ROMAN(34671)</f>
        <v/>
      </c>
      <c r="D34672">
        <f>IF(B34672=C34672, "YES", "WRONG")</f>
        <v/>
      </c>
    </row>
    <row r="34673">
      <c r="A34673" t="n">
        <v>34672</v>
      </c>
      <c r="B34673" t="inlineStr">
        <is>
          <t>x̄x̄x̄MV̅DCLXXII</t>
        </is>
      </c>
      <c r="C34673">
        <f>ROMAN(34672)</f>
        <v/>
      </c>
      <c r="D34673">
        <f>IF(B34673=C34673, "YES", "WRONG")</f>
        <v/>
      </c>
    </row>
    <row r="34674">
      <c r="A34674" t="n">
        <v>34673</v>
      </c>
      <c r="B34674" t="inlineStr">
        <is>
          <t>x̄x̄x̄MV̅DCLXXIII</t>
        </is>
      </c>
      <c r="C34674">
        <f>ROMAN(34673)</f>
        <v/>
      </c>
      <c r="D34674">
        <f>IF(B34674=C34674, "YES", "WRONG")</f>
        <v/>
      </c>
    </row>
    <row r="34675">
      <c r="A34675" t="n">
        <v>34674</v>
      </c>
      <c r="B34675" t="inlineStr">
        <is>
          <t>x̄x̄x̄MV̅DCLXXIV</t>
        </is>
      </c>
      <c r="C34675">
        <f>ROMAN(34674)</f>
        <v/>
      </c>
      <c r="D34675">
        <f>IF(B34675=C34675, "YES", "WRONG")</f>
        <v/>
      </c>
    </row>
    <row r="34676">
      <c r="A34676" t="n">
        <v>34675</v>
      </c>
      <c r="B34676" t="inlineStr">
        <is>
          <t>x̄x̄x̄MV̅DCLXXV</t>
        </is>
      </c>
      <c r="C34676">
        <f>ROMAN(34675)</f>
        <v/>
      </c>
      <c r="D34676">
        <f>IF(B34676=C34676, "YES", "WRONG")</f>
        <v/>
      </c>
    </row>
    <row r="34677">
      <c r="A34677" t="n">
        <v>34676</v>
      </c>
      <c r="B34677" t="inlineStr">
        <is>
          <t>x̄x̄x̄MV̅DCLXXVI</t>
        </is>
      </c>
      <c r="C34677">
        <f>ROMAN(34676)</f>
        <v/>
      </c>
      <c r="D34677">
        <f>IF(B34677=C34677, "YES", "WRONG")</f>
        <v/>
      </c>
    </row>
    <row r="34678">
      <c r="A34678" t="n">
        <v>34677</v>
      </c>
      <c r="B34678" t="inlineStr">
        <is>
          <t>x̄x̄x̄MV̅DCLXXVII</t>
        </is>
      </c>
      <c r="C34678">
        <f>ROMAN(34677)</f>
        <v/>
      </c>
      <c r="D34678">
        <f>IF(B34678=C34678, "YES", "WRONG")</f>
        <v/>
      </c>
    </row>
    <row r="34679">
      <c r="A34679" t="n">
        <v>34678</v>
      </c>
      <c r="B34679" t="inlineStr">
        <is>
          <t>x̄x̄x̄MV̅DCLXXVIII</t>
        </is>
      </c>
      <c r="C34679">
        <f>ROMAN(34678)</f>
        <v/>
      </c>
      <c r="D34679">
        <f>IF(B34679=C34679, "YES", "WRONG")</f>
        <v/>
      </c>
    </row>
    <row r="34680">
      <c r="A34680" t="n">
        <v>34679</v>
      </c>
      <c r="B34680" t="inlineStr">
        <is>
          <t>x̄x̄x̄MV̅DCLXXIX</t>
        </is>
      </c>
      <c r="C34680">
        <f>ROMAN(34679)</f>
        <v/>
      </c>
      <c r="D34680">
        <f>IF(B34680=C34680, "YES", "WRONG")</f>
        <v/>
      </c>
    </row>
    <row r="34681">
      <c r="A34681" t="n">
        <v>34680</v>
      </c>
      <c r="B34681" t="inlineStr">
        <is>
          <t>x̄x̄x̄MV̅DCLXXX</t>
        </is>
      </c>
      <c r="C34681">
        <f>ROMAN(34680)</f>
        <v/>
      </c>
      <c r="D34681">
        <f>IF(B34681=C34681, "YES", "WRONG")</f>
        <v/>
      </c>
    </row>
    <row r="34682">
      <c r="A34682" t="n">
        <v>34681</v>
      </c>
      <c r="B34682" t="inlineStr">
        <is>
          <t>x̄x̄x̄MV̅DCLXXXI</t>
        </is>
      </c>
      <c r="C34682">
        <f>ROMAN(34681)</f>
        <v/>
      </c>
      <c r="D34682">
        <f>IF(B34682=C34682, "YES", "WRONG")</f>
        <v/>
      </c>
    </row>
    <row r="34683">
      <c r="A34683" t="n">
        <v>34682</v>
      </c>
      <c r="B34683" t="inlineStr">
        <is>
          <t>x̄x̄x̄MV̅DCLXXXII</t>
        </is>
      </c>
      <c r="C34683">
        <f>ROMAN(34682)</f>
        <v/>
      </c>
      <c r="D34683">
        <f>IF(B34683=C34683, "YES", "WRONG")</f>
        <v/>
      </c>
    </row>
    <row r="34684">
      <c r="A34684" t="n">
        <v>34683</v>
      </c>
      <c r="B34684" t="inlineStr">
        <is>
          <t>x̄x̄x̄MV̅DCLXXXIII</t>
        </is>
      </c>
      <c r="C34684">
        <f>ROMAN(34683)</f>
        <v/>
      </c>
      <c r="D34684">
        <f>IF(B34684=C34684, "YES", "WRONG")</f>
        <v/>
      </c>
    </row>
    <row r="34685">
      <c r="A34685" t="n">
        <v>34684</v>
      </c>
      <c r="B34685" t="inlineStr">
        <is>
          <t>x̄x̄x̄MV̅DCLXXXIV</t>
        </is>
      </c>
      <c r="C34685">
        <f>ROMAN(34684)</f>
        <v/>
      </c>
      <c r="D34685">
        <f>IF(B34685=C34685, "YES", "WRONG")</f>
        <v/>
      </c>
    </row>
    <row r="34686">
      <c r="A34686" t="n">
        <v>34685</v>
      </c>
      <c r="B34686" t="inlineStr">
        <is>
          <t>x̄x̄x̄MV̅DCLXXXV</t>
        </is>
      </c>
      <c r="C34686">
        <f>ROMAN(34685)</f>
        <v/>
      </c>
      <c r="D34686">
        <f>IF(B34686=C34686, "YES", "WRONG")</f>
        <v/>
      </c>
    </row>
    <row r="34687">
      <c r="A34687" t="n">
        <v>34686</v>
      </c>
      <c r="B34687" t="inlineStr">
        <is>
          <t>x̄x̄x̄MV̅DCLXXXVI</t>
        </is>
      </c>
      <c r="C34687">
        <f>ROMAN(34686)</f>
        <v/>
      </c>
      <c r="D34687">
        <f>IF(B34687=C34687, "YES", "WRONG")</f>
        <v/>
      </c>
    </row>
    <row r="34688">
      <c r="A34688" t="n">
        <v>34687</v>
      </c>
      <c r="B34688" t="inlineStr">
        <is>
          <t>x̄x̄x̄MV̅DCLXXXVII</t>
        </is>
      </c>
      <c r="C34688">
        <f>ROMAN(34687)</f>
        <v/>
      </c>
      <c r="D34688">
        <f>IF(B34688=C34688, "YES", "WRONG")</f>
        <v/>
      </c>
    </row>
    <row r="34689">
      <c r="A34689" t="n">
        <v>34688</v>
      </c>
      <c r="B34689" t="inlineStr">
        <is>
          <t>x̄x̄x̄MV̅DCLXXXVIII</t>
        </is>
      </c>
      <c r="C34689">
        <f>ROMAN(34688)</f>
        <v/>
      </c>
      <c r="D34689">
        <f>IF(B34689=C34689, "YES", "WRONG")</f>
        <v/>
      </c>
    </row>
    <row r="34690">
      <c r="A34690" t="n">
        <v>34689</v>
      </c>
      <c r="B34690" t="inlineStr">
        <is>
          <t>x̄x̄x̄MV̅DCLXXXIX</t>
        </is>
      </c>
      <c r="C34690">
        <f>ROMAN(34689)</f>
        <v/>
      </c>
      <c r="D34690">
        <f>IF(B34690=C34690, "YES", "WRONG")</f>
        <v/>
      </c>
    </row>
    <row r="34691">
      <c r="A34691" t="n">
        <v>34690</v>
      </c>
      <c r="B34691" t="inlineStr">
        <is>
          <t>x̄x̄x̄MV̅DCXC</t>
        </is>
      </c>
      <c r="C34691">
        <f>ROMAN(34690)</f>
        <v/>
      </c>
      <c r="D34691">
        <f>IF(B34691=C34691, "YES", "WRONG")</f>
        <v/>
      </c>
    </row>
    <row r="34692">
      <c r="A34692" t="n">
        <v>34691</v>
      </c>
      <c r="B34692" t="inlineStr">
        <is>
          <t>x̄x̄x̄MV̅DCXCI</t>
        </is>
      </c>
      <c r="C34692">
        <f>ROMAN(34691)</f>
        <v/>
      </c>
      <c r="D34692">
        <f>IF(B34692=C34692, "YES", "WRONG")</f>
        <v/>
      </c>
    </row>
    <row r="34693">
      <c r="A34693" t="n">
        <v>34692</v>
      </c>
      <c r="B34693" t="inlineStr">
        <is>
          <t>x̄x̄x̄MV̅DCXCII</t>
        </is>
      </c>
      <c r="C34693">
        <f>ROMAN(34692)</f>
        <v/>
      </c>
      <c r="D34693">
        <f>IF(B34693=C34693, "YES", "WRONG")</f>
        <v/>
      </c>
    </row>
    <row r="34694">
      <c r="A34694" t="n">
        <v>34693</v>
      </c>
      <c r="B34694" t="inlineStr">
        <is>
          <t>x̄x̄x̄MV̅DCXCIII</t>
        </is>
      </c>
      <c r="C34694">
        <f>ROMAN(34693)</f>
        <v/>
      </c>
      <c r="D34694">
        <f>IF(B34694=C34694, "YES", "WRONG")</f>
        <v/>
      </c>
    </row>
    <row r="34695">
      <c r="A34695" t="n">
        <v>34694</v>
      </c>
      <c r="B34695" t="inlineStr">
        <is>
          <t>x̄x̄x̄MV̅DCXCIV</t>
        </is>
      </c>
      <c r="C34695">
        <f>ROMAN(34694)</f>
        <v/>
      </c>
      <c r="D34695">
        <f>IF(B34695=C34695, "YES", "WRONG")</f>
        <v/>
      </c>
    </row>
    <row r="34696">
      <c r="A34696" t="n">
        <v>34695</v>
      </c>
      <c r="B34696" t="inlineStr">
        <is>
          <t>x̄x̄x̄MV̅DCXCV</t>
        </is>
      </c>
      <c r="C34696">
        <f>ROMAN(34695)</f>
        <v/>
      </c>
      <c r="D34696">
        <f>IF(B34696=C34696, "YES", "WRONG")</f>
        <v/>
      </c>
    </row>
    <row r="34697">
      <c r="A34697" t="n">
        <v>34696</v>
      </c>
      <c r="B34697" t="inlineStr">
        <is>
          <t>x̄x̄x̄MV̅DCXCVI</t>
        </is>
      </c>
      <c r="C34697">
        <f>ROMAN(34696)</f>
        <v/>
      </c>
      <c r="D34697">
        <f>IF(B34697=C34697, "YES", "WRONG")</f>
        <v/>
      </c>
    </row>
    <row r="34698">
      <c r="A34698" t="n">
        <v>34697</v>
      </c>
      <c r="B34698" t="inlineStr">
        <is>
          <t>x̄x̄x̄MV̅DCXCVII</t>
        </is>
      </c>
      <c r="C34698">
        <f>ROMAN(34697)</f>
        <v/>
      </c>
      <c r="D34698">
        <f>IF(B34698=C34698, "YES", "WRONG")</f>
        <v/>
      </c>
    </row>
    <row r="34699">
      <c r="A34699" t="n">
        <v>34698</v>
      </c>
      <c r="B34699" t="inlineStr">
        <is>
          <t>x̄x̄x̄MV̅DCXCVIII</t>
        </is>
      </c>
      <c r="C34699">
        <f>ROMAN(34698)</f>
        <v/>
      </c>
      <c r="D34699">
        <f>IF(B34699=C34699, "YES", "WRONG")</f>
        <v/>
      </c>
    </row>
    <row r="34700">
      <c r="A34700" t="n">
        <v>34699</v>
      </c>
      <c r="B34700" t="inlineStr">
        <is>
          <t>x̄x̄x̄MV̅DCXCIX</t>
        </is>
      </c>
      <c r="C34700">
        <f>ROMAN(34699)</f>
        <v/>
      </c>
      <c r="D34700">
        <f>IF(B34700=C34700, "YES", "WRONG")</f>
        <v/>
      </c>
    </row>
    <row r="34701">
      <c r="A34701" t="n">
        <v>34700</v>
      </c>
      <c r="B34701" t="inlineStr">
        <is>
          <t>x̄x̄x̄MV̅DCC</t>
        </is>
      </c>
      <c r="C34701">
        <f>ROMAN(34700)</f>
        <v/>
      </c>
      <c r="D34701">
        <f>IF(B34701=C34701, "YES", "WRONG")</f>
        <v/>
      </c>
    </row>
    <row r="34702">
      <c r="A34702" t="n">
        <v>34701</v>
      </c>
      <c r="B34702" t="inlineStr">
        <is>
          <t>x̄x̄x̄MV̅DCCI</t>
        </is>
      </c>
      <c r="C34702">
        <f>ROMAN(34701)</f>
        <v/>
      </c>
      <c r="D34702">
        <f>IF(B34702=C34702, "YES", "WRONG")</f>
        <v/>
      </c>
    </row>
    <row r="34703">
      <c r="A34703" t="n">
        <v>34702</v>
      </c>
      <c r="B34703" t="inlineStr">
        <is>
          <t>x̄x̄x̄MV̅DCCII</t>
        </is>
      </c>
      <c r="C34703">
        <f>ROMAN(34702)</f>
        <v/>
      </c>
      <c r="D34703">
        <f>IF(B34703=C34703, "YES", "WRONG")</f>
        <v/>
      </c>
    </row>
    <row r="34704">
      <c r="A34704" t="n">
        <v>34703</v>
      </c>
      <c r="B34704" t="inlineStr">
        <is>
          <t>x̄x̄x̄MV̅DCCIII</t>
        </is>
      </c>
      <c r="C34704">
        <f>ROMAN(34703)</f>
        <v/>
      </c>
      <c r="D34704">
        <f>IF(B34704=C34704, "YES", "WRONG")</f>
        <v/>
      </c>
    </row>
    <row r="34705">
      <c r="A34705" t="n">
        <v>34704</v>
      </c>
      <c r="B34705" t="inlineStr">
        <is>
          <t>x̄x̄x̄MV̅DCCIV</t>
        </is>
      </c>
      <c r="C34705">
        <f>ROMAN(34704)</f>
        <v/>
      </c>
      <c r="D34705">
        <f>IF(B34705=C34705, "YES", "WRONG")</f>
        <v/>
      </c>
    </row>
    <row r="34706">
      <c r="A34706" t="n">
        <v>34705</v>
      </c>
      <c r="B34706" t="inlineStr">
        <is>
          <t>x̄x̄x̄MV̅DCCV</t>
        </is>
      </c>
      <c r="C34706">
        <f>ROMAN(34705)</f>
        <v/>
      </c>
      <c r="D34706">
        <f>IF(B34706=C34706, "YES", "WRONG")</f>
        <v/>
      </c>
    </row>
    <row r="34707">
      <c r="A34707" t="n">
        <v>34706</v>
      </c>
      <c r="B34707" t="inlineStr">
        <is>
          <t>x̄x̄x̄MV̅DCCVI</t>
        </is>
      </c>
      <c r="C34707">
        <f>ROMAN(34706)</f>
        <v/>
      </c>
      <c r="D34707">
        <f>IF(B34707=C34707, "YES", "WRONG")</f>
        <v/>
      </c>
    </row>
    <row r="34708">
      <c r="A34708" t="n">
        <v>34707</v>
      </c>
      <c r="B34708" t="inlineStr">
        <is>
          <t>x̄x̄x̄MV̅DCCVII</t>
        </is>
      </c>
      <c r="C34708">
        <f>ROMAN(34707)</f>
        <v/>
      </c>
      <c r="D34708">
        <f>IF(B34708=C34708, "YES", "WRONG")</f>
        <v/>
      </c>
    </row>
    <row r="34709">
      <c r="A34709" t="n">
        <v>34708</v>
      </c>
      <c r="B34709" t="inlineStr">
        <is>
          <t>x̄x̄x̄MV̅DCCVIII</t>
        </is>
      </c>
      <c r="C34709">
        <f>ROMAN(34708)</f>
        <v/>
      </c>
      <c r="D34709">
        <f>IF(B34709=C34709, "YES", "WRONG")</f>
        <v/>
      </c>
    </row>
    <row r="34710">
      <c r="A34710" t="n">
        <v>34709</v>
      </c>
      <c r="B34710" t="inlineStr">
        <is>
          <t>x̄x̄x̄MV̅DCCIX</t>
        </is>
      </c>
      <c r="C34710">
        <f>ROMAN(34709)</f>
        <v/>
      </c>
      <c r="D34710">
        <f>IF(B34710=C34710, "YES", "WRONG")</f>
        <v/>
      </c>
    </row>
    <row r="34711">
      <c r="A34711" t="n">
        <v>34710</v>
      </c>
      <c r="B34711" t="inlineStr">
        <is>
          <t>x̄x̄x̄MV̅DCCX</t>
        </is>
      </c>
      <c r="C34711">
        <f>ROMAN(34710)</f>
        <v/>
      </c>
      <c r="D34711">
        <f>IF(B34711=C34711, "YES", "WRONG")</f>
        <v/>
      </c>
    </row>
    <row r="34712">
      <c r="A34712" t="n">
        <v>34711</v>
      </c>
      <c r="B34712" t="inlineStr">
        <is>
          <t>x̄x̄x̄MV̅DCCXI</t>
        </is>
      </c>
      <c r="C34712">
        <f>ROMAN(34711)</f>
        <v/>
      </c>
      <c r="D34712">
        <f>IF(B34712=C34712, "YES", "WRONG")</f>
        <v/>
      </c>
    </row>
    <row r="34713">
      <c r="A34713" t="n">
        <v>34712</v>
      </c>
      <c r="B34713" t="inlineStr">
        <is>
          <t>x̄x̄x̄MV̅DCCXII</t>
        </is>
      </c>
      <c r="C34713">
        <f>ROMAN(34712)</f>
        <v/>
      </c>
      <c r="D34713">
        <f>IF(B34713=C34713, "YES", "WRONG")</f>
        <v/>
      </c>
    </row>
    <row r="34714">
      <c r="A34714" t="n">
        <v>34713</v>
      </c>
      <c r="B34714" t="inlineStr">
        <is>
          <t>x̄x̄x̄MV̅DCCXIII</t>
        </is>
      </c>
      <c r="C34714">
        <f>ROMAN(34713)</f>
        <v/>
      </c>
      <c r="D34714">
        <f>IF(B34714=C34714, "YES", "WRONG")</f>
        <v/>
      </c>
    </row>
    <row r="34715">
      <c r="A34715" t="n">
        <v>34714</v>
      </c>
      <c r="B34715" t="inlineStr">
        <is>
          <t>x̄x̄x̄MV̅DCCXIV</t>
        </is>
      </c>
      <c r="C34715">
        <f>ROMAN(34714)</f>
        <v/>
      </c>
      <c r="D34715">
        <f>IF(B34715=C34715, "YES", "WRONG")</f>
        <v/>
      </c>
    </row>
    <row r="34716">
      <c r="A34716" t="n">
        <v>34715</v>
      </c>
      <c r="B34716" t="inlineStr">
        <is>
          <t>x̄x̄x̄MV̅DCCXV</t>
        </is>
      </c>
      <c r="C34716">
        <f>ROMAN(34715)</f>
        <v/>
      </c>
      <c r="D34716">
        <f>IF(B34716=C34716, "YES", "WRONG")</f>
        <v/>
      </c>
    </row>
    <row r="34717">
      <c r="A34717" t="n">
        <v>34716</v>
      </c>
      <c r="B34717" t="inlineStr">
        <is>
          <t>x̄x̄x̄MV̅DCCXVI</t>
        </is>
      </c>
      <c r="C34717">
        <f>ROMAN(34716)</f>
        <v/>
      </c>
      <c r="D34717">
        <f>IF(B34717=C34717, "YES", "WRONG")</f>
        <v/>
      </c>
    </row>
    <row r="34718">
      <c r="A34718" t="n">
        <v>34717</v>
      </c>
      <c r="B34718" t="inlineStr">
        <is>
          <t>x̄x̄x̄MV̅DCCXVII</t>
        </is>
      </c>
      <c r="C34718">
        <f>ROMAN(34717)</f>
        <v/>
      </c>
      <c r="D34718">
        <f>IF(B34718=C34718, "YES", "WRONG")</f>
        <v/>
      </c>
    </row>
    <row r="34719">
      <c r="A34719" t="n">
        <v>34718</v>
      </c>
      <c r="B34719" t="inlineStr">
        <is>
          <t>x̄x̄x̄MV̅DCCXVIII</t>
        </is>
      </c>
      <c r="C34719">
        <f>ROMAN(34718)</f>
        <v/>
      </c>
      <c r="D34719">
        <f>IF(B34719=C34719, "YES", "WRONG")</f>
        <v/>
      </c>
    </row>
    <row r="34720">
      <c r="A34720" t="n">
        <v>34719</v>
      </c>
      <c r="B34720" t="inlineStr">
        <is>
          <t>x̄x̄x̄MV̅DCCXIX</t>
        </is>
      </c>
      <c r="C34720">
        <f>ROMAN(34719)</f>
        <v/>
      </c>
      <c r="D34720">
        <f>IF(B34720=C34720, "YES", "WRONG")</f>
        <v/>
      </c>
    </row>
    <row r="34721">
      <c r="A34721" t="n">
        <v>34720</v>
      </c>
      <c r="B34721" t="inlineStr">
        <is>
          <t>x̄x̄x̄MV̅DCCXX</t>
        </is>
      </c>
      <c r="C34721">
        <f>ROMAN(34720)</f>
        <v/>
      </c>
      <c r="D34721">
        <f>IF(B34721=C34721, "YES", "WRONG")</f>
        <v/>
      </c>
    </row>
    <row r="34722">
      <c r="A34722" t="n">
        <v>34721</v>
      </c>
      <c r="B34722" t="inlineStr">
        <is>
          <t>x̄x̄x̄MV̅DCCXXI</t>
        </is>
      </c>
      <c r="C34722">
        <f>ROMAN(34721)</f>
        <v/>
      </c>
      <c r="D34722">
        <f>IF(B34722=C34722, "YES", "WRONG")</f>
        <v/>
      </c>
    </row>
    <row r="34723">
      <c r="A34723" t="n">
        <v>34722</v>
      </c>
      <c r="B34723" t="inlineStr">
        <is>
          <t>x̄x̄x̄MV̅DCCXXII</t>
        </is>
      </c>
      <c r="C34723">
        <f>ROMAN(34722)</f>
        <v/>
      </c>
      <c r="D34723">
        <f>IF(B34723=C34723, "YES", "WRONG")</f>
        <v/>
      </c>
    </row>
    <row r="34724">
      <c r="A34724" t="n">
        <v>34723</v>
      </c>
      <c r="B34724" t="inlineStr">
        <is>
          <t>x̄x̄x̄MV̅DCCXXIII</t>
        </is>
      </c>
      <c r="C34724">
        <f>ROMAN(34723)</f>
        <v/>
      </c>
      <c r="D34724">
        <f>IF(B34724=C34724, "YES", "WRONG")</f>
        <v/>
      </c>
    </row>
    <row r="34725">
      <c r="A34725" t="n">
        <v>34724</v>
      </c>
      <c r="B34725" t="inlineStr">
        <is>
          <t>x̄x̄x̄MV̅DCCXXIV</t>
        </is>
      </c>
      <c r="C34725">
        <f>ROMAN(34724)</f>
        <v/>
      </c>
      <c r="D34725">
        <f>IF(B34725=C34725, "YES", "WRONG")</f>
        <v/>
      </c>
    </row>
    <row r="34726">
      <c r="A34726" t="n">
        <v>34725</v>
      </c>
      <c r="B34726" t="inlineStr">
        <is>
          <t>x̄x̄x̄MV̅DCCXXV</t>
        </is>
      </c>
      <c r="C34726">
        <f>ROMAN(34725)</f>
        <v/>
      </c>
      <c r="D34726">
        <f>IF(B34726=C34726, "YES", "WRONG")</f>
        <v/>
      </c>
    </row>
    <row r="34727">
      <c r="A34727" t="n">
        <v>34726</v>
      </c>
      <c r="B34727" t="inlineStr">
        <is>
          <t>x̄x̄x̄MV̅DCCXXVI</t>
        </is>
      </c>
      <c r="C34727">
        <f>ROMAN(34726)</f>
        <v/>
      </c>
      <c r="D34727">
        <f>IF(B34727=C34727, "YES", "WRONG")</f>
        <v/>
      </c>
    </row>
    <row r="34728">
      <c r="A34728" t="n">
        <v>34727</v>
      </c>
      <c r="B34728" t="inlineStr">
        <is>
          <t>x̄x̄x̄MV̅DCCXXVII</t>
        </is>
      </c>
      <c r="C34728">
        <f>ROMAN(34727)</f>
        <v/>
      </c>
      <c r="D34728">
        <f>IF(B34728=C34728, "YES", "WRONG")</f>
        <v/>
      </c>
    </row>
    <row r="34729">
      <c r="A34729" t="n">
        <v>34728</v>
      </c>
      <c r="B34729" t="inlineStr">
        <is>
          <t>x̄x̄x̄MV̅DCCXXVIII</t>
        </is>
      </c>
      <c r="C34729">
        <f>ROMAN(34728)</f>
        <v/>
      </c>
      <c r="D34729">
        <f>IF(B34729=C34729, "YES", "WRONG")</f>
        <v/>
      </c>
    </row>
    <row r="34730">
      <c r="A34730" t="n">
        <v>34729</v>
      </c>
      <c r="B34730" t="inlineStr">
        <is>
          <t>x̄x̄x̄MV̅DCCXXIX</t>
        </is>
      </c>
      <c r="C34730">
        <f>ROMAN(34729)</f>
        <v/>
      </c>
      <c r="D34730">
        <f>IF(B34730=C34730, "YES", "WRONG")</f>
        <v/>
      </c>
    </row>
    <row r="34731">
      <c r="A34731" t="n">
        <v>34730</v>
      </c>
      <c r="B34731" t="inlineStr">
        <is>
          <t>x̄x̄x̄MV̅DCCXXX</t>
        </is>
      </c>
      <c r="C34731">
        <f>ROMAN(34730)</f>
        <v/>
      </c>
      <c r="D34731">
        <f>IF(B34731=C34731, "YES", "WRONG")</f>
        <v/>
      </c>
    </row>
    <row r="34732">
      <c r="A34732" t="n">
        <v>34731</v>
      </c>
      <c r="B34732" t="inlineStr">
        <is>
          <t>x̄x̄x̄MV̅DCCXXXI</t>
        </is>
      </c>
      <c r="C34732">
        <f>ROMAN(34731)</f>
        <v/>
      </c>
      <c r="D34732">
        <f>IF(B34732=C34732, "YES", "WRONG")</f>
        <v/>
      </c>
    </row>
    <row r="34733">
      <c r="A34733" t="n">
        <v>34732</v>
      </c>
      <c r="B34733" t="inlineStr">
        <is>
          <t>x̄x̄x̄MV̅DCCXXXII</t>
        </is>
      </c>
      <c r="C34733">
        <f>ROMAN(34732)</f>
        <v/>
      </c>
      <c r="D34733">
        <f>IF(B34733=C34733, "YES", "WRONG")</f>
        <v/>
      </c>
    </row>
    <row r="34734">
      <c r="A34734" t="n">
        <v>34733</v>
      </c>
      <c r="B34734" t="inlineStr">
        <is>
          <t>x̄x̄x̄MV̅DCCXXXIII</t>
        </is>
      </c>
      <c r="C34734">
        <f>ROMAN(34733)</f>
        <v/>
      </c>
      <c r="D34734">
        <f>IF(B34734=C34734, "YES", "WRONG")</f>
        <v/>
      </c>
    </row>
    <row r="34735">
      <c r="A34735" t="n">
        <v>34734</v>
      </c>
      <c r="B34735" t="inlineStr">
        <is>
          <t>x̄x̄x̄MV̅DCCXXXIV</t>
        </is>
      </c>
      <c r="C34735">
        <f>ROMAN(34734)</f>
        <v/>
      </c>
      <c r="D34735">
        <f>IF(B34735=C34735, "YES", "WRONG")</f>
        <v/>
      </c>
    </row>
    <row r="34736">
      <c r="A34736" t="n">
        <v>34735</v>
      </c>
      <c r="B34736" t="inlineStr">
        <is>
          <t>x̄x̄x̄MV̅DCCXXXV</t>
        </is>
      </c>
      <c r="C34736">
        <f>ROMAN(34735)</f>
        <v/>
      </c>
      <c r="D34736">
        <f>IF(B34736=C34736, "YES", "WRONG")</f>
        <v/>
      </c>
    </row>
    <row r="34737">
      <c r="A34737" t="n">
        <v>34736</v>
      </c>
      <c r="B34737" t="inlineStr">
        <is>
          <t>x̄x̄x̄MV̅DCCXXXVI</t>
        </is>
      </c>
      <c r="C34737">
        <f>ROMAN(34736)</f>
        <v/>
      </c>
      <c r="D34737">
        <f>IF(B34737=C34737, "YES", "WRONG")</f>
        <v/>
      </c>
    </row>
    <row r="34738">
      <c r="A34738" t="n">
        <v>34737</v>
      </c>
      <c r="B34738" t="inlineStr">
        <is>
          <t>x̄x̄x̄MV̅DCCXXXVII</t>
        </is>
      </c>
      <c r="C34738">
        <f>ROMAN(34737)</f>
        <v/>
      </c>
      <c r="D34738">
        <f>IF(B34738=C34738, "YES", "WRONG")</f>
        <v/>
      </c>
    </row>
    <row r="34739">
      <c r="A34739" t="n">
        <v>34738</v>
      </c>
      <c r="B34739" t="inlineStr">
        <is>
          <t>x̄x̄x̄MV̅DCCXXXVIII</t>
        </is>
      </c>
      <c r="C34739">
        <f>ROMAN(34738)</f>
        <v/>
      </c>
      <c r="D34739">
        <f>IF(B34739=C34739, "YES", "WRONG")</f>
        <v/>
      </c>
    </row>
    <row r="34740">
      <c r="A34740" t="n">
        <v>34739</v>
      </c>
      <c r="B34740" t="inlineStr">
        <is>
          <t>x̄x̄x̄MV̅DCCXXXIX</t>
        </is>
      </c>
      <c r="C34740">
        <f>ROMAN(34739)</f>
        <v/>
      </c>
      <c r="D34740">
        <f>IF(B34740=C34740, "YES", "WRONG")</f>
        <v/>
      </c>
    </row>
    <row r="34741">
      <c r="A34741" t="n">
        <v>34740</v>
      </c>
      <c r="B34741" t="inlineStr">
        <is>
          <t>x̄x̄x̄MV̅DCCXL</t>
        </is>
      </c>
      <c r="C34741">
        <f>ROMAN(34740)</f>
        <v/>
      </c>
      <c r="D34741">
        <f>IF(B34741=C34741, "YES", "WRONG")</f>
        <v/>
      </c>
    </row>
    <row r="34742">
      <c r="A34742" t="n">
        <v>34741</v>
      </c>
      <c r="B34742" t="inlineStr">
        <is>
          <t>x̄x̄x̄MV̅DCCXLI</t>
        </is>
      </c>
      <c r="C34742">
        <f>ROMAN(34741)</f>
        <v/>
      </c>
      <c r="D34742">
        <f>IF(B34742=C34742, "YES", "WRONG")</f>
        <v/>
      </c>
    </row>
    <row r="34743">
      <c r="A34743" t="n">
        <v>34742</v>
      </c>
      <c r="B34743" t="inlineStr">
        <is>
          <t>x̄x̄x̄MV̅DCCXLII</t>
        </is>
      </c>
      <c r="C34743">
        <f>ROMAN(34742)</f>
        <v/>
      </c>
      <c r="D34743">
        <f>IF(B34743=C34743, "YES", "WRONG")</f>
        <v/>
      </c>
    </row>
    <row r="34744">
      <c r="A34744" t="n">
        <v>34743</v>
      </c>
      <c r="B34744" t="inlineStr">
        <is>
          <t>x̄x̄x̄MV̅DCCXLIII</t>
        </is>
      </c>
      <c r="C34744">
        <f>ROMAN(34743)</f>
        <v/>
      </c>
      <c r="D34744">
        <f>IF(B34744=C34744, "YES", "WRONG")</f>
        <v/>
      </c>
    </row>
    <row r="34745">
      <c r="A34745" t="n">
        <v>34744</v>
      </c>
      <c r="B34745" t="inlineStr">
        <is>
          <t>x̄x̄x̄MV̅DCCXLIV</t>
        </is>
      </c>
      <c r="C34745">
        <f>ROMAN(34744)</f>
        <v/>
      </c>
      <c r="D34745">
        <f>IF(B34745=C34745, "YES", "WRONG")</f>
        <v/>
      </c>
    </row>
    <row r="34746">
      <c r="A34746" t="n">
        <v>34745</v>
      </c>
      <c r="B34746" t="inlineStr">
        <is>
          <t>x̄x̄x̄MV̅DCCXLV</t>
        </is>
      </c>
      <c r="C34746">
        <f>ROMAN(34745)</f>
        <v/>
      </c>
      <c r="D34746">
        <f>IF(B34746=C34746, "YES", "WRONG")</f>
        <v/>
      </c>
    </row>
    <row r="34747">
      <c r="A34747" t="n">
        <v>34746</v>
      </c>
      <c r="B34747" t="inlineStr">
        <is>
          <t>x̄x̄x̄MV̅DCCXLVI</t>
        </is>
      </c>
      <c r="C34747">
        <f>ROMAN(34746)</f>
        <v/>
      </c>
      <c r="D34747">
        <f>IF(B34747=C34747, "YES", "WRONG")</f>
        <v/>
      </c>
    </row>
    <row r="34748">
      <c r="A34748" t="n">
        <v>34747</v>
      </c>
      <c r="B34748" t="inlineStr">
        <is>
          <t>x̄x̄x̄MV̅DCCXLVII</t>
        </is>
      </c>
      <c r="C34748">
        <f>ROMAN(34747)</f>
        <v/>
      </c>
      <c r="D34748">
        <f>IF(B34748=C34748, "YES", "WRONG")</f>
        <v/>
      </c>
    </row>
    <row r="34749">
      <c r="A34749" t="n">
        <v>34748</v>
      </c>
      <c r="B34749" t="inlineStr">
        <is>
          <t>x̄x̄x̄MV̅DCCXLVIII</t>
        </is>
      </c>
      <c r="C34749">
        <f>ROMAN(34748)</f>
        <v/>
      </c>
      <c r="D34749">
        <f>IF(B34749=C34749, "YES", "WRONG")</f>
        <v/>
      </c>
    </row>
    <row r="34750">
      <c r="A34750" t="n">
        <v>34749</v>
      </c>
      <c r="B34750" t="inlineStr">
        <is>
          <t>x̄x̄x̄MV̅DCCXLIX</t>
        </is>
      </c>
      <c r="C34750">
        <f>ROMAN(34749)</f>
        <v/>
      </c>
      <c r="D34750">
        <f>IF(B34750=C34750, "YES", "WRONG")</f>
        <v/>
      </c>
    </row>
    <row r="34751">
      <c r="A34751" t="n">
        <v>34750</v>
      </c>
      <c r="B34751" t="inlineStr">
        <is>
          <t>x̄x̄x̄MV̅DCCL</t>
        </is>
      </c>
      <c r="C34751">
        <f>ROMAN(34750)</f>
        <v/>
      </c>
      <c r="D34751">
        <f>IF(B34751=C34751, "YES", "WRONG")</f>
        <v/>
      </c>
    </row>
    <row r="34752">
      <c r="A34752" t="n">
        <v>34751</v>
      </c>
      <c r="B34752" t="inlineStr">
        <is>
          <t>x̄x̄x̄MV̅DCCLI</t>
        </is>
      </c>
      <c r="C34752">
        <f>ROMAN(34751)</f>
        <v/>
      </c>
      <c r="D34752">
        <f>IF(B34752=C34752, "YES", "WRONG")</f>
        <v/>
      </c>
    </row>
    <row r="34753">
      <c r="A34753" t="n">
        <v>34752</v>
      </c>
      <c r="B34753" t="inlineStr">
        <is>
          <t>x̄x̄x̄MV̅DCCLII</t>
        </is>
      </c>
      <c r="C34753">
        <f>ROMAN(34752)</f>
        <v/>
      </c>
      <c r="D34753">
        <f>IF(B34753=C34753, "YES", "WRONG")</f>
        <v/>
      </c>
    </row>
    <row r="34754">
      <c r="A34754" t="n">
        <v>34753</v>
      </c>
      <c r="B34754" t="inlineStr">
        <is>
          <t>x̄x̄x̄MV̅DCCLIII</t>
        </is>
      </c>
      <c r="C34754">
        <f>ROMAN(34753)</f>
        <v/>
      </c>
      <c r="D34754">
        <f>IF(B34754=C34754, "YES", "WRONG")</f>
        <v/>
      </c>
    </row>
    <row r="34755">
      <c r="A34755" t="n">
        <v>34754</v>
      </c>
      <c r="B34755" t="inlineStr">
        <is>
          <t>x̄x̄x̄MV̅DCCLIV</t>
        </is>
      </c>
      <c r="C34755">
        <f>ROMAN(34754)</f>
        <v/>
      </c>
      <c r="D34755">
        <f>IF(B34755=C34755, "YES", "WRONG")</f>
        <v/>
      </c>
    </row>
    <row r="34756">
      <c r="A34756" t="n">
        <v>34755</v>
      </c>
      <c r="B34756" t="inlineStr">
        <is>
          <t>x̄x̄x̄MV̅DCCLV</t>
        </is>
      </c>
      <c r="C34756">
        <f>ROMAN(34755)</f>
        <v/>
      </c>
      <c r="D34756">
        <f>IF(B34756=C34756, "YES", "WRONG")</f>
        <v/>
      </c>
    </row>
    <row r="34757">
      <c r="A34757" t="n">
        <v>34756</v>
      </c>
      <c r="B34757" t="inlineStr">
        <is>
          <t>x̄x̄x̄MV̅DCCLVI</t>
        </is>
      </c>
      <c r="C34757">
        <f>ROMAN(34756)</f>
        <v/>
      </c>
      <c r="D34757">
        <f>IF(B34757=C34757, "YES", "WRONG")</f>
        <v/>
      </c>
    </row>
    <row r="34758">
      <c r="A34758" t="n">
        <v>34757</v>
      </c>
      <c r="B34758" t="inlineStr">
        <is>
          <t>x̄x̄x̄MV̅DCCLVII</t>
        </is>
      </c>
      <c r="C34758">
        <f>ROMAN(34757)</f>
        <v/>
      </c>
      <c r="D34758">
        <f>IF(B34758=C34758, "YES", "WRONG")</f>
        <v/>
      </c>
    </row>
    <row r="34759">
      <c r="A34759" t="n">
        <v>34758</v>
      </c>
      <c r="B34759" t="inlineStr">
        <is>
          <t>x̄x̄x̄MV̅DCCLVIII</t>
        </is>
      </c>
      <c r="C34759">
        <f>ROMAN(34758)</f>
        <v/>
      </c>
      <c r="D34759">
        <f>IF(B34759=C34759, "YES", "WRONG")</f>
        <v/>
      </c>
    </row>
    <row r="34760">
      <c r="A34760" t="n">
        <v>34759</v>
      </c>
      <c r="B34760" t="inlineStr">
        <is>
          <t>x̄x̄x̄MV̅DCCLIX</t>
        </is>
      </c>
      <c r="C34760">
        <f>ROMAN(34759)</f>
        <v/>
      </c>
      <c r="D34760">
        <f>IF(B34760=C34760, "YES", "WRONG")</f>
        <v/>
      </c>
    </row>
    <row r="34761">
      <c r="A34761" t="n">
        <v>34760</v>
      </c>
      <c r="B34761" t="inlineStr">
        <is>
          <t>x̄x̄x̄MV̅DCCLX</t>
        </is>
      </c>
      <c r="C34761">
        <f>ROMAN(34760)</f>
        <v/>
      </c>
      <c r="D34761">
        <f>IF(B34761=C34761, "YES", "WRONG")</f>
        <v/>
      </c>
    </row>
    <row r="34762">
      <c r="A34762" t="n">
        <v>34761</v>
      </c>
      <c r="B34762" t="inlineStr">
        <is>
          <t>x̄x̄x̄MV̅DCCLXI</t>
        </is>
      </c>
      <c r="C34762">
        <f>ROMAN(34761)</f>
        <v/>
      </c>
      <c r="D34762">
        <f>IF(B34762=C34762, "YES", "WRONG")</f>
        <v/>
      </c>
    </row>
    <row r="34763">
      <c r="A34763" t="n">
        <v>34762</v>
      </c>
      <c r="B34763" t="inlineStr">
        <is>
          <t>x̄x̄x̄MV̅DCCLXII</t>
        </is>
      </c>
      <c r="C34763">
        <f>ROMAN(34762)</f>
        <v/>
      </c>
      <c r="D34763">
        <f>IF(B34763=C34763, "YES", "WRONG")</f>
        <v/>
      </c>
    </row>
    <row r="34764">
      <c r="A34764" t="n">
        <v>34763</v>
      </c>
      <c r="B34764" t="inlineStr">
        <is>
          <t>x̄x̄x̄MV̅DCCLXIII</t>
        </is>
      </c>
      <c r="C34764">
        <f>ROMAN(34763)</f>
        <v/>
      </c>
      <c r="D34764">
        <f>IF(B34764=C34764, "YES", "WRONG")</f>
        <v/>
      </c>
    </row>
    <row r="34765">
      <c r="A34765" t="n">
        <v>34764</v>
      </c>
      <c r="B34765" t="inlineStr">
        <is>
          <t>x̄x̄x̄MV̅DCCLXIV</t>
        </is>
      </c>
      <c r="C34765">
        <f>ROMAN(34764)</f>
        <v/>
      </c>
      <c r="D34765">
        <f>IF(B34765=C34765, "YES", "WRONG")</f>
        <v/>
      </c>
    </row>
    <row r="34766">
      <c r="A34766" t="n">
        <v>34765</v>
      </c>
      <c r="B34766" t="inlineStr">
        <is>
          <t>x̄x̄x̄MV̅DCCLXV</t>
        </is>
      </c>
      <c r="C34766">
        <f>ROMAN(34765)</f>
        <v/>
      </c>
      <c r="D34766">
        <f>IF(B34766=C34766, "YES", "WRONG")</f>
        <v/>
      </c>
    </row>
    <row r="34767">
      <c r="A34767" t="n">
        <v>34766</v>
      </c>
      <c r="B34767" t="inlineStr">
        <is>
          <t>x̄x̄x̄MV̅DCCLXVI</t>
        </is>
      </c>
      <c r="C34767">
        <f>ROMAN(34766)</f>
        <v/>
      </c>
      <c r="D34767">
        <f>IF(B34767=C34767, "YES", "WRONG")</f>
        <v/>
      </c>
    </row>
    <row r="34768">
      <c r="A34768" t="n">
        <v>34767</v>
      </c>
      <c r="B34768" t="inlineStr">
        <is>
          <t>x̄x̄x̄MV̅DCCLXVII</t>
        </is>
      </c>
      <c r="C34768">
        <f>ROMAN(34767)</f>
        <v/>
      </c>
      <c r="D34768">
        <f>IF(B34768=C34768, "YES", "WRONG")</f>
        <v/>
      </c>
    </row>
    <row r="34769">
      <c r="A34769" t="n">
        <v>34768</v>
      </c>
      <c r="B34769" t="inlineStr">
        <is>
          <t>x̄x̄x̄MV̅DCCLXVIII</t>
        </is>
      </c>
      <c r="C34769">
        <f>ROMAN(34768)</f>
        <v/>
      </c>
      <c r="D34769">
        <f>IF(B34769=C34769, "YES", "WRONG")</f>
        <v/>
      </c>
    </row>
    <row r="34770">
      <c r="A34770" t="n">
        <v>34769</v>
      </c>
      <c r="B34770" t="inlineStr">
        <is>
          <t>x̄x̄x̄MV̅DCCLXIX</t>
        </is>
      </c>
      <c r="C34770">
        <f>ROMAN(34769)</f>
        <v/>
      </c>
      <c r="D34770">
        <f>IF(B34770=C34770, "YES", "WRONG")</f>
        <v/>
      </c>
    </row>
    <row r="34771">
      <c r="A34771" t="n">
        <v>34770</v>
      </c>
      <c r="B34771" t="inlineStr">
        <is>
          <t>x̄x̄x̄MV̅DCCLXX</t>
        </is>
      </c>
      <c r="C34771">
        <f>ROMAN(34770)</f>
        <v/>
      </c>
      <c r="D34771">
        <f>IF(B34771=C34771, "YES", "WRONG")</f>
        <v/>
      </c>
    </row>
    <row r="34772">
      <c r="A34772" t="n">
        <v>34771</v>
      </c>
      <c r="B34772" t="inlineStr">
        <is>
          <t>x̄x̄x̄MV̅DCCLXXI</t>
        </is>
      </c>
      <c r="C34772">
        <f>ROMAN(34771)</f>
        <v/>
      </c>
      <c r="D34772">
        <f>IF(B34772=C34772, "YES", "WRONG")</f>
        <v/>
      </c>
    </row>
    <row r="34773">
      <c r="A34773" t="n">
        <v>34772</v>
      </c>
      <c r="B34773" t="inlineStr">
        <is>
          <t>x̄x̄x̄MV̅DCCLXXII</t>
        </is>
      </c>
      <c r="C34773">
        <f>ROMAN(34772)</f>
        <v/>
      </c>
      <c r="D34773">
        <f>IF(B34773=C34773, "YES", "WRONG")</f>
        <v/>
      </c>
    </row>
    <row r="34774">
      <c r="A34774" t="n">
        <v>34773</v>
      </c>
      <c r="B34774" t="inlineStr">
        <is>
          <t>x̄x̄x̄MV̅DCCLXXIII</t>
        </is>
      </c>
      <c r="C34774">
        <f>ROMAN(34773)</f>
        <v/>
      </c>
      <c r="D34774">
        <f>IF(B34774=C34774, "YES", "WRONG")</f>
        <v/>
      </c>
    </row>
    <row r="34775">
      <c r="A34775" t="n">
        <v>34774</v>
      </c>
      <c r="B34775" t="inlineStr">
        <is>
          <t>x̄x̄x̄MV̅DCCLXXIV</t>
        </is>
      </c>
      <c r="C34775">
        <f>ROMAN(34774)</f>
        <v/>
      </c>
      <c r="D34775">
        <f>IF(B34775=C34775, "YES", "WRONG")</f>
        <v/>
      </c>
    </row>
    <row r="34776">
      <c r="A34776" t="n">
        <v>34775</v>
      </c>
      <c r="B34776" t="inlineStr">
        <is>
          <t>x̄x̄x̄MV̅DCCLXXV</t>
        </is>
      </c>
      <c r="C34776">
        <f>ROMAN(34775)</f>
        <v/>
      </c>
      <c r="D34776">
        <f>IF(B34776=C34776, "YES", "WRONG")</f>
        <v/>
      </c>
    </row>
    <row r="34777">
      <c r="A34777" t="n">
        <v>34776</v>
      </c>
      <c r="B34777" t="inlineStr">
        <is>
          <t>x̄x̄x̄MV̅DCCLXXVI</t>
        </is>
      </c>
      <c r="C34777">
        <f>ROMAN(34776)</f>
        <v/>
      </c>
      <c r="D34777">
        <f>IF(B34777=C34777, "YES", "WRONG")</f>
        <v/>
      </c>
    </row>
    <row r="34778">
      <c r="A34778" t="n">
        <v>34777</v>
      </c>
      <c r="B34778" t="inlineStr">
        <is>
          <t>x̄x̄x̄MV̅DCCLXXVII</t>
        </is>
      </c>
      <c r="C34778">
        <f>ROMAN(34777)</f>
        <v/>
      </c>
      <c r="D34778">
        <f>IF(B34778=C34778, "YES", "WRONG")</f>
        <v/>
      </c>
    </row>
    <row r="34779">
      <c r="A34779" t="n">
        <v>34778</v>
      </c>
      <c r="B34779" t="inlineStr">
        <is>
          <t>x̄x̄x̄MV̅DCCLXXVIII</t>
        </is>
      </c>
      <c r="C34779">
        <f>ROMAN(34778)</f>
        <v/>
      </c>
      <c r="D34779">
        <f>IF(B34779=C34779, "YES", "WRONG")</f>
        <v/>
      </c>
    </row>
    <row r="34780">
      <c r="A34780" t="n">
        <v>34779</v>
      </c>
      <c r="B34780" t="inlineStr">
        <is>
          <t>x̄x̄x̄MV̅DCCLXXIX</t>
        </is>
      </c>
      <c r="C34780">
        <f>ROMAN(34779)</f>
        <v/>
      </c>
      <c r="D34780">
        <f>IF(B34780=C34780, "YES", "WRONG")</f>
        <v/>
      </c>
    </row>
    <row r="34781">
      <c r="A34781" t="n">
        <v>34780</v>
      </c>
      <c r="B34781" t="inlineStr">
        <is>
          <t>x̄x̄x̄MV̅DCCLXXX</t>
        </is>
      </c>
      <c r="C34781">
        <f>ROMAN(34780)</f>
        <v/>
      </c>
      <c r="D34781">
        <f>IF(B34781=C34781, "YES", "WRONG")</f>
        <v/>
      </c>
    </row>
    <row r="34782">
      <c r="A34782" t="n">
        <v>34781</v>
      </c>
      <c r="B34782" t="inlineStr">
        <is>
          <t>x̄x̄x̄MV̅DCCLXXXI</t>
        </is>
      </c>
      <c r="C34782">
        <f>ROMAN(34781)</f>
        <v/>
      </c>
      <c r="D34782">
        <f>IF(B34782=C34782, "YES", "WRONG")</f>
        <v/>
      </c>
    </row>
    <row r="34783">
      <c r="A34783" t="n">
        <v>34782</v>
      </c>
      <c r="B34783" t="inlineStr">
        <is>
          <t>x̄x̄x̄MV̅DCCLXXXII</t>
        </is>
      </c>
      <c r="C34783">
        <f>ROMAN(34782)</f>
        <v/>
      </c>
      <c r="D34783">
        <f>IF(B34783=C34783, "YES", "WRONG")</f>
        <v/>
      </c>
    </row>
    <row r="34784">
      <c r="A34784" t="n">
        <v>34783</v>
      </c>
      <c r="B34784" t="inlineStr">
        <is>
          <t>x̄x̄x̄MV̅DCCLXXXIII</t>
        </is>
      </c>
      <c r="C34784">
        <f>ROMAN(34783)</f>
        <v/>
      </c>
      <c r="D34784">
        <f>IF(B34784=C34784, "YES", "WRONG")</f>
        <v/>
      </c>
    </row>
    <row r="34785">
      <c r="A34785" t="n">
        <v>34784</v>
      </c>
      <c r="B34785" t="inlineStr">
        <is>
          <t>x̄x̄x̄MV̅DCCLXXXIV</t>
        </is>
      </c>
      <c r="C34785">
        <f>ROMAN(34784)</f>
        <v/>
      </c>
      <c r="D34785">
        <f>IF(B34785=C34785, "YES", "WRONG")</f>
        <v/>
      </c>
    </row>
    <row r="34786">
      <c r="A34786" t="n">
        <v>34785</v>
      </c>
      <c r="B34786" t="inlineStr">
        <is>
          <t>x̄x̄x̄MV̅DCCLXXXV</t>
        </is>
      </c>
      <c r="C34786">
        <f>ROMAN(34785)</f>
        <v/>
      </c>
      <c r="D34786">
        <f>IF(B34786=C34786, "YES", "WRONG")</f>
        <v/>
      </c>
    </row>
    <row r="34787">
      <c r="A34787" t="n">
        <v>34786</v>
      </c>
      <c r="B34787" t="inlineStr">
        <is>
          <t>x̄x̄x̄MV̅DCCLXXXVI</t>
        </is>
      </c>
      <c r="C34787">
        <f>ROMAN(34786)</f>
        <v/>
      </c>
      <c r="D34787">
        <f>IF(B34787=C34787, "YES", "WRONG")</f>
        <v/>
      </c>
    </row>
    <row r="34788">
      <c r="A34788" t="n">
        <v>34787</v>
      </c>
      <c r="B34788" t="inlineStr">
        <is>
          <t>x̄x̄x̄MV̅DCCLXXXVII</t>
        </is>
      </c>
      <c r="C34788">
        <f>ROMAN(34787)</f>
        <v/>
      </c>
      <c r="D34788">
        <f>IF(B34788=C34788, "YES", "WRONG")</f>
        <v/>
      </c>
    </row>
    <row r="34789">
      <c r="A34789" t="n">
        <v>34788</v>
      </c>
      <c r="B34789" t="inlineStr">
        <is>
          <t>x̄x̄x̄MV̅DCCLXXXVIII</t>
        </is>
      </c>
      <c r="C34789">
        <f>ROMAN(34788)</f>
        <v/>
      </c>
      <c r="D34789">
        <f>IF(B34789=C34789, "YES", "WRONG")</f>
        <v/>
      </c>
    </row>
    <row r="34790">
      <c r="A34790" t="n">
        <v>34789</v>
      </c>
      <c r="B34790" t="inlineStr">
        <is>
          <t>x̄x̄x̄MV̅DCCLXXXIX</t>
        </is>
      </c>
      <c r="C34790">
        <f>ROMAN(34789)</f>
        <v/>
      </c>
      <c r="D34790">
        <f>IF(B34790=C34790, "YES", "WRONG")</f>
        <v/>
      </c>
    </row>
    <row r="34791">
      <c r="A34791" t="n">
        <v>34790</v>
      </c>
      <c r="B34791" t="inlineStr">
        <is>
          <t>x̄x̄x̄MV̅DCCXC</t>
        </is>
      </c>
      <c r="C34791">
        <f>ROMAN(34790)</f>
        <v/>
      </c>
      <c r="D34791">
        <f>IF(B34791=C34791, "YES", "WRONG")</f>
        <v/>
      </c>
    </row>
    <row r="34792">
      <c r="A34792" t="n">
        <v>34791</v>
      </c>
      <c r="B34792" t="inlineStr">
        <is>
          <t>x̄x̄x̄MV̅DCCXCI</t>
        </is>
      </c>
      <c r="C34792">
        <f>ROMAN(34791)</f>
        <v/>
      </c>
      <c r="D34792">
        <f>IF(B34792=C34792, "YES", "WRONG")</f>
        <v/>
      </c>
    </row>
    <row r="34793">
      <c r="A34793" t="n">
        <v>34792</v>
      </c>
      <c r="B34793" t="inlineStr">
        <is>
          <t>x̄x̄x̄MV̅DCCXCII</t>
        </is>
      </c>
      <c r="C34793">
        <f>ROMAN(34792)</f>
        <v/>
      </c>
      <c r="D34793">
        <f>IF(B34793=C34793, "YES", "WRONG")</f>
        <v/>
      </c>
    </row>
    <row r="34794">
      <c r="A34794" t="n">
        <v>34793</v>
      </c>
      <c r="B34794" t="inlineStr">
        <is>
          <t>x̄x̄x̄MV̅DCCXCIII</t>
        </is>
      </c>
      <c r="C34794">
        <f>ROMAN(34793)</f>
        <v/>
      </c>
      <c r="D34794">
        <f>IF(B34794=C34794, "YES", "WRONG")</f>
        <v/>
      </c>
    </row>
    <row r="34795">
      <c r="A34795" t="n">
        <v>34794</v>
      </c>
      <c r="B34795" t="inlineStr">
        <is>
          <t>x̄x̄x̄MV̅DCCXCIV</t>
        </is>
      </c>
      <c r="C34795">
        <f>ROMAN(34794)</f>
        <v/>
      </c>
      <c r="D34795">
        <f>IF(B34795=C34795, "YES", "WRONG")</f>
        <v/>
      </c>
    </row>
    <row r="34796">
      <c r="A34796" t="n">
        <v>34795</v>
      </c>
      <c r="B34796" t="inlineStr">
        <is>
          <t>x̄x̄x̄MV̅DCCXCV</t>
        </is>
      </c>
      <c r="C34796">
        <f>ROMAN(34795)</f>
        <v/>
      </c>
      <c r="D34796">
        <f>IF(B34796=C34796, "YES", "WRONG")</f>
        <v/>
      </c>
    </row>
    <row r="34797">
      <c r="A34797" t="n">
        <v>34796</v>
      </c>
      <c r="B34797" t="inlineStr">
        <is>
          <t>x̄x̄x̄MV̅DCCXCVI</t>
        </is>
      </c>
      <c r="C34797">
        <f>ROMAN(34796)</f>
        <v/>
      </c>
      <c r="D34797">
        <f>IF(B34797=C34797, "YES", "WRONG")</f>
        <v/>
      </c>
    </row>
    <row r="34798">
      <c r="A34798" t="n">
        <v>34797</v>
      </c>
      <c r="B34798" t="inlineStr">
        <is>
          <t>x̄x̄x̄MV̅DCCXCVII</t>
        </is>
      </c>
      <c r="C34798">
        <f>ROMAN(34797)</f>
        <v/>
      </c>
      <c r="D34798">
        <f>IF(B34798=C34798, "YES", "WRONG")</f>
        <v/>
      </c>
    </row>
    <row r="34799">
      <c r="A34799" t="n">
        <v>34798</v>
      </c>
      <c r="B34799" t="inlineStr">
        <is>
          <t>x̄x̄x̄MV̅DCCXCVIII</t>
        </is>
      </c>
      <c r="C34799">
        <f>ROMAN(34798)</f>
        <v/>
      </c>
      <c r="D34799">
        <f>IF(B34799=C34799, "YES", "WRONG")</f>
        <v/>
      </c>
    </row>
    <row r="34800">
      <c r="A34800" t="n">
        <v>34799</v>
      </c>
      <c r="B34800" t="inlineStr">
        <is>
          <t>x̄x̄x̄MV̅DCCXCIX</t>
        </is>
      </c>
      <c r="C34800">
        <f>ROMAN(34799)</f>
        <v/>
      </c>
      <c r="D34800">
        <f>IF(B34800=C34800, "YES", "WRONG")</f>
        <v/>
      </c>
    </row>
    <row r="34801">
      <c r="A34801" t="n">
        <v>34800</v>
      </c>
      <c r="B34801" t="inlineStr">
        <is>
          <t>x̄x̄x̄MV̅DCCC</t>
        </is>
      </c>
      <c r="C34801">
        <f>ROMAN(34800)</f>
        <v/>
      </c>
      <c r="D34801">
        <f>IF(B34801=C34801, "YES", "WRONG")</f>
        <v/>
      </c>
    </row>
    <row r="34802">
      <c r="A34802" t="n">
        <v>34801</v>
      </c>
      <c r="B34802" t="inlineStr">
        <is>
          <t>x̄x̄x̄MV̅DCCCI</t>
        </is>
      </c>
      <c r="C34802">
        <f>ROMAN(34801)</f>
        <v/>
      </c>
      <c r="D34802">
        <f>IF(B34802=C34802, "YES", "WRONG")</f>
        <v/>
      </c>
    </row>
    <row r="34803">
      <c r="A34803" t="n">
        <v>34802</v>
      </c>
      <c r="B34803" t="inlineStr">
        <is>
          <t>x̄x̄x̄MV̅DCCCII</t>
        </is>
      </c>
      <c r="C34803">
        <f>ROMAN(34802)</f>
        <v/>
      </c>
      <c r="D34803">
        <f>IF(B34803=C34803, "YES", "WRONG")</f>
        <v/>
      </c>
    </row>
    <row r="34804">
      <c r="A34804" t="n">
        <v>34803</v>
      </c>
      <c r="B34804" t="inlineStr">
        <is>
          <t>x̄x̄x̄MV̅DCCCIII</t>
        </is>
      </c>
      <c r="C34804">
        <f>ROMAN(34803)</f>
        <v/>
      </c>
      <c r="D34804">
        <f>IF(B34804=C34804, "YES", "WRONG")</f>
        <v/>
      </c>
    </row>
    <row r="34805">
      <c r="A34805" t="n">
        <v>34804</v>
      </c>
      <c r="B34805" t="inlineStr">
        <is>
          <t>x̄x̄x̄MV̅DCCCIV</t>
        </is>
      </c>
      <c r="C34805">
        <f>ROMAN(34804)</f>
        <v/>
      </c>
      <c r="D34805">
        <f>IF(B34805=C34805, "YES", "WRONG")</f>
        <v/>
      </c>
    </row>
    <row r="34806">
      <c r="A34806" t="n">
        <v>34805</v>
      </c>
      <c r="B34806" t="inlineStr">
        <is>
          <t>x̄x̄x̄MV̅DCCCV</t>
        </is>
      </c>
      <c r="C34806">
        <f>ROMAN(34805)</f>
        <v/>
      </c>
      <c r="D34806">
        <f>IF(B34806=C34806, "YES", "WRONG")</f>
        <v/>
      </c>
    </row>
    <row r="34807">
      <c r="A34807" t="n">
        <v>34806</v>
      </c>
      <c r="B34807" t="inlineStr">
        <is>
          <t>x̄x̄x̄MV̅DCCCVI</t>
        </is>
      </c>
      <c r="C34807">
        <f>ROMAN(34806)</f>
        <v/>
      </c>
      <c r="D34807">
        <f>IF(B34807=C34807, "YES", "WRONG")</f>
        <v/>
      </c>
    </row>
    <row r="34808">
      <c r="A34808" t="n">
        <v>34807</v>
      </c>
      <c r="B34808" t="inlineStr">
        <is>
          <t>x̄x̄x̄MV̅DCCCVII</t>
        </is>
      </c>
      <c r="C34808">
        <f>ROMAN(34807)</f>
        <v/>
      </c>
      <c r="D34808">
        <f>IF(B34808=C34808, "YES", "WRONG")</f>
        <v/>
      </c>
    </row>
    <row r="34809">
      <c r="A34809" t="n">
        <v>34808</v>
      </c>
      <c r="B34809" t="inlineStr">
        <is>
          <t>x̄x̄x̄MV̅DCCCVIII</t>
        </is>
      </c>
      <c r="C34809">
        <f>ROMAN(34808)</f>
        <v/>
      </c>
      <c r="D34809">
        <f>IF(B34809=C34809, "YES", "WRONG")</f>
        <v/>
      </c>
    </row>
    <row r="34810">
      <c r="A34810" t="n">
        <v>34809</v>
      </c>
      <c r="B34810" t="inlineStr">
        <is>
          <t>x̄x̄x̄MV̅DCCCIX</t>
        </is>
      </c>
      <c r="C34810">
        <f>ROMAN(34809)</f>
        <v/>
      </c>
      <c r="D34810">
        <f>IF(B34810=C34810, "YES", "WRONG")</f>
        <v/>
      </c>
    </row>
    <row r="34811">
      <c r="A34811" t="n">
        <v>34810</v>
      </c>
      <c r="B34811" t="inlineStr">
        <is>
          <t>x̄x̄x̄MV̅DCCCX</t>
        </is>
      </c>
      <c r="C34811">
        <f>ROMAN(34810)</f>
        <v/>
      </c>
      <c r="D34811">
        <f>IF(B34811=C34811, "YES", "WRONG")</f>
        <v/>
      </c>
    </row>
    <row r="34812">
      <c r="A34812" t="n">
        <v>34811</v>
      </c>
      <c r="B34812" t="inlineStr">
        <is>
          <t>x̄x̄x̄MV̅DCCCXI</t>
        </is>
      </c>
      <c r="C34812">
        <f>ROMAN(34811)</f>
        <v/>
      </c>
      <c r="D34812">
        <f>IF(B34812=C34812, "YES", "WRONG")</f>
        <v/>
      </c>
    </row>
    <row r="34813">
      <c r="A34813" t="n">
        <v>34812</v>
      </c>
      <c r="B34813" t="inlineStr">
        <is>
          <t>x̄x̄x̄MV̅DCCCXII</t>
        </is>
      </c>
      <c r="C34813">
        <f>ROMAN(34812)</f>
        <v/>
      </c>
      <c r="D34813">
        <f>IF(B34813=C34813, "YES", "WRONG")</f>
        <v/>
      </c>
    </row>
    <row r="34814">
      <c r="A34814" t="n">
        <v>34813</v>
      </c>
      <c r="B34814" t="inlineStr">
        <is>
          <t>x̄x̄x̄MV̅DCCCXIII</t>
        </is>
      </c>
      <c r="C34814">
        <f>ROMAN(34813)</f>
        <v/>
      </c>
      <c r="D34814">
        <f>IF(B34814=C34814, "YES", "WRONG")</f>
        <v/>
      </c>
    </row>
    <row r="34815">
      <c r="A34815" t="n">
        <v>34814</v>
      </c>
      <c r="B34815" t="inlineStr">
        <is>
          <t>x̄x̄x̄MV̅DCCCXIV</t>
        </is>
      </c>
      <c r="C34815">
        <f>ROMAN(34814)</f>
        <v/>
      </c>
      <c r="D34815">
        <f>IF(B34815=C34815, "YES", "WRONG")</f>
        <v/>
      </c>
    </row>
    <row r="34816">
      <c r="A34816" t="n">
        <v>34815</v>
      </c>
      <c r="B34816" t="inlineStr">
        <is>
          <t>x̄x̄x̄MV̅DCCCXV</t>
        </is>
      </c>
      <c r="C34816">
        <f>ROMAN(34815)</f>
        <v/>
      </c>
      <c r="D34816">
        <f>IF(B34816=C34816, "YES", "WRONG")</f>
        <v/>
      </c>
    </row>
    <row r="34817">
      <c r="A34817" t="n">
        <v>34816</v>
      </c>
      <c r="B34817" t="inlineStr">
        <is>
          <t>x̄x̄x̄MV̅DCCCXVI</t>
        </is>
      </c>
      <c r="C34817">
        <f>ROMAN(34816)</f>
        <v/>
      </c>
      <c r="D34817">
        <f>IF(B34817=C34817, "YES", "WRONG")</f>
        <v/>
      </c>
    </row>
    <row r="34818">
      <c r="A34818" t="n">
        <v>34817</v>
      </c>
      <c r="B34818" t="inlineStr">
        <is>
          <t>x̄x̄x̄MV̅DCCCXVII</t>
        </is>
      </c>
      <c r="C34818">
        <f>ROMAN(34817)</f>
        <v/>
      </c>
      <c r="D34818">
        <f>IF(B34818=C34818, "YES", "WRONG")</f>
        <v/>
      </c>
    </row>
    <row r="34819">
      <c r="A34819" t="n">
        <v>34818</v>
      </c>
      <c r="B34819" t="inlineStr">
        <is>
          <t>x̄x̄x̄MV̅DCCCXVIII</t>
        </is>
      </c>
      <c r="C34819">
        <f>ROMAN(34818)</f>
        <v/>
      </c>
      <c r="D34819">
        <f>IF(B34819=C34819, "YES", "WRONG")</f>
        <v/>
      </c>
    </row>
    <row r="34820">
      <c r="A34820" t="n">
        <v>34819</v>
      </c>
      <c r="B34820" t="inlineStr">
        <is>
          <t>x̄x̄x̄MV̅DCCCXIX</t>
        </is>
      </c>
      <c r="C34820">
        <f>ROMAN(34819)</f>
        <v/>
      </c>
      <c r="D34820">
        <f>IF(B34820=C34820, "YES", "WRONG")</f>
        <v/>
      </c>
    </row>
    <row r="34821">
      <c r="A34821" t="n">
        <v>34820</v>
      </c>
      <c r="B34821" t="inlineStr">
        <is>
          <t>x̄x̄x̄MV̅DCCCXX</t>
        </is>
      </c>
      <c r="C34821">
        <f>ROMAN(34820)</f>
        <v/>
      </c>
      <c r="D34821">
        <f>IF(B34821=C34821, "YES", "WRONG")</f>
        <v/>
      </c>
    </row>
    <row r="34822">
      <c r="A34822" t="n">
        <v>34821</v>
      </c>
      <c r="B34822" t="inlineStr">
        <is>
          <t>x̄x̄x̄MV̅DCCCXXI</t>
        </is>
      </c>
      <c r="C34822">
        <f>ROMAN(34821)</f>
        <v/>
      </c>
      <c r="D34822">
        <f>IF(B34822=C34822, "YES", "WRONG")</f>
        <v/>
      </c>
    </row>
    <row r="34823">
      <c r="A34823" t="n">
        <v>34822</v>
      </c>
      <c r="B34823" t="inlineStr">
        <is>
          <t>x̄x̄x̄MV̅DCCCXXII</t>
        </is>
      </c>
      <c r="C34823">
        <f>ROMAN(34822)</f>
        <v/>
      </c>
      <c r="D34823">
        <f>IF(B34823=C34823, "YES", "WRONG")</f>
        <v/>
      </c>
    </row>
    <row r="34824">
      <c r="A34824" t="n">
        <v>34823</v>
      </c>
      <c r="B34824" t="inlineStr">
        <is>
          <t>x̄x̄x̄MV̅DCCCXXIII</t>
        </is>
      </c>
      <c r="C34824">
        <f>ROMAN(34823)</f>
        <v/>
      </c>
      <c r="D34824">
        <f>IF(B34824=C34824, "YES", "WRONG")</f>
        <v/>
      </c>
    </row>
    <row r="34825">
      <c r="A34825" t="n">
        <v>34824</v>
      </c>
      <c r="B34825" t="inlineStr">
        <is>
          <t>x̄x̄x̄MV̅DCCCXXIV</t>
        </is>
      </c>
      <c r="C34825">
        <f>ROMAN(34824)</f>
        <v/>
      </c>
      <c r="D34825">
        <f>IF(B34825=C34825, "YES", "WRONG")</f>
        <v/>
      </c>
    </row>
    <row r="34826">
      <c r="A34826" t="n">
        <v>34825</v>
      </c>
      <c r="B34826" t="inlineStr">
        <is>
          <t>x̄x̄x̄MV̅DCCCXXV</t>
        </is>
      </c>
      <c r="C34826">
        <f>ROMAN(34825)</f>
        <v/>
      </c>
      <c r="D34826">
        <f>IF(B34826=C34826, "YES", "WRONG")</f>
        <v/>
      </c>
    </row>
    <row r="34827">
      <c r="A34827" t="n">
        <v>34826</v>
      </c>
      <c r="B34827" t="inlineStr">
        <is>
          <t>x̄x̄x̄MV̅DCCCXXVI</t>
        </is>
      </c>
      <c r="C34827">
        <f>ROMAN(34826)</f>
        <v/>
      </c>
      <c r="D34827">
        <f>IF(B34827=C34827, "YES", "WRONG")</f>
        <v/>
      </c>
    </row>
    <row r="34828">
      <c r="A34828" t="n">
        <v>34827</v>
      </c>
      <c r="B34828" t="inlineStr">
        <is>
          <t>x̄x̄x̄MV̅DCCCXXVII</t>
        </is>
      </c>
      <c r="C34828">
        <f>ROMAN(34827)</f>
        <v/>
      </c>
      <c r="D34828">
        <f>IF(B34828=C34828, "YES", "WRONG")</f>
        <v/>
      </c>
    </row>
    <row r="34829">
      <c r="A34829" t="n">
        <v>34828</v>
      </c>
      <c r="B34829" t="inlineStr">
        <is>
          <t>x̄x̄x̄MV̅DCCCXXVIII</t>
        </is>
      </c>
      <c r="C34829">
        <f>ROMAN(34828)</f>
        <v/>
      </c>
      <c r="D34829">
        <f>IF(B34829=C34829, "YES", "WRONG")</f>
        <v/>
      </c>
    </row>
    <row r="34830">
      <c r="A34830" t="n">
        <v>34829</v>
      </c>
      <c r="B34830" t="inlineStr">
        <is>
          <t>x̄x̄x̄MV̅DCCCXXIX</t>
        </is>
      </c>
      <c r="C34830">
        <f>ROMAN(34829)</f>
        <v/>
      </c>
      <c r="D34830">
        <f>IF(B34830=C34830, "YES", "WRONG")</f>
        <v/>
      </c>
    </row>
    <row r="34831">
      <c r="A34831" t="n">
        <v>34830</v>
      </c>
      <c r="B34831" t="inlineStr">
        <is>
          <t>x̄x̄x̄MV̅DCCCXXX</t>
        </is>
      </c>
      <c r="C34831">
        <f>ROMAN(34830)</f>
        <v/>
      </c>
      <c r="D34831">
        <f>IF(B34831=C34831, "YES", "WRONG")</f>
        <v/>
      </c>
    </row>
    <row r="34832">
      <c r="A34832" t="n">
        <v>34831</v>
      </c>
      <c r="B34832" t="inlineStr">
        <is>
          <t>x̄x̄x̄MV̅DCCCXXXI</t>
        </is>
      </c>
      <c r="C34832">
        <f>ROMAN(34831)</f>
        <v/>
      </c>
      <c r="D34832">
        <f>IF(B34832=C34832, "YES", "WRONG")</f>
        <v/>
      </c>
    </row>
    <row r="34833">
      <c r="A34833" t="n">
        <v>34832</v>
      </c>
      <c r="B34833" t="inlineStr">
        <is>
          <t>x̄x̄x̄MV̅DCCCXXXII</t>
        </is>
      </c>
      <c r="C34833">
        <f>ROMAN(34832)</f>
        <v/>
      </c>
      <c r="D34833">
        <f>IF(B34833=C34833, "YES", "WRONG")</f>
        <v/>
      </c>
    </row>
    <row r="34834">
      <c r="A34834" t="n">
        <v>34833</v>
      </c>
      <c r="B34834" t="inlineStr">
        <is>
          <t>x̄x̄x̄MV̅DCCCXXXIII</t>
        </is>
      </c>
      <c r="C34834">
        <f>ROMAN(34833)</f>
        <v/>
      </c>
      <c r="D34834">
        <f>IF(B34834=C34834, "YES", "WRONG")</f>
        <v/>
      </c>
    </row>
    <row r="34835">
      <c r="A34835" t="n">
        <v>34834</v>
      </c>
      <c r="B34835" t="inlineStr">
        <is>
          <t>x̄x̄x̄MV̅DCCCXXXIV</t>
        </is>
      </c>
      <c r="C34835">
        <f>ROMAN(34834)</f>
        <v/>
      </c>
      <c r="D34835">
        <f>IF(B34835=C34835, "YES", "WRONG")</f>
        <v/>
      </c>
    </row>
    <row r="34836">
      <c r="A34836" t="n">
        <v>34835</v>
      </c>
      <c r="B34836" t="inlineStr">
        <is>
          <t>x̄x̄x̄MV̅DCCCXXXV</t>
        </is>
      </c>
      <c r="C34836">
        <f>ROMAN(34835)</f>
        <v/>
      </c>
      <c r="D34836">
        <f>IF(B34836=C34836, "YES", "WRONG")</f>
        <v/>
      </c>
    </row>
    <row r="34837">
      <c r="A34837" t="n">
        <v>34836</v>
      </c>
      <c r="B34837" t="inlineStr">
        <is>
          <t>x̄x̄x̄MV̅DCCCXXXVI</t>
        </is>
      </c>
      <c r="C34837">
        <f>ROMAN(34836)</f>
        <v/>
      </c>
      <c r="D34837">
        <f>IF(B34837=C34837, "YES", "WRONG")</f>
        <v/>
      </c>
    </row>
    <row r="34838">
      <c r="A34838" t="n">
        <v>34837</v>
      </c>
      <c r="B34838" t="inlineStr">
        <is>
          <t>x̄x̄x̄MV̅DCCCXXXVII</t>
        </is>
      </c>
      <c r="C34838">
        <f>ROMAN(34837)</f>
        <v/>
      </c>
      <c r="D34838">
        <f>IF(B34838=C34838, "YES", "WRONG")</f>
        <v/>
      </c>
    </row>
    <row r="34839">
      <c r="A34839" t="n">
        <v>34838</v>
      </c>
      <c r="B34839" t="inlineStr">
        <is>
          <t>x̄x̄x̄MV̅DCCCXXXVIII</t>
        </is>
      </c>
      <c r="C34839">
        <f>ROMAN(34838)</f>
        <v/>
      </c>
      <c r="D34839">
        <f>IF(B34839=C34839, "YES", "WRONG")</f>
        <v/>
      </c>
    </row>
    <row r="34840">
      <c r="A34840" t="n">
        <v>34839</v>
      </c>
      <c r="B34840" t="inlineStr">
        <is>
          <t>x̄x̄x̄MV̅DCCCXXXIX</t>
        </is>
      </c>
      <c r="C34840">
        <f>ROMAN(34839)</f>
        <v/>
      </c>
      <c r="D34840">
        <f>IF(B34840=C34840, "YES", "WRONG")</f>
        <v/>
      </c>
    </row>
    <row r="34841">
      <c r="A34841" t="n">
        <v>34840</v>
      </c>
      <c r="B34841" t="inlineStr">
        <is>
          <t>x̄x̄x̄MV̅DCCCXL</t>
        </is>
      </c>
      <c r="C34841">
        <f>ROMAN(34840)</f>
        <v/>
      </c>
      <c r="D34841">
        <f>IF(B34841=C34841, "YES", "WRONG")</f>
        <v/>
      </c>
    </row>
    <row r="34842">
      <c r="A34842" t="n">
        <v>34841</v>
      </c>
      <c r="B34842" t="inlineStr">
        <is>
          <t>x̄x̄x̄MV̅DCCCXLI</t>
        </is>
      </c>
      <c r="C34842">
        <f>ROMAN(34841)</f>
        <v/>
      </c>
      <c r="D34842">
        <f>IF(B34842=C34842, "YES", "WRONG")</f>
        <v/>
      </c>
    </row>
    <row r="34843">
      <c r="A34843" t="n">
        <v>34842</v>
      </c>
      <c r="B34843" t="inlineStr">
        <is>
          <t>x̄x̄x̄MV̅DCCCXLII</t>
        </is>
      </c>
      <c r="C34843">
        <f>ROMAN(34842)</f>
        <v/>
      </c>
      <c r="D34843">
        <f>IF(B34843=C34843, "YES", "WRONG")</f>
        <v/>
      </c>
    </row>
    <row r="34844">
      <c r="A34844" t="n">
        <v>34843</v>
      </c>
      <c r="B34844" t="inlineStr">
        <is>
          <t>x̄x̄x̄MV̅DCCCXLIII</t>
        </is>
      </c>
      <c r="C34844">
        <f>ROMAN(34843)</f>
        <v/>
      </c>
      <c r="D34844">
        <f>IF(B34844=C34844, "YES", "WRONG")</f>
        <v/>
      </c>
    </row>
    <row r="34845">
      <c r="A34845" t="n">
        <v>34844</v>
      </c>
      <c r="B34845" t="inlineStr">
        <is>
          <t>x̄x̄x̄MV̅DCCCXLIV</t>
        </is>
      </c>
      <c r="C34845">
        <f>ROMAN(34844)</f>
        <v/>
      </c>
      <c r="D34845">
        <f>IF(B34845=C34845, "YES", "WRONG")</f>
        <v/>
      </c>
    </row>
    <row r="34846">
      <c r="A34846" t="n">
        <v>34845</v>
      </c>
      <c r="B34846" t="inlineStr">
        <is>
          <t>x̄x̄x̄MV̅DCCCXLV</t>
        </is>
      </c>
      <c r="C34846">
        <f>ROMAN(34845)</f>
        <v/>
      </c>
      <c r="D34846">
        <f>IF(B34846=C34846, "YES", "WRONG")</f>
        <v/>
      </c>
    </row>
    <row r="34847">
      <c r="A34847" t="n">
        <v>34846</v>
      </c>
      <c r="B34847" t="inlineStr">
        <is>
          <t>x̄x̄x̄MV̅DCCCXLVI</t>
        </is>
      </c>
      <c r="C34847">
        <f>ROMAN(34846)</f>
        <v/>
      </c>
      <c r="D34847">
        <f>IF(B34847=C34847, "YES", "WRONG")</f>
        <v/>
      </c>
    </row>
    <row r="34848">
      <c r="A34848" t="n">
        <v>34847</v>
      </c>
      <c r="B34848" t="inlineStr">
        <is>
          <t>x̄x̄x̄MV̅DCCCXLVII</t>
        </is>
      </c>
      <c r="C34848">
        <f>ROMAN(34847)</f>
        <v/>
      </c>
      <c r="D34848">
        <f>IF(B34848=C34848, "YES", "WRONG")</f>
        <v/>
      </c>
    </row>
    <row r="34849">
      <c r="A34849" t="n">
        <v>34848</v>
      </c>
      <c r="B34849" t="inlineStr">
        <is>
          <t>x̄x̄x̄MV̅DCCCXLVIII</t>
        </is>
      </c>
      <c r="C34849">
        <f>ROMAN(34848)</f>
        <v/>
      </c>
      <c r="D34849">
        <f>IF(B34849=C34849, "YES", "WRONG")</f>
        <v/>
      </c>
    </row>
    <row r="34850">
      <c r="A34850" t="n">
        <v>34849</v>
      </c>
      <c r="B34850" t="inlineStr">
        <is>
          <t>x̄x̄x̄MV̅DCCCXLIX</t>
        </is>
      </c>
      <c r="C34850">
        <f>ROMAN(34849)</f>
        <v/>
      </c>
      <c r="D34850">
        <f>IF(B34850=C34850, "YES", "WRONG")</f>
        <v/>
      </c>
    </row>
    <row r="34851">
      <c r="A34851" t="n">
        <v>34850</v>
      </c>
      <c r="B34851" t="inlineStr">
        <is>
          <t>x̄x̄x̄MV̅DCCCL</t>
        </is>
      </c>
      <c r="C34851">
        <f>ROMAN(34850)</f>
        <v/>
      </c>
      <c r="D34851">
        <f>IF(B34851=C34851, "YES", "WRONG")</f>
        <v/>
      </c>
    </row>
    <row r="34852">
      <c r="A34852" t="n">
        <v>34851</v>
      </c>
      <c r="B34852" t="inlineStr">
        <is>
          <t>x̄x̄x̄MV̅DCCCLI</t>
        </is>
      </c>
      <c r="C34852">
        <f>ROMAN(34851)</f>
        <v/>
      </c>
      <c r="D34852">
        <f>IF(B34852=C34852, "YES", "WRONG")</f>
        <v/>
      </c>
    </row>
    <row r="34853">
      <c r="A34853" t="n">
        <v>34852</v>
      </c>
      <c r="B34853" t="inlineStr">
        <is>
          <t>x̄x̄x̄MV̅DCCCLII</t>
        </is>
      </c>
      <c r="C34853">
        <f>ROMAN(34852)</f>
        <v/>
      </c>
      <c r="D34853">
        <f>IF(B34853=C34853, "YES", "WRONG")</f>
        <v/>
      </c>
    </row>
    <row r="34854">
      <c r="A34854" t="n">
        <v>34853</v>
      </c>
      <c r="B34854" t="inlineStr">
        <is>
          <t>x̄x̄x̄MV̅DCCCLIII</t>
        </is>
      </c>
      <c r="C34854">
        <f>ROMAN(34853)</f>
        <v/>
      </c>
      <c r="D34854">
        <f>IF(B34854=C34854, "YES", "WRONG")</f>
        <v/>
      </c>
    </row>
    <row r="34855">
      <c r="A34855" t="n">
        <v>34854</v>
      </c>
      <c r="B34855" t="inlineStr">
        <is>
          <t>x̄x̄x̄MV̅DCCCLIV</t>
        </is>
      </c>
      <c r="C34855">
        <f>ROMAN(34854)</f>
        <v/>
      </c>
      <c r="D34855">
        <f>IF(B34855=C34855, "YES", "WRONG")</f>
        <v/>
      </c>
    </row>
    <row r="34856">
      <c r="A34856" t="n">
        <v>34855</v>
      </c>
      <c r="B34856" t="inlineStr">
        <is>
          <t>x̄x̄x̄MV̅DCCCLV</t>
        </is>
      </c>
      <c r="C34856">
        <f>ROMAN(34855)</f>
        <v/>
      </c>
      <c r="D34856">
        <f>IF(B34856=C34856, "YES", "WRONG")</f>
        <v/>
      </c>
    </row>
    <row r="34857">
      <c r="A34857" t="n">
        <v>34856</v>
      </c>
      <c r="B34857" t="inlineStr">
        <is>
          <t>x̄x̄x̄MV̅DCCCLVI</t>
        </is>
      </c>
      <c r="C34857">
        <f>ROMAN(34856)</f>
        <v/>
      </c>
      <c r="D34857">
        <f>IF(B34857=C34857, "YES", "WRONG")</f>
        <v/>
      </c>
    </row>
    <row r="34858">
      <c r="A34858" t="n">
        <v>34857</v>
      </c>
      <c r="B34858" t="inlineStr">
        <is>
          <t>x̄x̄x̄MV̅DCCCLVII</t>
        </is>
      </c>
      <c r="C34858">
        <f>ROMAN(34857)</f>
        <v/>
      </c>
      <c r="D34858">
        <f>IF(B34858=C34858, "YES", "WRONG")</f>
        <v/>
      </c>
    </row>
    <row r="34859">
      <c r="A34859" t="n">
        <v>34858</v>
      </c>
      <c r="B34859" t="inlineStr">
        <is>
          <t>x̄x̄x̄MV̅DCCCLVIII</t>
        </is>
      </c>
      <c r="C34859">
        <f>ROMAN(34858)</f>
        <v/>
      </c>
      <c r="D34859">
        <f>IF(B34859=C34859, "YES", "WRONG")</f>
        <v/>
      </c>
    </row>
    <row r="34860">
      <c r="A34860" t="n">
        <v>34859</v>
      </c>
      <c r="B34860" t="inlineStr">
        <is>
          <t>x̄x̄x̄MV̅DCCCLIX</t>
        </is>
      </c>
      <c r="C34860">
        <f>ROMAN(34859)</f>
        <v/>
      </c>
      <c r="D34860">
        <f>IF(B34860=C34860, "YES", "WRONG")</f>
        <v/>
      </c>
    </row>
    <row r="34861">
      <c r="A34861" t="n">
        <v>34860</v>
      </c>
      <c r="B34861" t="inlineStr">
        <is>
          <t>x̄x̄x̄MV̅DCCCLX</t>
        </is>
      </c>
      <c r="C34861">
        <f>ROMAN(34860)</f>
        <v/>
      </c>
      <c r="D34861">
        <f>IF(B34861=C34861, "YES", "WRONG")</f>
        <v/>
      </c>
    </row>
    <row r="34862">
      <c r="A34862" t="n">
        <v>34861</v>
      </c>
      <c r="B34862" t="inlineStr">
        <is>
          <t>x̄x̄x̄MV̅DCCCLXI</t>
        </is>
      </c>
      <c r="C34862">
        <f>ROMAN(34861)</f>
        <v/>
      </c>
      <c r="D34862">
        <f>IF(B34862=C34862, "YES", "WRONG")</f>
        <v/>
      </c>
    </row>
    <row r="34863">
      <c r="A34863" t="n">
        <v>34862</v>
      </c>
      <c r="B34863" t="inlineStr">
        <is>
          <t>x̄x̄x̄MV̅DCCCLXII</t>
        </is>
      </c>
      <c r="C34863">
        <f>ROMAN(34862)</f>
        <v/>
      </c>
      <c r="D34863">
        <f>IF(B34863=C34863, "YES", "WRONG")</f>
        <v/>
      </c>
    </row>
    <row r="34864">
      <c r="A34864" t="n">
        <v>34863</v>
      </c>
      <c r="B34864" t="inlineStr">
        <is>
          <t>x̄x̄x̄MV̅DCCCLXIII</t>
        </is>
      </c>
      <c r="C34864">
        <f>ROMAN(34863)</f>
        <v/>
      </c>
      <c r="D34864">
        <f>IF(B34864=C34864, "YES", "WRONG")</f>
        <v/>
      </c>
    </row>
    <row r="34865">
      <c r="A34865" t="n">
        <v>34864</v>
      </c>
      <c r="B34865" t="inlineStr">
        <is>
          <t>x̄x̄x̄MV̅DCCCLXIV</t>
        </is>
      </c>
      <c r="C34865">
        <f>ROMAN(34864)</f>
        <v/>
      </c>
      <c r="D34865">
        <f>IF(B34865=C34865, "YES", "WRONG")</f>
        <v/>
      </c>
    </row>
    <row r="34866">
      <c r="A34866" t="n">
        <v>34865</v>
      </c>
      <c r="B34866" t="inlineStr">
        <is>
          <t>x̄x̄x̄MV̅DCCCLXV</t>
        </is>
      </c>
      <c r="C34866">
        <f>ROMAN(34865)</f>
        <v/>
      </c>
      <c r="D34866">
        <f>IF(B34866=C34866, "YES", "WRONG")</f>
        <v/>
      </c>
    </row>
    <row r="34867">
      <c r="A34867" t="n">
        <v>34866</v>
      </c>
      <c r="B34867" t="inlineStr">
        <is>
          <t>x̄x̄x̄MV̅DCCCLXVI</t>
        </is>
      </c>
      <c r="C34867">
        <f>ROMAN(34866)</f>
        <v/>
      </c>
      <c r="D34867">
        <f>IF(B34867=C34867, "YES", "WRONG")</f>
        <v/>
      </c>
    </row>
    <row r="34868">
      <c r="A34868" t="n">
        <v>34867</v>
      </c>
      <c r="B34868" t="inlineStr">
        <is>
          <t>x̄x̄x̄MV̅DCCCLXVII</t>
        </is>
      </c>
      <c r="C34868">
        <f>ROMAN(34867)</f>
        <v/>
      </c>
      <c r="D34868">
        <f>IF(B34868=C34868, "YES", "WRONG")</f>
        <v/>
      </c>
    </row>
    <row r="34869">
      <c r="A34869" t="n">
        <v>34868</v>
      </c>
      <c r="B34869" t="inlineStr">
        <is>
          <t>x̄x̄x̄MV̅DCCCLXVIII</t>
        </is>
      </c>
      <c r="C34869">
        <f>ROMAN(34868)</f>
        <v/>
      </c>
      <c r="D34869">
        <f>IF(B34869=C34869, "YES", "WRONG")</f>
        <v/>
      </c>
    </row>
    <row r="34870">
      <c r="A34870" t="n">
        <v>34869</v>
      </c>
      <c r="B34870" t="inlineStr">
        <is>
          <t>x̄x̄x̄MV̅DCCCLXIX</t>
        </is>
      </c>
      <c r="C34870">
        <f>ROMAN(34869)</f>
        <v/>
      </c>
      <c r="D34870">
        <f>IF(B34870=C34870, "YES", "WRONG")</f>
        <v/>
      </c>
    </row>
    <row r="34871">
      <c r="A34871" t="n">
        <v>34870</v>
      </c>
      <c r="B34871" t="inlineStr">
        <is>
          <t>x̄x̄x̄MV̅DCCCLXX</t>
        </is>
      </c>
      <c r="C34871">
        <f>ROMAN(34870)</f>
        <v/>
      </c>
      <c r="D34871">
        <f>IF(B34871=C34871, "YES", "WRONG")</f>
        <v/>
      </c>
    </row>
    <row r="34872">
      <c r="A34872" t="n">
        <v>34871</v>
      </c>
      <c r="B34872" t="inlineStr">
        <is>
          <t>x̄x̄x̄MV̅DCCCLXXI</t>
        </is>
      </c>
      <c r="C34872">
        <f>ROMAN(34871)</f>
        <v/>
      </c>
      <c r="D34872">
        <f>IF(B34872=C34872, "YES", "WRONG")</f>
        <v/>
      </c>
    </row>
    <row r="34873">
      <c r="A34873" t="n">
        <v>34872</v>
      </c>
      <c r="B34873" t="inlineStr">
        <is>
          <t>x̄x̄x̄MV̅DCCCLXXII</t>
        </is>
      </c>
      <c r="C34873">
        <f>ROMAN(34872)</f>
        <v/>
      </c>
      <c r="D34873">
        <f>IF(B34873=C34873, "YES", "WRONG")</f>
        <v/>
      </c>
    </row>
    <row r="34874">
      <c r="A34874" t="n">
        <v>34873</v>
      </c>
      <c r="B34874" t="inlineStr">
        <is>
          <t>x̄x̄x̄MV̅DCCCLXXIII</t>
        </is>
      </c>
      <c r="C34874">
        <f>ROMAN(34873)</f>
        <v/>
      </c>
      <c r="D34874">
        <f>IF(B34874=C34874, "YES", "WRONG")</f>
        <v/>
      </c>
    </row>
    <row r="34875">
      <c r="A34875" t="n">
        <v>34874</v>
      </c>
      <c r="B34875" t="inlineStr">
        <is>
          <t>x̄x̄x̄MV̅DCCCLXXIV</t>
        </is>
      </c>
      <c r="C34875">
        <f>ROMAN(34874)</f>
        <v/>
      </c>
      <c r="D34875">
        <f>IF(B34875=C34875, "YES", "WRONG")</f>
        <v/>
      </c>
    </row>
    <row r="34876">
      <c r="A34876" t="n">
        <v>34875</v>
      </c>
      <c r="B34876" t="inlineStr">
        <is>
          <t>x̄x̄x̄MV̅DCCCLXXV</t>
        </is>
      </c>
      <c r="C34876">
        <f>ROMAN(34875)</f>
        <v/>
      </c>
      <c r="D34876">
        <f>IF(B34876=C34876, "YES", "WRONG")</f>
        <v/>
      </c>
    </row>
    <row r="34877">
      <c r="A34877" t="n">
        <v>34876</v>
      </c>
      <c r="B34877" t="inlineStr">
        <is>
          <t>x̄x̄x̄MV̅DCCCLXXVI</t>
        </is>
      </c>
      <c r="C34877">
        <f>ROMAN(34876)</f>
        <v/>
      </c>
      <c r="D34877">
        <f>IF(B34877=C34877, "YES", "WRONG")</f>
        <v/>
      </c>
    </row>
    <row r="34878">
      <c r="A34878" t="n">
        <v>34877</v>
      </c>
      <c r="B34878" t="inlineStr">
        <is>
          <t>x̄x̄x̄MV̅DCCCLXXVII</t>
        </is>
      </c>
      <c r="C34878">
        <f>ROMAN(34877)</f>
        <v/>
      </c>
      <c r="D34878">
        <f>IF(B34878=C34878, "YES", "WRONG")</f>
        <v/>
      </c>
    </row>
    <row r="34879">
      <c r="A34879" t="n">
        <v>34878</v>
      </c>
      <c r="B34879" t="inlineStr">
        <is>
          <t>x̄x̄x̄MV̅DCCCLXXVIII</t>
        </is>
      </c>
      <c r="C34879">
        <f>ROMAN(34878)</f>
        <v/>
      </c>
      <c r="D34879">
        <f>IF(B34879=C34879, "YES", "WRONG")</f>
        <v/>
      </c>
    </row>
    <row r="34880">
      <c r="A34880" t="n">
        <v>34879</v>
      </c>
      <c r="B34880" t="inlineStr">
        <is>
          <t>x̄x̄x̄MV̅DCCCLXXIX</t>
        </is>
      </c>
      <c r="C34880">
        <f>ROMAN(34879)</f>
        <v/>
      </c>
      <c r="D34880">
        <f>IF(B34880=C34880, "YES", "WRONG")</f>
        <v/>
      </c>
    </row>
    <row r="34881">
      <c r="A34881" t="n">
        <v>34880</v>
      </c>
      <c r="B34881" t="inlineStr">
        <is>
          <t>x̄x̄x̄MV̅DCCCLXXX</t>
        </is>
      </c>
      <c r="C34881">
        <f>ROMAN(34880)</f>
        <v/>
      </c>
      <c r="D34881">
        <f>IF(B34881=C34881, "YES", "WRONG")</f>
        <v/>
      </c>
    </row>
    <row r="34882">
      <c r="A34882" t="n">
        <v>34881</v>
      </c>
      <c r="B34882" t="inlineStr">
        <is>
          <t>x̄x̄x̄MV̅DCCCLXXXI</t>
        </is>
      </c>
      <c r="C34882">
        <f>ROMAN(34881)</f>
        <v/>
      </c>
      <c r="D34882">
        <f>IF(B34882=C34882, "YES", "WRONG")</f>
        <v/>
      </c>
    </row>
    <row r="34883">
      <c r="A34883" t="n">
        <v>34882</v>
      </c>
      <c r="B34883" t="inlineStr">
        <is>
          <t>x̄x̄x̄MV̅DCCCLXXXII</t>
        </is>
      </c>
      <c r="C34883">
        <f>ROMAN(34882)</f>
        <v/>
      </c>
      <c r="D34883">
        <f>IF(B34883=C34883, "YES", "WRONG")</f>
        <v/>
      </c>
    </row>
    <row r="34884">
      <c r="A34884" t="n">
        <v>34883</v>
      </c>
      <c r="B34884" t="inlineStr">
        <is>
          <t>x̄x̄x̄MV̅DCCCLXXXIII</t>
        </is>
      </c>
      <c r="C34884">
        <f>ROMAN(34883)</f>
        <v/>
      </c>
      <c r="D34884">
        <f>IF(B34884=C34884, "YES", "WRONG")</f>
        <v/>
      </c>
    </row>
    <row r="34885">
      <c r="A34885" t="n">
        <v>34884</v>
      </c>
      <c r="B34885" t="inlineStr">
        <is>
          <t>x̄x̄x̄MV̅DCCCLXXXIV</t>
        </is>
      </c>
      <c r="C34885">
        <f>ROMAN(34884)</f>
        <v/>
      </c>
      <c r="D34885">
        <f>IF(B34885=C34885, "YES", "WRONG")</f>
        <v/>
      </c>
    </row>
    <row r="34886">
      <c r="A34886" t="n">
        <v>34885</v>
      </c>
      <c r="B34886" t="inlineStr">
        <is>
          <t>x̄x̄x̄MV̅DCCCLXXXV</t>
        </is>
      </c>
      <c r="C34886">
        <f>ROMAN(34885)</f>
        <v/>
      </c>
      <c r="D34886">
        <f>IF(B34886=C34886, "YES", "WRONG")</f>
        <v/>
      </c>
    </row>
    <row r="34887">
      <c r="A34887" t="n">
        <v>34886</v>
      </c>
      <c r="B34887" t="inlineStr">
        <is>
          <t>x̄x̄x̄MV̅DCCCLXXXVI</t>
        </is>
      </c>
      <c r="C34887">
        <f>ROMAN(34886)</f>
        <v/>
      </c>
      <c r="D34887">
        <f>IF(B34887=C34887, "YES", "WRONG")</f>
        <v/>
      </c>
    </row>
    <row r="34888">
      <c r="A34888" t="n">
        <v>34887</v>
      </c>
      <c r="B34888" t="inlineStr">
        <is>
          <t>x̄x̄x̄MV̅DCCCLXXXVII</t>
        </is>
      </c>
      <c r="C34888">
        <f>ROMAN(34887)</f>
        <v/>
      </c>
      <c r="D34888">
        <f>IF(B34888=C34888, "YES", "WRONG")</f>
        <v/>
      </c>
    </row>
    <row r="34889">
      <c r="A34889" t="n">
        <v>34888</v>
      </c>
      <c r="B34889" t="inlineStr">
        <is>
          <t>x̄x̄x̄MV̅DCCCLXXXVIII</t>
        </is>
      </c>
      <c r="C34889">
        <f>ROMAN(34888)</f>
        <v/>
      </c>
      <c r="D34889">
        <f>IF(B34889=C34889, "YES", "WRONG")</f>
        <v/>
      </c>
    </row>
    <row r="34890">
      <c r="A34890" t="n">
        <v>34889</v>
      </c>
      <c r="B34890" t="inlineStr">
        <is>
          <t>x̄x̄x̄MV̅DCCCLXXXIX</t>
        </is>
      </c>
      <c r="C34890">
        <f>ROMAN(34889)</f>
        <v/>
      </c>
      <c r="D34890">
        <f>IF(B34890=C34890, "YES", "WRONG")</f>
        <v/>
      </c>
    </row>
    <row r="34891">
      <c r="A34891" t="n">
        <v>34890</v>
      </c>
      <c r="B34891" t="inlineStr">
        <is>
          <t>x̄x̄x̄MV̅DCCCXC</t>
        </is>
      </c>
      <c r="C34891">
        <f>ROMAN(34890)</f>
        <v/>
      </c>
      <c r="D34891">
        <f>IF(B34891=C34891, "YES", "WRONG")</f>
        <v/>
      </c>
    </row>
    <row r="34892">
      <c r="A34892" t="n">
        <v>34891</v>
      </c>
      <c r="B34892" t="inlineStr">
        <is>
          <t>x̄x̄x̄MV̅DCCCXCI</t>
        </is>
      </c>
      <c r="C34892">
        <f>ROMAN(34891)</f>
        <v/>
      </c>
      <c r="D34892">
        <f>IF(B34892=C34892, "YES", "WRONG")</f>
        <v/>
      </c>
    </row>
    <row r="34893">
      <c r="A34893" t="n">
        <v>34892</v>
      </c>
      <c r="B34893" t="inlineStr">
        <is>
          <t>x̄x̄x̄MV̅DCCCXCII</t>
        </is>
      </c>
      <c r="C34893">
        <f>ROMAN(34892)</f>
        <v/>
      </c>
      <c r="D34893">
        <f>IF(B34893=C34893, "YES", "WRONG")</f>
        <v/>
      </c>
    </row>
    <row r="34894">
      <c r="A34894" t="n">
        <v>34893</v>
      </c>
      <c r="B34894" t="inlineStr">
        <is>
          <t>x̄x̄x̄MV̅DCCCXCIII</t>
        </is>
      </c>
      <c r="C34894">
        <f>ROMAN(34893)</f>
        <v/>
      </c>
      <c r="D34894">
        <f>IF(B34894=C34894, "YES", "WRONG")</f>
        <v/>
      </c>
    </row>
    <row r="34895">
      <c r="A34895" t="n">
        <v>34894</v>
      </c>
      <c r="B34895" t="inlineStr">
        <is>
          <t>x̄x̄x̄MV̅DCCCXCIV</t>
        </is>
      </c>
      <c r="C34895">
        <f>ROMAN(34894)</f>
        <v/>
      </c>
      <c r="D34895">
        <f>IF(B34895=C34895, "YES", "WRONG")</f>
        <v/>
      </c>
    </row>
    <row r="34896">
      <c r="A34896" t="n">
        <v>34895</v>
      </c>
      <c r="B34896" t="inlineStr">
        <is>
          <t>x̄x̄x̄MV̅DCCCXCV</t>
        </is>
      </c>
      <c r="C34896">
        <f>ROMAN(34895)</f>
        <v/>
      </c>
      <c r="D34896">
        <f>IF(B34896=C34896, "YES", "WRONG")</f>
        <v/>
      </c>
    </row>
    <row r="34897">
      <c r="A34897" t="n">
        <v>34896</v>
      </c>
      <c r="B34897" t="inlineStr">
        <is>
          <t>x̄x̄x̄MV̅DCCCXCVI</t>
        </is>
      </c>
      <c r="C34897">
        <f>ROMAN(34896)</f>
        <v/>
      </c>
      <c r="D34897">
        <f>IF(B34897=C34897, "YES", "WRONG")</f>
        <v/>
      </c>
    </row>
    <row r="34898">
      <c r="A34898" t="n">
        <v>34897</v>
      </c>
      <c r="B34898" t="inlineStr">
        <is>
          <t>x̄x̄x̄MV̅DCCCXCVII</t>
        </is>
      </c>
      <c r="C34898">
        <f>ROMAN(34897)</f>
        <v/>
      </c>
      <c r="D34898">
        <f>IF(B34898=C34898, "YES", "WRONG")</f>
        <v/>
      </c>
    </row>
    <row r="34899">
      <c r="A34899" t="n">
        <v>34898</v>
      </c>
      <c r="B34899" t="inlineStr">
        <is>
          <t>x̄x̄x̄MV̅DCCCXCVIII</t>
        </is>
      </c>
      <c r="C34899">
        <f>ROMAN(34898)</f>
        <v/>
      </c>
      <c r="D34899">
        <f>IF(B34899=C34899, "YES", "WRONG")</f>
        <v/>
      </c>
    </row>
    <row r="34900">
      <c r="A34900" t="n">
        <v>34899</v>
      </c>
      <c r="B34900" t="inlineStr">
        <is>
          <t>x̄x̄x̄MV̅DCCCXCIX</t>
        </is>
      </c>
      <c r="C34900">
        <f>ROMAN(34899)</f>
        <v/>
      </c>
      <c r="D34900">
        <f>IF(B34900=C34900, "YES", "WRONG")</f>
        <v/>
      </c>
    </row>
    <row r="34901">
      <c r="A34901" t="n">
        <v>34900</v>
      </c>
      <c r="B34901" t="inlineStr">
        <is>
          <t>x̄x̄x̄MV̅CM</t>
        </is>
      </c>
      <c r="C34901">
        <f>ROMAN(34900)</f>
        <v/>
      </c>
      <c r="D34901">
        <f>IF(B34901=C34901, "YES", "WRONG")</f>
        <v/>
      </c>
    </row>
    <row r="34902">
      <c r="A34902" t="n">
        <v>34901</v>
      </c>
      <c r="B34902" t="inlineStr">
        <is>
          <t>x̄x̄x̄MV̅CMI</t>
        </is>
      </c>
      <c r="C34902">
        <f>ROMAN(34901)</f>
        <v/>
      </c>
      <c r="D34902">
        <f>IF(B34902=C34902, "YES", "WRONG")</f>
        <v/>
      </c>
    </row>
    <row r="34903">
      <c r="A34903" t="n">
        <v>34902</v>
      </c>
      <c r="B34903" t="inlineStr">
        <is>
          <t>x̄x̄x̄MV̅CMII</t>
        </is>
      </c>
      <c r="C34903">
        <f>ROMAN(34902)</f>
        <v/>
      </c>
      <c r="D34903">
        <f>IF(B34903=C34903, "YES", "WRONG")</f>
        <v/>
      </c>
    </row>
    <row r="34904">
      <c r="A34904" t="n">
        <v>34903</v>
      </c>
      <c r="B34904" t="inlineStr">
        <is>
          <t>x̄x̄x̄MV̅CMIII</t>
        </is>
      </c>
      <c r="C34904">
        <f>ROMAN(34903)</f>
        <v/>
      </c>
      <c r="D34904">
        <f>IF(B34904=C34904, "YES", "WRONG")</f>
        <v/>
      </c>
    </row>
    <row r="34905">
      <c r="A34905" t="n">
        <v>34904</v>
      </c>
      <c r="B34905" t="inlineStr">
        <is>
          <t>x̄x̄x̄MV̅CMIV</t>
        </is>
      </c>
      <c r="C34905">
        <f>ROMAN(34904)</f>
        <v/>
      </c>
      <c r="D34905">
        <f>IF(B34905=C34905, "YES", "WRONG")</f>
        <v/>
      </c>
    </row>
    <row r="34906">
      <c r="A34906" t="n">
        <v>34905</v>
      </c>
      <c r="B34906" t="inlineStr">
        <is>
          <t>x̄x̄x̄MV̅CMV</t>
        </is>
      </c>
      <c r="C34906">
        <f>ROMAN(34905)</f>
        <v/>
      </c>
      <c r="D34906">
        <f>IF(B34906=C34906, "YES", "WRONG")</f>
        <v/>
      </c>
    </row>
    <row r="34907">
      <c r="A34907" t="n">
        <v>34906</v>
      </c>
      <c r="B34907" t="inlineStr">
        <is>
          <t>x̄x̄x̄MV̅CMVI</t>
        </is>
      </c>
      <c r="C34907">
        <f>ROMAN(34906)</f>
        <v/>
      </c>
      <c r="D34907">
        <f>IF(B34907=C34907, "YES", "WRONG")</f>
        <v/>
      </c>
    </row>
    <row r="34908">
      <c r="A34908" t="n">
        <v>34907</v>
      </c>
      <c r="B34908" t="inlineStr">
        <is>
          <t>x̄x̄x̄MV̅CMVII</t>
        </is>
      </c>
      <c r="C34908">
        <f>ROMAN(34907)</f>
        <v/>
      </c>
      <c r="D34908">
        <f>IF(B34908=C34908, "YES", "WRONG")</f>
        <v/>
      </c>
    </row>
    <row r="34909">
      <c r="A34909" t="n">
        <v>34908</v>
      </c>
      <c r="B34909" t="inlineStr">
        <is>
          <t>x̄x̄x̄MV̅CMVIII</t>
        </is>
      </c>
      <c r="C34909">
        <f>ROMAN(34908)</f>
        <v/>
      </c>
      <c r="D34909">
        <f>IF(B34909=C34909, "YES", "WRONG")</f>
        <v/>
      </c>
    </row>
    <row r="34910">
      <c r="A34910" t="n">
        <v>34909</v>
      </c>
      <c r="B34910" t="inlineStr">
        <is>
          <t>x̄x̄x̄MV̅CMIX</t>
        </is>
      </c>
      <c r="C34910">
        <f>ROMAN(34909)</f>
        <v/>
      </c>
      <c r="D34910">
        <f>IF(B34910=C34910, "YES", "WRONG")</f>
        <v/>
      </c>
    </row>
    <row r="34911">
      <c r="A34911" t="n">
        <v>34910</v>
      </c>
      <c r="B34911" t="inlineStr">
        <is>
          <t>x̄x̄x̄MV̅CMX</t>
        </is>
      </c>
      <c r="C34911">
        <f>ROMAN(34910)</f>
        <v/>
      </c>
      <c r="D34911">
        <f>IF(B34911=C34911, "YES", "WRONG")</f>
        <v/>
      </c>
    </row>
    <row r="34912">
      <c r="A34912" t="n">
        <v>34911</v>
      </c>
      <c r="B34912" t="inlineStr">
        <is>
          <t>x̄x̄x̄MV̅CMXI</t>
        </is>
      </c>
      <c r="C34912">
        <f>ROMAN(34911)</f>
        <v/>
      </c>
      <c r="D34912">
        <f>IF(B34912=C34912, "YES", "WRONG")</f>
        <v/>
      </c>
    </row>
    <row r="34913">
      <c r="A34913" t="n">
        <v>34912</v>
      </c>
      <c r="B34913" t="inlineStr">
        <is>
          <t>x̄x̄x̄MV̅CMXII</t>
        </is>
      </c>
      <c r="C34913">
        <f>ROMAN(34912)</f>
        <v/>
      </c>
      <c r="D34913">
        <f>IF(B34913=C34913, "YES", "WRONG")</f>
        <v/>
      </c>
    </row>
    <row r="34914">
      <c r="A34914" t="n">
        <v>34913</v>
      </c>
      <c r="B34914" t="inlineStr">
        <is>
          <t>x̄x̄x̄MV̅CMXIII</t>
        </is>
      </c>
      <c r="C34914">
        <f>ROMAN(34913)</f>
        <v/>
      </c>
      <c r="D34914">
        <f>IF(B34914=C34914, "YES", "WRONG")</f>
        <v/>
      </c>
    </row>
    <row r="34915">
      <c r="A34915" t="n">
        <v>34914</v>
      </c>
      <c r="B34915" t="inlineStr">
        <is>
          <t>x̄x̄x̄MV̅CMXIV</t>
        </is>
      </c>
      <c r="C34915">
        <f>ROMAN(34914)</f>
        <v/>
      </c>
      <c r="D34915">
        <f>IF(B34915=C34915, "YES", "WRONG")</f>
        <v/>
      </c>
    </row>
    <row r="34916">
      <c r="A34916" t="n">
        <v>34915</v>
      </c>
      <c r="B34916" t="inlineStr">
        <is>
          <t>x̄x̄x̄MV̅CMXV</t>
        </is>
      </c>
      <c r="C34916">
        <f>ROMAN(34915)</f>
        <v/>
      </c>
      <c r="D34916">
        <f>IF(B34916=C34916, "YES", "WRONG")</f>
        <v/>
      </c>
    </row>
    <row r="34917">
      <c r="A34917" t="n">
        <v>34916</v>
      </c>
      <c r="B34917" t="inlineStr">
        <is>
          <t>x̄x̄x̄MV̅CMXVI</t>
        </is>
      </c>
      <c r="C34917">
        <f>ROMAN(34916)</f>
        <v/>
      </c>
      <c r="D34917">
        <f>IF(B34917=C34917, "YES", "WRONG")</f>
        <v/>
      </c>
    </row>
    <row r="34918">
      <c r="A34918" t="n">
        <v>34917</v>
      </c>
      <c r="B34918" t="inlineStr">
        <is>
          <t>x̄x̄x̄MV̅CMXVII</t>
        </is>
      </c>
      <c r="C34918">
        <f>ROMAN(34917)</f>
        <v/>
      </c>
      <c r="D34918">
        <f>IF(B34918=C34918, "YES", "WRONG")</f>
        <v/>
      </c>
    </row>
    <row r="34919">
      <c r="A34919" t="n">
        <v>34918</v>
      </c>
      <c r="B34919" t="inlineStr">
        <is>
          <t>x̄x̄x̄MV̅CMXVIII</t>
        </is>
      </c>
      <c r="C34919">
        <f>ROMAN(34918)</f>
        <v/>
      </c>
      <c r="D34919">
        <f>IF(B34919=C34919, "YES", "WRONG")</f>
        <v/>
      </c>
    </row>
    <row r="34920">
      <c r="A34920" t="n">
        <v>34919</v>
      </c>
      <c r="B34920" t="inlineStr">
        <is>
          <t>x̄x̄x̄MV̅CMXIX</t>
        </is>
      </c>
      <c r="C34920">
        <f>ROMAN(34919)</f>
        <v/>
      </c>
      <c r="D34920">
        <f>IF(B34920=C34920, "YES", "WRONG")</f>
        <v/>
      </c>
    </row>
    <row r="34921">
      <c r="A34921" t="n">
        <v>34920</v>
      </c>
      <c r="B34921" t="inlineStr">
        <is>
          <t>x̄x̄x̄MV̅CMXX</t>
        </is>
      </c>
      <c r="C34921">
        <f>ROMAN(34920)</f>
        <v/>
      </c>
      <c r="D34921">
        <f>IF(B34921=C34921, "YES", "WRONG")</f>
        <v/>
      </c>
    </row>
    <row r="34922">
      <c r="A34922" t="n">
        <v>34921</v>
      </c>
      <c r="B34922" t="inlineStr">
        <is>
          <t>x̄x̄x̄MV̅CMXXI</t>
        </is>
      </c>
      <c r="C34922">
        <f>ROMAN(34921)</f>
        <v/>
      </c>
      <c r="D34922">
        <f>IF(B34922=C34922, "YES", "WRONG")</f>
        <v/>
      </c>
    </row>
    <row r="34923">
      <c r="A34923" t="n">
        <v>34922</v>
      </c>
      <c r="B34923" t="inlineStr">
        <is>
          <t>x̄x̄x̄MV̅CMXXII</t>
        </is>
      </c>
      <c r="C34923">
        <f>ROMAN(34922)</f>
        <v/>
      </c>
      <c r="D34923">
        <f>IF(B34923=C34923, "YES", "WRONG")</f>
        <v/>
      </c>
    </row>
    <row r="34924">
      <c r="A34924" t="n">
        <v>34923</v>
      </c>
      <c r="B34924" t="inlineStr">
        <is>
          <t>x̄x̄x̄MV̅CMXXIII</t>
        </is>
      </c>
      <c r="C34924">
        <f>ROMAN(34923)</f>
        <v/>
      </c>
      <c r="D34924">
        <f>IF(B34924=C34924, "YES", "WRONG")</f>
        <v/>
      </c>
    </row>
    <row r="34925">
      <c r="A34925" t="n">
        <v>34924</v>
      </c>
      <c r="B34925" t="inlineStr">
        <is>
          <t>x̄x̄x̄MV̅CMXXIV</t>
        </is>
      </c>
      <c r="C34925">
        <f>ROMAN(34924)</f>
        <v/>
      </c>
      <c r="D34925">
        <f>IF(B34925=C34925, "YES", "WRONG")</f>
        <v/>
      </c>
    </row>
    <row r="34926">
      <c r="A34926" t="n">
        <v>34925</v>
      </c>
      <c r="B34926" t="inlineStr">
        <is>
          <t>x̄x̄x̄MV̅CMXXV</t>
        </is>
      </c>
      <c r="C34926">
        <f>ROMAN(34925)</f>
        <v/>
      </c>
      <c r="D34926">
        <f>IF(B34926=C34926, "YES", "WRONG")</f>
        <v/>
      </c>
    </row>
    <row r="34927">
      <c r="A34927" t="n">
        <v>34926</v>
      </c>
      <c r="B34927" t="inlineStr">
        <is>
          <t>x̄x̄x̄MV̅CMXXVI</t>
        </is>
      </c>
      <c r="C34927">
        <f>ROMAN(34926)</f>
        <v/>
      </c>
      <c r="D34927">
        <f>IF(B34927=C34927, "YES", "WRONG")</f>
        <v/>
      </c>
    </row>
    <row r="34928">
      <c r="A34928" t="n">
        <v>34927</v>
      </c>
      <c r="B34928" t="inlineStr">
        <is>
          <t>x̄x̄x̄MV̅CMXXVII</t>
        </is>
      </c>
      <c r="C34928">
        <f>ROMAN(34927)</f>
        <v/>
      </c>
      <c r="D34928">
        <f>IF(B34928=C34928, "YES", "WRONG")</f>
        <v/>
      </c>
    </row>
    <row r="34929">
      <c r="A34929" t="n">
        <v>34928</v>
      </c>
      <c r="B34929" t="inlineStr">
        <is>
          <t>x̄x̄x̄MV̅CMXXVIII</t>
        </is>
      </c>
      <c r="C34929">
        <f>ROMAN(34928)</f>
        <v/>
      </c>
      <c r="D34929">
        <f>IF(B34929=C34929, "YES", "WRONG")</f>
        <v/>
      </c>
    </row>
    <row r="34930">
      <c r="A34930" t="n">
        <v>34929</v>
      </c>
      <c r="B34930" t="inlineStr">
        <is>
          <t>x̄x̄x̄MV̅CMXXIX</t>
        </is>
      </c>
      <c r="C34930">
        <f>ROMAN(34929)</f>
        <v/>
      </c>
      <c r="D34930">
        <f>IF(B34930=C34930, "YES", "WRONG")</f>
        <v/>
      </c>
    </row>
    <row r="34931">
      <c r="A34931" t="n">
        <v>34930</v>
      </c>
      <c r="B34931" t="inlineStr">
        <is>
          <t>x̄x̄x̄MV̅CMXXX</t>
        </is>
      </c>
      <c r="C34931">
        <f>ROMAN(34930)</f>
        <v/>
      </c>
      <c r="D34931">
        <f>IF(B34931=C34931, "YES", "WRONG")</f>
        <v/>
      </c>
    </row>
    <row r="34932">
      <c r="A34932" t="n">
        <v>34931</v>
      </c>
      <c r="B34932" t="inlineStr">
        <is>
          <t>x̄x̄x̄MV̅CMXXXI</t>
        </is>
      </c>
      <c r="C34932">
        <f>ROMAN(34931)</f>
        <v/>
      </c>
      <c r="D34932">
        <f>IF(B34932=C34932, "YES", "WRONG")</f>
        <v/>
      </c>
    </row>
    <row r="34933">
      <c r="A34933" t="n">
        <v>34932</v>
      </c>
      <c r="B34933" t="inlineStr">
        <is>
          <t>x̄x̄x̄MV̅CMXXXII</t>
        </is>
      </c>
      <c r="C34933">
        <f>ROMAN(34932)</f>
        <v/>
      </c>
      <c r="D34933">
        <f>IF(B34933=C34933, "YES", "WRONG")</f>
        <v/>
      </c>
    </row>
    <row r="34934">
      <c r="A34934" t="n">
        <v>34933</v>
      </c>
      <c r="B34934" t="inlineStr">
        <is>
          <t>x̄x̄x̄MV̅CMXXXIII</t>
        </is>
      </c>
      <c r="C34934">
        <f>ROMAN(34933)</f>
        <v/>
      </c>
      <c r="D34934">
        <f>IF(B34934=C34934, "YES", "WRONG")</f>
        <v/>
      </c>
    </row>
    <row r="34935">
      <c r="A34935" t="n">
        <v>34934</v>
      </c>
      <c r="B34935" t="inlineStr">
        <is>
          <t>x̄x̄x̄MV̅CMXXXIV</t>
        </is>
      </c>
      <c r="C34935">
        <f>ROMAN(34934)</f>
        <v/>
      </c>
      <c r="D34935">
        <f>IF(B34935=C34935, "YES", "WRONG")</f>
        <v/>
      </c>
    </row>
    <row r="34936">
      <c r="A34936" t="n">
        <v>34935</v>
      </c>
      <c r="B34936" t="inlineStr">
        <is>
          <t>x̄x̄x̄MV̅CMXXXV</t>
        </is>
      </c>
      <c r="C34936">
        <f>ROMAN(34935)</f>
        <v/>
      </c>
      <c r="D34936">
        <f>IF(B34936=C34936, "YES", "WRONG")</f>
        <v/>
      </c>
    </row>
    <row r="34937">
      <c r="A34937" t="n">
        <v>34936</v>
      </c>
      <c r="B34937" t="inlineStr">
        <is>
          <t>x̄x̄x̄MV̅CMXXXVI</t>
        </is>
      </c>
      <c r="C34937">
        <f>ROMAN(34936)</f>
        <v/>
      </c>
      <c r="D34937">
        <f>IF(B34937=C34937, "YES", "WRONG")</f>
        <v/>
      </c>
    </row>
    <row r="34938">
      <c r="A34938" t="n">
        <v>34937</v>
      </c>
      <c r="B34938" t="inlineStr">
        <is>
          <t>x̄x̄x̄MV̅CMXXXVII</t>
        </is>
      </c>
      <c r="C34938">
        <f>ROMAN(34937)</f>
        <v/>
      </c>
      <c r="D34938">
        <f>IF(B34938=C34938, "YES", "WRONG")</f>
        <v/>
      </c>
    </row>
    <row r="34939">
      <c r="A34939" t="n">
        <v>34938</v>
      </c>
      <c r="B34939" t="inlineStr">
        <is>
          <t>x̄x̄x̄MV̅CMXXXVIII</t>
        </is>
      </c>
      <c r="C34939">
        <f>ROMAN(34938)</f>
        <v/>
      </c>
      <c r="D34939">
        <f>IF(B34939=C34939, "YES", "WRONG")</f>
        <v/>
      </c>
    </row>
    <row r="34940">
      <c r="A34940" t="n">
        <v>34939</v>
      </c>
      <c r="B34940" t="inlineStr">
        <is>
          <t>x̄x̄x̄MV̅CMXXXIX</t>
        </is>
      </c>
      <c r="C34940">
        <f>ROMAN(34939)</f>
        <v/>
      </c>
      <c r="D34940">
        <f>IF(B34940=C34940, "YES", "WRONG")</f>
        <v/>
      </c>
    </row>
    <row r="34941">
      <c r="A34941" t="n">
        <v>34940</v>
      </c>
      <c r="B34941" t="inlineStr">
        <is>
          <t>x̄x̄x̄MV̅CMXL</t>
        </is>
      </c>
      <c r="C34941">
        <f>ROMAN(34940)</f>
        <v/>
      </c>
      <c r="D34941">
        <f>IF(B34941=C34941, "YES", "WRONG")</f>
        <v/>
      </c>
    </row>
    <row r="34942">
      <c r="A34942" t="n">
        <v>34941</v>
      </c>
      <c r="B34942" t="inlineStr">
        <is>
          <t>x̄x̄x̄MV̅CMXLI</t>
        </is>
      </c>
      <c r="C34942">
        <f>ROMAN(34941)</f>
        <v/>
      </c>
      <c r="D34942">
        <f>IF(B34942=C34942, "YES", "WRONG")</f>
        <v/>
      </c>
    </row>
    <row r="34943">
      <c r="A34943" t="n">
        <v>34942</v>
      </c>
      <c r="B34943" t="inlineStr">
        <is>
          <t>x̄x̄x̄MV̅CMXLII</t>
        </is>
      </c>
      <c r="C34943">
        <f>ROMAN(34942)</f>
        <v/>
      </c>
      <c r="D34943">
        <f>IF(B34943=C34943, "YES", "WRONG")</f>
        <v/>
      </c>
    </row>
    <row r="34944">
      <c r="A34944" t="n">
        <v>34943</v>
      </c>
      <c r="B34944" t="inlineStr">
        <is>
          <t>x̄x̄x̄MV̅CMXLIII</t>
        </is>
      </c>
      <c r="C34944">
        <f>ROMAN(34943)</f>
        <v/>
      </c>
      <c r="D34944">
        <f>IF(B34944=C34944, "YES", "WRONG")</f>
        <v/>
      </c>
    </row>
    <row r="34945">
      <c r="A34945" t="n">
        <v>34944</v>
      </c>
      <c r="B34945" t="inlineStr">
        <is>
          <t>x̄x̄x̄MV̅CMXLIV</t>
        </is>
      </c>
      <c r="C34945">
        <f>ROMAN(34944)</f>
        <v/>
      </c>
      <c r="D34945">
        <f>IF(B34945=C34945, "YES", "WRONG")</f>
        <v/>
      </c>
    </row>
    <row r="34946">
      <c r="A34946" t="n">
        <v>34945</v>
      </c>
      <c r="B34946" t="inlineStr">
        <is>
          <t>x̄x̄x̄MV̅CMXLV</t>
        </is>
      </c>
      <c r="C34946">
        <f>ROMAN(34945)</f>
        <v/>
      </c>
      <c r="D34946">
        <f>IF(B34946=C34946, "YES", "WRONG")</f>
        <v/>
      </c>
    </row>
    <row r="34947">
      <c r="A34947" t="n">
        <v>34946</v>
      </c>
      <c r="B34947" t="inlineStr">
        <is>
          <t>x̄x̄x̄MV̅CMXLVI</t>
        </is>
      </c>
      <c r="C34947">
        <f>ROMAN(34946)</f>
        <v/>
      </c>
      <c r="D34947">
        <f>IF(B34947=C34947, "YES", "WRONG")</f>
        <v/>
      </c>
    </row>
    <row r="34948">
      <c r="A34948" t="n">
        <v>34947</v>
      </c>
      <c r="B34948" t="inlineStr">
        <is>
          <t>x̄x̄x̄MV̅CMXLVII</t>
        </is>
      </c>
      <c r="C34948">
        <f>ROMAN(34947)</f>
        <v/>
      </c>
      <c r="D34948">
        <f>IF(B34948=C34948, "YES", "WRONG")</f>
        <v/>
      </c>
    </row>
    <row r="34949">
      <c r="A34949" t="n">
        <v>34948</v>
      </c>
      <c r="B34949" t="inlineStr">
        <is>
          <t>x̄x̄x̄MV̅CMXLVIII</t>
        </is>
      </c>
      <c r="C34949">
        <f>ROMAN(34948)</f>
        <v/>
      </c>
      <c r="D34949">
        <f>IF(B34949=C34949, "YES", "WRONG")</f>
        <v/>
      </c>
    </row>
    <row r="34950">
      <c r="A34950" t="n">
        <v>34949</v>
      </c>
      <c r="B34950" t="inlineStr">
        <is>
          <t>x̄x̄x̄MV̅CMXLIX</t>
        </is>
      </c>
      <c r="C34950">
        <f>ROMAN(34949)</f>
        <v/>
      </c>
      <c r="D34950">
        <f>IF(B34950=C34950, "YES", "WRONG")</f>
        <v/>
      </c>
    </row>
    <row r="34951">
      <c r="A34951" t="n">
        <v>34950</v>
      </c>
      <c r="B34951" t="inlineStr">
        <is>
          <t>x̄x̄x̄MV̅CML</t>
        </is>
      </c>
      <c r="C34951">
        <f>ROMAN(34950)</f>
        <v/>
      </c>
      <c r="D34951">
        <f>IF(B34951=C34951, "YES", "WRONG")</f>
        <v/>
      </c>
    </row>
    <row r="34952">
      <c r="A34952" t="n">
        <v>34951</v>
      </c>
      <c r="B34952" t="inlineStr">
        <is>
          <t>x̄x̄x̄MV̅CMLI</t>
        </is>
      </c>
      <c r="C34952">
        <f>ROMAN(34951)</f>
        <v/>
      </c>
      <c r="D34952">
        <f>IF(B34952=C34952, "YES", "WRONG")</f>
        <v/>
      </c>
    </row>
    <row r="34953">
      <c r="A34953" t="n">
        <v>34952</v>
      </c>
      <c r="B34953" t="inlineStr">
        <is>
          <t>x̄x̄x̄MV̅CMLII</t>
        </is>
      </c>
      <c r="C34953">
        <f>ROMAN(34952)</f>
        <v/>
      </c>
      <c r="D34953">
        <f>IF(B34953=C34953, "YES", "WRONG")</f>
        <v/>
      </c>
    </row>
    <row r="34954">
      <c r="A34954" t="n">
        <v>34953</v>
      </c>
      <c r="B34954" t="inlineStr">
        <is>
          <t>x̄x̄x̄MV̅CMLIII</t>
        </is>
      </c>
      <c r="C34954">
        <f>ROMAN(34953)</f>
        <v/>
      </c>
      <c r="D34954">
        <f>IF(B34954=C34954, "YES", "WRONG")</f>
        <v/>
      </c>
    </row>
    <row r="34955">
      <c r="A34955" t="n">
        <v>34954</v>
      </c>
      <c r="B34955" t="inlineStr">
        <is>
          <t>x̄x̄x̄MV̅CMLIV</t>
        </is>
      </c>
      <c r="C34955">
        <f>ROMAN(34954)</f>
        <v/>
      </c>
      <c r="D34955">
        <f>IF(B34955=C34955, "YES", "WRONG")</f>
        <v/>
      </c>
    </row>
    <row r="34956">
      <c r="A34956" t="n">
        <v>34955</v>
      </c>
      <c r="B34956" t="inlineStr">
        <is>
          <t>x̄x̄x̄MV̅CMLV</t>
        </is>
      </c>
      <c r="C34956">
        <f>ROMAN(34955)</f>
        <v/>
      </c>
      <c r="D34956">
        <f>IF(B34956=C34956, "YES", "WRONG")</f>
        <v/>
      </c>
    </row>
    <row r="34957">
      <c r="A34957" t="n">
        <v>34956</v>
      </c>
      <c r="B34957" t="inlineStr">
        <is>
          <t>x̄x̄x̄MV̅CMLVI</t>
        </is>
      </c>
      <c r="C34957">
        <f>ROMAN(34956)</f>
        <v/>
      </c>
      <c r="D34957">
        <f>IF(B34957=C34957, "YES", "WRONG")</f>
        <v/>
      </c>
    </row>
    <row r="34958">
      <c r="A34958" t="n">
        <v>34957</v>
      </c>
      <c r="B34958" t="inlineStr">
        <is>
          <t>x̄x̄x̄MV̅CMLVII</t>
        </is>
      </c>
      <c r="C34958">
        <f>ROMAN(34957)</f>
        <v/>
      </c>
      <c r="D34958">
        <f>IF(B34958=C34958, "YES", "WRONG")</f>
        <v/>
      </c>
    </row>
    <row r="34959">
      <c r="A34959" t="n">
        <v>34958</v>
      </c>
      <c r="B34959" t="inlineStr">
        <is>
          <t>x̄x̄x̄MV̅CMLVIII</t>
        </is>
      </c>
      <c r="C34959">
        <f>ROMAN(34958)</f>
        <v/>
      </c>
      <c r="D34959">
        <f>IF(B34959=C34959, "YES", "WRONG")</f>
        <v/>
      </c>
    </row>
    <row r="34960">
      <c r="A34960" t="n">
        <v>34959</v>
      </c>
      <c r="B34960" t="inlineStr">
        <is>
          <t>x̄x̄x̄MV̅CMLIX</t>
        </is>
      </c>
      <c r="C34960">
        <f>ROMAN(34959)</f>
        <v/>
      </c>
      <c r="D34960">
        <f>IF(B34960=C34960, "YES", "WRONG")</f>
        <v/>
      </c>
    </row>
    <row r="34961">
      <c r="A34961" t="n">
        <v>34960</v>
      </c>
      <c r="B34961" t="inlineStr">
        <is>
          <t>x̄x̄x̄MV̅CMLX</t>
        </is>
      </c>
      <c r="C34961">
        <f>ROMAN(34960)</f>
        <v/>
      </c>
      <c r="D34961">
        <f>IF(B34961=C34961, "YES", "WRONG")</f>
        <v/>
      </c>
    </row>
    <row r="34962">
      <c r="A34962" t="n">
        <v>34961</v>
      </c>
      <c r="B34962" t="inlineStr">
        <is>
          <t>x̄x̄x̄MV̅CMLXI</t>
        </is>
      </c>
      <c r="C34962">
        <f>ROMAN(34961)</f>
        <v/>
      </c>
      <c r="D34962">
        <f>IF(B34962=C34962, "YES", "WRONG")</f>
        <v/>
      </c>
    </row>
    <row r="34963">
      <c r="A34963" t="n">
        <v>34962</v>
      </c>
      <c r="B34963" t="inlineStr">
        <is>
          <t>x̄x̄x̄MV̅CMLXII</t>
        </is>
      </c>
      <c r="C34963">
        <f>ROMAN(34962)</f>
        <v/>
      </c>
      <c r="D34963">
        <f>IF(B34963=C34963, "YES", "WRONG")</f>
        <v/>
      </c>
    </row>
    <row r="34964">
      <c r="A34964" t="n">
        <v>34963</v>
      </c>
      <c r="B34964" t="inlineStr">
        <is>
          <t>x̄x̄x̄MV̅CMLXIII</t>
        </is>
      </c>
      <c r="C34964">
        <f>ROMAN(34963)</f>
        <v/>
      </c>
      <c r="D34964">
        <f>IF(B34964=C34964, "YES", "WRONG")</f>
        <v/>
      </c>
    </row>
    <row r="34965">
      <c r="A34965" t="n">
        <v>34964</v>
      </c>
      <c r="B34965" t="inlineStr">
        <is>
          <t>x̄x̄x̄MV̅CMLXIV</t>
        </is>
      </c>
      <c r="C34965">
        <f>ROMAN(34964)</f>
        <v/>
      </c>
      <c r="D34965">
        <f>IF(B34965=C34965, "YES", "WRONG")</f>
        <v/>
      </c>
    </row>
    <row r="34966">
      <c r="A34966" t="n">
        <v>34965</v>
      </c>
      <c r="B34966" t="inlineStr">
        <is>
          <t>x̄x̄x̄MV̅CMLXV</t>
        </is>
      </c>
      <c r="C34966">
        <f>ROMAN(34965)</f>
        <v/>
      </c>
      <c r="D34966">
        <f>IF(B34966=C34966, "YES", "WRONG")</f>
        <v/>
      </c>
    </row>
    <row r="34967">
      <c r="A34967" t="n">
        <v>34966</v>
      </c>
      <c r="B34967" t="inlineStr">
        <is>
          <t>x̄x̄x̄MV̅CMLXVI</t>
        </is>
      </c>
      <c r="C34967">
        <f>ROMAN(34966)</f>
        <v/>
      </c>
      <c r="D34967">
        <f>IF(B34967=C34967, "YES", "WRONG")</f>
        <v/>
      </c>
    </row>
    <row r="34968">
      <c r="A34968" t="n">
        <v>34967</v>
      </c>
      <c r="B34968" t="inlineStr">
        <is>
          <t>x̄x̄x̄MV̅CMLXVII</t>
        </is>
      </c>
      <c r="C34968">
        <f>ROMAN(34967)</f>
        <v/>
      </c>
      <c r="D34968">
        <f>IF(B34968=C34968, "YES", "WRONG")</f>
        <v/>
      </c>
    </row>
    <row r="34969">
      <c r="A34969" t="n">
        <v>34968</v>
      </c>
      <c r="B34969" t="inlineStr">
        <is>
          <t>x̄x̄x̄MV̅CMLXVIII</t>
        </is>
      </c>
      <c r="C34969">
        <f>ROMAN(34968)</f>
        <v/>
      </c>
      <c r="D34969">
        <f>IF(B34969=C34969, "YES", "WRONG")</f>
        <v/>
      </c>
    </row>
    <row r="34970">
      <c r="A34970" t="n">
        <v>34969</v>
      </c>
      <c r="B34970" t="inlineStr">
        <is>
          <t>x̄x̄x̄MV̅CMLXIX</t>
        </is>
      </c>
      <c r="C34970">
        <f>ROMAN(34969)</f>
        <v/>
      </c>
      <c r="D34970">
        <f>IF(B34970=C34970, "YES", "WRONG")</f>
        <v/>
      </c>
    </row>
    <row r="34971">
      <c r="A34971" t="n">
        <v>34970</v>
      </c>
      <c r="B34971" t="inlineStr">
        <is>
          <t>x̄x̄x̄MV̅CMLXX</t>
        </is>
      </c>
      <c r="C34971">
        <f>ROMAN(34970)</f>
        <v/>
      </c>
      <c r="D34971">
        <f>IF(B34971=C34971, "YES", "WRONG")</f>
        <v/>
      </c>
    </row>
    <row r="34972">
      <c r="A34972" t="n">
        <v>34971</v>
      </c>
      <c r="B34972" t="inlineStr">
        <is>
          <t>x̄x̄x̄MV̅CMLXXI</t>
        </is>
      </c>
      <c r="C34972">
        <f>ROMAN(34971)</f>
        <v/>
      </c>
      <c r="D34972">
        <f>IF(B34972=C34972, "YES", "WRONG")</f>
        <v/>
      </c>
    </row>
    <row r="34973">
      <c r="A34973" t="n">
        <v>34972</v>
      </c>
      <c r="B34973" t="inlineStr">
        <is>
          <t>x̄x̄x̄MV̅CMLXXII</t>
        </is>
      </c>
      <c r="C34973">
        <f>ROMAN(34972)</f>
        <v/>
      </c>
      <c r="D34973">
        <f>IF(B34973=C34973, "YES", "WRONG")</f>
        <v/>
      </c>
    </row>
    <row r="34974">
      <c r="A34974" t="n">
        <v>34973</v>
      </c>
      <c r="B34974" t="inlineStr">
        <is>
          <t>x̄x̄x̄MV̅CMLXXIII</t>
        </is>
      </c>
      <c r="C34974">
        <f>ROMAN(34973)</f>
        <v/>
      </c>
      <c r="D34974">
        <f>IF(B34974=C34974, "YES", "WRONG")</f>
        <v/>
      </c>
    </row>
    <row r="34975">
      <c r="A34975" t="n">
        <v>34974</v>
      </c>
      <c r="B34975" t="inlineStr">
        <is>
          <t>x̄x̄x̄MV̅CMLXXIV</t>
        </is>
      </c>
      <c r="C34975">
        <f>ROMAN(34974)</f>
        <v/>
      </c>
      <c r="D34975">
        <f>IF(B34975=C34975, "YES", "WRONG")</f>
        <v/>
      </c>
    </row>
    <row r="34976">
      <c r="A34976" t="n">
        <v>34975</v>
      </c>
      <c r="B34976" t="inlineStr">
        <is>
          <t>x̄x̄x̄MV̅CMLXXV</t>
        </is>
      </c>
      <c r="C34976">
        <f>ROMAN(34975)</f>
        <v/>
      </c>
      <c r="D34976">
        <f>IF(B34976=C34976, "YES", "WRONG")</f>
        <v/>
      </c>
    </row>
    <row r="34977">
      <c r="A34977" t="n">
        <v>34976</v>
      </c>
      <c r="B34977" t="inlineStr">
        <is>
          <t>x̄x̄x̄MV̅CMLXXVI</t>
        </is>
      </c>
      <c r="C34977">
        <f>ROMAN(34976)</f>
        <v/>
      </c>
      <c r="D34977">
        <f>IF(B34977=C34977, "YES", "WRONG")</f>
        <v/>
      </c>
    </row>
    <row r="34978">
      <c r="A34978" t="n">
        <v>34977</v>
      </c>
      <c r="B34978" t="inlineStr">
        <is>
          <t>x̄x̄x̄MV̅CMLXXVII</t>
        </is>
      </c>
      <c r="C34978">
        <f>ROMAN(34977)</f>
        <v/>
      </c>
      <c r="D34978">
        <f>IF(B34978=C34978, "YES", "WRONG")</f>
        <v/>
      </c>
    </row>
    <row r="34979">
      <c r="A34979" t="n">
        <v>34978</v>
      </c>
      <c r="B34979" t="inlineStr">
        <is>
          <t>x̄x̄x̄MV̅CMLXXVIII</t>
        </is>
      </c>
      <c r="C34979">
        <f>ROMAN(34978)</f>
        <v/>
      </c>
      <c r="D34979">
        <f>IF(B34979=C34979, "YES", "WRONG")</f>
        <v/>
      </c>
    </row>
    <row r="34980">
      <c r="A34980" t="n">
        <v>34979</v>
      </c>
      <c r="B34980" t="inlineStr">
        <is>
          <t>x̄x̄x̄MV̅CMLXXIX</t>
        </is>
      </c>
      <c r="C34980">
        <f>ROMAN(34979)</f>
        <v/>
      </c>
      <c r="D34980">
        <f>IF(B34980=C34980, "YES", "WRONG")</f>
        <v/>
      </c>
    </row>
    <row r="34981">
      <c r="A34981" t="n">
        <v>34980</v>
      </c>
      <c r="B34981" t="inlineStr">
        <is>
          <t>x̄x̄x̄MV̅CMLXXX</t>
        </is>
      </c>
      <c r="C34981">
        <f>ROMAN(34980)</f>
        <v/>
      </c>
      <c r="D34981">
        <f>IF(B34981=C34981, "YES", "WRONG")</f>
        <v/>
      </c>
    </row>
    <row r="34982">
      <c r="A34982" t="n">
        <v>34981</v>
      </c>
      <c r="B34982" t="inlineStr">
        <is>
          <t>x̄x̄x̄MV̅CMLXXXI</t>
        </is>
      </c>
      <c r="C34982">
        <f>ROMAN(34981)</f>
        <v/>
      </c>
      <c r="D34982">
        <f>IF(B34982=C34982, "YES", "WRONG")</f>
        <v/>
      </c>
    </row>
    <row r="34983">
      <c r="A34983" t="n">
        <v>34982</v>
      </c>
      <c r="B34983" t="inlineStr">
        <is>
          <t>x̄x̄x̄MV̅CMLXXXII</t>
        </is>
      </c>
      <c r="C34983">
        <f>ROMAN(34982)</f>
        <v/>
      </c>
      <c r="D34983">
        <f>IF(B34983=C34983, "YES", "WRONG")</f>
        <v/>
      </c>
    </row>
    <row r="34984">
      <c r="A34984" t="n">
        <v>34983</v>
      </c>
      <c r="B34984" t="inlineStr">
        <is>
          <t>x̄x̄x̄MV̅CMLXXXIII</t>
        </is>
      </c>
      <c r="C34984">
        <f>ROMAN(34983)</f>
        <v/>
      </c>
      <c r="D34984">
        <f>IF(B34984=C34984, "YES", "WRONG")</f>
        <v/>
      </c>
    </row>
    <row r="34985">
      <c r="A34985" t="n">
        <v>34984</v>
      </c>
      <c r="B34985" t="inlineStr">
        <is>
          <t>x̄x̄x̄MV̅CMLXXXIV</t>
        </is>
      </c>
      <c r="C34985">
        <f>ROMAN(34984)</f>
        <v/>
      </c>
      <c r="D34985">
        <f>IF(B34985=C34985, "YES", "WRONG")</f>
        <v/>
      </c>
    </row>
    <row r="34986">
      <c r="A34986" t="n">
        <v>34985</v>
      </c>
      <c r="B34986" t="inlineStr">
        <is>
          <t>x̄x̄x̄MV̅CMLXXXV</t>
        </is>
      </c>
      <c r="C34986">
        <f>ROMAN(34985)</f>
        <v/>
      </c>
      <c r="D34986">
        <f>IF(B34986=C34986, "YES", "WRONG")</f>
        <v/>
      </c>
    </row>
    <row r="34987">
      <c r="A34987" t="n">
        <v>34986</v>
      </c>
      <c r="B34987" t="inlineStr">
        <is>
          <t>x̄x̄x̄MV̅CMLXXXVI</t>
        </is>
      </c>
      <c r="C34987">
        <f>ROMAN(34986)</f>
        <v/>
      </c>
      <c r="D34987">
        <f>IF(B34987=C34987, "YES", "WRONG")</f>
        <v/>
      </c>
    </row>
    <row r="34988">
      <c r="A34988" t="n">
        <v>34987</v>
      </c>
      <c r="B34988" t="inlineStr">
        <is>
          <t>x̄x̄x̄MV̅CMLXXXVII</t>
        </is>
      </c>
      <c r="C34988">
        <f>ROMAN(34987)</f>
        <v/>
      </c>
      <c r="D34988">
        <f>IF(B34988=C34988, "YES", "WRONG")</f>
        <v/>
      </c>
    </row>
    <row r="34989">
      <c r="A34989" t="n">
        <v>34988</v>
      </c>
      <c r="B34989" t="inlineStr">
        <is>
          <t>x̄x̄x̄MV̅CMLXXXVIII</t>
        </is>
      </c>
      <c r="C34989">
        <f>ROMAN(34988)</f>
        <v/>
      </c>
      <c r="D34989">
        <f>IF(B34989=C34989, "YES", "WRONG")</f>
        <v/>
      </c>
    </row>
    <row r="34990">
      <c r="A34990" t="n">
        <v>34989</v>
      </c>
      <c r="B34990" t="inlineStr">
        <is>
          <t>x̄x̄x̄MV̅CMLXXXIX</t>
        </is>
      </c>
      <c r="C34990">
        <f>ROMAN(34989)</f>
        <v/>
      </c>
      <c r="D34990">
        <f>IF(B34990=C34990, "YES", "WRONG")</f>
        <v/>
      </c>
    </row>
    <row r="34991">
      <c r="A34991" t="n">
        <v>34990</v>
      </c>
      <c r="B34991" t="inlineStr">
        <is>
          <t>x̄x̄x̄MV̅CMXC</t>
        </is>
      </c>
      <c r="C34991">
        <f>ROMAN(34990)</f>
        <v/>
      </c>
      <c r="D34991">
        <f>IF(B34991=C34991, "YES", "WRONG")</f>
        <v/>
      </c>
    </row>
    <row r="34992">
      <c r="A34992" t="n">
        <v>34991</v>
      </c>
      <c r="B34992" t="inlineStr">
        <is>
          <t>x̄x̄x̄MV̅CMXCI</t>
        </is>
      </c>
      <c r="C34992">
        <f>ROMAN(34991)</f>
        <v/>
      </c>
      <c r="D34992">
        <f>IF(B34992=C34992, "YES", "WRONG")</f>
        <v/>
      </c>
    </row>
    <row r="34993">
      <c r="A34993" t="n">
        <v>34992</v>
      </c>
      <c r="B34993" t="inlineStr">
        <is>
          <t>x̄x̄x̄MV̅CMXCII</t>
        </is>
      </c>
      <c r="C34993">
        <f>ROMAN(34992)</f>
        <v/>
      </c>
      <c r="D34993">
        <f>IF(B34993=C34993, "YES", "WRONG")</f>
        <v/>
      </c>
    </row>
    <row r="34994">
      <c r="A34994" t="n">
        <v>34993</v>
      </c>
      <c r="B34994" t="inlineStr">
        <is>
          <t>x̄x̄x̄MV̅CMXCIII</t>
        </is>
      </c>
      <c r="C34994">
        <f>ROMAN(34993)</f>
        <v/>
      </c>
      <c r="D34994">
        <f>IF(B34994=C34994, "YES", "WRONG")</f>
        <v/>
      </c>
    </row>
    <row r="34995">
      <c r="A34995" t="n">
        <v>34994</v>
      </c>
      <c r="B34995" t="inlineStr">
        <is>
          <t>x̄x̄x̄MV̅CMXCIV</t>
        </is>
      </c>
      <c r="C34995">
        <f>ROMAN(34994)</f>
        <v/>
      </c>
      <c r="D34995">
        <f>IF(B34995=C34995, "YES", "WRONG")</f>
        <v/>
      </c>
    </row>
    <row r="34996">
      <c r="A34996" t="n">
        <v>34995</v>
      </c>
      <c r="B34996" t="inlineStr">
        <is>
          <t>x̄x̄x̄MV̅CMXCV</t>
        </is>
      </c>
      <c r="C34996">
        <f>ROMAN(34995)</f>
        <v/>
      </c>
      <c r="D34996">
        <f>IF(B34996=C34996, "YES", "WRONG")</f>
        <v/>
      </c>
    </row>
    <row r="34997">
      <c r="A34997" t="n">
        <v>34996</v>
      </c>
      <c r="B34997" t="inlineStr">
        <is>
          <t>x̄x̄x̄MV̅CMXCVI</t>
        </is>
      </c>
      <c r="C34997">
        <f>ROMAN(34996)</f>
        <v/>
      </c>
      <c r="D34997">
        <f>IF(B34997=C34997, "YES", "WRONG")</f>
        <v/>
      </c>
    </row>
    <row r="34998">
      <c r="A34998" t="n">
        <v>34997</v>
      </c>
      <c r="B34998" t="inlineStr">
        <is>
          <t>x̄x̄x̄MV̅CMXCVII</t>
        </is>
      </c>
      <c r="C34998">
        <f>ROMAN(34997)</f>
        <v/>
      </c>
      <c r="D34998">
        <f>IF(B34998=C34998, "YES", "WRONG")</f>
        <v/>
      </c>
    </row>
    <row r="34999">
      <c r="A34999" t="n">
        <v>34998</v>
      </c>
      <c r="B34999" t="inlineStr">
        <is>
          <t>x̄x̄x̄MV̅CMXCVIII</t>
        </is>
      </c>
      <c r="C34999">
        <f>ROMAN(34998)</f>
        <v/>
      </c>
      <c r="D34999">
        <f>IF(B34999=C34999, "YES", "WRONG")</f>
        <v/>
      </c>
    </row>
    <row r="35000">
      <c r="A35000" t="n">
        <v>34999</v>
      </c>
      <c r="B35000" t="inlineStr">
        <is>
          <t>x̄x̄x̄MV̅CMXCIX</t>
        </is>
      </c>
      <c r="C35000">
        <f>ROMAN(34999)</f>
        <v/>
      </c>
      <c r="D35000">
        <f>IF(B35000=C35000, "YES", "WRONG")</f>
        <v/>
      </c>
    </row>
    <row r="35001">
      <c r="A35001" t="n">
        <v>35000</v>
      </c>
      <c r="B35001" t="inlineStr">
        <is>
          <t>x̄x̄x̄V̅</t>
        </is>
      </c>
      <c r="C35001">
        <f>ROMAN(35000)</f>
        <v/>
      </c>
      <c r="D35001">
        <f>IF(B35001=C35001, "YES", "WRONG")</f>
        <v/>
      </c>
    </row>
    <row r="35002">
      <c r="A35002" t="n">
        <v>35001</v>
      </c>
      <c r="B35002" t="inlineStr">
        <is>
          <t>x̄x̄x̄V̅I</t>
        </is>
      </c>
      <c r="C35002">
        <f>ROMAN(35001)</f>
        <v/>
      </c>
      <c r="D35002">
        <f>IF(B35002=C35002, "YES", "WRONG")</f>
        <v/>
      </c>
    </row>
    <row r="35003">
      <c r="A35003" t="n">
        <v>35002</v>
      </c>
      <c r="B35003" t="inlineStr">
        <is>
          <t>x̄x̄x̄V̅II</t>
        </is>
      </c>
      <c r="C35003">
        <f>ROMAN(35002)</f>
        <v/>
      </c>
      <c r="D35003">
        <f>IF(B35003=C35003, "YES", "WRONG")</f>
        <v/>
      </c>
    </row>
    <row r="35004">
      <c r="A35004" t="n">
        <v>35003</v>
      </c>
      <c r="B35004" t="inlineStr">
        <is>
          <t>x̄x̄x̄V̅III</t>
        </is>
      </c>
      <c r="C35004">
        <f>ROMAN(35003)</f>
        <v/>
      </c>
      <c r="D35004">
        <f>IF(B35004=C35004, "YES", "WRONG")</f>
        <v/>
      </c>
    </row>
    <row r="35005">
      <c r="A35005" t="n">
        <v>35004</v>
      </c>
      <c r="B35005" t="inlineStr">
        <is>
          <t>x̄x̄x̄V̅IV</t>
        </is>
      </c>
      <c r="C35005">
        <f>ROMAN(35004)</f>
        <v/>
      </c>
      <c r="D35005">
        <f>IF(B35005=C35005, "YES", "WRONG")</f>
        <v/>
      </c>
    </row>
    <row r="35006">
      <c r="A35006" t="n">
        <v>35005</v>
      </c>
      <c r="B35006" t="inlineStr">
        <is>
          <t>x̄x̄x̄V̅V</t>
        </is>
      </c>
      <c r="C35006">
        <f>ROMAN(35005)</f>
        <v/>
      </c>
      <c r="D35006">
        <f>IF(B35006=C35006, "YES", "WRONG")</f>
        <v/>
      </c>
    </row>
    <row r="35007">
      <c r="A35007" t="n">
        <v>35006</v>
      </c>
      <c r="B35007" t="inlineStr">
        <is>
          <t>x̄x̄x̄V̅VI</t>
        </is>
      </c>
      <c r="C35007">
        <f>ROMAN(35006)</f>
        <v/>
      </c>
      <c r="D35007">
        <f>IF(B35007=C35007, "YES", "WRONG")</f>
        <v/>
      </c>
    </row>
    <row r="35008">
      <c r="A35008" t="n">
        <v>35007</v>
      </c>
      <c r="B35008" t="inlineStr">
        <is>
          <t>x̄x̄x̄V̅VII</t>
        </is>
      </c>
      <c r="C35008">
        <f>ROMAN(35007)</f>
        <v/>
      </c>
      <c r="D35008">
        <f>IF(B35008=C35008, "YES", "WRONG")</f>
        <v/>
      </c>
    </row>
    <row r="35009">
      <c r="A35009" t="n">
        <v>35008</v>
      </c>
      <c r="B35009" t="inlineStr">
        <is>
          <t>x̄x̄x̄V̅VIII</t>
        </is>
      </c>
      <c r="C35009">
        <f>ROMAN(35008)</f>
        <v/>
      </c>
      <c r="D35009">
        <f>IF(B35009=C35009, "YES", "WRONG")</f>
        <v/>
      </c>
    </row>
    <row r="35010">
      <c r="A35010" t="n">
        <v>35009</v>
      </c>
      <c r="B35010" t="inlineStr">
        <is>
          <t>x̄x̄x̄V̅IX</t>
        </is>
      </c>
      <c r="C35010">
        <f>ROMAN(35009)</f>
        <v/>
      </c>
      <c r="D35010">
        <f>IF(B35010=C35010, "YES", "WRONG")</f>
        <v/>
      </c>
    </row>
    <row r="35011">
      <c r="A35011" t="n">
        <v>35010</v>
      </c>
      <c r="B35011" t="inlineStr">
        <is>
          <t>x̄x̄x̄V̅X</t>
        </is>
      </c>
      <c r="C35011">
        <f>ROMAN(35010)</f>
        <v/>
      </c>
      <c r="D35011">
        <f>IF(B35011=C35011, "YES", "WRONG")</f>
        <v/>
      </c>
    </row>
    <row r="35012">
      <c r="A35012" t="n">
        <v>35011</v>
      </c>
      <c r="B35012" t="inlineStr">
        <is>
          <t>x̄x̄x̄V̅XI</t>
        </is>
      </c>
      <c r="C35012">
        <f>ROMAN(35011)</f>
        <v/>
      </c>
      <c r="D35012">
        <f>IF(B35012=C35012, "YES", "WRONG")</f>
        <v/>
      </c>
    </row>
    <row r="35013">
      <c r="A35013" t="n">
        <v>35012</v>
      </c>
      <c r="B35013" t="inlineStr">
        <is>
          <t>x̄x̄x̄V̅XII</t>
        </is>
      </c>
      <c r="C35013">
        <f>ROMAN(35012)</f>
        <v/>
      </c>
      <c r="D35013">
        <f>IF(B35013=C35013, "YES", "WRONG")</f>
        <v/>
      </c>
    </row>
    <row r="35014">
      <c r="A35014" t="n">
        <v>35013</v>
      </c>
      <c r="B35014" t="inlineStr">
        <is>
          <t>x̄x̄x̄V̅XIII</t>
        </is>
      </c>
      <c r="C35014">
        <f>ROMAN(35013)</f>
        <v/>
      </c>
      <c r="D35014">
        <f>IF(B35014=C35014, "YES", "WRONG")</f>
        <v/>
      </c>
    </row>
    <row r="35015">
      <c r="A35015" t="n">
        <v>35014</v>
      </c>
      <c r="B35015" t="inlineStr">
        <is>
          <t>x̄x̄x̄V̅XIV</t>
        </is>
      </c>
      <c r="C35015">
        <f>ROMAN(35014)</f>
        <v/>
      </c>
      <c r="D35015">
        <f>IF(B35015=C35015, "YES", "WRONG")</f>
        <v/>
      </c>
    </row>
    <row r="35016">
      <c r="A35016" t="n">
        <v>35015</v>
      </c>
      <c r="B35016" t="inlineStr">
        <is>
          <t>x̄x̄x̄V̅XV</t>
        </is>
      </c>
      <c r="C35016">
        <f>ROMAN(35015)</f>
        <v/>
      </c>
      <c r="D35016">
        <f>IF(B35016=C35016, "YES", "WRONG")</f>
        <v/>
      </c>
    </row>
    <row r="35017">
      <c r="A35017" t="n">
        <v>35016</v>
      </c>
      <c r="B35017" t="inlineStr">
        <is>
          <t>x̄x̄x̄V̅XVI</t>
        </is>
      </c>
      <c r="C35017">
        <f>ROMAN(35016)</f>
        <v/>
      </c>
      <c r="D35017">
        <f>IF(B35017=C35017, "YES", "WRONG")</f>
        <v/>
      </c>
    </row>
    <row r="35018">
      <c r="A35018" t="n">
        <v>35017</v>
      </c>
      <c r="B35018" t="inlineStr">
        <is>
          <t>x̄x̄x̄V̅XVII</t>
        </is>
      </c>
      <c r="C35018">
        <f>ROMAN(35017)</f>
        <v/>
      </c>
      <c r="D35018">
        <f>IF(B35018=C35018, "YES", "WRONG")</f>
        <v/>
      </c>
    </row>
    <row r="35019">
      <c r="A35019" t="n">
        <v>35018</v>
      </c>
      <c r="B35019" t="inlineStr">
        <is>
          <t>x̄x̄x̄V̅XVIII</t>
        </is>
      </c>
      <c r="C35019">
        <f>ROMAN(35018)</f>
        <v/>
      </c>
      <c r="D35019">
        <f>IF(B35019=C35019, "YES", "WRONG")</f>
        <v/>
      </c>
    </row>
    <row r="35020">
      <c r="A35020" t="n">
        <v>35019</v>
      </c>
      <c r="B35020" t="inlineStr">
        <is>
          <t>x̄x̄x̄V̅XIX</t>
        </is>
      </c>
      <c r="C35020">
        <f>ROMAN(35019)</f>
        <v/>
      </c>
      <c r="D35020">
        <f>IF(B35020=C35020, "YES", "WRONG")</f>
        <v/>
      </c>
    </row>
    <row r="35021">
      <c r="A35021" t="n">
        <v>35020</v>
      </c>
      <c r="B35021" t="inlineStr">
        <is>
          <t>x̄x̄x̄V̅XX</t>
        </is>
      </c>
      <c r="C35021">
        <f>ROMAN(35020)</f>
        <v/>
      </c>
      <c r="D35021">
        <f>IF(B35021=C35021, "YES", "WRONG")</f>
        <v/>
      </c>
    </row>
    <row r="35022">
      <c r="A35022" t="n">
        <v>35021</v>
      </c>
      <c r="B35022" t="inlineStr">
        <is>
          <t>x̄x̄x̄V̅XXI</t>
        </is>
      </c>
      <c r="C35022">
        <f>ROMAN(35021)</f>
        <v/>
      </c>
      <c r="D35022">
        <f>IF(B35022=C35022, "YES", "WRONG")</f>
        <v/>
      </c>
    </row>
    <row r="35023">
      <c r="A35023" t="n">
        <v>35022</v>
      </c>
      <c r="B35023" t="inlineStr">
        <is>
          <t>x̄x̄x̄V̅XXII</t>
        </is>
      </c>
      <c r="C35023">
        <f>ROMAN(35022)</f>
        <v/>
      </c>
      <c r="D35023">
        <f>IF(B35023=C35023, "YES", "WRONG")</f>
        <v/>
      </c>
    </row>
    <row r="35024">
      <c r="A35024" t="n">
        <v>35023</v>
      </c>
      <c r="B35024" t="inlineStr">
        <is>
          <t>x̄x̄x̄V̅XXIII</t>
        </is>
      </c>
      <c r="C35024">
        <f>ROMAN(35023)</f>
        <v/>
      </c>
      <c r="D35024">
        <f>IF(B35024=C35024, "YES", "WRONG")</f>
        <v/>
      </c>
    </row>
    <row r="35025">
      <c r="A35025" t="n">
        <v>35024</v>
      </c>
      <c r="B35025" t="inlineStr">
        <is>
          <t>x̄x̄x̄V̅XXIV</t>
        </is>
      </c>
      <c r="C35025">
        <f>ROMAN(35024)</f>
        <v/>
      </c>
      <c r="D35025">
        <f>IF(B35025=C35025, "YES", "WRONG")</f>
        <v/>
      </c>
    </row>
    <row r="35026">
      <c r="A35026" t="n">
        <v>35025</v>
      </c>
      <c r="B35026" t="inlineStr">
        <is>
          <t>x̄x̄x̄V̅XXV</t>
        </is>
      </c>
      <c r="C35026">
        <f>ROMAN(35025)</f>
        <v/>
      </c>
      <c r="D35026">
        <f>IF(B35026=C35026, "YES", "WRONG")</f>
        <v/>
      </c>
    </row>
    <row r="35027">
      <c r="A35027" t="n">
        <v>35026</v>
      </c>
      <c r="B35027" t="inlineStr">
        <is>
          <t>x̄x̄x̄V̅XXVI</t>
        </is>
      </c>
      <c r="C35027">
        <f>ROMAN(35026)</f>
        <v/>
      </c>
      <c r="D35027">
        <f>IF(B35027=C35027, "YES", "WRONG")</f>
        <v/>
      </c>
    </row>
    <row r="35028">
      <c r="A35028" t="n">
        <v>35027</v>
      </c>
      <c r="B35028" t="inlineStr">
        <is>
          <t>x̄x̄x̄V̅XXVII</t>
        </is>
      </c>
      <c r="C35028">
        <f>ROMAN(35027)</f>
        <v/>
      </c>
      <c r="D35028">
        <f>IF(B35028=C35028, "YES", "WRONG")</f>
        <v/>
      </c>
    </row>
    <row r="35029">
      <c r="A35029" t="n">
        <v>35028</v>
      </c>
      <c r="B35029" t="inlineStr">
        <is>
          <t>x̄x̄x̄V̅XXVIII</t>
        </is>
      </c>
      <c r="C35029">
        <f>ROMAN(35028)</f>
        <v/>
      </c>
      <c r="D35029">
        <f>IF(B35029=C35029, "YES", "WRONG")</f>
        <v/>
      </c>
    </row>
    <row r="35030">
      <c r="A35030" t="n">
        <v>35029</v>
      </c>
      <c r="B35030" t="inlineStr">
        <is>
          <t>x̄x̄x̄V̅XXIX</t>
        </is>
      </c>
      <c r="C35030">
        <f>ROMAN(35029)</f>
        <v/>
      </c>
      <c r="D35030">
        <f>IF(B35030=C35030, "YES", "WRONG")</f>
        <v/>
      </c>
    </row>
    <row r="35031">
      <c r="A35031" t="n">
        <v>35030</v>
      </c>
      <c r="B35031" t="inlineStr">
        <is>
          <t>x̄x̄x̄V̅XXX</t>
        </is>
      </c>
      <c r="C35031">
        <f>ROMAN(35030)</f>
        <v/>
      </c>
      <c r="D35031">
        <f>IF(B35031=C35031, "YES", "WRONG")</f>
        <v/>
      </c>
    </row>
    <row r="35032">
      <c r="A35032" t="n">
        <v>35031</v>
      </c>
      <c r="B35032" t="inlineStr">
        <is>
          <t>x̄x̄x̄V̅XXXI</t>
        </is>
      </c>
      <c r="C35032">
        <f>ROMAN(35031)</f>
        <v/>
      </c>
      <c r="D35032">
        <f>IF(B35032=C35032, "YES", "WRONG")</f>
        <v/>
      </c>
    </row>
    <row r="35033">
      <c r="A35033" t="n">
        <v>35032</v>
      </c>
      <c r="B35033" t="inlineStr">
        <is>
          <t>x̄x̄x̄V̅XXXII</t>
        </is>
      </c>
      <c r="C35033">
        <f>ROMAN(35032)</f>
        <v/>
      </c>
      <c r="D35033">
        <f>IF(B35033=C35033, "YES", "WRONG")</f>
        <v/>
      </c>
    </row>
    <row r="35034">
      <c r="A35034" t="n">
        <v>35033</v>
      </c>
      <c r="B35034" t="inlineStr">
        <is>
          <t>x̄x̄x̄V̅XXXIII</t>
        </is>
      </c>
      <c r="C35034">
        <f>ROMAN(35033)</f>
        <v/>
      </c>
      <c r="D35034">
        <f>IF(B35034=C35034, "YES", "WRONG")</f>
        <v/>
      </c>
    </row>
    <row r="35035">
      <c r="A35035" t="n">
        <v>35034</v>
      </c>
      <c r="B35035" t="inlineStr">
        <is>
          <t>x̄x̄x̄V̅XXXIV</t>
        </is>
      </c>
      <c r="C35035">
        <f>ROMAN(35034)</f>
        <v/>
      </c>
      <c r="D35035">
        <f>IF(B35035=C35035, "YES", "WRONG")</f>
        <v/>
      </c>
    </row>
    <row r="35036">
      <c r="A35036" t="n">
        <v>35035</v>
      </c>
      <c r="B35036" t="inlineStr">
        <is>
          <t>x̄x̄x̄V̅XXXV</t>
        </is>
      </c>
      <c r="C35036">
        <f>ROMAN(35035)</f>
        <v/>
      </c>
      <c r="D35036">
        <f>IF(B35036=C35036, "YES", "WRONG")</f>
        <v/>
      </c>
    </row>
    <row r="35037">
      <c r="A35037" t="n">
        <v>35036</v>
      </c>
      <c r="B35037" t="inlineStr">
        <is>
          <t>x̄x̄x̄V̅XXXVI</t>
        </is>
      </c>
      <c r="C35037">
        <f>ROMAN(35036)</f>
        <v/>
      </c>
      <c r="D35037">
        <f>IF(B35037=C35037, "YES", "WRONG")</f>
        <v/>
      </c>
    </row>
    <row r="35038">
      <c r="A35038" t="n">
        <v>35037</v>
      </c>
      <c r="B35038" t="inlineStr">
        <is>
          <t>x̄x̄x̄V̅XXXVII</t>
        </is>
      </c>
      <c r="C35038">
        <f>ROMAN(35037)</f>
        <v/>
      </c>
      <c r="D35038">
        <f>IF(B35038=C35038, "YES", "WRONG")</f>
        <v/>
      </c>
    </row>
    <row r="35039">
      <c r="A35039" t="n">
        <v>35038</v>
      </c>
      <c r="B35039" t="inlineStr">
        <is>
          <t>x̄x̄x̄V̅XXXVIII</t>
        </is>
      </c>
      <c r="C35039">
        <f>ROMAN(35038)</f>
        <v/>
      </c>
      <c r="D35039">
        <f>IF(B35039=C35039, "YES", "WRONG")</f>
        <v/>
      </c>
    </row>
    <row r="35040">
      <c r="A35040" t="n">
        <v>35039</v>
      </c>
      <c r="B35040" t="inlineStr">
        <is>
          <t>x̄x̄x̄V̅XXXIX</t>
        </is>
      </c>
      <c r="C35040">
        <f>ROMAN(35039)</f>
        <v/>
      </c>
      <c r="D35040">
        <f>IF(B35040=C35040, "YES", "WRONG")</f>
        <v/>
      </c>
    </row>
    <row r="35041">
      <c r="A35041" t="n">
        <v>35040</v>
      </c>
      <c r="B35041" t="inlineStr">
        <is>
          <t>x̄x̄x̄V̅XL</t>
        </is>
      </c>
      <c r="C35041">
        <f>ROMAN(35040)</f>
        <v/>
      </c>
      <c r="D35041">
        <f>IF(B35041=C35041, "YES", "WRONG")</f>
        <v/>
      </c>
    </row>
    <row r="35042">
      <c r="A35042" t="n">
        <v>35041</v>
      </c>
      <c r="B35042" t="inlineStr">
        <is>
          <t>x̄x̄x̄V̅XLI</t>
        </is>
      </c>
      <c r="C35042">
        <f>ROMAN(35041)</f>
        <v/>
      </c>
      <c r="D35042">
        <f>IF(B35042=C35042, "YES", "WRONG")</f>
        <v/>
      </c>
    </row>
    <row r="35043">
      <c r="A35043" t="n">
        <v>35042</v>
      </c>
      <c r="B35043" t="inlineStr">
        <is>
          <t>x̄x̄x̄V̅XLII</t>
        </is>
      </c>
      <c r="C35043">
        <f>ROMAN(35042)</f>
        <v/>
      </c>
      <c r="D35043">
        <f>IF(B35043=C35043, "YES", "WRONG")</f>
        <v/>
      </c>
    </row>
    <row r="35044">
      <c r="A35044" t="n">
        <v>35043</v>
      </c>
      <c r="B35044" t="inlineStr">
        <is>
          <t>x̄x̄x̄V̅XLIII</t>
        </is>
      </c>
      <c r="C35044">
        <f>ROMAN(35043)</f>
        <v/>
      </c>
      <c r="D35044">
        <f>IF(B35044=C35044, "YES", "WRONG")</f>
        <v/>
      </c>
    </row>
    <row r="35045">
      <c r="A35045" t="n">
        <v>35044</v>
      </c>
      <c r="B35045" t="inlineStr">
        <is>
          <t>x̄x̄x̄V̅XLIV</t>
        </is>
      </c>
      <c r="C35045">
        <f>ROMAN(35044)</f>
        <v/>
      </c>
      <c r="D35045">
        <f>IF(B35045=C35045, "YES", "WRONG")</f>
        <v/>
      </c>
    </row>
    <row r="35046">
      <c r="A35046" t="n">
        <v>35045</v>
      </c>
      <c r="B35046" t="inlineStr">
        <is>
          <t>x̄x̄x̄V̅XLV</t>
        </is>
      </c>
      <c r="C35046">
        <f>ROMAN(35045)</f>
        <v/>
      </c>
      <c r="D35046">
        <f>IF(B35046=C35046, "YES", "WRONG")</f>
        <v/>
      </c>
    </row>
    <row r="35047">
      <c r="A35047" t="n">
        <v>35046</v>
      </c>
      <c r="B35047" t="inlineStr">
        <is>
          <t>x̄x̄x̄V̅XLVI</t>
        </is>
      </c>
      <c r="C35047">
        <f>ROMAN(35046)</f>
        <v/>
      </c>
      <c r="D35047">
        <f>IF(B35047=C35047, "YES", "WRONG")</f>
        <v/>
      </c>
    </row>
    <row r="35048">
      <c r="A35048" t="n">
        <v>35047</v>
      </c>
      <c r="B35048" t="inlineStr">
        <is>
          <t>x̄x̄x̄V̅XLVII</t>
        </is>
      </c>
      <c r="C35048">
        <f>ROMAN(35047)</f>
        <v/>
      </c>
      <c r="D35048">
        <f>IF(B35048=C35048, "YES", "WRONG")</f>
        <v/>
      </c>
    </row>
    <row r="35049">
      <c r="A35049" t="n">
        <v>35048</v>
      </c>
      <c r="B35049" t="inlineStr">
        <is>
          <t>x̄x̄x̄V̅XLVIII</t>
        </is>
      </c>
      <c r="C35049">
        <f>ROMAN(35048)</f>
        <v/>
      </c>
      <c r="D35049">
        <f>IF(B35049=C35049, "YES", "WRONG")</f>
        <v/>
      </c>
    </row>
    <row r="35050">
      <c r="A35050" t="n">
        <v>35049</v>
      </c>
      <c r="B35050" t="inlineStr">
        <is>
          <t>x̄x̄x̄V̅XLIX</t>
        </is>
      </c>
      <c r="C35050">
        <f>ROMAN(35049)</f>
        <v/>
      </c>
      <c r="D35050">
        <f>IF(B35050=C35050, "YES", "WRONG")</f>
        <v/>
      </c>
    </row>
    <row r="35051">
      <c r="A35051" t="n">
        <v>35050</v>
      </c>
      <c r="B35051" t="inlineStr">
        <is>
          <t>x̄x̄x̄V̅L</t>
        </is>
      </c>
      <c r="C35051">
        <f>ROMAN(35050)</f>
        <v/>
      </c>
      <c r="D35051">
        <f>IF(B35051=C35051, "YES", "WRONG")</f>
        <v/>
      </c>
    </row>
    <row r="35052">
      <c r="A35052" t="n">
        <v>35051</v>
      </c>
      <c r="B35052" t="inlineStr">
        <is>
          <t>x̄x̄x̄V̅LI</t>
        </is>
      </c>
      <c r="C35052">
        <f>ROMAN(35051)</f>
        <v/>
      </c>
      <c r="D35052">
        <f>IF(B35052=C35052, "YES", "WRONG")</f>
        <v/>
      </c>
    </row>
    <row r="35053">
      <c r="A35053" t="n">
        <v>35052</v>
      </c>
      <c r="B35053" t="inlineStr">
        <is>
          <t>x̄x̄x̄V̅LII</t>
        </is>
      </c>
      <c r="C35053">
        <f>ROMAN(35052)</f>
        <v/>
      </c>
      <c r="D35053">
        <f>IF(B35053=C35053, "YES", "WRONG")</f>
        <v/>
      </c>
    </row>
    <row r="35054">
      <c r="A35054" t="n">
        <v>35053</v>
      </c>
      <c r="B35054" t="inlineStr">
        <is>
          <t>x̄x̄x̄V̅LIII</t>
        </is>
      </c>
      <c r="C35054">
        <f>ROMAN(35053)</f>
        <v/>
      </c>
      <c r="D35054">
        <f>IF(B35054=C35054, "YES", "WRONG")</f>
        <v/>
      </c>
    </row>
    <row r="35055">
      <c r="A35055" t="n">
        <v>35054</v>
      </c>
      <c r="B35055" t="inlineStr">
        <is>
          <t>x̄x̄x̄V̅LIV</t>
        </is>
      </c>
      <c r="C35055">
        <f>ROMAN(35054)</f>
        <v/>
      </c>
      <c r="D35055">
        <f>IF(B35055=C35055, "YES", "WRONG")</f>
        <v/>
      </c>
    </row>
    <row r="35056">
      <c r="A35056" t="n">
        <v>35055</v>
      </c>
      <c r="B35056" t="inlineStr">
        <is>
          <t>x̄x̄x̄V̅LV</t>
        </is>
      </c>
      <c r="C35056">
        <f>ROMAN(35055)</f>
        <v/>
      </c>
      <c r="D35056">
        <f>IF(B35056=C35056, "YES", "WRONG")</f>
        <v/>
      </c>
    </row>
    <row r="35057">
      <c r="A35057" t="n">
        <v>35056</v>
      </c>
      <c r="B35057" t="inlineStr">
        <is>
          <t>x̄x̄x̄V̅LVI</t>
        </is>
      </c>
      <c r="C35057">
        <f>ROMAN(35056)</f>
        <v/>
      </c>
      <c r="D35057">
        <f>IF(B35057=C35057, "YES", "WRONG")</f>
        <v/>
      </c>
    </row>
    <row r="35058">
      <c r="A35058" t="n">
        <v>35057</v>
      </c>
      <c r="B35058" t="inlineStr">
        <is>
          <t>x̄x̄x̄V̅LVII</t>
        </is>
      </c>
      <c r="C35058">
        <f>ROMAN(35057)</f>
        <v/>
      </c>
      <c r="D35058">
        <f>IF(B35058=C35058, "YES", "WRONG")</f>
        <v/>
      </c>
    </row>
    <row r="35059">
      <c r="A35059" t="n">
        <v>35058</v>
      </c>
      <c r="B35059" t="inlineStr">
        <is>
          <t>x̄x̄x̄V̅LVIII</t>
        </is>
      </c>
      <c r="C35059">
        <f>ROMAN(35058)</f>
        <v/>
      </c>
      <c r="D35059">
        <f>IF(B35059=C35059, "YES", "WRONG")</f>
        <v/>
      </c>
    </row>
    <row r="35060">
      <c r="A35060" t="n">
        <v>35059</v>
      </c>
      <c r="B35060" t="inlineStr">
        <is>
          <t>x̄x̄x̄V̅LIX</t>
        </is>
      </c>
      <c r="C35060">
        <f>ROMAN(35059)</f>
        <v/>
      </c>
      <c r="D35060">
        <f>IF(B35060=C35060, "YES", "WRONG")</f>
        <v/>
      </c>
    </row>
    <row r="35061">
      <c r="A35061" t="n">
        <v>35060</v>
      </c>
      <c r="B35061" t="inlineStr">
        <is>
          <t>x̄x̄x̄V̅LX</t>
        </is>
      </c>
      <c r="C35061">
        <f>ROMAN(35060)</f>
        <v/>
      </c>
      <c r="D35061">
        <f>IF(B35061=C35061, "YES", "WRONG")</f>
        <v/>
      </c>
    </row>
    <row r="35062">
      <c r="A35062" t="n">
        <v>35061</v>
      </c>
      <c r="B35062" t="inlineStr">
        <is>
          <t>x̄x̄x̄V̅LXI</t>
        </is>
      </c>
      <c r="C35062">
        <f>ROMAN(35061)</f>
        <v/>
      </c>
      <c r="D35062">
        <f>IF(B35062=C35062, "YES", "WRONG")</f>
        <v/>
      </c>
    </row>
    <row r="35063">
      <c r="A35063" t="n">
        <v>35062</v>
      </c>
      <c r="B35063" t="inlineStr">
        <is>
          <t>x̄x̄x̄V̅LXII</t>
        </is>
      </c>
      <c r="C35063">
        <f>ROMAN(35062)</f>
        <v/>
      </c>
      <c r="D35063">
        <f>IF(B35063=C35063, "YES", "WRONG")</f>
        <v/>
      </c>
    </row>
    <row r="35064">
      <c r="A35064" t="n">
        <v>35063</v>
      </c>
      <c r="B35064" t="inlineStr">
        <is>
          <t>x̄x̄x̄V̅LXIII</t>
        </is>
      </c>
      <c r="C35064">
        <f>ROMAN(35063)</f>
        <v/>
      </c>
      <c r="D35064">
        <f>IF(B35064=C35064, "YES", "WRONG")</f>
        <v/>
      </c>
    </row>
    <row r="35065">
      <c r="A35065" t="n">
        <v>35064</v>
      </c>
      <c r="B35065" t="inlineStr">
        <is>
          <t>x̄x̄x̄V̅LXIV</t>
        </is>
      </c>
      <c r="C35065">
        <f>ROMAN(35064)</f>
        <v/>
      </c>
      <c r="D35065">
        <f>IF(B35065=C35065, "YES", "WRONG")</f>
        <v/>
      </c>
    </row>
    <row r="35066">
      <c r="A35066" t="n">
        <v>35065</v>
      </c>
      <c r="B35066" t="inlineStr">
        <is>
          <t>x̄x̄x̄V̅LXV</t>
        </is>
      </c>
      <c r="C35066">
        <f>ROMAN(35065)</f>
        <v/>
      </c>
      <c r="D35066">
        <f>IF(B35066=C35066, "YES", "WRONG")</f>
        <v/>
      </c>
    </row>
    <row r="35067">
      <c r="A35067" t="n">
        <v>35066</v>
      </c>
      <c r="B35067" t="inlineStr">
        <is>
          <t>x̄x̄x̄V̅LXVI</t>
        </is>
      </c>
      <c r="C35067">
        <f>ROMAN(35066)</f>
        <v/>
      </c>
      <c r="D35067">
        <f>IF(B35067=C35067, "YES", "WRONG")</f>
        <v/>
      </c>
    </row>
    <row r="35068">
      <c r="A35068" t="n">
        <v>35067</v>
      </c>
      <c r="B35068" t="inlineStr">
        <is>
          <t>x̄x̄x̄V̅LXVII</t>
        </is>
      </c>
      <c r="C35068">
        <f>ROMAN(35067)</f>
        <v/>
      </c>
      <c r="D35068">
        <f>IF(B35068=C35068, "YES", "WRONG")</f>
        <v/>
      </c>
    </row>
    <row r="35069">
      <c r="A35069" t="n">
        <v>35068</v>
      </c>
      <c r="B35069" t="inlineStr">
        <is>
          <t>x̄x̄x̄V̅LXVIII</t>
        </is>
      </c>
      <c r="C35069">
        <f>ROMAN(35068)</f>
        <v/>
      </c>
      <c r="D35069">
        <f>IF(B35069=C35069, "YES", "WRONG")</f>
        <v/>
      </c>
    </row>
    <row r="35070">
      <c r="A35070" t="n">
        <v>35069</v>
      </c>
      <c r="B35070" t="inlineStr">
        <is>
          <t>x̄x̄x̄V̅LXIX</t>
        </is>
      </c>
      <c r="C35070">
        <f>ROMAN(35069)</f>
        <v/>
      </c>
      <c r="D35070">
        <f>IF(B35070=C35070, "YES", "WRONG")</f>
        <v/>
      </c>
    </row>
    <row r="35071">
      <c r="A35071" t="n">
        <v>35070</v>
      </c>
      <c r="B35071" t="inlineStr">
        <is>
          <t>x̄x̄x̄V̅LXX</t>
        </is>
      </c>
      <c r="C35071">
        <f>ROMAN(35070)</f>
        <v/>
      </c>
      <c r="D35071">
        <f>IF(B35071=C35071, "YES", "WRONG")</f>
        <v/>
      </c>
    </row>
    <row r="35072">
      <c r="A35072" t="n">
        <v>35071</v>
      </c>
      <c r="B35072" t="inlineStr">
        <is>
          <t>x̄x̄x̄V̅LXXI</t>
        </is>
      </c>
      <c r="C35072">
        <f>ROMAN(35071)</f>
        <v/>
      </c>
      <c r="D35072">
        <f>IF(B35072=C35072, "YES", "WRONG")</f>
        <v/>
      </c>
    </row>
    <row r="35073">
      <c r="A35073" t="n">
        <v>35072</v>
      </c>
      <c r="B35073" t="inlineStr">
        <is>
          <t>x̄x̄x̄V̅LXXII</t>
        </is>
      </c>
      <c r="C35073">
        <f>ROMAN(35072)</f>
        <v/>
      </c>
      <c r="D35073">
        <f>IF(B35073=C35073, "YES", "WRONG")</f>
        <v/>
      </c>
    </row>
    <row r="35074">
      <c r="A35074" t="n">
        <v>35073</v>
      </c>
      <c r="B35074" t="inlineStr">
        <is>
          <t>x̄x̄x̄V̅LXXIII</t>
        </is>
      </c>
      <c r="C35074">
        <f>ROMAN(35073)</f>
        <v/>
      </c>
      <c r="D35074">
        <f>IF(B35074=C35074, "YES", "WRONG")</f>
        <v/>
      </c>
    </row>
    <row r="35075">
      <c r="A35075" t="n">
        <v>35074</v>
      </c>
      <c r="B35075" t="inlineStr">
        <is>
          <t>x̄x̄x̄V̅LXXIV</t>
        </is>
      </c>
      <c r="C35075">
        <f>ROMAN(35074)</f>
        <v/>
      </c>
      <c r="D35075">
        <f>IF(B35075=C35075, "YES", "WRONG")</f>
        <v/>
      </c>
    </row>
    <row r="35076">
      <c r="A35076" t="n">
        <v>35075</v>
      </c>
      <c r="B35076" t="inlineStr">
        <is>
          <t>x̄x̄x̄V̅LXXV</t>
        </is>
      </c>
      <c r="C35076">
        <f>ROMAN(35075)</f>
        <v/>
      </c>
      <c r="D35076">
        <f>IF(B35076=C35076, "YES", "WRONG")</f>
        <v/>
      </c>
    </row>
    <row r="35077">
      <c r="A35077" t="n">
        <v>35076</v>
      </c>
      <c r="B35077" t="inlineStr">
        <is>
          <t>x̄x̄x̄V̅LXXVI</t>
        </is>
      </c>
      <c r="C35077">
        <f>ROMAN(35076)</f>
        <v/>
      </c>
      <c r="D35077">
        <f>IF(B35077=C35077, "YES", "WRONG")</f>
        <v/>
      </c>
    </row>
    <row r="35078">
      <c r="A35078" t="n">
        <v>35077</v>
      </c>
      <c r="B35078" t="inlineStr">
        <is>
          <t>x̄x̄x̄V̅LXXVII</t>
        </is>
      </c>
      <c r="C35078">
        <f>ROMAN(35077)</f>
        <v/>
      </c>
      <c r="D35078">
        <f>IF(B35078=C35078, "YES", "WRONG")</f>
        <v/>
      </c>
    </row>
    <row r="35079">
      <c r="A35079" t="n">
        <v>35078</v>
      </c>
      <c r="B35079" t="inlineStr">
        <is>
          <t>x̄x̄x̄V̅LXXVIII</t>
        </is>
      </c>
      <c r="C35079">
        <f>ROMAN(35078)</f>
        <v/>
      </c>
      <c r="D35079">
        <f>IF(B35079=C35079, "YES", "WRONG")</f>
        <v/>
      </c>
    </row>
    <row r="35080">
      <c r="A35080" t="n">
        <v>35079</v>
      </c>
      <c r="B35080" t="inlineStr">
        <is>
          <t>x̄x̄x̄V̅LXXIX</t>
        </is>
      </c>
      <c r="C35080">
        <f>ROMAN(35079)</f>
        <v/>
      </c>
      <c r="D35080">
        <f>IF(B35080=C35080, "YES", "WRONG")</f>
        <v/>
      </c>
    </row>
    <row r="35081">
      <c r="A35081" t="n">
        <v>35080</v>
      </c>
      <c r="B35081" t="inlineStr">
        <is>
          <t>x̄x̄x̄V̅LXXX</t>
        </is>
      </c>
      <c r="C35081">
        <f>ROMAN(35080)</f>
        <v/>
      </c>
      <c r="D35081">
        <f>IF(B35081=C35081, "YES", "WRONG")</f>
        <v/>
      </c>
    </row>
    <row r="35082">
      <c r="A35082" t="n">
        <v>35081</v>
      </c>
      <c r="B35082" t="inlineStr">
        <is>
          <t>x̄x̄x̄V̅LXXXI</t>
        </is>
      </c>
      <c r="C35082">
        <f>ROMAN(35081)</f>
        <v/>
      </c>
      <c r="D35082">
        <f>IF(B35082=C35082, "YES", "WRONG")</f>
        <v/>
      </c>
    </row>
    <row r="35083">
      <c r="A35083" t="n">
        <v>35082</v>
      </c>
      <c r="B35083" t="inlineStr">
        <is>
          <t>x̄x̄x̄V̅LXXXII</t>
        </is>
      </c>
      <c r="C35083">
        <f>ROMAN(35082)</f>
        <v/>
      </c>
      <c r="D35083">
        <f>IF(B35083=C35083, "YES", "WRONG")</f>
        <v/>
      </c>
    </row>
    <row r="35084">
      <c r="A35084" t="n">
        <v>35083</v>
      </c>
      <c r="B35084" t="inlineStr">
        <is>
          <t>x̄x̄x̄V̅LXXXIII</t>
        </is>
      </c>
      <c r="C35084">
        <f>ROMAN(35083)</f>
        <v/>
      </c>
      <c r="D35084">
        <f>IF(B35084=C35084, "YES", "WRONG")</f>
        <v/>
      </c>
    </row>
    <row r="35085">
      <c r="A35085" t="n">
        <v>35084</v>
      </c>
      <c r="B35085" t="inlineStr">
        <is>
          <t>x̄x̄x̄V̅LXXXIV</t>
        </is>
      </c>
      <c r="C35085">
        <f>ROMAN(35084)</f>
        <v/>
      </c>
      <c r="D35085">
        <f>IF(B35085=C35085, "YES", "WRONG")</f>
        <v/>
      </c>
    </row>
    <row r="35086">
      <c r="A35086" t="n">
        <v>35085</v>
      </c>
      <c r="B35086" t="inlineStr">
        <is>
          <t>x̄x̄x̄V̅LXXXV</t>
        </is>
      </c>
      <c r="C35086">
        <f>ROMAN(35085)</f>
        <v/>
      </c>
      <c r="D35086">
        <f>IF(B35086=C35086, "YES", "WRONG")</f>
        <v/>
      </c>
    </row>
    <row r="35087">
      <c r="A35087" t="n">
        <v>35086</v>
      </c>
      <c r="B35087" t="inlineStr">
        <is>
          <t>x̄x̄x̄V̅LXXXVI</t>
        </is>
      </c>
      <c r="C35087">
        <f>ROMAN(35086)</f>
        <v/>
      </c>
      <c r="D35087">
        <f>IF(B35087=C35087, "YES", "WRONG")</f>
        <v/>
      </c>
    </row>
    <row r="35088">
      <c r="A35088" t="n">
        <v>35087</v>
      </c>
      <c r="B35088" t="inlineStr">
        <is>
          <t>x̄x̄x̄V̅LXXXVII</t>
        </is>
      </c>
      <c r="C35088">
        <f>ROMAN(35087)</f>
        <v/>
      </c>
      <c r="D35088">
        <f>IF(B35088=C35088, "YES", "WRONG")</f>
        <v/>
      </c>
    </row>
    <row r="35089">
      <c r="A35089" t="n">
        <v>35088</v>
      </c>
      <c r="B35089" t="inlineStr">
        <is>
          <t>x̄x̄x̄V̅LXXXVIII</t>
        </is>
      </c>
      <c r="C35089">
        <f>ROMAN(35088)</f>
        <v/>
      </c>
      <c r="D35089">
        <f>IF(B35089=C35089, "YES", "WRONG")</f>
        <v/>
      </c>
    </row>
    <row r="35090">
      <c r="A35090" t="n">
        <v>35089</v>
      </c>
      <c r="B35090" t="inlineStr">
        <is>
          <t>x̄x̄x̄V̅LXXXIX</t>
        </is>
      </c>
      <c r="C35090">
        <f>ROMAN(35089)</f>
        <v/>
      </c>
      <c r="D35090">
        <f>IF(B35090=C35090, "YES", "WRONG")</f>
        <v/>
      </c>
    </row>
    <row r="35091">
      <c r="A35091" t="n">
        <v>35090</v>
      </c>
      <c r="B35091" t="inlineStr">
        <is>
          <t>x̄x̄x̄V̅XC</t>
        </is>
      </c>
      <c r="C35091">
        <f>ROMAN(35090)</f>
        <v/>
      </c>
      <c r="D35091">
        <f>IF(B35091=C35091, "YES", "WRONG")</f>
        <v/>
      </c>
    </row>
    <row r="35092">
      <c r="A35092" t="n">
        <v>35091</v>
      </c>
      <c r="B35092" t="inlineStr">
        <is>
          <t>x̄x̄x̄V̅XCI</t>
        </is>
      </c>
      <c r="C35092">
        <f>ROMAN(35091)</f>
        <v/>
      </c>
      <c r="D35092">
        <f>IF(B35092=C35092, "YES", "WRONG")</f>
        <v/>
      </c>
    </row>
    <row r="35093">
      <c r="A35093" t="n">
        <v>35092</v>
      </c>
      <c r="B35093" t="inlineStr">
        <is>
          <t>x̄x̄x̄V̅XCII</t>
        </is>
      </c>
      <c r="C35093">
        <f>ROMAN(35092)</f>
        <v/>
      </c>
      <c r="D35093">
        <f>IF(B35093=C35093, "YES", "WRONG")</f>
        <v/>
      </c>
    </row>
    <row r="35094">
      <c r="A35094" t="n">
        <v>35093</v>
      </c>
      <c r="B35094" t="inlineStr">
        <is>
          <t>x̄x̄x̄V̅XCIII</t>
        </is>
      </c>
      <c r="C35094">
        <f>ROMAN(35093)</f>
        <v/>
      </c>
      <c r="D35094">
        <f>IF(B35094=C35094, "YES", "WRONG")</f>
        <v/>
      </c>
    </row>
    <row r="35095">
      <c r="A35095" t="n">
        <v>35094</v>
      </c>
      <c r="B35095" t="inlineStr">
        <is>
          <t>x̄x̄x̄V̅XCIV</t>
        </is>
      </c>
      <c r="C35095">
        <f>ROMAN(35094)</f>
        <v/>
      </c>
      <c r="D35095">
        <f>IF(B35095=C35095, "YES", "WRONG")</f>
        <v/>
      </c>
    </row>
    <row r="35096">
      <c r="A35096" t="n">
        <v>35095</v>
      </c>
      <c r="B35096" t="inlineStr">
        <is>
          <t>x̄x̄x̄V̅XCV</t>
        </is>
      </c>
      <c r="C35096">
        <f>ROMAN(35095)</f>
        <v/>
      </c>
      <c r="D35096">
        <f>IF(B35096=C35096, "YES", "WRONG")</f>
        <v/>
      </c>
    </row>
    <row r="35097">
      <c r="A35097" t="n">
        <v>35096</v>
      </c>
      <c r="B35097" t="inlineStr">
        <is>
          <t>x̄x̄x̄V̅XCVI</t>
        </is>
      </c>
      <c r="C35097">
        <f>ROMAN(35096)</f>
        <v/>
      </c>
      <c r="D35097">
        <f>IF(B35097=C35097, "YES", "WRONG")</f>
        <v/>
      </c>
    </row>
    <row r="35098">
      <c r="A35098" t="n">
        <v>35097</v>
      </c>
      <c r="B35098" t="inlineStr">
        <is>
          <t>x̄x̄x̄V̅XCVII</t>
        </is>
      </c>
      <c r="C35098">
        <f>ROMAN(35097)</f>
        <v/>
      </c>
      <c r="D35098">
        <f>IF(B35098=C35098, "YES", "WRONG")</f>
        <v/>
      </c>
    </row>
    <row r="35099">
      <c r="A35099" t="n">
        <v>35098</v>
      </c>
      <c r="B35099" t="inlineStr">
        <is>
          <t>x̄x̄x̄V̅XCVIII</t>
        </is>
      </c>
      <c r="C35099">
        <f>ROMAN(35098)</f>
        <v/>
      </c>
      <c r="D35099">
        <f>IF(B35099=C35099, "YES", "WRONG")</f>
        <v/>
      </c>
    </row>
    <row r="35100">
      <c r="A35100" t="n">
        <v>35099</v>
      </c>
      <c r="B35100" t="inlineStr">
        <is>
          <t>x̄x̄x̄V̅XCIX</t>
        </is>
      </c>
      <c r="C35100">
        <f>ROMAN(35099)</f>
        <v/>
      </c>
      <c r="D35100">
        <f>IF(B35100=C35100, "YES", "WRONG")</f>
        <v/>
      </c>
    </row>
    <row r="35101">
      <c r="A35101" t="n">
        <v>35100</v>
      </c>
      <c r="B35101" t="inlineStr">
        <is>
          <t>x̄x̄x̄V̅C</t>
        </is>
      </c>
      <c r="C35101">
        <f>ROMAN(35100)</f>
        <v/>
      </c>
      <c r="D35101">
        <f>IF(B35101=C35101, "YES", "WRONG")</f>
        <v/>
      </c>
    </row>
    <row r="35102">
      <c r="A35102" t="n">
        <v>35101</v>
      </c>
      <c r="B35102" t="inlineStr">
        <is>
          <t>x̄x̄x̄V̅CI</t>
        </is>
      </c>
      <c r="C35102">
        <f>ROMAN(35101)</f>
        <v/>
      </c>
      <c r="D35102">
        <f>IF(B35102=C35102, "YES", "WRONG")</f>
        <v/>
      </c>
    </row>
    <row r="35103">
      <c r="A35103" t="n">
        <v>35102</v>
      </c>
      <c r="B35103" t="inlineStr">
        <is>
          <t>x̄x̄x̄V̅CII</t>
        </is>
      </c>
      <c r="C35103">
        <f>ROMAN(35102)</f>
        <v/>
      </c>
      <c r="D35103">
        <f>IF(B35103=C35103, "YES", "WRONG")</f>
        <v/>
      </c>
    </row>
    <row r="35104">
      <c r="A35104" t="n">
        <v>35103</v>
      </c>
      <c r="B35104" t="inlineStr">
        <is>
          <t>x̄x̄x̄V̅CIII</t>
        </is>
      </c>
      <c r="C35104">
        <f>ROMAN(35103)</f>
        <v/>
      </c>
      <c r="D35104">
        <f>IF(B35104=C35104, "YES", "WRONG")</f>
        <v/>
      </c>
    </row>
    <row r="35105">
      <c r="A35105" t="n">
        <v>35104</v>
      </c>
      <c r="B35105" t="inlineStr">
        <is>
          <t>x̄x̄x̄V̅CIV</t>
        </is>
      </c>
      <c r="C35105">
        <f>ROMAN(35104)</f>
        <v/>
      </c>
      <c r="D35105">
        <f>IF(B35105=C35105, "YES", "WRONG")</f>
        <v/>
      </c>
    </row>
    <row r="35106">
      <c r="A35106" t="n">
        <v>35105</v>
      </c>
      <c r="B35106" t="inlineStr">
        <is>
          <t>x̄x̄x̄V̅CV</t>
        </is>
      </c>
      <c r="C35106">
        <f>ROMAN(35105)</f>
        <v/>
      </c>
      <c r="D35106">
        <f>IF(B35106=C35106, "YES", "WRONG")</f>
        <v/>
      </c>
    </row>
    <row r="35107">
      <c r="A35107" t="n">
        <v>35106</v>
      </c>
      <c r="B35107" t="inlineStr">
        <is>
          <t>x̄x̄x̄V̅CVI</t>
        </is>
      </c>
      <c r="C35107">
        <f>ROMAN(35106)</f>
        <v/>
      </c>
      <c r="D35107">
        <f>IF(B35107=C35107, "YES", "WRONG")</f>
        <v/>
      </c>
    </row>
    <row r="35108">
      <c r="A35108" t="n">
        <v>35107</v>
      </c>
      <c r="B35108" t="inlineStr">
        <is>
          <t>x̄x̄x̄V̅CVII</t>
        </is>
      </c>
      <c r="C35108">
        <f>ROMAN(35107)</f>
        <v/>
      </c>
      <c r="D35108">
        <f>IF(B35108=C35108, "YES", "WRONG")</f>
        <v/>
      </c>
    </row>
    <row r="35109">
      <c r="A35109" t="n">
        <v>35108</v>
      </c>
      <c r="B35109" t="inlineStr">
        <is>
          <t>x̄x̄x̄V̅CVIII</t>
        </is>
      </c>
      <c r="C35109">
        <f>ROMAN(35108)</f>
        <v/>
      </c>
      <c r="D35109">
        <f>IF(B35109=C35109, "YES", "WRONG")</f>
        <v/>
      </c>
    </row>
    <row r="35110">
      <c r="A35110" t="n">
        <v>35109</v>
      </c>
      <c r="B35110" t="inlineStr">
        <is>
          <t>x̄x̄x̄V̅CIX</t>
        </is>
      </c>
      <c r="C35110">
        <f>ROMAN(35109)</f>
        <v/>
      </c>
      <c r="D35110">
        <f>IF(B35110=C35110, "YES", "WRONG")</f>
        <v/>
      </c>
    </row>
    <row r="35111">
      <c r="A35111" t="n">
        <v>35110</v>
      </c>
      <c r="B35111" t="inlineStr">
        <is>
          <t>x̄x̄x̄V̅CX</t>
        </is>
      </c>
      <c r="C35111">
        <f>ROMAN(35110)</f>
        <v/>
      </c>
      <c r="D35111">
        <f>IF(B35111=C35111, "YES", "WRONG")</f>
        <v/>
      </c>
    </row>
    <row r="35112">
      <c r="A35112" t="n">
        <v>35111</v>
      </c>
      <c r="B35112" t="inlineStr">
        <is>
          <t>x̄x̄x̄V̅CXI</t>
        </is>
      </c>
      <c r="C35112">
        <f>ROMAN(35111)</f>
        <v/>
      </c>
      <c r="D35112">
        <f>IF(B35112=C35112, "YES", "WRONG")</f>
        <v/>
      </c>
    </row>
    <row r="35113">
      <c r="A35113" t="n">
        <v>35112</v>
      </c>
      <c r="B35113" t="inlineStr">
        <is>
          <t>x̄x̄x̄V̅CXII</t>
        </is>
      </c>
      <c r="C35113">
        <f>ROMAN(35112)</f>
        <v/>
      </c>
      <c r="D35113">
        <f>IF(B35113=C35113, "YES", "WRONG")</f>
        <v/>
      </c>
    </row>
    <row r="35114">
      <c r="A35114" t="n">
        <v>35113</v>
      </c>
      <c r="B35114" t="inlineStr">
        <is>
          <t>x̄x̄x̄V̅CXIII</t>
        </is>
      </c>
      <c r="C35114">
        <f>ROMAN(35113)</f>
        <v/>
      </c>
      <c r="D35114">
        <f>IF(B35114=C35114, "YES", "WRONG")</f>
        <v/>
      </c>
    </row>
    <row r="35115">
      <c r="A35115" t="n">
        <v>35114</v>
      </c>
      <c r="B35115" t="inlineStr">
        <is>
          <t>x̄x̄x̄V̅CXIV</t>
        </is>
      </c>
      <c r="C35115">
        <f>ROMAN(35114)</f>
        <v/>
      </c>
      <c r="D35115">
        <f>IF(B35115=C35115, "YES", "WRONG")</f>
        <v/>
      </c>
    </row>
    <row r="35116">
      <c r="A35116" t="n">
        <v>35115</v>
      </c>
      <c r="B35116" t="inlineStr">
        <is>
          <t>x̄x̄x̄V̅CXV</t>
        </is>
      </c>
      <c r="C35116">
        <f>ROMAN(35115)</f>
        <v/>
      </c>
      <c r="D35116">
        <f>IF(B35116=C35116, "YES", "WRONG")</f>
        <v/>
      </c>
    </row>
    <row r="35117">
      <c r="A35117" t="n">
        <v>35116</v>
      </c>
      <c r="B35117" t="inlineStr">
        <is>
          <t>x̄x̄x̄V̅CXVI</t>
        </is>
      </c>
      <c r="C35117">
        <f>ROMAN(35116)</f>
        <v/>
      </c>
      <c r="D35117">
        <f>IF(B35117=C35117, "YES", "WRONG")</f>
        <v/>
      </c>
    </row>
    <row r="35118">
      <c r="A35118" t="n">
        <v>35117</v>
      </c>
      <c r="B35118" t="inlineStr">
        <is>
          <t>x̄x̄x̄V̅CXVII</t>
        </is>
      </c>
      <c r="C35118">
        <f>ROMAN(35117)</f>
        <v/>
      </c>
      <c r="D35118">
        <f>IF(B35118=C35118, "YES", "WRONG")</f>
        <v/>
      </c>
    </row>
    <row r="35119">
      <c r="A35119" t="n">
        <v>35118</v>
      </c>
      <c r="B35119" t="inlineStr">
        <is>
          <t>x̄x̄x̄V̅CXVIII</t>
        </is>
      </c>
      <c r="C35119">
        <f>ROMAN(35118)</f>
        <v/>
      </c>
      <c r="D35119">
        <f>IF(B35119=C35119, "YES", "WRONG")</f>
        <v/>
      </c>
    </row>
    <row r="35120">
      <c r="A35120" t="n">
        <v>35119</v>
      </c>
      <c r="B35120" t="inlineStr">
        <is>
          <t>x̄x̄x̄V̅CXIX</t>
        </is>
      </c>
      <c r="C35120">
        <f>ROMAN(35119)</f>
        <v/>
      </c>
      <c r="D35120">
        <f>IF(B35120=C35120, "YES", "WRONG")</f>
        <v/>
      </c>
    </row>
    <row r="35121">
      <c r="A35121" t="n">
        <v>35120</v>
      </c>
      <c r="B35121" t="inlineStr">
        <is>
          <t>x̄x̄x̄V̅CXX</t>
        </is>
      </c>
      <c r="C35121">
        <f>ROMAN(35120)</f>
        <v/>
      </c>
      <c r="D35121">
        <f>IF(B35121=C35121, "YES", "WRONG")</f>
        <v/>
      </c>
    </row>
    <row r="35122">
      <c r="A35122" t="n">
        <v>35121</v>
      </c>
      <c r="B35122" t="inlineStr">
        <is>
          <t>x̄x̄x̄V̅CXXI</t>
        </is>
      </c>
      <c r="C35122">
        <f>ROMAN(35121)</f>
        <v/>
      </c>
      <c r="D35122">
        <f>IF(B35122=C35122, "YES", "WRONG")</f>
        <v/>
      </c>
    </row>
    <row r="35123">
      <c r="A35123" t="n">
        <v>35122</v>
      </c>
      <c r="B35123" t="inlineStr">
        <is>
          <t>x̄x̄x̄V̅CXXII</t>
        </is>
      </c>
      <c r="C35123">
        <f>ROMAN(35122)</f>
        <v/>
      </c>
      <c r="D35123">
        <f>IF(B35123=C35123, "YES", "WRONG")</f>
        <v/>
      </c>
    </row>
    <row r="35124">
      <c r="A35124" t="n">
        <v>35123</v>
      </c>
      <c r="B35124" t="inlineStr">
        <is>
          <t>x̄x̄x̄V̅CXXIII</t>
        </is>
      </c>
      <c r="C35124">
        <f>ROMAN(35123)</f>
        <v/>
      </c>
      <c r="D35124">
        <f>IF(B35124=C35124, "YES", "WRONG")</f>
        <v/>
      </c>
    </row>
    <row r="35125">
      <c r="A35125" t="n">
        <v>35124</v>
      </c>
      <c r="B35125" t="inlineStr">
        <is>
          <t>x̄x̄x̄V̅CXXIV</t>
        </is>
      </c>
      <c r="C35125">
        <f>ROMAN(35124)</f>
        <v/>
      </c>
      <c r="D35125">
        <f>IF(B35125=C35125, "YES", "WRONG")</f>
        <v/>
      </c>
    </row>
    <row r="35126">
      <c r="A35126" t="n">
        <v>35125</v>
      </c>
      <c r="B35126" t="inlineStr">
        <is>
          <t>x̄x̄x̄V̅CXXV</t>
        </is>
      </c>
      <c r="C35126">
        <f>ROMAN(35125)</f>
        <v/>
      </c>
      <c r="D35126">
        <f>IF(B35126=C35126, "YES", "WRONG")</f>
        <v/>
      </c>
    </row>
    <row r="35127">
      <c r="A35127" t="n">
        <v>35126</v>
      </c>
      <c r="B35127" t="inlineStr">
        <is>
          <t>x̄x̄x̄V̅CXXVI</t>
        </is>
      </c>
      <c r="C35127">
        <f>ROMAN(35126)</f>
        <v/>
      </c>
      <c r="D35127">
        <f>IF(B35127=C35127, "YES", "WRONG")</f>
        <v/>
      </c>
    </row>
    <row r="35128">
      <c r="A35128" t="n">
        <v>35127</v>
      </c>
      <c r="B35128" t="inlineStr">
        <is>
          <t>x̄x̄x̄V̅CXXVII</t>
        </is>
      </c>
      <c r="C35128">
        <f>ROMAN(35127)</f>
        <v/>
      </c>
      <c r="D35128">
        <f>IF(B35128=C35128, "YES", "WRONG")</f>
        <v/>
      </c>
    </row>
    <row r="35129">
      <c r="A35129" t="n">
        <v>35128</v>
      </c>
      <c r="B35129" t="inlineStr">
        <is>
          <t>x̄x̄x̄V̅CXXVIII</t>
        </is>
      </c>
      <c r="C35129">
        <f>ROMAN(35128)</f>
        <v/>
      </c>
      <c r="D35129">
        <f>IF(B35129=C35129, "YES", "WRONG")</f>
        <v/>
      </c>
    </row>
    <row r="35130">
      <c r="A35130" t="n">
        <v>35129</v>
      </c>
      <c r="B35130" t="inlineStr">
        <is>
          <t>x̄x̄x̄V̅CXXIX</t>
        </is>
      </c>
      <c r="C35130">
        <f>ROMAN(35129)</f>
        <v/>
      </c>
      <c r="D35130">
        <f>IF(B35130=C35130, "YES", "WRONG")</f>
        <v/>
      </c>
    </row>
    <row r="35131">
      <c r="A35131" t="n">
        <v>35130</v>
      </c>
      <c r="B35131" t="inlineStr">
        <is>
          <t>x̄x̄x̄V̅CXXX</t>
        </is>
      </c>
      <c r="C35131">
        <f>ROMAN(35130)</f>
        <v/>
      </c>
      <c r="D35131">
        <f>IF(B35131=C35131, "YES", "WRONG")</f>
        <v/>
      </c>
    </row>
    <row r="35132">
      <c r="A35132" t="n">
        <v>35131</v>
      </c>
      <c r="B35132" t="inlineStr">
        <is>
          <t>x̄x̄x̄V̅CXXXI</t>
        </is>
      </c>
      <c r="C35132">
        <f>ROMAN(35131)</f>
        <v/>
      </c>
      <c r="D35132">
        <f>IF(B35132=C35132, "YES", "WRONG")</f>
        <v/>
      </c>
    </row>
    <row r="35133">
      <c r="A35133" t="n">
        <v>35132</v>
      </c>
      <c r="B35133" t="inlineStr">
        <is>
          <t>x̄x̄x̄V̅CXXXII</t>
        </is>
      </c>
      <c r="C35133">
        <f>ROMAN(35132)</f>
        <v/>
      </c>
      <c r="D35133">
        <f>IF(B35133=C35133, "YES", "WRONG")</f>
        <v/>
      </c>
    </row>
    <row r="35134">
      <c r="A35134" t="n">
        <v>35133</v>
      </c>
      <c r="B35134" t="inlineStr">
        <is>
          <t>x̄x̄x̄V̅CXXXIII</t>
        </is>
      </c>
      <c r="C35134">
        <f>ROMAN(35133)</f>
        <v/>
      </c>
      <c r="D35134">
        <f>IF(B35134=C35134, "YES", "WRONG")</f>
        <v/>
      </c>
    </row>
    <row r="35135">
      <c r="A35135" t="n">
        <v>35134</v>
      </c>
      <c r="B35135" t="inlineStr">
        <is>
          <t>x̄x̄x̄V̅CXXXIV</t>
        </is>
      </c>
      <c r="C35135">
        <f>ROMAN(35134)</f>
        <v/>
      </c>
      <c r="D35135">
        <f>IF(B35135=C35135, "YES", "WRONG")</f>
        <v/>
      </c>
    </row>
    <row r="35136">
      <c r="A35136" t="n">
        <v>35135</v>
      </c>
      <c r="B35136" t="inlineStr">
        <is>
          <t>x̄x̄x̄V̅CXXXV</t>
        </is>
      </c>
      <c r="C35136">
        <f>ROMAN(35135)</f>
        <v/>
      </c>
      <c r="D35136">
        <f>IF(B35136=C35136, "YES", "WRONG")</f>
        <v/>
      </c>
    </row>
    <row r="35137">
      <c r="A35137" t="n">
        <v>35136</v>
      </c>
      <c r="B35137" t="inlineStr">
        <is>
          <t>x̄x̄x̄V̅CXXXVI</t>
        </is>
      </c>
      <c r="C35137">
        <f>ROMAN(35136)</f>
        <v/>
      </c>
      <c r="D35137">
        <f>IF(B35137=C35137, "YES", "WRONG")</f>
        <v/>
      </c>
    </row>
    <row r="35138">
      <c r="A35138" t="n">
        <v>35137</v>
      </c>
      <c r="B35138" t="inlineStr">
        <is>
          <t>x̄x̄x̄V̅CXXXVII</t>
        </is>
      </c>
      <c r="C35138">
        <f>ROMAN(35137)</f>
        <v/>
      </c>
      <c r="D35138">
        <f>IF(B35138=C35138, "YES", "WRONG")</f>
        <v/>
      </c>
    </row>
    <row r="35139">
      <c r="A35139" t="n">
        <v>35138</v>
      </c>
      <c r="B35139" t="inlineStr">
        <is>
          <t>x̄x̄x̄V̅CXXXVIII</t>
        </is>
      </c>
      <c r="C35139">
        <f>ROMAN(35138)</f>
        <v/>
      </c>
      <c r="D35139">
        <f>IF(B35139=C35139, "YES", "WRONG")</f>
        <v/>
      </c>
    </row>
    <row r="35140">
      <c r="A35140" t="n">
        <v>35139</v>
      </c>
      <c r="B35140" t="inlineStr">
        <is>
          <t>x̄x̄x̄V̅CXXXIX</t>
        </is>
      </c>
      <c r="C35140">
        <f>ROMAN(35139)</f>
        <v/>
      </c>
      <c r="D35140">
        <f>IF(B35140=C35140, "YES", "WRONG")</f>
        <v/>
      </c>
    </row>
    <row r="35141">
      <c r="A35141" t="n">
        <v>35140</v>
      </c>
      <c r="B35141" t="inlineStr">
        <is>
          <t>x̄x̄x̄V̅CXL</t>
        </is>
      </c>
      <c r="C35141">
        <f>ROMAN(35140)</f>
        <v/>
      </c>
      <c r="D35141">
        <f>IF(B35141=C35141, "YES", "WRONG")</f>
        <v/>
      </c>
    </row>
    <row r="35142">
      <c r="A35142" t="n">
        <v>35141</v>
      </c>
      <c r="B35142" t="inlineStr">
        <is>
          <t>x̄x̄x̄V̅CXLI</t>
        </is>
      </c>
      <c r="C35142">
        <f>ROMAN(35141)</f>
        <v/>
      </c>
      <c r="D35142">
        <f>IF(B35142=C35142, "YES", "WRONG")</f>
        <v/>
      </c>
    </row>
    <row r="35143">
      <c r="A35143" t="n">
        <v>35142</v>
      </c>
      <c r="B35143" t="inlineStr">
        <is>
          <t>x̄x̄x̄V̅CXLII</t>
        </is>
      </c>
      <c r="C35143">
        <f>ROMAN(35142)</f>
        <v/>
      </c>
      <c r="D35143">
        <f>IF(B35143=C35143, "YES", "WRONG")</f>
        <v/>
      </c>
    </row>
    <row r="35144">
      <c r="A35144" t="n">
        <v>35143</v>
      </c>
      <c r="B35144" t="inlineStr">
        <is>
          <t>x̄x̄x̄V̅CXLIII</t>
        </is>
      </c>
      <c r="C35144">
        <f>ROMAN(35143)</f>
        <v/>
      </c>
      <c r="D35144">
        <f>IF(B35144=C35144, "YES", "WRONG")</f>
        <v/>
      </c>
    </row>
    <row r="35145">
      <c r="A35145" t="n">
        <v>35144</v>
      </c>
      <c r="B35145" t="inlineStr">
        <is>
          <t>x̄x̄x̄V̅CXLIV</t>
        </is>
      </c>
      <c r="C35145">
        <f>ROMAN(35144)</f>
        <v/>
      </c>
      <c r="D35145">
        <f>IF(B35145=C35145, "YES", "WRONG")</f>
        <v/>
      </c>
    </row>
    <row r="35146">
      <c r="A35146" t="n">
        <v>35145</v>
      </c>
      <c r="B35146" t="inlineStr">
        <is>
          <t>x̄x̄x̄V̅CXLV</t>
        </is>
      </c>
      <c r="C35146">
        <f>ROMAN(35145)</f>
        <v/>
      </c>
      <c r="D35146">
        <f>IF(B35146=C35146, "YES", "WRONG")</f>
        <v/>
      </c>
    </row>
    <row r="35147">
      <c r="A35147" t="n">
        <v>35146</v>
      </c>
      <c r="B35147" t="inlineStr">
        <is>
          <t>x̄x̄x̄V̅CXLVI</t>
        </is>
      </c>
      <c r="C35147">
        <f>ROMAN(35146)</f>
        <v/>
      </c>
      <c r="D35147">
        <f>IF(B35147=C35147, "YES", "WRONG")</f>
        <v/>
      </c>
    </row>
    <row r="35148">
      <c r="A35148" t="n">
        <v>35147</v>
      </c>
      <c r="B35148" t="inlineStr">
        <is>
          <t>x̄x̄x̄V̅CXLVII</t>
        </is>
      </c>
      <c r="C35148">
        <f>ROMAN(35147)</f>
        <v/>
      </c>
      <c r="D35148">
        <f>IF(B35148=C35148, "YES", "WRONG")</f>
        <v/>
      </c>
    </row>
    <row r="35149">
      <c r="A35149" t="n">
        <v>35148</v>
      </c>
      <c r="B35149" t="inlineStr">
        <is>
          <t>x̄x̄x̄V̅CXLVIII</t>
        </is>
      </c>
      <c r="C35149">
        <f>ROMAN(35148)</f>
        <v/>
      </c>
      <c r="D35149">
        <f>IF(B35149=C35149, "YES", "WRONG")</f>
        <v/>
      </c>
    </row>
    <row r="35150">
      <c r="A35150" t="n">
        <v>35149</v>
      </c>
      <c r="B35150" t="inlineStr">
        <is>
          <t>x̄x̄x̄V̅CXLIX</t>
        </is>
      </c>
      <c r="C35150">
        <f>ROMAN(35149)</f>
        <v/>
      </c>
      <c r="D35150">
        <f>IF(B35150=C35150, "YES", "WRONG")</f>
        <v/>
      </c>
    </row>
    <row r="35151">
      <c r="A35151" t="n">
        <v>35150</v>
      </c>
      <c r="B35151" t="inlineStr">
        <is>
          <t>x̄x̄x̄V̅CL</t>
        </is>
      </c>
      <c r="C35151">
        <f>ROMAN(35150)</f>
        <v/>
      </c>
      <c r="D35151">
        <f>IF(B35151=C35151, "YES", "WRONG")</f>
        <v/>
      </c>
    </row>
    <row r="35152">
      <c r="A35152" t="n">
        <v>35151</v>
      </c>
      <c r="B35152" t="inlineStr">
        <is>
          <t>x̄x̄x̄V̅CLI</t>
        </is>
      </c>
      <c r="C35152">
        <f>ROMAN(35151)</f>
        <v/>
      </c>
      <c r="D35152">
        <f>IF(B35152=C35152, "YES", "WRONG")</f>
        <v/>
      </c>
    </row>
    <row r="35153">
      <c r="A35153" t="n">
        <v>35152</v>
      </c>
      <c r="B35153" t="inlineStr">
        <is>
          <t>x̄x̄x̄V̅CLII</t>
        </is>
      </c>
      <c r="C35153">
        <f>ROMAN(35152)</f>
        <v/>
      </c>
      <c r="D35153">
        <f>IF(B35153=C35153, "YES", "WRONG")</f>
        <v/>
      </c>
    </row>
    <row r="35154">
      <c r="A35154" t="n">
        <v>35153</v>
      </c>
      <c r="B35154" t="inlineStr">
        <is>
          <t>x̄x̄x̄V̅CLIII</t>
        </is>
      </c>
      <c r="C35154">
        <f>ROMAN(35153)</f>
        <v/>
      </c>
      <c r="D35154">
        <f>IF(B35154=C35154, "YES", "WRONG")</f>
        <v/>
      </c>
    </row>
    <row r="35155">
      <c r="A35155" t="n">
        <v>35154</v>
      </c>
      <c r="B35155" t="inlineStr">
        <is>
          <t>x̄x̄x̄V̅CLIV</t>
        </is>
      </c>
      <c r="C35155">
        <f>ROMAN(35154)</f>
        <v/>
      </c>
      <c r="D35155">
        <f>IF(B35155=C35155, "YES", "WRONG")</f>
        <v/>
      </c>
    </row>
    <row r="35156">
      <c r="A35156" t="n">
        <v>35155</v>
      </c>
      <c r="B35156" t="inlineStr">
        <is>
          <t>x̄x̄x̄V̅CLV</t>
        </is>
      </c>
      <c r="C35156">
        <f>ROMAN(35155)</f>
        <v/>
      </c>
      <c r="D35156">
        <f>IF(B35156=C35156, "YES", "WRONG")</f>
        <v/>
      </c>
    </row>
    <row r="35157">
      <c r="A35157" t="n">
        <v>35156</v>
      </c>
      <c r="B35157" t="inlineStr">
        <is>
          <t>x̄x̄x̄V̅CLVI</t>
        </is>
      </c>
      <c r="C35157">
        <f>ROMAN(35156)</f>
        <v/>
      </c>
      <c r="D35157">
        <f>IF(B35157=C35157, "YES", "WRONG")</f>
        <v/>
      </c>
    </row>
    <row r="35158">
      <c r="A35158" t="n">
        <v>35157</v>
      </c>
      <c r="B35158" t="inlineStr">
        <is>
          <t>x̄x̄x̄V̅CLVII</t>
        </is>
      </c>
      <c r="C35158">
        <f>ROMAN(35157)</f>
        <v/>
      </c>
      <c r="D35158">
        <f>IF(B35158=C35158, "YES", "WRONG")</f>
        <v/>
      </c>
    </row>
    <row r="35159">
      <c r="A35159" t="n">
        <v>35158</v>
      </c>
      <c r="B35159" t="inlineStr">
        <is>
          <t>x̄x̄x̄V̅CLVIII</t>
        </is>
      </c>
      <c r="C35159">
        <f>ROMAN(35158)</f>
        <v/>
      </c>
      <c r="D35159">
        <f>IF(B35159=C35159, "YES", "WRONG")</f>
        <v/>
      </c>
    </row>
    <row r="35160">
      <c r="A35160" t="n">
        <v>35159</v>
      </c>
      <c r="B35160" t="inlineStr">
        <is>
          <t>x̄x̄x̄V̅CLIX</t>
        </is>
      </c>
      <c r="C35160">
        <f>ROMAN(35159)</f>
        <v/>
      </c>
      <c r="D35160">
        <f>IF(B35160=C35160, "YES", "WRONG")</f>
        <v/>
      </c>
    </row>
    <row r="35161">
      <c r="A35161" t="n">
        <v>35160</v>
      </c>
      <c r="B35161" t="inlineStr">
        <is>
          <t>x̄x̄x̄V̅CLX</t>
        </is>
      </c>
      <c r="C35161">
        <f>ROMAN(35160)</f>
        <v/>
      </c>
      <c r="D35161">
        <f>IF(B35161=C35161, "YES", "WRONG")</f>
        <v/>
      </c>
    </row>
    <row r="35162">
      <c r="A35162" t="n">
        <v>35161</v>
      </c>
      <c r="B35162" t="inlineStr">
        <is>
          <t>x̄x̄x̄V̅CLXI</t>
        </is>
      </c>
      <c r="C35162">
        <f>ROMAN(35161)</f>
        <v/>
      </c>
      <c r="D35162">
        <f>IF(B35162=C35162, "YES", "WRONG")</f>
        <v/>
      </c>
    </row>
    <row r="35163">
      <c r="A35163" t="n">
        <v>35162</v>
      </c>
      <c r="B35163" t="inlineStr">
        <is>
          <t>x̄x̄x̄V̅CLXII</t>
        </is>
      </c>
      <c r="C35163">
        <f>ROMAN(35162)</f>
        <v/>
      </c>
      <c r="D35163">
        <f>IF(B35163=C35163, "YES", "WRONG")</f>
        <v/>
      </c>
    </row>
    <row r="35164">
      <c r="A35164" t="n">
        <v>35163</v>
      </c>
      <c r="B35164" t="inlineStr">
        <is>
          <t>x̄x̄x̄V̅CLXIII</t>
        </is>
      </c>
      <c r="C35164">
        <f>ROMAN(35163)</f>
        <v/>
      </c>
      <c r="D35164">
        <f>IF(B35164=C35164, "YES", "WRONG")</f>
        <v/>
      </c>
    </row>
    <row r="35165">
      <c r="A35165" t="n">
        <v>35164</v>
      </c>
      <c r="B35165" t="inlineStr">
        <is>
          <t>x̄x̄x̄V̅CLXIV</t>
        </is>
      </c>
      <c r="C35165">
        <f>ROMAN(35164)</f>
        <v/>
      </c>
      <c r="D35165">
        <f>IF(B35165=C35165, "YES", "WRONG")</f>
        <v/>
      </c>
    </row>
    <row r="35166">
      <c r="A35166" t="n">
        <v>35165</v>
      </c>
      <c r="B35166" t="inlineStr">
        <is>
          <t>x̄x̄x̄V̅CLXV</t>
        </is>
      </c>
      <c r="C35166">
        <f>ROMAN(35165)</f>
        <v/>
      </c>
      <c r="D35166">
        <f>IF(B35166=C35166, "YES", "WRONG")</f>
        <v/>
      </c>
    </row>
    <row r="35167">
      <c r="A35167" t="n">
        <v>35166</v>
      </c>
      <c r="B35167" t="inlineStr">
        <is>
          <t>x̄x̄x̄V̅CLXVI</t>
        </is>
      </c>
      <c r="C35167">
        <f>ROMAN(35166)</f>
        <v/>
      </c>
      <c r="D35167">
        <f>IF(B35167=C35167, "YES", "WRONG")</f>
        <v/>
      </c>
    </row>
    <row r="35168">
      <c r="A35168" t="n">
        <v>35167</v>
      </c>
      <c r="B35168" t="inlineStr">
        <is>
          <t>x̄x̄x̄V̅CLXVII</t>
        </is>
      </c>
      <c r="C35168">
        <f>ROMAN(35167)</f>
        <v/>
      </c>
      <c r="D35168">
        <f>IF(B35168=C35168, "YES", "WRONG")</f>
        <v/>
      </c>
    </row>
    <row r="35169">
      <c r="A35169" t="n">
        <v>35168</v>
      </c>
      <c r="B35169" t="inlineStr">
        <is>
          <t>x̄x̄x̄V̅CLXVIII</t>
        </is>
      </c>
      <c r="C35169">
        <f>ROMAN(35168)</f>
        <v/>
      </c>
      <c r="D35169">
        <f>IF(B35169=C35169, "YES", "WRONG")</f>
        <v/>
      </c>
    </row>
    <row r="35170">
      <c r="A35170" t="n">
        <v>35169</v>
      </c>
      <c r="B35170" t="inlineStr">
        <is>
          <t>x̄x̄x̄V̅CLXIX</t>
        </is>
      </c>
      <c r="C35170">
        <f>ROMAN(35169)</f>
        <v/>
      </c>
      <c r="D35170">
        <f>IF(B35170=C35170, "YES", "WRONG")</f>
        <v/>
      </c>
    </row>
    <row r="35171">
      <c r="A35171" t="n">
        <v>35170</v>
      </c>
      <c r="B35171" t="inlineStr">
        <is>
          <t>x̄x̄x̄V̅CLXX</t>
        </is>
      </c>
      <c r="C35171">
        <f>ROMAN(35170)</f>
        <v/>
      </c>
      <c r="D35171">
        <f>IF(B35171=C35171, "YES", "WRONG")</f>
        <v/>
      </c>
    </row>
    <row r="35172">
      <c r="A35172" t="n">
        <v>35171</v>
      </c>
      <c r="B35172" t="inlineStr">
        <is>
          <t>x̄x̄x̄V̅CLXXI</t>
        </is>
      </c>
      <c r="C35172">
        <f>ROMAN(35171)</f>
        <v/>
      </c>
      <c r="D35172">
        <f>IF(B35172=C35172, "YES", "WRONG")</f>
        <v/>
      </c>
    </row>
    <row r="35173">
      <c r="A35173" t="n">
        <v>35172</v>
      </c>
      <c r="B35173" t="inlineStr">
        <is>
          <t>x̄x̄x̄V̅CLXXII</t>
        </is>
      </c>
      <c r="C35173">
        <f>ROMAN(35172)</f>
        <v/>
      </c>
      <c r="D35173">
        <f>IF(B35173=C35173, "YES", "WRONG")</f>
        <v/>
      </c>
    </row>
    <row r="35174">
      <c r="A35174" t="n">
        <v>35173</v>
      </c>
      <c r="B35174" t="inlineStr">
        <is>
          <t>x̄x̄x̄V̅CLXXIII</t>
        </is>
      </c>
      <c r="C35174">
        <f>ROMAN(35173)</f>
        <v/>
      </c>
      <c r="D35174">
        <f>IF(B35174=C35174, "YES", "WRONG")</f>
        <v/>
      </c>
    </row>
    <row r="35175">
      <c r="A35175" t="n">
        <v>35174</v>
      </c>
      <c r="B35175" t="inlineStr">
        <is>
          <t>x̄x̄x̄V̅CLXXIV</t>
        </is>
      </c>
      <c r="C35175">
        <f>ROMAN(35174)</f>
        <v/>
      </c>
      <c r="D35175">
        <f>IF(B35175=C35175, "YES", "WRONG")</f>
        <v/>
      </c>
    </row>
    <row r="35176">
      <c r="A35176" t="n">
        <v>35175</v>
      </c>
      <c r="B35176" t="inlineStr">
        <is>
          <t>x̄x̄x̄V̅CLXXV</t>
        </is>
      </c>
      <c r="C35176">
        <f>ROMAN(35175)</f>
        <v/>
      </c>
      <c r="D35176">
        <f>IF(B35176=C35176, "YES", "WRONG")</f>
        <v/>
      </c>
    </row>
    <row r="35177">
      <c r="A35177" t="n">
        <v>35176</v>
      </c>
      <c r="B35177" t="inlineStr">
        <is>
          <t>x̄x̄x̄V̅CLXXVI</t>
        </is>
      </c>
      <c r="C35177">
        <f>ROMAN(35176)</f>
        <v/>
      </c>
      <c r="D35177">
        <f>IF(B35177=C35177, "YES", "WRONG")</f>
        <v/>
      </c>
    </row>
    <row r="35178">
      <c r="A35178" t="n">
        <v>35177</v>
      </c>
      <c r="B35178" t="inlineStr">
        <is>
          <t>x̄x̄x̄V̅CLXXVII</t>
        </is>
      </c>
      <c r="C35178">
        <f>ROMAN(35177)</f>
        <v/>
      </c>
      <c r="D35178">
        <f>IF(B35178=C35178, "YES", "WRONG")</f>
        <v/>
      </c>
    </row>
    <row r="35179">
      <c r="A35179" t="n">
        <v>35178</v>
      </c>
      <c r="B35179" t="inlineStr">
        <is>
          <t>x̄x̄x̄V̅CLXXVIII</t>
        </is>
      </c>
      <c r="C35179">
        <f>ROMAN(35178)</f>
        <v/>
      </c>
      <c r="D35179">
        <f>IF(B35179=C35179, "YES", "WRONG")</f>
        <v/>
      </c>
    </row>
    <row r="35180">
      <c r="A35180" t="n">
        <v>35179</v>
      </c>
      <c r="B35180" t="inlineStr">
        <is>
          <t>x̄x̄x̄V̅CLXXIX</t>
        </is>
      </c>
      <c r="C35180">
        <f>ROMAN(35179)</f>
        <v/>
      </c>
      <c r="D35180">
        <f>IF(B35180=C35180, "YES", "WRONG")</f>
        <v/>
      </c>
    </row>
    <row r="35181">
      <c r="A35181" t="n">
        <v>35180</v>
      </c>
      <c r="B35181" t="inlineStr">
        <is>
          <t>x̄x̄x̄V̅CLXXX</t>
        </is>
      </c>
      <c r="C35181">
        <f>ROMAN(35180)</f>
        <v/>
      </c>
      <c r="D35181">
        <f>IF(B35181=C35181, "YES", "WRONG")</f>
        <v/>
      </c>
    </row>
    <row r="35182">
      <c r="A35182" t="n">
        <v>35181</v>
      </c>
      <c r="B35182" t="inlineStr">
        <is>
          <t>x̄x̄x̄V̅CLXXXI</t>
        </is>
      </c>
      <c r="C35182">
        <f>ROMAN(35181)</f>
        <v/>
      </c>
      <c r="D35182">
        <f>IF(B35182=C35182, "YES", "WRONG")</f>
        <v/>
      </c>
    </row>
    <row r="35183">
      <c r="A35183" t="n">
        <v>35182</v>
      </c>
      <c r="B35183" t="inlineStr">
        <is>
          <t>x̄x̄x̄V̅CLXXXII</t>
        </is>
      </c>
      <c r="C35183">
        <f>ROMAN(35182)</f>
        <v/>
      </c>
      <c r="D35183">
        <f>IF(B35183=C35183, "YES", "WRONG")</f>
        <v/>
      </c>
    </row>
    <row r="35184">
      <c r="A35184" t="n">
        <v>35183</v>
      </c>
      <c r="B35184" t="inlineStr">
        <is>
          <t>x̄x̄x̄V̅CLXXXIII</t>
        </is>
      </c>
      <c r="C35184">
        <f>ROMAN(35183)</f>
        <v/>
      </c>
      <c r="D35184">
        <f>IF(B35184=C35184, "YES", "WRONG")</f>
        <v/>
      </c>
    </row>
    <row r="35185">
      <c r="A35185" t="n">
        <v>35184</v>
      </c>
      <c r="B35185" t="inlineStr">
        <is>
          <t>x̄x̄x̄V̅CLXXXIV</t>
        </is>
      </c>
      <c r="C35185">
        <f>ROMAN(35184)</f>
        <v/>
      </c>
      <c r="D35185">
        <f>IF(B35185=C35185, "YES", "WRONG")</f>
        <v/>
      </c>
    </row>
    <row r="35186">
      <c r="A35186" t="n">
        <v>35185</v>
      </c>
      <c r="B35186" t="inlineStr">
        <is>
          <t>x̄x̄x̄V̅CLXXXV</t>
        </is>
      </c>
      <c r="C35186">
        <f>ROMAN(35185)</f>
        <v/>
      </c>
      <c r="D35186">
        <f>IF(B35186=C35186, "YES", "WRONG")</f>
        <v/>
      </c>
    </row>
    <row r="35187">
      <c r="A35187" t="n">
        <v>35186</v>
      </c>
      <c r="B35187" t="inlineStr">
        <is>
          <t>x̄x̄x̄V̅CLXXXVI</t>
        </is>
      </c>
      <c r="C35187">
        <f>ROMAN(35186)</f>
        <v/>
      </c>
      <c r="D35187">
        <f>IF(B35187=C35187, "YES", "WRONG")</f>
        <v/>
      </c>
    </row>
    <row r="35188">
      <c r="A35188" t="n">
        <v>35187</v>
      </c>
      <c r="B35188" t="inlineStr">
        <is>
          <t>x̄x̄x̄V̅CLXXXVII</t>
        </is>
      </c>
      <c r="C35188">
        <f>ROMAN(35187)</f>
        <v/>
      </c>
      <c r="D35188">
        <f>IF(B35188=C35188, "YES", "WRONG")</f>
        <v/>
      </c>
    </row>
    <row r="35189">
      <c r="A35189" t="n">
        <v>35188</v>
      </c>
      <c r="B35189" t="inlineStr">
        <is>
          <t>x̄x̄x̄V̅CLXXXVIII</t>
        </is>
      </c>
      <c r="C35189">
        <f>ROMAN(35188)</f>
        <v/>
      </c>
      <c r="D35189">
        <f>IF(B35189=C35189, "YES", "WRONG")</f>
        <v/>
      </c>
    </row>
    <row r="35190">
      <c r="A35190" t="n">
        <v>35189</v>
      </c>
      <c r="B35190" t="inlineStr">
        <is>
          <t>x̄x̄x̄V̅CLXXXIX</t>
        </is>
      </c>
      <c r="C35190">
        <f>ROMAN(35189)</f>
        <v/>
      </c>
      <c r="D35190">
        <f>IF(B35190=C35190, "YES", "WRONG")</f>
        <v/>
      </c>
    </row>
    <row r="35191">
      <c r="A35191" t="n">
        <v>35190</v>
      </c>
      <c r="B35191" t="inlineStr">
        <is>
          <t>x̄x̄x̄V̅CXC</t>
        </is>
      </c>
      <c r="C35191">
        <f>ROMAN(35190)</f>
        <v/>
      </c>
      <c r="D35191">
        <f>IF(B35191=C35191, "YES", "WRONG")</f>
        <v/>
      </c>
    </row>
    <row r="35192">
      <c r="A35192" t="n">
        <v>35191</v>
      </c>
      <c r="B35192" t="inlineStr">
        <is>
          <t>x̄x̄x̄V̅CXCI</t>
        </is>
      </c>
      <c r="C35192">
        <f>ROMAN(35191)</f>
        <v/>
      </c>
      <c r="D35192">
        <f>IF(B35192=C35192, "YES", "WRONG")</f>
        <v/>
      </c>
    </row>
    <row r="35193">
      <c r="A35193" t="n">
        <v>35192</v>
      </c>
      <c r="B35193" t="inlineStr">
        <is>
          <t>x̄x̄x̄V̅CXCII</t>
        </is>
      </c>
      <c r="C35193">
        <f>ROMAN(35192)</f>
        <v/>
      </c>
      <c r="D35193">
        <f>IF(B35193=C35193, "YES", "WRONG")</f>
        <v/>
      </c>
    </row>
    <row r="35194">
      <c r="A35194" t="n">
        <v>35193</v>
      </c>
      <c r="B35194" t="inlineStr">
        <is>
          <t>x̄x̄x̄V̅CXCIII</t>
        </is>
      </c>
      <c r="C35194">
        <f>ROMAN(35193)</f>
        <v/>
      </c>
      <c r="D35194">
        <f>IF(B35194=C35194, "YES", "WRONG")</f>
        <v/>
      </c>
    </row>
    <row r="35195">
      <c r="A35195" t="n">
        <v>35194</v>
      </c>
      <c r="B35195" t="inlineStr">
        <is>
          <t>x̄x̄x̄V̅CXCIV</t>
        </is>
      </c>
      <c r="C35195">
        <f>ROMAN(35194)</f>
        <v/>
      </c>
      <c r="D35195">
        <f>IF(B35195=C35195, "YES", "WRONG")</f>
        <v/>
      </c>
    </row>
    <row r="35196">
      <c r="A35196" t="n">
        <v>35195</v>
      </c>
      <c r="B35196" t="inlineStr">
        <is>
          <t>x̄x̄x̄V̅CXCV</t>
        </is>
      </c>
      <c r="C35196">
        <f>ROMAN(35195)</f>
        <v/>
      </c>
      <c r="D35196">
        <f>IF(B35196=C35196, "YES", "WRONG")</f>
        <v/>
      </c>
    </row>
    <row r="35197">
      <c r="A35197" t="n">
        <v>35196</v>
      </c>
      <c r="B35197" t="inlineStr">
        <is>
          <t>x̄x̄x̄V̅CXCVI</t>
        </is>
      </c>
      <c r="C35197">
        <f>ROMAN(35196)</f>
        <v/>
      </c>
      <c r="D35197">
        <f>IF(B35197=C35197, "YES", "WRONG")</f>
        <v/>
      </c>
    </row>
    <row r="35198">
      <c r="A35198" t="n">
        <v>35197</v>
      </c>
      <c r="B35198" t="inlineStr">
        <is>
          <t>x̄x̄x̄V̅CXCVII</t>
        </is>
      </c>
      <c r="C35198">
        <f>ROMAN(35197)</f>
        <v/>
      </c>
      <c r="D35198">
        <f>IF(B35198=C35198, "YES", "WRONG")</f>
        <v/>
      </c>
    </row>
    <row r="35199">
      <c r="A35199" t="n">
        <v>35198</v>
      </c>
      <c r="B35199" t="inlineStr">
        <is>
          <t>x̄x̄x̄V̅CXCVIII</t>
        </is>
      </c>
      <c r="C35199">
        <f>ROMAN(35198)</f>
        <v/>
      </c>
      <c r="D35199">
        <f>IF(B35199=C35199, "YES", "WRONG")</f>
        <v/>
      </c>
    </row>
    <row r="35200">
      <c r="A35200" t="n">
        <v>35199</v>
      </c>
      <c r="B35200" t="inlineStr">
        <is>
          <t>x̄x̄x̄V̅CXCIX</t>
        </is>
      </c>
      <c r="C35200">
        <f>ROMAN(35199)</f>
        <v/>
      </c>
      <c r="D35200">
        <f>IF(B35200=C35200, "YES", "WRONG")</f>
        <v/>
      </c>
    </row>
    <row r="35201">
      <c r="A35201" t="n">
        <v>35200</v>
      </c>
      <c r="B35201" t="inlineStr">
        <is>
          <t>x̄x̄x̄V̅CC</t>
        </is>
      </c>
      <c r="C35201">
        <f>ROMAN(35200)</f>
        <v/>
      </c>
      <c r="D35201">
        <f>IF(B35201=C35201, "YES", "WRONG")</f>
        <v/>
      </c>
    </row>
    <row r="35202">
      <c r="A35202" t="n">
        <v>35201</v>
      </c>
      <c r="B35202" t="inlineStr">
        <is>
          <t>x̄x̄x̄V̅CCI</t>
        </is>
      </c>
      <c r="C35202">
        <f>ROMAN(35201)</f>
        <v/>
      </c>
      <c r="D35202">
        <f>IF(B35202=C35202, "YES", "WRONG")</f>
        <v/>
      </c>
    </row>
    <row r="35203">
      <c r="A35203" t="n">
        <v>35202</v>
      </c>
      <c r="B35203" t="inlineStr">
        <is>
          <t>x̄x̄x̄V̅CCII</t>
        </is>
      </c>
      <c r="C35203">
        <f>ROMAN(35202)</f>
        <v/>
      </c>
      <c r="D35203">
        <f>IF(B35203=C35203, "YES", "WRONG")</f>
        <v/>
      </c>
    </row>
    <row r="35204">
      <c r="A35204" t="n">
        <v>35203</v>
      </c>
      <c r="B35204" t="inlineStr">
        <is>
          <t>x̄x̄x̄V̅CCIII</t>
        </is>
      </c>
      <c r="C35204">
        <f>ROMAN(35203)</f>
        <v/>
      </c>
      <c r="D35204">
        <f>IF(B35204=C35204, "YES", "WRONG")</f>
        <v/>
      </c>
    </row>
    <row r="35205">
      <c r="A35205" t="n">
        <v>35204</v>
      </c>
      <c r="B35205" t="inlineStr">
        <is>
          <t>x̄x̄x̄V̅CCIV</t>
        </is>
      </c>
      <c r="C35205">
        <f>ROMAN(35204)</f>
        <v/>
      </c>
      <c r="D35205">
        <f>IF(B35205=C35205, "YES", "WRONG")</f>
        <v/>
      </c>
    </row>
    <row r="35206">
      <c r="A35206" t="n">
        <v>35205</v>
      </c>
      <c r="B35206" t="inlineStr">
        <is>
          <t>x̄x̄x̄V̅CCV</t>
        </is>
      </c>
      <c r="C35206">
        <f>ROMAN(35205)</f>
        <v/>
      </c>
      <c r="D35206">
        <f>IF(B35206=C35206, "YES", "WRONG")</f>
        <v/>
      </c>
    </row>
    <row r="35207">
      <c r="A35207" t="n">
        <v>35206</v>
      </c>
      <c r="B35207" t="inlineStr">
        <is>
          <t>x̄x̄x̄V̅CCVI</t>
        </is>
      </c>
      <c r="C35207">
        <f>ROMAN(35206)</f>
        <v/>
      </c>
      <c r="D35207">
        <f>IF(B35207=C35207, "YES", "WRONG")</f>
        <v/>
      </c>
    </row>
    <row r="35208">
      <c r="A35208" t="n">
        <v>35207</v>
      </c>
      <c r="B35208" t="inlineStr">
        <is>
          <t>x̄x̄x̄V̅CCVII</t>
        </is>
      </c>
      <c r="C35208">
        <f>ROMAN(35207)</f>
        <v/>
      </c>
      <c r="D35208">
        <f>IF(B35208=C35208, "YES", "WRONG")</f>
        <v/>
      </c>
    </row>
    <row r="35209">
      <c r="A35209" t="n">
        <v>35208</v>
      </c>
      <c r="B35209" t="inlineStr">
        <is>
          <t>x̄x̄x̄V̅CCVIII</t>
        </is>
      </c>
      <c r="C35209">
        <f>ROMAN(35208)</f>
        <v/>
      </c>
      <c r="D35209">
        <f>IF(B35209=C35209, "YES", "WRONG")</f>
        <v/>
      </c>
    </row>
    <row r="35210">
      <c r="A35210" t="n">
        <v>35209</v>
      </c>
      <c r="B35210" t="inlineStr">
        <is>
          <t>x̄x̄x̄V̅CCIX</t>
        </is>
      </c>
      <c r="C35210">
        <f>ROMAN(35209)</f>
        <v/>
      </c>
      <c r="D35210">
        <f>IF(B35210=C35210, "YES", "WRONG")</f>
        <v/>
      </c>
    </row>
    <row r="35211">
      <c r="A35211" t="n">
        <v>35210</v>
      </c>
      <c r="B35211" t="inlineStr">
        <is>
          <t>x̄x̄x̄V̅CCX</t>
        </is>
      </c>
      <c r="C35211">
        <f>ROMAN(35210)</f>
        <v/>
      </c>
      <c r="D35211">
        <f>IF(B35211=C35211, "YES", "WRONG")</f>
        <v/>
      </c>
    </row>
    <row r="35212">
      <c r="A35212" t="n">
        <v>35211</v>
      </c>
      <c r="B35212" t="inlineStr">
        <is>
          <t>x̄x̄x̄V̅CCXI</t>
        </is>
      </c>
      <c r="C35212">
        <f>ROMAN(35211)</f>
        <v/>
      </c>
      <c r="D35212">
        <f>IF(B35212=C35212, "YES", "WRONG")</f>
        <v/>
      </c>
    </row>
    <row r="35213">
      <c r="A35213" t="n">
        <v>35212</v>
      </c>
      <c r="B35213" t="inlineStr">
        <is>
          <t>x̄x̄x̄V̅CCXII</t>
        </is>
      </c>
      <c r="C35213">
        <f>ROMAN(35212)</f>
        <v/>
      </c>
      <c r="D35213">
        <f>IF(B35213=C35213, "YES", "WRONG")</f>
        <v/>
      </c>
    </row>
    <row r="35214">
      <c r="A35214" t="n">
        <v>35213</v>
      </c>
      <c r="B35214" t="inlineStr">
        <is>
          <t>x̄x̄x̄V̅CCXIII</t>
        </is>
      </c>
      <c r="C35214">
        <f>ROMAN(35213)</f>
        <v/>
      </c>
      <c r="D35214">
        <f>IF(B35214=C35214, "YES", "WRONG")</f>
        <v/>
      </c>
    </row>
    <row r="35215">
      <c r="A35215" t="n">
        <v>35214</v>
      </c>
      <c r="B35215" t="inlineStr">
        <is>
          <t>x̄x̄x̄V̅CCXIV</t>
        </is>
      </c>
      <c r="C35215">
        <f>ROMAN(35214)</f>
        <v/>
      </c>
      <c r="D35215">
        <f>IF(B35215=C35215, "YES", "WRONG")</f>
        <v/>
      </c>
    </row>
    <row r="35216">
      <c r="A35216" t="n">
        <v>35215</v>
      </c>
      <c r="B35216" t="inlineStr">
        <is>
          <t>x̄x̄x̄V̅CCXV</t>
        </is>
      </c>
      <c r="C35216">
        <f>ROMAN(35215)</f>
        <v/>
      </c>
      <c r="D35216">
        <f>IF(B35216=C35216, "YES", "WRONG")</f>
        <v/>
      </c>
    </row>
    <row r="35217">
      <c r="A35217" t="n">
        <v>35216</v>
      </c>
      <c r="B35217" t="inlineStr">
        <is>
          <t>x̄x̄x̄V̅CCXVI</t>
        </is>
      </c>
      <c r="C35217">
        <f>ROMAN(35216)</f>
        <v/>
      </c>
      <c r="D35217">
        <f>IF(B35217=C35217, "YES", "WRONG")</f>
        <v/>
      </c>
    </row>
    <row r="35218">
      <c r="A35218" t="n">
        <v>35217</v>
      </c>
      <c r="B35218" t="inlineStr">
        <is>
          <t>x̄x̄x̄V̅CCXVII</t>
        </is>
      </c>
      <c r="C35218">
        <f>ROMAN(35217)</f>
        <v/>
      </c>
      <c r="D35218">
        <f>IF(B35218=C35218, "YES", "WRONG")</f>
        <v/>
      </c>
    </row>
    <row r="35219">
      <c r="A35219" t="n">
        <v>35218</v>
      </c>
      <c r="B35219" t="inlineStr">
        <is>
          <t>x̄x̄x̄V̅CCXVIII</t>
        </is>
      </c>
      <c r="C35219">
        <f>ROMAN(35218)</f>
        <v/>
      </c>
      <c r="D35219">
        <f>IF(B35219=C35219, "YES", "WRONG")</f>
        <v/>
      </c>
    </row>
    <row r="35220">
      <c r="A35220" t="n">
        <v>35219</v>
      </c>
      <c r="B35220" t="inlineStr">
        <is>
          <t>x̄x̄x̄V̅CCXIX</t>
        </is>
      </c>
      <c r="C35220">
        <f>ROMAN(35219)</f>
        <v/>
      </c>
      <c r="D35220">
        <f>IF(B35220=C35220, "YES", "WRONG")</f>
        <v/>
      </c>
    </row>
    <row r="35221">
      <c r="A35221" t="n">
        <v>35220</v>
      </c>
      <c r="B35221" t="inlineStr">
        <is>
          <t>x̄x̄x̄V̅CCXX</t>
        </is>
      </c>
      <c r="C35221">
        <f>ROMAN(35220)</f>
        <v/>
      </c>
      <c r="D35221">
        <f>IF(B35221=C35221, "YES", "WRONG")</f>
        <v/>
      </c>
    </row>
    <row r="35222">
      <c r="A35222" t="n">
        <v>35221</v>
      </c>
      <c r="B35222" t="inlineStr">
        <is>
          <t>x̄x̄x̄V̅CCXXI</t>
        </is>
      </c>
      <c r="C35222">
        <f>ROMAN(35221)</f>
        <v/>
      </c>
      <c r="D35222">
        <f>IF(B35222=C35222, "YES", "WRONG")</f>
        <v/>
      </c>
    </row>
    <row r="35223">
      <c r="A35223" t="n">
        <v>35222</v>
      </c>
      <c r="B35223" t="inlineStr">
        <is>
          <t>x̄x̄x̄V̅CCXXII</t>
        </is>
      </c>
      <c r="C35223">
        <f>ROMAN(35222)</f>
        <v/>
      </c>
      <c r="D35223">
        <f>IF(B35223=C35223, "YES", "WRONG")</f>
        <v/>
      </c>
    </row>
    <row r="35224">
      <c r="A35224" t="n">
        <v>35223</v>
      </c>
      <c r="B35224" t="inlineStr">
        <is>
          <t>x̄x̄x̄V̅CCXXIII</t>
        </is>
      </c>
      <c r="C35224">
        <f>ROMAN(35223)</f>
        <v/>
      </c>
      <c r="D35224">
        <f>IF(B35224=C35224, "YES", "WRONG")</f>
        <v/>
      </c>
    </row>
    <row r="35225">
      <c r="A35225" t="n">
        <v>35224</v>
      </c>
      <c r="B35225" t="inlineStr">
        <is>
          <t>x̄x̄x̄V̅CCXXIV</t>
        </is>
      </c>
      <c r="C35225">
        <f>ROMAN(35224)</f>
        <v/>
      </c>
      <c r="D35225">
        <f>IF(B35225=C35225, "YES", "WRONG")</f>
        <v/>
      </c>
    </row>
    <row r="35226">
      <c r="A35226" t="n">
        <v>35225</v>
      </c>
      <c r="B35226" t="inlineStr">
        <is>
          <t>x̄x̄x̄V̅CCXXV</t>
        </is>
      </c>
      <c r="C35226">
        <f>ROMAN(35225)</f>
        <v/>
      </c>
      <c r="D35226">
        <f>IF(B35226=C35226, "YES", "WRONG")</f>
        <v/>
      </c>
    </row>
    <row r="35227">
      <c r="A35227" t="n">
        <v>35226</v>
      </c>
      <c r="B35227" t="inlineStr">
        <is>
          <t>x̄x̄x̄V̅CCXXVI</t>
        </is>
      </c>
      <c r="C35227">
        <f>ROMAN(35226)</f>
        <v/>
      </c>
      <c r="D35227">
        <f>IF(B35227=C35227, "YES", "WRONG")</f>
        <v/>
      </c>
    </row>
    <row r="35228">
      <c r="A35228" t="n">
        <v>35227</v>
      </c>
      <c r="B35228" t="inlineStr">
        <is>
          <t>x̄x̄x̄V̅CCXXVII</t>
        </is>
      </c>
      <c r="C35228">
        <f>ROMAN(35227)</f>
        <v/>
      </c>
      <c r="D35228">
        <f>IF(B35228=C35228, "YES", "WRONG")</f>
        <v/>
      </c>
    </row>
    <row r="35229">
      <c r="A35229" t="n">
        <v>35228</v>
      </c>
      <c r="B35229" t="inlineStr">
        <is>
          <t>x̄x̄x̄V̅CCXXVIII</t>
        </is>
      </c>
      <c r="C35229">
        <f>ROMAN(35228)</f>
        <v/>
      </c>
      <c r="D35229">
        <f>IF(B35229=C35229, "YES", "WRONG")</f>
        <v/>
      </c>
    </row>
    <row r="35230">
      <c r="A35230" t="n">
        <v>35229</v>
      </c>
      <c r="B35230" t="inlineStr">
        <is>
          <t>x̄x̄x̄V̅CCXXIX</t>
        </is>
      </c>
      <c r="C35230">
        <f>ROMAN(35229)</f>
        <v/>
      </c>
      <c r="D35230">
        <f>IF(B35230=C35230, "YES", "WRONG")</f>
        <v/>
      </c>
    </row>
    <row r="35231">
      <c r="A35231" t="n">
        <v>35230</v>
      </c>
      <c r="B35231" t="inlineStr">
        <is>
          <t>x̄x̄x̄V̅CCXXX</t>
        </is>
      </c>
      <c r="C35231">
        <f>ROMAN(35230)</f>
        <v/>
      </c>
      <c r="D35231">
        <f>IF(B35231=C35231, "YES", "WRONG")</f>
        <v/>
      </c>
    </row>
    <row r="35232">
      <c r="A35232" t="n">
        <v>35231</v>
      </c>
      <c r="B35232" t="inlineStr">
        <is>
          <t>x̄x̄x̄V̅CCXXXI</t>
        </is>
      </c>
      <c r="C35232">
        <f>ROMAN(35231)</f>
        <v/>
      </c>
      <c r="D35232">
        <f>IF(B35232=C35232, "YES", "WRONG")</f>
        <v/>
      </c>
    </row>
    <row r="35233">
      <c r="A35233" t="n">
        <v>35232</v>
      </c>
      <c r="B35233" t="inlineStr">
        <is>
          <t>x̄x̄x̄V̅CCXXXII</t>
        </is>
      </c>
      <c r="C35233">
        <f>ROMAN(35232)</f>
        <v/>
      </c>
      <c r="D35233">
        <f>IF(B35233=C35233, "YES", "WRONG")</f>
        <v/>
      </c>
    </row>
    <row r="35234">
      <c r="A35234" t="n">
        <v>35233</v>
      </c>
      <c r="B35234" t="inlineStr">
        <is>
          <t>x̄x̄x̄V̅CCXXXIII</t>
        </is>
      </c>
      <c r="C35234">
        <f>ROMAN(35233)</f>
        <v/>
      </c>
      <c r="D35234">
        <f>IF(B35234=C35234, "YES", "WRONG")</f>
        <v/>
      </c>
    </row>
    <row r="35235">
      <c r="A35235" t="n">
        <v>35234</v>
      </c>
      <c r="B35235" t="inlineStr">
        <is>
          <t>x̄x̄x̄V̅CCXXXIV</t>
        </is>
      </c>
      <c r="C35235">
        <f>ROMAN(35234)</f>
        <v/>
      </c>
      <c r="D35235">
        <f>IF(B35235=C35235, "YES", "WRONG")</f>
        <v/>
      </c>
    </row>
    <row r="35236">
      <c r="A35236" t="n">
        <v>35235</v>
      </c>
      <c r="B35236" t="inlineStr">
        <is>
          <t>x̄x̄x̄V̅CCXXXV</t>
        </is>
      </c>
      <c r="C35236">
        <f>ROMAN(35235)</f>
        <v/>
      </c>
      <c r="D35236">
        <f>IF(B35236=C35236, "YES", "WRONG")</f>
        <v/>
      </c>
    </row>
    <row r="35237">
      <c r="A35237" t="n">
        <v>35236</v>
      </c>
      <c r="B35237" t="inlineStr">
        <is>
          <t>x̄x̄x̄V̅CCXXXVI</t>
        </is>
      </c>
      <c r="C35237">
        <f>ROMAN(35236)</f>
        <v/>
      </c>
      <c r="D35237">
        <f>IF(B35237=C35237, "YES", "WRONG")</f>
        <v/>
      </c>
    </row>
    <row r="35238">
      <c r="A35238" t="n">
        <v>35237</v>
      </c>
      <c r="B35238" t="inlineStr">
        <is>
          <t>x̄x̄x̄V̅CCXXXVII</t>
        </is>
      </c>
      <c r="C35238">
        <f>ROMAN(35237)</f>
        <v/>
      </c>
      <c r="D35238">
        <f>IF(B35238=C35238, "YES", "WRONG")</f>
        <v/>
      </c>
    </row>
    <row r="35239">
      <c r="A35239" t="n">
        <v>35238</v>
      </c>
      <c r="B35239" t="inlineStr">
        <is>
          <t>x̄x̄x̄V̅CCXXXVIII</t>
        </is>
      </c>
      <c r="C35239">
        <f>ROMAN(35238)</f>
        <v/>
      </c>
      <c r="D35239">
        <f>IF(B35239=C35239, "YES", "WRONG")</f>
        <v/>
      </c>
    </row>
    <row r="35240">
      <c r="A35240" t="n">
        <v>35239</v>
      </c>
      <c r="B35240" t="inlineStr">
        <is>
          <t>x̄x̄x̄V̅CCXXXIX</t>
        </is>
      </c>
      <c r="C35240">
        <f>ROMAN(35239)</f>
        <v/>
      </c>
      <c r="D35240">
        <f>IF(B35240=C35240, "YES", "WRONG")</f>
        <v/>
      </c>
    </row>
    <row r="35241">
      <c r="A35241" t="n">
        <v>35240</v>
      </c>
      <c r="B35241" t="inlineStr">
        <is>
          <t>x̄x̄x̄V̅CCXL</t>
        </is>
      </c>
      <c r="C35241">
        <f>ROMAN(35240)</f>
        <v/>
      </c>
      <c r="D35241">
        <f>IF(B35241=C35241, "YES", "WRONG")</f>
        <v/>
      </c>
    </row>
    <row r="35242">
      <c r="A35242" t="n">
        <v>35241</v>
      </c>
      <c r="B35242" t="inlineStr">
        <is>
          <t>x̄x̄x̄V̅CCXLI</t>
        </is>
      </c>
      <c r="C35242">
        <f>ROMAN(35241)</f>
        <v/>
      </c>
      <c r="D35242">
        <f>IF(B35242=C35242, "YES", "WRONG")</f>
        <v/>
      </c>
    </row>
    <row r="35243">
      <c r="A35243" t="n">
        <v>35242</v>
      </c>
      <c r="B35243" t="inlineStr">
        <is>
          <t>x̄x̄x̄V̅CCXLII</t>
        </is>
      </c>
      <c r="C35243">
        <f>ROMAN(35242)</f>
        <v/>
      </c>
      <c r="D35243">
        <f>IF(B35243=C35243, "YES", "WRONG")</f>
        <v/>
      </c>
    </row>
    <row r="35244">
      <c r="A35244" t="n">
        <v>35243</v>
      </c>
      <c r="B35244" t="inlineStr">
        <is>
          <t>x̄x̄x̄V̅CCXLIII</t>
        </is>
      </c>
      <c r="C35244">
        <f>ROMAN(35243)</f>
        <v/>
      </c>
      <c r="D35244">
        <f>IF(B35244=C35244, "YES", "WRONG")</f>
        <v/>
      </c>
    </row>
    <row r="35245">
      <c r="A35245" t="n">
        <v>35244</v>
      </c>
      <c r="B35245" t="inlineStr">
        <is>
          <t>x̄x̄x̄V̅CCXLIV</t>
        </is>
      </c>
      <c r="C35245">
        <f>ROMAN(35244)</f>
        <v/>
      </c>
      <c r="D35245">
        <f>IF(B35245=C35245, "YES", "WRONG")</f>
        <v/>
      </c>
    </row>
    <row r="35246">
      <c r="A35246" t="n">
        <v>35245</v>
      </c>
      <c r="B35246" t="inlineStr">
        <is>
          <t>x̄x̄x̄V̅CCXLV</t>
        </is>
      </c>
      <c r="C35246">
        <f>ROMAN(35245)</f>
        <v/>
      </c>
      <c r="D35246">
        <f>IF(B35246=C35246, "YES", "WRONG")</f>
        <v/>
      </c>
    </row>
    <row r="35247">
      <c r="A35247" t="n">
        <v>35246</v>
      </c>
      <c r="B35247" t="inlineStr">
        <is>
          <t>x̄x̄x̄V̅CCXLVI</t>
        </is>
      </c>
      <c r="C35247">
        <f>ROMAN(35246)</f>
        <v/>
      </c>
      <c r="D35247">
        <f>IF(B35247=C35247, "YES", "WRONG")</f>
        <v/>
      </c>
    </row>
    <row r="35248">
      <c r="A35248" t="n">
        <v>35247</v>
      </c>
      <c r="B35248" t="inlineStr">
        <is>
          <t>x̄x̄x̄V̅CCXLVII</t>
        </is>
      </c>
      <c r="C35248">
        <f>ROMAN(35247)</f>
        <v/>
      </c>
      <c r="D35248">
        <f>IF(B35248=C35248, "YES", "WRONG")</f>
        <v/>
      </c>
    </row>
    <row r="35249">
      <c r="A35249" t="n">
        <v>35248</v>
      </c>
      <c r="B35249" t="inlineStr">
        <is>
          <t>x̄x̄x̄V̅CCXLVIII</t>
        </is>
      </c>
      <c r="C35249">
        <f>ROMAN(35248)</f>
        <v/>
      </c>
      <c r="D35249">
        <f>IF(B35249=C35249, "YES", "WRONG")</f>
        <v/>
      </c>
    </row>
    <row r="35250">
      <c r="A35250" t="n">
        <v>35249</v>
      </c>
      <c r="B35250" t="inlineStr">
        <is>
          <t>x̄x̄x̄V̅CCXLIX</t>
        </is>
      </c>
      <c r="C35250">
        <f>ROMAN(35249)</f>
        <v/>
      </c>
      <c r="D35250">
        <f>IF(B35250=C35250, "YES", "WRONG")</f>
        <v/>
      </c>
    </row>
    <row r="35251">
      <c r="A35251" t="n">
        <v>35250</v>
      </c>
      <c r="B35251" t="inlineStr">
        <is>
          <t>x̄x̄x̄V̅CCL</t>
        </is>
      </c>
      <c r="C35251">
        <f>ROMAN(35250)</f>
        <v/>
      </c>
      <c r="D35251">
        <f>IF(B35251=C35251, "YES", "WRONG")</f>
        <v/>
      </c>
    </row>
    <row r="35252">
      <c r="A35252" t="n">
        <v>35251</v>
      </c>
      <c r="B35252" t="inlineStr">
        <is>
          <t>x̄x̄x̄V̅CCLI</t>
        </is>
      </c>
      <c r="C35252">
        <f>ROMAN(35251)</f>
        <v/>
      </c>
      <c r="D35252">
        <f>IF(B35252=C35252, "YES", "WRONG")</f>
        <v/>
      </c>
    </row>
    <row r="35253">
      <c r="A35253" t="n">
        <v>35252</v>
      </c>
      <c r="B35253" t="inlineStr">
        <is>
          <t>x̄x̄x̄V̅CCLII</t>
        </is>
      </c>
      <c r="C35253">
        <f>ROMAN(35252)</f>
        <v/>
      </c>
      <c r="D35253">
        <f>IF(B35253=C35253, "YES", "WRONG")</f>
        <v/>
      </c>
    </row>
    <row r="35254">
      <c r="A35254" t="n">
        <v>35253</v>
      </c>
      <c r="B35254" t="inlineStr">
        <is>
          <t>x̄x̄x̄V̅CCLIII</t>
        </is>
      </c>
      <c r="C35254">
        <f>ROMAN(35253)</f>
        <v/>
      </c>
      <c r="D35254">
        <f>IF(B35254=C35254, "YES", "WRONG")</f>
        <v/>
      </c>
    </row>
    <row r="35255">
      <c r="A35255" t="n">
        <v>35254</v>
      </c>
      <c r="B35255" t="inlineStr">
        <is>
          <t>x̄x̄x̄V̅CCLIV</t>
        </is>
      </c>
      <c r="C35255">
        <f>ROMAN(35254)</f>
        <v/>
      </c>
      <c r="D35255">
        <f>IF(B35255=C35255, "YES", "WRONG")</f>
        <v/>
      </c>
    </row>
    <row r="35256">
      <c r="A35256" t="n">
        <v>35255</v>
      </c>
      <c r="B35256" t="inlineStr">
        <is>
          <t>x̄x̄x̄V̅CCLV</t>
        </is>
      </c>
      <c r="C35256">
        <f>ROMAN(35255)</f>
        <v/>
      </c>
      <c r="D35256">
        <f>IF(B35256=C35256, "YES", "WRONG")</f>
        <v/>
      </c>
    </row>
    <row r="35257">
      <c r="A35257" t="n">
        <v>35256</v>
      </c>
      <c r="B35257" t="inlineStr">
        <is>
          <t>x̄x̄x̄V̅CCLVI</t>
        </is>
      </c>
      <c r="C35257">
        <f>ROMAN(35256)</f>
        <v/>
      </c>
      <c r="D35257">
        <f>IF(B35257=C35257, "YES", "WRONG")</f>
        <v/>
      </c>
    </row>
    <row r="35258">
      <c r="A35258" t="n">
        <v>35257</v>
      </c>
      <c r="B35258" t="inlineStr">
        <is>
          <t>x̄x̄x̄V̅CCLVII</t>
        </is>
      </c>
      <c r="C35258">
        <f>ROMAN(35257)</f>
        <v/>
      </c>
      <c r="D35258">
        <f>IF(B35258=C35258, "YES", "WRONG")</f>
        <v/>
      </c>
    </row>
    <row r="35259">
      <c r="A35259" t="n">
        <v>35258</v>
      </c>
      <c r="B35259" t="inlineStr">
        <is>
          <t>x̄x̄x̄V̅CCLVIII</t>
        </is>
      </c>
      <c r="C35259">
        <f>ROMAN(35258)</f>
        <v/>
      </c>
      <c r="D35259">
        <f>IF(B35259=C35259, "YES", "WRONG")</f>
        <v/>
      </c>
    </row>
    <row r="35260">
      <c r="A35260" t="n">
        <v>35259</v>
      </c>
      <c r="B35260" t="inlineStr">
        <is>
          <t>x̄x̄x̄V̅CCLIX</t>
        </is>
      </c>
      <c r="C35260">
        <f>ROMAN(35259)</f>
        <v/>
      </c>
      <c r="D35260">
        <f>IF(B35260=C35260, "YES", "WRONG")</f>
        <v/>
      </c>
    </row>
    <row r="35261">
      <c r="A35261" t="n">
        <v>35260</v>
      </c>
      <c r="B35261" t="inlineStr">
        <is>
          <t>x̄x̄x̄V̅CCLX</t>
        </is>
      </c>
      <c r="C35261">
        <f>ROMAN(35260)</f>
        <v/>
      </c>
      <c r="D35261">
        <f>IF(B35261=C35261, "YES", "WRONG")</f>
        <v/>
      </c>
    </row>
    <row r="35262">
      <c r="A35262" t="n">
        <v>35261</v>
      </c>
      <c r="B35262" t="inlineStr">
        <is>
          <t>x̄x̄x̄V̅CCLXI</t>
        </is>
      </c>
      <c r="C35262">
        <f>ROMAN(35261)</f>
        <v/>
      </c>
      <c r="D35262">
        <f>IF(B35262=C35262, "YES", "WRONG")</f>
        <v/>
      </c>
    </row>
    <row r="35263">
      <c r="A35263" t="n">
        <v>35262</v>
      </c>
      <c r="B35263" t="inlineStr">
        <is>
          <t>x̄x̄x̄V̅CCLXII</t>
        </is>
      </c>
      <c r="C35263">
        <f>ROMAN(35262)</f>
        <v/>
      </c>
      <c r="D35263">
        <f>IF(B35263=C35263, "YES", "WRONG")</f>
        <v/>
      </c>
    </row>
    <row r="35264">
      <c r="A35264" t="n">
        <v>35263</v>
      </c>
      <c r="B35264" t="inlineStr">
        <is>
          <t>x̄x̄x̄V̅CCLXIII</t>
        </is>
      </c>
      <c r="C35264">
        <f>ROMAN(35263)</f>
        <v/>
      </c>
      <c r="D35264">
        <f>IF(B35264=C35264, "YES", "WRONG")</f>
        <v/>
      </c>
    </row>
    <row r="35265">
      <c r="A35265" t="n">
        <v>35264</v>
      </c>
      <c r="B35265" t="inlineStr">
        <is>
          <t>x̄x̄x̄V̅CCLXIV</t>
        </is>
      </c>
      <c r="C35265">
        <f>ROMAN(35264)</f>
        <v/>
      </c>
      <c r="D35265">
        <f>IF(B35265=C35265, "YES", "WRONG")</f>
        <v/>
      </c>
    </row>
    <row r="35266">
      <c r="A35266" t="n">
        <v>35265</v>
      </c>
      <c r="B35266" t="inlineStr">
        <is>
          <t>x̄x̄x̄V̅CCLXV</t>
        </is>
      </c>
      <c r="C35266">
        <f>ROMAN(35265)</f>
        <v/>
      </c>
      <c r="D35266">
        <f>IF(B35266=C35266, "YES", "WRONG")</f>
        <v/>
      </c>
    </row>
    <row r="35267">
      <c r="A35267" t="n">
        <v>35266</v>
      </c>
      <c r="B35267" t="inlineStr">
        <is>
          <t>x̄x̄x̄V̅CCLXVI</t>
        </is>
      </c>
      <c r="C35267">
        <f>ROMAN(35266)</f>
        <v/>
      </c>
      <c r="D35267">
        <f>IF(B35267=C35267, "YES", "WRONG")</f>
        <v/>
      </c>
    </row>
    <row r="35268">
      <c r="A35268" t="n">
        <v>35267</v>
      </c>
      <c r="B35268" t="inlineStr">
        <is>
          <t>x̄x̄x̄V̅CCLXVII</t>
        </is>
      </c>
      <c r="C35268">
        <f>ROMAN(35267)</f>
        <v/>
      </c>
      <c r="D35268">
        <f>IF(B35268=C35268, "YES", "WRONG")</f>
        <v/>
      </c>
    </row>
    <row r="35269">
      <c r="A35269" t="n">
        <v>35268</v>
      </c>
      <c r="B35269" t="inlineStr">
        <is>
          <t>x̄x̄x̄V̅CCLXVIII</t>
        </is>
      </c>
      <c r="C35269">
        <f>ROMAN(35268)</f>
        <v/>
      </c>
      <c r="D35269">
        <f>IF(B35269=C35269, "YES", "WRONG")</f>
        <v/>
      </c>
    </row>
    <row r="35270">
      <c r="A35270" t="n">
        <v>35269</v>
      </c>
      <c r="B35270" t="inlineStr">
        <is>
          <t>x̄x̄x̄V̅CCLXIX</t>
        </is>
      </c>
      <c r="C35270">
        <f>ROMAN(35269)</f>
        <v/>
      </c>
      <c r="D35270">
        <f>IF(B35270=C35270, "YES", "WRONG")</f>
        <v/>
      </c>
    </row>
    <row r="35271">
      <c r="A35271" t="n">
        <v>35270</v>
      </c>
      <c r="B35271" t="inlineStr">
        <is>
          <t>x̄x̄x̄V̅CCLXX</t>
        </is>
      </c>
      <c r="C35271">
        <f>ROMAN(35270)</f>
        <v/>
      </c>
      <c r="D35271">
        <f>IF(B35271=C35271, "YES", "WRONG")</f>
        <v/>
      </c>
    </row>
    <row r="35272">
      <c r="A35272" t="n">
        <v>35271</v>
      </c>
      <c r="B35272" t="inlineStr">
        <is>
          <t>x̄x̄x̄V̅CCLXXI</t>
        </is>
      </c>
      <c r="C35272">
        <f>ROMAN(35271)</f>
        <v/>
      </c>
      <c r="D35272">
        <f>IF(B35272=C35272, "YES", "WRONG")</f>
        <v/>
      </c>
    </row>
    <row r="35273">
      <c r="A35273" t="n">
        <v>35272</v>
      </c>
      <c r="B35273" t="inlineStr">
        <is>
          <t>x̄x̄x̄V̅CCLXXII</t>
        </is>
      </c>
      <c r="C35273">
        <f>ROMAN(35272)</f>
        <v/>
      </c>
      <c r="D35273">
        <f>IF(B35273=C35273, "YES", "WRONG")</f>
        <v/>
      </c>
    </row>
    <row r="35274">
      <c r="A35274" t="n">
        <v>35273</v>
      </c>
      <c r="B35274" t="inlineStr">
        <is>
          <t>x̄x̄x̄V̅CCLXXIII</t>
        </is>
      </c>
      <c r="C35274">
        <f>ROMAN(35273)</f>
        <v/>
      </c>
      <c r="D35274">
        <f>IF(B35274=C35274, "YES", "WRONG")</f>
        <v/>
      </c>
    </row>
    <row r="35275">
      <c r="A35275" t="n">
        <v>35274</v>
      </c>
      <c r="B35275" t="inlineStr">
        <is>
          <t>x̄x̄x̄V̅CCLXXIV</t>
        </is>
      </c>
      <c r="C35275">
        <f>ROMAN(35274)</f>
        <v/>
      </c>
      <c r="D35275">
        <f>IF(B35275=C35275, "YES", "WRONG")</f>
        <v/>
      </c>
    </row>
    <row r="35276">
      <c r="A35276" t="n">
        <v>35275</v>
      </c>
      <c r="B35276" t="inlineStr">
        <is>
          <t>x̄x̄x̄V̅CCLXXV</t>
        </is>
      </c>
      <c r="C35276">
        <f>ROMAN(35275)</f>
        <v/>
      </c>
      <c r="D35276">
        <f>IF(B35276=C35276, "YES", "WRONG")</f>
        <v/>
      </c>
    </row>
    <row r="35277">
      <c r="A35277" t="n">
        <v>35276</v>
      </c>
      <c r="B35277" t="inlineStr">
        <is>
          <t>x̄x̄x̄V̅CCLXXVI</t>
        </is>
      </c>
      <c r="C35277">
        <f>ROMAN(35276)</f>
        <v/>
      </c>
      <c r="D35277">
        <f>IF(B35277=C35277, "YES", "WRONG")</f>
        <v/>
      </c>
    </row>
    <row r="35278">
      <c r="A35278" t="n">
        <v>35277</v>
      </c>
      <c r="B35278" t="inlineStr">
        <is>
          <t>x̄x̄x̄V̅CCLXXVII</t>
        </is>
      </c>
      <c r="C35278">
        <f>ROMAN(35277)</f>
        <v/>
      </c>
      <c r="D35278">
        <f>IF(B35278=C35278, "YES", "WRONG")</f>
        <v/>
      </c>
    </row>
    <row r="35279">
      <c r="A35279" t="n">
        <v>35278</v>
      </c>
      <c r="B35279" t="inlineStr">
        <is>
          <t>x̄x̄x̄V̅CCLXXVIII</t>
        </is>
      </c>
      <c r="C35279">
        <f>ROMAN(35278)</f>
        <v/>
      </c>
      <c r="D35279">
        <f>IF(B35279=C35279, "YES", "WRONG")</f>
        <v/>
      </c>
    </row>
    <row r="35280">
      <c r="A35280" t="n">
        <v>35279</v>
      </c>
      <c r="B35280" t="inlineStr">
        <is>
          <t>x̄x̄x̄V̅CCLXXIX</t>
        </is>
      </c>
      <c r="C35280">
        <f>ROMAN(35279)</f>
        <v/>
      </c>
      <c r="D35280">
        <f>IF(B35280=C35280, "YES", "WRONG")</f>
        <v/>
      </c>
    </row>
    <row r="35281">
      <c r="A35281" t="n">
        <v>35280</v>
      </c>
      <c r="B35281" t="inlineStr">
        <is>
          <t>x̄x̄x̄V̅CCLXXX</t>
        </is>
      </c>
      <c r="C35281">
        <f>ROMAN(35280)</f>
        <v/>
      </c>
      <c r="D35281">
        <f>IF(B35281=C35281, "YES", "WRONG")</f>
        <v/>
      </c>
    </row>
    <row r="35282">
      <c r="A35282" t="n">
        <v>35281</v>
      </c>
      <c r="B35282" t="inlineStr">
        <is>
          <t>x̄x̄x̄V̅CCLXXXI</t>
        </is>
      </c>
      <c r="C35282">
        <f>ROMAN(35281)</f>
        <v/>
      </c>
      <c r="D35282">
        <f>IF(B35282=C35282, "YES", "WRONG")</f>
        <v/>
      </c>
    </row>
    <row r="35283">
      <c r="A35283" t="n">
        <v>35282</v>
      </c>
      <c r="B35283" t="inlineStr">
        <is>
          <t>x̄x̄x̄V̅CCLXXXII</t>
        </is>
      </c>
      <c r="C35283">
        <f>ROMAN(35282)</f>
        <v/>
      </c>
      <c r="D35283">
        <f>IF(B35283=C35283, "YES", "WRONG")</f>
        <v/>
      </c>
    </row>
    <row r="35284">
      <c r="A35284" t="n">
        <v>35283</v>
      </c>
      <c r="B35284" t="inlineStr">
        <is>
          <t>x̄x̄x̄V̅CCLXXXIII</t>
        </is>
      </c>
      <c r="C35284">
        <f>ROMAN(35283)</f>
        <v/>
      </c>
      <c r="D35284">
        <f>IF(B35284=C35284, "YES", "WRONG")</f>
        <v/>
      </c>
    </row>
    <row r="35285">
      <c r="A35285" t="n">
        <v>35284</v>
      </c>
      <c r="B35285" t="inlineStr">
        <is>
          <t>x̄x̄x̄V̅CCLXXXIV</t>
        </is>
      </c>
      <c r="C35285">
        <f>ROMAN(35284)</f>
        <v/>
      </c>
      <c r="D35285">
        <f>IF(B35285=C35285, "YES", "WRONG")</f>
        <v/>
      </c>
    </row>
    <row r="35286">
      <c r="A35286" t="n">
        <v>35285</v>
      </c>
      <c r="B35286" t="inlineStr">
        <is>
          <t>x̄x̄x̄V̅CCLXXXV</t>
        </is>
      </c>
      <c r="C35286">
        <f>ROMAN(35285)</f>
        <v/>
      </c>
      <c r="D35286">
        <f>IF(B35286=C35286, "YES", "WRONG")</f>
        <v/>
      </c>
    </row>
    <row r="35287">
      <c r="A35287" t="n">
        <v>35286</v>
      </c>
      <c r="B35287" t="inlineStr">
        <is>
          <t>x̄x̄x̄V̅CCLXXXVI</t>
        </is>
      </c>
      <c r="C35287">
        <f>ROMAN(35286)</f>
        <v/>
      </c>
      <c r="D35287">
        <f>IF(B35287=C35287, "YES", "WRONG")</f>
        <v/>
      </c>
    </row>
    <row r="35288">
      <c r="A35288" t="n">
        <v>35287</v>
      </c>
      <c r="B35288" t="inlineStr">
        <is>
          <t>x̄x̄x̄V̅CCLXXXVII</t>
        </is>
      </c>
      <c r="C35288">
        <f>ROMAN(35287)</f>
        <v/>
      </c>
      <c r="D35288">
        <f>IF(B35288=C35288, "YES", "WRONG")</f>
        <v/>
      </c>
    </row>
    <row r="35289">
      <c r="A35289" t="n">
        <v>35288</v>
      </c>
      <c r="B35289" t="inlineStr">
        <is>
          <t>x̄x̄x̄V̅CCLXXXVIII</t>
        </is>
      </c>
      <c r="C35289">
        <f>ROMAN(35288)</f>
        <v/>
      </c>
      <c r="D35289">
        <f>IF(B35289=C35289, "YES", "WRONG")</f>
        <v/>
      </c>
    </row>
    <row r="35290">
      <c r="A35290" t="n">
        <v>35289</v>
      </c>
      <c r="B35290" t="inlineStr">
        <is>
          <t>x̄x̄x̄V̅CCLXXXIX</t>
        </is>
      </c>
      <c r="C35290">
        <f>ROMAN(35289)</f>
        <v/>
      </c>
      <c r="D35290">
        <f>IF(B35290=C35290, "YES", "WRONG")</f>
        <v/>
      </c>
    </row>
    <row r="35291">
      <c r="A35291" t="n">
        <v>35290</v>
      </c>
      <c r="B35291" t="inlineStr">
        <is>
          <t>x̄x̄x̄V̅CCXC</t>
        </is>
      </c>
      <c r="C35291">
        <f>ROMAN(35290)</f>
        <v/>
      </c>
      <c r="D35291">
        <f>IF(B35291=C35291, "YES", "WRONG")</f>
        <v/>
      </c>
    </row>
    <row r="35292">
      <c r="A35292" t="n">
        <v>35291</v>
      </c>
      <c r="B35292" t="inlineStr">
        <is>
          <t>x̄x̄x̄V̅CCXCI</t>
        </is>
      </c>
      <c r="C35292">
        <f>ROMAN(35291)</f>
        <v/>
      </c>
      <c r="D35292">
        <f>IF(B35292=C35292, "YES", "WRONG")</f>
        <v/>
      </c>
    </row>
    <row r="35293">
      <c r="A35293" t="n">
        <v>35292</v>
      </c>
      <c r="B35293" t="inlineStr">
        <is>
          <t>x̄x̄x̄V̅CCXCII</t>
        </is>
      </c>
      <c r="C35293">
        <f>ROMAN(35292)</f>
        <v/>
      </c>
      <c r="D35293">
        <f>IF(B35293=C35293, "YES", "WRONG")</f>
        <v/>
      </c>
    </row>
    <row r="35294">
      <c r="A35294" t="n">
        <v>35293</v>
      </c>
      <c r="B35294" t="inlineStr">
        <is>
          <t>x̄x̄x̄V̅CCXCIII</t>
        </is>
      </c>
      <c r="C35294">
        <f>ROMAN(35293)</f>
        <v/>
      </c>
      <c r="D35294">
        <f>IF(B35294=C35294, "YES", "WRONG")</f>
        <v/>
      </c>
    </row>
    <row r="35295">
      <c r="A35295" t="n">
        <v>35294</v>
      </c>
      <c r="B35295" t="inlineStr">
        <is>
          <t>x̄x̄x̄V̅CCXCIV</t>
        </is>
      </c>
      <c r="C35295">
        <f>ROMAN(35294)</f>
        <v/>
      </c>
      <c r="D35295">
        <f>IF(B35295=C35295, "YES", "WRONG")</f>
        <v/>
      </c>
    </row>
    <row r="35296">
      <c r="A35296" t="n">
        <v>35295</v>
      </c>
      <c r="B35296" t="inlineStr">
        <is>
          <t>x̄x̄x̄V̅CCXCV</t>
        </is>
      </c>
      <c r="C35296">
        <f>ROMAN(35295)</f>
        <v/>
      </c>
      <c r="D35296">
        <f>IF(B35296=C35296, "YES", "WRONG")</f>
        <v/>
      </c>
    </row>
    <row r="35297">
      <c r="A35297" t="n">
        <v>35296</v>
      </c>
      <c r="B35297" t="inlineStr">
        <is>
          <t>x̄x̄x̄V̅CCXCVI</t>
        </is>
      </c>
      <c r="C35297">
        <f>ROMAN(35296)</f>
        <v/>
      </c>
      <c r="D35297">
        <f>IF(B35297=C35297, "YES", "WRONG")</f>
        <v/>
      </c>
    </row>
    <row r="35298">
      <c r="A35298" t="n">
        <v>35297</v>
      </c>
      <c r="B35298" t="inlineStr">
        <is>
          <t>x̄x̄x̄V̅CCXCVII</t>
        </is>
      </c>
      <c r="C35298">
        <f>ROMAN(35297)</f>
        <v/>
      </c>
      <c r="D35298">
        <f>IF(B35298=C35298, "YES", "WRONG")</f>
        <v/>
      </c>
    </row>
    <row r="35299">
      <c r="A35299" t="n">
        <v>35298</v>
      </c>
      <c r="B35299" t="inlineStr">
        <is>
          <t>x̄x̄x̄V̅CCXCVIII</t>
        </is>
      </c>
      <c r="C35299">
        <f>ROMAN(35298)</f>
        <v/>
      </c>
      <c r="D35299">
        <f>IF(B35299=C35299, "YES", "WRONG")</f>
        <v/>
      </c>
    </row>
    <row r="35300">
      <c r="A35300" t="n">
        <v>35299</v>
      </c>
      <c r="B35300" t="inlineStr">
        <is>
          <t>x̄x̄x̄V̅CCXCIX</t>
        </is>
      </c>
      <c r="C35300">
        <f>ROMAN(35299)</f>
        <v/>
      </c>
      <c r="D35300">
        <f>IF(B35300=C35300, "YES", "WRONG")</f>
        <v/>
      </c>
    </row>
    <row r="35301">
      <c r="A35301" t="n">
        <v>35300</v>
      </c>
      <c r="B35301" t="inlineStr">
        <is>
          <t>x̄x̄x̄V̅CCC</t>
        </is>
      </c>
      <c r="C35301">
        <f>ROMAN(35300)</f>
        <v/>
      </c>
      <c r="D35301">
        <f>IF(B35301=C35301, "YES", "WRONG")</f>
        <v/>
      </c>
    </row>
    <row r="35302">
      <c r="A35302" t="n">
        <v>35301</v>
      </c>
      <c r="B35302" t="inlineStr">
        <is>
          <t>x̄x̄x̄V̅CCCI</t>
        </is>
      </c>
      <c r="C35302">
        <f>ROMAN(35301)</f>
        <v/>
      </c>
      <c r="D35302">
        <f>IF(B35302=C35302, "YES", "WRONG")</f>
        <v/>
      </c>
    </row>
    <row r="35303">
      <c r="A35303" t="n">
        <v>35302</v>
      </c>
      <c r="B35303" t="inlineStr">
        <is>
          <t>x̄x̄x̄V̅CCCII</t>
        </is>
      </c>
      <c r="C35303">
        <f>ROMAN(35302)</f>
        <v/>
      </c>
      <c r="D35303">
        <f>IF(B35303=C35303, "YES", "WRONG")</f>
        <v/>
      </c>
    </row>
    <row r="35304">
      <c r="A35304" t="n">
        <v>35303</v>
      </c>
      <c r="B35304" t="inlineStr">
        <is>
          <t>x̄x̄x̄V̅CCCIII</t>
        </is>
      </c>
      <c r="C35304">
        <f>ROMAN(35303)</f>
        <v/>
      </c>
      <c r="D35304">
        <f>IF(B35304=C35304, "YES", "WRONG")</f>
        <v/>
      </c>
    </row>
    <row r="35305">
      <c r="A35305" t="n">
        <v>35304</v>
      </c>
      <c r="B35305" t="inlineStr">
        <is>
          <t>x̄x̄x̄V̅CCCIV</t>
        </is>
      </c>
      <c r="C35305">
        <f>ROMAN(35304)</f>
        <v/>
      </c>
      <c r="D35305">
        <f>IF(B35305=C35305, "YES", "WRONG")</f>
        <v/>
      </c>
    </row>
    <row r="35306">
      <c r="A35306" t="n">
        <v>35305</v>
      </c>
      <c r="B35306" t="inlineStr">
        <is>
          <t>x̄x̄x̄V̅CCCV</t>
        </is>
      </c>
      <c r="C35306">
        <f>ROMAN(35305)</f>
        <v/>
      </c>
      <c r="D35306">
        <f>IF(B35306=C35306, "YES", "WRONG")</f>
        <v/>
      </c>
    </row>
    <row r="35307">
      <c r="A35307" t="n">
        <v>35306</v>
      </c>
      <c r="B35307" t="inlineStr">
        <is>
          <t>x̄x̄x̄V̅CCCVI</t>
        </is>
      </c>
      <c r="C35307">
        <f>ROMAN(35306)</f>
        <v/>
      </c>
      <c r="D35307">
        <f>IF(B35307=C35307, "YES", "WRONG")</f>
        <v/>
      </c>
    </row>
    <row r="35308">
      <c r="A35308" t="n">
        <v>35307</v>
      </c>
      <c r="B35308" t="inlineStr">
        <is>
          <t>x̄x̄x̄V̅CCCVII</t>
        </is>
      </c>
      <c r="C35308">
        <f>ROMAN(35307)</f>
        <v/>
      </c>
      <c r="D35308">
        <f>IF(B35308=C35308, "YES", "WRONG")</f>
        <v/>
      </c>
    </row>
    <row r="35309">
      <c r="A35309" t="n">
        <v>35308</v>
      </c>
      <c r="B35309" t="inlineStr">
        <is>
          <t>x̄x̄x̄V̅CCCVIII</t>
        </is>
      </c>
      <c r="C35309">
        <f>ROMAN(35308)</f>
        <v/>
      </c>
      <c r="D35309">
        <f>IF(B35309=C35309, "YES", "WRONG")</f>
        <v/>
      </c>
    </row>
    <row r="35310">
      <c r="A35310" t="n">
        <v>35309</v>
      </c>
      <c r="B35310" t="inlineStr">
        <is>
          <t>x̄x̄x̄V̅CCCIX</t>
        </is>
      </c>
      <c r="C35310">
        <f>ROMAN(35309)</f>
        <v/>
      </c>
      <c r="D35310">
        <f>IF(B35310=C35310, "YES", "WRONG")</f>
        <v/>
      </c>
    </row>
    <row r="35311">
      <c r="A35311" t="n">
        <v>35310</v>
      </c>
      <c r="B35311" t="inlineStr">
        <is>
          <t>x̄x̄x̄V̅CCCX</t>
        </is>
      </c>
      <c r="C35311">
        <f>ROMAN(35310)</f>
        <v/>
      </c>
      <c r="D35311">
        <f>IF(B35311=C35311, "YES", "WRONG")</f>
        <v/>
      </c>
    </row>
    <row r="35312">
      <c r="A35312" t="n">
        <v>35311</v>
      </c>
      <c r="B35312" t="inlineStr">
        <is>
          <t>x̄x̄x̄V̅CCCXI</t>
        </is>
      </c>
      <c r="C35312">
        <f>ROMAN(35311)</f>
        <v/>
      </c>
      <c r="D35312">
        <f>IF(B35312=C35312, "YES", "WRONG")</f>
        <v/>
      </c>
    </row>
    <row r="35313">
      <c r="A35313" t="n">
        <v>35312</v>
      </c>
      <c r="B35313" t="inlineStr">
        <is>
          <t>x̄x̄x̄V̅CCCXII</t>
        </is>
      </c>
      <c r="C35313">
        <f>ROMAN(35312)</f>
        <v/>
      </c>
      <c r="D35313">
        <f>IF(B35313=C35313, "YES", "WRONG")</f>
        <v/>
      </c>
    </row>
    <row r="35314">
      <c r="A35314" t="n">
        <v>35313</v>
      </c>
      <c r="B35314" t="inlineStr">
        <is>
          <t>x̄x̄x̄V̅CCCXIII</t>
        </is>
      </c>
      <c r="C35314">
        <f>ROMAN(35313)</f>
        <v/>
      </c>
      <c r="D35314">
        <f>IF(B35314=C35314, "YES", "WRONG")</f>
        <v/>
      </c>
    </row>
    <row r="35315">
      <c r="A35315" t="n">
        <v>35314</v>
      </c>
      <c r="B35315" t="inlineStr">
        <is>
          <t>x̄x̄x̄V̅CCCXIV</t>
        </is>
      </c>
      <c r="C35315">
        <f>ROMAN(35314)</f>
        <v/>
      </c>
      <c r="D35315">
        <f>IF(B35315=C35315, "YES", "WRONG")</f>
        <v/>
      </c>
    </row>
    <row r="35316">
      <c r="A35316" t="n">
        <v>35315</v>
      </c>
      <c r="B35316" t="inlineStr">
        <is>
          <t>x̄x̄x̄V̅CCCXV</t>
        </is>
      </c>
      <c r="C35316">
        <f>ROMAN(35315)</f>
        <v/>
      </c>
      <c r="D35316">
        <f>IF(B35316=C35316, "YES", "WRONG")</f>
        <v/>
      </c>
    </row>
    <row r="35317">
      <c r="A35317" t="n">
        <v>35316</v>
      </c>
      <c r="B35317" t="inlineStr">
        <is>
          <t>x̄x̄x̄V̅CCCXVI</t>
        </is>
      </c>
      <c r="C35317">
        <f>ROMAN(35316)</f>
        <v/>
      </c>
      <c r="D35317">
        <f>IF(B35317=C35317, "YES", "WRONG")</f>
        <v/>
      </c>
    </row>
    <row r="35318">
      <c r="A35318" t="n">
        <v>35317</v>
      </c>
      <c r="B35318" t="inlineStr">
        <is>
          <t>x̄x̄x̄V̅CCCXVII</t>
        </is>
      </c>
      <c r="C35318">
        <f>ROMAN(35317)</f>
        <v/>
      </c>
      <c r="D35318">
        <f>IF(B35318=C35318, "YES", "WRONG")</f>
        <v/>
      </c>
    </row>
    <row r="35319">
      <c r="A35319" t="n">
        <v>35318</v>
      </c>
      <c r="B35319" t="inlineStr">
        <is>
          <t>x̄x̄x̄V̅CCCXVIII</t>
        </is>
      </c>
      <c r="C35319">
        <f>ROMAN(35318)</f>
        <v/>
      </c>
      <c r="D35319">
        <f>IF(B35319=C35319, "YES", "WRONG")</f>
        <v/>
      </c>
    </row>
    <row r="35320">
      <c r="A35320" t="n">
        <v>35319</v>
      </c>
      <c r="B35320" t="inlineStr">
        <is>
          <t>x̄x̄x̄V̅CCCXIX</t>
        </is>
      </c>
      <c r="C35320">
        <f>ROMAN(35319)</f>
        <v/>
      </c>
      <c r="D35320">
        <f>IF(B35320=C35320, "YES", "WRONG")</f>
        <v/>
      </c>
    </row>
    <row r="35321">
      <c r="A35321" t="n">
        <v>35320</v>
      </c>
      <c r="B35321" t="inlineStr">
        <is>
          <t>x̄x̄x̄V̅CCCXX</t>
        </is>
      </c>
      <c r="C35321">
        <f>ROMAN(35320)</f>
        <v/>
      </c>
      <c r="D35321">
        <f>IF(B35321=C35321, "YES", "WRONG")</f>
        <v/>
      </c>
    </row>
    <row r="35322">
      <c r="A35322" t="n">
        <v>35321</v>
      </c>
      <c r="B35322" t="inlineStr">
        <is>
          <t>x̄x̄x̄V̅CCCXXI</t>
        </is>
      </c>
      <c r="C35322">
        <f>ROMAN(35321)</f>
        <v/>
      </c>
      <c r="D35322">
        <f>IF(B35322=C35322, "YES", "WRONG")</f>
        <v/>
      </c>
    </row>
    <row r="35323">
      <c r="A35323" t="n">
        <v>35322</v>
      </c>
      <c r="B35323" t="inlineStr">
        <is>
          <t>x̄x̄x̄V̅CCCXXII</t>
        </is>
      </c>
      <c r="C35323">
        <f>ROMAN(35322)</f>
        <v/>
      </c>
      <c r="D35323">
        <f>IF(B35323=C35323, "YES", "WRONG")</f>
        <v/>
      </c>
    </row>
    <row r="35324">
      <c r="A35324" t="n">
        <v>35323</v>
      </c>
      <c r="B35324" t="inlineStr">
        <is>
          <t>x̄x̄x̄V̅CCCXXIII</t>
        </is>
      </c>
      <c r="C35324">
        <f>ROMAN(35323)</f>
        <v/>
      </c>
      <c r="D35324">
        <f>IF(B35324=C35324, "YES", "WRONG")</f>
        <v/>
      </c>
    </row>
    <row r="35325">
      <c r="A35325" t="n">
        <v>35324</v>
      </c>
      <c r="B35325" t="inlineStr">
        <is>
          <t>x̄x̄x̄V̅CCCXXIV</t>
        </is>
      </c>
      <c r="C35325">
        <f>ROMAN(35324)</f>
        <v/>
      </c>
      <c r="D35325">
        <f>IF(B35325=C35325, "YES", "WRONG")</f>
        <v/>
      </c>
    </row>
    <row r="35326">
      <c r="A35326" t="n">
        <v>35325</v>
      </c>
      <c r="B35326" t="inlineStr">
        <is>
          <t>x̄x̄x̄V̅CCCXXV</t>
        </is>
      </c>
      <c r="C35326">
        <f>ROMAN(35325)</f>
        <v/>
      </c>
      <c r="D35326">
        <f>IF(B35326=C35326, "YES", "WRONG")</f>
        <v/>
      </c>
    </row>
    <row r="35327">
      <c r="A35327" t="n">
        <v>35326</v>
      </c>
      <c r="B35327" t="inlineStr">
        <is>
          <t>x̄x̄x̄V̅CCCXXVI</t>
        </is>
      </c>
      <c r="C35327">
        <f>ROMAN(35326)</f>
        <v/>
      </c>
      <c r="D35327">
        <f>IF(B35327=C35327, "YES", "WRONG")</f>
        <v/>
      </c>
    </row>
    <row r="35328">
      <c r="A35328" t="n">
        <v>35327</v>
      </c>
      <c r="B35328" t="inlineStr">
        <is>
          <t>x̄x̄x̄V̅CCCXXVII</t>
        </is>
      </c>
      <c r="C35328">
        <f>ROMAN(35327)</f>
        <v/>
      </c>
      <c r="D35328">
        <f>IF(B35328=C35328, "YES", "WRONG")</f>
        <v/>
      </c>
    </row>
    <row r="35329">
      <c r="A35329" t="n">
        <v>35328</v>
      </c>
      <c r="B35329" t="inlineStr">
        <is>
          <t>x̄x̄x̄V̅CCCXXVIII</t>
        </is>
      </c>
      <c r="C35329">
        <f>ROMAN(35328)</f>
        <v/>
      </c>
      <c r="D35329">
        <f>IF(B35329=C35329, "YES", "WRONG")</f>
        <v/>
      </c>
    </row>
    <row r="35330">
      <c r="A35330" t="n">
        <v>35329</v>
      </c>
      <c r="B35330" t="inlineStr">
        <is>
          <t>x̄x̄x̄V̅CCCXXIX</t>
        </is>
      </c>
      <c r="C35330">
        <f>ROMAN(35329)</f>
        <v/>
      </c>
      <c r="D35330">
        <f>IF(B35330=C35330, "YES", "WRONG")</f>
        <v/>
      </c>
    </row>
    <row r="35331">
      <c r="A35331" t="n">
        <v>35330</v>
      </c>
      <c r="B35331" t="inlineStr">
        <is>
          <t>x̄x̄x̄V̅CCCXXX</t>
        </is>
      </c>
      <c r="C35331">
        <f>ROMAN(35330)</f>
        <v/>
      </c>
      <c r="D35331">
        <f>IF(B35331=C35331, "YES", "WRONG")</f>
        <v/>
      </c>
    </row>
    <row r="35332">
      <c r="A35332" t="n">
        <v>35331</v>
      </c>
      <c r="B35332" t="inlineStr">
        <is>
          <t>x̄x̄x̄V̅CCCXXXI</t>
        </is>
      </c>
      <c r="C35332">
        <f>ROMAN(35331)</f>
        <v/>
      </c>
      <c r="D35332">
        <f>IF(B35332=C35332, "YES", "WRONG")</f>
        <v/>
      </c>
    </row>
    <row r="35333">
      <c r="A35333" t="n">
        <v>35332</v>
      </c>
      <c r="B35333" t="inlineStr">
        <is>
          <t>x̄x̄x̄V̅CCCXXXII</t>
        </is>
      </c>
      <c r="C35333">
        <f>ROMAN(35332)</f>
        <v/>
      </c>
      <c r="D35333">
        <f>IF(B35333=C35333, "YES", "WRONG")</f>
        <v/>
      </c>
    </row>
    <row r="35334">
      <c r="A35334" t="n">
        <v>35333</v>
      </c>
      <c r="B35334" t="inlineStr">
        <is>
          <t>x̄x̄x̄V̅CCCXXXIII</t>
        </is>
      </c>
      <c r="C35334">
        <f>ROMAN(35333)</f>
        <v/>
      </c>
      <c r="D35334">
        <f>IF(B35334=C35334, "YES", "WRONG")</f>
        <v/>
      </c>
    </row>
    <row r="35335">
      <c r="A35335" t="n">
        <v>35334</v>
      </c>
      <c r="B35335" t="inlineStr">
        <is>
          <t>x̄x̄x̄V̅CCCXXXIV</t>
        </is>
      </c>
      <c r="C35335">
        <f>ROMAN(35334)</f>
        <v/>
      </c>
      <c r="D35335">
        <f>IF(B35335=C35335, "YES", "WRONG")</f>
        <v/>
      </c>
    </row>
    <row r="35336">
      <c r="A35336" t="n">
        <v>35335</v>
      </c>
      <c r="B35336" t="inlineStr">
        <is>
          <t>x̄x̄x̄V̅CCCXXXV</t>
        </is>
      </c>
      <c r="C35336">
        <f>ROMAN(35335)</f>
        <v/>
      </c>
      <c r="D35336">
        <f>IF(B35336=C35336, "YES", "WRONG")</f>
        <v/>
      </c>
    </row>
    <row r="35337">
      <c r="A35337" t="n">
        <v>35336</v>
      </c>
      <c r="B35337" t="inlineStr">
        <is>
          <t>x̄x̄x̄V̅CCCXXXVI</t>
        </is>
      </c>
      <c r="C35337">
        <f>ROMAN(35336)</f>
        <v/>
      </c>
      <c r="D35337">
        <f>IF(B35337=C35337, "YES", "WRONG")</f>
        <v/>
      </c>
    </row>
    <row r="35338">
      <c r="A35338" t="n">
        <v>35337</v>
      </c>
      <c r="B35338" t="inlineStr">
        <is>
          <t>x̄x̄x̄V̅CCCXXXVII</t>
        </is>
      </c>
      <c r="C35338">
        <f>ROMAN(35337)</f>
        <v/>
      </c>
      <c r="D35338">
        <f>IF(B35338=C35338, "YES", "WRONG")</f>
        <v/>
      </c>
    </row>
    <row r="35339">
      <c r="A35339" t="n">
        <v>35338</v>
      </c>
      <c r="B35339" t="inlineStr">
        <is>
          <t>x̄x̄x̄V̅CCCXXXVIII</t>
        </is>
      </c>
      <c r="C35339">
        <f>ROMAN(35338)</f>
        <v/>
      </c>
      <c r="D35339">
        <f>IF(B35339=C35339, "YES", "WRONG")</f>
        <v/>
      </c>
    </row>
    <row r="35340">
      <c r="A35340" t="n">
        <v>35339</v>
      </c>
      <c r="B35340" t="inlineStr">
        <is>
          <t>x̄x̄x̄V̅CCCXXXIX</t>
        </is>
      </c>
      <c r="C35340">
        <f>ROMAN(35339)</f>
        <v/>
      </c>
      <c r="D35340">
        <f>IF(B35340=C35340, "YES", "WRONG")</f>
        <v/>
      </c>
    </row>
    <row r="35341">
      <c r="A35341" t="n">
        <v>35340</v>
      </c>
      <c r="B35341" t="inlineStr">
        <is>
          <t>x̄x̄x̄V̅CCCXL</t>
        </is>
      </c>
      <c r="C35341">
        <f>ROMAN(35340)</f>
        <v/>
      </c>
      <c r="D35341">
        <f>IF(B35341=C35341, "YES", "WRONG")</f>
        <v/>
      </c>
    </row>
    <row r="35342">
      <c r="A35342" t="n">
        <v>35341</v>
      </c>
      <c r="B35342" t="inlineStr">
        <is>
          <t>x̄x̄x̄V̅CCCXLI</t>
        </is>
      </c>
      <c r="C35342">
        <f>ROMAN(35341)</f>
        <v/>
      </c>
      <c r="D35342">
        <f>IF(B35342=C35342, "YES", "WRONG")</f>
        <v/>
      </c>
    </row>
    <row r="35343">
      <c r="A35343" t="n">
        <v>35342</v>
      </c>
      <c r="B35343" t="inlineStr">
        <is>
          <t>x̄x̄x̄V̅CCCXLII</t>
        </is>
      </c>
      <c r="C35343">
        <f>ROMAN(35342)</f>
        <v/>
      </c>
      <c r="D35343">
        <f>IF(B35343=C35343, "YES", "WRONG")</f>
        <v/>
      </c>
    </row>
    <row r="35344">
      <c r="A35344" t="n">
        <v>35343</v>
      </c>
      <c r="B35344" t="inlineStr">
        <is>
          <t>x̄x̄x̄V̅CCCXLIII</t>
        </is>
      </c>
      <c r="C35344">
        <f>ROMAN(35343)</f>
        <v/>
      </c>
      <c r="D35344">
        <f>IF(B35344=C35344, "YES", "WRONG")</f>
        <v/>
      </c>
    </row>
    <row r="35345">
      <c r="A35345" t="n">
        <v>35344</v>
      </c>
      <c r="B35345" t="inlineStr">
        <is>
          <t>x̄x̄x̄V̅CCCXLIV</t>
        </is>
      </c>
      <c r="C35345">
        <f>ROMAN(35344)</f>
        <v/>
      </c>
      <c r="D35345">
        <f>IF(B35345=C35345, "YES", "WRONG")</f>
        <v/>
      </c>
    </row>
    <row r="35346">
      <c r="A35346" t="n">
        <v>35345</v>
      </c>
      <c r="B35346" t="inlineStr">
        <is>
          <t>x̄x̄x̄V̅CCCXLV</t>
        </is>
      </c>
      <c r="C35346">
        <f>ROMAN(35345)</f>
        <v/>
      </c>
      <c r="D35346">
        <f>IF(B35346=C35346, "YES", "WRONG")</f>
        <v/>
      </c>
    </row>
    <row r="35347">
      <c r="A35347" t="n">
        <v>35346</v>
      </c>
      <c r="B35347" t="inlineStr">
        <is>
          <t>x̄x̄x̄V̅CCCXLVI</t>
        </is>
      </c>
      <c r="C35347">
        <f>ROMAN(35346)</f>
        <v/>
      </c>
      <c r="D35347">
        <f>IF(B35347=C35347, "YES", "WRONG")</f>
        <v/>
      </c>
    </row>
    <row r="35348">
      <c r="A35348" t="n">
        <v>35347</v>
      </c>
      <c r="B35348" t="inlineStr">
        <is>
          <t>x̄x̄x̄V̅CCCXLVII</t>
        </is>
      </c>
      <c r="C35348">
        <f>ROMAN(35347)</f>
        <v/>
      </c>
      <c r="D35348">
        <f>IF(B35348=C35348, "YES", "WRONG")</f>
        <v/>
      </c>
    </row>
    <row r="35349">
      <c r="A35349" t="n">
        <v>35348</v>
      </c>
      <c r="B35349" t="inlineStr">
        <is>
          <t>x̄x̄x̄V̅CCCXLVIII</t>
        </is>
      </c>
      <c r="C35349">
        <f>ROMAN(35348)</f>
        <v/>
      </c>
      <c r="D35349">
        <f>IF(B35349=C35349, "YES", "WRONG")</f>
        <v/>
      </c>
    </row>
    <row r="35350">
      <c r="A35350" t="n">
        <v>35349</v>
      </c>
      <c r="B35350" t="inlineStr">
        <is>
          <t>x̄x̄x̄V̅CCCXLIX</t>
        </is>
      </c>
      <c r="C35350">
        <f>ROMAN(35349)</f>
        <v/>
      </c>
      <c r="D35350">
        <f>IF(B35350=C35350, "YES", "WRONG")</f>
        <v/>
      </c>
    </row>
    <row r="35351">
      <c r="A35351" t="n">
        <v>35350</v>
      </c>
      <c r="B35351" t="inlineStr">
        <is>
          <t>x̄x̄x̄V̅CCCL</t>
        </is>
      </c>
      <c r="C35351">
        <f>ROMAN(35350)</f>
        <v/>
      </c>
      <c r="D35351">
        <f>IF(B35351=C35351, "YES", "WRONG")</f>
        <v/>
      </c>
    </row>
    <row r="35352">
      <c r="A35352" t="n">
        <v>35351</v>
      </c>
      <c r="B35352" t="inlineStr">
        <is>
          <t>x̄x̄x̄V̅CCCLI</t>
        </is>
      </c>
      <c r="C35352">
        <f>ROMAN(35351)</f>
        <v/>
      </c>
      <c r="D35352">
        <f>IF(B35352=C35352, "YES", "WRONG")</f>
        <v/>
      </c>
    </row>
    <row r="35353">
      <c r="A35353" t="n">
        <v>35352</v>
      </c>
      <c r="B35353" t="inlineStr">
        <is>
          <t>x̄x̄x̄V̅CCCLII</t>
        </is>
      </c>
      <c r="C35353">
        <f>ROMAN(35352)</f>
        <v/>
      </c>
      <c r="D35353">
        <f>IF(B35353=C35353, "YES", "WRONG")</f>
        <v/>
      </c>
    </row>
    <row r="35354">
      <c r="A35354" t="n">
        <v>35353</v>
      </c>
      <c r="B35354" t="inlineStr">
        <is>
          <t>x̄x̄x̄V̅CCCLIII</t>
        </is>
      </c>
      <c r="C35354">
        <f>ROMAN(35353)</f>
        <v/>
      </c>
      <c r="D35354">
        <f>IF(B35354=C35354, "YES", "WRONG")</f>
        <v/>
      </c>
    </row>
    <row r="35355">
      <c r="A35355" t="n">
        <v>35354</v>
      </c>
      <c r="B35355" t="inlineStr">
        <is>
          <t>x̄x̄x̄V̅CCCLIV</t>
        </is>
      </c>
      <c r="C35355">
        <f>ROMAN(35354)</f>
        <v/>
      </c>
      <c r="D35355">
        <f>IF(B35355=C35355, "YES", "WRONG")</f>
        <v/>
      </c>
    </row>
    <row r="35356">
      <c r="A35356" t="n">
        <v>35355</v>
      </c>
      <c r="B35356" t="inlineStr">
        <is>
          <t>x̄x̄x̄V̅CCCLV</t>
        </is>
      </c>
      <c r="C35356">
        <f>ROMAN(35355)</f>
        <v/>
      </c>
      <c r="D35356">
        <f>IF(B35356=C35356, "YES", "WRONG")</f>
        <v/>
      </c>
    </row>
    <row r="35357">
      <c r="A35357" t="n">
        <v>35356</v>
      </c>
      <c r="B35357" t="inlineStr">
        <is>
          <t>x̄x̄x̄V̅CCCLVI</t>
        </is>
      </c>
      <c r="C35357">
        <f>ROMAN(35356)</f>
        <v/>
      </c>
      <c r="D35357">
        <f>IF(B35357=C35357, "YES", "WRONG")</f>
        <v/>
      </c>
    </row>
    <row r="35358">
      <c r="A35358" t="n">
        <v>35357</v>
      </c>
      <c r="B35358" t="inlineStr">
        <is>
          <t>x̄x̄x̄V̅CCCLVII</t>
        </is>
      </c>
      <c r="C35358">
        <f>ROMAN(35357)</f>
        <v/>
      </c>
      <c r="D35358">
        <f>IF(B35358=C35358, "YES", "WRONG")</f>
        <v/>
      </c>
    </row>
    <row r="35359">
      <c r="A35359" t="n">
        <v>35358</v>
      </c>
      <c r="B35359" t="inlineStr">
        <is>
          <t>x̄x̄x̄V̅CCCLVIII</t>
        </is>
      </c>
      <c r="C35359">
        <f>ROMAN(35358)</f>
        <v/>
      </c>
      <c r="D35359">
        <f>IF(B35359=C35359, "YES", "WRONG")</f>
        <v/>
      </c>
    </row>
    <row r="35360">
      <c r="A35360" t="n">
        <v>35359</v>
      </c>
      <c r="B35360" t="inlineStr">
        <is>
          <t>x̄x̄x̄V̅CCCLIX</t>
        </is>
      </c>
      <c r="C35360">
        <f>ROMAN(35359)</f>
        <v/>
      </c>
      <c r="D35360">
        <f>IF(B35360=C35360, "YES", "WRONG")</f>
        <v/>
      </c>
    </row>
    <row r="35361">
      <c r="A35361" t="n">
        <v>35360</v>
      </c>
      <c r="B35361" t="inlineStr">
        <is>
          <t>x̄x̄x̄V̅CCCLX</t>
        </is>
      </c>
      <c r="C35361">
        <f>ROMAN(35360)</f>
        <v/>
      </c>
      <c r="D35361">
        <f>IF(B35361=C35361, "YES", "WRONG")</f>
        <v/>
      </c>
    </row>
    <row r="35362">
      <c r="A35362" t="n">
        <v>35361</v>
      </c>
      <c r="B35362" t="inlineStr">
        <is>
          <t>x̄x̄x̄V̅CCCLXI</t>
        </is>
      </c>
      <c r="C35362">
        <f>ROMAN(35361)</f>
        <v/>
      </c>
      <c r="D35362">
        <f>IF(B35362=C35362, "YES", "WRONG")</f>
        <v/>
      </c>
    </row>
    <row r="35363">
      <c r="A35363" t="n">
        <v>35362</v>
      </c>
      <c r="B35363" t="inlineStr">
        <is>
          <t>x̄x̄x̄V̅CCCLXII</t>
        </is>
      </c>
      <c r="C35363">
        <f>ROMAN(35362)</f>
        <v/>
      </c>
      <c r="D35363">
        <f>IF(B35363=C35363, "YES", "WRONG")</f>
        <v/>
      </c>
    </row>
    <row r="35364">
      <c r="A35364" t="n">
        <v>35363</v>
      </c>
      <c r="B35364" t="inlineStr">
        <is>
          <t>x̄x̄x̄V̅CCCLXIII</t>
        </is>
      </c>
      <c r="C35364">
        <f>ROMAN(35363)</f>
        <v/>
      </c>
      <c r="D35364">
        <f>IF(B35364=C35364, "YES", "WRONG")</f>
        <v/>
      </c>
    </row>
    <row r="35365">
      <c r="A35365" t="n">
        <v>35364</v>
      </c>
      <c r="B35365" t="inlineStr">
        <is>
          <t>x̄x̄x̄V̅CCCLXIV</t>
        </is>
      </c>
      <c r="C35365">
        <f>ROMAN(35364)</f>
        <v/>
      </c>
      <c r="D35365">
        <f>IF(B35365=C35365, "YES", "WRONG")</f>
        <v/>
      </c>
    </row>
    <row r="35366">
      <c r="A35366" t="n">
        <v>35365</v>
      </c>
      <c r="B35366" t="inlineStr">
        <is>
          <t>x̄x̄x̄V̅CCCLXV</t>
        </is>
      </c>
      <c r="C35366">
        <f>ROMAN(35365)</f>
        <v/>
      </c>
      <c r="D35366">
        <f>IF(B35366=C35366, "YES", "WRONG")</f>
        <v/>
      </c>
    </row>
    <row r="35367">
      <c r="A35367" t="n">
        <v>35366</v>
      </c>
      <c r="B35367" t="inlineStr">
        <is>
          <t>x̄x̄x̄V̅CCCLXVI</t>
        </is>
      </c>
      <c r="C35367">
        <f>ROMAN(35366)</f>
        <v/>
      </c>
      <c r="D35367">
        <f>IF(B35367=C35367, "YES", "WRONG")</f>
        <v/>
      </c>
    </row>
    <row r="35368">
      <c r="A35368" t="n">
        <v>35367</v>
      </c>
      <c r="B35368" t="inlineStr">
        <is>
          <t>x̄x̄x̄V̅CCCLXVII</t>
        </is>
      </c>
      <c r="C35368">
        <f>ROMAN(35367)</f>
        <v/>
      </c>
      <c r="D35368">
        <f>IF(B35368=C35368, "YES", "WRONG")</f>
        <v/>
      </c>
    </row>
    <row r="35369">
      <c r="A35369" t="n">
        <v>35368</v>
      </c>
      <c r="B35369" t="inlineStr">
        <is>
          <t>x̄x̄x̄V̅CCCLXVIII</t>
        </is>
      </c>
      <c r="C35369">
        <f>ROMAN(35368)</f>
        <v/>
      </c>
      <c r="D35369">
        <f>IF(B35369=C35369, "YES", "WRONG")</f>
        <v/>
      </c>
    </row>
    <row r="35370">
      <c r="A35370" t="n">
        <v>35369</v>
      </c>
      <c r="B35370" t="inlineStr">
        <is>
          <t>x̄x̄x̄V̅CCCLXIX</t>
        </is>
      </c>
      <c r="C35370">
        <f>ROMAN(35369)</f>
        <v/>
      </c>
      <c r="D35370">
        <f>IF(B35370=C35370, "YES", "WRONG")</f>
        <v/>
      </c>
    </row>
    <row r="35371">
      <c r="A35371" t="n">
        <v>35370</v>
      </c>
      <c r="B35371" t="inlineStr">
        <is>
          <t>x̄x̄x̄V̅CCCLXX</t>
        </is>
      </c>
      <c r="C35371">
        <f>ROMAN(35370)</f>
        <v/>
      </c>
      <c r="D35371">
        <f>IF(B35371=C35371, "YES", "WRONG")</f>
        <v/>
      </c>
    </row>
    <row r="35372">
      <c r="A35372" t="n">
        <v>35371</v>
      </c>
      <c r="B35372" t="inlineStr">
        <is>
          <t>x̄x̄x̄V̅CCCLXXI</t>
        </is>
      </c>
      <c r="C35372">
        <f>ROMAN(35371)</f>
        <v/>
      </c>
      <c r="D35372">
        <f>IF(B35372=C35372, "YES", "WRONG")</f>
        <v/>
      </c>
    </row>
    <row r="35373">
      <c r="A35373" t="n">
        <v>35372</v>
      </c>
      <c r="B35373" t="inlineStr">
        <is>
          <t>x̄x̄x̄V̅CCCLXXII</t>
        </is>
      </c>
      <c r="C35373">
        <f>ROMAN(35372)</f>
        <v/>
      </c>
      <c r="D35373">
        <f>IF(B35373=C35373, "YES", "WRONG")</f>
        <v/>
      </c>
    </row>
    <row r="35374">
      <c r="A35374" t="n">
        <v>35373</v>
      </c>
      <c r="B35374" t="inlineStr">
        <is>
          <t>x̄x̄x̄V̅CCCLXXIII</t>
        </is>
      </c>
      <c r="C35374">
        <f>ROMAN(35373)</f>
        <v/>
      </c>
      <c r="D35374">
        <f>IF(B35374=C35374, "YES", "WRONG")</f>
        <v/>
      </c>
    </row>
    <row r="35375">
      <c r="A35375" t="n">
        <v>35374</v>
      </c>
      <c r="B35375" t="inlineStr">
        <is>
          <t>x̄x̄x̄V̅CCCLXXIV</t>
        </is>
      </c>
      <c r="C35375">
        <f>ROMAN(35374)</f>
        <v/>
      </c>
      <c r="D35375">
        <f>IF(B35375=C35375, "YES", "WRONG")</f>
        <v/>
      </c>
    </row>
    <row r="35376">
      <c r="A35376" t="n">
        <v>35375</v>
      </c>
      <c r="B35376" t="inlineStr">
        <is>
          <t>x̄x̄x̄V̅CCCLXXV</t>
        </is>
      </c>
      <c r="C35376">
        <f>ROMAN(35375)</f>
        <v/>
      </c>
      <c r="D35376">
        <f>IF(B35376=C35376, "YES", "WRONG")</f>
        <v/>
      </c>
    </row>
    <row r="35377">
      <c r="A35377" t="n">
        <v>35376</v>
      </c>
      <c r="B35377" t="inlineStr">
        <is>
          <t>x̄x̄x̄V̅CCCLXXVI</t>
        </is>
      </c>
      <c r="C35377">
        <f>ROMAN(35376)</f>
        <v/>
      </c>
      <c r="D35377">
        <f>IF(B35377=C35377, "YES", "WRONG")</f>
        <v/>
      </c>
    </row>
    <row r="35378">
      <c r="A35378" t="n">
        <v>35377</v>
      </c>
      <c r="B35378" t="inlineStr">
        <is>
          <t>x̄x̄x̄V̅CCCLXXVII</t>
        </is>
      </c>
      <c r="C35378">
        <f>ROMAN(35377)</f>
        <v/>
      </c>
      <c r="D35378">
        <f>IF(B35378=C35378, "YES", "WRONG")</f>
        <v/>
      </c>
    </row>
    <row r="35379">
      <c r="A35379" t="n">
        <v>35378</v>
      </c>
      <c r="B35379" t="inlineStr">
        <is>
          <t>x̄x̄x̄V̅CCCLXXVIII</t>
        </is>
      </c>
      <c r="C35379">
        <f>ROMAN(35378)</f>
        <v/>
      </c>
      <c r="D35379">
        <f>IF(B35379=C35379, "YES", "WRONG")</f>
        <v/>
      </c>
    </row>
    <row r="35380">
      <c r="A35380" t="n">
        <v>35379</v>
      </c>
      <c r="B35380" t="inlineStr">
        <is>
          <t>x̄x̄x̄V̅CCCLXXIX</t>
        </is>
      </c>
      <c r="C35380">
        <f>ROMAN(35379)</f>
        <v/>
      </c>
      <c r="D35380">
        <f>IF(B35380=C35380, "YES", "WRONG")</f>
        <v/>
      </c>
    </row>
    <row r="35381">
      <c r="A35381" t="n">
        <v>35380</v>
      </c>
      <c r="B35381" t="inlineStr">
        <is>
          <t>x̄x̄x̄V̅CCCLXXX</t>
        </is>
      </c>
      <c r="C35381">
        <f>ROMAN(35380)</f>
        <v/>
      </c>
      <c r="D35381">
        <f>IF(B35381=C35381, "YES", "WRONG")</f>
        <v/>
      </c>
    </row>
    <row r="35382">
      <c r="A35382" t="n">
        <v>35381</v>
      </c>
      <c r="B35382" t="inlineStr">
        <is>
          <t>x̄x̄x̄V̅CCCLXXXI</t>
        </is>
      </c>
      <c r="C35382">
        <f>ROMAN(35381)</f>
        <v/>
      </c>
      <c r="D35382">
        <f>IF(B35382=C35382, "YES", "WRONG")</f>
        <v/>
      </c>
    </row>
    <row r="35383">
      <c r="A35383" t="n">
        <v>35382</v>
      </c>
      <c r="B35383" t="inlineStr">
        <is>
          <t>x̄x̄x̄V̅CCCLXXXII</t>
        </is>
      </c>
      <c r="C35383">
        <f>ROMAN(35382)</f>
        <v/>
      </c>
      <c r="D35383">
        <f>IF(B35383=C35383, "YES", "WRONG")</f>
        <v/>
      </c>
    </row>
    <row r="35384">
      <c r="A35384" t="n">
        <v>35383</v>
      </c>
      <c r="B35384" t="inlineStr">
        <is>
          <t>x̄x̄x̄V̅CCCLXXXIII</t>
        </is>
      </c>
      <c r="C35384">
        <f>ROMAN(35383)</f>
        <v/>
      </c>
      <c r="D35384">
        <f>IF(B35384=C35384, "YES", "WRONG")</f>
        <v/>
      </c>
    </row>
    <row r="35385">
      <c r="A35385" t="n">
        <v>35384</v>
      </c>
      <c r="B35385" t="inlineStr">
        <is>
          <t>x̄x̄x̄V̅CCCLXXXIV</t>
        </is>
      </c>
      <c r="C35385">
        <f>ROMAN(35384)</f>
        <v/>
      </c>
      <c r="D35385">
        <f>IF(B35385=C35385, "YES", "WRONG")</f>
        <v/>
      </c>
    </row>
    <row r="35386">
      <c r="A35386" t="n">
        <v>35385</v>
      </c>
      <c r="B35386" t="inlineStr">
        <is>
          <t>x̄x̄x̄V̅CCCLXXXV</t>
        </is>
      </c>
      <c r="C35386">
        <f>ROMAN(35385)</f>
        <v/>
      </c>
      <c r="D35386">
        <f>IF(B35386=C35386, "YES", "WRONG")</f>
        <v/>
      </c>
    </row>
    <row r="35387">
      <c r="A35387" t="n">
        <v>35386</v>
      </c>
      <c r="B35387" t="inlineStr">
        <is>
          <t>x̄x̄x̄V̅CCCLXXXVI</t>
        </is>
      </c>
      <c r="C35387">
        <f>ROMAN(35386)</f>
        <v/>
      </c>
      <c r="D35387">
        <f>IF(B35387=C35387, "YES", "WRONG")</f>
        <v/>
      </c>
    </row>
    <row r="35388">
      <c r="A35388" t="n">
        <v>35387</v>
      </c>
      <c r="B35388" t="inlineStr">
        <is>
          <t>x̄x̄x̄V̅CCCLXXXVII</t>
        </is>
      </c>
      <c r="C35388">
        <f>ROMAN(35387)</f>
        <v/>
      </c>
      <c r="D35388">
        <f>IF(B35388=C35388, "YES", "WRONG")</f>
        <v/>
      </c>
    </row>
    <row r="35389">
      <c r="A35389" t="n">
        <v>35388</v>
      </c>
      <c r="B35389" t="inlineStr">
        <is>
          <t>x̄x̄x̄V̅CCCLXXXVIII</t>
        </is>
      </c>
      <c r="C35389">
        <f>ROMAN(35388)</f>
        <v/>
      </c>
      <c r="D35389">
        <f>IF(B35389=C35389, "YES", "WRONG")</f>
        <v/>
      </c>
    </row>
    <row r="35390">
      <c r="A35390" t="n">
        <v>35389</v>
      </c>
      <c r="B35390" t="inlineStr">
        <is>
          <t>x̄x̄x̄V̅CCCLXXXIX</t>
        </is>
      </c>
      <c r="C35390">
        <f>ROMAN(35389)</f>
        <v/>
      </c>
      <c r="D35390">
        <f>IF(B35390=C35390, "YES", "WRONG")</f>
        <v/>
      </c>
    </row>
    <row r="35391">
      <c r="A35391" t="n">
        <v>35390</v>
      </c>
      <c r="B35391" t="inlineStr">
        <is>
          <t>x̄x̄x̄V̅CCCXC</t>
        </is>
      </c>
      <c r="C35391">
        <f>ROMAN(35390)</f>
        <v/>
      </c>
      <c r="D35391">
        <f>IF(B35391=C35391, "YES", "WRONG")</f>
        <v/>
      </c>
    </row>
    <row r="35392">
      <c r="A35392" t="n">
        <v>35391</v>
      </c>
      <c r="B35392" t="inlineStr">
        <is>
          <t>x̄x̄x̄V̅CCCXCI</t>
        </is>
      </c>
      <c r="C35392">
        <f>ROMAN(35391)</f>
        <v/>
      </c>
      <c r="D35392">
        <f>IF(B35392=C35392, "YES", "WRONG")</f>
        <v/>
      </c>
    </row>
    <row r="35393">
      <c r="A35393" t="n">
        <v>35392</v>
      </c>
      <c r="B35393" t="inlineStr">
        <is>
          <t>x̄x̄x̄V̅CCCXCII</t>
        </is>
      </c>
      <c r="C35393">
        <f>ROMAN(35392)</f>
        <v/>
      </c>
      <c r="D35393">
        <f>IF(B35393=C35393, "YES", "WRONG")</f>
        <v/>
      </c>
    </row>
    <row r="35394">
      <c r="A35394" t="n">
        <v>35393</v>
      </c>
      <c r="B35394" t="inlineStr">
        <is>
          <t>x̄x̄x̄V̅CCCXCIII</t>
        </is>
      </c>
      <c r="C35394">
        <f>ROMAN(35393)</f>
        <v/>
      </c>
      <c r="D35394">
        <f>IF(B35394=C35394, "YES", "WRONG")</f>
        <v/>
      </c>
    </row>
    <row r="35395">
      <c r="A35395" t="n">
        <v>35394</v>
      </c>
      <c r="B35395" t="inlineStr">
        <is>
          <t>x̄x̄x̄V̅CCCXCIV</t>
        </is>
      </c>
      <c r="C35395">
        <f>ROMAN(35394)</f>
        <v/>
      </c>
      <c r="D35395">
        <f>IF(B35395=C35395, "YES", "WRONG")</f>
        <v/>
      </c>
    </row>
    <row r="35396">
      <c r="A35396" t="n">
        <v>35395</v>
      </c>
      <c r="B35396" t="inlineStr">
        <is>
          <t>x̄x̄x̄V̅CCCXCV</t>
        </is>
      </c>
      <c r="C35396">
        <f>ROMAN(35395)</f>
        <v/>
      </c>
      <c r="D35396">
        <f>IF(B35396=C35396, "YES", "WRONG")</f>
        <v/>
      </c>
    </row>
    <row r="35397">
      <c r="A35397" t="n">
        <v>35396</v>
      </c>
      <c r="B35397" t="inlineStr">
        <is>
          <t>x̄x̄x̄V̅CCCXCVI</t>
        </is>
      </c>
      <c r="C35397">
        <f>ROMAN(35396)</f>
        <v/>
      </c>
      <c r="D35397">
        <f>IF(B35397=C35397, "YES", "WRONG")</f>
        <v/>
      </c>
    </row>
    <row r="35398">
      <c r="A35398" t="n">
        <v>35397</v>
      </c>
      <c r="B35398" t="inlineStr">
        <is>
          <t>x̄x̄x̄V̅CCCXCVII</t>
        </is>
      </c>
      <c r="C35398">
        <f>ROMAN(35397)</f>
        <v/>
      </c>
      <c r="D35398">
        <f>IF(B35398=C35398, "YES", "WRONG")</f>
        <v/>
      </c>
    </row>
    <row r="35399">
      <c r="A35399" t="n">
        <v>35398</v>
      </c>
      <c r="B35399" t="inlineStr">
        <is>
          <t>x̄x̄x̄V̅CCCXCVIII</t>
        </is>
      </c>
      <c r="C35399">
        <f>ROMAN(35398)</f>
        <v/>
      </c>
      <c r="D35399">
        <f>IF(B35399=C35399, "YES", "WRONG")</f>
        <v/>
      </c>
    </row>
    <row r="35400">
      <c r="A35400" t="n">
        <v>35399</v>
      </c>
      <c r="B35400" t="inlineStr">
        <is>
          <t>x̄x̄x̄V̅CCCXCIX</t>
        </is>
      </c>
      <c r="C35400">
        <f>ROMAN(35399)</f>
        <v/>
      </c>
      <c r="D35400">
        <f>IF(B35400=C35400, "YES", "WRONG")</f>
        <v/>
      </c>
    </row>
    <row r="35401">
      <c r="A35401" t="n">
        <v>35400</v>
      </c>
      <c r="B35401" t="inlineStr">
        <is>
          <t>x̄x̄x̄V̅CD</t>
        </is>
      </c>
      <c r="C35401">
        <f>ROMAN(35400)</f>
        <v/>
      </c>
      <c r="D35401">
        <f>IF(B35401=C35401, "YES", "WRONG")</f>
        <v/>
      </c>
    </row>
    <row r="35402">
      <c r="A35402" t="n">
        <v>35401</v>
      </c>
      <c r="B35402" t="inlineStr">
        <is>
          <t>x̄x̄x̄V̅CDI</t>
        </is>
      </c>
      <c r="C35402">
        <f>ROMAN(35401)</f>
        <v/>
      </c>
      <c r="D35402">
        <f>IF(B35402=C35402, "YES", "WRONG")</f>
        <v/>
      </c>
    </row>
    <row r="35403">
      <c r="A35403" t="n">
        <v>35402</v>
      </c>
      <c r="B35403" t="inlineStr">
        <is>
          <t>x̄x̄x̄V̅CDII</t>
        </is>
      </c>
      <c r="C35403">
        <f>ROMAN(35402)</f>
        <v/>
      </c>
      <c r="D35403">
        <f>IF(B35403=C35403, "YES", "WRONG")</f>
        <v/>
      </c>
    </row>
    <row r="35404">
      <c r="A35404" t="n">
        <v>35403</v>
      </c>
      <c r="B35404" t="inlineStr">
        <is>
          <t>x̄x̄x̄V̅CDIII</t>
        </is>
      </c>
      <c r="C35404">
        <f>ROMAN(35403)</f>
        <v/>
      </c>
      <c r="D35404">
        <f>IF(B35404=C35404, "YES", "WRONG")</f>
        <v/>
      </c>
    </row>
    <row r="35405">
      <c r="A35405" t="n">
        <v>35404</v>
      </c>
      <c r="B35405" t="inlineStr">
        <is>
          <t>x̄x̄x̄V̅CDIV</t>
        </is>
      </c>
      <c r="C35405">
        <f>ROMAN(35404)</f>
        <v/>
      </c>
      <c r="D35405">
        <f>IF(B35405=C35405, "YES", "WRONG")</f>
        <v/>
      </c>
    </row>
    <row r="35406">
      <c r="A35406" t="n">
        <v>35405</v>
      </c>
      <c r="B35406" t="inlineStr">
        <is>
          <t>x̄x̄x̄V̅CDV</t>
        </is>
      </c>
      <c r="C35406">
        <f>ROMAN(35405)</f>
        <v/>
      </c>
      <c r="D35406">
        <f>IF(B35406=C35406, "YES", "WRONG")</f>
        <v/>
      </c>
    </row>
    <row r="35407">
      <c r="A35407" t="n">
        <v>35406</v>
      </c>
      <c r="B35407" t="inlineStr">
        <is>
          <t>x̄x̄x̄V̅CDVI</t>
        </is>
      </c>
      <c r="C35407">
        <f>ROMAN(35406)</f>
        <v/>
      </c>
      <c r="D35407">
        <f>IF(B35407=C35407, "YES", "WRONG")</f>
        <v/>
      </c>
    </row>
    <row r="35408">
      <c r="A35408" t="n">
        <v>35407</v>
      </c>
      <c r="B35408" t="inlineStr">
        <is>
          <t>x̄x̄x̄V̅CDVII</t>
        </is>
      </c>
      <c r="C35408">
        <f>ROMAN(35407)</f>
        <v/>
      </c>
      <c r="D35408">
        <f>IF(B35408=C35408, "YES", "WRONG")</f>
        <v/>
      </c>
    </row>
    <row r="35409">
      <c r="A35409" t="n">
        <v>35408</v>
      </c>
      <c r="B35409" t="inlineStr">
        <is>
          <t>x̄x̄x̄V̅CDVIII</t>
        </is>
      </c>
      <c r="C35409">
        <f>ROMAN(35408)</f>
        <v/>
      </c>
      <c r="D35409">
        <f>IF(B35409=C35409, "YES", "WRONG")</f>
        <v/>
      </c>
    </row>
    <row r="35410">
      <c r="A35410" t="n">
        <v>35409</v>
      </c>
      <c r="B35410" t="inlineStr">
        <is>
          <t>x̄x̄x̄V̅CDIX</t>
        </is>
      </c>
      <c r="C35410">
        <f>ROMAN(35409)</f>
        <v/>
      </c>
      <c r="D35410">
        <f>IF(B35410=C35410, "YES", "WRONG")</f>
        <v/>
      </c>
    </row>
    <row r="35411">
      <c r="A35411" t="n">
        <v>35410</v>
      </c>
      <c r="B35411" t="inlineStr">
        <is>
          <t>x̄x̄x̄V̅CDX</t>
        </is>
      </c>
      <c r="C35411">
        <f>ROMAN(35410)</f>
        <v/>
      </c>
      <c r="D35411">
        <f>IF(B35411=C35411, "YES", "WRONG")</f>
        <v/>
      </c>
    </row>
    <row r="35412">
      <c r="A35412" t="n">
        <v>35411</v>
      </c>
      <c r="B35412" t="inlineStr">
        <is>
          <t>x̄x̄x̄V̅CDXI</t>
        </is>
      </c>
      <c r="C35412">
        <f>ROMAN(35411)</f>
        <v/>
      </c>
      <c r="D35412">
        <f>IF(B35412=C35412, "YES", "WRONG")</f>
        <v/>
      </c>
    </row>
    <row r="35413">
      <c r="A35413" t="n">
        <v>35412</v>
      </c>
      <c r="B35413" t="inlineStr">
        <is>
          <t>x̄x̄x̄V̅CDXII</t>
        </is>
      </c>
      <c r="C35413">
        <f>ROMAN(35412)</f>
        <v/>
      </c>
      <c r="D35413">
        <f>IF(B35413=C35413, "YES", "WRONG")</f>
        <v/>
      </c>
    </row>
    <row r="35414">
      <c r="A35414" t="n">
        <v>35413</v>
      </c>
      <c r="B35414" t="inlineStr">
        <is>
          <t>x̄x̄x̄V̅CDXIII</t>
        </is>
      </c>
      <c r="C35414">
        <f>ROMAN(35413)</f>
        <v/>
      </c>
      <c r="D35414">
        <f>IF(B35414=C35414, "YES", "WRONG")</f>
        <v/>
      </c>
    </row>
    <row r="35415">
      <c r="A35415" t="n">
        <v>35414</v>
      </c>
      <c r="B35415" t="inlineStr">
        <is>
          <t>x̄x̄x̄V̅CDXIV</t>
        </is>
      </c>
      <c r="C35415">
        <f>ROMAN(35414)</f>
        <v/>
      </c>
      <c r="D35415">
        <f>IF(B35415=C35415, "YES", "WRONG")</f>
        <v/>
      </c>
    </row>
    <row r="35416">
      <c r="A35416" t="n">
        <v>35415</v>
      </c>
      <c r="B35416" t="inlineStr">
        <is>
          <t>x̄x̄x̄V̅CDXV</t>
        </is>
      </c>
      <c r="C35416">
        <f>ROMAN(35415)</f>
        <v/>
      </c>
      <c r="D35416">
        <f>IF(B35416=C35416, "YES", "WRONG")</f>
        <v/>
      </c>
    </row>
    <row r="35417">
      <c r="A35417" t="n">
        <v>35416</v>
      </c>
      <c r="B35417" t="inlineStr">
        <is>
          <t>x̄x̄x̄V̅CDXVI</t>
        </is>
      </c>
      <c r="C35417">
        <f>ROMAN(35416)</f>
        <v/>
      </c>
      <c r="D35417">
        <f>IF(B35417=C35417, "YES", "WRONG")</f>
        <v/>
      </c>
    </row>
    <row r="35418">
      <c r="A35418" t="n">
        <v>35417</v>
      </c>
      <c r="B35418" t="inlineStr">
        <is>
          <t>x̄x̄x̄V̅CDXVII</t>
        </is>
      </c>
      <c r="C35418">
        <f>ROMAN(35417)</f>
        <v/>
      </c>
      <c r="D35418">
        <f>IF(B35418=C35418, "YES", "WRONG")</f>
        <v/>
      </c>
    </row>
    <row r="35419">
      <c r="A35419" t="n">
        <v>35418</v>
      </c>
      <c r="B35419" t="inlineStr">
        <is>
          <t>x̄x̄x̄V̅CDXVIII</t>
        </is>
      </c>
      <c r="C35419">
        <f>ROMAN(35418)</f>
        <v/>
      </c>
      <c r="D35419">
        <f>IF(B35419=C35419, "YES", "WRONG")</f>
        <v/>
      </c>
    </row>
    <row r="35420">
      <c r="A35420" t="n">
        <v>35419</v>
      </c>
      <c r="B35420" t="inlineStr">
        <is>
          <t>x̄x̄x̄V̅CDXIX</t>
        </is>
      </c>
      <c r="C35420">
        <f>ROMAN(35419)</f>
        <v/>
      </c>
      <c r="D35420">
        <f>IF(B35420=C35420, "YES", "WRONG")</f>
        <v/>
      </c>
    </row>
    <row r="35421">
      <c r="A35421" t="n">
        <v>35420</v>
      </c>
      <c r="B35421" t="inlineStr">
        <is>
          <t>x̄x̄x̄V̅CDXX</t>
        </is>
      </c>
      <c r="C35421">
        <f>ROMAN(35420)</f>
        <v/>
      </c>
      <c r="D35421">
        <f>IF(B35421=C35421, "YES", "WRONG")</f>
        <v/>
      </c>
    </row>
    <row r="35422">
      <c r="A35422" t="n">
        <v>35421</v>
      </c>
      <c r="B35422" t="inlineStr">
        <is>
          <t>x̄x̄x̄V̅CDXXI</t>
        </is>
      </c>
      <c r="C35422">
        <f>ROMAN(35421)</f>
        <v/>
      </c>
      <c r="D35422">
        <f>IF(B35422=C35422, "YES", "WRONG")</f>
        <v/>
      </c>
    </row>
    <row r="35423">
      <c r="A35423" t="n">
        <v>35422</v>
      </c>
      <c r="B35423" t="inlineStr">
        <is>
          <t>x̄x̄x̄V̅CDXXII</t>
        </is>
      </c>
      <c r="C35423">
        <f>ROMAN(35422)</f>
        <v/>
      </c>
      <c r="D35423">
        <f>IF(B35423=C35423, "YES", "WRONG")</f>
        <v/>
      </c>
    </row>
    <row r="35424">
      <c r="A35424" t="n">
        <v>35423</v>
      </c>
      <c r="B35424" t="inlineStr">
        <is>
          <t>x̄x̄x̄V̅CDXXIII</t>
        </is>
      </c>
      <c r="C35424">
        <f>ROMAN(35423)</f>
        <v/>
      </c>
      <c r="D35424">
        <f>IF(B35424=C35424, "YES", "WRONG")</f>
        <v/>
      </c>
    </row>
    <row r="35425">
      <c r="A35425" t="n">
        <v>35424</v>
      </c>
      <c r="B35425" t="inlineStr">
        <is>
          <t>x̄x̄x̄V̅CDXXIV</t>
        </is>
      </c>
      <c r="C35425">
        <f>ROMAN(35424)</f>
        <v/>
      </c>
      <c r="D35425">
        <f>IF(B35425=C35425, "YES", "WRONG")</f>
        <v/>
      </c>
    </row>
    <row r="35426">
      <c r="A35426" t="n">
        <v>35425</v>
      </c>
      <c r="B35426" t="inlineStr">
        <is>
          <t>x̄x̄x̄V̅CDXXV</t>
        </is>
      </c>
      <c r="C35426">
        <f>ROMAN(35425)</f>
        <v/>
      </c>
      <c r="D35426">
        <f>IF(B35426=C35426, "YES", "WRONG")</f>
        <v/>
      </c>
    </row>
    <row r="35427">
      <c r="A35427" t="n">
        <v>35426</v>
      </c>
      <c r="B35427" t="inlineStr">
        <is>
          <t>x̄x̄x̄V̅CDXXVI</t>
        </is>
      </c>
      <c r="C35427">
        <f>ROMAN(35426)</f>
        <v/>
      </c>
      <c r="D35427">
        <f>IF(B35427=C35427, "YES", "WRONG")</f>
        <v/>
      </c>
    </row>
    <row r="35428">
      <c r="A35428" t="n">
        <v>35427</v>
      </c>
      <c r="B35428" t="inlineStr">
        <is>
          <t>x̄x̄x̄V̅CDXXVII</t>
        </is>
      </c>
      <c r="C35428">
        <f>ROMAN(35427)</f>
        <v/>
      </c>
      <c r="D35428">
        <f>IF(B35428=C35428, "YES", "WRONG")</f>
        <v/>
      </c>
    </row>
    <row r="35429">
      <c r="A35429" t="n">
        <v>35428</v>
      </c>
      <c r="B35429" t="inlineStr">
        <is>
          <t>x̄x̄x̄V̅CDXXVIII</t>
        </is>
      </c>
      <c r="C35429">
        <f>ROMAN(35428)</f>
        <v/>
      </c>
      <c r="D35429">
        <f>IF(B35429=C35429, "YES", "WRONG")</f>
        <v/>
      </c>
    </row>
    <row r="35430">
      <c r="A35430" t="n">
        <v>35429</v>
      </c>
      <c r="B35430" t="inlineStr">
        <is>
          <t>x̄x̄x̄V̅CDXXIX</t>
        </is>
      </c>
      <c r="C35430">
        <f>ROMAN(35429)</f>
        <v/>
      </c>
      <c r="D35430">
        <f>IF(B35430=C35430, "YES", "WRONG")</f>
        <v/>
      </c>
    </row>
    <row r="35431">
      <c r="A35431" t="n">
        <v>35430</v>
      </c>
      <c r="B35431" t="inlineStr">
        <is>
          <t>x̄x̄x̄V̅CDXXX</t>
        </is>
      </c>
      <c r="C35431">
        <f>ROMAN(35430)</f>
        <v/>
      </c>
      <c r="D35431">
        <f>IF(B35431=C35431, "YES", "WRONG")</f>
        <v/>
      </c>
    </row>
    <row r="35432">
      <c r="A35432" t="n">
        <v>35431</v>
      </c>
      <c r="B35432" t="inlineStr">
        <is>
          <t>x̄x̄x̄V̅CDXXXI</t>
        </is>
      </c>
      <c r="C35432">
        <f>ROMAN(35431)</f>
        <v/>
      </c>
      <c r="D35432">
        <f>IF(B35432=C35432, "YES", "WRONG")</f>
        <v/>
      </c>
    </row>
    <row r="35433">
      <c r="A35433" t="n">
        <v>35432</v>
      </c>
      <c r="B35433" t="inlineStr">
        <is>
          <t>x̄x̄x̄V̅CDXXXII</t>
        </is>
      </c>
      <c r="C35433">
        <f>ROMAN(35432)</f>
        <v/>
      </c>
      <c r="D35433">
        <f>IF(B35433=C35433, "YES", "WRONG")</f>
        <v/>
      </c>
    </row>
    <row r="35434">
      <c r="A35434" t="n">
        <v>35433</v>
      </c>
      <c r="B35434" t="inlineStr">
        <is>
          <t>x̄x̄x̄V̅CDXXXIII</t>
        </is>
      </c>
      <c r="C35434">
        <f>ROMAN(35433)</f>
        <v/>
      </c>
      <c r="D35434">
        <f>IF(B35434=C35434, "YES", "WRONG")</f>
        <v/>
      </c>
    </row>
    <row r="35435">
      <c r="A35435" t="n">
        <v>35434</v>
      </c>
      <c r="B35435" t="inlineStr">
        <is>
          <t>x̄x̄x̄V̅CDXXXIV</t>
        </is>
      </c>
      <c r="C35435">
        <f>ROMAN(35434)</f>
        <v/>
      </c>
      <c r="D35435">
        <f>IF(B35435=C35435, "YES", "WRONG")</f>
        <v/>
      </c>
    </row>
    <row r="35436">
      <c r="A35436" t="n">
        <v>35435</v>
      </c>
      <c r="B35436" t="inlineStr">
        <is>
          <t>x̄x̄x̄V̅CDXXXV</t>
        </is>
      </c>
      <c r="C35436">
        <f>ROMAN(35435)</f>
        <v/>
      </c>
      <c r="D35436">
        <f>IF(B35436=C35436, "YES", "WRONG")</f>
        <v/>
      </c>
    </row>
    <row r="35437">
      <c r="A35437" t="n">
        <v>35436</v>
      </c>
      <c r="B35437" t="inlineStr">
        <is>
          <t>x̄x̄x̄V̅CDXXXVI</t>
        </is>
      </c>
      <c r="C35437">
        <f>ROMAN(35436)</f>
        <v/>
      </c>
      <c r="D35437">
        <f>IF(B35437=C35437, "YES", "WRONG")</f>
        <v/>
      </c>
    </row>
    <row r="35438">
      <c r="A35438" t="n">
        <v>35437</v>
      </c>
      <c r="B35438" t="inlineStr">
        <is>
          <t>x̄x̄x̄V̅CDXXXVII</t>
        </is>
      </c>
      <c r="C35438">
        <f>ROMAN(35437)</f>
        <v/>
      </c>
      <c r="D35438">
        <f>IF(B35438=C35438, "YES", "WRONG")</f>
        <v/>
      </c>
    </row>
    <row r="35439">
      <c r="A35439" t="n">
        <v>35438</v>
      </c>
      <c r="B35439" t="inlineStr">
        <is>
          <t>x̄x̄x̄V̅CDXXXVIII</t>
        </is>
      </c>
      <c r="C35439">
        <f>ROMAN(35438)</f>
        <v/>
      </c>
      <c r="D35439">
        <f>IF(B35439=C35439, "YES", "WRONG")</f>
        <v/>
      </c>
    </row>
    <row r="35440">
      <c r="A35440" t="n">
        <v>35439</v>
      </c>
      <c r="B35440" t="inlineStr">
        <is>
          <t>x̄x̄x̄V̅CDXXXIX</t>
        </is>
      </c>
      <c r="C35440">
        <f>ROMAN(35439)</f>
        <v/>
      </c>
      <c r="D35440">
        <f>IF(B35440=C35440, "YES", "WRONG")</f>
        <v/>
      </c>
    </row>
    <row r="35441">
      <c r="A35441" t="n">
        <v>35440</v>
      </c>
      <c r="B35441" t="inlineStr">
        <is>
          <t>x̄x̄x̄V̅CDXL</t>
        </is>
      </c>
      <c r="C35441">
        <f>ROMAN(35440)</f>
        <v/>
      </c>
      <c r="D35441">
        <f>IF(B35441=C35441, "YES", "WRONG")</f>
        <v/>
      </c>
    </row>
    <row r="35442">
      <c r="A35442" t="n">
        <v>35441</v>
      </c>
      <c r="B35442" t="inlineStr">
        <is>
          <t>x̄x̄x̄V̅CDXLI</t>
        </is>
      </c>
      <c r="C35442">
        <f>ROMAN(35441)</f>
        <v/>
      </c>
      <c r="D35442">
        <f>IF(B35442=C35442, "YES", "WRONG")</f>
        <v/>
      </c>
    </row>
    <row r="35443">
      <c r="A35443" t="n">
        <v>35442</v>
      </c>
      <c r="B35443" t="inlineStr">
        <is>
          <t>x̄x̄x̄V̅CDXLII</t>
        </is>
      </c>
      <c r="C35443">
        <f>ROMAN(35442)</f>
        <v/>
      </c>
      <c r="D35443">
        <f>IF(B35443=C35443, "YES", "WRONG")</f>
        <v/>
      </c>
    </row>
    <row r="35444">
      <c r="A35444" t="n">
        <v>35443</v>
      </c>
      <c r="B35444" t="inlineStr">
        <is>
          <t>x̄x̄x̄V̅CDXLIII</t>
        </is>
      </c>
      <c r="C35444">
        <f>ROMAN(35443)</f>
        <v/>
      </c>
      <c r="D35444">
        <f>IF(B35444=C35444, "YES", "WRONG")</f>
        <v/>
      </c>
    </row>
    <row r="35445">
      <c r="A35445" t="n">
        <v>35444</v>
      </c>
      <c r="B35445" t="inlineStr">
        <is>
          <t>x̄x̄x̄V̅CDXLIV</t>
        </is>
      </c>
      <c r="C35445">
        <f>ROMAN(35444)</f>
        <v/>
      </c>
      <c r="D35445">
        <f>IF(B35445=C35445, "YES", "WRONG")</f>
        <v/>
      </c>
    </row>
    <row r="35446">
      <c r="A35446" t="n">
        <v>35445</v>
      </c>
      <c r="B35446" t="inlineStr">
        <is>
          <t>x̄x̄x̄V̅CDXLV</t>
        </is>
      </c>
      <c r="C35446">
        <f>ROMAN(35445)</f>
        <v/>
      </c>
      <c r="D35446">
        <f>IF(B35446=C35446, "YES", "WRONG")</f>
        <v/>
      </c>
    </row>
    <row r="35447">
      <c r="A35447" t="n">
        <v>35446</v>
      </c>
      <c r="B35447" t="inlineStr">
        <is>
          <t>x̄x̄x̄V̅CDXLVI</t>
        </is>
      </c>
      <c r="C35447">
        <f>ROMAN(35446)</f>
        <v/>
      </c>
      <c r="D35447">
        <f>IF(B35447=C35447, "YES", "WRONG")</f>
        <v/>
      </c>
    </row>
    <row r="35448">
      <c r="A35448" t="n">
        <v>35447</v>
      </c>
      <c r="B35448" t="inlineStr">
        <is>
          <t>x̄x̄x̄V̅CDXLVII</t>
        </is>
      </c>
      <c r="C35448">
        <f>ROMAN(35447)</f>
        <v/>
      </c>
      <c r="D35448">
        <f>IF(B35448=C35448, "YES", "WRONG")</f>
        <v/>
      </c>
    </row>
    <row r="35449">
      <c r="A35449" t="n">
        <v>35448</v>
      </c>
      <c r="B35449" t="inlineStr">
        <is>
          <t>x̄x̄x̄V̅CDXLVIII</t>
        </is>
      </c>
      <c r="C35449">
        <f>ROMAN(35448)</f>
        <v/>
      </c>
      <c r="D35449">
        <f>IF(B35449=C35449, "YES", "WRONG")</f>
        <v/>
      </c>
    </row>
    <row r="35450">
      <c r="A35450" t="n">
        <v>35449</v>
      </c>
      <c r="B35450" t="inlineStr">
        <is>
          <t>x̄x̄x̄V̅CDXLIX</t>
        </is>
      </c>
      <c r="C35450">
        <f>ROMAN(35449)</f>
        <v/>
      </c>
      <c r="D35450">
        <f>IF(B35450=C35450, "YES", "WRONG")</f>
        <v/>
      </c>
    </row>
    <row r="35451">
      <c r="A35451" t="n">
        <v>35450</v>
      </c>
      <c r="B35451" t="inlineStr">
        <is>
          <t>x̄x̄x̄V̅CDL</t>
        </is>
      </c>
      <c r="C35451">
        <f>ROMAN(35450)</f>
        <v/>
      </c>
      <c r="D35451">
        <f>IF(B35451=C35451, "YES", "WRONG")</f>
        <v/>
      </c>
    </row>
    <row r="35452">
      <c r="A35452" t="n">
        <v>35451</v>
      </c>
      <c r="B35452" t="inlineStr">
        <is>
          <t>x̄x̄x̄V̅CDLI</t>
        </is>
      </c>
      <c r="C35452">
        <f>ROMAN(35451)</f>
        <v/>
      </c>
      <c r="D35452">
        <f>IF(B35452=C35452, "YES", "WRONG")</f>
        <v/>
      </c>
    </row>
    <row r="35453">
      <c r="A35453" t="n">
        <v>35452</v>
      </c>
      <c r="B35453" t="inlineStr">
        <is>
          <t>x̄x̄x̄V̅CDLII</t>
        </is>
      </c>
      <c r="C35453">
        <f>ROMAN(35452)</f>
        <v/>
      </c>
      <c r="D35453">
        <f>IF(B35453=C35453, "YES", "WRONG")</f>
        <v/>
      </c>
    </row>
    <row r="35454">
      <c r="A35454" t="n">
        <v>35453</v>
      </c>
      <c r="B35454" t="inlineStr">
        <is>
          <t>x̄x̄x̄V̅CDLIII</t>
        </is>
      </c>
      <c r="C35454">
        <f>ROMAN(35453)</f>
        <v/>
      </c>
      <c r="D35454">
        <f>IF(B35454=C35454, "YES", "WRONG")</f>
        <v/>
      </c>
    </row>
    <row r="35455">
      <c r="A35455" t="n">
        <v>35454</v>
      </c>
      <c r="B35455" t="inlineStr">
        <is>
          <t>x̄x̄x̄V̅CDLIV</t>
        </is>
      </c>
      <c r="C35455">
        <f>ROMAN(35454)</f>
        <v/>
      </c>
      <c r="D35455">
        <f>IF(B35455=C35455, "YES", "WRONG")</f>
        <v/>
      </c>
    </row>
    <row r="35456">
      <c r="A35456" t="n">
        <v>35455</v>
      </c>
      <c r="B35456" t="inlineStr">
        <is>
          <t>x̄x̄x̄V̅CDLV</t>
        </is>
      </c>
      <c r="C35456">
        <f>ROMAN(35455)</f>
        <v/>
      </c>
      <c r="D35456">
        <f>IF(B35456=C35456, "YES", "WRONG")</f>
        <v/>
      </c>
    </row>
    <row r="35457">
      <c r="A35457" t="n">
        <v>35456</v>
      </c>
      <c r="B35457" t="inlineStr">
        <is>
          <t>x̄x̄x̄V̅CDLVI</t>
        </is>
      </c>
      <c r="C35457">
        <f>ROMAN(35456)</f>
        <v/>
      </c>
      <c r="D35457">
        <f>IF(B35457=C35457, "YES", "WRONG")</f>
        <v/>
      </c>
    </row>
    <row r="35458">
      <c r="A35458" t="n">
        <v>35457</v>
      </c>
      <c r="B35458" t="inlineStr">
        <is>
          <t>x̄x̄x̄V̅CDLVII</t>
        </is>
      </c>
      <c r="C35458">
        <f>ROMAN(35457)</f>
        <v/>
      </c>
      <c r="D35458">
        <f>IF(B35458=C35458, "YES", "WRONG")</f>
        <v/>
      </c>
    </row>
    <row r="35459">
      <c r="A35459" t="n">
        <v>35458</v>
      </c>
      <c r="B35459" t="inlineStr">
        <is>
          <t>x̄x̄x̄V̅CDLVIII</t>
        </is>
      </c>
      <c r="C35459">
        <f>ROMAN(35458)</f>
        <v/>
      </c>
      <c r="D35459">
        <f>IF(B35459=C35459, "YES", "WRONG")</f>
        <v/>
      </c>
    </row>
    <row r="35460">
      <c r="A35460" t="n">
        <v>35459</v>
      </c>
      <c r="B35460" t="inlineStr">
        <is>
          <t>x̄x̄x̄V̅CDLIX</t>
        </is>
      </c>
      <c r="C35460">
        <f>ROMAN(35459)</f>
        <v/>
      </c>
      <c r="D35460">
        <f>IF(B35460=C35460, "YES", "WRONG")</f>
        <v/>
      </c>
    </row>
    <row r="35461">
      <c r="A35461" t="n">
        <v>35460</v>
      </c>
      <c r="B35461" t="inlineStr">
        <is>
          <t>x̄x̄x̄V̅CDLX</t>
        </is>
      </c>
      <c r="C35461">
        <f>ROMAN(35460)</f>
        <v/>
      </c>
      <c r="D35461">
        <f>IF(B35461=C35461, "YES", "WRONG")</f>
        <v/>
      </c>
    </row>
    <row r="35462">
      <c r="A35462" t="n">
        <v>35461</v>
      </c>
      <c r="B35462" t="inlineStr">
        <is>
          <t>x̄x̄x̄V̅CDLXI</t>
        </is>
      </c>
      <c r="C35462">
        <f>ROMAN(35461)</f>
        <v/>
      </c>
      <c r="D35462">
        <f>IF(B35462=C35462, "YES", "WRONG")</f>
        <v/>
      </c>
    </row>
    <row r="35463">
      <c r="A35463" t="n">
        <v>35462</v>
      </c>
      <c r="B35463" t="inlineStr">
        <is>
          <t>x̄x̄x̄V̅CDLXII</t>
        </is>
      </c>
      <c r="C35463">
        <f>ROMAN(35462)</f>
        <v/>
      </c>
      <c r="D35463">
        <f>IF(B35463=C35463, "YES", "WRONG")</f>
        <v/>
      </c>
    </row>
    <row r="35464">
      <c r="A35464" t="n">
        <v>35463</v>
      </c>
      <c r="B35464" t="inlineStr">
        <is>
          <t>x̄x̄x̄V̅CDLXIII</t>
        </is>
      </c>
      <c r="C35464">
        <f>ROMAN(35463)</f>
        <v/>
      </c>
      <c r="D35464">
        <f>IF(B35464=C35464, "YES", "WRONG")</f>
        <v/>
      </c>
    </row>
    <row r="35465">
      <c r="A35465" t="n">
        <v>35464</v>
      </c>
      <c r="B35465" t="inlineStr">
        <is>
          <t>x̄x̄x̄V̅CDLXIV</t>
        </is>
      </c>
      <c r="C35465">
        <f>ROMAN(35464)</f>
        <v/>
      </c>
      <c r="D35465">
        <f>IF(B35465=C35465, "YES", "WRONG")</f>
        <v/>
      </c>
    </row>
    <row r="35466">
      <c r="A35466" t="n">
        <v>35465</v>
      </c>
      <c r="B35466" t="inlineStr">
        <is>
          <t>x̄x̄x̄V̅CDLXV</t>
        </is>
      </c>
      <c r="C35466">
        <f>ROMAN(35465)</f>
        <v/>
      </c>
      <c r="D35466">
        <f>IF(B35466=C35466, "YES", "WRONG")</f>
        <v/>
      </c>
    </row>
    <row r="35467">
      <c r="A35467" t="n">
        <v>35466</v>
      </c>
      <c r="B35467" t="inlineStr">
        <is>
          <t>x̄x̄x̄V̅CDLXVI</t>
        </is>
      </c>
      <c r="C35467">
        <f>ROMAN(35466)</f>
        <v/>
      </c>
      <c r="D35467">
        <f>IF(B35467=C35467, "YES", "WRONG")</f>
        <v/>
      </c>
    </row>
    <row r="35468">
      <c r="A35468" t="n">
        <v>35467</v>
      </c>
      <c r="B35468" t="inlineStr">
        <is>
          <t>x̄x̄x̄V̅CDLXVII</t>
        </is>
      </c>
      <c r="C35468">
        <f>ROMAN(35467)</f>
        <v/>
      </c>
      <c r="D35468">
        <f>IF(B35468=C35468, "YES", "WRONG")</f>
        <v/>
      </c>
    </row>
    <row r="35469">
      <c r="A35469" t="n">
        <v>35468</v>
      </c>
      <c r="B35469" t="inlineStr">
        <is>
          <t>x̄x̄x̄V̅CDLXVIII</t>
        </is>
      </c>
      <c r="C35469">
        <f>ROMAN(35468)</f>
        <v/>
      </c>
      <c r="D35469">
        <f>IF(B35469=C35469, "YES", "WRONG")</f>
        <v/>
      </c>
    </row>
    <row r="35470">
      <c r="A35470" t="n">
        <v>35469</v>
      </c>
      <c r="B35470" t="inlineStr">
        <is>
          <t>x̄x̄x̄V̅CDLXIX</t>
        </is>
      </c>
      <c r="C35470">
        <f>ROMAN(35469)</f>
        <v/>
      </c>
      <c r="D35470">
        <f>IF(B35470=C35470, "YES", "WRONG")</f>
        <v/>
      </c>
    </row>
    <row r="35471">
      <c r="A35471" t="n">
        <v>35470</v>
      </c>
      <c r="B35471" t="inlineStr">
        <is>
          <t>x̄x̄x̄V̅CDLXX</t>
        </is>
      </c>
      <c r="C35471">
        <f>ROMAN(35470)</f>
        <v/>
      </c>
      <c r="D35471">
        <f>IF(B35471=C35471, "YES", "WRONG")</f>
        <v/>
      </c>
    </row>
    <row r="35472">
      <c r="A35472" t="n">
        <v>35471</v>
      </c>
      <c r="B35472" t="inlineStr">
        <is>
          <t>x̄x̄x̄V̅CDLXXI</t>
        </is>
      </c>
      <c r="C35472">
        <f>ROMAN(35471)</f>
        <v/>
      </c>
      <c r="D35472">
        <f>IF(B35472=C35472, "YES", "WRONG")</f>
        <v/>
      </c>
    </row>
    <row r="35473">
      <c r="A35473" t="n">
        <v>35472</v>
      </c>
      <c r="B35473" t="inlineStr">
        <is>
          <t>x̄x̄x̄V̅CDLXXII</t>
        </is>
      </c>
      <c r="C35473">
        <f>ROMAN(35472)</f>
        <v/>
      </c>
      <c r="D35473">
        <f>IF(B35473=C35473, "YES", "WRONG")</f>
        <v/>
      </c>
    </row>
    <row r="35474">
      <c r="A35474" t="n">
        <v>35473</v>
      </c>
      <c r="B35474" t="inlineStr">
        <is>
          <t>x̄x̄x̄V̅CDLXXIII</t>
        </is>
      </c>
      <c r="C35474">
        <f>ROMAN(35473)</f>
        <v/>
      </c>
      <c r="D35474">
        <f>IF(B35474=C35474, "YES", "WRONG")</f>
        <v/>
      </c>
    </row>
    <row r="35475">
      <c r="A35475" t="n">
        <v>35474</v>
      </c>
      <c r="B35475" t="inlineStr">
        <is>
          <t>x̄x̄x̄V̅CDLXXIV</t>
        </is>
      </c>
      <c r="C35475">
        <f>ROMAN(35474)</f>
        <v/>
      </c>
      <c r="D35475">
        <f>IF(B35475=C35475, "YES", "WRONG")</f>
        <v/>
      </c>
    </row>
    <row r="35476">
      <c r="A35476" t="n">
        <v>35475</v>
      </c>
      <c r="B35476" t="inlineStr">
        <is>
          <t>x̄x̄x̄V̅CDLXXV</t>
        </is>
      </c>
      <c r="C35476">
        <f>ROMAN(35475)</f>
        <v/>
      </c>
      <c r="D35476">
        <f>IF(B35476=C35476, "YES", "WRONG")</f>
        <v/>
      </c>
    </row>
    <row r="35477">
      <c r="A35477" t="n">
        <v>35476</v>
      </c>
      <c r="B35477" t="inlineStr">
        <is>
          <t>x̄x̄x̄V̅CDLXXVI</t>
        </is>
      </c>
      <c r="C35477">
        <f>ROMAN(35476)</f>
        <v/>
      </c>
      <c r="D35477">
        <f>IF(B35477=C35477, "YES", "WRONG")</f>
        <v/>
      </c>
    </row>
    <row r="35478">
      <c r="A35478" t="n">
        <v>35477</v>
      </c>
      <c r="B35478" t="inlineStr">
        <is>
          <t>x̄x̄x̄V̅CDLXXVII</t>
        </is>
      </c>
      <c r="C35478">
        <f>ROMAN(35477)</f>
        <v/>
      </c>
      <c r="D35478">
        <f>IF(B35478=C35478, "YES", "WRONG")</f>
        <v/>
      </c>
    </row>
    <row r="35479">
      <c r="A35479" t="n">
        <v>35478</v>
      </c>
      <c r="B35479" t="inlineStr">
        <is>
          <t>x̄x̄x̄V̅CDLXXVIII</t>
        </is>
      </c>
      <c r="C35479">
        <f>ROMAN(35478)</f>
        <v/>
      </c>
      <c r="D35479">
        <f>IF(B35479=C35479, "YES", "WRONG")</f>
        <v/>
      </c>
    </row>
    <row r="35480">
      <c r="A35480" t="n">
        <v>35479</v>
      </c>
      <c r="B35480" t="inlineStr">
        <is>
          <t>x̄x̄x̄V̅CDLXXIX</t>
        </is>
      </c>
      <c r="C35480">
        <f>ROMAN(35479)</f>
        <v/>
      </c>
      <c r="D35480">
        <f>IF(B35480=C35480, "YES", "WRONG")</f>
        <v/>
      </c>
    </row>
    <row r="35481">
      <c r="A35481" t="n">
        <v>35480</v>
      </c>
      <c r="B35481" t="inlineStr">
        <is>
          <t>x̄x̄x̄V̅CDLXXX</t>
        </is>
      </c>
      <c r="C35481">
        <f>ROMAN(35480)</f>
        <v/>
      </c>
      <c r="D35481">
        <f>IF(B35481=C35481, "YES", "WRONG")</f>
        <v/>
      </c>
    </row>
    <row r="35482">
      <c r="A35482" t="n">
        <v>35481</v>
      </c>
      <c r="B35482" t="inlineStr">
        <is>
          <t>x̄x̄x̄V̅CDLXXXI</t>
        </is>
      </c>
      <c r="C35482">
        <f>ROMAN(35481)</f>
        <v/>
      </c>
      <c r="D35482">
        <f>IF(B35482=C35482, "YES", "WRONG")</f>
        <v/>
      </c>
    </row>
    <row r="35483">
      <c r="A35483" t="n">
        <v>35482</v>
      </c>
      <c r="B35483" t="inlineStr">
        <is>
          <t>x̄x̄x̄V̅CDLXXXII</t>
        </is>
      </c>
      <c r="C35483">
        <f>ROMAN(35482)</f>
        <v/>
      </c>
      <c r="D35483">
        <f>IF(B35483=C35483, "YES", "WRONG")</f>
        <v/>
      </c>
    </row>
    <row r="35484">
      <c r="A35484" t="n">
        <v>35483</v>
      </c>
      <c r="B35484" t="inlineStr">
        <is>
          <t>x̄x̄x̄V̅CDLXXXIII</t>
        </is>
      </c>
      <c r="C35484">
        <f>ROMAN(35483)</f>
        <v/>
      </c>
      <c r="D35484">
        <f>IF(B35484=C35484, "YES", "WRONG")</f>
        <v/>
      </c>
    </row>
    <row r="35485">
      <c r="A35485" t="n">
        <v>35484</v>
      </c>
      <c r="B35485" t="inlineStr">
        <is>
          <t>x̄x̄x̄V̅CDLXXXIV</t>
        </is>
      </c>
      <c r="C35485">
        <f>ROMAN(35484)</f>
        <v/>
      </c>
      <c r="D35485">
        <f>IF(B35485=C35485, "YES", "WRONG")</f>
        <v/>
      </c>
    </row>
    <row r="35486">
      <c r="A35486" t="n">
        <v>35485</v>
      </c>
      <c r="B35486" t="inlineStr">
        <is>
          <t>x̄x̄x̄V̅CDLXXXV</t>
        </is>
      </c>
      <c r="C35486">
        <f>ROMAN(35485)</f>
        <v/>
      </c>
      <c r="D35486">
        <f>IF(B35486=C35486, "YES", "WRONG")</f>
        <v/>
      </c>
    </row>
    <row r="35487">
      <c r="A35487" t="n">
        <v>35486</v>
      </c>
      <c r="B35487" t="inlineStr">
        <is>
          <t>x̄x̄x̄V̅CDLXXXVI</t>
        </is>
      </c>
      <c r="C35487">
        <f>ROMAN(35486)</f>
        <v/>
      </c>
      <c r="D35487">
        <f>IF(B35487=C35487, "YES", "WRONG")</f>
        <v/>
      </c>
    </row>
    <row r="35488">
      <c r="A35488" t="n">
        <v>35487</v>
      </c>
      <c r="B35488" t="inlineStr">
        <is>
          <t>x̄x̄x̄V̅CDLXXXVII</t>
        </is>
      </c>
      <c r="C35488">
        <f>ROMAN(35487)</f>
        <v/>
      </c>
      <c r="D35488">
        <f>IF(B35488=C35488, "YES", "WRONG")</f>
        <v/>
      </c>
    </row>
    <row r="35489">
      <c r="A35489" t="n">
        <v>35488</v>
      </c>
      <c r="B35489" t="inlineStr">
        <is>
          <t>x̄x̄x̄V̅CDLXXXVIII</t>
        </is>
      </c>
      <c r="C35489">
        <f>ROMAN(35488)</f>
        <v/>
      </c>
      <c r="D35489">
        <f>IF(B35489=C35489, "YES", "WRONG")</f>
        <v/>
      </c>
    </row>
    <row r="35490">
      <c r="A35490" t="n">
        <v>35489</v>
      </c>
      <c r="B35490" t="inlineStr">
        <is>
          <t>x̄x̄x̄V̅CDLXXXIX</t>
        </is>
      </c>
      <c r="C35490">
        <f>ROMAN(35489)</f>
        <v/>
      </c>
      <c r="D35490">
        <f>IF(B35490=C35490, "YES", "WRONG")</f>
        <v/>
      </c>
    </row>
    <row r="35491">
      <c r="A35491" t="n">
        <v>35490</v>
      </c>
      <c r="B35491" t="inlineStr">
        <is>
          <t>x̄x̄x̄V̅CDXC</t>
        </is>
      </c>
      <c r="C35491">
        <f>ROMAN(35490)</f>
        <v/>
      </c>
      <c r="D35491">
        <f>IF(B35491=C35491, "YES", "WRONG")</f>
        <v/>
      </c>
    </row>
    <row r="35492">
      <c r="A35492" t="n">
        <v>35491</v>
      </c>
      <c r="B35492" t="inlineStr">
        <is>
          <t>x̄x̄x̄V̅CDXCI</t>
        </is>
      </c>
      <c r="C35492">
        <f>ROMAN(35491)</f>
        <v/>
      </c>
      <c r="D35492">
        <f>IF(B35492=C35492, "YES", "WRONG")</f>
        <v/>
      </c>
    </row>
    <row r="35493">
      <c r="A35493" t="n">
        <v>35492</v>
      </c>
      <c r="B35493" t="inlineStr">
        <is>
          <t>x̄x̄x̄V̅CDXCII</t>
        </is>
      </c>
      <c r="C35493">
        <f>ROMAN(35492)</f>
        <v/>
      </c>
      <c r="D35493">
        <f>IF(B35493=C35493, "YES", "WRONG")</f>
        <v/>
      </c>
    </row>
    <row r="35494">
      <c r="A35494" t="n">
        <v>35493</v>
      </c>
      <c r="B35494" t="inlineStr">
        <is>
          <t>x̄x̄x̄V̅CDXCIII</t>
        </is>
      </c>
      <c r="C35494">
        <f>ROMAN(35493)</f>
        <v/>
      </c>
      <c r="D35494">
        <f>IF(B35494=C35494, "YES", "WRONG")</f>
        <v/>
      </c>
    </row>
    <row r="35495">
      <c r="A35495" t="n">
        <v>35494</v>
      </c>
      <c r="B35495" t="inlineStr">
        <is>
          <t>x̄x̄x̄V̅CDXCIV</t>
        </is>
      </c>
      <c r="C35495">
        <f>ROMAN(35494)</f>
        <v/>
      </c>
      <c r="D35495">
        <f>IF(B35495=C35495, "YES", "WRONG")</f>
        <v/>
      </c>
    </row>
    <row r="35496">
      <c r="A35496" t="n">
        <v>35495</v>
      </c>
      <c r="B35496" t="inlineStr">
        <is>
          <t>x̄x̄x̄V̅CDXCV</t>
        </is>
      </c>
      <c r="C35496">
        <f>ROMAN(35495)</f>
        <v/>
      </c>
      <c r="D35496">
        <f>IF(B35496=C35496, "YES", "WRONG")</f>
        <v/>
      </c>
    </row>
    <row r="35497">
      <c r="A35497" t="n">
        <v>35496</v>
      </c>
      <c r="B35497" t="inlineStr">
        <is>
          <t>x̄x̄x̄V̅CDXCVI</t>
        </is>
      </c>
      <c r="C35497">
        <f>ROMAN(35496)</f>
        <v/>
      </c>
      <c r="D35497">
        <f>IF(B35497=C35497, "YES", "WRONG")</f>
        <v/>
      </c>
    </row>
    <row r="35498">
      <c r="A35498" t="n">
        <v>35497</v>
      </c>
      <c r="B35498" t="inlineStr">
        <is>
          <t>x̄x̄x̄V̅CDXCVII</t>
        </is>
      </c>
      <c r="C35498">
        <f>ROMAN(35497)</f>
        <v/>
      </c>
      <c r="D35498">
        <f>IF(B35498=C35498, "YES", "WRONG")</f>
        <v/>
      </c>
    </row>
    <row r="35499">
      <c r="A35499" t="n">
        <v>35498</v>
      </c>
      <c r="B35499" t="inlineStr">
        <is>
          <t>x̄x̄x̄V̅CDXCVIII</t>
        </is>
      </c>
      <c r="C35499">
        <f>ROMAN(35498)</f>
        <v/>
      </c>
      <c r="D35499">
        <f>IF(B35499=C35499, "YES", "WRONG")</f>
        <v/>
      </c>
    </row>
    <row r="35500">
      <c r="A35500" t="n">
        <v>35499</v>
      </c>
      <c r="B35500" t="inlineStr">
        <is>
          <t>x̄x̄x̄V̅CDXCIX</t>
        </is>
      </c>
      <c r="C35500">
        <f>ROMAN(35499)</f>
        <v/>
      </c>
      <c r="D35500">
        <f>IF(B35500=C35500, "YES", "WRONG")</f>
        <v/>
      </c>
    </row>
    <row r="35501">
      <c r="A35501" t="n">
        <v>35500</v>
      </c>
      <c r="B35501" t="inlineStr">
        <is>
          <t>x̄x̄x̄V̅D</t>
        </is>
      </c>
      <c r="C35501">
        <f>ROMAN(35500)</f>
        <v/>
      </c>
      <c r="D35501">
        <f>IF(B35501=C35501, "YES", "WRONG")</f>
        <v/>
      </c>
    </row>
    <row r="35502">
      <c r="A35502" t="n">
        <v>35501</v>
      </c>
      <c r="B35502" t="inlineStr">
        <is>
          <t>x̄x̄x̄V̅DI</t>
        </is>
      </c>
      <c r="C35502">
        <f>ROMAN(35501)</f>
        <v/>
      </c>
      <c r="D35502">
        <f>IF(B35502=C35502, "YES", "WRONG")</f>
        <v/>
      </c>
    </row>
    <row r="35503">
      <c r="A35503" t="n">
        <v>35502</v>
      </c>
      <c r="B35503" t="inlineStr">
        <is>
          <t>x̄x̄x̄V̅DII</t>
        </is>
      </c>
      <c r="C35503">
        <f>ROMAN(35502)</f>
        <v/>
      </c>
      <c r="D35503">
        <f>IF(B35503=C35503, "YES", "WRONG")</f>
        <v/>
      </c>
    </row>
    <row r="35504">
      <c r="A35504" t="n">
        <v>35503</v>
      </c>
      <c r="B35504" t="inlineStr">
        <is>
          <t>x̄x̄x̄V̅DIII</t>
        </is>
      </c>
      <c r="C35504">
        <f>ROMAN(35503)</f>
        <v/>
      </c>
      <c r="D35504">
        <f>IF(B35504=C35504, "YES", "WRONG")</f>
        <v/>
      </c>
    </row>
    <row r="35505">
      <c r="A35505" t="n">
        <v>35504</v>
      </c>
      <c r="B35505" t="inlineStr">
        <is>
          <t>x̄x̄x̄V̅DIV</t>
        </is>
      </c>
      <c r="C35505">
        <f>ROMAN(35504)</f>
        <v/>
      </c>
      <c r="D35505">
        <f>IF(B35505=C35505, "YES", "WRONG")</f>
        <v/>
      </c>
    </row>
    <row r="35506">
      <c r="A35506" t="n">
        <v>35505</v>
      </c>
      <c r="B35506" t="inlineStr">
        <is>
          <t>x̄x̄x̄V̅DV</t>
        </is>
      </c>
      <c r="C35506">
        <f>ROMAN(35505)</f>
        <v/>
      </c>
      <c r="D35506">
        <f>IF(B35506=C35506, "YES", "WRONG")</f>
        <v/>
      </c>
    </row>
    <row r="35507">
      <c r="A35507" t="n">
        <v>35506</v>
      </c>
      <c r="B35507" t="inlineStr">
        <is>
          <t>x̄x̄x̄V̅DVI</t>
        </is>
      </c>
      <c r="C35507">
        <f>ROMAN(35506)</f>
        <v/>
      </c>
      <c r="D35507">
        <f>IF(B35507=C35507, "YES", "WRONG")</f>
        <v/>
      </c>
    </row>
    <row r="35508">
      <c r="A35508" t="n">
        <v>35507</v>
      </c>
      <c r="B35508" t="inlineStr">
        <is>
          <t>x̄x̄x̄V̅DVII</t>
        </is>
      </c>
      <c r="C35508">
        <f>ROMAN(35507)</f>
        <v/>
      </c>
      <c r="D35508">
        <f>IF(B35508=C35508, "YES", "WRONG")</f>
        <v/>
      </c>
    </row>
    <row r="35509">
      <c r="A35509" t="n">
        <v>35508</v>
      </c>
      <c r="B35509" t="inlineStr">
        <is>
          <t>x̄x̄x̄V̅DVIII</t>
        </is>
      </c>
      <c r="C35509">
        <f>ROMAN(35508)</f>
        <v/>
      </c>
      <c r="D35509">
        <f>IF(B35509=C35509, "YES", "WRONG")</f>
        <v/>
      </c>
    </row>
    <row r="35510">
      <c r="A35510" t="n">
        <v>35509</v>
      </c>
      <c r="B35510" t="inlineStr">
        <is>
          <t>x̄x̄x̄V̅DIX</t>
        </is>
      </c>
      <c r="C35510">
        <f>ROMAN(35509)</f>
        <v/>
      </c>
      <c r="D35510">
        <f>IF(B35510=C35510, "YES", "WRONG")</f>
        <v/>
      </c>
    </row>
    <row r="35511">
      <c r="A35511" t="n">
        <v>35510</v>
      </c>
      <c r="B35511" t="inlineStr">
        <is>
          <t>x̄x̄x̄V̅DX</t>
        </is>
      </c>
      <c r="C35511">
        <f>ROMAN(35510)</f>
        <v/>
      </c>
      <c r="D35511">
        <f>IF(B35511=C35511, "YES", "WRONG")</f>
        <v/>
      </c>
    </row>
    <row r="35512">
      <c r="A35512" t="n">
        <v>35511</v>
      </c>
      <c r="B35512" t="inlineStr">
        <is>
          <t>x̄x̄x̄V̅DXI</t>
        </is>
      </c>
      <c r="C35512">
        <f>ROMAN(35511)</f>
        <v/>
      </c>
      <c r="D35512">
        <f>IF(B35512=C35512, "YES", "WRONG")</f>
        <v/>
      </c>
    </row>
    <row r="35513">
      <c r="A35513" t="n">
        <v>35512</v>
      </c>
      <c r="B35513" t="inlineStr">
        <is>
          <t>x̄x̄x̄V̅DXII</t>
        </is>
      </c>
      <c r="C35513">
        <f>ROMAN(35512)</f>
        <v/>
      </c>
      <c r="D35513">
        <f>IF(B35513=C35513, "YES", "WRONG")</f>
        <v/>
      </c>
    </row>
    <row r="35514">
      <c r="A35514" t="n">
        <v>35513</v>
      </c>
      <c r="B35514" t="inlineStr">
        <is>
          <t>x̄x̄x̄V̅DXIII</t>
        </is>
      </c>
      <c r="C35514">
        <f>ROMAN(35513)</f>
        <v/>
      </c>
      <c r="D35514">
        <f>IF(B35514=C35514, "YES", "WRONG")</f>
        <v/>
      </c>
    </row>
    <row r="35515">
      <c r="A35515" t="n">
        <v>35514</v>
      </c>
      <c r="B35515" t="inlineStr">
        <is>
          <t>x̄x̄x̄V̅DXIV</t>
        </is>
      </c>
      <c r="C35515">
        <f>ROMAN(35514)</f>
        <v/>
      </c>
      <c r="D35515">
        <f>IF(B35515=C35515, "YES", "WRONG")</f>
        <v/>
      </c>
    </row>
    <row r="35516">
      <c r="A35516" t="n">
        <v>35515</v>
      </c>
      <c r="B35516" t="inlineStr">
        <is>
          <t>x̄x̄x̄V̅DXV</t>
        </is>
      </c>
      <c r="C35516">
        <f>ROMAN(35515)</f>
        <v/>
      </c>
      <c r="D35516">
        <f>IF(B35516=C35516, "YES", "WRONG")</f>
        <v/>
      </c>
    </row>
    <row r="35517">
      <c r="A35517" t="n">
        <v>35516</v>
      </c>
      <c r="B35517" t="inlineStr">
        <is>
          <t>x̄x̄x̄V̅DXVI</t>
        </is>
      </c>
      <c r="C35517">
        <f>ROMAN(35516)</f>
        <v/>
      </c>
      <c r="D35517">
        <f>IF(B35517=C35517, "YES", "WRONG")</f>
        <v/>
      </c>
    </row>
    <row r="35518">
      <c r="A35518" t="n">
        <v>35517</v>
      </c>
      <c r="B35518" t="inlineStr">
        <is>
          <t>x̄x̄x̄V̅DXVII</t>
        </is>
      </c>
      <c r="C35518">
        <f>ROMAN(35517)</f>
        <v/>
      </c>
      <c r="D35518">
        <f>IF(B35518=C35518, "YES", "WRONG")</f>
        <v/>
      </c>
    </row>
    <row r="35519">
      <c r="A35519" t="n">
        <v>35518</v>
      </c>
      <c r="B35519" t="inlineStr">
        <is>
          <t>x̄x̄x̄V̅DXVIII</t>
        </is>
      </c>
      <c r="C35519">
        <f>ROMAN(35518)</f>
        <v/>
      </c>
      <c r="D35519">
        <f>IF(B35519=C35519, "YES", "WRONG")</f>
        <v/>
      </c>
    </row>
    <row r="35520">
      <c r="A35520" t="n">
        <v>35519</v>
      </c>
      <c r="B35520" t="inlineStr">
        <is>
          <t>x̄x̄x̄V̅DXIX</t>
        </is>
      </c>
      <c r="C35520">
        <f>ROMAN(35519)</f>
        <v/>
      </c>
      <c r="D35520">
        <f>IF(B35520=C35520, "YES", "WRONG")</f>
        <v/>
      </c>
    </row>
    <row r="35521">
      <c r="A35521" t="n">
        <v>35520</v>
      </c>
      <c r="B35521" t="inlineStr">
        <is>
          <t>x̄x̄x̄V̅DXX</t>
        </is>
      </c>
      <c r="C35521">
        <f>ROMAN(35520)</f>
        <v/>
      </c>
      <c r="D35521">
        <f>IF(B35521=C35521, "YES", "WRONG")</f>
        <v/>
      </c>
    </row>
    <row r="35522">
      <c r="A35522" t="n">
        <v>35521</v>
      </c>
      <c r="B35522" t="inlineStr">
        <is>
          <t>x̄x̄x̄V̅DXXI</t>
        </is>
      </c>
      <c r="C35522">
        <f>ROMAN(35521)</f>
        <v/>
      </c>
      <c r="D35522">
        <f>IF(B35522=C35522, "YES", "WRONG")</f>
        <v/>
      </c>
    </row>
    <row r="35523">
      <c r="A35523" t="n">
        <v>35522</v>
      </c>
      <c r="B35523" t="inlineStr">
        <is>
          <t>x̄x̄x̄V̅DXXII</t>
        </is>
      </c>
      <c r="C35523">
        <f>ROMAN(35522)</f>
        <v/>
      </c>
      <c r="D35523">
        <f>IF(B35523=C35523, "YES", "WRONG")</f>
        <v/>
      </c>
    </row>
    <row r="35524">
      <c r="A35524" t="n">
        <v>35523</v>
      </c>
      <c r="B35524" t="inlineStr">
        <is>
          <t>x̄x̄x̄V̅DXXIII</t>
        </is>
      </c>
      <c r="C35524">
        <f>ROMAN(35523)</f>
        <v/>
      </c>
      <c r="D35524">
        <f>IF(B35524=C35524, "YES", "WRONG")</f>
        <v/>
      </c>
    </row>
    <row r="35525">
      <c r="A35525" t="n">
        <v>35524</v>
      </c>
      <c r="B35525" t="inlineStr">
        <is>
          <t>x̄x̄x̄V̅DXXIV</t>
        </is>
      </c>
      <c r="C35525">
        <f>ROMAN(35524)</f>
        <v/>
      </c>
      <c r="D35525">
        <f>IF(B35525=C35525, "YES", "WRONG")</f>
        <v/>
      </c>
    </row>
    <row r="35526">
      <c r="A35526" t="n">
        <v>35525</v>
      </c>
      <c r="B35526" t="inlineStr">
        <is>
          <t>x̄x̄x̄V̅DXXV</t>
        </is>
      </c>
      <c r="C35526">
        <f>ROMAN(35525)</f>
        <v/>
      </c>
      <c r="D35526">
        <f>IF(B35526=C35526, "YES", "WRONG")</f>
        <v/>
      </c>
    </row>
    <row r="35527">
      <c r="A35527" t="n">
        <v>35526</v>
      </c>
      <c r="B35527" t="inlineStr">
        <is>
          <t>x̄x̄x̄V̅DXXVI</t>
        </is>
      </c>
      <c r="C35527">
        <f>ROMAN(35526)</f>
        <v/>
      </c>
      <c r="D35527">
        <f>IF(B35527=C35527, "YES", "WRONG")</f>
        <v/>
      </c>
    </row>
    <row r="35528">
      <c r="A35528" t="n">
        <v>35527</v>
      </c>
      <c r="B35528" t="inlineStr">
        <is>
          <t>x̄x̄x̄V̅DXXVII</t>
        </is>
      </c>
      <c r="C35528">
        <f>ROMAN(35527)</f>
        <v/>
      </c>
      <c r="D35528">
        <f>IF(B35528=C35528, "YES", "WRONG")</f>
        <v/>
      </c>
    </row>
    <row r="35529">
      <c r="A35529" t="n">
        <v>35528</v>
      </c>
      <c r="B35529" t="inlineStr">
        <is>
          <t>x̄x̄x̄V̅DXXVIII</t>
        </is>
      </c>
      <c r="C35529">
        <f>ROMAN(35528)</f>
        <v/>
      </c>
      <c r="D35529">
        <f>IF(B35529=C35529, "YES", "WRONG")</f>
        <v/>
      </c>
    </row>
    <row r="35530">
      <c r="A35530" t="n">
        <v>35529</v>
      </c>
      <c r="B35530" t="inlineStr">
        <is>
          <t>x̄x̄x̄V̅DXXIX</t>
        </is>
      </c>
      <c r="C35530">
        <f>ROMAN(35529)</f>
        <v/>
      </c>
      <c r="D35530">
        <f>IF(B35530=C35530, "YES", "WRONG")</f>
        <v/>
      </c>
    </row>
    <row r="35531">
      <c r="A35531" t="n">
        <v>35530</v>
      </c>
      <c r="B35531" t="inlineStr">
        <is>
          <t>x̄x̄x̄V̅DXXX</t>
        </is>
      </c>
      <c r="C35531">
        <f>ROMAN(35530)</f>
        <v/>
      </c>
      <c r="D35531">
        <f>IF(B35531=C35531, "YES", "WRONG")</f>
        <v/>
      </c>
    </row>
    <row r="35532">
      <c r="A35532" t="n">
        <v>35531</v>
      </c>
      <c r="B35532" t="inlineStr">
        <is>
          <t>x̄x̄x̄V̅DXXXI</t>
        </is>
      </c>
      <c r="C35532">
        <f>ROMAN(35531)</f>
        <v/>
      </c>
      <c r="D35532">
        <f>IF(B35532=C35532, "YES", "WRONG")</f>
        <v/>
      </c>
    </row>
    <row r="35533">
      <c r="A35533" t="n">
        <v>35532</v>
      </c>
      <c r="B35533" t="inlineStr">
        <is>
          <t>x̄x̄x̄V̅DXXXII</t>
        </is>
      </c>
      <c r="C35533">
        <f>ROMAN(35532)</f>
        <v/>
      </c>
      <c r="D35533">
        <f>IF(B35533=C35533, "YES", "WRONG")</f>
        <v/>
      </c>
    </row>
    <row r="35534">
      <c r="A35534" t="n">
        <v>35533</v>
      </c>
      <c r="B35534" t="inlineStr">
        <is>
          <t>x̄x̄x̄V̅DXXXIII</t>
        </is>
      </c>
      <c r="C35534">
        <f>ROMAN(35533)</f>
        <v/>
      </c>
      <c r="D35534">
        <f>IF(B35534=C35534, "YES", "WRONG")</f>
        <v/>
      </c>
    </row>
    <row r="35535">
      <c r="A35535" t="n">
        <v>35534</v>
      </c>
      <c r="B35535" t="inlineStr">
        <is>
          <t>x̄x̄x̄V̅DXXXIV</t>
        </is>
      </c>
      <c r="C35535">
        <f>ROMAN(35534)</f>
        <v/>
      </c>
      <c r="D35535">
        <f>IF(B35535=C35535, "YES", "WRONG")</f>
        <v/>
      </c>
    </row>
    <row r="35536">
      <c r="A35536" t="n">
        <v>35535</v>
      </c>
      <c r="B35536" t="inlineStr">
        <is>
          <t>x̄x̄x̄V̅DXXXV</t>
        </is>
      </c>
      <c r="C35536">
        <f>ROMAN(35535)</f>
        <v/>
      </c>
      <c r="D35536">
        <f>IF(B35536=C35536, "YES", "WRONG")</f>
        <v/>
      </c>
    </row>
    <row r="35537">
      <c r="A35537" t="n">
        <v>35536</v>
      </c>
      <c r="B35537" t="inlineStr">
        <is>
          <t>x̄x̄x̄V̅DXXXVI</t>
        </is>
      </c>
      <c r="C35537">
        <f>ROMAN(35536)</f>
        <v/>
      </c>
      <c r="D35537">
        <f>IF(B35537=C35537, "YES", "WRONG")</f>
        <v/>
      </c>
    </row>
    <row r="35538">
      <c r="A35538" t="n">
        <v>35537</v>
      </c>
      <c r="B35538" t="inlineStr">
        <is>
          <t>x̄x̄x̄V̅DXXXVII</t>
        </is>
      </c>
      <c r="C35538">
        <f>ROMAN(35537)</f>
        <v/>
      </c>
      <c r="D35538">
        <f>IF(B35538=C35538, "YES", "WRONG")</f>
        <v/>
      </c>
    </row>
    <row r="35539">
      <c r="A35539" t="n">
        <v>35538</v>
      </c>
      <c r="B35539" t="inlineStr">
        <is>
          <t>x̄x̄x̄V̅DXXXVIII</t>
        </is>
      </c>
      <c r="C35539">
        <f>ROMAN(35538)</f>
        <v/>
      </c>
      <c r="D35539">
        <f>IF(B35539=C35539, "YES", "WRONG")</f>
        <v/>
      </c>
    </row>
    <row r="35540">
      <c r="A35540" t="n">
        <v>35539</v>
      </c>
      <c r="B35540" t="inlineStr">
        <is>
          <t>x̄x̄x̄V̅DXXXIX</t>
        </is>
      </c>
      <c r="C35540">
        <f>ROMAN(35539)</f>
        <v/>
      </c>
      <c r="D35540">
        <f>IF(B35540=C35540, "YES", "WRONG")</f>
        <v/>
      </c>
    </row>
    <row r="35541">
      <c r="A35541" t="n">
        <v>35540</v>
      </c>
      <c r="B35541" t="inlineStr">
        <is>
          <t>x̄x̄x̄V̅DXL</t>
        </is>
      </c>
      <c r="C35541">
        <f>ROMAN(35540)</f>
        <v/>
      </c>
      <c r="D35541">
        <f>IF(B35541=C35541, "YES", "WRONG")</f>
        <v/>
      </c>
    </row>
    <row r="35542">
      <c r="A35542" t="n">
        <v>35541</v>
      </c>
      <c r="B35542" t="inlineStr">
        <is>
          <t>x̄x̄x̄V̅DXLI</t>
        </is>
      </c>
      <c r="C35542">
        <f>ROMAN(35541)</f>
        <v/>
      </c>
      <c r="D35542">
        <f>IF(B35542=C35542, "YES", "WRONG")</f>
        <v/>
      </c>
    </row>
    <row r="35543">
      <c r="A35543" t="n">
        <v>35542</v>
      </c>
      <c r="B35543" t="inlineStr">
        <is>
          <t>x̄x̄x̄V̅DXLII</t>
        </is>
      </c>
      <c r="C35543">
        <f>ROMAN(35542)</f>
        <v/>
      </c>
      <c r="D35543">
        <f>IF(B35543=C35543, "YES", "WRONG")</f>
        <v/>
      </c>
    </row>
    <row r="35544">
      <c r="A35544" t="n">
        <v>35543</v>
      </c>
      <c r="B35544" t="inlineStr">
        <is>
          <t>x̄x̄x̄V̅DXLIII</t>
        </is>
      </c>
      <c r="C35544">
        <f>ROMAN(35543)</f>
        <v/>
      </c>
      <c r="D35544">
        <f>IF(B35544=C35544, "YES", "WRONG")</f>
        <v/>
      </c>
    </row>
    <row r="35545">
      <c r="A35545" t="n">
        <v>35544</v>
      </c>
      <c r="B35545" t="inlineStr">
        <is>
          <t>x̄x̄x̄V̅DXLIV</t>
        </is>
      </c>
      <c r="C35545">
        <f>ROMAN(35544)</f>
        <v/>
      </c>
      <c r="D35545">
        <f>IF(B35545=C35545, "YES", "WRONG")</f>
        <v/>
      </c>
    </row>
    <row r="35546">
      <c r="A35546" t="n">
        <v>35545</v>
      </c>
      <c r="B35546" t="inlineStr">
        <is>
          <t>x̄x̄x̄V̅DXLV</t>
        </is>
      </c>
      <c r="C35546">
        <f>ROMAN(35545)</f>
        <v/>
      </c>
      <c r="D35546">
        <f>IF(B35546=C35546, "YES", "WRONG")</f>
        <v/>
      </c>
    </row>
    <row r="35547">
      <c r="A35547" t="n">
        <v>35546</v>
      </c>
      <c r="B35547" t="inlineStr">
        <is>
          <t>x̄x̄x̄V̅DXLVI</t>
        </is>
      </c>
      <c r="C35547">
        <f>ROMAN(35546)</f>
        <v/>
      </c>
      <c r="D35547">
        <f>IF(B35547=C35547, "YES", "WRONG")</f>
        <v/>
      </c>
    </row>
    <row r="35548">
      <c r="A35548" t="n">
        <v>35547</v>
      </c>
      <c r="B35548" t="inlineStr">
        <is>
          <t>x̄x̄x̄V̅DXLVII</t>
        </is>
      </c>
      <c r="C35548">
        <f>ROMAN(35547)</f>
        <v/>
      </c>
      <c r="D35548">
        <f>IF(B35548=C35548, "YES", "WRONG")</f>
        <v/>
      </c>
    </row>
    <row r="35549">
      <c r="A35549" t="n">
        <v>35548</v>
      </c>
      <c r="B35549" t="inlineStr">
        <is>
          <t>x̄x̄x̄V̅DXLVIII</t>
        </is>
      </c>
      <c r="C35549">
        <f>ROMAN(35548)</f>
        <v/>
      </c>
      <c r="D35549">
        <f>IF(B35549=C35549, "YES", "WRONG")</f>
        <v/>
      </c>
    </row>
    <row r="35550">
      <c r="A35550" t="n">
        <v>35549</v>
      </c>
      <c r="B35550" t="inlineStr">
        <is>
          <t>x̄x̄x̄V̅DXLIX</t>
        </is>
      </c>
      <c r="C35550">
        <f>ROMAN(35549)</f>
        <v/>
      </c>
      <c r="D35550">
        <f>IF(B35550=C35550, "YES", "WRONG")</f>
        <v/>
      </c>
    </row>
    <row r="35551">
      <c r="A35551" t="n">
        <v>35550</v>
      </c>
      <c r="B35551" t="inlineStr">
        <is>
          <t>x̄x̄x̄V̅DL</t>
        </is>
      </c>
      <c r="C35551">
        <f>ROMAN(35550)</f>
        <v/>
      </c>
      <c r="D35551">
        <f>IF(B35551=C35551, "YES", "WRONG")</f>
        <v/>
      </c>
    </row>
    <row r="35552">
      <c r="A35552" t="n">
        <v>35551</v>
      </c>
      <c r="B35552" t="inlineStr">
        <is>
          <t>x̄x̄x̄V̅DLI</t>
        </is>
      </c>
      <c r="C35552">
        <f>ROMAN(35551)</f>
        <v/>
      </c>
      <c r="D35552">
        <f>IF(B35552=C35552, "YES", "WRONG")</f>
        <v/>
      </c>
    </row>
    <row r="35553">
      <c r="A35553" t="n">
        <v>35552</v>
      </c>
      <c r="B35553" t="inlineStr">
        <is>
          <t>x̄x̄x̄V̅DLII</t>
        </is>
      </c>
      <c r="C35553">
        <f>ROMAN(35552)</f>
        <v/>
      </c>
      <c r="D35553">
        <f>IF(B35553=C35553, "YES", "WRONG")</f>
        <v/>
      </c>
    </row>
    <row r="35554">
      <c r="A35554" t="n">
        <v>35553</v>
      </c>
      <c r="B35554" t="inlineStr">
        <is>
          <t>x̄x̄x̄V̅DLIII</t>
        </is>
      </c>
      <c r="C35554">
        <f>ROMAN(35553)</f>
        <v/>
      </c>
      <c r="D35554">
        <f>IF(B35554=C35554, "YES", "WRONG")</f>
        <v/>
      </c>
    </row>
    <row r="35555">
      <c r="A35555" t="n">
        <v>35554</v>
      </c>
      <c r="B35555" t="inlineStr">
        <is>
          <t>x̄x̄x̄V̅DLIV</t>
        </is>
      </c>
      <c r="C35555">
        <f>ROMAN(35554)</f>
        <v/>
      </c>
      <c r="D35555">
        <f>IF(B35555=C35555, "YES", "WRONG")</f>
        <v/>
      </c>
    </row>
    <row r="35556">
      <c r="A35556" t="n">
        <v>35555</v>
      </c>
      <c r="B35556" t="inlineStr">
        <is>
          <t>x̄x̄x̄V̅DLV</t>
        </is>
      </c>
      <c r="C35556">
        <f>ROMAN(35555)</f>
        <v/>
      </c>
      <c r="D35556">
        <f>IF(B35556=C35556, "YES", "WRONG")</f>
        <v/>
      </c>
    </row>
    <row r="35557">
      <c r="A35557" t="n">
        <v>35556</v>
      </c>
      <c r="B35557" t="inlineStr">
        <is>
          <t>x̄x̄x̄V̅DLVI</t>
        </is>
      </c>
      <c r="C35557">
        <f>ROMAN(35556)</f>
        <v/>
      </c>
      <c r="D35557">
        <f>IF(B35557=C35557, "YES", "WRONG")</f>
        <v/>
      </c>
    </row>
    <row r="35558">
      <c r="A35558" t="n">
        <v>35557</v>
      </c>
      <c r="B35558" t="inlineStr">
        <is>
          <t>x̄x̄x̄V̅DLVII</t>
        </is>
      </c>
      <c r="C35558">
        <f>ROMAN(35557)</f>
        <v/>
      </c>
      <c r="D35558">
        <f>IF(B35558=C35558, "YES", "WRONG")</f>
        <v/>
      </c>
    </row>
    <row r="35559">
      <c r="A35559" t="n">
        <v>35558</v>
      </c>
      <c r="B35559" t="inlineStr">
        <is>
          <t>x̄x̄x̄V̅DLVIII</t>
        </is>
      </c>
      <c r="C35559">
        <f>ROMAN(35558)</f>
        <v/>
      </c>
      <c r="D35559">
        <f>IF(B35559=C35559, "YES", "WRONG")</f>
        <v/>
      </c>
    </row>
    <row r="35560">
      <c r="A35560" t="n">
        <v>35559</v>
      </c>
      <c r="B35560" t="inlineStr">
        <is>
          <t>x̄x̄x̄V̅DLIX</t>
        </is>
      </c>
      <c r="C35560">
        <f>ROMAN(35559)</f>
        <v/>
      </c>
      <c r="D35560">
        <f>IF(B35560=C35560, "YES", "WRONG")</f>
        <v/>
      </c>
    </row>
    <row r="35561">
      <c r="A35561" t="n">
        <v>35560</v>
      </c>
      <c r="B35561" t="inlineStr">
        <is>
          <t>x̄x̄x̄V̅DLX</t>
        </is>
      </c>
      <c r="C35561">
        <f>ROMAN(35560)</f>
        <v/>
      </c>
      <c r="D35561">
        <f>IF(B35561=C35561, "YES", "WRONG")</f>
        <v/>
      </c>
    </row>
    <row r="35562">
      <c r="A35562" t="n">
        <v>35561</v>
      </c>
      <c r="B35562" t="inlineStr">
        <is>
          <t>x̄x̄x̄V̅DLXI</t>
        </is>
      </c>
      <c r="C35562">
        <f>ROMAN(35561)</f>
        <v/>
      </c>
      <c r="D35562">
        <f>IF(B35562=C35562, "YES", "WRONG")</f>
        <v/>
      </c>
    </row>
    <row r="35563">
      <c r="A35563" t="n">
        <v>35562</v>
      </c>
      <c r="B35563" t="inlineStr">
        <is>
          <t>x̄x̄x̄V̅DLXII</t>
        </is>
      </c>
      <c r="C35563">
        <f>ROMAN(35562)</f>
        <v/>
      </c>
      <c r="D35563">
        <f>IF(B35563=C35563, "YES", "WRONG")</f>
        <v/>
      </c>
    </row>
    <row r="35564">
      <c r="A35564" t="n">
        <v>35563</v>
      </c>
      <c r="B35564" t="inlineStr">
        <is>
          <t>x̄x̄x̄V̅DLXIII</t>
        </is>
      </c>
      <c r="C35564">
        <f>ROMAN(35563)</f>
        <v/>
      </c>
      <c r="D35564">
        <f>IF(B35564=C35564, "YES", "WRONG")</f>
        <v/>
      </c>
    </row>
    <row r="35565">
      <c r="A35565" t="n">
        <v>35564</v>
      </c>
      <c r="B35565" t="inlineStr">
        <is>
          <t>x̄x̄x̄V̅DLXIV</t>
        </is>
      </c>
      <c r="C35565">
        <f>ROMAN(35564)</f>
        <v/>
      </c>
      <c r="D35565">
        <f>IF(B35565=C35565, "YES", "WRONG")</f>
        <v/>
      </c>
    </row>
    <row r="35566">
      <c r="A35566" t="n">
        <v>35565</v>
      </c>
      <c r="B35566" t="inlineStr">
        <is>
          <t>x̄x̄x̄V̅DLXV</t>
        </is>
      </c>
      <c r="C35566">
        <f>ROMAN(35565)</f>
        <v/>
      </c>
      <c r="D35566">
        <f>IF(B35566=C35566, "YES", "WRONG")</f>
        <v/>
      </c>
    </row>
    <row r="35567">
      <c r="A35567" t="n">
        <v>35566</v>
      </c>
      <c r="B35567" t="inlineStr">
        <is>
          <t>x̄x̄x̄V̅DLXVI</t>
        </is>
      </c>
      <c r="C35567">
        <f>ROMAN(35566)</f>
        <v/>
      </c>
      <c r="D35567">
        <f>IF(B35567=C35567, "YES", "WRONG")</f>
        <v/>
      </c>
    </row>
    <row r="35568">
      <c r="A35568" t="n">
        <v>35567</v>
      </c>
      <c r="B35568" t="inlineStr">
        <is>
          <t>x̄x̄x̄V̅DLXVII</t>
        </is>
      </c>
      <c r="C35568">
        <f>ROMAN(35567)</f>
        <v/>
      </c>
      <c r="D35568">
        <f>IF(B35568=C35568, "YES", "WRONG")</f>
        <v/>
      </c>
    </row>
    <row r="35569">
      <c r="A35569" t="n">
        <v>35568</v>
      </c>
      <c r="B35569" t="inlineStr">
        <is>
          <t>x̄x̄x̄V̅DLXVIII</t>
        </is>
      </c>
      <c r="C35569">
        <f>ROMAN(35568)</f>
        <v/>
      </c>
      <c r="D35569">
        <f>IF(B35569=C35569, "YES", "WRONG")</f>
        <v/>
      </c>
    </row>
    <row r="35570">
      <c r="A35570" t="n">
        <v>35569</v>
      </c>
      <c r="B35570" t="inlineStr">
        <is>
          <t>x̄x̄x̄V̅DLXIX</t>
        </is>
      </c>
      <c r="C35570">
        <f>ROMAN(35569)</f>
        <v/>
      </c>
      <c r="D35570">
        <f>IF(B35570=C35570, "YES", "WRONG")</f>
        <v/>
      </c>
    </row>
    <row r="35571">
      <c r="A35571" t="n">
        <v>35570</v>
      </c>
      <c r="B35571" t="inlineStr">
        <is>
          <t>x̄x̄x̄V̅DLXX</t>
        </is>
      </c>
      <c r="C35571">
        <f>ROMAN(35570)</f>
        <v/>
      </c>
      <c r="D35571">
        <f>IF(B35571=C35571, "YES", "WRONG")</f>
        <v/>
      </c>
    </row>
    <row r="35572">
      <c r="A35572" t="n">
        <v>35571</v>
      </c>
      <c r="B35572" t="inlineStr">
        <is>
          <t>x̄x̄x̄V̅DLXXI</t>
        </is>
      </c>
      <c r="C35572">
        <f>ROMAN(35571)</f>
        <v/>
      </c>
      <c r="D35572">
        <f>IF(B35572=C35572, "YES", "WRONG")</f>
        <v/>
      </c>
    </row>
    <row r="35573">
      <c r="A35573" t="n">
        <v>35572</v>
      </c>
      <c r="B35573" t="inlineStr">
        <is>
          <t>x̄x̄x̄V̅DLXXII</t>
        </is>
      </c>
      <c r="C35573">
        <f>ROMAN(35572)</f>
        <v/>
      </c>
      <c r="D35573">
        <f>IF(B35573=C35573, "YES", "WRONG")</f>
        <v/>
      </c>
    </row>
    <row r="35574">
      <c r="A35574" t="n">
        <v>35573</v>
      </c>
      <c r="B35574" t="inlineStr">
        <is>
          <t>x̄x̄x̄V̅DLXXIII</t>
        </is>
      </c>
      <c r="C35574">
        <f>ROMAN(35573)</f>
        <v/>
      </c>
      <c r="D35574">
        <f>IF(B35574=C35574, "YES", "WRONG")</f>
        <v/>
      </c>
    </row>
    <row r="35575">
      <c r="A35575" t="n">
        <v>35574</v>
      </c>
      <c r="B35575" t="inlineStr">
        <is>
          <t>x̄x̄x̄V̅DLXXIV</t>
        </is>
      </c>
      <c r="C35575">
        <f>ROMAN(35574)</f>
        <v/>
      </c>
      <c r="D35575">
        <f>IF(B35575=C35575, "YES", "WRONG")</f>
        <v/>
      </c>
    </row>
    <row r="35576">
      <c r="A35576" t="n">
        <v>35575</v>
      </c>
      <c r="B35576" t="inlineStr">
        <is>
          <t>x̄x̄x̄V̅DLXXV</t>
        </is>
      </c>
      <c r="C35576">
        <f>ROMAN(35575)</f>
        <v/>
      </c>
      <c r="D35576">
        <f>IF(B35576=C35576, "YES", "WRONG")</f>
        <v/>
      </c>
    </row>
    <row r="35577">
      <c r="A35577" t="n">
        <v>35576</v>
      </c>
      <c r="B35577" t="inlineStr">
        <is>
          <t>x̄x̄x̄V̅DLXXVI</t>
        </is>
      </c>
      <c r="C35577">
        <f>ROMAN(35576)</f>
        <v/>
      </c>
      <c r="D35577">
        <f>IF(B35577=C35577, "YES", "WRONG")</f>
        <v/>
      </c>
    </row>
    <row r="35578">
      <c r="A35578" t="n">
        <v>35577</v>
      </c>
      <c r="B35578" t="inlineStr">
        <is>
          <t>x̄x̄x̄V̅DLXXVII</t>
        </is>
      </c>
      <c r="C35578">
        <f>ROMAN(35577)</f>
        <v/>
      </c>
      <c r="D35578">
        <f>IF(B35578=C35578, "YES", "WRONG")</f>
        <v/>
      </c>
    </row>
    <row r="35579">
      <c r="A35579" t="n">
        <v>35578</v>
      </c>
      <c r="B35579" t="inlineStr">
        <is>
          <t>x̄x̄x̄V̅DLXXVIII</t>
        </is>
      </c>
      <c r="C35579">
        <f>ROMAN(35578)</f>
        <v/>
      </c>
      <c r="D35579">
        <f>IF(B35579=C35579, "YES", "WRONG")</f>
        <v/>
      </c>
    </row>
    <row r="35580">
      <c r="A35580" t="n">
        <v>35579</v>
      </c>
      <c r="B35580" t="inlineStr">
        <is>
          <t>x̄x̄x̄V̅DLXXIX</t>
        </is>
      </c>
      <c r="C35580">
        <f>ROMAN(35579)</f>
        <v/>
      </c>
      <c r="D35580">
        <f>IF(B35580=C35580, "YES", "WRONG")</f>
        <v/>
      </c>
    </row>
    <row r="35581">
      <c r="A35581" t="n">
        <v>35580</v>
      </c>
      <c r="B35581" t="inlineStr">
        <is>
          <t>x̄x̄x̄V̅DLXXX</t>
        </is>
      </c>
      <c r="C35581">
        <f>ROMAN(35580)</f>
        <v/>
      </c>
      <c r="D35581">
        <f>IF(B35581=C35581, "YES", "WRONG")</f>
        <v/>
      </c>
    </row>
    <row r="35582">
      <c r="A35582" t="n">
        <v>35581</v>
      </c>
      <c r="B35582" t="inlineStr">
        <is>
          <t>x̄x̄x̄V̅DLXXXI</t>
        </is>
      </c>
      <c r="C35582">
        <f>ROMAN(35581)</f>
        <v/>
      </c>
      <c r="D35582">
        <f>IF(B35582=C35582, "YES", "WRONG")</f>
        <v/>
      </c>
    </row>
    <row r="35583">
      <c r="A35583" t="n">
        <v>35582</v>
      </c>
      <c r="B35583" t="inlineStr">
        <is>
          <t>x̄x̄x̄V̅DLXXXII</t>
        </is>
      </c>
      <c r="C35583">
        <f>ROMAN(35582)</f>
        <v/>
      </c>
      <c r="D35583">
        <f>IF(B35583=C35583, "YES", "WRONG")</f>
        <v/>
      </c>
    </row>
    <row r="35584">
      <c r="A35584" t="n">
        <v>35583</v>
      </c>
      <c r="B35584" t="inlineStr">
        <is>
          <t>x̄x̄x̄V̅DLXXXIII</t>
        </is>
      </c>
      <c r="C35584">
        <f>ROMAN(35583)</f>
        <v/>
      </c>
      <c r="D35584">
        <f>IF(B35584=C35584, "YES", "WRONG")</f>
        <v/>
      </c>
    </row>
    <row r="35585">
      <c r="A35585" t="n">
        <v>35584</v>
      </c>
      <c r="B35585" t="inlineStr">
        <is>
          <t>x̄x̄x̄V̅DLXXXIV</t>
        </is>
      </c>
      <c r="C35585">
        <f>ROMAN(35584)</f>
        <v/>
      </c>
      <c r="D35585">
        <f>IF(B35585=C35585, "YES", "WRONG")</f>
        <v/>
      </c>
    </row>
    <row r="35586">
      <c r="A35586" t="n">
        <v>35585</v>
      </c>
      <c r="B35586" t="inlineStr">
        <is>
          <t>x̄x̄x̄V̅DLXXXV</t>
        </is>
      </c>
      <c r="C35586">
        <f>ROMAN(35585)</f>
        <v/>
      </c>
      <c r="D35586">
        <f>IF(B35586=C35586, "YES", "WRONG")</f>
        <v/>
      </c>
    </row>
    <row r="35587">
      <c r="A35587" t="n">
        <v>35586</v>
      </c>
      <c r="B35587" t="inlineStr">
        <is>
          <t>x̄x̄x̄V̅DLXXXVI</t>
        </is>
      </c>
      <c r="C35587">
        <f>ROMAN(35586)</f>
        <v/>
      </c>
      <c r="D35587">
        <f>IF(B35587=C35587, "YES", "WRONG")</f>
        <v/>
      </c>
    </row>
    <row r="35588">
      <c r="A35588" t="n">
        <v>35587</v>
      </c>
      <c r="B35588" t="inlineStr">
        <is>
          <t>x̄x̄x̄V̅DLXXXVII</t>
        </is>
      </c>
      <c r="C35588">
        <f>ROMAN(35587)</f>
        <v/>
      </c>
      <c r="D35588">
        <f>IF(B35588=C35588, "YES", "WRONG")</f>
        <v/>
      </c>
    </row>
    <row r="35589">
      <c r="A35589" t="n">
        <v>35588</v>
      </c>
      <c r="B35589" t="inlineStr">
        <is>
          <t>x̄x̄x̄V̅DLXXXVIII</t>
        </is>
      </c>
      <c r="C35589">
        <f>ROMAN(35588)</f>
        <v/>
      </c>
      <c r="D35589">
        <f>IF(B35589=C35589, "YES", "WRONG")</f>
        <v/>
      </c>
    </row>
    <row r="35590">
      <c r="A35590" t="n">
        <v>35589</v>
      </c>
      <c r="B35590" t="inlineStr">
        <is>
          <t>x̄x̄x̄V̅DLXXXIX</t>
        </is>
      </c>
      <c r="C35590">
        <f>ROMAN(35589)</f>
        <v/>
      </c>
      <c r="D35590">
        <f>IF(B35590=C35590, "YES", "WRONG")</f>
        <v/>
      </c>
    </row>
    <row r="35591">
      <c r="A35591" t="n">
        <v>35590</v>
      </c>
      <c r="B35591" t="inlineStr">
        <is>
          <t>x̄x̄x̄V̅DXC</t>
        </is>
      </c>
      <c r="C35591">
        <f>ROMAN(35590)</f>
        <v/>
      </c>
      <c r="D35591">
        <f>IF(B35591=C35591, "YES", "WRONG")</f>
        <v/>
      </c>
    </row>
    <row r="35592">
      <c r="A35592" t="n">
        <v>35591</v>
      </c>
      <c r="B35592" t="inlineStr">
        <is>
          <t>x̄x̄x̄V̅DXCI</t>
        </is>
      </c>
      <c r="C35592">
        <f>ROMAN(35591)</f>
        <v/>
      </c>
      <c r="D35592">
        <f>IF(B35592=C35592, "YES", "WRONG")</f>
        <v/>
      </c>
    </row>
    <row r="35593">
      <c r="A35593" t="n">
        <v>35592</v>
      </c>
      <c r="B35593" t="inlineStr">
        <is>
          <t>x̄x̄x̄V̅DXCII</t>
        </is>
      </c>
      <c r="C35593">
        <f>ROMAN(35592)</f>
        <v/>
      </c>
      <c r="D35593">
        <f>IF(B35593=C35593, "YES", "WRONG")</f>
        <v/>
      </c>
    </row>
    <row r="35594">
      <c r="A35594" t="n">
        <v>35593</v>
      </c>
      <c r="B35594" t="inlineStr">
        <is>
          <t>x̄x̄x̄V̅DXCIII</t>
        </is>
      </c>
      <c r="C35594">
        <f>ROMAN(35593)</f>
        <v/>
      </c>
      <c r="D35594">
        <f>IF(B35594=C35594, "YES", "WRONG")</f>
        <v/>
      </c>
    </row>
    <row r="35595">
      <c r="A35595" t="n">
        <v>35594</v>
      </c>
      <c r="B35595" t="inlineStr">
        <is>
          <t>x̄x̄x̄V̅DXCIV</t>
        </is>
      </c>
      <c r="C35595">
        <f>ROMAN(35594)</f>
        <v/>
      </c>
      <c r="D35595">
        <f>IF(B35595=C35595, "YES", "WRONG")</f>
        <v/>
      </c>
    </row>
    <row r="35596">
      <c r="A35596" t="n">
        <v>35595</v>
      </c>
      <c r="B35596" t="inlineStr">
        <is>
          <t>x̄x̄x̄V̅DXCV</t>
        </is>
      </c>
      <c r="C35596">
        <f>ROMAN(35595)</f>
        <v/>
      </c>
      <c r="D35596">
        <f>IF(B35596=C35596, "YES", "WRONG")</f>
        <v/>
      </c>
    </row>
    <row r="35597">
      <c r="A35597" t="n">
        <v>35596</v>
      </c>
      <c r="B35597" t="inlineStr">
        <is>
          <t>x̄x̄x̄V̅DXCVI</t>
        </is>
      </c>
      <c r="C35597">
        <f>ROMAN(35596)</f>
        <v/>
      </c>
      <c r="D35597">
        <f>IF(B35597=C35597, "YES", "WRONG")</f>
        <v/>
      </c>
    </row>
    <row r="35598">
      <c r="A35598" t="n">
        <v>35597</v>
      </c>
      <c r="B35598" t="inlineStr">
        <is>
          <t>x̄x̄x̄V̅DXCVII</t>
        </is>
      </c>
      <c r="C35598">
        <f>ROMAN(35597)</f>
        <v/>
      </c>
      <c r="D35598">
        <f>IF(B35598=C35598, "YES", "WRONG")</f>
        <v/>
      </c>
    </row>
    <row r="35599">
      <c r="A35599" t="n">
        <v>35598</v>
      </c>
      <c r="B35599" t="inlineStr">
        <is>
          <t>x̄x̄x̄V̅DXCVIII</t>
        </is>
      </c>
      <c r="C35599">
        <f>ROMAN(35598)</f>
        <v/>
      </c>
      <c r="D35599">
        <f>IF(B35599=C35599, "YES", "WRONG")</f>
        <v/>
      </c>
    </row>
    <row r="35600">
      <c r="A35600" t="n">
        <v>35599</v>
      </c>
      <c r="B35600" t="inlineStr">
        <is>
          <t>x̄x̄x̄V̅DXCIX</t>
        </is>
      </c>
      <c r="C35600">
        <f>ROMAN(35599)</f>
        <v/>
      </c>
      <c r="D35600">
        <f>IF(B35600=C35600, "YES", "WRONG")</f>
        <v/>
      </c>
    </row>
    <row r="35601">
      <c r="A35601" t="n">
        <v>35600</v>
      </c>
      <c r="B35601" t="inlineStr">
        <is>
          <t>x̄x̄x̄V̅DC</t>
        </is>
      </c>
      <c r="C35601">
        <f>ROMAN(35600)</f>
        <v/>
      </c>
      <c r="D35601">
        <f>IF(B35601=C35601, "YES", "WRONG")</f>
        <v/>
      </c>
    </row>
    <row r="35602">
      <c r="A35602" t="n">
        <v>35601</v>
      </c>
      <c r="B35602" t="inlineStr">
        <is>
          <t>x̄x̄x̄V̅DCI</t>
        </is>
      </c>
      <c r="C35602">
        <f>ROMAN(35601)</f>
        <v/>
      </c>
      <c r="D35602">
        <f>IF(B35602=C35602, "YES", "WRONG")</f>
        <v/>
      </c>
    </row>
    <row r="35603">
      <c r="A35603" t="n">
        <v>35602</v>
      </c>
      <c r="B35603" t="inlineStr">
        <is>
          <t>x̄x̄x̄V̅DCII</t>
        </is>
      </c>
      <c r="C35603">
        <f>ROMAN(35602)</f>
        <v/>
      </c>
      <c r="D35603">
        <f>IF(B35603=C35603, "YES", "WRONG")</f>
        <v/>
      </c>
    </row>
    <row r="35604">
      <c r="A35604" t="n">
        <v>35603</v>
      </c>
      <c r="B35604" t="inlineStr">
        <is>
          <t>x̄x̄x̄V̅DCIII</t>
        </is>
      </c>
      <c r="C35604">
        <f>ROMAN(35603)</f>
        <v/>
      </c>
      <c r="D35604">
        <f>IF(B35604=C35604, "YES", "WRONG")</f>
        <v/>
      </c>
    </row>
    <row r="35605">
      <c r="A35605" t="n">
        <v>35604</v>
      </c>
      <c r="B35605" t="inlineStr">
        <is>
          <t>x̄x̄x̄V̅DCIV</t>
        </is>
      </c>
      <c r="C35605">
        <f>ROMAN(35604)</f>
        <v/>
      </c>
      <c r="D35605">
        <f>IF(B35605=C35605, "YES", "WRONG")</f>
        <v/>
      </c>
    </row>
    <row r="35606">
      <c r="A35606" t="n">
        <v>35605</v>
      </c>
      <c r="B35606" t="inlineStr">
        <is>
          <t>x̄x̄x̄V̅DCV</t>
        </is>
      </c>
      <c r="C35606">
        <f>ROMAN(35605)</f>
        <v/>
      </c>
      <c r="D35606">
        <f>IF(B35606=C35606, "YES", "WRONG")</f>
        <v/>
      </c>
    </row>
    <row r="35607">
      <c r="A35607" t="n">
        <v>35606</v>
      </c>
      <c r="B35607" t="inlineStr">
        <is>
          <t>x̄x̄x̄V̅DCVI</t>
        </is>
      </c>
      <c r="C35607">
        <f>ROMAN(35606)</f>
        <v/>
      </c>
      <c r="D35607">
        <f>IF(B35607=C35607, "YES", "WRONG")</f>
        <v/>
      </c>
    </row>
    <row r="35608">
      <c r="A35608" t="n">
        <v>35607</v>
      </c>
      <c r="B35608" t="inlineStr">
        <is>
          <t>x̄x̄x̄V̅DCVII</t>
        </is>
      </c>
      <c r="C35608">
        <f>ROMAN(35607)</f>
        <v/>
      </c>
      <c r="D35608">
        <f>IF(B35608=C35608, "YES", "WRONG")</f>
        <v/>
      </c>
    </row>
    <row r="35609">
      <c r="A35609" t="n">
        <v>35608</v>
      </c>
      <c r="B35609" t="inlineStr">
        <is>
          <t>x̄x̄x̄V̅DCVIII</t>
        </is>
      </c>
      <c r="C35609">
        <f>ROMAN(35608)</f>
        <v/>
      </c>
      <c r="D35609">
        <f>IF(B35609=C35609, "YES", "WRONG")</f>
        <v/>
      </c>
    </row>
    <row r="35610">
      <c r="A35610" t="n">
        <v>35609</v>
      </c>
      <c r="B35610" t="inlineStr">
        <is>
          <t>x̄x̄x̄V̅DCIX</t>
        </is>
      </c>
      <c r="C35610">
        <f>ROMAN(35609)</f>
        <v/>
      </c>
      <c r="D35610">
        <f>IF(B35610=C35610, "YES", "WRONG")</f>
        <v/>
      </c>
    </row>
    <row r="35611">
      <c r="A35611" t="n">
        <v>35610</v>
      </c>
      <c r="B35611" t="inlineStr">
        <is>
          <t>x̄x̄x̄V̅DCX</t>
        </is>
      </c>
      <c r="C35611">
        <f>ROMAN(35610)</f>
        <v/>
      </c>
      <c r="D35611">
        <f>IF(B35611=C35611, "YES", "WRONG")</f>
        <v/>
      </c>
    </row>
    <row r="35612">
      <c r="A35612" t="n">
        <v>35611</v>
      </c>
      <c r="B35612" t="inlineStr">
        <is>
          <t>x̄x̄x̄V̅DCXI</t>
        </is>
      </c>
      <c r="C35612">
        <f>ROMAN(35611)</f>
        <v/>
      </c>
      <c r="D35612">
        <f>IF(B35612=C35612, "YES", "WRONG")</f>
        <v/>
      </c>
    </row>
    <row r="35613">
      <c r="A35613" t="n">
        <v>35612</v>
      </c>
      <c r="B35613" t="inlineStr">
        <is>
          <t>x̄x̄x̄V̅DCXII</t>
        </is>
      </c>
      <c r="C35613">
        <f>ROMAN(35612)</f>
        <v/>
      </c>
      <c r="D35613">
        <f>IF(B35613=C35613, "YES", "WRONG")</f>
        <v/>
      </c>
    </row>
    <row r="35614">
      <c r="A35614" t="n">
        <v>35613</v>
      </c>
      <c r="B35614" t="inlineStr">
        <is>
          <t>x̄x̄x̄V̅DCXIII</t>
        </is>
      </c>
      <c r="C35614">
        <f>ROMAN(35613)</f>
        <v/>
      </c>
      <c r="D35614">
        <f>IF(B35614=C35614, "YES", "WRONG")</f>
        <v/>
      </c>
    </row>
    <row r="35615">
      <c r="A35615" t="n">
        <v>35614</v>
      </c>
      <c r="B35615" t="inlineStr">
        <is>
          <t>x̄x̄x̄V̅DCXIV</t>
        </is>
      </c>
      <c r="C35615">
        <f>ROMAN(35614)</f>
        <v/>
      </c>
      <c r="D35615">
        <f>IF(B35615=C35615, "YES", "WRONG")</f>
        <v/>
      </c>
    </row>
    <row r="35616">
      <c r="A35616" t="n">
        <v>35615</v>
      </c>
      <c r="B35616" t="inlineStr">
        <is>
          <t>x̄x̄x̄V̅DCXV</t>
        </is>
      </c>
      <c r="C35616">
        <f>ROMAN(35615)</f>
        <v/>
      </c>
      <c r="D35616">
        <f>IF(B35616=C35616, "YES", "WRONG")</f>
        <v/>
      </c>
    </row>
    <row r="35617">
      <c r="A35617" t="n">
        <v>35616</v>
      </c>
      <c r="B35617" t="inlineStr">
        <is>
          <t>x̄x̄x̄V̅DCXVI</t>
        </is>
      </c>
      <c r="C35617">
        <f>ROMAN(35616)</f>
        <v/>
      </c>
      <c r="D35617">
        <f>IF(B35617=C35617, "YES", "WRONG")</f>
        <v/>
      </c>
    </row>
    <row r="35618">
      <c r="A35618" t="n">
        <v>35617</v>
      </c>
      <c r="B35618" t="inlineStr">
        <is>
          <t>x̄x̄x̄V̅DCXVII</t>
        </is>
      </c>
      <c r="C35618">
        <f>ROMAN(35617)</f>
        <v/>
      </c>
      <c r="D35618">
        <f>IF(B35618=C35618, "YES", "WRONG")</f>
        <v/>
      </c>
    </row>
    <row r="35619">
      <c r="A35619" t="n">
        <v>35618</v>
      </c>
      <c r="B35619" t="inlineStr">
        <is>
          <t>x̄x̄x̄V̅DCXVIII</t>
        </is>
      </c>
      <c r="C35619">
        <f>ROMAN(35618)</f>
        <v/>
      </c>
      <c r="D35619">
        <f>IF(B35619=C35619, "YES", "WRONG")</f>
        <v/>
      </c>
    </row>
    <row r="35620">
      <c r="A35620" t="n">
        <v>35619</v>
      </c>
      <c r="B35620" t="inlineStr">
        <is>
          <t>x̄x̄x̄V̅DCXIX</t>
        </is>
      </c>
      <c r="C35620">
        <f>ROMAN(35619)</f>
        <v/>
      </c>
      <c r="D35620">
        <f>IF(B35620=C35620, "YES", "WRONG")</f>
        <v/>
      </c>
    </row>
    <row r="35621">
      <c r="A35621" t="n">
        <v>35620</v>
      </c>
      <c r="B35621" t="inlineStr">
        <is>
          <t>x̄x̄x̄V̅DCXX</t>
        </is>
      </c>
      <c r="C35621">
        <f>ROMAN(35620)</f>
        <v/>
      </c>
      <c r="D35621">
        <f>IF(B35621=C35621, "YES", "WRONG")</f>
        <v/>
      </c>
    </row>
    <row r="35622">
      <c r="A35622" t="n">
        <v>35621</v>
      </c>
      <c r="B35622" t="inlineStr">
        <is>
          <t>x̄x̄x̄V̅DCXXI</t>
        </is>
      </c>
      <c r="C35622">
        <f>ROMAN(35621)</f>
        <v/>
      </c>
      <c r="D35622">
        <f>IF(B35622=C35622, "YES", "WRONG")</f>
        <v/>
      </c>
    </row>
    <row r="35623">
      <c r="A35623" t="n">
        <v>35622</v>
      </c>
      <c r="B35623" t="inlineStr">
        <is>
          <t>x̄x̄x̄V̅DCXXII</t>
        </is>
      </c>
      <c r="C35623">
        <f>ROMAN(35622)</f>
        <v/>
      </c>
      <c r="D35623">
        <f>IF(B35623=C35623, "YES", "WRONG")</f>
        <v/>
      </c>
    </row>
    <row r="35624">
      <c r="A35624" t="n">
        <v>35623</v>
      </c>
      <c r="B35624" t="inlineStr">
        <is>
          <t>x̄x̄x̄V̅DCXXIII</t>
        </is>
      </c>
      <c r="C35624">
        <f>ROMAN(35623)</f>
        <v/>
      </c>
      <c r="D35624">
        <f>IF(B35624=C35624, "YES", "WRONG")</f>
        <v/>
      </c>
    </row>
    <row r="35625">
      <c r="A35625" t="n">
        <v>35624</v>
      </c>
      <c r="B35625" t="inlineStr">
        <is>
          <t>x̄x̄x̄V̅DCXXIV</t>
        </is>
      </c>
      <c r="C35625">
        <f>ROMAN(35624)</f>
        <v/>
      </c>
      <c r="D35625">
        <f>IF(B35625=C35625, "YES", "WRONG")</f>
        <v/>
      </c>
    </row>
    <row r="35626">
      <c r="A35626" t="n">
        <v>35625</v>
      </c>
      <c r="B35626" t="inlineStr">
        <is>
          <t>x̄x̄x̄V̅DCXXV</t>
        </is>
      </c>
      <c r="C35626">
        <f>ROMAN(35625)</f>
        <v/>
      </c>
      <c r="D35626">
        <f>IF(B35626=C35626, "YES", "WRONG")</f>
        <v/>
      </c>
    </row>
    <row r="35627">
      <c r="A35627" t="n">
        <v>35626</v>
      </c>
      <c r="B35627" t="inlineStr">
        <is>
          <t>x̄x̄x̄V̅DCXXVI</t>
        </is>
      </c>
      <c r="C35627">
        <f>ROMAN(35626)</f>
        <v/>
      </c>
      <c r="D35627">
        <f>IF(B35627=C35627, "YES", "WRONG")</f>
        <v/>
      </c>
    </row>
    <row r="35628">
      <c r="A35628" t="n">
        <v>35627</v>
      </c>
      <c r="B35628" t="inlineStr">
        <is>
          <t>x̄x̄x̄V̅DCXXVII</t>
        </is>
      </c>
      <c r="C35628">
        <f>ROMAN(35627)</f>
        <v/>
      </c>
      <c r="D35628">
        <f>IF(B35628=C35628, "YES", "WRONG")</f>
        <v/>
      </c>
    </row>
    <row r="35629">
      <c r="A35629" t="n">
        <v>35628</v>
      </c>
      <c r="B35629" t="inlineStr">
        <is>
          <t>x̄x̄x̄V̅DCXXVIII</t>
        </is>
      </c>
      <c r="C35629">
        <f>ROMAN(35628)</f>
        <v/>
      </c>
      <c r="D35629">
        <f>IF(B35629=C35629, "YES", "WRONG")</f>
        <v/>
      </c>
    </row>
    <row r="35630">
      <c r="A35630" t="n">
        <v>35629</v>
      </c>
      <c r="B35630" t="inlineStr">
        <is>
          <t>x̄x̄x̄V̅DCXXIX</t>
        </is>
      </c>
      <c r="C35630">
        <f>ROMAN(35629)</f>
        <v/>
      </c>
      <c r="D35630">
        <f>IF(B35630=C35630, "YES", "WRONG")</f>
        <v/>
      </c>
    </row>
    <row r="35631">
      <c r="A35631" t="n">
        <v>35630</v>
      </c>
      <c r="B35631" t="inlineStr">
        <is>
          <t>x̄x̄x̄V̅DCXXX</t>
        </is>
      </c>
      <c r="C35631">
        <f>ROMAN(35630)</f>
        <v/>
      </c>
      <c r="D35631">
        <f>IF(B35631=C35631, "YES", "WRONG")</f>
        <v/>
      </c>
    </row>
    <row r="35632">
      <c r="A35632" t="n">
        <v>35631</v>
      </c>
      <c r="B35632" t="inlineStr">
        <is>
          <t>x̄x̄x̄V̅DCXXXI</t>
        </is>
      </c>
      <c r="C35632">
        <f>ROMAN(35631)</f>
        <v/>
      </c>
      <c r="D35632">
        <f>IF(B35632=C35632, "YES", "WRONG")</f>
        <v/>
      </c>
    </row>
    <row r="35633">
      <c r="A35633" t="n">
        <v>35632</v>
      </c>
      <c r="B35633" t="inlineStr">
        <is>
          <t>x̄x̄x̄V̅DCXXXII</t>
        </is>
      </c>
      <c r="C35633">
        <f>ROMAN(35632)</f>
        <v/>
      </c>
      <c r="D35633">
        <f>IF(B35633=C35633, "YES", "WRONG")</f>
        <v/>
      </c>
    </row>
    <row r="35634">
      <c r="A35634" t="n">
        <v>35633</v>
      </c>
      <c r="B35634" t="inlineStr">
        <is>
          <t>x̄x̄x̄V̅DCXXXIII</t>
        </is>
      </c>
      <c r="C35634">
        <f>ROMAN(35633)</f>
        <v/>
      </c>
      <c r="D35634">
        <f>IF(B35634=C35634, "YES", "WRONG")</f>
        <v/>
      </c>
    </row>
    <row r="35635">
      <c r="A35635" t="n">
        <v>35634</v>
      </c>
      <c r="B35635" t="inlineStr">
        <is>
          <t>x̄x̄x̄V̅DCXXXIV</t>
        </is>
      </c>
      <c r="C35635">
        <f>ROMAN(35634)</f>
        <v/>
      </c>
      <c r="D35635">
        <f>IF(B35635=C35635, "YES", "WRONG")</f>
        <v/>
      </c>
    </row>
    <row r="35636">
      <c r="A35636" t="n">
        <v>35635</v>
      </c>
      <c r="B35636" t="inlineStr">
        <is>
          <t>x̄x̄x̄V̅DCXXXV</t>
        </is>
      </c>
      <c r="C35636">
        <f>ROMAN(35635)</f>
        <v/>
      </c>
      <c r="D35636">
        <f>IF(B35636=C35636, "YES", "WRONG")</f>
        <v/>
      </c>
    </row>
    <row r="35637">
      <c r="A35637" t="n">
        <v>35636</v>
      </c>
      <c r="B35637" t="inlineStr">
        <is>
          <t>x̄x̄x̄V̅DCXXXVI</t>
        </is>
      </c>
      <c r="C35637">
        <f>ROMAN(35636)</f>
        <v/>
      </c>
      <c r="D35637">
        <f>IF(B35637=C35637, "YES", "WRONG")</f>
        <v/>
      </c>
    </row>
    <row r="35638">
      <c r="A35638" t="n">
        <v>35637</v>
      </c>
      <c r="B35638" t="inlineStr">
        <is>
          <t>x̄x̄x̄V̅DCXXXVII</t>
        </is>
      </c>
      <c r="C35638">
        <f>ROMAN(35637)</f>
        <v/>
      </c>
      <c r="D35638">
        <f>IF(B35638=C35638, "YES", "WRONG")</f>
        <v/>
      </c>
    </row>
    <row r="35639">
      <c r="A35639" t="n">
        <v>35638</v>
      </c>
      <c r="B35639" t="inlineStr">
        <is>
          <t>x̄x̄x̄V̅DCXXXVIII</t>
        </is>
      </c>
      <c r="C35639">
        <f>ROMAN(35638)</f>
        <v/>
      </c>
      <c r="D35639">
        <f>IF(B35639=C35639, "YES", "WRONG")</f>
        <v/>
      </c>
    </row>
    <row r="35640">
      <c r="A35640" t="n">
        <v>35639</v>
      </c>
      <c r="B35640" t="inlineStr">
        <is>
          <t>x̄x̄x̄V̅DCXXXIX</t>
        </is>
      </c>
      <c r="C35640">
        <f>ROMAN(35639)</f>
        <v/>
      </c>
      <c r="D35640">
        <f>IF(B35640=C35640, "YES", "WRONG")</f>
        <v/>
      </c>
    </row>
    <row r="35641">
      <c r="A35641" t="n">
        <v>35640</v>
      </c>
      <c r="B35641" t="inlineStr">
        <is>
          <t>x̄x̄x̄V̅DCXL</t>
        </is>
      </c>
      <c r="C35641">
        <f>ROMAN(35640)</f>
        <v/>
      </c>
      <c r="D35641">
        <f>IF(B35641=C35641, "YES", "WRONG")</f>
        <v/>
      </c>
    </row>
    <row r="35642">
      <c r="A35642" t="n">
        <v>35641</v>
      </c>
      <c r="B35642" t="inlineStr">
        <is>
          <t>x̄x̄x̄V̅DCXLI</t>
        </is>
      </c>
      <c r="C35642">
        <f>ROMAN(35641)</f>
        <v/>
      </c>
      <c r="D35642">
        <f>IF(B35642=C35642, "YES", "WRONG")</f>
        <v/>
      </c>
    </row>
    <row r="35643">
      <c r="A35643" t="n">
        <v>35642</v>
      </c>
      <c r="B35643" t="inlineStr">
        <is>
          <t>x̄x̄x̄V̅DCXLII</t>
        </is>
      </c>
      <c r="C35643">
        <f>ROMAN(35642)</f>
        <v/>
      </c>
      <c r="D35643">
        <f>IF(B35643=C35643, "YES", "WRONG")</f>
        <v/>
      </c>
    </row>
    <row r="35644">
      <c r="A35644" t="n">
        <v>35643</v>
      </c>
      <c r="B35644" t="inlineStr">
        <is>
          <t>x̄x̄x̄V̅DCXLIII</t>
        </is>
      </c>
      <c r="C35644">
        <f>ROMAN(35643)</f>
        <v/>
      </c>
      <c r="D35644">
        <f>IF(B35644=C35644, "YES", "WRONG")</f>
        <v/>
      </c>
    </row>
    <row r="35645">
      <c r="A35645" t="n">
        <v>35644</v>
      </c>
      <c r="B35645" t="inlineStr">
        <is>
          <t>x̄x̄x̄V̅DCXLIV</t>
        </is>
      </c>
      <c r="C35645">
        <f>ROMAN(35644)</f>
        <v/>
      </c>
      <c r="D35645">
        <f>IF(B35645=C35645, "YES", "WRONG")</f>
        <v/>
      </c>
    </row>
    <row r="35646">
      <c r="A35646" t="n">
        <v>35645</v>
      </c>
      <c r="B35646" t="inlineStr">
        <is>
          <t>x̄x̄x̄V̅DCXLV</t>
        </is>
      </c>
      <c r="C35646">
        <f>ROMAN(35645)</f>
        <v/>
      </c>
      <c r="D35646">
        <f>IF(B35646=C35646, "YES", "WRONG")</f>
        <v/>
      </c>
    </row>
    <row r="35647">
      <c r="A35647" t="n">
        <v>35646</v>
      </c>
      <c r="B35647" t="inlineStr">
        <is>
          <t>x̄x̄x̄V̅DCXLVI</t>
        </is>
      </c>
      <c r="C35647">
        <f>ROMAN(35646)</f>
        <v/>
      </c>
      <c r="D35647">
        <f>IF(B35647=C35647, "YES", "WRONG")</f>
        <v/>
      </c>
    </row>
    <row r="35648">
      <c r="A35648" t="n">
        <v>35647</v>
      </c>
      <c r="B35648" t="inlineStr">
        <is>
          <t>x̄x̄x̄V̅DCXLVII</t>
        </is>
      </c>
      <c r="C35648">
        <f>ROMAN(35647)</f>
        <v/>
      </c>
      <c r="D35648">
        <f>IF(B35648=C35648, "YES", "WRONG")</f>
        <v/>
      </c>
    </row>
    <row r="35649">
      <c r="A35649" t="n">
        <v>35648</v>
      </c>
      <c r="B35649" t="inlineStr">
        <is>
          <t>x̄x̄x̄V̅DCXLVIII</t>
        </is>
      </c>
      <c r="C35649">
        <f>ROMAN(35648)</f>
        <v/>
      </c>
      <c r="D35649">
        <f>IF(B35649=C35649, "YES", "WRONG")</f>
        <v/>
      </c>
    </row>
    <row r="35650">
      <c r="A35650" t="n">
        <v>35649</v>
      </c>
      <c r="B35650" t="inlineStr">
        <is>
          <t>x̄x̄x̄V̅DCXLIX</t>
        </is>
      </c>
      <c r="C35650">
        <f>ROMAN(35649)</f>
        <v/>
      </c>
      <c r="D35650">
        <f>IF(B35650=C35650, "YES", "WRONG")</f>
        <v/>
      </c>
    </row>
    <row r="35651">
      <c r="A35651" t="n">
        <v>35650</v>
      </c>
      <c r="B35651" t="inlineStr">
        <is>
          <t>x̄x̄x̄V̅DCL</t>
        </is>
      </c>
      <c r="C35651">
        <f>ROMAN(35650)</f>
        <v/>
      </c>
      <c r="D35651">
        <f>IF(B35651=C35651, "YES", "WRONG")</f>
        <v/>
      </c>
    </row>
    <row r="35652">
      <c r="A35652" t="n">
        <v>35651</v>
      </c>
      <c r="B35652" t="inlineStr">
        <is>
          <t>x̄x̄x̄V̅DCLI</t>
        </is>
      </c>
      <c r="C35652">
        <f>ROMAN(35651)</f>
        <v/>
      </c>
      <c r="D35652">
        <f>IF(B35652=C35652, "YES", "WRONG")</f>
        <v/>
      </c>
    </row>
    <row r="35653">
      <c r="A35653" t="n">
        <v>35652</v>
      </c>
      <c r="B35653" t="inlineStr">
        <is>
          <t>x̄x̄x̄V̅DCLII</t>
        </is>
      </c>
      <c r="C35653">
        <f>ROMAN(35652)</f>
        <v/>
      </c>
      <c r="D35653">
        <f>IF(B35653=C35653, "YES", "WRONG")</f>
        <v/>
      </c>
    </row>
    <row r="35654">
      <c r="A35654" t="n">
        <v>35653</v>
      </c>
      <c r="B35654" t="inlineStr">
        <is>
          <t>x̄x̄x̄V̅DCLIII</t>
        </is>
      </c>
      <c r="C35654">
        <f>ROMAN(35653)</f>
        <v/>
      </c>
      <c r="D35654">
        <f>IF(B35654=C35654, "YES", "WRONG")</f>
        <v/>
      </c>
    </row>
    <row r="35655">
      <c r="A35655" t="n">
        <v>35654</v>
      </c>
      <c r="B35655" t="inlineStr">
        <is>
          <t>x̄x̄x̄V̅DCLIV</t>
        </is>
      </c>
      <c r="C35655">
        <f>ROMAN(35654)</f>
        <v/>
      </c>
      <c r="D35655">
        <f>IF(B35655=C35655, "YES", "WRONG")</f>
        <v/>
      </c>
    </row>
    <row r="35656">
      <c r="A35656" t="n">
        <v>35655</v>
      </c>
      <c r="B35656" t="inlineStr">
        <is>
          <t>x̄x̄x̄V̅DCLV</t>
        </is>
      </c>
      <c r="C35656">
        <f>ROMAN(35655)</f>
        <v/>
      </c>
      <c r="D35656">
        <f>IF(B35656=C35656, "YES", "WRONG")</f>
        <v/>
      </c>
    </row>
    <row r="35657">
      <c r="A35657" t="n">
        <v>35656</v>
      </c>
      <c r="B35657" t="inlineStr">
        <is>
          <t>x̄x̄x̄V̅DCLVI</t>
        </is>
      </c>
      <c r="C35657">
        <f>ROMAN(35656)</f>
        <v/>
      </c>
      <c r="D35657">
        <f>IF(B35657=C35657, "YES", "WRONG")</f>
        <v/>
      </c>
    </row>
    <row r="35658">
      <c r="A35658" t="n">
        <v>35657</v>
      </c>
      <c r="B35658" t="inlineStr">
        <is>
          <t>x̄x̄x̄V̅DCLVII</t>
        </is>
      </c>
      <c r="C35658">
        <f>ROMAN(35657)</f>
        <v/>
      </c>
      <c r="D35658">
        <f>IF(B35658=C35658, "YES", "WRONG")</f>
        <v/>
      </c>
    </row>
    <row r="35659">
      <c r="A35659" t="n">
        <v>35658</v>
      </c>
      <c r="B35659" t="inlineStr">
        <is>
          <t>x̄x̄x̄V̅DCLVIII</t>
        </is>
      </c>
      <c r="C35659">
        <f>ROMAN(35658)</f>
        <v/>
      </c>
      <c r="D35659">
        <f>IF(B35659=C35659, "YES", "WRONG")</f>
        <v/>
      </c>
    </row>
    <row r="35660">
      <c r="A35660" t="n">
        <v>35659</v>
      </c>
      <c r="B35660" t="inlineStr">
        <is>
          <t>x̄x̄x̄V̅DCLIX</t>
        </is>
      </c>
      <c r="C35660">
        <f>ROMAN(35659)</f>
        <v/>
      </c>
      <c r="D35660">
        <f>IF(B35660=C35660, "YES", "WRONG")</f>
        <v/>
      </c>
    </row>
    <row r="35661">
      <c r="A35661" t="n">
        <v>35660</v>
      </c>
      <c r="B35661" t="inlineStr">
        <is>
          <t>x̄x̄x̄V̅DCLX</t>
        </is>
      </c>
      <c r="C35661">
        <f>ROMAN(35660)</f>
        <v/>
      </c>
      <c r="D35661">
        <f>IF(B35661=C35661, "YES", "WRONG")</f>
        <v/>
      </c>
    </row>
    <row r="35662">
      <c r="A35662" t="n">
        <v>35661</v>
      </c>
      <c r="B35662" t="inlineStr">
        <is>
          <t>x̄x̄x̄V̅DCLXI</t>
        </is>
      </c>
      <c r="C35662">
        <f>ROMAN(35661)</f>
        <v/>
      </c>
      <c r="D35662">
        <f>IF(B35662=C35662, "YES", "WRONG")</f>
        <v/>
      </c>
    </row>
    <row r="35663">
      <c r="A35663" t="n">
        <v>35662</v>
      </c>
      <c r="B35663" t="inlineStr">
        <is>
          <t>x̄x̄x̄V̅DCLXII</t>
        </is>
      </c>
      <c r="C35663">
        <f>ROMAN(35662)</f>
        <v/>
      </c>
      <c r="D35663">
        <f>IF(B35663=C35663, "YES", "WRONG")</f>
        <v/>
      </c>
    </row>
    <row r="35664">
      <c r="A35664" t="n">
        <v>35663</v>
      </c>
      <c r="B35664" t="inlineStr">
        <is>
          <t>x̄x̄x̄V̅DCLXIII</t>
        </is>
      </c>
      <c r="C35664">
        <f>ROMAN(35663)</f>
        <v/>
      </c>
      <c r="D35664">
        <f>IF(B35664=C35664, "YES", "WRONG")</f>
        <v/>
      </c>
    </row>
    <row r="35665">
      <c r="A35665" t="n">
        <v>35664</v>
      </c>
      <c r="B35665" t="inlineStr">
        <is>
          <t>x̄x̄x̄V̅DCLXIV</t>
        </is>
      </c>
      <c r="C35665">
        <f>ROMAN(35664)</f>
        <v/>
      </c>
      <c r="D35665">
        <f>IF(B35665=C35665, "YES", "WRONG")</f>
        <v/>
      </c>
    </row>
    <row r="35666">
      <c r="A35666" t="n">
        <v>35665</v>
      </c>
      <c r="B35666" t="inlineStr">
        <is>
          <t>x̄x̄x̄V̅DCLXV</t>
        </is>
      </c>
      <c r="C35666">
        <f>ROMAN(35665)</f>
        <v/>
      </c>
      <c r="D35666">
        <f>IF(B35666=C35666, "YES", "WRONG")</f>
        <v/>
      </c>
    </row>
    <row r="35667">
      <c r="A35667" t="n">
        <v>35666</v>
      </c>
      <c r="B35667" t="inlineStr">
        <is>
          <t>x̄x̄x̄V̅DCLXVI</t>
        </is>
      </c>
      <c r="C35667">
        <f>ROMAN(35666)</f>
        <v/>
      </c>
      <c r="D35667">
        <f>IF(B35667=C35667, "YES", "WRONG")</f>
        <v/>
      </c>
    </row>
    <row r="35668">
      <c r="A35668" t="n">
        <v>35667</v>
      </c>
      <c r="B35668" t="inlineStr">
        <is>
          <t>x̄x̄x̄V̅DCLXVII</t>
        </is>
      </c>
      <c r="C35668">
        <f>ROMAN(35667)</f>
        <v/>
      </c>
      <c r="D35668">
        <f>IF(B35668=C35668, "YES", "WRONG")</f>
        <v/>
      </c>
    </row>
    <row r="35669">
      <c r="A35669" t="n">
        <v>35668</v>
      </c>
      <c r="B35669" t="inlineStr">
        <is>
          <t>x̄x̄x̄V̅DCLXVIII</t>
        </is>
      </c>
      <c r="C35669">
        <f>ROMAN(35668)</f>
        <v/>
      </c>
      <c r="D35669">
        <f>IF(B35669=C35669, "YES", "WRONG")</f>
        <v/>
      </c>
    </row>
    <row r="35670">
      <c r="A35670" t="n">
        <v>35669</v>
      </c>
      <c r="B35670" t="inlineStr">
        <is>
          <t>x̄x̄x̄V̅DCLXIX</t>
        </is>
      </c>
      <c r="C35670">
        <f>ROMAN(35669)</f>
        <v/>
      </c>
      <c r="D35670">
        <f>IF(B35670=C35670, "YES", "WRONG")</f>
        <v/>
      </c>
    </row>
    <row r="35671">
      <c r="A35671" t="n">
        <v>35670</v>
      </c>
      <c r="B35671" t="inlineStr">
        <is>
          <t>x̄x̄x̄V̅DCLXX</t>
        </is>
      </c>
      <c r="C35671">
        <f>ROMAN(35670)</f>
        <v/>
      </c>
      <c r="D35671">
        <f>IF(B35671=C35671, "YES", "WRONG")</f>
        <v/>
      </c>
    </row>
    <row r="35672">
      <c r="A35672" t="n">
        <v>35671</v>
      </c>
      <c r="B35672" t="inlineStr">
        <is>
          <t>x̄x̄x̄V̅DCLXXI</t>
        </is>
      </c>
      <c r="C35672">
        <f>ROMAN(35671)</f>
        <v/>
      </c>
      <c r="D35672">
        <f>IF(B35672=C35672, "YES", "WRONG")</f>
        <v/>
      </c>
    </row>
    <row r="35673">
      <c r="A35673" t="n">
        <v>35672</v>
      </c>
      <c r="B35673" t="inlineStr">
        <is>
          <t>x̄x̄x̄V̅DCLXXII</t>
        </is>
      </c>
      <c r="C35673">
        <f>ROMAN(35672)</f>
        <v/>
      </c>
      <c r="D35673">
        <f>IF(B35673=C35673, "YES", "WRONG")</f>
        <v/>
      </c>
    </row>
    <row r="35674">
      <c r="A35674" t="n">
        <v>35673</v>
      </c>
      <c r="B35674" t="inlineStr">
        <is>
          <t>x̄x̄x̄V̅DCLXXIII</t>
        </is>
      </c>
      <c r="C35674">
        <f>ROMAN(35673)</f>
        <v/>
      </c>
      <c r="D35674">
        <f>IF(B35674=C35674, "YES", "WRONG")</f>
        <v/>
      </c>
    </row>
    <row r="35675">
      <c r="A35675" t="n">
        <v>35674</v>
      </c>
      <c r="B35675" t="inlineStr">
        <is>
          <t>x̄x̄x̄V̅DCLXXIV</t>
        </is>
      </c>
      <c r="C35675">
        <f>ROMAN(35674)</f>
        <v/>
      </c>
      <c r="D35675">
        <f>IF(B35675=C35675, "YES", "WRONG")</f>
        <v/>
      </c>
    </row>
    <row r="35676">
      <c r="A35676" t="n">
        <v>35675</v>
      </c>
      <c r="B35676" t="inlineStr">
        <is>
          <t>x̄x̄x̄V̅DCLXXV</t>
        </is>
      </c>
      <c r="C35676">
        <f>ROMAN(35675)</f>
        <v/>
      </c>
      <c r="D35676">
        <f>IF(B35676=C35676, "YES", "WRONG")</f>
        <v/>
      </c>
    </row>
    <row r="35677">
      <c r="A35677" t="n">
        <v>35676</v>
      </c>
      <c r="B35677" t="inlineStr">
        <is>
          <t>x̄x̄x̄V̅DCLXXVI</t>
        </is>
      </c>
      <c r="C35677">
        <f>ROMAN(35676)</f>
        <v/>
      </c>
      <c r="D35677">
        <f>IF(B35677=C35677, "YES", "WRONG")</f>
        <v/>
      </c>
    </row>
    <row r="35678">
      <c r="A35678" t="n">
        <v>35677</v>
      </c>
      <c r="B35678" t="inlineStr">
        <is>
          <t>x̄x̄x̄V̅DCLXXVII</t>
        </is>
      </c>
      <c r="C35678">
        <f>ROMAN(35677)</f>
        <v/>
      </c>
      <c r="D35678">
        <f>IF(B35678=C35678, "YES", "WRONG")</f>
        <v/>
      </c>
    </row>
    <row r="35679">
      <c r="A35679" t="n">
        <v>35678</v>
      </c>
      <c r="B35679" t="inlineStr">
        <is>
          <t>x̄x̄x̄V̅DCLXXVIII</t>
        </is>
      </c>
      <c r="C35679">
        <f>ROMAN(35678)</f>
        <v/>
      </c>
      <c r="D35679">
        <f>IF(B35679=C35679, "YES", "WRONG")</f>
        <v/>
      </c>
    </row>
    <row r="35680">
      <c r="A35680" t="n">
        <v>35679</v>
      </c>
      <c r="B35680" t="inlineStr">
        <is>
          <t>x̄x̄x̄V̅DCLXXIX</t>
        </is>
      </c>
      <c r="C35680">
        <f>ROMAN(35679)</f>
        <v/>
      </c>
      <c r="D35680">
        <f>IF(B35680=C35680, "YES", "WRONG")</f>
        <v/>
      </c>
    </row>
    <row r="35681">
      <c r="A35681" t="n">
        <v>35680</v>
      </c>
      <c r="B35681" t="inlineStr">
        <is>
          <t>x̄x̄x̄V̅DCLXXX</t>
        </is>
      </c>
      <c r="C35681">
        <f>ROMAN(35680)</f>
        <v/>
      </c>
      <c r="D35681">
        <f>IF(B35681=C35681, "YES", "WRONG")</f>
        <v/>
      </c>
    </row>
    <row r="35682">
      <c r="A35682" t="n">
        <v>35681</v>
      </c>
      <c r="B35682" t="inlineStr">
        <is>
          <t>x̄x̄x̄V̅DCLXXXI</t>
        </is>
      </c>
      <c r="C35682">
        <f>ROMAN(35681)</f>
        <v/>
      </c>
      <c r="D35682">
        <f>IF(B35682=C35682, "YES", "WRONG")</f>
        <v/>
      </c>
    </row>
    <row r="35683">
      <c r="A35683" t="n">
        <v>35682</v>
      </c>
      <c r="B35683" t="inlineStr">
        <is>
          <t>x̄x̄x̄V̅DCLXXXII</t>
        </is>
      </c>
      <c r="C35683">
        <f>ROMAN(35682)</f>
        <v/>
      </c>
      <c r="D35683">
        <f>IF(B35683=C35683, "YES", "WRONG")</f>
        <v/>
      </c>
    </row>
    <row r="35684">
      <c r="A35684" t="n">
        <v>35683</v>
      </c>
      <c r="B35684" t="inlineStr">
        <is>
          <t>x̄x̄x̄V̅DCLXXXIII</t>
        </is>
      </c>
      <c r="C35684">
        <f>ROMAN(35683)</f>
        <v/>
      </c>
      <c r="D35684">
        <f>IF(B35684=C35684, "YES", "WRONG")</f>
        <v/>
      </c>
    </row>
    <row r="35685">
      <c r="A35685" t="n">
        <v>35684</v>
      </c>
      <c r="B35685" t="inlineStr">
        <is>
          <t>x̄x̄x̄V̅DCLXXXIV</t>
        </is>
      </c>
      <c r="C35685">
        <f>ROMAN(35684)</f>
        <v/>
      </c>
      <c r="D35685">
        <f>IF(B35685=C35685, "YES", "WRONG")</f>
        <v/>
      </c>
    </row>
    <row r="35686">
      <c r="A35686" t="n">
        <v>35685</v>
      </c>
      <c r="B35686" t="inlineStr">
        <is>
          <t>x̄x̄x̄V̅DCLXXXV</t>
        </is>
      </c>
      <c r="C35686">
        <f>ROMAN(35685)</f>
        <v/>
      </c>
      <c r="D35686">
        <f>IF(B35686=C35686, "YES", "WRONG")</f>
        <v/>
      </c>
    </row>
    <row r="35687">
      <c r="A35687" t="n">
        <v>35686</v>
      </c>
      <c r="B35687" t="inlineStr">
        <is>
          <t>x̄x̄x̄V̅DCLXXXVI</t>
        </is>
      </c>
      <c r="C35687">
        <f>ROMAN(35686)</f>
        <v/>
      </c>
      <c r="D35687">
        <f>IF(B35687=C35687, "YES", "WRONG")</f>
        <v/>
      </c>
    </row>
    <row r="35688">
      <c r="A35688" t="n">
        <v>35687</v>
      </c>
      <c r="B35688" t="inlineStr">
        <is>
          <t>x̄x̄x̄V̅DCLXXXVII</t>
        </is>
      </c>
      <c r="C35688">
        <f>ROMAN(35687)</f>
        <v/>
      </c>
      <c r="D35688">
        <f>IF(B35688=C35688, "YES", "WRONG")</f>
        <v/>
      </c>
    </row>
    <row r="35689">
      <c r="A35689" t="n">
        <v>35688</v>
      </c>
      <c r="B35689" t="inlineStr">
        <is>
          <t>x̄x̄x̄V̅DCLXXXVIII</t>
        </is>
      </c>
      <c r="C35689">
        <f>ROMAN(35688)</f>
        <v/>
      </c>
      <c r="D35689">
        <f>IF(B35689=C35689, "YES", "WRONG")</f>
        <v/>
      </c>
    </row>
    <row r="35690">
      <c r="A35690" t="n">
        <v>35689</v>
      </c>
      <c r="B35690" t="inlineStr">
        <is>
          <t>x̄x̄x̄V̅DCLXXXIX</t>
        </is>
      </c>
      <c r="C35690">
        <f>ROMAN(35689)</f>
        <v/>
      </c>
      <c r="D35690">
        <f>IF(B35690=C35690, "YES", "WRONG")</f>
        <v/>
      </c>
    </row>
    <row r="35691">
      <c r="A35691" t="n">
        <v>35690</v>
      </c>
      <c r="B35691" t="inlineStr">
        <is>
          <t>x̄x̄x̄V̅DCXC</t>
        </is>
      </c>
      <c r="C35691">
        <f>ROMAN(35690)</f>
        <v/>
      </c>
      <c r="D35691">
        <f>IF(B35691=C35691, "YES", "WRONG")</f>
        <v/>
      </c>
    </row>
    <row r="35692">
      <c r="A35692" t="n">
        <v>35691</v>
      </c>
      <c r="B35692" t="inlineStr">
        <is>
          <t>x̄x̄x̄V̅DCXCI</t>
        </is>
      </c>
      <c r="C35692">
        <f>ROMAN(35691)</f>
        <v/>
      </c>
      <c r="D35692">
        <f>IF(B35692=C35692, "YES", "WRONG")</f>
        <v/>
      </c>
    </row>
    <row r="35693">
      <c r="A35693" t="n">
        <v>35692</v>
      </c>
      <c r="B35693" t="inlineStr">
        <is>
          <t>x̄x̄x̄V̅DCXCII</t>
        </is>
      </c>
      <c r="C35693">
        <f>ROMAN(35692)</f>
        <v/>
      </c>
      <c r="D35693">
        <f>IF(B35693=C35693, "YES", "WRONG")</f>
        <v/>
      </c>
    </row>
    <row r="35694">
      <c r="A35694" t="n">
        <v>35693</v>
      </c>
      <c r="B35694" t="inlineStr">
        <is>
          <t>x̄x̄x̄V̅DCXCIII</t>
        </is>
      </c>
      <c r="C35694">
        <f>ROMAN(35693)</f>
        <v/>
      </c>
      <c r="D35694">
        <f>IF(B35694=C35694, "YES", "WRONG")</f>
        <v/>
      </c>
    </row>
    <row r="35695">
      <c r="A35695" t="n">
        <v>35694</v>
      </c>
      <c r="B35695" t="inlineStr">
        <is>
          <t>x̄x̄x̄V̅DCXCIV</t>
        </is>
      </c>
      <c r="C35695">
        <f>ROMAN(35694)</f>
        <v/>
      </c>
      <c r="D35695">
        <f>IF(B35695=C35695, "YES", "WRONG")</f>
        <v/>
      </c>
    </row>
    <row r="35696">
      <c r="A35696" t="n">
        <v>35695</v>
      </c>
      <c r="B35696" t="inlineStr">
        <is>
          <t>x̄x̄x̄V̅DCXCV</t>
        </is>
      </c>
      <c r="C35696">
        <f>ROMAN(35695)</f>
        <v/>
      </c>
      <c r="D35696">
        <f>IF(B35696=C35696, "YES", "WRONG")</f>
        <v/>
      </c>
    </row>
    <row r="35697">
      <c r="A35697" t="n">
        <v>35696</v>
      </c>
      <c r="B35697" t="inlineStr">
        <is>
          <t>x̄x̄x̄V̅DCXCVI</t>
        </is>
      </c>
      <c r="C35697">
        <f>ROMAN(35696)</f>
        <v/>
      </c>
      <c r="D35697">
        <f>IF(B35697=C35697, "YES", "WRONG")</f>
        <v/>
      </c>
    </row>
    <row r="35698">
      <c r="A35698" t="n">
        <v>35697</v>
      </c>
      <c r="B35698" t="inlineStr">
        <is>
          <t>x̄x̄x̄V̅DCXCVII</t>
        </is>
      </c>
      <c r="C35698">
        <f>ROMAN(35697)</f>
        <v/>
      </c>
      <c r="D35698">
        <f>IF(B35698=C35698, "YES", "WRONG")</f>
        <v/>
      </c>
    </row>
    <row r="35699">
      <c r="A35699" t="n">
        <v>35698</v>
      </c>
      <c r="B35699" t="inlineStr">
        <is>
          <t>x̄x̄x̄V̅DCXCVIII</t>
        </is>
      </c>
      <c r="C35699">
        <f>ROMAN(35698)</f>
        <v/>
      </c>
      <c r="D35699">
        <f>IF(B35699=C35699, "YES", "WRONG")</f>
        <v/>
      </c>
    </row>
    <row r="35700">
      <c r="A35700" t="n">
        <v>35699</v>
      </c>
      <c r="B35700" t="inlineStr">
        <is>
          <t>x̄x̄x̄V̅DCXCIX</t>
        </is>
      </c>
      <c r="C35700">
        <f>ROMAN(35699)</f>
        <v/>
      </c>
      <c r="D35700">
        <f>IF(B35700=C35700, "YES", "WRONG")</f>
        <v/>
      </c>
    </row>
    <row r="35701">
      <c r="A35701" t="n">
        <v>35700</v>
      </c>
      <c r="B35701" t="inlineStr">
        <is>
          <t>x̄x̄x̄V̅DCC</t>
        </is>
      </c>
      <c r="C35701">
        <f>ROMAN(35700)</f>
        <v/>
      </c>
      <c r="D35701">
        <f>IF(B35701=C35701, "YES", "WRONG")</f>
        <v/>
      </c>
    </row>
    <row r="35702">
      <c r="A35702" t="n">
        <v>35701</v>
      </c>
      <c r="B35702" t="inlineStr">
        <is>
          <t>x̄x̄x̄V̅DCCI</t>
        </is>
      </c>
      <c r="C35702">
        <f>ROMAN(35701)</f>
        <v/>
      </c>
      <c r="D35702">
        <f>IF(B35702=C35702, "YES", "WRONG")</f>
        <v/>
      </c>
    </row>
    <row r="35703">
      <c r="A35703" t="n">
        <v>35702</v>
      </c>
      <c r="B35703" t="inlineStr">
        <is>
          <t>x̄x̄x̄V̅DCCII</t>
        </is>
      </c>
      <c r="C35703">
        <f>ROMAN(35702)</f>
        <v/>
      </c>
      <c r="D35703">
        <f>IF(B35703=C35703, "YES", "WRONG")</f>
        <v/>
      </c>
    </row>
    <row r="35704">
      <c r="A35704" t="n">
        <v>35703</v>
      </c>
      <c r="B35704" t="inlineStr">
        <is>
          <t>x̄x̄x̄V̅DCCIII</t>
        </is>
      </c>
      <c r="C35704">
        <f>ROMAN(35703)</f>
        <v/>
      </c>
      <c r="D35704">
        <f>IF(B35704=C35704, "YES", "WRONG")</f>
        <v/>
      </c>
    </row>
    <row r="35705">
      <c r="A35705" t="n">
        <v>35704</v>
      </c>
      <c r="B35705" t="inlineStr">
        <is>
          <t>x̄x̄x̄V̅DCCIV</t>
        </is>
      </c>
      <c r="C35705">
        <f>ROMAN(35704)</f>
        <v/>
      </c>
      <c r="D35705">
        <f>IF(B35705=C35705, "YES", "WRONG")</f>
        <v/>
      </c>
    </row>
    <row r="35706">
      <c r="A35706" t="n">
        <v>35705</v>
      </c>
      <c r="B35706" t="inlineStr">
        <is>
          <t>x̄x̄x̄V̅DCCV</t>
        </is>
      </c>
      <c r="C35706">
        <f>ROMAN(35705)</f>
        <v/>
      </c>
      <c r="D35706">
        <f>IF(B35706=C35706, "YES", "WRONG")</f>
        <v/>
      </c>
    </row>
    <row r="35707">
      <c r="A35707" t="n">
        <v>35706</v>
      </c>
      <c r="B35707" t="inlineStr">
        <is>
          <t>x̄x̄x̄V̅DCCVI</t>
        </is>
      </c>
      <c r="C35707">
        <f>ROMAN(35706)</f>
        <v/>
      </c>
      <c r="D35707">
        <f>IF(B35707=C35707, "YES", "WRONG")</f>
        <v/>
      </c>
    </row>
    <row r="35708">
      <c r="A35708" t="n">
        <v>35707</v>
      </c>
      <c r="B35708" t="inlineStr">
        <is>
          <t>x̄x̄x̄V̅DCCVII</t>
        </is>
      </c>
      <c r="C35708">
        <f>ROMAN(35707)</f>
        <v/>
      </c>
      <c r="D35708">
        <f>IF(B35708=C35708, "YES", "WRONG")</f>
        <v/>
      </c>
    </row>
    <row r="35709">
      <c r="A35709" t="n">
        <v>35708</v>
      </c>
      <c r="B35709" t="inlineStr">
        <is>
          <t>x̄x̄x̄V̅DCCVIII</t>
        </is>
      </c>
      <c r="C35709">
        <f>ROMAN(35708)</f>
        <v/>
      </c>
      <c r="D35709">
        <f>IF(B35709=C35709, "YES", "WRONG")</f>
        <v/>
      </c>
    </row>
    <row r="35710">
      <c r="A35710" t="n">
        <v>35709</v>
      </c>
      <c r="B35710" t="inlineStr">
        <is>
          <t>x̄x̄x̄V̅DCCIX</t>
        </is>
      </c>
      <c r="C35710">
        <f>ROMAN(35709)</f>
        <v/>
      </c>
      <c r="D35710">
        <f>IF(B35710=C35710, "YES", "WRONG")</f>
        <v/>
      </c>
    </row>
    <row r="35711">
      <c r="A35711" t="n">
        <v>35710</v>
      </c>
      <c r="B35711" t="inlineStr">
        <is>
          <t>x̄x̄x̄V̅DCCX</t>
        </is>
      </c>
      <c r="C35711">
        <f>ROMAN(35710)</f>
        <v/>
      </c>
      <c r="D35711">
        <f>IF(B35711=C35711, "YES", "WRONG")</f>
        <v/>
      </c>
    </row>
    <row r="35712">
      <c r="A35712" t="n">
        <v>35711</v>
      </c>
      <c r="B35712" t="inlineStr">
        <is>
          <t>x̄x̄x̄V̅DCCXI</t>
        </is>
      </c>
      <c r="C35712">
        <f>ROMAN(35711)</f>
        <v/>
      </c>
      <c r="D35712">
        <f>IF(B35712=C35712, "YES", "WRONG")</f>
        <v/>
      </c>
    </row>
    <row r="35713">
      <c r="A35713" t="n">
        <v>35712</v>
      </c>
      <c r="B35713" t="inlineStr">
        <is>
          <t>x̄x̄x̄V̅DCCXII</t>
        </is>
      </c>
      <c r="C35713">
        <f>ROMAN(35712)</f>
        <v/>
      </c>
      <c r="D35713">
        <f>IF(B35713=C35713, "YES", "WRONG")</f>
        <v/>
      </c>
    </row>
    <row r="35714">
      <c r="A35714" t="n">
        <v>35713</v>
      </c>
      <c r="B35714" t="inlineStr">
        <is>
          <t>x̄x̄x̄V̅DCCXIII</t>
        </is>
      </c>
      <c r="C35714">
        <f>ROMAN(35713)</f>
        <v/>
      </c>
      <c r="D35714">
        <f>IF(B35714=C35714, "YES", "WRONG")</f>
        <v/>
      </c>
    </row>
    <row r="35715">
      <c r="A35715" t="n">
        <v>35714</v>
      </c>
      <c r="B35715" t="inlineStr">
        <is>
          <t>x̄x̄x̄V̅DCCXIV</t>
        </is>
      </c>
      <c r="C35715">
        <f>ROMAN(35714)</f>
        <v/>
      </c>
      <c r="D35715">
        <f>IF(B35715=C35715, "YES", "WRONG")</f>
        <v/>
      </c>
    </row>
    <row r="35716">
      <c r="A35716" t="n">
        <v>35715</v>
      </c>
      <c r="B35716" t="inlineStr">
        <is>
          <t>x̄x̄x̄V̅DCCXV</t>
        </is>
      </c>
      <c r="C35716">
        <f>ROMAN(35715)</f>
        <v/>
      </c>
      <c r="D35716">
        <f>IF(B35716=C35716, "YES", "WRONG")</f>
        <v/>
      </c>
    </row>
    <row r="35717">
      <c r="A35717" t="n">
        <v>35716</v>
      </c>
      <c r="B35717" t="inlineStr">
        <is>
          <t>x̄x̄x̄V̅DCCXVI</t>
        </is>
      </c>
      <c r="C35717">
        <f>ROMAN(35716)</f>
        <v/>
      </c>
      <c r="D35717">
        <f>IF(B35717=C35717, "YES", "WRONG")</f>
        <v/>
      </c>
    </row>
    <row r="35718">
      <c r="A35718" t="n">
        <v>35717</v>
      </c>
      <c r="B35718" t="inlineStr">
        <is>
          <t>x̄x̄x̄V̅DCCXVII</t>
        </is>
      </c>
      <c r="C35718">
        <f>ROMAN(35717)</f>
        <v/>
      </c>
      <c r="D35718">
        <f>IF(B35718=C35718, "YES", "WRONG")</f>
        <v/>
      </c>
    </row>
    <row r="35719">
      <c r="A35719" t="n">
        <v>35718</v>
      </c>
      <c r="B35719" t="inlineStr">
        <is>
          <t>x̄x̄x̄V̅DCCXVIII</t>
        </is>
      </c>
      <c r="C35719">
        <f>ROMAN(35718)</f>
        <v/>
      </c>
      <c r="D35719">
        <f>IF(B35719=C35719, "YES", "WRONG")</f>
        <v/>
      </c>
    </row>
    <row r="35720">
      <c r="A35720" t="n">
        <v>35719</v>
      </c>
      <c r="B35720" t="inlineStr">
        <is>
          <t>x̄x̄x̄V̅DCCXIX</t>
        </is>
      </c>
      <c r="C35720">
        <f>ROMAN(35719)</f>
        <v/>
      </c>
      <c r="D35720">
        <f>IF(B35720=C35720, "YES", "WRONG")</f>
        <v/>
      </c>
    </row>
    <row r="35721">
      <c r="A35721" t="n">
        <v>35720</v>
      </c>
      <c r="B35721" t="inlineStr">
        <is>
          <t>x̄x̄x̄V̅DCCXX</t>
        </is>
      </c>
      <c r="C35721">
        <f>ROMAN(35720)</f>
        <v/>
      </c>
      <c r="D35721">
        <f>IF(B35721=C35721, "YES", "WRONG")</f>
        <v/>
      </c>
    </row>
    <row r="35722">
      <c r="A35722" t="n">
        <v>35721</v>
      </c>
      <c r="B35722" t="inlineStr">
        <is>
          <t>x̄x̄x̄V̅DCCXXI</t>
        </is>
      </c>
      <c r="C35722">
        <f>ROMAN(35721)</f>
        <v/>
      </c>
      <c r="D35722">
        <f>IF(B35722=C35722, "YES", "WRONG")</f>
        <v/>
      </c>
    </row>
    <row r="35723">
      <c r="A35723" t="n">
        <v>35722</v>
      </c>
      <c r="B35723" t="inlineStr">
        <is>
          <t>x̄x̄x̄V̅DCCXXII</t>
        </is>
      </c>
      <c r="C35723">
        <f>ROMAN(35722)</f>
        <v/>
      </c>
      <c r="D35723">
        <f>IF(B35723=C35723, "YES", "WRONG")</f>
        <v/>
      </c>
    </row>
    <row r="35724">
      <c r="A35724" t="n">
        <v>35723</v>
      </c>
      <c r="B35724" t="inlineStr">
        <is>
          <t>x̄x̄x̄V̅DCCXXIII</t>
        </is>
      </c>
      <c r="C35724">
        <f>ROMAN(35723)</f>
        <v/>
      </c>
      <c r="D35724">
        <f>IF(B35724=C35724, "YES", "WRONG")</f>
        <v/>
      </c>
    </row>
    <row r="35725">
      <c r="A35725" t="n">
        <v>35724</v>
      </c>
      <c r="B35725" t="inlineStr">
        <is>
          <t>x̄x̄x̄V̅DCCXXIV</t>
        </is>
      </c>
      <c r="C35725">
        <f>ROMAN(35724)</f>
        <v/>
      </c>
      <c r="D35725">
        <f>IF(B35725=C35725, "YES", "WRONG")</f>
        <v/>
      </c>
    </row>
    <row r="35726">
      <c r="A35726" t="n">
        <v>35725</v>
      </c>
      <c r="B35726" t="inlineStr">
        <is>
          <t>x̄x̄x̄V̅DCCXXV</t>
        </is>
      </c>
      <c r="C35726">
        <f>ROMAN(35725)</f>
        <v/>
      </c>
      <c r="D35726">
        <f>IF(B35726=C35726, "YES", "WRONG")</f>
        <v/>
      </c>
    </row>
    <row r="35727">
      <c r="A35727" t="n">
        <v>35726</v>
      </c>
      <c r="B35727" t="inlineStr">
        <is>
          <t>x̄x̄x̄V̅DCCXXVI</t>
        </is>
      </c>
      <c r="C35727">
        <f>ROMAN(35726)</f>
        <v/>
      </c>
      <c r="D35727">
        <f>IF(B35727=C35727, "YES", "WRONG")</f>
        <v/>
      </c>
    </row>
    <row r="35728">
      <c r="A35728" t="n">
        <v>35727</v>
      </c>
      <c r="B35728" t="inlineStr">
        <is>
          <t>x̄x̄x̄V̅DCCXXVII</t>
        </is>
      </c>
      <c r="C35728">
        <f>ROMAN(35727)</f>
        <v/>
      </c>
      <c r="D35728">
        <f>IF(B35728=C35728, "YES", "WRONG")</f>
        <v/>
      </c>
    </row>
    <row r="35729">
      <c r="A35729" t="n">
        <v>35728</v>
      </c>
      <c r="B35729" t="inlineStr">
        <is>
          <t>x̄x̄x̄V̅DCCXXVIII</t>
        </is>
      </c>
      <c r="C35729">
        <f>ROMAN(35728)</f>
        <v/>
      </c>
      <c r="D35729">
        <f>IF(B35729=C35729, "YES", "WRONG")</f>
        <v/>
      </c>
    </row>
    <row r="35730">
      <c r="A35730" t="n">
        <v>35729</v>
      </c>
      <c r="B35730" t="inlineStr">
        <is>
          <t>x̄x̄x̄V̅DCCXXIX</t>
        </is>
      </c>
      <c r="C35730">
        <f>ROMAN(35729)</f>
        <v/>
      </c>
      <c r="D35730">
        <f>IF(B35730=C35730, "YES", "WRONG")</f>
        <v/>
      </c>
    </row>
    <row r="35731">
      <c r="A35731" t="n">
        <v>35730</v>
      </c>
      <c r="B35731" t="inlineStr">
        <is>
          <t>x̄x̄x̄V̅DCCXXX</t>
        </is>
      </c>
      <c r="C35731">
        <f>ROMAN(35730)</f>
        <v/>
      </c>
      <c r="D35731">
        <f>IF(B35731=C35731, "YES", "WRONG")</f>
        <v/>
      </c>
    </row>
    <row r="35732">
      <c r="A35732" t="n">
        <v>35731</v>
      </c>
      <c r="B35732" t="inlineStr">
        <is>
          <t>x̄x̄x̄V̅DCCXXXI</t>
        </is>
      </c>
      <c r="C35732">
        <f>ROMAN(35731)</f>
        <v/>
      </c>
      <c r="D35732">
        <f>IF(B35732=C35732, "YES", "WRONG")</f>
        <v/>
      </c>
    </row>
    <row r="35733">
      <c r="A35733" t="n">
        <v>35732</v>
      </c>
      <c r="B35733" t="inlineStr">
        <is>
          <t>x̄x̄x̄V̅DCCXXXII</t>
        </is>
      </c>
      <c r="C35733">
        <f>ROMAN(35732)</f>
        <v/>
      </c>
      <c r="D35733">
        <f>IF(B35733=C35733, "YES", "WRONG")</f>
        <v/>
      </c>
    </row>
    <row r="35734">
      <c r="A35734" t="n">
        <v>35733</v>
      </c>
      <c r="B35734" t="inlineStr">
        <is>
          <t>x̄x̄x̄V̅DCCXXXIII</t>
        </is>
      </c>
      <c r="C35734">
        <f>ROMAN(35733)</f>
        <v/>
      </c>
      <c r="D35734">
        <f>IF(B35734=C35734, "YES", "WRONG")</f>
        <v/>
      </c>
    </row>
    <row r="35735">
      <c r="A35735" t="n">
        <v>35734</v>
      </c>
      <c r="B35735" t="inlineStr">
        <is>
          <t>x̄x̄x̄V̅DCCXXXIV</t>
        </is>
      </c>
      <c r="C35735">
        <f>ROMAN(35734)</f>
        <v/>
      </c>
      <c r="D35735">
        <f>IF(B35735=C35735, "YES", "WRONG")</f>
        <v/>
      </c>
    </row>
    <row r="35736">
      <c r="A35736" t="n">
        <v>35735</v>
      </c>
      <c r="B35736" t="inlineStr">
        <is>
          <t>x̄x̄x̄V̅DCCXXXV</t>
        </is>
      </c>
      <c r="C35736">
        <f>ROMAN(35735)</f>
        <v/>
      </c>
      <c r="D35736">
        <f>IF(B35736=C35736, "YES", "WRONG")</f>
        <v/>
      </c>
    </row>
    <row r="35737">
      <c r="A35737" t="n">
        <v>35736</v>
      </c>
      <c r="B35737" t="inlineStr">
        <is>
          <t>x̄x̄x̄V̅DCCXXXVI</t>
        </is>
      </c>
      <c r="C35737">
        <f>ROMAN(35736)</f>
        <v/>
      </c>
      <c r="D35737">
        <f>IF(B35737=C35737, "YES", "WRONG")</f>
        <v/>
      </c>
    </row>
    <row r="35738">
      <c r="A35738" t="n">
        <v>35737</v>
      </c>
      <c r="B35738" t="inlineStr">
        <is>
          <t>x̄x̄x̄V̅DCCXXXVII</t>
        </is>
      </c>
      <c r="C35738">
        <f>ROMAN(35737)</f>
        <v/>
      </c>
      <c r="D35738">
        <f>IF(B35738=C35738, "YES", "WRONG")</f>
        <v/>
      </c>
    </row>
    <row r="35739">
      <c r="A35739" t="n">
        <v>35738</v>
      </c>
      <c r="B35739" t="inlineStr">
        <is>
          <t>x̄x̄x̄V̅DCCXXXVIII</t>
        </is>
      </c>
      <c r="C35739">
        <f>ROMAN(35738)</f>
        <v/>
      </c>
      <c r="D35739">
        <f>IF(B35739=C35739, "YES", "WRONG")</f>
        <v/>
      </c>
    </row>
    <row r="35740">
      <c r="A35740" t="n">
        <v>35739</v>
      </c>
      <c r="B35740" t="inlineStr">
        <is>
          <t>x̄x̄x̄V̅DCCXXXIX</t>
        </is>
      </c>
      <c r="C35740">
        <f>ROMAN(35739)</f>
        <v/>
      </c>
      <c r="D35740">
        <f>IF(B35740=C35740, "YES", "WRONG")</f>
        <v/>
      </c>
    </row>
    <row r="35741">
      <c r="A35741" t="n">
        <v>35740</v>
      </c>
      <c r="B35741" t="inlineStr">
        <is>
          <t>x̄x̄x̄V̅DCCXL</t>
        </is>
      </c>
      <c r="C35741">
        <f>ROMAN(35740)</f>
        <v/>
      </c>
      <c r="D35741">
        <f>IF(B35741=C35741, "YES", "WRONG")</f>
        <v/>
      </c>
    </row>
    <row r="35742">
      <c r="A35742" t="n">
        <v>35741</v>
      </c>
      <c r="B35742" t="inlineStr">
        <is>
          <t>x̄x̄x̄V̅DCCXLI</t>
        </is>
      </c>
      <c r="C35742">
        <f>ROMAN(35741)</f>
        <v/>
      </c>
      <c r="D35742">
        <f>IF(B35742=C35742, "YES", "WRONG")</f>
        <v/>
      </c>
    </row>
    <row r="35743">
      <c r="A35743" t="n">
        <v>35742</v>
      </c>
      <c r="B35743" t="inlineStr">
        <is>
          <t>x̄x̄x̄V̅DCCXLII</t>
        </is>
      </c>
      <c r="C35743">
        <f>ROMAN(35742)</f>
        <v/>
      </c>
      <c r="D35743">
        <f>IF(B35743=C35743, "YES", "WRONG")</f>
        <v/>
      </c>
    </row>
    <row r="35744">
      <c r="A35744" t="n">
        <v>35743</v>
      </c>
      <c r="B35744" t="inlineStr">
        <is>
          <t>x̄x̄x̄V̅DCCXLIII</t>
        </is>
      </c>
      <c r="C35744">
        <f>ROMAN(35743)</f>
        <v/>
      </c>
      <c r="D35744">
        <f>IF(B35744=C35744, "YES", "WRONG")</f>
        <v/>
      </c>
    </row>
    <row r="35745">
      <c r="A35745" t="n">
        <v>35744</v>
      </c>
      <c r="B35745" t="inlineStr">
        <is>
          <t>x̄x̄x̄V̅DCCXLIV</t>
        </is>
      </c>
      <c r="C35745">
        <f>ROMAN(35744)</f>
        <v/>
      </c>
      <c r="D35745">
        <f>IF(B35745=C35745, "YES", "WRONG")</f>
        <v/>
      </c>
    </row>
    <row r="35746">
      <c r="A35746" t="n">
        <v>35745</v>
      </c>
      <c r="B35746" t="inlineStr">
        <is>
          <t>x̄x̄x̄V̅DCCXLV</t>
        </is>
      </c>
      <c r="C35746">
        <f>ROMAN(35745)</f>
        <v/>
      </c>
      <c r="D35746">
        <f>IF(B35746=C35746, "YES", "WRONG")</f>
        <v/>
      </c>
    </row>
    <row r="35747">
      <c r="A35747" t="n">
        <v>35746</v>
      </c>
      <c r="B35747" t="inlineStr">
        <is>
          <t>x̄x̄x̄V̅DCCXLVI</t>
        </is>
      </c>
      <c r="C35747">
        <f>ROMAN(35746)</f>
        <v/>
      </c>
      <c r="D35747">
        <f>IF(B35747=C35747, "YES", "WRONG")</f>
        <v/>
      </c>
    </row>
    <row r="35748">
      <c r="A35748" t="n">
        <v>35747</v>
      </c>
      <c r="B35748" t="inlineStr">
        <is>
          <t>x̄x̄x̄V̅DCCXLVII</t>
        </is>
      </c>
      <c r="C35748">
        <f>ROMAN(35747)</f>
        <v/>
      </c>
      <c r="D35748">
        <f>IF(B35748=C35748, "YES", "WRONG")</f>
        <v/>
      </c>
    </row>
    <row r="35749">
      <c r="A35749" t="n">
        <v>35748</v>
      </c>
      <c r="B35749" t="inlineStr">
        <is>
          <t>x̄x̄x̄V̅DCCXLVIII</t>
        </is>
      </c>
      <c r="C35749">
        <f>ROMAN(35748)</f>
        <v/>
      </c>
      <c r="D35749">
        <f>IF(B35749=C35749, "YES", "WRONG")</f>
        <v/>
      </c>
    </row>
    <row r="35750">
      <c r="A35750" t="n">
        <v>35749</v>
      </c>
      <c r="B35750" t="inlineStr">
        <is>
          <t>x̄x̄x̄V̅DCCXLIX</t>
        </is>
      </c>
      <c r="C35750">
        <f>ROMAN(35749)</f>
        <v/>
      </c>
      <c r="D35750">
        <f>IF(B35750=C35750, "YES", "WRONG")</f>
        <v/>
      </c>
    </row>
    <row r="35751">
      <c r="A35751" t="n">
        <v>35750</v>
      </c>
      <c r="B35751" t="inlineStr">
        <is>
          <t>x̄x̄x̄V̅DCCL</t>
        </is>
      </c>
      <c r="C35751">
        <f>ROMAN(35750)</f>
        <v/>
      </c>
      <c r="D35751">
        <f>IF(B35751=C35751, "YES", "WRONG")</f>
        <v/>
      </c>
    </row>
    <row r="35752">
      <c r="A35752" t="n">
        <v>35751</v>
      </c>
      <c r="B35752" t="inlineStr">
        <is>
          <t>x̄x̄x̄V̅DCCLI</t>
        </is>
      </c>
      <c r="C35752">
        <f>ROMAN(35751)</f>
        <v/>
      </c>
      <c r="D35752">
        <f>IF(B35752=C35752, "YES", "WRONG")</f>
        <v/>
      </c>
    </row>
    <row r="35753">
      <c r="A35753" t="n">
        <v>35752</v>
      </c>
      <c r="B35753" t="inlineStr">
        <is>
          <t>x̄x̄x̄V̅DCCLII</t>
        </is>
      </c>
      <c r="C35753">
        <f>ROMAN(35752)</f>
        <v/>
      </c>
      <c r="D35753">
        <f>IF(B35753=C35753, "YES", "WRONG")</f>
        <v/>
      </c>
    </row>
    <row r="35754">
      <c r="A35754" t="n">
        <v>35753</v>
      </c>
      <c r="B35754" t="inlineStr">
        <is>
          <t>x̄x̄x̄V̅DCCLIII</t>
        </is>
      </c>
      <c r="C35754">
        <f>ROMAN(35753)</f>
        <v/>
      </c>
      <c r="D35754">
        <f>IF(B35754=C35754, "YES", "WRONG")</f>
        <v/>
      </c>
    </row>
    <row r="35755">
      <c r="A35755" t="n">
        <v>35754</v>
      </c>
      <c r="B35755" t="inlineStr">
        <is>
          <t>x̄x̄x̄V̅DCCLIV</t>
        </is>
      </c>
      <c r="C35755">
        <f>ROMAN(35754)</f>
        <v/>
      </c>
      <c r="D35755">
        <f>IF(B35755=C35755, "YES", "WRONG")</f>
        <v/>
      </c>
    </row>
    <row r="35756">
      <c r="A35756" t="n">
        <v>35755</v>
      </c>
      <c r="B35756" t="inlineStr">
        <is>
          <t>x̄x̄x̄V̅DCCLV</t>
        </is>
      </c>
      <c r="C35756">
        <f>ROMAN(35755)</f>
        <v/>
      </c>
      <c r="D35756">
        <f>IF(B35756=C35756, "YES", "WRONG")</f>
        <v/>
      </c>
    </row>
    <row r="35757">
      <c r="A35757" t="n">
        <v>35756</v>
      </c>
      <c r="B35757" t="inlineStr">
        <is>
          <t>x̄x̄x̄V̅DCCLVI</t>
        </is>
      </c>
      <c r="C35757">
        <f>ROMAN(35756)</f>
        <v/>
      </c>
      <c r="D35757">
        <f>IF(B35757=C35757, "YES", "WRONG")</f>
        <v/>
      </c>
    </row>
    <row r="35758">
      <c r="A35758" t="n">
        <v>35757</v>
      </c>
      <c r="B35758" t="inlineStr">
        <is>
          <t>x̄x̄x̄V̅DCCLVII</t>
        </is>
      </c>
      <c r="C35758">
        <f>ROMAN(35757)</f>
        <v/>
      </c>
      <c r="D35758">
        <f>IF(B35758=C35758, "YES", "WRONG")</f>
        <v/>
      </c>
    </row>
    <row r="35759">
      <c r="A35759" t="n">
        <v>35758</v>
      </c>
      <c r="B35759" t="inlineStr">
        <is>
          <t>x̄x̄x̄V̅DCCLVIII</t>
        </is>
      </c>
      <c r="C35759">
        <f>ROMAN(35758)</f>
        <v/>
      </c>
      <c r="D35759">
        <f>IF(B35759=C35759, "YES", "WRONG")</f>
        <v/>
      </c>
    </row>
    <row r="35760">
      <c r="A35760" t="n">
        <v>35759</v>
      </c>
      <c r="B35760" t="inlineStr">
        <is>
          <t>x̄x̄x̄V̅DCCLIX</t>
        </is>
      </c>
      <c r="C35760">
        <f>ROMAN(35759)</f>
        <v/>
      </c>
      <c r="D35760">
        <f>IF(B35760=C35760, "YES", "WRONG")</f>
        <v/>
      </c>
    </row>
    <row r="35761">
      <c r="A35761" t="n">
        <v>35760</v>
      </c>
      <c r="B35761" t="inlineStr">
        <is>
          <t>x̄x̄x̄V̅DCCLX</t>
        </is>
      </c>
      <c r="C35761">
        <f>ROMAN(35760)</f>
        <v/>
      </c>
      <c r="D35761">
        <f>IF(B35761=C35761, "YES", "WRONG")</f>
        <v/>
      </c>
    </row>
    <row r="35762">
      <c r="A35762" t="n">
        <v>35761</v>
      </c>
      <c r="B35762" t="inlineStr">
        <is>
          <t>x̄x̄x̄V̅DCCLXI</t>
        </is>
      </c>
      <c r="C35762">
        <f>ROMAN(35761)</f>
        <v/>
      </c>
      <c r="D35762">
        <f>IF(B35762=C35762, "YES", "WRONG")</f>
        <v/>
      </c>
    </row>
    <row r="35763">
      <c r="A35763" t="n">
        <v>35762</v>
      </c>
      <c r="B35763" t="inlineStr">
        <is>
          <t>x̄x̄x̄V̅DCCLXII</t>
        </is>
      </c>
      <c r="C35763">
        <f>ROMAN(35762)</f>
        <v/>
      </c>
      <c r="D35763">
        <f>IF(B35763=C35763, "YES", "WRONG")</f>
        <v/>
      </c>
    </row>
    <row r="35764">
      <c r="A35764" t="n">
        <v>35763</v>
      </c>
      <c r="B35764" t="inlineStr">
        <is>
          <t>x̄x̄x̄V̅DCCLXIII</t>
        </is>
      </c>
      <c r="C35764">
        <f>ROMAN(35763)</f>
        <v/>
      </c>
      <c r="D35764">
        <f>IF(B35764=C35764, "YES", "WRONG")</f>
        <v/>
      </c>
    </row>
    <row r="35765">
      <c r="A35765" t="n">
        <v>35764</v>
      </c>
      <c r="B35765" t="inlineStr">
        <is>
          <t>x̄x̄x̄V̅DCCLXIV</t>
        </is>
      </c>
      <c r="C35765">
        <f>ROMAN(35764)</f>
        <v/>
      </c>
      <c r="D35765">
        <f>IF(B35765=C35765, "YES", "WRONG")</f>
        <v/>
      </c>
    </row>
    <row r="35766">
      <c r="A35766" t="n">
        <v>35765</v>
      </c>
      <c r="B35766" t="inlineStr">
        <is>
          <t>x̄x̄x̄V̅DCCLXV</t>
        </is>
      </c>
      <c r="C35766">
        <f>ROMAN(35765)</f>
        <v/>
      </c>
      <c r="D35766">
        <f>IF(B35766=C35766, "YES", "WRONG")</f>
        <v/>
      </c>
    </row>
    <row r="35767">
      <c r="A35767" t="n">
        <v>35766</v>
      </c>
      <c r="B35767" t="inlineStr">
        <is>
          <t>x̄x̄x̄V̅DCCLXVI</t>
        </is>
      </c>
      <c r="C35767">
        <f>ROMAN(35766)</f>
        <v/>
      </c>
      <c r="D35767">
        <f>IF(B35767=C35767, "YES", "WRONG")</f>
        <v/>
      </c>
    </row>
    <row r="35768">
      <c r="A35768" t="n">
        <v>35767</v>
      </c>
      <c r="B35768" t="inlineStr">
        <is>
          <t>x̄x̄x̄V̅DCCLXVII</t>
        </is>
      </c>
      <c r="C35768">
        <f>ROMAN(35767)</f>
        <v/>
      </c>
      <c r="D35768">
        <f>IF(B35768=C35768, "YES", "WRONG")</f>
        <v/>
      </c>
    </row>
    <row r="35769">
      <c r="A35769" t="n">
        <v>35768</v>
      </c>
      <c r="B35769" t="inlineStr">
        <is>
          <t>x̄x̄x̄V̅DCCLXVIII</t>
        </is>
      </c>
      <c r="C35769">
        <f>ROMAN(35768)</f>
        <v/>
      </c>
      <c r="D35769">
        <f>IF(B35769=C35769, "YES", "WRONG")</f>
        <v/>
      </c>
    </row>
    <row r="35770">
      <c r="A35770" t="n">
        <v>35769</v>
      </c>
      <c r="B35770" t="inlineStr">
        <is>
          <t>x̄x̄x̄V̅DCCLXIX</t>
        </is>
      </c>
      <c r="C35770">
        <f>ROMAN(35769)</f>
        <v/>
      </c>
      <c r="D35770">
        <f>IF(B35770=C35770, "YES", "WRONG")</f>
        <v/>
      </c>
    </row>
    <row r="35771">
      <c r="A35771" t="n">
        <v>35770</v>
      </c>
      <c r="B35771" t="inlineStr">
        <is>
          <t>x̄x̄x̄V̅DCCLXX</t>
        </is>
      </c>
      <c r="C35771">
        <f>ROMAN(35770)</f>
        <v/>
      </c>
      <c r="D35771">
        <f>IF(B35771=C35771, "YES", "WRONG")</f>
        <v/>
      </c>
    </row>
    <row r="35772">
      <c r="A35772" t="n">
        <v>35771</v>
      </c>
      <c r="B35772" t="inlineStr">
        <is>
          <t>x̄x̄x̄V̅DCCLXXI</t>
        </is>
      </c>
      <c r="C35772">
        <f>ROMAN(35771)</f>
        <v/>
      </c>
      <c r="D35772">
        <f>IF(B35772=C35772, "YES", "WRONG")</f>
        <v/>
      </c>
    </row>
    <row r="35773">
      <c r="A35773" t="n">
        <v>35772</v>
      </c>
      <c r="B35773" t="inlineStr">
        <is>
          <t>x̄x̄x̄V̅DCCLXXII</t>
        </is>
      </c>
      <c r="C35773">
        <f>ROMAN(35772)</f>
        <v/>
      </c>
      <c r="D35773">
        <f>IF(B35773=C35773, "YES", "WRONG")</f>
        <v/>
      </c>
    </row>
    <row r="35774">
      <c r="A35774" t="n">
        <v>35773</v>
      </c>
      <c r="B35774" t="inlineStr">
        <is>
          <t>x̄x̄x̄V̅DCCLXXIII</t>
        </is>
      </c>
      <c r="C35774">
        <f>ROMAN(35773)</f>
        <v/>
      </c>
      <c r="D35774">
        <f>IF(B35774=C35774, "YES", "WRONG")</f>
        <v/>
      </c>
    </row>
    <row r="35775">
      <c r="A35775" t="n">
        <v>35774</v>
      </c>
      <c r="B35775" t="inlineStr">
        <is>
          <t>x̄x̄x̄V̅DCCLXXIV</t>
        </is>
      </c>
      <c r="C35775">
        <f>ROMAN(35774)</f>
        <v/>
      </c>
      <c r="D35775">
        <f>IF(B35775=C35775, "YES", "WRONG")</f>
        <v/>
      </c>
    </row>
    <row r="35776">
      <c r="A35776" t="n">
        <v>35775</v>
      </c>
      <c r="B35776" t="inlineStr">
        <is>
          <t>x̄x̄x̄V̅DCCLXXV</t>
        </is>
      </c>
      <c r="C35776">
        <f>ROMAN(35775)</f>
        <v/>
      </c>
      <c r="D35776">
        <f>IF(B35776=C35776, "YES", "WRONG")</f>
        <v/>
      </c>
    </row>
    <row r="35777">
      <c r="A35777" t="n">
        <v>35776</v>
      </c>
      <c r="B35777" t="inlineStr">
        <is>
          <t>x̄x̄x̄V̅DCCLXXVI</t>
        </is>
      </c>
      <c r="C35777">
        <f>ROMAN(35776)</f>
        <v/>
      </c>
      <c r="D35777">
        <f>IF(B35777=C35777, "YES", "WRONG")</f>
        <v/>
      </c>
    </row>
    <row r="35778">
      <c r="A35778" t="n">
        <v>35777</v>
      </c>
      <c r="B35778" t="inlineStr">
        <is>
          <t>x̄x̄x̄V̅DCCLXXVII</t>
        </is>
      </c>
      <c r="C35778">
        <f>ROMAN(35777)</f>
        <v/>
      </c>
      <c r="D35778">
        <f>IF(B35778=C35778, "YES", "WRONG")</f>
        <v/>
      </c>
    </row>
    <row r="35779">
      <c r="A35779" t="n">
        <v>35778</v>
      </c>
      <c r="B35779" t="inlineStr">
        <is>
          <t>x̄x̄x̄V̅DCCLXXVIII</t>
        </is>
      </c>
      <c r="C35779">
        <f>ROMAN(35778)</f>
        <v/>
      </c>
      <c r="D35779">
        <f>IF(B35779=C35779, "YES", "WRONG")</f>
        <v/>
      </c>
    </row>
    <row r="35780">
      <c r="A35780" t="n">
        <v>35779</v>
      </c>
      <c r="B35780" t="inlineStr">
        <is>
          <t>x̄x̄x̄V̅DCCLXXIX</t>
        </is>
      </c>
      <c r="C35780">
        <f>ROMAN(35779)</f>
        <v/>
      </c>
      <c r="D35780">
        <f>IF(B35780=C35780, "YES", "WRONG")</f>
        <v/>
      </c>
    </row>
    <row r="35781">
      <c r="A35781" t="n">
        <v>35780</v>
      </c>
      <c r="B35781" t="inlineStr">
        <is>
          <t>x̄x̄x̄V̅DCCLXXX</t>
        </is>
      </c>
      <c r="C35781">
        <f>ROMAN(35780)</f>
        <v/>
      </c>
      <c r="D35781">
        <f>IF(B35781=C35781, "YES", "WRONG")</f>
        <v/>
      </c>
    </row>
    <row r="35782">
      <c r="A35782" t="n">
        <v>35781</v>
      </c>
      <c r="B35782" t="inlineStr">
        <is>
          <t>x̄x̄x̄V̅DCCLXXXI</t>
        </is>
      </c>
      <c r="C35782">
        <f>ROMAN(35781)</f>
        <v/>
      </c>
      <c r="D35782">
        <f>IF(B35782=C35782, "YES", "WRONG")</f>
        <v/>
      </c>
    </row>
    <row r="35783">
      <c r="A35783" t="n">
        <v>35782</v>
      </c>
      <c r="B35783" t="inlineStr">
        <is>
          <t>x̄x̄x̄V̅DCCLXXXII</t>
        </is>
      </c>
      <c r="C35783">
        <f>ROMAN(35782)</f>
        <v/>
      </c>
      <c r="D35783">
        <f>IF(B35783=C35783, "YES", "WRONG")</f>
        <v/>
      </c>
    </row>
    <row r="35784">
      <c r="A35784" t="n">
        <v>35783</v>
      </c>
      <c r="B35784" t="inlineStr">
        <is>
          <t>x̄x̄x̄V̅DCCLXXXIII</t>
        </is>
      </c>
      <c r="C35784">
        <f>ROMAN(35783)</f>
        <v/>
      </c>
      <c r="D35784">
        <f>IF(B35784=C35784, "YES", "WRONG")</f>
        <v/>
      </c>
    </row>
    <row r="35785">
      <c r="A35785" t="n">
        <v>35784</v>
      </c>
      <c r="B35785" t="inlineStr">
        <is>
          <t>x̄x̄x̄V̅DCCLXXXIV</t>
        </is>
      </c>
      <c r="C35785">
        <f>ROMAN(35784)</f>
        <v/>
      </c>
      <c r="D35785">
        <f>IF(B35785=C35785, "YES", "WRONG")</f>
        <v/>
      </c>
    </row>
    <row r="35786">
      <c r="A35786" t="n">
        <v>35785</v>
      </c>
      <c r="B35786" t="inlineStr">
        <is>
          <t>x̄x̄x̄V̅DCCLXXXV</t>
        </is>
      </c>
      <c r="C35786">
        <f>ROMAN(35785)</f>
        <v/>
      </c>
      <c r="D35786">
        <f>IF(B35786=C35786, "YES", "WRONG")</f>
        <v/>
      </c>
    </row>
    <row r="35787">
      <c r="A35787" t="n">
        <v>35786</v>
      </c>
      <c r="B35787" t="inlineStr">
        <is>
          <t>x̄x̄x̄V̅DCCLXXXVI</t>
        </is>
      </c>
      <c r="C35787">
        <f>ROMAN(35786)</f>
        <v/>
      </c>
      <c r="D35787">
        <f>IF(B35787=C35787, "YES", "WRONG")</f>
        <v/>
      </c>
    </row>
    <row r="35788">
      <c r="A35788" t="n">
        <v>35787</v>
      </c>
      <c r="B35788" t="inlineStr">
        <is>
          <t>x̄x̄x̄V̅DCCLXXXVII</t>
        </is>
      </c>
      <c r="C35788">
        <f>ROMAN(35787)</f>
        <v/>
      </c>
      <c r="D35788">
        <f>IF(B35788=C35788, "YES", "WRONG")</f>
        <v/>
      </c>
    </row>
    <row r="35789">
      <c r="A35789" t="n">
        <v>35788</v>
      </c>
      <c r="B35789" t="inlineStr">
        <is>
          <t>x̄x̄x̄V̅DCCLXXXVIII</t>
        </is>
      </c>
      <c r="C35789">
        <f>ROMAN(35788)</f>
        <v/>
      </c>
      <c r="D35789">
        <f>IF(B35789=C35789, "YES", "WRONG")</f>
        <v/>
      </c>
    </row>
    <row r="35790">
      <c r="A35790" t="n">
        <v>35789</v>
      </c>
      <c r="B35790" t="inlineStr">
        <is>
          <t>x̄x̄x̄V̅DCCLXXXIX</t>
        </is>
      </c>
      <c r="C35790">
        <f>ROMAN(35789)</f>
        <v/>
      </c>
      <c r="D35790">
        <f>IF(B35790=C35790, "YES", "WRONG")</f>
        <v/>
      </c>
    </row>
    <row r="35791">
      <c r="A35791" t="n">
        <v>35790</v>
      </c>
      <c r="B35791" t="inlineStr">
        <is>
          <t>x̄x̄x̄V̅DCCXC</t>
        </is>
      </c>
      <c r="C35791">
        <f>ROMAN(35790)</f>
        <v/>
      </c>
      <c r="D35791">
        <f>IF(B35791=C35791, "YES", "WRONG")</f>
        <v/>
      </c>
    </row>
    <row r="35792">
      <c r="A35792" t="n">
        <v>35791</v>
      </c>
      <c r="B35792" t="inlineStr">
        <is>
          <t>x̄x̄x̄V̅DCCXCI</t>
        </is>
      </c>
      <c r="C35792">
        <f>ROMAN(35791)</f>
        <v/>
      </c>
      <c r="D35792">
        <f>IF(B35792=C35792, "YES", "WRONG")</f>
        <v/>
      </c>
    </row>
    <row r="35793">
      <c r="A35793" t="n">
        <v>35792</v>
      </c>
      <c r="B35793" t="inlineStr">
        <is>
          <t>x̄x̄x̄V̅DCCXCII</t>
        </is>
      </c>
      <c r="C35793">
        <f>ROMAN(35792)</f>
        <v/>
      </c>
      <c r="D35793">
        <f>IF(B35793=C35793, "YES", "WRONG")</f>
        <v/>
      </c>
    </row>
    <row r="35794">
      <c r="A35794" t="n">
        <v>35793</v>
      </c>
      <c r="B35794" t="inlineStr">
        <is>
          <t>x̄x̄x̄V̅DCCXCIII</t>
        </is>
      </c>
      <c r="C35794">
        <f>ROMAN(35793)</f>
        <v/>
      </c>
      <c r="D35794">
        <f>IF(B35794=C35794, "YES", "WRONG")</f>
        <v/>
      </c>
    </row>
    <row r="35795">
      <c r="A35795" t="n">
        <v>35794</v>
      </c>
      <c r="B35795" t="inlineStr">
        <is>
          <t>x̄x̄x̄V̅DCCXCIV</t>
        </is>
      </c>
      <c r="C35795">
        <f>ROMAN(35794)</f>
        <v/>
      </c>
      <c r="D35795">
        <f>IF(B35795=C35795, "YES", "WRONG")</f>
        <v/>
      </c>
    </row>
    <row r="35796">
      <c r="A35796" t="n">
        <v>35795</v>
      </c>
      <c r="B35796" t="inlineStr">
        <is>
          <t>x̄x̄x̄V̅DCCXCV</t>
        </is>
      </c>
      <c r="C35796">
        <f>ROMAN(35795)</f>
        <v/>
      </c>
      <c r="D35796">
        <f>IF(B35796=C35796, "YES", "WRONG")</f>
        <v/>
      </c>
    </row>
    <row r="35797">
      <c r="A35797" t="n">
        <v>35796</v>
      </c>
      <c r="B35797" t="inlineStr">
        <is>
          <t>x̄x̄x̄V̅DCCXCVI</t>
        </is>
      </c>
      <c r="C35797">
        <f>ROMAN(35796)</f>
        <v/>
      </c>
      <c r="D35797">
        <f>IF(B35797=C35797, "YES", "WRONG")</f>
        <v/>
      </c>
    </row>
    <row r="35798">
      <c r="A35798" t="n">
        <v>35797</v>
      </c>
      <c r="B35798" t="inlineStr">
        <is>
          <t>x̄x̄x̄V̅DCCXCVII</t>
        </is>
      </c>
      <c r="C35798">
        <f>ROMAN(35797)</f>
        <v/>
      </c>
      <c r="D35798">
        <f>IF(B35798=C35798, "YES", "WRONG")</f>
        <v/>
      </c>
    </row>
    <row r="35799">
      <c r="A35799" t="n">
        <v>35798</v>
      </c>
      <c r="B35799" t="inlineStr">
        <is>
          <t>x̄x̄x̄V̅DCCXCVIII</t>
        </is>
      </c>
      <c r="C35799">
        <f>ROMAN(35798)</f>
        <v/>
      </c>
      <c r="D35799">
        <f>IF(B35799=C35799, "YES", "WRONG")</f>
        <v/>
      </c>
    </row>
    <row r="35800">
      <c r="A35800" t="n">
        <v>35799</v>
      </c>
      <c r="B35800" t="inlineStr">
        <is>
          <t>x̄x̄x̄V̅DCCXCIX</t>
        </is>
      </c>
      <c r="C35800">
        <f>ROMAN(35799)</f>
        <v/>
      </c>
      <c r="D35800">
        <f>IF(B35800=C35800, "YES", "WRONG")</f>
        <v/>
      </c>
    </row>
    <row r="35801">
      <c r="A35801" t="n">
        <v>35800</v>
      </c>
      <c r="B35801" t="inlineStr">
        <is>
          <t>x̄x̄x̄V̅DCCC</t>
        </is>
      </c>
      <c r="C35801">
        <f>ROMAN(35800)</f>
        <v/>
      </c>
      <c r="D35801">
        <f>IF(B35801=C35801, "YES", "WRONG")</f>
        <v/>
      </c>
    </row>
    <row r="35802">
      <c r="A35802" t="n">
        <v>35801</v>
      </c>
      <c r="B35802" t="inlineStr">
        <is>
          <t>x̄x̄x̄V̅DCCCI</t>
        </is>
      </c>
      <c r="C35802">
        <f>ROMAN(35801)</f>
        <v/>
      </c>
      <c r="D35802">
        <f>IF(B35802=C35802, "YES", "WRONG")</f>
        <v/>
      </c>
    </row>
    <row r="35803">
      <c r="A35803" t="n">
        <v>35802</v>
      </c>
      <c r="B35803" t="inlineStr">
        <is>
          <t>x̄x̄x̄V̅DCCCII</t>
        </is>
      </c>
      <c r="C35803">
        <f>ROMAN(35802)</f>
        <v/>
      </c>
      <c r="D35803">
        <f>IF(B35803=C35803, "YES", "WRONG")</f>
        <v/>
      </c>
    </row>
    <row r="35804">
      <c r="A35804" t="n">
        <v>35803</v>
      </c>
      <c r="B35804" t="inlineStr">
        <is>
          <t>x̄x̄x̄V̅DCCCIII</t>
        </is>
      </c>
      <c r="C35804">
        <f>ROMAN(35803)</f>
        <v/>
      </c>
      <c r="D35804">
        <f>IF(B35804=C35804, "YES", "WRONG")</f>
        <v/>
      </c>
    </row>
    <row r="35805">
      <c r="A35805" t="n">
        <v>35804</v>
      </c>
      <c r="B35805" t="inlineStr">
        <is>
          <t>x̄x̄x̄V̅DCCCIV</t>
        </is>
      </c>
      <c r="C35805">
        <f>ROMAN(35804)</f>
        <v/>
      </c>
      <c r="D35805">
        <f>IF(B35805=C35805, "YES", "WRONG")</f>
        <v/>
      </c>
    </row>
    <row r="35806">
      <c r="A35806" t="n">
        <v>35805</v>
      </c>
      <c r="B35806" t="inlineStr">
        <is>
          <t>x̄x̄x̄V̅DCCCV</t>
        </is>
      </c>
      <c r="C35806">
        <f>ROMAN(35805)</f>
        <v/>
      </c>
      <c r="D35806">
        <f>IF(B35806=C35806, "YES", "WRONG")</f>
        <v/>
      </c>
    </row>
    <row r="35807">
      <c r="A35807" t="n">
        <v>35806</v>
      </c>
      <c r="B35807" t="inlineStr">
        <is>
          <t>x̄x̄x̄V̅DCCCVI</t>
        </is>
      </c>
      <c r="C35807">
        <f>ROMAN(35806)</f>
        <v/>
      </c>
      <c r="D35807">
        <f>IF(B35807=C35807, "YES", "WRONG")</f>
        <v/>
      </c>
    </row>
    <row r="35808">
      <c r="A35808" t="n">
        <v>35807</v>
      </c>
      <c r="B35808" t="inlineStr">
        <is>
          <t>x̄x̄x̄V̅DCCCVII</t>
        </is>
      </c>
      <c r="C35808">
        <f>ROMAN(35807)</f>
        <v/>
      </c>
      <c r="D35808">
        <f>IF(B35808=C35808, "YES", "WRONG")</f>
        <v/>
      </c>
    </row>
    <row r="35809">
      <c r="A35809" t="n">
        <v>35808</v>
      </c>
      <c r="B35809" t="inlineStr">
        <is>
          <t>x̄x̄x̄V̅DCCCVIII</t>
        </is>
      </c>
      <c r="C35809">
        <f>ROMAN(35808)</f>
        <v/>
      </c>
      <c r="D35809">
        <f>IF(B35809=C35809, "YES", "WRONG")</f>
        <v/>
      </c>
    </row>
    <row r="35810">
      <c r="A35810" t="n">
        <v>35809</v>
      </c>
      <c r="B35810" t="inlineStr">
        <is>
          <t>x̄x̄x̄V̅DCCCIX</t>
        </is>
      </c>
      <c r="C35810">
        <f>ROMAN(35809)</f>
        <v/>
      </c>
      <c r="D35810">
        <f>IF(B35810=C35810, "YES", "WRONG")</f>
        <v/>
      </c>
    </row>
    <row r="35811">
      <c r="A35811" t="n">
        <v>35810</v>
      </c>
      <c r="B35811" t="inlineStr">
        <is>
          <t>x̄x̄x̄V̅DCCCX</t>
        </is>
      </c>
      <c r="C35811">
        <f>ROMAN(35810)</f>
        <v/>
      </c>
      <c r="D35811">
        <f>IF(B35811=C35811, "YES", "WRONG")</f>
        <v/>
      </c>
    </row>
    <row r="35812">
      <c r="A35812" t="n">
        <v>35811</v>
      </c>
      <c r="B35812" t="inlineStr">
        <is>
          <t>x̄x̄x̄V̅DCCCXI</t>
        </is>
      </c>
      <c r="C35812">
        <f>ROMAN(35811)</f>
        <v/>
      </c>
      <c r="D35812">
        <f>IF(B35812=C35812, "YES", "WRONG")</f>
        <v/>
      </c>
    </row>
    <row r="35813">
      <c r="A35813" t="n">
        <v>35812</v>
      </c>
      <c r="B35813" t="inlineStr">
        <is>
          <t>x̄x̄x̄V̅DCCCXII</t>
        </is>
      </c>
      <c r="C35813">
        <f>ROMAN(35812)</f>
        <v/>
      </c>
      <c r="D35813">
        <f>IF(B35813=C35813, "YES", "WRONG")</f>
        <v/>
      </c>
    </row>
    <row r="35814">
      <c r="A35814" t="n">
        <v>35813</v>
      </c>
      <c r="B35814" t="inlineStr">
        <is>
          <t>x̄x̄x̄V̅DCCCXIII</t>
        </is>
      </c>
      <c r="C35814">
        <f>ROMAN(35813)</f>
        <v/>
      </c>
      <c r="D35814">
        <f>IF(B35814=C35814, "YES", "WRONG")</f>
        <v/>
      </c>
    </row>
    <row r="35815">
      <c r="A35815" t="n">
        <v>35814</v>
      </c>
      <c r="B35815" t="inlineStr">
        <is>
          <t>x̄x̄x̄V̅DCCCXIV</t>
        </is>
      </c>
      <c r="C35815">
        <f>ROMAN(35814)</f>
        <v/>
      </c>
      <c r="D35815">
        <f>IF(B35815=C35815, "YES", "WRONG")</f>
        <v/>
      </c>
    </row>
    <row r="35816">
      <c r="A35816" t="n">
        <v>35815</v>
      </c>
      <c r="B35816" t="inlineStr">
        <is>
          <t>x̄x̄x̄V̅DCCCXV</t>
        </is>
      </c>
      <c r="C35816">
        <f>ROMAN(35815)</f>
        <v/>
      </c>
      <c r="D35816">
        <f>IF(B35816=C35816, "YES", "WRONG")</f>
        <v/>
      </c>
    </row>
    <row r="35817">
      <c r="A35817" t="n">
        <v>35816</v>
      </c>
      <c r="B35817" t="inlineStr">
        <is>
          <t>x̄x̄x̄V̅DCCCXVI</t>
        </is>
      </c>
      <c r="C35817">
        <f>ROMAN(35816)</f>
        <v/>
      </c>
      <c r="D35817">
        <f>IF(B35817=C35817, "YES", "WRONG")</f>
        <v/>
      </c>
    </row>
    <row r="35818">
      <c r="A35818" t="n">
        <v>35817</v>
      </c>
      <c r="B35818" t="inlineStr">
        <is>
          <t>x̄x̄x̄V̅DCCCXVII</t>
        </is>
      </c>
      <c r="C35818">
        <f>ROMAN(35817)</f>
        <v/>
      </c>
      <c r="D35818">
        <f>IF(B35818=C35818, "YES", "WRONG")</f>
        <v/>
      </c>
    </row>
    <row r="35819">
      <c r="A35819" t="n">
        <v>35818</v>
      </c>
      <c r="B35819" t="inlineStr">
        <is>
          <t>x̄x̄x̄V̅DCCCXVIII</t>
        </is>
      </c>
      <c r="C35819">
        <f>ROMAN(35818)</f>
        <v/>
      </c>
      <c r="D35819">
        <f>IF(B35819=C35819, "YES", "WRONG")</f>
        <v/>
      </c>
    </row>
    <row r="35820">
      <c r="A35820" t="n">
        <v>35819</v>
      </c>
      <c r="B35820" t="inlineStr">
        <is>
          <t>x̄x̄x̄V̅DCCCXIX</t>
        </is>
      </c>
      <c r="C35820">
        <f>ROMAN(35819)</f>
        <v/>
      </c>
      <c r="D35820">
        <f>IF(B35820=C35820, "YES", "WRONG")</f>
        <v/>
      </c>
    </row>
    <row r="35821">
      <c r="A35821" t="n">
        <v>35820</v>
      </c>
      <c r="B35821" t="inlineStr">
        <is>
          <t>x̄x̄x̄V̅DCCCXX</t>
        </is>
      </c>
      <c r="C35821">
        <f>ROMAN(35820)</f>
        <v/>
      </c>
      <c r="D35821">
        <f>IF(B35821=C35821, "YES", "WRONG")</f>
        <v/>
      </c>
    </row>
    <row r="35822">
      <c r="A35822" t="n">
        <v>35821</v>
      </c>
      <c r="B35822" t="inlineStr">
        <is>
          <t>x̄x̄x̄V̅DCCCXXI</t>
        </is>
      </c>
      <c r="C35822">
        <f>ROMAN(35821)</f>
        <v/>
      </c>
      <c r="D35822">
        <f>IF(B35822=C35822, "YES", "WRONG")</f>
        <v/>
      </c>
    </row>
    <row r="35823">
      <c r="A35823" t="n">
        <v>35822</v>
      </c>
      <c r="B35823" t="inlineStr">
        <is>
          <t>x̄x̄x̄V̅DCCCXXII</t>
        </is>
      </c>
      <c r="C35823">
        <f>ROMAN(35822)</f>
        <v/>
      </c>
      <c r="D35823">
        <f>IF(B35823=C35823, "YES", "WRONG")</f>
        <v/>
      </c>
    </row>
    <row r="35824">
      <c r="A35824" t="n">
        <v>35823</v>
      </c>
      <c r="B35824" t="inlineStr">
        <is>
          <t>x̄x̄x̄V̅DCCCXXIII</t>
        </is>
      </c>
      <c r="C35824">
        <f>ROMAN(35823)</f>
        <v/>
      </c>
      <c r="D35824">
        <f>IF(B35824=C35824, "YES", "WRONG")</f>
        <v/>
      </c>
    </row>
    <row r="35825">
      <c r="A35825" t="n">
        <v>35824</v>
      </c>
      <c r="B35825" t="inlineStr">
        <is>
          <t>x̄x̄x̄V̅DCCCXXIV</t>
        </is>
      </c>
      <c r="C35825">
        <f>ROMAN(35824)</f>
        <v/>
      </c>
      <c r="D35825">
        <f>IF(B35825=C35825, "YES", "WRONG")</f>
        <v/>
      </c>
    </row>
    <row r="35826">
      <c r="A35826" t="n">
        <v>35825</v>
      </c>
      <c r="B35826" t="inlineStr">
        <is>
          <t>x̄x̄x̄V̅DCCCXXV</t>
        </is>
      </c>
      <c r="C35826">
        <f>ROMAN(35825)</f>
        <v/>
      </c>
      <c r="D35826">
        <f>IF(B35826=C35826, "YES", "WRONG")</f>
        <v/>
      </c>
    </row>
    <row r="35827">
      <c r="A35827" t="n">
        <v>35826</v>
      </c>
      <c r="B35827" t="inlineStr">
        <is>
          <t>x̄x̄x̄V̅DCCCXXVI</t>
        </is>
      </c>
      <c r="C35827">
        <f>ROMAN(35826)</f>
        <v/>
      </c>
      <c r="D35827">
        <f>IF(B35827=C35827, "YES", "WRONG")</f>
        <v/>
      </c>
    </row>
    <row r="35828">
      <c r="A35828" t="n">
        <v>35827</v>
      </c>
      <c r="B35828" t="inlineStr">
        <is>
          <t>x̄x̄x̄V̅DCCCXXVII</t>
        </is>
      </c>
      <c r="C35828">
        <f>ROMAN(35827)</f>
        <v/>
      </c>
      <c r="D35828">
        <f>IF(B35828=C35828, "YES", "WRONG")</f>
        <v/>
      </c>
    </row>
    <row r="35829">
      <c r="A35829" t="n">
        <v>35828</v>
      </c>
      <c r="B35829" t="inlineStr">
        <is>
          <t>x̄x̄x̄V̅DCCCXXVIII</t>
        </is>
      </c>
      <c r="C35829">
        <f>ROMAN(35828)</f>
        <v/>
      </c>
      <c r="D35829">
        <f>IF(B35829=C35829, "YES", "WRONG")</f>
        <v/>
      </c>
    </row>
    <row r="35830">
      <c r="A35830" t="n">
        <v>35829</v>
      </c>
      <c r="B35830" t="inlineStr">
        <is>
          <t>x̄x̄x̄V̅DCCCXXIX</t>
        </is>
      </c>
      <c r="C35830">
        <f>ROMAN(35829)</f>
        <v/>
      </c>
      <c r="D35830">
        <f>IF(B35830=C35830, "YES", "WRONG")</f>
        <v/>
      </c>
    </row>
    <row r="35831">
      <c r="A35831" t="n">
        <v>35830</v>
      </c>
      <c r="B35831" t="inlineStr">
        <is>
          <t>x̄x̄x̄V̅DCCCXXX</t>
        </is>
      </c>
      <c r="C35831">
        <f>ROMAN(35830)</f>
        <v/>
      </c>
      <c r="D35831">
        <f>IF(B35831=C35831, "YES", "WRONG")</f>
        <v/>
      </c>
    </row>
    <row r="35832">
      <c r="A35832" t="n">
        <v>35831</v>
      </c>
      <c r="B35832" t="inlineStr">
        <is>
          <t>x̄x̄x̄V̅DCCCXXXI</t>
        </is>
      </c>
      <c r="C35832">
        <f>ROMAN(35831)</f>
        <v/>
      </c>
      <c r="D35832">
        <f>IF(B35832=C35832, "YES", "WRONG")</f>
        <v/>
      </c>
    </row>
    <row r="35833">
      <c r="A35833" t="n">
        <v>35832</v>
      </c>
      <c r="B35833" t="inlineStr">
        <is>
          <t>x̄x̄x̄V̅DCCCXXXII</t>
        </is>
      </c>
      <c r="C35833">
        <f>ROMAN(35832)</f>
        <v/>
      </c>
      <c r="D35833">
        <f>IF(B35833=C35833, "YES", "WRONG")</f>
        <v/>
      </c>
    </row>
    <row r="35834">
      <c r="A35834" t="n">
        <v>35833</v>
      </c>
      <c r="B35834" t="inlineStr">
        <is>
          <t>x̄x̄x̄V̅DCCCXXXIII</t>
        </is>
      </c>
      <c r="C35834">
        <f>ROMAN(35833)</f>
        <v/>
      </c>
      <c r="D35834">
        <f>IF(B35834=C35834, "YES", "WRONG")</f>
        <v/>
      </c>
    </row>
    <row r="35835">
      <c r="A35835" t="n">
        <v>35834</v>
      </c>
      <c r="B35835" t="inlineStr">
        <is>
          <t>x̄x̄x̄V̅DCCCXXXIV</t>
        </is>
      </c>
      <c r="C35835">
        <f>ROMAN(35834)</f>
        <v/>
      </c>
      <c r="D35835">
        <f>IF(B35835=C35835, "YES", "WRONG")</f>
        <v/>
      </c>
    </row>
    <row r="35836">
      <c r="A35836" t="n">
        <v>35835</v>
      </c>
      <c r="B35836" t="inlineStr">
        <is>
          <t>x̄x̄x̄V̅DCCCXXXV</t>
        </is>
      </c>
      <c r="C35836">
        <f>ROMAN(35835)</f>
        <v/>
      </c>
      <c r="D35836">
        <f>IF(B35836=C35836, "YES", "WRONG")</f>
        <v/>
      </c>
    </row>
    <row r="35837">
      <c r="A35837" t="n">
        <v>35836</v>
      </c>
      <c r="B35837" t="inlineStr">
        <is>
          <t>x̄x̄x̄V̅DCCCXXXVI</t>
        </is>
      </c>
      <c r="C35837">
        <f>ROMAN(35836)</f>
        <v/>
      </c>
      <c r="D35837">
        <f>IF(B35837=C35837, "YES", "WRONG")</f>
        <v/>
      </c>
    </row>
    <row r="35838">
      <c r="A35838" t="n">
        <v>35837</v>
      </c>
      <c r="B35838" t="inlineStr">
        <is>
          <t>x̄x̄x̄V̅DCCCXXXVII</t>
        </is>
      </c>
      <c r="C35838">
        <f>ROMAN(35837)</f>
        <v/>
      </c>
      <c r="D35838">
        <f>IF(B35838=C35838, "YES", "WRONG")</f>
        <v/>
      </c>
    </row>
    <row r="35839">
      <c r="A35839" t="n">
        <v>35838</v>
      </c>
      <c r="B35839" t="inlineStr">
        <is>
          <t>x̄x̄x̄V̅DCCCXXXVIII</t>
        </is>
      </c>
      <c r="C35839">
        <f>ROMAN(35838)</f>
        <v/>
      </c>
      <c r="D35839">
        <f>IF(B35839=C35839, "YES", "WRONG")</f>
        <v/>
      </c>
    </row>
    <row r="35840">
      <c r="A35840" t="n">
        <v>35839</v>
      </c>
      <c r="B35840" t="inlineStr">
        <is>
          <t>x̄x̄x̄V̅DCCCXXXIX</t>
        </is>
      </c>
      <c r="C35840">
        <f>ROMAN(35839)</f>
        <v/>
      </c>
      <c r="D35840">
        <f>IF(B35840=C35840, "YES", "WRONG")</f>
        <v/>
      </c>
    </row>
    <row r="35841">
      <c r="A35841" t="n">
        <v>35840</v>
      </c>
      <c r="B35841" t="inlineStr">
        <is>
          <t>x̄x̄x̄V̅DCCCXL</t>
        </is>
      </c>
      <c r="C35841">
        <f>ROMAN(35840)</f>
        <v/>
      </c>
      <c r="D35841">
        <f>IF(B35841=C35841, "YES", "WRONG")</f>
        <v/>
      </c>
    </row>
    <row r="35842">
      <c r="A35842" t="n">
        <v>35841</v>
      </c>
      <c r="B35842" t="inlineStr">
        <is>
          <t>x̄x̄x̄V̅DCCCXLI</t>
        </is>
      </c>
      <c r="C35842">
        <f>ROMAN(35841)</f>
        <v/>
      </c>
      <c r="D35842">
        <f>IF(B35842=C35842, "YES", "WRONG")</f>
        <v/>
      </c>
    </row>
    <row r="35843">
      <c r="A35843" t="n">
        <v>35842</v>
      </c>
      <c r="B35843" t="inlineStr">
        <is>
          <t>x̄x̄x̄V̅DCCCXLII</t>
        </is>
      </c>
      <c r="C35843">
        <f>ROMAN(35842)</f>
        <v/>
      </c>
      <c r="D35843">
        <f>IF(B35843=C35843, "YES", "WRONG")</f>
        <v/>
      </c>
    </row>
    <row r="35844">
      <c r="A35844" t="n">
        <v>35843</v>
      </c>
      <c r="B35844" t="inlineStr">
        <is>
          <t>x̄x̄x̄V̅DCCCXLIII</t>
        </is>
      </c>
      <c r="C35844">
        <f>ROMAN(35843)</f>
        <v/>
      </c>
      <c r="D35844">
        <f>IF(B35844=C35844, "YES", "WRONG")</f>
        <v/>
      </c>
    </row>
    <row r="35845">
      <c r="A35845" t="n">
        <v>35844</v>
      </c>
      <c r="B35845" t="inlineStr">
        <is>
          <t>x̄x̄x̄V̅DCCCXLIV</t>
        </is>
      </c>
      <c r="C35845">
        <f>ROMAN(35844)</f>
        <v/>
      </c>
      <c r="D35845">
        <f>IF(B35845=C35845, "YES", "WRONG")</f>
        <v/>
      </c>
    </row>
    <row r="35846">
      <c r="A35846" t="n">
        <v>35845</v>
      </c>
      <c r="B35846" t="inlineStr">
        <is>
          <t>x̄x̄x̄V̅DCCCXLV</t>
        </is>
      </c>
      <c r="C35846">
        <f>ROMAN(35845)</f>
        <v/>
      </c>
      <c r="D35846">
        <f>IF(B35846=C35846, "YES", "WRONG")</f>
        <v/>
      </c>
    </row>
    <row r="35847">
      <c r="A35847" t="n">
        <v>35846</v>
      </c>
      <c r="B35847" t="inlineStr">
        <is>
          <t>x̄x̄x̄V̅DCCCXLVI</t>
        </is>
      </c>
      <c r="C35847">
        <f>ROMAN(35846)</f>
        <v/>
      </c>
      <c r="D35847">
        <f>IF(B35847=C35847, "YES", "WRONG")</f>
        <v/>
      </c>
    </row>
    <row r="35848">
      <c r="A35848" t="n">
        <v>35847</v>
      </c>
      <c r="B35848" t="inlineStr">
        <is>
          <t>x̄x̄x̄V̅DCCCXLVII</t>
        </is>
      </c>
      <c r="C35848">
        <f>ROMAN(35847)</f>
        <v/>
      </c>
      <c r="D35848">
        <f>IF(B35848=C35848, "YES", "WRONG")</f>
        <v/>
      </c>
    </row>
    <row r="35849">
      <c r="A35849" t="n">
        <v>35848</v>
      </c>
      <c r="B35849" t="inlineStr">
        <is>
          <t>x̄x̄x̄V̅DCCCXLVIII</t>
        </is>
      </c>
      <c r="C35849">
        <f>ROMAN(35848)</f>
        <v/>
      </c>
      <c r="D35849">
        <f>IF(B35849=C35849, "YES", "WRONG")</f>
        <v/>
      </c>
    </row>
    <row r="35850">
      <c r="A35850" t="n">
        <v>35849</v>
      </c>
      <c r="B35850" t="inlineStr">
        <is>
          <t>x̄x̄x̄V̅DCCCXLIX</t>
        </is>
      </c>
      <c r="C35850">
        <f>ROMAN(35849)</f>
        <v/>
      </c>
      <c r="D35850">
        <f>IF(B35850=C35850, "YES", "WRONG")</f>
        <v/>
      </c>
    </row>
    <row r="35851">
      <c r="A35851" t="n">
        <v>35850</v>
      </c>
      <c r="B35851" t="inlineStr">
        <is>
          <t>x̄x̄x̄V̅DCCCL</t>
        </is>
      </c>
      <c r="C35851">
        <f>ROMAN(35850)</f>
        <v/>
      </c>
      <c r="D35851">
        <f>IF(B35851=C35851, "YES", "WRONG")</f>
        <v/>
      </c>
    </row>
    <row r="35852">
      <c r="A35852" t="n">
        <v>35851</v>
      </c>
      <c r="B35852" t="inlineStr">
        <is>
          <t>x̄x̄x̄V̅DCCCLI</t>
        </is>
      </c>
      <c r="C35852">
        <f>ROMAN(35851)</f>
        <v/>
      </c>
      <c r="D35852">
        <f>IF(B35852=C35852, "YES", "WRONG")</f>
        <v/>
      </c>
    </row>
    <row r="35853">
      <c r="A35853" t="n">
        <v>35852</v>
      </c>
      <c r="B35853" t="inlineStr">
        <is>
          <t>x̄x̄x̄V̅DCCCLII</t>
        </is>
      </c>
      <c r="C35853">
        <f>ROMAN(35852)</f>
        <v/>
      </c>
      <c r="D35853">
        <f>IF(B35853=C35853, "YES", "WRONG")</f>
        <v/>
      </c>
    </row>
    <row r="35854">
      <c r="A35854" t="n">
        <v>35853</v>
      </c>
      <c r="B35854" t="inlineStr">
        <is>
          <t>x̄x̄x̄V̅DCCCLIII</t>
        </is>
      </c>
      <c r="C35854">
        <f>ROMAN(35853)</f>
        <v/>
      </c>
      <c r="D35854">
        <f>IF(B35854=C35854, "YES", "WRONG")</f>
        <v/>
      </c>
    </row>
    <row r="35855">
      <c r="A35855" t="n">
        <v>35854</v>
      </c>
      <c r="B35855" t="inlineStr">
        <is>
          <t>x̄x̄x̄V̅DCCCLIV</t>
        </is>
      </c>
      <c r="C35855">
        <f>ROMAN(35854)</f>
        <v/>
      </c>
      <c r="D35855">
        <f>IF(B35855=C35855, "YES", "WRONG")</f>
        <v/>
      </c>
    </row>
    <row r="35856">
      <c r="A35856" t="n">
        <v>35855</v>
      </c>
      <c r="B35856" t="inlineStr">
        <is>
          <t>x̄x̄x̄V̅DCCCLV</t>
        </is>
      </c>
      <c r="C35856">
        <f>ROMAN(35855)</f>
        <v/>
      </c>
      <c r="D35856">
        <f>IF(B35856=C35856, "YES", "WRONG")</f>
        <v/>
      </c>
    </row>
    <row r="35857">
      <c r="A35857" t="n">
        <v>35856</v>
      </c>
      <c r="B35857" t="inlineStr">
        <is>
          <t>x̄x̄x̄V̅DCCCLVI</t>
        </is>
      </c>
      <c r="C35857">
        <f>ROMAN(35856)</f>
        <v/>
      </c>
      <c r="D35857">
        <f>IF(B35857=C35857, "YES", "WRONG")</f>
        <v/>
      </c>
    </row>
    <row r="35858">
      <c r="A35858" t="n">
        <v>35857</v>
      </c>
      <c r="B35858" t="inlineStr">
        <is>
          <t>x̄x̄x̄V̅DCCCLVII</t>
        </is>
      </c>
      <c r="C35858">
        <f>ROMAN(35857)</f>
        <v/>
      </c>
      <c r="D35858">
        <f>IF(B35858=C35858, "YES", "WRONG")</f>
        <v/>
      </c>
    </row>
    <row r="35859">
      <c r="A35859" t="n">
        <v>35858</v>
      </c>
      <c r="B35859" t="inlineStr">
        <is>
          <t>x̄x̄x̄V̅DCCCLVIII</t>
        </is>
      </c>
      <c r="C35859">
        <f>ROMAN(35858)</f>
        <v/>
      </c>
      <c r="D35859">
        <f>IF(B35859=C35859, "YES", "WRONG")</f>
        <v/>
      </c>
    </row>
    <row r="35860">
      <c r="A35860" t="n">
        <v>35859</v>
      </c>
      <c r="B35860" t="inlineStr">
        <is>
          <t>x̄x̄x̄V̅DCCCLIX</t>
        </is>
      </c>
      <c r="C35860">
        <f>ROMAN(35859)</f>
        <v/>
      </c>
      <c r="D35860">
        <f>IF(B35860=C35860, "YES", "WRONG")</f>
        <v/>
      </c>
    </row>
    <row r="35861">
      <c r="A35861" t="n">
        <v>35860</v>
      </c>
      <c r="B35861" t="inlineStr">
        <is>
          <t>x̄x̄x̄V̅DCCCLX</t>
        </is>
      </c>
      <c r="C35861">
        <f>ROMAN(35860)</f>
        <v/>
      </c>
      <c r="D35861">
        <f>IF(B35861=C35861, "YES", "WRONG")</f>
        <v/>
      </c>
    </row>
    <row r="35862">
      <c r="A35862" t="n">
        <v>35861</v>
      </c>
      <c r="B35862" t="inlineStr">
        <is>
          <t>x̄x̄x̄V̅DCCCLXI</t>
        </is>
      </c>
      <c r="C35862">
        <f>ROMAN(35861)</f>
        <v/>
      </c>
      <c r="D35862">
        <f>IF(B35862=C35862, "YES", "WRONG")</f>
        <v/>
      </c>
    </row>
    <row r="35863">
      <c r="A35863" t="n">
        <v>35862</v>
      </c>
      <c r="B35863" t="inlineStr">
        <is>
          <t>x̄x̄x̄V̅DCCCLXII</t>
        </is>
      </c>
      <c r="C35863">
        <f>ROMAN(35862)</f>
        <v/>
      </c>
      <c r="D35863">
        <f>IF(B35863=C35863, "YES", "WRONG")</f>
        <v/>
      </c>
    </row>
    <row r="35864">
      <c r="A35864" t="n">
        <v>35863</v>
      </c>
      <c r="B35864" t="inlineStr">
        <is>
          <t>x̄x̄x̄V̅DCCCLXIII</t>
        </is>
      </c>
      <c r="C35864">
        <f>ROMAN(35863)</f>
        <v/>
      </c>
      <c r="D35864">
        <f>IF(B35864=C35864, "YES", "WRONG")</f>
        <v/>
      </c>
    </row>
    <row r="35865">
      <c r="A35865" t="n">
        <v>35864</v>
      </c>
      <c r="B35865" t="inlineStr">
        <is>
          <t>x̄x̄x̄V̅DCCCLXIV</t>
        </is>
      </c>
      <c r="C35865">
        <f>ROMAN(35864)</f>
        <v/>
      </c>
      <c r="D35865">
        <f>IF(B35865=C35865, "YES", "WRONG")</f>
        <v/>
      </c>
    </row>
    <row r="35866">
      <c r="A35866" t="n">
        <v>35865</v>
      </c>
      <c r="B35866" t="inlineStr">
        <is>
          <t>x̄x̄x̄V̅DCCCLXV</t>
        </is>
      </c>
      <c r="C35866">
        <f>ROMAN(35865)</f>
        <v/>
      </c>
      <c r="D35866">
        <f>IF(B35866=C35866, "YES", "WRONG")</f>
        <v/>
      </c>
    </row>
    <row r="35867">
      <c r="A35867" t="n">
        <v>35866</v>
      </c>
      <c r="B35867" t="inlineStr">
        <is>
          <t>x̄x̄x̄V̅DCCCLXVI</t>
        </is>
      </c>
      <c r="C35867">
        <f>ROMAN(35866)</f>
        <v/>
      </c>
      <c r="D35867">
        <f>IF(B35867=C35867, "YES", "WRONG")</f>
        <v/>
      </c>
    </row>
    <row r="35868">
      <c r="A35868" t="n">
        <v>35867</v>
      </c>
      <c r="B35868" t="inlineStr">
        <is>
          <t>x̄x̄x̄V̅DCCCLXVII</t>
        </is>
      </c>
      <c r="C35868">
        <f>ROMAN(35867)</f>
        <v/>
      </c>
      <c r="D35868">
        <f>IF(B35868=C35868, "YES", "WRONG")</f>
        <v/>
      </c>
    </row>
    <row r="35869">
      <c r="A35869" t="n">
        <v>35868</v>
      </c>
      <c r="B35869" t="inlineStr">
        <is>
          <t>x̄x̄x̄V̅DCCCLXVIII</t>
        </is>
      </c>
      <c r="C35869">
        <f>ROMAN(35868)</f>
        <v/>
      </c>
      <c r="D35869">
        <f>IF(B35869=C35869, "YES", "WRONG")</f>
        <v/>
      </c>
    </row>
    <row r="35870">
      <c r="A35870" t="n">
        <v>35869</v>
      </c>
      <c r="B35870" t="inlineStr">
        <is>
          <t>x̄x̄x̄V̅DCCCLXIX</t>
        </is>
      </c>
      <c r="C35870">
        <f>ROMAN(35869)</f>
        <v/>
      </c>
      <c r="D35870">
        <f>IF(B35870=C35870, "YES", "WRONG")</f>
        <v/>
      </c>
    </row>
    <row r="35871">
      <c r="A35871" t="n">
        <v>35870</v>
      </c>
      <c r="B35871" t="inlineStr">
        <is>
          <t>x̄x̄x̄V̅DCCCLXX</t>
        </is>
      </c>
      <c r="C35871">
        <f>ROMAN(35870)</f>
        <v/>
      </c>
      <c r="D35871">
        <f>IF(B35871=C35871, "YES", "WRONG")</f>
        <v/>
      </c>
    </row>
    <row r="35872">
      <c r="A35872" t="n">
        <v>35871</v>
      </c>
      <c r="B35872" t="inlineStr">
        <is>
          <t>x̄x̄x̄V̅DCCCLXXI</t>
        </is>
      </c>
      <c r="C35872">
        <f>ROMAN(35871)</f>
        <v/>
      </c>
      <c r="D35872">
        <f>IF(B35872=C35872, "YES", "WRONG")</f>
        <v/>
      </c>
    </row>
    <row r="35873">
      <c r="A35873" t="n">
        <v>35872</v>
      </c>
      <c r="B35873" t="inlineStr">
        <is>
          <t>x̄x̄x̄V̅DCCCLXXII</t>
        </is>
      </c>
      <c r="C35873">
        <f>ROMAN(35872)</f>
        <v/>
      </c>
      <c r="D35873">
        <f>IF(B35873=C35873, "YES", "WRONG")</f>
        <v/>
      </c>
    </row>
    <row r="35874">
      <c r="A35874" t="n">
        <v>35873</v>
      </c>
      <c r="B35874" t="inlineStr">
        <is>
          <t>x̄x̄x̄V̅DCCCLXXIII</t>
        </is>
      </c>
      <c r="C35874">
        <f>ROMAN(35873)</f>
        <v/>
      </c>
      <c r="D35874">
        <f>IF(B35874=C35874, "YES", "WRONG")</f>
        <v/>
      </c>
    </row>
    <row r="35875">
      <c r="A35875" t="n">
        <v>35874</v>
      </c>
      <c r="B35875" t="inlineStr">
        <is>
          <t>x̄x̄x̄V̅DCCCLXXIV</t>
        </is>
      </c>
      <c r="C35875">
        <f>ROMAN(35874)</f>
        <v/>
      </c>
      <c r="D35875">
        <f>IF(B35875=C35875, "YES", "WRONG")</f>
        <v/>
      </c>
    </row>
    <row r="35876">
      <c r="A35876" t="n">
        <v>35875</v>
      </c>
      <c r="B35876" t="inlineStr">
        <is>
          <t>x̄x̄x̄V̅DCCCLXXV</t>
        </is>
      </c>
      <c r="C35876">
        <f>ROMAN(35875)</f>
        <v/>
      </c>
      <c r="D35876">
        <f>IF(B35876=C35876, "YES", "WRONG")</f>
        <v/>
      </c>
    </row>
    <row r="35877">
      <c r="A35877" t="n">
        <v>35876</v>
      </c>
      <c r="B35877" t="inlineStr">
        <is>
          <t>x̄x̄x̄V̅DCCCLXXVI</t>
        </is>
      </c>
      <c r="C35877">
        <f>ROMAN(35876)</f>
        <v/>
      </c>
      <c r="D35877">
        <f>IF(B35877=C35877, "YES", "WRONG")</f>
        <v/>
      </c>
    </row>
    <row r="35878">
      <c r="A35878" t="n">
        <v>35877</v>
      </c>
      <c r="B35878" t="inlineStr">
        <is>
          <t>x̄x̄x̄V̅DCCCLXXVII</t>
        </is>
      </c>
      <c r="C35878">
        <f>ROMAN(35877)</f>
        <v/>
      </c>
      <c r="D35878">
        <f>IF(B35878=C35878, "YES", "WRONG")</f>
        <v/>
      </c>
    </row>
    <row r="35879">
      <c r="A35879" t="n">
        <v>35878</v>
      </c>
      <c r="B35879" t="inlineStr">
        <is>
          <t>x̄x̄x̄V̅DCCCLXXVIII</t>
        </is>
      </c>
      <c r="C35879">
        <f>ROMAN(35878)</f>
        <v/>
      </c>
      <c r="D35879">
        <f>IF(B35879=C35879, "YES", "WRONG")</f>
        <v/>
      </c>
    </row>
    <row r="35880">
      <c r="A35880" t="n">
        <v>35879</v>
      </c>
      <c r="B35880" t="inlineStr">
        <is>
          <t>x̄x̄x̄V̅DCCCLXXIX</t>
        </is>
      </c>
      <c r="C35880">
        <f>ROMAN(35879)</f>
        <v/>
      </c>
      <c r="D35880">
        <f>IF(B35880=C35880, "YES", "WRONG")</f>
        <v/>
      </c>
    </row>
    <row r="35881">
      <c r="A35881" t="n">
        <v>35880</v>
      </c>
      <c r="B35881" t="inlineStr">
        <is>
          <t>x̄x̄x̄V̅DCCCLXXX</t>
        </is>
      </c>
      <c r="C35881">
        <f>ROMAN(35880)</f>
        <v/>
      </c>
      <c r="D35881">
        <f>IF(B35881=C35881, "YES", "WRONG")</f>
        <v/>
      </c>
    </row>
    <row r="35882">
      <c r="A35882" t="n">
        <v>35881</v>
      </c>
      <c r="B35882" t="inlineStr">
        <is>
          <t>x̄x̄x̄V̅DCCCLXXXI</t>
        </is>
      </c>
      <c r="C35882">
        <f>ROMAN(35881)</f>
        <v/>
      </c>
      <c r="D35882">
        <f>IF(B35882=C35882, "YES", "WRONG")</f>
        <v/>
      </c>
    </row>
    <row r="35883">
      <c r="A35883" t="n">
        <v>35882</v>
      </c>
      <c r="B35883" t="inlineStr">
        <is>
          <t>x̄x̄x̄V̅DCCCLXXXII</t>
        </is>
      </c>
      <c r="C35883">
        <f>ROMAN(35882)</f>
        <v/>
      </c>
      <c r="D35883">
        <f>IF(B35883=C35883, "YES", "WRONG")</f>
        <v/>
      </c>
    </row>
    <row r="35884">
      <c r="A35884" t="n">
        <v>35883</v>
      </c>
      <c r="B35884" t="inlineStr">
        <is>
          <t>x̄x̄x̄V̅DCCCLXXXIII</t>
        </is>
      </c>
      <c r="C35884">
        <f>ROMAN(35883)</f>
        <v/>
      </c>
      <c r="D35884">
        <f>IF(B35884=C35884, "YES", "WRONG")</f>
        <v/>
      </c>
    </row>
    <row r="35885">
      <c r="A35885" t="n">
        <v>35884</v>
      </c>
      <c r="B35885" t="inlineStr">
        <is>
          <t>x̄x̄x̄V̅DCCCLXXXIV</t>
        </is>
      </c>
      <c r="C35885">
        <f>ROMAN(35884)</f>
        <v/>
      </c>
      <c r="D35885">
        <f>IF(B35885=C35885, "YES", "WRONG")</f>
        <v/>
      </c>
    </row>
    <row r="35886">
      <c r="A35886" t="n">
        <v>35885</v>
      </c>
      <c r="B35886" t="inlineStr">
        <is>
          <t>x̄x̄x̄V̅DCCCLXXXV</t>
        </is>
      </c>
      <c r="C35886">
        <f>ROMAN(35885)</f>
        <v/>
      </c>
      <c r="D35886">
        <f>IF(B35886=C35886, "YES", "WRONG")</f>
        <v/>
      </c>
    </row>
    <row r="35887">
      <c r="A35887" t="n">
        <v>35886</v>
      </c>
      <c r="B35887" t="inlineStr">
        <is>
          <t>x̄x̄x̄V̅DCCCLXXXVI</t>
        </is>
      </c>
      <c r="C35887">
        <f>ROMAN(35886)</f>
        <v/>
      </c>
      <c r="D35887">
        <f>IF(B35887=C35887, "YES", "WRONG")</f>
        <v/>
      </c>
    </row>
    <row r="35888">
      <c r="A35888" t="n">
        <v>35887</v>
      </c>
      <c r="B35888" t="inlineStr">
        <is>
          <t>x̄x̄x̄V̅DCCCLXXXVII</t>
        </is>
      </c>
      <c r="C35888">
        <f>ROMAN(35887)</f>
        <v/>
      </c>
      <c r="D35888">
        <f>IF(B35888=C35888, "YES", "WRONG")</f>
        <v/>
      </c>
    </row>
    <row r="35889">
      <c r="A35889" t="n">
        <v>35888</v>
      </c>
      <c r="B35889" t="inlineStr">
        <is>
          <t>x̄x̄x̄V̅DCCCLXXXVIII</t>
        </is>
      </c>
      <c r="C35889">
        <f>ROMAN(35888)</f>
        <v/>
      </c>
      <c r="D35889">
        <f>IF(B35889=C35889, "YES", "WRONG")</f>
        <v/>
      </c>
    </row>
    <row r="35890">
      <c r="A35890" t="n">
        <v>35889</v>
      </c>
      <c r="B35890" t="inlineStr">
        <is>
          <t>x̄x̄x̄V̅DCCCLXXXIX</t>
        </is>
      </c>
      <c r="C35890">
        <f>ROMAN(35889)</f>
        <v/>
      </c>
      <c r="D35890">
        <f>IF(B35890=C35890, "YES", "WRONG")</f>
        <v/>
      </c>
    </row>
    <row r="35891">
      <c r="A35891" t="n">
        <v>35890</v>
      </c>
      <c r="B35891" t="inlineStr">
        <is>
          <t>x̄x̄x̄V̅DCCCXC</t>
        </is>
      </c>
      <c r="C35891">
        <f>ROMAN(35890)</f>
        <v/>
      </c>
      <c r="D35891">
        <f>IF(B35891=C35891, "YES", "WRONG")</f>
        <v/>
      </c>
    </row>
    <row r="35892">
      <c r="A35892" t="n">
        <v>35891</v>
      </c>
      <c r="B35892" t="inlineStr">
        <is>
          <t>x̄x̄x̄V̅DCCCXCI</t>
        </is>
      </c>
      <c r="C35892">
        <f>ROMAN(35891)</f>
        <v/>
      </c>
      <c r="D35892">
        <f>IF(B35892=C35892, "YES", "WRONG")</f>
        <v/>
      </c>
    </row>
    <row r="35893">
      <c r="A35893" t="n">
        <v>35892</v>
      </c>
      <c r="B35893" t="inlineStr">
        <is>
          <t>x̄x̄x̄V̅DCCCXCII</t>
        </is>
      </c>
      <c r="C35893">
        <f>ROMAN(35892)</f>
        <v/>
      </c>
      <c r="D35893">
        <f>IF(B35893=C35893, "YES", "WRONG")</f>
        <v/>
      </c>
    </row>
    <row r="35894">
      <c r="A35894" t="n">
        <v>35893</v>
      </c>
      <c r="B35894" t="inlineStr">
        <is>
          <t>x̄x̄x̄V̅DCCCXCIII</t>
        </is>
      </c>
      <c r="C35894">
        <f>ROMAN(35893)</f>
        <v/>
      </c>
      <c r="D35894">
        <f>IF(B35894=C35894, "YES", "WRONG")</f>
        <v/>
      </c>
    </row>
    <row r="35895">
      <c r="A35895" t="n">
        <v>35894</v>
      </c>
      <c r="B35895" t="inlineStr">
        <is>
          <t>x̄x̄x̄V̅DCCCXCIV</t>
        </is>
      </c>
      <c r="C35895">
        <f>ROMAN(35894)</f>
        <v/>
      </c>
      <c r="D35895">
        <f>IF(B35895=C35895, "YES", "WRONG")</f>
        <v/>
      </c>
    </row>
    <row r="35896">
      <c r="A35896" t="n">
        <v>35895</v>
      </c>
      <c r="B35896" t="inlineStr">
        <is>
          <t>x̄x̄x̄V̅DCCCXCV</t>
        </is>
      </c>
      <c r="C35896">
        <f>ROMAN(35895)</f>
        <v/>
      </c>
      <c r="D35896">
        <f>IF(B35896=C35896, "YES", "WRONG")</f>
        <v/>
      </c>
    </row>
    <row r="35897">
      <c r="A35897" t="n">
        <v>35896</v>
      </c>
      <c r="B35897" t="inlineStr">
        <is>
          <t>x̄x̄x̄V̅DCCCXCVI</t>
        </is>
      </c>
      <c r="C35897">
        <f>ROMAN(35896)</f>
        <v/>
      </c>
      <c r="D35897">
        <f>IF(B35897=C35897, "YES", "WRONG")</f>
        <v/>
      </c>
    </row>
    <row r="35898">
      <c r="A35898" t="n">
        <v>35897</v>
      </c>
      <c r="B35898" t="inlineStr">
        <is>
          <t>x̄x̄x̄V̅DCCCXCVII</t>
        </is>
      </c>
      <c r="C35898">
        <f>ROMAN(35897)</f>
        <v/>
      </c>
      <c r="D35898">
        <f>IF(B35898=C35898, "YES", "WRONG")</f>
        <v/>
      </c>
    </row>
    <row r="35899">
      <c r="A35899" t="n">
        <v>35898</v>
      </c>
      <c r="B35899" t="inlineStr">
        <is>
          <t>x̄x̄x̄V̅DCCCXCVIII</t>
        </is>
      </c>
      <c r="C35899">
        <f>ROMAN(35898)</f>
        <v/>
      </c>
      <c r="D35899">
        <f>IF(B35899=C35899, "YES", "WRONG")</f>
        <v/>
      </c>
    </row>
    <row r="35900">
      <c r="A35900" t="n">
        <v>35899</v>
      </c>
      <c r="B35900" t="inlineStr">
        <is>
          <t>x̄x̄x̄V̅DCCCXCIX</t>
        </is>
      </c>
      <c r="C35900">
        <f>ROMAN(35899)</f>
        <v/>
      </c>
      <c r="D35900">
        <f>IF(B35900=C35900, "YES", "WRONG")</f>
        <v/>
      </c>
    </row>
    <row r="35901">
      <c r="A35901" t="n">
        <v>35900</v>
      </c>
      <c r="B35901" t="inlineStr">
        <is>
          <t>x̄x̄x̄V̅CM</t>
        </is>
      </c>
      <c r="C35901">
        <f>ROMAN(35900)</f>
        <v/>
      </c>
      <c r="D35901">
        <f>IF(B35901=C35901, "YES", "WRONG")</f>
        <v/>
      </c>
    </row>
    <row r="35902">
      <c r="A35902" t="n">
        <v>35901</v>
      </c>
      <c r="B35902" t="inlineStr">
        <is>
          <t>x̄x̄x̄V̅CMI</t>
        </is>
      </c>
      <c r="C35902">
        <f>ROMAN(35901)</f>
        <v/>
      </c>
      <c r="D35902">
        <f>IF(B35902=C35902, "YES", "WRONG")</f>
        <v/>
      </c>
    </row>
    <row r="35903">
      <c r="A35903" t="n">
        <v>35902</v>
      </c>
      <c r="B35903" t="inlineStr">
        <is>
          <t>x̄x̄x̄V̅CMII</t>
        </is>
      </c>
      <c r="C35903">
        <f>ROMAN(35902)</f>
        <v/>
      </c>
      <c r="D35903">
        <f>IF(B35903=C35903, "YES", "WRONG")</f>
        <v/>
      </c>
    </row>
    <row r="35904">
      <c r="A35904" t="n">
        <v>35903</v>
      </c>
      <c r="B35904" t="inlineStr">
        <is>
          <t>x̄x̄x̄V̅CMIII</t>
        </is>
      </c>
      <c r="C35904">
        <f>ROMAN(35903)</f>
        <v/>
      </c>
      <c r="D35904">
        <f>IF(B35904=C35904, "YES", "WRONG")</f>
        <v/>
      </c>
    </row>
    <row r="35905">
      <c r="A35905" t="n">
        <v>35904</v>
      </c>
      <c r="B35905" t="inlineStr">
        <is>
          <t>x̄x̄x̄V̅CMIV</t>
        </is>
      </c>
      <c r="C35905">
        <f>ROMAN(35904)</f>
        <v/>
      </c>
      <c r="D35905">
        <f>IF(B35905=C35905, "YES", "WRONG")</f>
        <v/>
      </c>
    </row>
    <row r="35906">
      <c r="A35906" t="n">
        <v>35905</v>
      </c>
      <c r="B35906" t="inlineStr">
        <is>
          <t>x̄x̄x̄V̅CMV</t>
        </is>
      </c>
      <c r="C35906">
        <f>ROMAN(35905)</f>
        <v/>
      </c>
      <c r="D35906">
        <f>IF(B35906=C35906, "YES", "WRONG")</f>
        <v/>
      </c>
    </row>
    <row r="35907">
      <c r="A35907" t="n">
        <v>35906</v>
      </c>
      <c r="B35907" t="inlineStr">
        <is>
          <t>x̄x̄x̄V̅CMVI</t>
        </is>
      </c>
      <c r="C35907">
        <f>ROMAN(35906)</f>
        <v/>
      </c>
      <c r="D35907">
        <f>IF(B35907=C35907, "YES", "WRONG")</f>
        <v/>
      </c>
    </row>
    <row r="35908">
      <c r="A35908" t="n">
        <v>35907</v>
      </c>
      <c r="B35908" t="inlineStr">
        <is>
          <t>x̄x̄x̄V̅CMVII</t>
        </is>
      </c>
      <c r="C35908">
        <f>ROMAN(35907)</f>
        <v/>
      </c>
      <c r="D35908">
        <f>IF(B35908=C35908, "YES", "WRONG")</f>
        <v/>
      </c>
    </row>
    <row r="35909">
      <c r="A35909" t="n">
        <v>35908</v>
      </c>
      <c r="B35909" t="inlineStr">
        <is>
          <t>x̄x̄x̄V̅CMVIII</t>
        </is>
      </c>
      <c r="C35909">
        <f>ROMAN(35908)</f>
        <v/>
      </c>
      <c r="D35909">
        <f>IF(B35909=C35909, "YES", "WRONG")</f>
        <v/>
      </c>
    </row>
    <row r="35910">
      <c r="A35910" t="n">
        <v>35909</v>
      </c>
      <c r="B35910" t="inlineStr">
        <is>
          <t>x̄x̄x̄V̅CMIX</t>
        </is>
      </c>
      <c r="C35910">
        <f>ROMAN(35909)</f>
        <v/>
      </c>
      <c r="D35910">
        <f>IF(B35910=C35910, "YES", "WRONG")</f>
        <v/>
      </c>
    </row>
    <row r="35911">
      <c r="A35911" t="n">
        <v>35910</v>
      </c>
      <c r="B35911" t="inlineStr">
        <is>
          <t>x̄x̄x̄V̅CMX</t>
        </is>
      </c>
      <c r="C35911">
        <f>ROMAN(35910)</f>
        <v/>
      </c>
      <c r="D35911">
        <f>IF(B35911=C35911, "YES", "WRONG")</f>
        <v/>
      </c>
    </row>
    <row r="35912">
      <c r="A35912" t="n">
        <v>35911</v>
      </c>
      <c r="B35912" t="inlineStr">
        <is>
          <t>x̄x̄x̄V̅CMXI</t>
        </is>
      </c>
      <c r="C35912">
        <f>ROMAN(35911)</f>
        <v/>
      </c>
      <c r="D35912">
        <f>IF(B35912=C35912, "YES", "WRONG")</f>
        <v/>
      </c>
    </row>
    <row r="35913">
      <c r="A35913" t="n">
        <v>35912</v>
      </c>
      <c r="B35913" t="inlineStr">
        <is>
          <t>x̄x̄x̄V̅CMXII</t>
        </is>
      </c>
      <c r="C35913">
        <f>ROMAN(35912)</f>
        <v/>
      </c>
      <c r="D35913">
        <f>IF(B35913=C35913, "YES", "WRONG")</f>
        <v/>
      </c>
    </row>
    <row r="35914">
      <c r="A35914" t="n">
        <v>35913</v>
      </c>
      <c r="B35914" t="inlineStr">
        <is>
          <t>x̄x̄x̄V̅CMXIII</t>
        </is>
      </c>
      <c r="C35914">
        <f>ROMAN(35913)</f>
        <v/>
      </c>
      <c r="D35914">
        <f>IF(B35914=C35914, "YES", "WRONG")</f>
        <v/>
      </c>
    </row>
    <row r="35915">
      <c r="A35915" t="n">
        <v>35914</v>
      </c>
      <c r="B35915" t="inlineStr">
        <is>
          <t>x̄x̄x̄V̅CMXIV</t>
        </is>
      </c>
      <c r="C35915">
        <f>ROMAN(35914)</f>
        <v/>
      </c>
      <c r="D35915">
        <f>IF(B35915=C35915, "YES", "WRONG")</f>
        <v/>
      </c>
    </row>
    <row r="35916">
      <c r="A35916" t="n">
        <v>35915</v>
      </c>
      <c r="B35916" t="inlineStr">
        <is>
          <t>x̄x̄x̄V̅CMXV</t>
        </is>
      </c>
      <c r="C35916">
        <f>ROMAN(35915)</f>
        <v/>
      </c>
      <c r="D35916">
        <f>IF(B35916=C35916, "YES", "WRONG")</f>
        <v/>
      </c>
    </row>
    <row r="35917">
      <c r="A35917" t="n">
        <v>35916</v>
      </c>
      <c r="B35917" t="inlineStr">
        <is>
          <t>x̄x̄x̄V̅CMXVI</t>
        </is>
      </c>
      <c r="C35917">
        <f>ROMAN(35916)</f>
        <v/>
      </c>
      <c r="D35917">
        <f>IF(B35917=C35917, "YES", "WRONG")</f>
        <v/>
      </c>
    </row>
    <row r="35918">
      <c r="A35918" t="n">
        <v>35917</v>
      </c>
      <c r="B35918" t="inlineStr">
        <is>
          <t>x̄x̄x̄V̅CMXVII</t>
        </is>
      </c>
      <c r="C35918">
        <f>ROMAN(35917)</f>
        <v/>
      </c>
      <c r="D35918">
        <f>IF(B35918=C35918, "YES", "WRONG")</f>
        <v/>
      </c>
    </row>
    <row r="35919">
      <c r="A35919" t="n">
        <v>35918</v>
      </c>
      <c r="B35919" t="inlineStr">
        <is>
          <t>x̄x̄x̄V̅CMXVIII</t>
        </is>
      </c>
      <c r="C35919">
        <f>ROMAN(35918)</f>
        <v/>
      </c>
      <c r="D35919">
        <f>IF(B35919=C35919, "YES", "WRONG")</f>
        <v/>
      </c>
    </row>
    <row r="35920">
      <c r="A35920" t="n">
        <v>35919</v>
      </c>
      <c r="B35920" t="inlineStr">
        <is>
          <t>x̄x̄x̄V̅CMXIX</t>
        </is>
      </c>
      <c r="C35920">
        <f>ROMAN(35919)</f>
        <v/>
      </c>
      <c r="D35920">
        <f>IF(B35920=C35920, "YES", "WRONG")</f>
        <v/>
      </c>
    </row>
    <row r="35921">
      <c r="A35921" t="n">
        <v>35920</v>
      </c>
      <c r="B35921" t="inlineStr">
        <is>
          <t>x̄x̄x̄V̅CMXX</t>
        </is>
      </c>
      <c r="C35921">
        <f>ROMAN(35920)</f>
        <v/>
      </c>
      <c r="D35921">
        <f>IF(B35921=C35921, "YES", "WRONG")</f>
        <v/>
      </c>
    </row>
    <row r="35922">
      <c r="A35922" t="n">
        <v>35921</v>
      </c>
      <c r="B35922" t="inlineStr">
        <is>
          <t>x̄x̄x̄V̅CMXXI</t>
        </is>
      </c>
      <c r="C35922">
        <f>ROMAN(35921)</f>
        <v/>
      </c>
      <c r="D35922">
        <f>IF(B35922=C35922, "YES", "WRONG")</f>
        <v/>
      </c>
    </row>
    <row r="35923">
      <c r="A35923" t="n">
        <v>35922</v>
      </c>
      <c r="B35923" t="inlineStr">
        <is>
          <t>x̄x̄x̄V̅CMXXII</t>
        </is>
      </c>
      <c r="C35923">
        <f>ROMAN(35922)</f>
        <v/>
      </c>
      <c r="D35923">
        <f>IF(B35923=C35923, "YES", "WRONG")</f>
        <v/>
      </c>
    </row>
    <row r="35924">
      <c r="A35924" t="n">
        <v>35923</v>
      </c>
      <c r="B35924" t="inlineStr">
        <is>
          <t>x̄x̄x̄V̅CMXXIII</t>
        </is>
      </c>
      <c r="C35924">
        <f>ROMAN(35923)</f>
        <v/>
      </c>
      <c r="D35924">
        <f>IF(B35924=C35924, "YES", "WRONG")</f>
        <v/>
      </c>
    </row>
    <row r="35925">
      <c r="A35925" t="n">
        <v>35924</v>
      </c>
      <c r="B35925" t="inlineStr">
        <is>
          <t>x̄x̄x̄V̅CMXXIV</t>
        </is>
      </c>
      <c r="C35925">
        <f>ROMAN(35924)</f>
        <v/>
      </c>
      <c r="D35925">
        <f>IF(B35925=C35925, "YES", "WRONG")</f>
        <v/>
      </c>
    </row>
    <row r="35926">
      <c r="A35926" t="n">
        <v>35925</v>
      </c>
      <c r="B35926" t="inlineStr">
        <is>
          <t>x̄x̄x̄V̅CMXXV</t>
        </is>
      </c>
      <c r="C35926">
        <f>ROMAN(35925)</f>
        <v/>
      </c>
      <c r="D35926">
        <f>IF(B35926=C35926, "YES", "WRONG")</f>
        <v/>
      </c>
    </row>
    <row r="35927">
      <c r="A35927" t="n">
        <v>35926</v>
      </c>
      <c r="B35927" t="inlineStr">
        <is>
          <t>x̄x̄x̄V̅CMXXVI</t>
        </is>
      </c>
      <c r="C35927">
        <f>ROMAN(35926)</f>
        <v/>
      </c>
      <c r="D35927">
        <f>IF(B35927=C35927, "YES", "WRONG")</f>
        <v/>
      </c>
    </row>
    <row r="35928">
      <c r="A35928" t="n">
        <v>35927</v>
      </c>
      <c r="B35928" t="inlineStr">
        <is>
          <t>x̄x̄x̄V̅CMXXVII</t>
        </is>
      </c>
      <c r="C35928">
        <f>ROMAN(35927)</f>
        <v/>
      </c>
      <c r="D35928">
        <f>IF(B35928=C35928, "YES", "WRONG")</f>
        <v/>
      </c>
    </row>
    <row r="35929">
      <c r="A35929" t="n">
        <v>35928</v>
      </c>
      <c r="B35929" t="inlineStr">
        <is>
          <t>x̄x̄x̄V̅CMXXVIII</t>
        </is>
      </c>
      <c r="C35929">
        <f>ROMAN(35928)</f>
        <v/>
      </c>
      <c r="D35929">
        <f>IF(B35929=C35929, "YES", "WRONG")</f>
        <v/>
      </c>
    </row>
    <row r="35930">
      <c r="A35930" t="n">
        <v>35929</v>
      </c>
      <c r="B35930" t="inlineStr">
        <is>
          <t>x̄x̄x̄V̅CMXXIX</t>
        </is>
      </c>
      <c r="C35930">
        <f>ROMAN(35929)</f>
        <v/>
      </c>
      <c r="D35930">
        <f>IF(B35930=C35930, "YES", "WRONG")</f>
        <v/>
      </c>
    </row>
    <row r="35931">
      <c r="A35931" t="n">
        <v>35930</v>
      </c>
      <c r="B35931" t="inlineStr">
        <is>
          <t>x̄x̄x̄V̅CMXXX</t>
        </is>
      </c>
      <c r="C35931">
        <f>ROMAN(35930)</f>
        <v/>
      </c>
      <c r="D35931">
        <f>IF(B35931=C35931, "YES", "WRONG")</f>
        <v/>
      </c>
    </row>
    <row r="35932">
      <c r="A35932" t="n">
        <v>35931</v>
      </c>
      <c r="B35932" t="inlineStr">
        <is>
          <t>x̄x̄x̄V̅CMXXXI</t>
        </is>
      </c>
      <c r="C35932">
        <f>ROMAN(35931)</f>
        <v/>
      </c>
      <c r="D35932">
        <f>IF(B35932=C35932, "YES", "WRONG")</f>
        <v/>
      </c>
    </row>
    <row r="35933">
      <c r="A35933" t="n">
        <v>35932</v>
      </c>
      <c r="B35933" t="inlineStr">
        <is>
          <t>x̄x̄x̄V̅CMXXXII</t>
        </is>
      </c>
      <c r="C35933">
        <f>ROMAN(35932)</f>
        <v/>
      </c>
      <c r="D35933">
        <f>IF(B35933=C35933, "YES", "WRONG")</f>
        <v/>
      </c>
    </row>
    <row r="35934">
      <c r="A35934" t="n">
        <v>35933</v>
      </c>
      <c r="B35934" t="inlineStr">
        <is>
          <t>x̄x̄x̄V̅CMXXXIII</t>
        </is>
      </c>
      <c r="C35934">
        <f>ROMAN(35933)</f>
        <v/>
      </c>
      <c r="D35934">
        <f>IF(B35934=C35934, "YES", "WRONG")</f>
        <v/>
      </c>
    </row>
    <row r="35935">
      <c r="A35935" t="n">
        <v>35934</v>
      </c>
      <c r="B35935" t="inlineStr">
        <is>
          <t>x̄x̄x̄V̅CMXXXIV</t>
        </is>
      </c>
      <c r="C35935">
        <f>ROMAN(35934)</f>
        <v/>
      </c>
      <c r="D35935">
        <f>IF(B35935=C35935, "YES", "WRONG")</f>
        <v/>
      </c>
    </row>
    <row r="35936">
      <c r="A35936" t="n">
        <v>35935</v>
      </c>
      <c r="B35936" t="inlineStr">
        <is>
          <t>x̄x̄x̄V̅CMXXXV</t>
        </is>
      </c>
      <c r="C35936">
        <f>ROMAN(35935)</f>
        <v/>
      </c>
      <c r="D35936">
        <f>IF(B35936=C35936, "YES", "WRONG")</f>
        <v/>
      </c>
    </row>
    <row r="35937">
      <c r="A35937" t="n">
        <v>35936</v>
      </c>
      <c r="B35937" t="inlineStr">
        <is>
          <t>x̄x̄x̄V̅CMXXXVI</t>
        </is>
      </c>
      <c r="C35937">
        <f>ROMAN(35936)</f>
        <v/>
      </c>
      <c r="D35937">
        <f>IF(B35937=C35937, "YES", "WRONG")</f>
        <v/>
      </c>
    </row>
    <row r="35938">
      <c r="A35938" t="n">
        <v>35937</v>
      </c>
      <c r="B35938" t="inlineStr">
        <is>
          <t>x̄x̄x̄V̅CMXXXVII</t>
        </is>
      </c>
      <c r="C35938">
        <f>ROMAN(35937)</f>
        <v/>
      </c>
      <c r="D35938">
        <f>IF(B35938=C35938, "YES", "WRONG")</f>
        <v/>
      </c>
    </row>
    <row r="35939">
      <c r="A35939" t="n">
        <v>35938</v>
      </c>
      <c r="B35939" t="inlineStr">
        <is>
          <t>x̄x̄x̄V̅CMXXXVIII</t>
        </is>
      </c>
      <c r="C35939">
        <f>ROMAN(35938)</f>
        <v/>
      </c>
      <c r="D35939">
        <f>IF(B35939=C35939, "YES", "WRONG")</f>
        <v/>
      </c>
    </row>
    <row r="35940">
      <c r="A35940" t="n">
        <v>35939</v>
      </c>
      <c r="B35940" t="inlineStr">
        <is>
          <t>x̄x̄x̄V̅CMXXXIX</t>
        </is>
      </c>
      <c r="C35940">
        <f>ROMAN(35939)</f>
        <v/>
      </c>
      <c r="D35940">
        <f>IF(B35940=C35940, "YES", "WRONG")</f>
        <v/>
      </c>
    </row>
    <row r="35941">
      <c r="A35941" t="n">
        <v>35940</v>
      </c>
      <c r="B35941" t="inlineStr">
        <is>
          <t>x̄x̄x̄V̅CMXL</t>
        </is>
      </c>
      <c r="C35941">
        <f>ROMAN(35940)</f>
        <v/>
      </c>
      <c r="D35941">
        <f>IF(B35941=C35941, "YES", "WRONG")</f>
        <v/>
      </c>
    </row>
    <row r="35942">
      <c r="A35942" t="n">
        <v>35941</v>
      </c>
      <c r="B35942" t="inlineStr">
        <is>
          <t>x̄x̄x̄V̅CMXLI</t>
        </is>
      </c>
      <c r="C35942">
        <f>ROMAN(35941)</f>
        <v/>
      </c>
      <c r="D35942">
        <f>IF(B35942=C35942, "YES", "WRONG")</f>
        <v/>
      </c>
    </row>
    <row r="35943">
      <c r="A35943" t="n">
        <v>35942</v>
      </c>
      <c r="B35943" t="inlineStr">
        <is>
          <t>x̄x̄x̄V̅CMXLII</t>
        </is>
      </c>
      <c r="C35943">
        <f>ROMAN(35942)</f>
        <v/>
      </c>
      <c r="D35943">
        <f>IF(B35943=C35943, "YES", "WRONG")</f>
        <v/>
      </c>
    </row>
    <row r="35944">
      <c r="A35944" t="n">
        <v>35943</v>
      </c>
      <c r="B35944" t="inlineStr">
        <is>
          <t>x̄x̄x̄V̅CMXLIII</t>
        </is>
      </c>
      <c r="C35944">
        <f>ROMAN(35943)</f>
        <v/>
      </c>
      <c r="D35944">
        <f>IF(B35944=C35944, "YES", "WRONG")</f>
        <v/>
      </c>
    </row>
    <row r="35945">
      <c r="A35945" t="n">
        <v>35944</v>
      </c>
      <c r="B35945" t="inlineStr">
        <is>
          <t>x̄x̄x̄V̅CMXLIV</t>
        </is>
      </c>
      <c r="C35945">
        <f>ROMAN(35944)</f>
        <v/>
      </c>
      <c r="D35945">
        <f>IF(B35945=C35945, "YES", "WRONG")</f>
        <v/>
      </c>
    </row>
    <row r="35946">
      <c r="A35946" t="n">
        <v>35945</v>
      </c>
      <c r="B35946" t="inlineStr">
        <is>
          <t>x̄x̄x̄V̅CMXLV</t>
        </is>
      </c>
      <c r="C35946">
        <f>ROMAN(35945)</f>
        <v/>
      </c>
      <c r="D35946">
        <f>IF(B35946=C35946, "YES", "WRONG")</f>
        <v/>
      </c>
    </row>
    <row r="35947">
      <c r="A35947" t="n">
        <v>35946</v>
      </c>
      <c r="B35947" t="inlineStr">
        <is>
          <t>x̄x̄x̄V̅CMXLVI</t>
        </is>
      </c>
      <c r="C35947">
        <f>ROMAN(35946)</f>
        <v/>
      </c>
      <c r="D35947">
        <f>IF(B35947=C35947, "YES", "WRONG")</f>
        <v/>
      </c>
    </row>
    <row r="35948">
      <c r="A35948" t="n">
        <v>35947</v>
      </c>
      <c r="B35948" t="inlineStr">
        <is>
          <t>x̄x̄x̄V̅CMXLVII</t>
        </is>
      </c>
      <c r="C35948">
        <f>ROMAN(35947)</f>
        <v/>
      </c>
      <c r="D35948">
        <f>IF(B35948=C35948, "YES", "WRONG")</f>
        <v/>
      </c>
    </row>
    <row r="35949">
      <c r="A35949" t="n">
        <v>35948</v>
      </c>
      <c r="B35949" t="inlineStr">
        <is>
          <t>x̄x̄x̄V̅CMXLVIII</t>
        </is>
      </c>
      <c r="C35949">
        <f>ROMAN(35948)</f>
        <v/>
      </c>
      <c r="D35949">
        <f>IF(B35949=C35949, "YES", "WRONG")</f>
        <v/>
      </c>
    </row>
    <row r="35950">
      <c r="A35950" t="n">
        <v>35949</v>
      </c>
      <c r="B35950" t="inlineStr">
        <is>
          <t>x̄x̄x̄V̅CMXLIX</t>
        </is>
      </c>
      <c r="C35950">
        <f>ROMAN(35949)</f>
        <v/>
      </c>
      <c r="D35950">
        <f>IF(B35950=C35950, "YES", "WRONG")</f>
        <v/>
      </c>
    </row>
    <row r="35951">
      <c r="A35951" t="n">
        <v>35950</v>
      </c>
      <c r="B35951" t="inlineStr">
        <is>
          <t>x̄x̄x̄V̅CML</t>
        </is>
      </c>
      <c r="C35951">
        <f>ROMAN(35950)</f>
        <v/>
      </c>
      <c r="D35951">
        <f>IF(B35951=C35951, "YES", "WRONG")</f>
        <v/>
      </c>
    </row>
    <row r="35952">
      <c r="A35952" t="n">
        <v>35951</v>
      </c>
      <c r="B35952" t="inlineStr">
        <is>
          <t>x̄x̄x̄V̅CMLI</t>
        </is>
      </c>
      <c r="C35952">
        <f>ROMAN(35951)</f>
        <v/>
      </c>
      <c r="D35952">
        <f>IF(B35952=C35952, "YES", "WRONG")</f>
        <v/>
      </c>
    </row>
    <row r="35953">
      <c r="A35953" t="n">
        <v>35952</v>
      </c>
      <c r="B35953" t="inlineStr">
        <is>
          <t>x̄x̄x̄V̅CMLII</t>
        </is>
      </c>
      <c r="C35953">
        <f>ROMAN(35952)</f>
        <v/>
      </c>
      <c r="D35953">
        <f>IF(B35953=C35953, "YES", "WRONG")</f>
        <v/>
      </c>
    </row>
    <row r="35954">
      <c r="A35954" t="n">
        <v>35953</v>
      </c>
      <c r="B35954" t="inlineStr">
        <is>
          <t>x̄x̄x̄V̅CMLIII</t>
        </is>
      </c>
      <c r="C35954">
        <f>ROMAN(35953)</f>
        <v/>
      </c>
      <c r="D35954">
        <f>IF(B35954=C35954, "YES", "WRONG")</f>
        <v/>
      </c>
    </row>
    <row r="35955">
      <c r="A35955" t="n">
        <v>35954</v>
      </c>
      <c r="B35955" t="inlineStr">
        <is>
          <t>x̄x̄x̄V̅CMLIV</t>
        </is>
      </c>
      <c r="C35955">
        <f>ROMAN(35954)</f>
        <v/>
      </c>
      <c r="D35955">
        <f>IF(B35955=C35955, "YES", "WRONG")</f>
        <v/>
      </c>
    </row>
    <row r="35956">
      <c r="A35956" t="n">
        <v>35955</v>
      </c>
      <c r="B35956" t="inlineStr">
        <is>
          <t>x̄x̄x̄V̅CMLV</t>
        </is>
      </c>
      <c r="C35956">
        <f>ROMAN(35955)</f>
        <v/>
      </c>
      <c r="D35956">
        <f>IF(B35956=C35956, "YES", "WRONG")</f>
        <v/>
      </c>
    </row>
    <row r="35957">
      <c r="A35957" t="n">
        <v>35956</v>
      </c>
      <c r="B35957" t="inlineStr">
        <is>
          <t>x̄x̄x̄V̅CMLVI</t>
        </is>
      </c>
      <c r="C35957">
        <f>ROMAN(35956)</f>
        <v/>
      </c>
      <c r="D35957">
        <f>IF(B35957=C35957, "YES", "WRONG")</f>
        <v/>
      </c>
    </row>
    <row r="35958">
      <c r="A35958" t="n">
        <v>35957</v>
      </c>
      <c r="B35958" t="inlineStr">
        <is>
          <t>x̄x̄x̄V̅CMLVII</t>
        </is>
      </c>
      <c r="C35958">
        <f>ROMAN(35957)</f>
        <v/>
      </c>
      <c r="D35958">
        <f>IF(B35958=C35958, "YES", "WRONG")</f>
        <v/>
      </c>
    </row>
    <row r="35959">
      <c r="A35959" t="n">
        <v>35958</v>
      </c>
      <c r="B35959" t="inlineStr">
        <is>
          <t>x̄x̄x̄V̅CMLVIII</t>
        </is>
      </c>
      <c r="C35959">
        <f>ROMAN(35958)</f>
        <v/>
      </c>
      <c r="D35959">
        <f>IF(B35959=C35959, "YES", "WRONG")</f>
        <v/>
      </c>
    </row>
    <row r="35960">
      <c r="A35960" t="n">
        <v>35959</v>
      </c>
      <c r="B35960" t="inlineStr">
        <is>
          <t>x̄x̄x̄V̅CMLIX</t>
        </is>
      </c>
      <c r="C35960">
        <f>ROMAN(35959)</f>
        <v/>
      </c>
      <c r="D35960">
        <f>IF(B35960=C35960, "YES", "WRONG")</f>
        <v/>
      </c>
    </row>
    <row r="35961">
      <c r="A35961" t="n">
        <v>35960</v>
      </c>
      <c r="B35961" t="inlineStr">
        <is>
          <t>x̄x̄x̄V̅CMLX</t>
        </is>
      </c>
      <c r="C35961">
        <f>ROMAN(35960)</f>
        <v/>
      </c>
      <c r="D35961">
        <f>IF(B35961=C35961, "YES", "WRONG")</f>
        <v/>
      </c>
    </row>
    <row r="35962">
      <c r="A35962" t="n">
        <v>35961</v>
      </c>
      <c r="B35962" t="inlineStr">
        <is>
          <t>x̄x̄x̄V̅CMLXI</t>
        </is>
      </c>
      <c r="C35962">
        <f>ROMAN(35961)</f>
        <v/>
      </c>
      <c r="D35962">
        <f>IF(B35962=C35962, "YES", "WRONG")</f>
        <v/>
      </c>
    </row>
    <row r="35963">
      <c r="A35963" t="n">
        <v>35962</v>
      </c>
      <c r="B35963" t="inlineStr">
        <is>
          <t>x̄x̄x̄V̅CMLXII</t>
        </is>
      </c>
      <c r="C35963">
        <f>ROMAN(35962)</f>
        <v/>
      </c>
      <c r="D35963">
        <f>IF(B35963=C35963, "YES", "WRONG")</f>
        <v/>
      </c>
    </row>
    <row r="35964">
      <c r="A35964" t="n">
        <v>35963</v>
      </c>
      <c r="B35964" t="inlineStr">
        <is>
          <t>x̄x̄x̄V̅CMLXIII</t>
        </is>
      </c>
      <c r="C35964">
        <f>ROMAN(35963)</f>
        <v/>
      </c>
      <c r="D35964">
        <f>IF(B35964=C35964, "YES", "WRONG")</f>
        <v/>
      </c>
    </row>
    <row r="35965">
      <c r="A35965" t="n">
        <v>35964</v>
      </c>
      <c r="B35965" t="inlineStr">
        <is>
          <t>x̄x̄x̄V̅CMLXIV</t>
        </is>
      </c>
      <c r="C35965">
        <f>ROMAN(35964)</f>
        <v/>
      </c>
      <c r="D35965">
        <f>IF(B35965=C35965, "YES", "WRONG")</f>
        <v/>
      </c>
    </row>
    <row r="35966">
      <c r="A35966" t="n">
        <v>35965</v>
      </c>
      <c r="B35966" t="inlineStr">
        <is>
          <t>x̄x̄x̄V̅CMLXV</t>
        </is>
      </c>
      <c r="C35966">
        <f>ROMAN(35965)</f>
        <v/>
      </c>
      <c r="D35966">
        <f>IF(B35966=C35966, "YES", "WRONG")</f>
        <v/>
      </c>
    </row>
    <row r="35967">
      <c r="A35967" t="n">
        <v>35966</v>
      </c>
      <c r="B35967" t="inlineStr">
        <is>
          <t>x̄x̄x̄V̅CMLXVI</t>
        </is>
      </c>
      <c r="C35967">
        <f>ROMAN(35966)</f>
        <v/>
      </c>
      <c r="D35967">
        <f>IF(B35967=C35967, "YES", "WRONG")</f>
        <v/>
      </c>
    </row>
    <row r="35968">
      <c r="A35968" t="n">
        <v>35967</v>
      </c>
      <c r="B35968" t="inlineStr">
        <is>
          <t>x̄x̄x̄V̅CMLXVII</t>
        </is>
      </c>
      <c r="C35968">
        <f>ROMAN(35967)</f>
        <v/>
      </c>
      <c r="D35968">
        <f>IF(B35968=C35968, "YES", "WRONG")</f>
        <v/>
      </c>
    </row>
    <row r="35969">
      <c r="A35969" t="n">
        <v>35968</v>
      </c>
      <c r="B35969" t="inlineStr">
        <is>
          <t>x̄x̄x̄V̅CMLXVIII</t>
        </is>
      </c>
      <c r="C35969">
        <f>ROMAN(35968)</f>
        <v/>
      </c>
      <c r="D35969">
        <f>IF(B35969=C35969, "YES", "WRONG")</f>
        <v/>
      </c>
    </row>
    <row r="35970">
      <c r="A35970" t="n">
        <v>35969</v>
      </c>
      <c r="B35970" t="inlineStr">
        <is>
          <t>x̄x̄x̄V̅CMLXIX</t>
        </is>
      </c>
      <c r="C35970">
        <f>ROMAN(35969)</f>
        <v/>
      </c>
      <c r="D35970">
        <f>IF(B35970=C35970, "YES", "WRONG")</f>
        <v/>
      </c>
    </row>
    <row r="35971">
      <c r="A35971" t="n">
        <v>35970</v>
      </c>
      <c r="B35971" t="inlineStr">
        <is>
          <t>x̄x̄x̄V̅CMLXX</t>
        </is>
      </c>
      <c r="C35971">
        <f>ROMAN(35970)</f>
        <v/>
      </c>
      <c r="D35971">
        <f>IF(B35971=C35971, "YES", "WRONG")</f>
        <v/>
      </c>
    </row>
    <row r="35972">
      <c r="A35972" t="n">
        <v>35971</v>
      </c>
      <c r="B35972" t="inlineStr">
        <is>
          <t>x̄x̄x̄V̅CMLXXI</t>
        </is>
      </c>
      <c r="C35972">
        <f>ROMAN(35971)</f>
        <v/>
      </c>
      <c r="D35972">
        <f>IF(B35972=C35972, "YES", "WRONG")</f>
        <v/>
      </c>
    </row>
    <row r="35973">
      <c r="A35973" t="n">
        <v>35972</v>
      </c>
      <c r="B35973" t="inlineStr">
        <is>
          <t>x̄x̄x̄V̅CMLXXII</t>
        </is>
      </c>
      <c r="C35973">
        <f>ROMAN(35972)</f>
        <v/>
      </c>
      <c r="D35973">
        <f>IF(B35973=C35973, "YES", "WRONG")</f>
        <v/>
      </c>
    </row>
    <row r="35974">
      <c r="A35974" t="n">
        <v>35973</v>
      </c>
      <c r="B35974" t="inlineStr">
        <is>
          <t>x̄x̄x̄V̅CMLXXIII</t>
        </is>
      </c>
      <c r="C35974">
        <f>ROMAN(35973)</f>
        <v/>
      </c>
      <c r="D35974">
        <f>IF(B35974=C35974, "YES", "WRONG")</f>
        <v/>
      </c>
    </row>
    <row r="35975">
      <c r="A35975" t="n">
        <v>35974</v>
      </c>
      <c r="B35975" t="inlineStr">
        <is>
          <t>x̄x̄x̄V̅CMLXXIV</t>
        </is>
      </c>
      <c r="C35975">
        <f>ROMAN(35974)</f>
        <v/>
      </c>
      <c r="D35975">
        <f>IF(B35975=C35975, "YES", "WRONG")</f>
        <v/>
      </c>
    </row>
    <row r="35976">
      <c r="A35976" t="n">
        <v>35975</v>
      </c>
      <c r="B35976" t="inlineStr">
        <is>
          <t>x̄x̄x̄V̅CMLXXV</t>
        </is>
      </c>
      <c r="C35976">
        <f>ROMAN(35975)</f>
        <v/>
      </c>
      <c r="D35976">
        <f>IF(B35976=C35976, "YES", "WRONG")</f>
        <v/>
      </c>
    </row>
    <row r="35977">
      <c r="A35977" t="n">
        <v>35976</v>
      </c>
      <c r="B35977" t="inlineStr">
        <is>
          <t>x̄x̄x̄V̅CMLXXVI</t>
        </is>
      </c>
      <c r="C35977">
        <f>ROMAN(35976)</f>
        <v/>
      </c>
      <c r="D35977">
        <f>IF(B35977=C35977, "YES", "WRONG")</f>
        <v/>
      </c>
    </row>
    <row r="35978">
      <c r="A35978" t="n">
        <v>35977</v>
      </c>
      <c r="B35978" t="inlineStr">
        <is>
          <t>x̄x̄x̄V̅CMLXXVII</t>
        </is>
      </c>
      <c r="C35978">
        <f>ROMAN(35977)</f>
        <v/>
      </c>
      <c r="D35978">
        <f>IF(B35978=C35978, "YES", "WRONG")</f>
        <v/>
      </c>
    </row>
    <row r="35979">
      <c r="A35979" t="n">
        <v>35978</v>
      </c>
      <c r="B35979" t="inlineStr">
        <is>
          <t>x̄x̄x̄V̅CMLXXVIII</t>
        </is>
      </c>
      <c r="C35979">
        <f>ROMAN(35978)</f>
        <v/>
      </c>
      <c r="D35979">
        <f>IF(B35979=C35979, "YES", "WRONG")</f>
        <v/>
      </c>
    </row>
    <row r="35980">
      <c r="A35980" t="n">
        <v>35979</v>
      </c>
      <c r="B35980" t="inlineStr">
        <is>
          <t>x̄x̄x̄V̅CMLXXIX</t>
        </is>
      </c>
      <c r="C35980">
        <f>ROMAN(35979)</f>
        <v/>
      </c>
      <c r="D35980">
        <f>IF(B35980=C35980, "YES", "WRONG")</f>
        <v/>
      </c>
    </row>
    <row r="35981">
      <c r="A35981" t="n">
        <v>35980</v>
      </c>
      <c r="B35981" t="inlineStr">
        <is>
          <t>x̄x̄x̄V̅CMLXXX</t>
        </is>
      </c>
      <c r="C35981">
        <f>ROMAN(35980)</f>
        <v/>
      </c>
      <c r="D35981">
        <f>IF(B35981=C35981, "YES", "WRONG")</f>
        <v/>
      </c>
    </row>
    <row r="35982">
      <c r="A35982" t="n">
        <v>35981</v>
      </c>
      <c r="B35982" t="inlineStr">
        <is>
          <t>x̄x̄x̄V̅CMLXXXI</t>
        </is>
      </c>
      <c r="C35982">
        <f>ROMAN(35981)</f>
        <v/>
      </c>
      <c r="D35982">
        <f>IF(B35982=C35982, "YES", "WRONG")</f>
        <v/>
      </c>
    </row>
    <row r="35983">
      <c r="A35983" t="n">
        <v>35982</v>
      </c>
      <c r="B35983" t="inlineStr">
        <is>
          <t>x̄x̄x̄V̅CMLXXXII</t>
        </is>
      </c>
      <c r="C35983">
        <f>ROMAN(35982)</f>
        <v/>
      </c>
      <c r="D35983">
        <f>IF(B35983=C35983, "YES", "WRONG")</f>
        <v/>
      </c>
    </row>
    <row r="35984">
      <c r="A35984" t="n">
        <v>35983</v>
      </c>
      <c r="B35984" t="inlineStr">
        <is>
          <t>x̄x̄x̄V̅CMLXXXIII</t>
        </is>
      </c>
      <c r="C35984">
        <f>ROMAN(35983)</f>
        <v/>
      </c>
      <c r="D35984">
        <f>IF(B35984=C35984, "YES", "WRONG")</f>
        <v/>
      </c>
    </row>
    <row r="35985">
      <c r="A35985" t="n">
        <v>35984</v>
      </c>
      <c r="B35985" t="inlineStr">
        <is>
          <t>x̄x̄x̄V̅CMLXXXIV</t>
        </is>
      </c>
      <c r="C35985">
        <f>ROMAN(35984)</f>
        <v/>
      </c>
      <c r="D35985">
        <f>IF(B35985=C35985, "YES", "WRONG")</f>
        <v/>
      </c>
    </row>
    <row r="35986">
      <c r="A35986" t="n">
        <v>35985</v>
      </c>
      <c r="B35986" t="inlineStr">
        <is>
          <t>x̄x̄x̄V̅CMLXXXV</t>
        </is>
      </c>
      <c r="C35986">
        <f>ROMAN(35985)</f>
        <v/>
      </c>
      <c r="D35986">
        <f>IF(B35986=C35986, "YES", "WRONG")</f>
        <v/>
      </c>
    </row>
    <row r="35987">
      <c r="A35987" t="n">
        <v>35986</v>
      </c>
      <c r="B35987" t="inlineStr">
        <is>
          <t>x̄x̄x̄V̅CMLXXXVI</t>
        </is>
      </c>
      <c r="C35987">
        <f>ROMAN(35986)</f>
        <v/>
      </c>
      <c r="D35987">
        <f>IF(B35987=C35987, "YES", "WRONG")</f>
        <v/>
      </c>
    </row>
    <row r="35988">
      <c r="A35988" t="n">
        <v>35987</v>
      </c>
      <c r="B35988" t="inlineStr">
        <is>
          <t>x̄x̄x̄V̅CMLXXXVII</t>
        </is>
      </c>
      <c r="C35988">
        <f>ROMAN(35987)</f>
        <v/>
      </c>
      <c r="D35988">
        <f>IF(B35988=C35988, "YES", "WRONG")</f>
        <v/>
      </c>
    </row>
    <row r="35989">
      <c r="A35989" t="n">
        <v>35988</v>
      </c>
      <c r="B35989" t="inlineStr">
        <is>
          <t>x̄x̄x̄V̅CMLXXXVIII</t>
        </is>
      </c>
      <c r="C35989">
        <f>ROMAN(35988)</f>
        <v/>
      </c>
      <c r="D35989">
        <f>IF(B35989=C35989, "YES", "WRONG")</f>
        <v/>
      </c>
    </row>
    <row r="35990">
      <c r="A35990" t="n">
        <v>35989</v>
      </c>
      <c r="B35990" t="inlineStr">
        <is>
          <t>x̄x̄x̄V̅CMLXXXIX</t>
        </is>
      </c>
      <c r="C35990">
        <f>ROMAN(35989)</f>
        <v/>
      </c>
      <c r="D35990">
        <f>IF(B35990=C35990, "YES", "WRONG")</f>
        <v/>
      </c>
    </row>
    <row r="35991">
      <c r="A35991" t="n">
        <v>35990</v>
      </c>
      <c r="B35991" t="inlineStr">
        <is>
          <t>x̄x̄x̄V̅CMXC</t>
        </is>
      </c>
      <c r="C35991">
        <f>ROMAN(35990)</f>
        <v/>
      </c>
      <c r="D35991">
        <f>IF(B35991=C35991, "YES", "WRONG")</f>
        <v/>
      </c>
    </row>
    <row r="35992">
      <c r="A35992" t="n">
        <v>35991</v>
      </c>
      <c r="B35992" t="inlineStr">
        <is>
          <t>x̄x̄x̄V̅CMXCI</t>
        </is>
      </c>
      <c r="C35992">
        <f>ROMAN(35991)</f>
        <v/>
      </c>
      <c r="D35992">
        <f>IF(B35992=C35992, "YES", "WRONG")</f>
        <v/>
      </c>
    </row>
    <row r="35993">
      <c r="A35993" t="n">
        <v>35992</v>
      </c>
      <c r="B35993" t="inlineStr">
        <is>
          <t>x̄x̄x̄V̅CMXCII</t>
        </is>
      </c>
      <c r="C35993">
        <f>ROMAN(35992)</f>
        <v/>
      </c>
      <c r="D35993">
        <f>IF(B35993=C35993, "YES", "WRONG")</f>
        <v/>
      </c>
    </row>
    <row r="35994">
      <c r="A35994" t="n">
        <v>35993</v>
      </c>
      <c r="B35994" t="inlineStr">
        <is>
          <t>x̄x̄x̄V̅CMXCIII</t>
        </is>
      </c>
      <c r="C35994">
        <f>ROMAN(35993)</f>
        <v/>
      </c>
      <c r="D35994">
        <f>IF(B35994=C35994, "YES", "WRONG")</f>
        <v/>
      </c>
    </row>
    <row r="35995">
      <c r="A35995" t="n">
        <v>35994</v>
      </c>
      <c r="B35995" t="inlineStr">
        <is>
          <t>x̄x̄x̄V̅CMXCIV</t>
        </is>
      </c>
      <c r="C35995">
        <f>ROMAN(35994)</f>
        <v/>
      </c>
      <c r="D35995">
        <f>IF(B35995=C35995, "YES", "WRONG")</f>
        <v/>
      </c>
    </row>
    <row r="35996">
      <c r="A35996" t="n">
        <v>35995</v>
      </c>
      <c r="B35996" t="inlineStr">
        <is>
          <t>x̄x̄x̄V̅CMXCV</t>
        </is>
      </c>
      <c r="C35996">
        <f>ROMAN(35995)</f>
        <v/>
      </c>
      <c r="D35996">
        <f>IF(B35996=C35996, "YES", "WRONG")</f>
        <v/>
      </c>
    </row>
    <row r="35997">
      <c r="A35997" t="n">
        <v>35996</v>
      </c>
      <c r="B35997" t="inlineStr">
        <is>
          <t>x̄x̄x̄V̅CMXCVI</t>
        </is>
      </c>
      <c r="C35997">
        <f>ROMAN(35996)</f>
        <v/>
      </c>
      <c r="D35997">
        <f>IF(B35997=C35997, "YES", "WRONG")</f>
        <v/>
      </c>
    </row>
    <row r="35998">
      <c r="A35998" t="n">
        <v>35997</v>
      </c>
      <c r="B35998" t="inlineStr">
        <is>
          <t>x̄x̄x̄V̅CMXCVII</t>
        </is>
      </c>
      <c r="C35998">
        <f>ROMAN(35997)</f>
        <v/>
      </c>
      <c r="D35998">
        <f>IF(B35998=C35998, "YES", "WRONG")</f>
        <v/>
      </c>
    </row>
    <row r="35999">
      <c r="A35999" t="n">
        <v>35998</v>
      </c>
      <c r="B35999" t="inlineStr">
        <is>
          <t>x̄x̄x̄V̅CMXCVIII</t>
        </is>
      </c>
      <c r="C35999">
        <f>ROMAN(35998)</f>
        <v/>
      </c>
      <c r="D35999">
        <f>IF(B35999=C35999, "YES", "WRONG")</f>
        <v/>
      </c>
    </row>
    <row r="36000">
      <c r="A36000" t="n">
        <v>35999</v>
      </c>
      <c r="B36000" t="inlineStr">
        <is>
          <t>x̄x̄x̄V̅CMXCIX</t>
        </is>
      </c>
      <c r="C36000">
        <f>ROMAN(35999)</f>
        <v/>
      </c>
      <c r="D36000">
        <f>IF(B36000=C36000, "YES", "WRONG")</f>
        <v/>
      </c>
    </row>
    <row r="36001">
      <c r="A36001" t="n">
        <v>36000</v>
      </c>
      <c r="B36001" t="inlineStr">
        <is>
          <t>x̄x̄x̄V̅M</t>
        </is>
      </c>
      <c r="C36001">
        <f>ROMAN(36000)</f>
        <v/>
      </c>
      <c r="D36001">
        <f>IF(B36001=C36001, "YES", "WRONG")</f>
        <v/>
      </c>
    </row>
    <row r="36002">
      <c r="A36002" t="n">
        <v>36001</v>
      </c>
      <c r="B36002" t="inlineStr">
        <is>
          <t>x̄x̄x̄V̅MI</t>
        </is>
      </c>
      <c r="C36002">
        <f>ROMAN(36001)</f>
        <v/>
      </c>
      <c r="D36002">
        <f>IF(B36002=C36002, "YES", "WRONG")</f>
        <v/>
      </c>
    </row>
    <row r="36003">
      <c r="A36003" t="n">
        <v>36002</v>
      </c>
      <c r="B36003" t="inlineStr">
        <is>
          <t>x̄x̄x̄V̅MII</t>
        </is>
      </c>
      <c r="C36003">
        <f>ROMAN(36002)</f>
        <v/>
      </c>
      <c r="D36003">
        <f>IF(B36003=C36003, "YES", "WRONG")</f>
        <v/>
      </c>
    </row>
    <row r="36004">
      <c r="A36004" t="n">
        <v>36003</v>
      </c>
      <c r="B36004" t="inlineStr">
        <is>
          <t>x̄x̄x̄V̅MIII</t>
        </is>
      </c>
      <c r="C36004">
        <f>ROMAN(36003)</f>
        <v/>
      </c>
      <c r="D36004">
        <f>IF(B36004=C36004, "YES", "WRONG")</f>
        <v/>
      </c>
    </row>
    <row r="36005">
      <c r="A36005" t="n">
        <v>36004</v>
      </c>
      <c r="B36005" t="inlineStr">
        <is>
          <t>x̄x̄x̄V̅MIV</t>
        </is>
      </c>
      <c r="C36005">
        <f>ROMAN(36004)</f>
        <v/>
      </c>
      <c r="D36005">
        <f>IF(B36005=C36005, "YES", "WRONG")</f>
        <v/>
      </c>
    </row>
    <row r="36006">
      <c r="A36006" t="n">
        <v>36005</v>
      </c>
      <c r="B36006" t="inlineStr">
        <is>
          <t>x̄x̄x̄V̅MV</t>
        </is>
      </c>
      <c r="C36006">
        <f>ROMAN(36005)</f>
        <v/>
      </c>
      <c r="D36006">
        <f>IF(B36006=C36006, "YES", "WRONG")</f>
        <v/>
      </c>
    </row>
    <row r="36007">
      <c r="A36007" t="n">
        <v>36006</v>
      </c>
      <c r="B36007" t="inlineStr">
        <is>
          <t>x̄x̄x̄V̅MVI</t>
        </is>
      </c>
      <c r="C36007">
        <f>ROMAN(36006)</f>
        <v/>
      </c>
      <c r="D36007">
        <f>IF(B36007=C36007, "YES", "WRONG")</f>
        <v/>
      </c>
    </row>
    <row r="36008">
      <c r="A36008" t="n">
        <v>36007</v>
      </c>
      <c r="B36008" t="inlineStr">
        <is>
          <t>x̄x̄x̄V̅MVII</t>
        </is>
      </c>
      <c r="C36008">
        <f>ROMAN(36007)</f>
        <v/>
      </c>
      <c r="D36008">
        <f>IF(B36008=C36008, "YES", "WRONG")</f>
        <v/>
      </c>
    </row>
    <row r="36009">
      <c r="A36009" t="n">
        <v>36008</v>
      </c>
      <c r="B36009" t="inlineStr">
        <is>
          <t>x̄x̄x̄V̅MVIII</t>
        </is>
      </c>
      <c r="C36009">
        <f>ROMAN(36008)</f>
        <v/>
      </c>
      <c r="D36009">
        <f>IF(B36009=C36009, "YES", "WRONG")</f>
        <v/>
      </c>
    </row>
    <row r="36010">
      <c r="A36010" t="n">
        <v>36009</v>
      </c>
      <c r="B36010" t="inlineStr">
        <is>
          <t>x̄x̄x̄V̅MIX</t>
        </is>
      </c>
      <c r="C36010">
        <f>ROMAN(36009)</f>
        <v/>
      </c>
      <c r="D36010">
        <f>IF(B36010=C36010, "YES", "WRONG")</f>
        <v/>
      </c>
    </row>
    <row r="36011">
      <c r="A36011" t="n">
        <v>36010</v>
      </c>
      <c r="B36011" t="inlineStr">
        <is>
          <t>x̄x̄x̄V̅MX</t>
        </is>
      </c>
      <c r="C36011">
        <f>ROMAN(36010)</f>
        <v/>
      </c>
      <c r="D36011">
        <f>IF(B36011=C36011, "YES", "WRONG")</f>
        <v/>
      </c>
    </row>
    <row r="36012">
      <c r="A36012" t="n">
        <v>36011</v>
      </c>
      <c r="B36012" t="inlineStr">
        <is>
          <t>x̄x̄x̄V̅MXI</t>
        </is>
      </c>
      <c r="C36012">
        <f>ROMAN(36011)</f>
        <v/>
      </c>
      <c r="D36012">
        <f>IF(B36012=C36012, "YES", "WRONG")</f>
        <v/>
      </c>
    </row>
    <row r="36013">
      <c r="A36013" t="n">
        <v>36012</v>
      </c>
      <c r="B36013" t="inlineStr">
        <is>
          <t>x̄x̄x̄V̅MXII</t>
        </is>
      </c>
      <c r="C36013">
        <f>ROMAN(36012)</f>
        <v/>
      </c>
      <c r="D36013">
        <f>IF(B36013=C36013, "YES", "WRONG")</f>
        <v/>
      </c>
    </row>
    <row r="36014">
      <c r="A36014" t="n">
        <v>36013</v>
      </c>
      <c r="B36014" t="inlineStr">
        <is>
          <t>x̄x̄x̄V̅MXIII</t>
        </is>
      </c>
      <c r="C36014">
        <f>ROMAN(36013)</f>
        <v/>
      </c>
      <c r="D36014">
        <f>IF(B36014=C36014, "YES", "WRONG")</f>
        <v/>
      </c>
    </row>
    <row r="36015">
      <c r="A36015" t="n">
        <v>36014</v>
      </c>
      <c r="B36015" t="inlineStr">
        <is>
          <t>x̄x̄x̄V̅MXIV</t>
        </is>
      </c>
      <c r="C36015">
        <f>ROMAN(36014)</f>
        <v/>
      </c>
      <c r="D36015">
        <f>IF(B36015=C36015, "YES", "WRONG")</f>
        <v/>
      </c>
    </row>
    <row r="36016">
      <c r="A36016" t="n">
        <v>36015</v>
      </c>
      <c r="B36016" t="inlineStr">
        <is>
          <t>x̄x̄x̄V̅MXV</t>
        </is>
      </c>
      <c r="C36016">
        <f>ROMAN(36015)</f>
        <v/>
      </c>
      <c r="D36016">
        <f>IF(B36016=C36016, "YES", "WRONG")</f>
        <v/>
      </c>
    </row>
    <row r="36017">
      <c r="A36017" t="n">
        <v>36016</v>
      </c>
      <c r="B36017" t="inlineStr">
        <is>
          <t>x̄x̄x̄V̅MXVI</t>
        </is>
      </c>
      <c r="C36017">
        <f>ROMAN(36016)</f>
        <v/>
      </c>
      <c r="D36017">
        <f>IF(B36017=C36017, "YES", "WRONG")</f>
        <v/>
      </c>
    </row>
    <row r="36018">
      <c r="A36018" t="n">
        <v>36017</v>
      </c>
      <c r="B36018" t="inlineStr">
        <is>
          <t>x̄x̄x̄V̅MXVII</t>
        </is>
      </c>
      <c r="C36018">
        <f>ROMAN(36017)</f>
        <v/>
      </c>
      <c r="D36018">
        <f>IF(B36018=C36018, "YES", "WRONG")</f>
        <v/>
      </c>
    </row>
    <row r="36019">
      <c r="A36019" t="n">
        <v>36018</v>
      </c>
      <c r="B36019" t="inlineStr">
        <is>
          <t>x̄x̄x̄V̅MXVIII</t>
        </is>
      </c>
      <c r="C36019">
        <f>ROMAN(36018)</f>
        <v/>
      </c>
      <c r="D36019">
        <f>IF(B36019=C36019, "YES", "WRONG")</f>
        <v/>
      </c>
    </row>
    <row r="36020">
      <c r="A36020" t="n">
        <v>36019</v>
      </c>
      <c r="B36020" t="inlineStr">
        <is>
          <t>x̄x̄x̄V̅MXIX</t>
        </is>
      </c>
      <c r="C36020">
        <f>ROMAN(36019)</f>
        <v/>
      </c>
      <c r="D36020">
        <f>IF(B36020=C36020, "YES", "WRONG")</f>
        <v/>
      </c>
    </row>
    <row r="36021">
      <c r="A36021" t="n">
        <v>36020</v>
      </c>
      <c r="B36021" t="inlineStr">
        <is>
          <t>x̄x̄x̄V̅MXX</t>
        </is>
      </c>
      <c r="C36021">
        <f>ROMAN(36020)</f>
        <v/>
      </c>
      <c r="D36021">
        <f>IF(B36021=C36021, "YES", "WRONG")</f>
        <v/>
      </c>
    </row>
    <row r="36022">
      <c r="A36022" t="n">
        <v>36021</v>
      </c>
      <c r="B36022" t="inlineStr">
        <is>
          <t>x̄x̄x̄V̅MXXI</t>
        </is>
      </c>
      <c r="C36022">
        <f>ROMAN(36021)</f>
        <v/>
      </c>
      <c r="D36022">
        <f>IF(B36022=C36022, "YES", "WRONG")</f>
        <v/>
      </c>
    </row>
    <row r="36023">
      <c r="A36023" t="n">
        <v>36022</v>
      </c>
      <c r="B36023" t="inlineStr">
        <is>
          <t>x̄x̄x̄V̅MXXII</t>
        </is>
      </c>
      <c r="C36023">
        <f>ROMAN(36022)</f>
        <v/>
      </c>
      <c r="D36023">
        <f>IF(B36023=C36023, "YES", "WRONG")</f>
        <v/>
      </c>
    </row>
    <row r="36024">
      <c r="A36024" t="n">
        <v>36023</v>
      </c>
      <c r="B36024" t="inlineStr">
        <is>
          <t>x̄x̄x̄V̅MXXIII</t>
        </is>
      </c>
      <c r="C36024">
        <f>ROMAN(36023)</f>
        <v/>
      </c>
      <c r="D36024">
        <f>IF(B36024=C36024, "YES", "WRONG")</f>
        <v/>
      </c>
    </row>
    <row r="36025">
      <c r="A36025" t="n">
        <v>36024</v>
      </c>
      <c r="B36025" t="inlineStr">
        <is>
          <t>x̄x̄x̄V̅MXXIV</t>
        </is>
      </c>
      <c r="C36025">
        <f>ROMAN(36024)</f>
        <v/>
      </c>
      <c r="D36025">
        <f>IF(B36025=C36025, "YES", "WRONG")</f>
        <v/>
      </c>
    </row>
    <row r="36026">
      <c r="A36026" t="n">
        <v>36025</v>
      </c>
      <c r="B36026" t="inlineStr">
        <is>
          <t>x̄x̄x̄V̅MXXV</t>
        </is>
      </c>
      <c r="C36026">
        <f>ROMAN(36025)</f>
        <v/>
      </c>
      <c r="D36026">
        <f>IF(B36026=C36026, "YES", "WRONG")</f>
        <v/>
      </c>
    </row>
    <row r="36027">
      <c r="A36027" t="n">
        <v>36026</v>
      </c>
      <c r="B36027" t="inlineStr">
        <is>
          <t>x̄x̄x̄V̅MXXVI</t>
        </is>
      </c>
      <c r="C36027">
        <f>ROMAN(36026)</f>
        <v/>
      </c>
      <c r="D36027">
        <f>IF(B36027=C36027, "YES", "WRONG")</f>
        <v/>
      </c>
    </row>
    <row r="36028">
      <c r="A36028" t="n">
        <v>36027</v>
      </c>
      <c r="B36028" t="inlineStr">
        <is>
          <t>x̄x̄x̄V̅MXXVII</t>
        </is>
      </c>
      <c r="C36028">
        <f>ROMAN(36027)</f>
        <v/>
      </c>
      <c r="D36028">
        <f>IF(B36028=C36028, "YES", "WRONG")</f>
        <v/>
      </c>
    </row>
    <row r="36029">
      <c r="A36029" t="n">
        <v>36028</v>
      </c>
      <c r="B36029" t="inlineStr">
        <is>
          <t>x̄x̄x̄V̅MXXVIII</t>
        </is>
      </c>
      <c r="C36029">
        <f>ROMAN(36028)</f>
        <v/>
      </c>
      <c r="D36029">
        <f>IF(B36029=C36029, "YES", "WRONG")</f>
        <v/>
      </c>
    </row>
    <row r="36030">
      <c r="A36030" t="n">
        <v>36029</v>
      </c>
      <c r="B36030" t="inlineStr">
        <is>
          <t>x̄x̄x̄V̅MXXIX</t>
        </is>
      </c>
      <c r="C36030">
        <f>ROMAN(36029)</f>
        <v/>
      </c>
      <c r="D36030">
        <f>IF(B36030=C36030, "YES", "WRONG")</f>
        <v/>
      </c>
    </row>
    <row r="36031">
      <c r="A36031" t="n">
        <v>36030</v>
      </c>
      <c r="B36031" t="inlineStr">
        <is>
          <t>x̄x̄x̄V̅MXXX</t>
        </is>
      </c>
      <c r="C36031">
        <f>ROMAN(36030)</f>
        <v/>
      </c>
      <c r="D36031">
        <f>IF(B36031=C36031, "YES", "WRONG")</f>
        <v/>
      </c>
    </row>
    <row r="36032">
      <c r="A36032" t="n">
        <v>36031</v>
      </c>
      <c r="B36032" t="inlineStr">
        <is>
          <t>x̄x̄x̄V̅MXXXI</t>
        </is>
      </c>
      <c r="C36032">
        <f>ROMAN(36031)</f>
        <v/>
      </c>
      <c r="D36032">
        <f>IF(B36032=C36032, "YES", "WRONG")</f>
        <v/>
      </c>
    </row>
    <row r="36033">
      <c r="A36033" t="n">
        <v>36032</v>
      </c>
      <c r="B36033" t="inlineStr">
        <is>
          <t>x̄x̄x̄V̅MXXXII</t>
        </is>
      </c>
      <c r="C36033">
        <f>ROMAN(36032)</f>
        <v/>
      </c>
      <c r="D36033">
        <f>IF(B36033=C36033, "YES", "WRONG")</f>
        <v/>
      </c>
    </row>
    <row r="36034">
      <c r="A36034" t="n">
        <v>36033</v>
      </c>
      <c r="B36034" t="inlineStr">
        <is>
          <t>x̄x̄x̄V̅MXXXIII</t>
        </is>
      </c>
      <c r="C36034">
        <f>ROMAN(36033)</f>
        <v/>
      </c>
      <c r="D36034">
        <f>IF(B36034=C36034, "YES", "WRONG")</f>
        <v/>
      </c>
    </row>
    <row r="36035">
      <c r="A36035" t="n">
        <v>36034</v>
      </c>
      <c r="B36035" t="inlineStr">
        <is>
          <t>x̄x̄x̄V̅MXXXIV</t>
        </is>
      </c>
      <c r="C36035">
        <f>ROMAN(36034)</f>
        <v/>
      </c>
      <c r="D36035">
        <f>IF(B36035=C36035, "YES", "WRONG")</f>
        <v/>
      </c>
    </row>
    <row r="36036">
      <c r="A36036" t="n">
        <v>36035</v>
      </c>
      <c r="B36036" t="inlineStr">
        <is>
          <t>x̄x̄x̄V̅MXXXV</t>
        </is>
      </c>
      <c r="C36036">
        <f>ROMAN(36035)</f>
        <v/>
      </c>
      <c r="D36036">
        <f>IF(B36036=C36036, "YES", "WRONG")</f>
        <v/>
      </c>
    </row>
    <row r="36037">
      <c r="A36037" t="n">
        <v>36036</v>
      </c>
      <c r="B36037" t="inlineStr">
        <is>
          <t>x̄x̄x̄V̅MXXXVI</t>
        </is>
      </c>
      <c r="C36037">
        <f>ROMAN(36036)</f>
        <v/>
      </c>
      <c r="D36037">
        <f>IF(B36037=C36037, "YES", "WRONG")</f>
        <v/>
      </c>
    </row>
    <row r="36038">
      <c r="A36038" t="n">
        <v>36037</v>
      </c>
      <c r="B36038" t="inlineStr">
        <is>
          <t>x̄x̄x̄V̅MXXXVII</t>
        </is>
      </c>
      <c r="C36038">
        <f>ROMAN(36037)</f>
        <v/>
      </c>
      <c r="D36038">
        <f>IF(B36038=C36038, "YES", "WRONG")</f>
        <v/>
      </c>
    </row>
    <row r="36039">
      <c r="A36039" t="n">
        <v>36038</v>
      </c>
      <c r="B36039" t="inlineStr">
        <is>
          <t>x̄x̄x̄V̅MXXXVIII</t>
        </is>
      </c>
      <c r="C36039">
        <f>ROMAN(36038)</f>
        <v/>
      </c>
      <c r="D36039">
        <f>IF(B36039=C36039, "YES", "WRONG")</f>
        <v/>
      </c>
    </row>
    <row r="36040">
      <c r="A36040" t="n">
        <v>36039</v>
      </c>
      <c r="B36040" t="inlineStr">
        <is>
          <t>x̄x̄x̄V̅MXXXIX</t>
        </is>
      </c>
      <c r="C36040">
        <f>ROMAN(36039)</f>
        <v/>
      </c>
      <c r="D36040">
        <f>IF(B36040=C36040, "YES", "WRONG")</f>
        <v/>
      </c>
    </row>
    <row r="36041">
      <c r="A36041" t="n">
        <v>36040</v>
      </c>
      <c r="B36041" t="inlineStr">
        <is>
          <t>x̄x̄x̄V̅MXL</t>
        </is>
      </c>
      <c r="C36041">
        <f>ROMAN(36040)</f>
        <v/>
      </c>
      <c r="D36041">
        <f>IF(B36041=C36041, "YES", "WRONG")</f>
        <v/>
      </c>
    </row>
    <row r="36042">
      <c r="A36042" t="n">
        <v>36041</v>
      </c>
      <c r="B36042" t="inlineStr">
        <is>
          <t>x̄x̄x̄V̅MXLI</t>
        </is>
      </c>
      <c r="C36042">
        <f>ROMAN(36041)</f>
        <v/>
      </c>
      <c r="D36042">
        <f>IF(B36042=C36042, "YES", "WRONG")</f>
        <v/>
      </c>
    </row>
    <row r="36043">
      <c r="A36043" t="n">
        <v>36042</v>
      </c>
      <c r="B36043" t="inlineStr">
        <is>
          <t>x̄x̄x̄V̅MXLII</t>
        </is>
      </c>
      <c r="C36043">
        <f>ROMAN(36042)</f>
        <v/>
      </c>
      <c r="D36043">
        <f>IF(B36043=C36043, "YES", "WRONG")</f>
        <v/>
      </c>
    </row>
    <row r="36044">
      <c r="A36044" t="n">
        <v>36043</v>
      </c>
      <c r="B36044" t="inlineStr">
        <is>
          <t>x̄x̄x̄V̅MXLIII</t>
        </is>
      </c>
      <c r="C36044">
        <f>ROMAN(36043)</f>
        <v/>
      </c>
      <c r="D36044">
        <f>IF(B36044=C36044, "YES", "WRONG")</f>
        <v/>
      </c>
    </row>
    <row r="36045">
      <c r="A36045" t="n">
        <v>36044</v>
      </c>
      <c r="B36045" t="inlineStr">
        <is>
          <t>x̄x̄x̄V̅MXLIV</t>
        </is>
      </c>
      <c r="C36045">
        <f>ROMAN(36044)</f>
        <v/>
      </c>
      <c r="D36045">
        <f>IF(B36045=C36045, "YES", "WRONG")</f>
        <v/>
      </c>
    </row>
    <row r="36046">
      <c r="A36046" t="n">
        <v>36045</v>
      </c>
      <c r="B36046" t="inlineStr">
        <is>
          <t>x̄x̄x̄V̅MXLV</t>
        </is>
      </c>
      <c r="C36046">
        <f>ROMAN(36045)</f>
        <v/>
      </c>
      <c r="D36046">
        <f>IF(B36046=C36046, "YES", "WRONG")</f>
        <v/>
      </c>
    </row>
    <row r="36047">
      <c r="A36047" t="n">
        <v>36046</v>
      </c>
      <c r="B36047" t="inlineStr">
        <is>
          <t>x̄x̄x̄V̅MXLVI</t>
        </is>
      </c>
      <c r="C36047">
        <f>ROMAN(36046)</f>
        <v/>
      </c>
      <c r="D36047">
        <f>IF(B36047=C36047, "YES", "WRONG")</f>
        <v/>
      </c>
    </row>
    <row r="36048">
      <c r="A36048" t="n">
        <v>36047</v>
      </c>
      <c r="B36048" t="inlineStr">
        <is>
          <t>x̄x̄x̄V̅MXLVII</t>
        </is>
      </c>
      <c r="C36048">
        <f>ROMAN(36047)</f>
        <v/>
      </c>
      <c r="D36048">
        <f>IF(B36048=C36048, "YES", "WRONG")</f>
        <v/>
      </c>
    </row>
    <row r="36049">
      <c r="A36049" t="n">
        <v>36048</v>
      </c>
      <c r="B36049" t="inlineStr">
        <is>
          <t>x̄x̄x̄V̅MXLVIII</t>
        </is>
      </c>
      <c r="C36049">
        <f>ROMAN(36048)</f>
        <v/>
      </c>
      <c r="D36049">
        <f>IF(B36049=C36049, "YES", "WRONG")</f>
        <v/>
      </c>
    </row>
    <row r="36050">
      <c r="A36050" t="n">
        <v>36049</v>
      </c>
      <c r="B36050" t="inlineStr">
        <is>
          <t>x̄x̄x̄V̅MXLIX</t>
        </is>
      </c>
      <c r="C36050">
        <f>ROMAN(36049)</f>
        <v/>
      </c>
      <c r="D36050">
        <f>IF(B36050=C36050, "YES", "WRONG")</f>
        <v/>
      </c>
    </row>
    <row r="36051">
      <c r="A36051" t="n">
        <v>36050</v>
      </c>
      <c r="B36051" t="inlineStr">
        <is>
          <t>x̄x̄x̄V̅ML</t>
        </is>
      </c>
      <c r="C36051">
        <f>ROMAN(36050)</f>
        <v/>
      </c>
      <c r="D36051">
        <f>IF(B36051=C36051, "YES", "WRONG")</f>
        <v/>
      </c>
    </row>
    <row r="36052">
      <c r="A36052" t="n">
        <v>36051</v>
      </c>
      <c r="B36052" t="inlineStr">
        <is>
          <t>x̄x̄x̄V̅MLI</t>
        </is>
      </c>
      <c r="C36052">
        <f>ROMAN(36051)</f>
        <v/>
      </c>
      <c r="D36052">
        <f>IF(B36052=C36052, "YES", "WRONG")</f>
        <v/>
      </c>
    </row>
    <row r="36053">
      <c r="A36053" t="n">
        <v>36052</v>
      </c>
      <c r="B36053" t="inlineStr">
        <is>
          <t>x̄x̄x̄V̅MLII</t>
        </is>
      </c>
      <c r="C36053">
        <f>ROMAN(36052)</f>
        <v/>
      </c>
      <c r="D36053">
        <f>IF(B36053=C36053, "YES", "WRONG")</f>
        <v/>
      </c>
    </row>
    <row r="36054">
      <c r="A36054" t="n">
        <v>36053</v>
      </c>
      <c r="B36054" t="inlineStr">
        <is>
          <t>x̄x̄x̄V̅MLIII</t>
        </is>
      </c>
      <c r="C36054">
        <f>ROMAN(36053)</f>
        <v/>
      </c>
      <c r="D36054">
        <f>IF(B36054=C36054, "YES", "WRONG")</f>
        <v/>
      </c>
    </row>
    <row r="36055">
      <c r="A36055" t="n">
        <v>36054</v>
      </c>
      <c r="B36055" t="inlineStr">
        <is>
          <t>x̄x̄x̄V̅MLIV</t>
        </is>
      </c>
      <c r="C36055">
        <f>ROMAN(36054)</f>
        <v/>
      </c>
      <c r="D36055">
        <f>IF(B36055=C36055, "YES", "WRONG")</f>
        <v/>
      </c>
    </row>
    <row r="36056">
      <c r="A36056" t="n">
        <v>36055</v>
      </c>
      <c r="B36056" t="inlineStr">
        <is>
          <t>x̄x̄x̄V̅MLV</t>
        </is>
      </c>
      <c r="C36056">
        <f>ROMAN(36055)</f>
        <v/>
      </c>
      <c r="D36056">
        <f>IF(B36056=C36056, "YES", "WRONG")</f>
        <v/>
      </c>
    </row>
    <row r="36057">
      <c r="A36057" t="n">
        <v>36056</v>
      </c>
      <c r="B36057" t="inlineStr">
        <is>
          <t>x̄x̄x̄V̅MLVI</t>
        </is>
      </c>
      <c r="C36057">
        <f>ROMAN(36056)</f>
        <v/>
      </c>
      <c r="D36057">
        <f>IF(B36057=C36057, "YES", "WRONG")</f>
        <v/>
      </c>
    </row>
    <row r="36058">
      <c r="A36058" t="n">
        <v>36057</v>
      </c>
      <c r="B36058" t="inlineStr">
        <is>
          <t>x̄x̄x̄V̅MLVII</t>
        </is>
      </c>
      <c r="C36058">
        <f>ROMAN(36057)</f>
        <v/>
      </c>
      <c r="D36058">
        <f>IF(B36058=C36058, "YES", "WRONG")</f>
        <v/>
      </c>
    </row>
    <row r="36059">
      <c r="A36059" t="n">
        <v>36058</v>
      </c>
      <c r="B36059" t="inlineStr">
        <is>
          <t>x̄x̄x̄V̅MLVIII</t>
        </is>
      </c>
      <c r="C36059">
        <f>ROMAN(36058)</f>
        <v/>
      </c>
      <c r="D36059">
        <f>IF(B36059=C36059, "YES", "WRONG")</f>
        <v/>
      </c>
    </row>
    <row r="36060">
      <c r="A36060" t="n">
        <v>36059</v>
      </c>
      <c r="B36060" t="inlineStr">
        <is>
          <t>x̄x̄x̄V̅MLIX</t>
        </is>
      </c>
      <c r="C36060">
        <f>ROMAN(36059)</f>
        <v/>
      </c>
      <c r="D36060">
        <f>IF(B36060=C36060, "YES", "WRONG")</f>
        <v/>
      </c>
    </row>
    <row r="36061">
      <c r="A36061" t="n">
        <v>36060</v>
      </c>
      <c r="B36061" t="inlineStr">
        <is>
          <t>x̄x̄x̄V̅MLX</t>
        </is>
      </c>
      <c r="C36061">
        <f>ROMAN(36060)</f>
        <v/>
      </c>
      <c r="D36061">
        <f>IF(B36061=C36061, "YES", "WRONG")</f>
        <v/>
      </c>
    </row>
    <row r="36062">
      <c r="A36062" t="n">
        <v>36061</v>
      </c>
      <c r="B36062" t="inlineStr">
        <is>
          <t>x̄x̄x̄V̅MLXI</t>
        </is>
      </c>
      <c r="C36062">
        <f>ROMAN(36061)</f>
        <v/>
      </c>
      <c r="D36062">
        <f>IF(B36062=C36062, "YES", "WRONG")</f>
        <v/>
      </c>
    </row>
    <row r="36063">
      <c r="A36063" t="n">
        <v>36062</v>
      </c>
      <c r="B36063" t="inlineStr">
        <is>
          <t>x̄x̄x̄V̅MLXII</t>
        </is>
      </c>
      <c r="C36063">
        <f>ROMAN(36062)</f>
        <v/>
      </c>
      <c r="D36063">
        <f>IF(B36063=C36063, "YES", "WRONG")</f>
        <v/>
      </c>
    </row>
    <row r="36064">
      <c r="A36064" t="n">
        <v>36063</v>
      </c>
      <c r="B36064" t="inlineStr">
        <is>
          <t>x̄x̄x̄V̅MLXIII</t>
        </is>
      </c>
      <c r="C36064">
        <f>ROMAN(36063)</f>
        <v/>
      </c>
      <c r="D36064">
        <f>IF(B36064=C36064, "YES", "WRONG")</f>
        <v/>
      </c>
    </row>
    <row r="36065">
      <c r="A36065" t="n">
        <v>36064</v>
      </c>
      <c r="B36065" t="inlineStr">
        <is>
          <t>x̄x̄x̄V̅MLXIV</t>
        </is>
      </c>
      <c r="C36065">
        <f>ROMAN(36064)</f>
        <v/>
      </c>
      <c r="D36065">
        <f>IF(B36065=C36065, "YES", "WRONG")</f>
        <v/>
      </c>
    </row>
    <row r="36066">
      <c r="A36066" t="n">
        <v>36065</v>
      </c>
      <c r="B36066" t="inlineStr">
        <is>
          <t>x̄x̄x̄V̅MLXV</t>
        </is>
      </c>
      <c r="C36066">
        <f>ROMAN(36065)</f>
        <v/>
      </c>
      <c r="D36066">
        <f>IF(B36066=C36066, "YES", "WRONG")</f>
        <v/>
      </c>
    </row>
    <row r="36067">
      <c r="A36067" t="n">
        <v>36066</v>
      </c>
      <c r="B36067" t="inlineStr">
        <is>
          <t>x̄x̄x̄V̅MLXVI</t>
        </is>
      </c>
      <c r="C36067">
        <f>ROMAN(36066)</f>
        <v/>
      </c>
      <c r="D36067">
        <f>IF(B36067=C36067, "YES", "WRONG")</f>
        <v/>
      </c>
    </row>
    <row r="36068">
      <c r="A36068" t="n">
        <v>36067</v>
      </c>
      <c r="B36068" t="inlineStr">
        <is>
          <t>x̄x̄x̄V̅MLXVII</t>
        </is>
      </c>
      <c r="C36068">
        <f>ROMAN(36067)</f>
        <v/>
      </c>
      <c r="D36068">
        <f>IF(B36068=C36068, "YES", "WRONG")</f>
        <v/>
      </c>
    </row>
    <row r="36069">
      <c r="A36069" t="n">
        <v>36068</v>
      </c>
      <c r="B36069" t="inlineStr">
        <is>
          <t>x̄x̄x̄V̅MLXVIII</t>
        </is>
      </c>
      <c r="C36069">
        <f>ROMAN(36068)</f>
        <v/>
      </c>
      <c r="D36069">
        <f>IF(B36069=C36069, "YES", "WRONG")</f>
        <v/>
      </c>
    </row>
    <row r="36070">
      <c r="A36070" t="n">
        <v>36069</v>
      </c>
      <c r="B36070" t="inlineStr">
        <is>
          <t>x̄x̄x̄V̅MLXIX</t>
        </is>
      </c>
      <c r="C36070">
        <f>ROMAN(36069)</f>
        <v/>
      </c>
      <c r="D36070">
        <f>IF(B36070=C36070, "YES", "WRONG")</f>
        <v/>
      </c>
    </row>
    <row r="36071">
      <c r="A36071" t="n">
        <v>36070</v>
      </c>
      <c r="B36071" t="inlineStr">
        <is>
          <t>x̄x̄x̄V̅MLXX</t>
        </is>
      </c>
      <c r="C36071">
        <f>ROMAN(36070)</f>
        <v/>
      </c>
      <c r="D36071">
        <f>IF(B36071=C36071, "YES", "WRONG")</f>
        <v/>
      </c>
    </row>
    <row r="36072">
      <c r="A36072" t="n">
        <v>36071</v>
      </c>
      <c r="B36072" t="inlineStr">
        <is>
          <t>x̄x̄x̄V̅MLXXI</t>
        </is>
      </c>
      <c r="C36072">
        <f>ROMAN(36071)</f>
        <v/>
      </c>
      <c r="D36072">
        <f>IF(B36072=C36072, "YES", "WRONG")</f>
        <v/>
      </c>
    </row>
    <row r="36073">
      <c r="A36073" t="n">
        <v>36072</v>
      </c>
      <c r="B36073" t="inlineStr">
        <is>
          <t>x̄x̄x̄V̅MLXXII</t>
        </is>
      </c>
      <c r="C36073">
        <f>ROMAN(36072)</f>
        <v/>
      </c>
      <c r="D36073">
        <f>IF(B36073=C36073, "YES", "WRONG")</f>
        <v/>
      </c>
    </row>
    <row r="36074">
      <c r="A36074" t="n">
        <v>36073</v>
      </c>
      <c r="B36074" t="inlineStr">
        <is>
          <t>x̄x̄x̄V̅MLXXIII</t>
        </is>
      </c>
      <c r="C36074">
        <f>ROMAN(36073)</f>
        <v/>
      </c>
      <c r="D36074">
        <f>IF(B36074=C36074, "YES", "WRONG")</f>
        <v/>
      </c>
    </row>
    <row r="36075">
      <c r="A36075" t="n">
        <v>36074</v>
      </c>
      <c r="B36075" t="inlineStr">
        <is>
          <t>x̄x̄x̄V̅MLXXIV</t>
        </is>
      </c>
      <c r="C36075">
        <f>ROMAN(36074)</f>
        <v/>
      </c>
      <c r="D36075">
        <f>IF(B36075=C36075, "YES", "WRONG")</f>
        <v/>
      </c>
    </row>
    <row r="36076">
      <c r="A36076" t="n">
        <v>36075</v>
      </c>
      <c r="B36076" t="inlineStr">
        <is>
          <t>x̄x̄x̄V̅MLXXV</t>
        </is>
      </c>
      <c r="C36076">
        <f>ROMAN(36075)</f>
        <v/>
      </c>
      <c r="D36076">
        <f>IF(B36076=C36076, "YES", "WRONG")</f>
        <v/>
      </c>
    </row>
    <row r="36077">
      <c r="A36077" t="n">
        <v>36076</v>
      </c>
      <c r="B36077" t="inlineStr">
        <is>
          <t>x̄x̄x̄V̅MLXXVI</t>
        </is>
      </c>
      <c r="C36077">
        <f>ROMAN(36076)</f>
        <v/>
      </c>
      <c r="D36077">
        <f>IF(B36077=C36077, "YES", "WRONG")</f>
        <v/>
      </c>
    </row>
    <row r="36078">
      <c r="A36078" t="n">
        <v>36077</v>
      </c>
      <c r="B36078" t="inlineStr">
        <is>
          <t>x̄x̄x̄V̅MLXXVII</t>
        </is>
      </c>
      <c r="C36078">
        <f>ROMAN(36077)</f>
        <v/>
      </c>
      <c r="D36078">
        <f>IF(B36078=C36078, "YES", "WRONG")</f>
        <v/>
      </c>
    </row>
    <row r="36079">
      <c r="A36079" t="n">
        <v>36078</v>
      </c>
      <c r="B36079" t="inlineStr">
        <is>
          <t>x̄x̄x̄V̅MLXXVIII</t>
        </is>
      </c>
      <c r="C36079">
        <f>ROMAN(36078)</f>
        <v/>
      </c>
      <c r="D36079">
        <f>IF(B36079=C36079, "YES", "WRONG")</f>
        <v/>
      </c>
    </row>
    <row r="36080">
      <c r="A36080" t="n">
        <v>36079</v>
      </c>
      <c r="B36080" t="inlineStr">
        <is>
          <t>x̄x̄x̄V̅MLXXIX</t>
        </is>
      </c>
      <c r="C36080">
        <f>ROMAN(36079)</f>
        <v/>
      </c>
      <c r="D36080">
        <f>IF(B36080=C36080, "YES", "WRONG")</f>
        <v/>
      </c>
    </row>
    <row r="36081">
      <c r="A36081" t="n">
        <v>36080</v>
      </c>
      <c r="B36081" t="inlineStr">
        <is>
          <t>x̄x̄x̄V̅MLXXX</t>
        </is>
      </c>
      <c r="C36081">
        <f>ROMAN(36080)</f>
        <v/>
      </c>
      <c r="D36081">
        <f>IF(B36081=C36081, "YES", "WRONG")</f>
        <v/>
      </c>
    </row>
    <row r="36082">
      <c r="A36082" t="n">
        <v>36081</v>
      </c>
      <c r="B36082" t="inlineStr">
        <is>
          <t>x̄x̄x̄V̅MLXXXI</t>
        </is>
      </c>
      <c r="C36082">
        <f>ROMAN(36081)</f>
        <v/>
      </c>
      <c r="D36082">
        <f>IF(B36082=C36082, "YES", "WRONG")</f>
        <v/>
      </c>
    </row>
    <row r="36083">
      <c r="A36083" t="n">
        <v>36082</v>
      </c>
      <c r="B36083" t="inlineStr">
        <is>
          <t>x̄x̄x̄V̅MLXXXII</t>
        </is>
      </c>
      <c r="C36083">
        <f>ROMAN(36082)</f>
        <v/>
      </c>
      <c r="D36083">
        <f>IF(B36083=C36083, "YES", "WRONG")</f>
        <v/>
      </c>
    </row>
    <row r="36084">
      <c r="A36084" t="n">
        <v>36083</v>
      </c>
      <c r="B36084" t="inlineStr">
        <is>
          <t>x̄x̄x̄V̅MLXXXIII</t>
        </is>
      </c>
      <c r="C36084">
        <f>ROMAN(36083)</f>
        <v/>
      </c>
      <c r="D36084">
        <f>IF(B36084=C36084, "YES", "WRONG")</f>
        <v/>
      </c>
    </row>
    <row r="36085">
      <c r="A36085" t="n">
        <v>36084</v>
      </c>
      <c r="B36085" t="inlineStr">
        <is>
          <t>x̄x̄x̄V̅MLXXXIV</t>
        </is>
      </c>
      <c r="C36085">
        <f>ROMAN(36084)</f>
        <v/>
      </c>
      <c r="D36085">
        <f>IF(B36085=C36085, "YES", "WRONG")</f>
        <v/>
      </c>
    </row>
    <row r="36086">
      <c r="A36086" t="n">
        <v>36085</v>
      </c>
      <c r="B36086" t="inlineStr">
        <is>
          <t>x̄x̄x̄V̅MLXXXV</t>
        </is>
      </c>
      <c r="C36086">
        <f>ROMAN(36085)</f>
        <v/>
      </c>
      <c r="D36086">
        <f>IF(B36086=C36086, "YES", "WRONG")</f>
        <v/>
      </c>
    </row>
    <row r="36087">
      <c r="A36087" t="n">
        <v>36086</v>
      </c>
      <c r="B36087" t="inlineStr">
        <is>
          <t>x̄x̄x̄V̅MLXXXVI</t>
        </is>
      </c>
      <c r="C36087">
        <f>ROMAN(36086)</f>
        <v/>
      </c>
      <c r="D36087">
        <f>IF(B36087=C36087, "YES", "WRONG")</f>
        <v/>
      </c>
    </row>
    <row r="36088">
      <c r="A36088" t="n">
        <v>36087</v>
      </c>
      <c r="B36088" t="inlineStr">
        <is>
          <t>x̄x̄x̄V̅MLXXXVII</t>
        </is>
      </c>
      <c r="C36088">
        <f>ROMAN(36087)</f>
        <v/>
      </c>
      <c r="D36088">
        <f>IF(B36088=C36088, "YES", "WRONG")</f>
        <v/>
      </c>
    </row>
    <row r="36089">
      <c r="A36089" t="n">
        <v>36088</v>
      </c>
      <c r="B36089" t="inlineStr">
        <is>
          <t>x̄x̄x̄V̅MLXXXVIII</t>
        </is>
      </c>
      <c r="C36089">
        <f>ROMAN(36088)</f>
        <v/>
      </c>
      <c r="D36089">
        <f>IF(B36089=C36089, "YES", "WRONG")</f>
        <v/>
      </c>
    </row>
    <row r="36090">
      <c r="A36090" t="n">
        <v>36089</v>
      </c>
      <c r="B36090" t="inlineStr">
        <is>
          <t>x̄x̄x̄V̅MLXXXIX</t>
        </is>
      </c>
      <c r="C36090">
        <f>ROMAN(36089)</f>
        <v/>
      </c>
      <c r="D36090">
        <f>IF(B36090=C36090, "YES", "WRONG")</f>
        <v/>
      </c>
    </row>
    <row r="36091">
      <c r="A36091" t="n">
        <v>36090</v>
      </c>
      <c r="B36091" t="inlineStr">
        <is>
          <t>x̄x̄x̄V̅MXC</t>
        </is>
      </c>
      <c r="C36091">
        <f>ROMAN(36090)</f>
        <v/>
      </c>
      <c r="D36091">
        <f>IF(B36091=C36091, "YES", "WRONG")</f>
        <v/>
      </c>
    </row>
    <row r="36092">
      <c r="A36092" t="n">
        <v>36091</v>
      </c>
      <c r="B36092" t="inlineStr">
        <is>
          <t>x̄x̄x̄V̅MXCI</t>
        </is>
      </c>
      <c r="C36092">
        <f>ROMAN(36091)</f>
        <v/>
      </c>
      <c r="D36092">
        <f>IF(B36092=C36092, "YES", "WRONG")</f>
        <v/>
      </c>
    </row>
    <row r="36093">
      <c r="A36093" t="n">
        <v>36092</v>
      </c>
      <c r="B36093" t="inlineStr">
        <is>
          <t>x̄x̄x̄V̅MXCII</t>
        </is>
      </c>
      <c r="C36093">
        <f>ROMAN(36092)</f>
        <v/>
      </c>
      <c r="D36093">
        <f>IF(B36093=C36093, "YES", "WRONG")</f>
        <v/>
      </c>
    </row>
    <row r="36094">
      <c r="A36094" t="n">
        <v>36093</v>
      </c>
      <c r="B36094" t="inlineStr">
        <is>
          <t>x̄x̄x̄V̅MXCIII</t>
        </is>
      </c>
      <c r="C36094">
        <f>ROMAN(36093)</f>
        <v/>
      </c>
      <c r="D36094">
        <f>IF(B36094=C36094, "YES", "WRONG")</f>
        <v/>
      </c>
    </row>
    <row r="36095">
      <c r="A36095" t="n">
        <v>36094</v>
      </c>
      <c r="B36095" t="inlineStr">
        <is>
          <t>x̄x̄x̄V̅MXCIV</t>
        </is>
      </c>
      <c r="C36095">
        <f>ROMAN(36094)</f>
        <v/>
      </c>
      <c r="D36095">
        <f>IF(B36095=C36095, "YES", "WRONG")</f>
        <v/>
      </c>
    </row>
    <row r="36096">
      <c r="A36096" t="n">
        <v>36095</v>
      </c>
      <c r="B36096" t="inlineStr">
        <is>
          <t>x̄x̄x̄V̅MXCV</t>
        </is>
      </c>
      <c r="C36096">
        <f>ROMAN(36095)</f>
        <v/>
      </c>
      <c r="D36096">
        <f>IF(B36096=C36096, "YES", "WRONG")</f>
        <v/>
      </c>
    </row>
    <row r="36097">
      <c r="A36097" t="n">
        <v>36096</v>
      </c>
      <c r="B36097" t="inlineStr">
        <is>
          <t>x̄x̄x̄V̅MXCVI</t>
        </is>
      </c>
      <c r="C36097">
        <f>ROMAN(36096)</f>
        <v/>
      </c>
      <c r="D36097">
        <f>IF(B36097=C36097, "YES", "WRONG")</f>
        <v/>
      </c>
    </row>
    <row r="36098">
      <c r="A36098" t="n">
        <v>36097</v>
      </c>
      <c r="B36098" t="inlineStr">
        <is>
          <t>x̄x̄x̄V̅MXCVII</t>
        </is>
      </c>
      <c r="C36098">
        <f>ROMAN(36097)</f>
        <v/>
      </c>
      <c r="D36098">
        <f>IF(B36098=C36098, "YES", "WRONG")</f>
        <v/>
      </c>
    </row>
    <row r="36099">
      <c r="A36099" t="n">
        <v>36098</v>
      </c>
      <c r="B36099" t="inlineStr">
        <is>
          <t>x̄x̄x̄V̅MXCVIII</t>
        </is>
      </c>
      <c r="C36099">
        <f>ROMAN(36098)</f>
        <v/>
      </c>
      <c r="D36099">
        <f>IF(B36099=C36099, "YES", "WRONG")</f>
        <v/>
      </c>
    </row>
    <row r="36100">
      <c r="A36100" t="n">
        <v>36099</v>
      </c>
      <c r="B36100" t="inlineStr">
        <is>
          <t>x̄x̄x̄V̅MXCIX</t>
        </is>
      </c>
      <c r="C36100">
        <f>ROMAN(36099)</f>
        <v/>
      </c>
      <c r="D36100">
        <f>IF(B36100=C36100, "YES", "WRONG")</f>
        <v/>
      </c>
    </row>
    <row r="36101">
      <c r="A36101" t="n">
        <v>36100</v>
      </c>
      <c r="B36101" t="inlineStr">
        <is>
          <t>x̄x̄x̄V̅MC</t>
        </is>
      </c>
      <c r="C36101">
        <f>ROMAN(36100)</f>
        <v/>
      </c>
      <c r="D36101">
        <f>IF(B36101=C36101, "YES", "WRONG")</f>
        <v/>
      </c>
    </row>
    <row r="36102">
      <c r="A36102" t="n">
        <v>36101</v>
      </c>
      <c r="B36102" t="inlineStr">
        <is>
          <t>x̄x̄x̄V̅MCI</t>
        </is>
      </c>
      <c r="C36102">
        <f>ROMAN(36101)</f>
        <v/>
      </c>
      <c r="D36102">
        <f>IF(B36102=C36102, "YES", "WRONG")</f>
        <v/>
      </c>
    </row>
    <row r="36103">
      <c r="A36103" t="n">
        <v>36102</v>
      </c>
      <c r="B36103" t="inlineStr">
        <is>
          <t>x̄x̄x̄V̅MCII</t>
        </is>
      </c>
      <c r="C36103">
        <f>ROMAN(36102)</f>
        <v/>
      </c>
      <c r="D36103">
        <f>IF(B36103=C36103, "YES", "WRONG")</f>
        <v/>
      </c>
    </row>
    <row r="36104">
      <c r="A36104" t="n">
        <v>36103</v>
      </c>
      <c r="B36104" t="inlineStr">
        <is>
          <t>x̄x̄x̄V̅MCIII</t>
        </is>
      </c>
      <c r="C36104">
        <f>ROMAN(36103)</f>
        <v/>
      </c>
      <c r="D36104">
        <f>IF(B36104=C36104, "YES", "WRONG")</f>
        <v/>
      </c>
    </row>
    <row r="36105">
      <c r="A36105" t="n">
        <v>36104</v>
      </c>
      <c r="B36105" t="inlineStr">
        <is>
          <t>x̄x̄x̄V̅MCIV</t>
        </is>
      </c>
      <c r="C36105">
        <f>ROMAN(36104)</f>
        <v/>
      </c>
      <c r="D36105">
        <f>IF(B36105=C36105, "YES", "WRONG")</f>
        <v/>
      </c>
    </row>
    <row r="36106">
      <c r="A36106" t="n">
        <v>36105</v>
      </c>
      <c r="B36106" t="inlineStr">
        <is>
          <t>x̄x̄x̄V̅MCV</t>
        </is>
      </c>
      <c r="C36106">
        <f>ROMAN(36105)</f>
        <v/>
      </c>
      <c r="D36106">
        <f>IF(B36106=C36106, "YES", "WRONG")</f>
        <v/>
      </c>
    </row>
    <row r="36107">
      <c r="A36107" t="n">
        <v>36106</v>
      </c>
      <c r="B36107" t="inlineStr">
        <is>
          <t>x̄x̄x̄V̅MCVI</t>
        </is>
      </c>
      <c r="C36107">
        <f>ROMAN(36106)</f>
        <v/>
      </c>
      <c r="D36107">
        <f>IF(B36107=C36107, "YES", "WRONG")</f>
        <v/>
      </c>
    </row>
    <row r="36108">
      <c r="A36108" t="n">
        <v>36107</v>
      </c>
      <c r="B36108" t="inlineStr">
        <is>
          <t>x̄x̄x̄V̅MCVII</t>
        </is>
      </c>
      <c r="C36108">
        <f>ROMAN(36107)</f>
        <v/>
      </c>
      <c r="D36108">
        <f>IF(B36108=C36108, "YES", "WRONG")</f>
        <v/>
      </c>
    </row>
    <row r="36109">
      <c r="A36109" t="n">
        <v>36108</v>
      </c>
      <c r="B36109" t="inlineStr">
        <is>
          <t>x̄x̄x̄V̅MCVIII</t>
        </is>
      </c>
      <c r="C36109">
        <f>ROMAN(36108)</f>
        <v/>
      </c>
      <c r="D36109">
        <f>IF(B36109=C36109, "YES", "WRONG")</f>
        <v/>
      </c>
    </row>
    <row r="36110">
      <c r="A36110" t="n">
        <v>36109</v>
      </c>
      <c r="B36110" t="inlineStr">
        <is>
          <t>x̄x̄x̄V̅MCIX</t>
        </is>
      </c>
      <c r="C36110">
        <f>ROMAN(36109)</f>
        <v/>
      </c>
      <c r="D36110">
        <f>IF(B36110=C36110, "YES", "WRONG")</f>
        <v/>
      </c>
    </row>
    <row r="36111">
      <c r="A36111" t="n">
        <v>36110</v>
      </c>
      <c r="B36111" t="inlineStr">
        <is>
          <t>x̄x̄x̄V̅MCX</t>
        </is>
      </c>
      <c r="C36111">
        <f>ROMAN(36110)</f>
        <v/>
      </c>
      <c r="D36111">
        <f>IF(B36111=C36111, "YES", "WRONG")</f>
        <v/>
      </c>
    </row>
    <row r="36112">
      <c r="A36112" t="n">
        <v>36111</v>
      </c>
      <c r="B36112" t="inlineStr">
        <is>
          <t>x̄x̄x̄V̅MCXI</t>
        </is>
      </c>
      <c r="C36112">
        <f>ROMAN(36111)</f>
        <v/>
      </c>
      <c r="D36112">
        <f>IF(B36112=C36112, "YES", "WRONG")</f>
        <v/>
      </c>
    </row>
    <row r="36113">
      <c r="A36113" t="n">
        <v>36112</v>
      </c>
      <c r="B36113" t="inlineStr">
        <is>
          <t>x̄x̄x̄V̅MCXII</t>
        </is>
      </c>
      <c r="C36113">
        <f>ROMAN(36112)</f>
        <v/>
      </c>
      <c r="D36113">
        <f>IF(B36113=C36113, "YES", "WRONG")</f>
        <v/>
      </c>
    </row>
    <row r="36114">
      <c r="A36114" t="n">
        <v>36113</v>
      </c>
      <c r="B36114" t="inlineStr">
        <is>
          <t>x̄x̄x̄V̅MCXIII</t>
        </is>
      </c>
      <c r="C36114">
        <f>ROMAN(36113)</f>
        <v/>
      </c>
      <c r="D36114">
        <f>IF(B36114=C36114, "YES", "WRONG")</f>
        <v/>
      </c>
    </row>
    <row r="36115">
      <c r="A36115" t="n">
        <v>36114</v>
      </c>
      <c r="B36115" t="inlineStr">
        <is>
          <t>x̄x̄x̄V̅MCXIV</t>
        </is>
      </c>
      <c r="C36115">
        <f>ROMAN(36114)</f>
        <v/>
      </c>
      <c r="D36115">
        <f>IF(B36115=C36115, "YES", "WRONG")</f>
        <v/>
      </c>
    </row>
    <row r="36116">
      <c r="A36116" t="n">
        <v>36115</v>
      </c>
      <c r="B36116" t="inlineStr">
        <is>
          <t>x̄x̄x̄V̅MCXV</t>
        </is>
      </c>
      <c r="C36116">
        <f>ROMAN(36115)</f>
        <v/>
      </c>
      <c r="D36116">
        <f>IF(B36116=C36116, "YES", "WRONG")</f>
        <v/>
      </c>
    </row>
    <row r="36117">
      <c r="A36117" t="n">
        <v>36116</v>
      </c>
      <c r="B36117" t="inlineStr">
        <is>
          <t>x̄x̄x̄V̅MCXVI</t>
        </is>
      </c>
      <c r="C36117">
        <f>ROMAN(36116)</f>
        <v/>
      </c>
      <c r="D36117">
        <f>IF(B36117=C36117, "YES", "WRONG")</f>
        <v/>
      </c>
    </row>
    <row r="36118">
      <c r="A36118" t="n">
        <v>36117</v>
      </c>
      <c r="B36118" t="inlineStr">
        <is>
          <t>x̄x̄x̄V̅MCXVII</t>
        </is>
      </c>
      <c r="C36118">
        <f>ROMAN(36117)</f>
        <v/>
      </c>
      <c r="D36118">
        <f>IF(B36118=C36118, "YES", "WRONG")</f>
        <v/>
      </c>
    </row>
    <row r="36119">
      <c r="A36119" t="n">
        <v>36118</v>
      </c>
      <c r="B36119" t="inlineStr">
        <is>
          <t>x̄x̄x̄V̅MCXVIII</t>
        </is>
      </c>
      <c r="C36119">
        <f>ROMAN(36118)</f>
        <v/>
      </c>
      <c r="D36119">
        <f>IF(B36119=C36119, "YES", "WRONG")</f>
        <v/>
      </c>
    </row>
    <row r="36120">
      <c r="A36120" t="n">
        <v>36119</v>
      </c>
      <c r="B36120" t="inlineStr">
        <is>
          <t>x̄x̄x̄V̅MCXIX</t>
        </is>
      </c>
      <c r="C36120">
        <f>ROMAN(36119)</f>
        <v/>
      </c>
      <c r="D36120">
        <f>IF(B36120=C36120, "YES", "WRONG")</f>
        <v/>
      </c>
    </row>
    <row r="36121">
      <c r="A36121" t="n">
        <v>36120</v>
      </c>
      <c r="B36121" t="inlineStr">
        <is>
          <t>x̄x̄x̄V̅MCXX</t>
        </is>
      </c>
      <c r="C36121">
        <f>ROMAN(36120)</f>
        <v/>
      </c>
      <c r="D36121">
        <f>IF(B36121=C36121, "YES", "WRONG")</f>
        <v/>
      </c>
    </row>
    <row r="36122">
      <c r="A36122" t="n">
        <v>36121</v>
      </c>
      <c r="B36122" t="inlineStr">
        <is>
          <t>x̄x̄x̄V̅MCXXI</t>
        </is>
      </c>
      <c r="C36122">
        <f>ROMAN(36121)</f>
        <v/>
      </c>
      <c r="D36122">
        <f>IF(B36122=C36122, "YES", "WRONG")</f>
        <v/>
      </c>
    </row>
    <row r="36123">
      <c r="A36123" t="n">
        <v>36122</v>
      </c>
      <c r="B36123" t="inlineStr">
        <is>
          <t>x̄x̄x̄V̅MCXXII</t>
        </is>
      </c>
      <c r="C36123">
        <f>ROMAN(36122)</f>
        <v/>
      </c>
      <c r="D36123">
        <f>IF(B36123=C36123, "YES", "WRONG")</f>
        <v/>
      </c>
    </row>
    <row r="36124">
      <c r="A36124" t="n">
        <v>36123</v>
      </c>
      <c r="B36124" t="inlineStr">
        <is>
          <t>x̄x̄x̄V̅MCXXIII</t>
        </is>
      </c>
      <c r="C36124">
        <f>ROMAN(36123)</f>
        <v/>
      </c>
      <c r="D36124">
        <f>IF(B36124=C36124, "YES", "WRONG")</f>
        <v/>
      </c>
    </row>
    <row r="36125">
      <c r="A36125" t="n">
        <v>36124</v>
      </c>
      <c r="B36125" t="inlineStr">
        <is>
          <t>x̄x̄x̄V̅MCXXIV</t>
        </is>
      </c>
      <c r="C36125">
        <f>ROMAN(36124)</f>
        <v/>
      </c>
      <c r="D36125">
        <f>IF(B36125=C36125, "YES", "WRONG")</f>
        <v/>
      </c>
    </row>
    <row r="36126">
      <c r="A36126" t="n">
        <v>36125</v>
      </c>
      <c r="B36126" t="inlineStr">
        <is>
          <t>x̄x̄x̄V̅MCXXV</t>
        </is>
      </c>
      <c r="C36126">
        <f>ROMAN(36125)</f>
        <v/>
      </c>
      <c r="D36126">
        <f>IF(B36126=C36126, "YES", "WRONG")</f>
        <v/>
      </c>
    </row>
    <row r="36127">
      <c r="A36127" t="n">
        <v>36126</v>
      </c>
      <c r="B36127" t="inlineStr">
        <is>
          <t>x̄x̄x̄V̅MCXXVI</t>
        </is>
      </c>
      <c r="C36127">
        <f>ROMAN(36126)</f>
        <v/>
      </c>
      <c r="D36127">
        <f>IF(B36127=C36127, "YES", "WRONG")</f>
        <v/>
      </c>
    </row>
    <row r="36128">
      <c r="A36128" t="n">
        <v>36127</v>
      </c>
      <c r="B36128" t="inlineStr">
        <is>
          <t>x̄x̄x̄V̅MCXXVII</t>
        </is>
      </c>
      <c r="C36128">
        <f>ROMAN(36127)</f>
        <v/>
      </c>
      <c r="D36128">
        <f>IF(B36128=C36128, "YES", "WRONG")</f>
        <v/>
      </c>
    </row>
    <row r="36129">
      <c r="A36129" t="n">
        <v>36128</v>
      </c>
      <c r="B36129" t="inlineStr">
        <is>
          <t>x̄x̄x̄V̅MCXXVIII</t>
        </is>
      </c>
      <c r="C36129">
        <f>ROMAN(36128)</f>
        <v/>
      </c>
      <c r="D36129">
        <f>IF(B36129=C36129, "YES", "WRONG")</f>
        <v/>
      </c>
    </row>
    <row r="36130">
      <c r="A36130" t="n">
        <v>36129</v>
      </c>
      <c r="B36130" t="inlineStr">
        <is>
          <t>x̄x̄x̄V̅MCXXIX</t>
        </is>
      </c>
      <c r="C36130">
        <f>ROMAN(36129)</f>
        <v/>
      </c>
      <c r="D36130">
        <f>IF(B36130=C36130, "YES", "WRONG")</f>
        <v/>
      </c>
    </row>
    <row r="36131">
      <c r="A36131" t="n">
        <v>36130</v>
      </c>
      <c r="B36131" t="inlineStr">
        <is>
          <t>x̄x̄x̄V̅MCXXX</t>
        </is>
      </c>
      <c r="C36131">
        <f>ROMAN(36130)</f>
        <v/>
      </c>
      <c r="D36131">
        <f>IF(B36131=C36131, "YES", "WRONG")</f>
        <v/>
      </c>
    </row>
    <row r="36132">
      <c r="A36132" t="n">
        <v>36131</v>
      </c>
      <c r="B36132" t="inlineStr">
        <is>
          <t>x̄x̄x̄V̅MCXXXI</t>
        </is>
      </c>
      <c r="C36132">
        <f>ROMAN(36131)</f>
        <v/>
      </c>
      <c r="D36132">
        <f>IF(B36132=C36132, "YES", "WRONG")</f>
        <v/>
      </c>
    </row>
    <row r="36133">
      <c r="A36133" t="n">
        <v>36132</v>
      </c>
      <c r="B36133" t="inlineStr">
        <is>
          <t>x̄x̄x̄V̅MCXXXII</t>
        </is>
      </c>
      <c r="C36133">
        <f>ROMAN(36132)</f>
        <v/>
      </c>
      <c r="D36133">
        <f>IF(B36133=C36133, "YES", "WRONG")</f>
        <v/>
      </c>
    </row>
    <row r="36134">
      <c r="A36134" t="n">
        <v>36133</v>
      </c>
      <c r="B36134" t="inlineStr">
        <is>
          <t>x̄x̄x̄V̅MCXXXIII</t>
        </is>
      </c>
      <c r="C36134">
        <f>ROMAN(36133)</f>
        <v/>
      </c>
      <c r="D36134">
        <f>IF(B36134=C36134, "YES", "WRONG")</f>
        <v/>
      </c>
    </row>
    <row r="36135">
      <c r="A36135" t="n">
        <v>36134</v>
      </c>
      <c r="B36135" t="inlineStr">
        <is>
          <t>x̄x̄x̄V̅MCXXXIV</t>
        </is>
      </c>
      <c r="C36135">
        <f>ROMAN(36134)</f>
        <v/>
      </c>
      <c r="D36135">
        <f>IF(B36135=C36135, "YES", "WRONG")</f>
        <v/>
      </c>
    </row>
    <row r="36136">
      <c r="A36136" t="n">
        <v>36135</v>
      </c>
      <c r="B36136" t="inlineStr">
        <is>
          <t>x̄x̄x̄V̅MCXXXV</t>
        </is>
      </c>
      <c r="C36136">
        <f>ROMAN(36135)</f>
        <v/>
      </c>
      <c r="D36136">
        <f>IF(B36136=C36136, "YES", "WRONG")</f>
        <v/>
      </c>
    </row>
    <row r="36137">
      <c r="A36137" t="n">
        <v>36136</v>
      </c>
      <c r="B36137" t="inlineStr">
        <is>
          <t>x̄x̄x̄V̅MCXXXVI</t>
        </is>
      </c>
      <c r="C36137">
        <f>ROMAN(36136)</f>
        <v/>
      </c>
      <c r="D36137">
        <f>IF(B36137=C36137, "YES", "WRONG")</f>
        <v/>
      </c>
    </row>
    <row r="36138">
      <c r="A36138" t="n">
        <v>36137</v>
      </c>
      <c r="B36138" t="inlineStr">
        <is>
          <t>x̄x̄x̄V̅MCXXXVII</t>
        </is>
      </c>
      <c r="C36138">
        <f>ROMAN(36137)</f>
        <v/>
      </c>
      <c r="D36138">
        <f>IF(B36138=C36138, "YES", "WRONG")</f>
        <v/>
      </c>
    </row>
    <row r="36139">
      <c r="A36139" t="n">
        <v>36138</v>
      </c>
      <c r="B36139" t="inlineStr">
        <is>
          <t>x̄x̄x̄V̅MCXXXVIII</t>
        </is>
      </c>
      <c r="C36139">
        <f>ROMAN(36138)</f>
        <v/>
      </c>
      <c r="D36139">
        <f>IF(B36139=C36139, "YES", "WRONG")</f>
        <v/>
      </c>
    </row>
    <row r="36140">
      <c r="A36140" t="n">
        <v>36139</v>
      </c>
      <c r="B36140" t="inlineStr">
        <is>
          <t>x̄x̄x̄V̅MCXXXIX</t>
        </is>
      </c>
      <c r="C36140">
        <f>ROMAN(36139)</f>
        <v/>
      </c>
      <c r="D36140">
        <f>IF(B36140=C36140, "YES", "WRONG")</f>
        <v/>
      </c>
    </row>
    <row r="36141">
      <c r="A36141" t="n">
        <v>36140</v>
      </c>
      <c r="B36141" t="inlineStr">
        <is>
          <t>x̄x̄x̄V̅MCXL</t>
        </is>
      </c>
      <c r="C36141">
        <f>ROMAN(36140)</f>
        <v/>
      </c>
      <c r="D36141">
        <f>IF(B36141=C36141, "YES", "WRONG")</f>
        <v/>
      </c>
    </row>
    <row r="36142">
      <c r="A36142" t="n">
        <v>36141</v>
      </c>
      <c r="B36142" t="inlineStr">
        <is>
          <t>x̄x̄x̄V̅MCXLI</t>
        </is>
      </c>
      <c r="C36142">
        <f>ROMAN(36141)</f>
        <v/>
      </c>
      <c r="D36142">
        <f>IF(B36142=C36142, "YES", "WRONG")</f>
        <v/>
      </c>
    </row>
    <row r="36143">
      <c r="A36143" t="n">
        <v>36142</v>
      </c>
      <c r="B36143" t="inlineStr">
        <is>
          <t>x̄x̄x̄V̅MCXLII</t>
        </is>
      </c>
      <c r="C36143">
        <f>ROMAN(36142)</f>
        <v/>
      </c>
      <c r="D36143">
        <f>IF(B36143=C36143, "YES", "WRONG")</f>
        <v/>
      </c>
    </row>
    <row r="36144">
      <c r="A36144" t="n">
        <v>36143</v>
      </c>
      <c r="B36144" t="inlineStr">
        <is>
          <t>x̄x̄x̄V̅MCXLIII</t>
        </is>
      </c>
      <c r="C36144">
        <f>ROMAN(36143)</f>
        <v/>
      </c>
      <c r="D36144">
        <f>IF(B36144=C36144, "YES", "WRONG")</f>
        <v/>
      </c>
    </row>
    <row r="36145">
      <c r="A36145" t="n">
        <v>36144</v>
      </c>
      <c r="B36145" t="inlineStr">
        <is>
          <t>x̄x̄x̄V̅MCXLIV</t>
        </is>
      </c>
      <c r="C36145">
        <f>ROMAN(36144)</f>
        <v/>
      </c>
      <c r="D36145">
        <f>IF(B36145=C36145, "YES", "WRONG")</f>
        <v/>
      </c>
    </row>
    <row r="36146">
      <c r="A36146" t="n">
        <v>36145</v>
      </c>
      <c r="B36146" t="inlineStr">
        <is>
          <t>x̄x̄x̄V̅MCXLV</t>
        </is>
      </c>
      <c r="C36146">
        <f>ROMAN(36145)</f>
        <v/>
      </c>
      <c r="D36146">
        <f>IF(B36146=C36146, "YES", "WRONG")</f>
        <v/>
      </c>
    </row>
    <row r="36147">
      <c r="A36147" t="n">
        <v>36146</v>
      </c>
      <c r="B36147" t="inlineStr">
        <is>
          <t>x̄x̄x̄V̅MCXLVI</t>
        </is>
      </c>
      <c r="C36147">
        <f>ROMAN(36146)</f>
        <v/>
      </c>
      <c r="D36147">
        <f>IF(B36147=C36147, "YES", "WRONG")</f>
        <v/>
      </c>
    </row>
    <row r="36148">
      <c r="A36148" t="n">
        <v>36147</v>
      </c>
      <c r="B36148" t="inlineStr">
        <is>
          <t>x̄x̄x̄V̅MCXLVII</t>
        </is>
      </c>
      <c r="C36148">
        <f>ROMAN(36147)</f>
        <v/>
      </c>
      <c r="D36148">
        <f>IF(B36148=C36148, "YES", "WRONG")</f>
        <v/>
      </c>
    </row>
    <row r="36149">
      <c r="A36149" t="n">
        <v>36148</v>
      </c>
      <c r="B36149" t="inlineStr">
        <is>
          <t>x̄x̄x̄V̅MCXLVIII</t>
        </is>
      </c>
      <c r="C36149">
        <f>ROMAN(36148)</f>
        <v/>
      </c>
      <c r="D36149">
        <f>IF(B36149=C36149, "YES", "WRONG")</f>
        <v/>
      </c>
    </row>
    <row r="36150">
      <c r="A36150" t="n">
        <v>36149</v>
      </c>
      <c r="B36150" t="inlineStr">
        <is>
          <t>x̄x̄x̄V̅MCXLIX</t>
        </is>
      </c>
      <c r="C36150">
        <f>ROMAN(36149)</f>
        <v/>
      </c>
      <c r="D36150">
        <f>IF(B36150=C36150, "YES", "WRONG")</f>
        <v/>
      </c>
    </row>
    <row r="36151">
      <c r="A36151" t="n">
        <v>36150</v>
      </c>
      <c r="B36151" t="inlineStr">
        <is>
          <t>x̄x̄x̄V̅MCL</t>
        </is>
      </c>
      <c r="C36151">
        <f>ROMAN(36150)</f>
        <v/>
      </c>
      <c r="D36151">
        <f>IF(B36151=C36151, "YES", "WRONG")</f>
        <v/>
      </c>
    </row>
    <row r="36152">
      <c r="A36152" t="n">
        <v>36151</v>
      </c>
      <c r="B36152" t="inlineStr">
        <is>
          <t>x̄x̄x̄V̅MCLI</t>
        </is>
      </c>
      <c r="C36152">
        <f>ROMAN(36151)</f>
        <v/>
      </c>
      <c r="D36152">
        <f>IF(B36152=C36152, "YES", "WRONG")</f>
        <v/>
      </c>
    </row>
    <row r="36153">
      <c r="A36153" t="n">
        <v>36152</v>
      </c>
      <c r="B36153" t="inlineStr">
        <is>
          <t>x̄x̄x̄V̅MCLII</t>
        </is>
      </c>
      <c r="C36153">
        <f>ROMAN(36152)</f>
        <v/>
      </c>
      <c r="D36153">
        <f>IF(B36153=C36153, "YES", "WRONG")</f>
        <v/>
      </c>
    </row>
    <row r="36154">
      <c r="A36154" t="n">
        <v>36153</v>
      </c>
      <c r="B36154" t="inlineStr">
        <is>
          <t>x̄x̄x̄V̅MCLIII</t>
        </is>
      </c>
      <c r="C36154">
        <f>ROMAN(36153)</f>
        <v/>
      </c>
      <c r="D36154">
        <f>IF(B36154=C36154, "YES", "WRONG")</f>
        <v/>
      </c>
    </row>
    <row r="36155">
      <c r="A36155" t="n">
        <v>36154</v>
      </c>
      <c r="B36155" t="inlineStr">
        <is>
          <t>x̄x̄x̄V̅MCLIV</t>
        </is>
      </c>
      <c r="C36155">
        <f>ROMAN(36154)</f>
        <v/>
      </c>
      <c r="D36155">
        <f>IF(B36155=C36155, "YES", "WRONG")</f>
        <v/>
      </c>
    </row>
    <row r="36156">
      <c r="A36156" t="n">
        <v>36155</v>
      </c>
      <c r="B36156" t="inlineStr">
        <is>
          <t>x̄x̄x̄V̅MCLV</t>
        </is>
      </c>
      <c r="C36156">
        <f>ROMAN(36155)</f>
        <v/>
      </c>
      <c r="D36156">
        <f>IF(B36156=C36156, "YES", "WRONG")</f>
        <v/>
      </c>
    </row>
    <row r="36157">
      <c r="A36157" t="n">
        <v>36156</v>
      </c>
      <c r="B36157" t="inlineStr">
        <is>
          <t>x̄x̄x̄V̅MCLVI</t>
        </is>
      </c>
      <c r="C36157">
        <f>ROMAN(36156)</f>
        <v/>
      </c>
      <c r="D36157">
        <f>IF(B36157=C36157, "YES", "WRONG")</f>
        <v/>
      </c>
    </row>
    <row r="36158">
      <c r="A36158" t="n">
        <v>36157</v>
      </c>
      <c r="B36158" t="inlineStr">
        <is>
          <t>x̄x̄x̄V̅MCLVII</t>
        </is>
      </c>
      <c r="C36158">
        <f>ROMAN(36157)</f>
        <v/>
      </c>
      <c r="D36158">
        <f>IF(B36158=C36158, "YES", "WRONG")</f>
        <v/>
      </c>
    </row>
    <row r="36159">
      <c r="A36159" t="n">
        <v>36158</v>
      </c>
      <c r="B36159" t="inlineStr">
        <is>
          <t>x̄x̄x̄V̅MCLVIII</t>
        </is>
      </c>
      <c r="C36159">
        <f>ROMAN(36158)</f>
        <v/>
      </c>
      <c r="D36159">
        <f>IF(B36159=C36159, "YES", "WRONG")</f>
        <v/>
      </c>
    </row>
    <row r="36160">
      <c r="A36160" t="n">
        <v>36159</v>
      </c>
      <c r="B36160" t="inlineStr">
        <is>
          <t>x̄x̄x̄V̅MCLIX</t>
        </is>
      </c>
      <c r="C36160">
        <f>ROMAN(36159)</f>
        <v/>
      </c>
      <c r="D36160">
        <f>IF(B36160=C36160, "YES", "WRONG")</f>
        <v/>
      </c>
    </row>
    <row r="36161">
      <c r="A36161" t="n">
        <v>36160</v>
      </c>
      <c r="B36161" t="inlineStr">
        <is>
          <t>x̄x̄x̄V̅MCLX</t>
        </is>
      </c>
      <c r="C36161">
        <f>ROMAN(36160)</f>
        <v/>
      </c>
      <c r="D36161">
        <f>IF(B36161=C36161, "YES", "WRONG")</f>
        <v/>
      </c>
    </row>
    <row r="36162">
      <c r="A36162" t="n">
        <v>36161</v>
      </c>
      <c r="B36162" t="inlineStr">
        <is>
          <t>x̄x̄x̄V̅MCLXI</t>
        </is>
      </c>
      <c r="C36162">
        <f>ROMAN(36161)</f>
        <v/>
      </c>
      <c r="D36162">
        <f>IF(B36162=C36162, "YES", "WRONG")</f>
        <v/>
      </c>
    </row>
    <row r="36163">
      <c r="A36163" t="n">
        <v>36162</v>
      </c>
      <c r="B36163" t="inlineStr">
        <is>
          <t>x̄x̄x̄V̅MCLXII</t>
        </is>
      </c>
      <c r="C36163">
        <f>ROMAN(36162)</f>
        <v/>
      </c>
      <c r="D36163">
        <f>IF(B36163=C36163, "YES", "WRONG")</f>
        <v/>
      </c>
    </row>
    <row r="36164">
      <c r="A36164" t="n">
        <v>36163</v>
      </c>
      <c r="B36164" t="inlineStr">
        <is>
          <t>x̄x̄x̄V̅MCLXIII</t>
        </is>
      </c>
      <c r="C36164">
        <f>ROMAN(36163)</f>
        <v/>
      </c>
      <c r="D36164">
        <f>IF(B36164=C36164, "YES", "WRONG")</f>
        <v/>
      </c>
    </row>
    <row r="36165">
      <c r="A36165" t="n">
        <v>36164</v>
      </c>
      <c r="B36165" t="inlineStr">
        <is>
          <t>x̄x̄x̄V̅MCLXIV</t>
        </is>
      </c>
      <c r="C36165">
        <f>ROMAN(36164)</f>
        <v/>
      </c>
      <c r="D36165">
        <f>IF(B36165=C36165, "YES", "WRONG")</f>
        <v/>
      </c>
    </row>
    <row r="36166">
      <c r="A36166" t="n">
        <v>36165</v>
      </c>
      <c r="B36166" t="inlineStr">
        <is>
          <t>x̄x̄x̄V̅MCLXV</t>
        </is>
      </c>
      <c r="C36166">
        <f>ROMAN(36165)</f>
        <v/>
      </c>
      <c r="D36166">
        <f>IF(B36166=C36166, "YES", "WRONG")</f>
        <v/>
      </c>
    </row>
    <row r="36167">
      <c r="A36167" t="n">
        <v>36166</v>
      </c>
      <c r="B36167" t="inlineStr">
        <is>
          <t>x̄x̄x̄V̅MCLXVI</t>
        </is>
      </c>
      <c r="C36167">
        <f>ROMAN(36166)</f>
        <v/>
      </c>
      <c r="D36167">
        <f>IF(B36167=C36167, "YES", "WRONG")</f>
        <v/>
      </c>
    </row>
    <row r="36168">
      <c r="A36168" t="n">
        <v>36167</v>
      </c>
      <c r="B36168" t="inlineStr">
        <is>
          <t>x̄x̄x̄V̅MCLXVII</t>
        </is>
      </c>
      <c r="C36168">
        <f>ROMAN(36167)</f>
        <v/>
      </c>
      <c r="D36168">
        <f>IF(B36168=C36168, "YES", "WRONG")</f>
        <v/>
      </c>
    </row>
    <row r="36169">
      <c r="A36169" t="n">
        <v>36168</v>
      </c>
      <c r="B36169" t="inlineStr">
        <is>
          <t>x̄x̄x̄V̅MCLXVIII</t>
        </is>
      </c>
      <c r="C36169">
        <f>ROMAN(36168)</f>
        <v/>
      </c>
      <c r="D36169">
        <f>IF(B36169=C36169, "YES", "WRONG")</f>
        <v/>
      </c>
    </row>
    <row r="36170">
      <c r="A36170" t="n">
        <v>36169</v>
      </c>
      <c r="B36170" t="inlineStr">
        <is>
          <t>x̄x̄x̄V̅MCLXIX</t>
        </is>
      </c>
      <c r="C36170">
        <f>ROMAN(36169)</f>
        <v/>
      </c>
      <c r="D36170">
        <f>IF(B36170=C36170, "YES", "WRONG")</f>
        <v/>
      </c>
    </row>
    <row r="36171">
      <c r="A36171" t="n">
        <v>36170</v>
      </c>
      <c r="B36171" t="inlineStr">
        <is>
          <t>x̄x̄x̄V̅MCLXX</t>
        </is>
      </c>
      <c r="C36171">
        <f>ROMAN(36170)</f>
        <v/>
      </c>
      <c r="D36171">
        <f>IF(B36171=C36171, "YES", "WRONG")</f>
        <v/>
      </c>
    </row>
    <row r="36172">
      <c r="A36172" t="n">
        <v>36171</v>
      </c>
      <c r="B36172" t="inlineStr">
        <is>
          <t>x̄x̄x̄V̅MCLXXI</t>
        </is>
      </c>
      <c r="C36172">
        <f>ROMAN(36171)</f>
        <v/>
      </c>
      <c r="D36172">
        <f>IF(B36172=C36172, "YES", "WRONG")</f>
        <v/>
      </c>
    </row>
    <row r="36173">
      <c r="A36173" t="n">
        <v>36172</v>
      </c>
      <c r="B36173" t="inlineStr">
        <is>
          <t>x̄x̄x̄V̅MCLXXII</t>
        </is>
      </c>
      <c r="C36173">
        <f>ROMAN(36172)</f>
        <v/>
      </c>
      <c r="D36173">
        <f>IF(B36173=C36173, "YES", "WRONG")</f>
        <v/>
      </c>
    </row>
    <row r="36174">
      <c r="A36174" t="n">
        <v>36173</v>
      </c>
      <c r="B36174" t="inlineStr">
        <is>
          <t>x̄x̄x̄V̅MCLXXIII</t>
        </is>
      </c>
      <c r="C36174">
        <f>ROMAN(36173)</f>
        <v/>
      </c>
      <c r="D36174">
        <f>IF(B36174=C36174, "YES", "WRONG")</f>
        <v/>
      </c>
    </row>
    <row r="36175">
      <c r="A36175" t="n">
        <v>36174</v>
      </c>
      <c r="B36175" t="inlineStr">
        <is>
          <t>x̄x̄x̄V̅MCLXXIV</t>
        </is>
      </c>
      <c r="C36175">
        <f>ROMAN(36174)</f>
        <v/>
      </c>
      <c r="D36175">
        <f>IF(B36175=C36175, "YES", "WRONG")</f>
        <v/>
      </c>
    </row>
    <row r="36176">
      <c r="A36176" t="n">
        <v>36175</v>
      </c>
      <c r="B36176" t="inlineStr">
        <is>
          <t>x̄x̄x̄V̅MCLXXV</t>
        </is>
      </c>
      <c r="C36176">
        <f>ROMAN(36175)</f>
        <v/>
      </c>
      <c r="D36176">
        <f>IF(B36176=C36176, "YES", "WRONG")</f>
        <v/>
      </c>
    </row>
    <row r="36177">
      <c r="A36177" t="n">
        <v>36176</v>
      </c>
      <c r="B36177" t="inlineStr">
        <is>
          <t>x̄x̄x̄V̅MCLXXVI</t>
        </is>
      </c>
      <c r="C36177">
        <f>ROMAN(36176)</f>
        <v/>
      </c>
      <c r="D36177">
        <f>IF(B36177=C36177, "YES", "WRONG")</f>
        <v/>
      </c>
    </row>
    <row r="36178">
      <c r="A36178" t="n">
        <v>36177</v>
      </c>
      <c r="B36178" t="inlineStr">
        <is>
          <t>x̄x̄x̄V̅MCLXXVII</t>
        </is>
      </c>
      <c r="C36178">
        <f>ROMAN(36177)</f>
        <v/>
      </c>
      <c r="D36178">
        <f>IF(B36178=C36178, "YES", "WRONG")</f>
        <v/>
      </c>
    </row>
    <row r="36179">
      <c r="A36179" t="n">
        <v>36178</v>
      </c>
      <c r="B36179" t="inlineStr">
        <is>
          <t>x̄x̄x̄V̅MCLXXVIII</t>
        </is>
      </c>
      <c r="C36179">
        <f>ROMAN(36178)</f>
        <v/>
      </c>
      <c r="D36179">
        <f>IF(B36179=C36179, "YES", "WRONG")</f>
        <v/>
      </c>
    </row>
    <row r="36180">
      <c r="A36180" t="n">
        <v>36179</v>
      </c>
      <c r="B36180" t="inlineStr">
        <is>
          <t>x̄x̄x̄V̅MCLXXIX</t>
        </is>
      </c>
      <c r="C36180">
        <f>ROMAN(36179)</f>
        <v/>
      </c>
      <c r="D36180">
        <f>IF(B36180=C36180, "YES", "WRONG")</f>
        <v/>
      </c>
    </row>
    <row r="36181">
      <c r="A36181" t="n">
        <v>36180</v>
      </c>
      <c r="B36181" t="inlineStr">
        <is>
          <t>x̄x̄x̄V̅MCLXXX</t>
        </is>
      </c>
      <c r="C36181">
        <f>ROMAN(36180)</f>
        <v/>
      </c>
      <c r="D36181">
        <f>IF(B36181=C36181, "YES", "WRONG")</f>
        <v/>
      </c>
    </row>
    <row r="36182">
      <c r="A36182" t="n">
        <v>36181</v>
      </c>
      <c r="B36182" t="inlineStr">
        <is>
          <t>x̄x̄x̄V̅MCLXXXI</t>
        </is>
      </c>
      <c r="C36182">
        <f>ROMAN(36181)</f>
        <v/>
      </c>
      <c r="D36182">
        <f>IF(B36182=C36182, "YES", "WRONG")</f>
        <v/>
      </c>
    </row>
    <row r="36183">
      <c r="A36183" t="n">
        <v>36182</v>
      </c>
      <c r="B36183" t="inlineStr">
        <is>
          <t>x̄x̄x̄V̅MCLXXXII</t>
        </is>
      </c>
      <c r="C36183">
        <f>ROMAN(36182)</f>
        <v/>
      </c>
      <c r="D36183">
        <f>IF(B36183=C36183, "YES", "WRONG")</f>
        <v/>
      </c>
    </row>
    <row r="36184">
      <c r="A36184" t="n">
        <v>36183</v>
      </c>
      <c r="B36184" t="inlineStr">
        <is>
          <t>x̄x̄x̄V̅MCLXXXIII</t>
        </is>
      </c>
      <c r="C36184">
        <f>ROMAN(36183)</f>
        <v/>
      </c>
      <c r="D36184">
        <f>IF(B36184=C36184, "YES", "WRONG")</f>
        <v/>
      </c>
    </row>
    <row r="36185">
      <c r="A36185" t="n">
        <v>36184</v>
      </c>
      <c r="B36185" t="inlineStr">
        <is>
          <t>x̄x̄x̄V̅MCLXXXIV</t>
        </is>
      </c>
      <c r="C36185">
        <f>ROMAN(36184)</f>
        <v/>
      </c>
      <c r="D36185">
        <f>IF(B36185=C36185, "YES", "WRONG")</f>
        <v/>
      </c>
    </row>
    <row r="36186">
      <c r="A36186" t="n">
        <v>36185</v>
      </c>
      <c r="B36186" t="inlineStr">
        <is>
          <t>x̄x̄x̄V̅MCLXXXV</t>
        </is>
      </c>
      <c r="C36186">
        <f>ROMAN(36185)</f>
        <v/>
      </c>
      <c r="D36186">
        <f>IF(B36186=C36186, "YES", "WRONG")</f>
        <v/>
      </c>
    </row>
    <row r="36187">
      <c r="A36187" t="n">
        <v>36186</v>
      </c>
      <c r="B36187" t="inlineStr">
        <is>
          <t>x̄x̄x̄V̅MCLXXXVI</t>
        </is>
      </c>
      <c r="C36187">
        <f>ROMAN(36186)</f>
        <v/>
      </c>
      <c r="D36187">
        <f>IF(B36187=C36187, "YES", "WRONG")</f>
        <v/>
      </c>
    </row>
    <row r="36188">
      <c r="A36188" t="n">
        <v>36187</v>
      </c>
      <c r="B36188" t="inlineStr">
        <is>
          <t>x̄x̄x̄V̅MCLXXXVII</t>
        </is>
      </c>
      <c r="C36188">
        <f>ROMAN(36187)</f>
        <v/>
      </c>
      <c r="D36188">
        <f>IF(B36188=C36188, "YES", "WRONG")</f>
        <v/>
      </c>
    </row>
    <row r="36189">
      <c r="A36189" t="n">
        <v>36188</v>
      </c>
      <c r="B36189" t="inlineStr">
        <is>
          <t>x̄x̄x̄V̅MCLXXXVIII</t>
        </is>
      </c>
      <c r="C36189">
        <f>ROMAN(36188)</f>
        <v/>
      </c>
      <c r="D36189">
        <f>IF(B36189=C36189, "YES", "WRONG")</f>
        <v/>
      </c>
    </row>
    <row r="36190">
      <c r="A36190" t="n">
        <v>36189</v>
      </c>
      <c r="B36190" t="inlineStr">
        <is>
          <t>x̄x̄x̄V̅MCLXXXIX</t>
        </is>
      </c>
      <c r="C36190">
        <f>ROMAN(36189)</f>
        <v/>
      </c>
      <c r="D36190">
        <f>IF(B36190=C36190, "YES", "WRONG")</f>
        <v/>
      </c>
    </row>
    <row r="36191">
      <c r="A36191" t="n">
        <v>36190</v>
      </c>
      <c r="B36191" t="inlineStr">
        <is>
          <t>x̄x̄x̄V̅MCXC</t>
        </is>
      </c>
      <c r="C36191">
        <f>ROMAN(36190)</f>
        <v/>
      </c>
      <c r="D36191">
        <f>IF(B36191=C36191, "YES", "WRONG")</f>
        <v/>
      </c>
    </row>
    <row r="36192">
      <c r="A36192" t="n">
        <v>36191</v>
      </c>
      <c r="B36192" t="inlineStr">
        <is>
          <t>x̄x̄x̄V̅MCXCI</t>
        </is>
      </c>
      <c r="C36192">
        <f>ROMAN(36191)</f>
        <v/>
      </c>
      <c r="D36192">
        <f>IF(B36192=C36192, "YES", "WRONG")</f>
        <v/>
      </c>
    </row>
    <row r="36193">
      <c r="A36193" t="n">
        <v>36192</v>
      </c>
      <c r="B36193" t="inlineStr">
        <is>
          <t>x̄x̄x̄V̅MCXCII</t>
        </is>
      </c>
      <c r="C36193">
        <f>ROMAN(36192)</f>
        <v/>
      </c>
      <c r="D36193">
        <f>IF(B36193=C36193, "YES", "WRONG")</f>
        <v/>
      </c>
    </row>
    <row r="36194">
      <c r="A36194" t="n">
        <v>36193</v>
      </c>
      <c r="B36194" t="inlineStr">
        <is>
          <t>x̄x̄x̄V̅MCXCIII</t>
        </is>
      </c>
      <c r="C36194">
        <f>ROMAN(36193)</f>
        <v/>
      </c>
      <c r="D36194">
        <f>IF(B36194=C36194, "YES", "WRONG")</f>
        <v/>
      </c>
    </row>
    <row r="36195">
      <c r="A36195" t="n">
        <v>36194</v>
      </c>
      <c r="B36195" t="inlineStr">
        <is>
          <t>x̄x̄x̄V̅MCXCIV</t>
        </is>
      </c>
      <c r="C36195">
        <f>ROMAN(36194)</f>
        <v/>
      </c>
      <c r="D36195">
        <f>IF(B36195=C36195, "YES", "WRONG")</f>
        <v/>
      </c>
    </row>
    <row r="36196">
      <c r="A36196" t="n">
        <v>36195</v>
      </c>
      <c r="B36196" t="inlineStr">
        <is>
          <t>x̄x̄x̄V̅MCXCV</t>
        </is>
      </c>
      <c r="C36196">
        <f>ROMAN(36195)</f>
        <v/>
      </c>
      <c r="D36196">
        <f>IF(B36196=C36196, "YES", "WRONG")</f>
        <v/>
      </c>
    </row>
    <row r="36197">
      <c r="A36197" t="n">
        <v>36196</v>
      </c>
      <c r="B36197" t="inlineStr">
        <is>
          <t>x̄x̄x̄V̅MCXCVI</t>
        </is>
      </c>
      <c r="C36197">
        <f>ROMAN(36196)</f>
        <v/>
      </c>
      <c r="D36197">
        <f>IF(B36197=C36197, "YES", "WRONG")</f>
        <v/>
      </c>
    </row>
    <row r="36198">
      <c r="A36198" t="n">
        <v>36197</v>
      </c>
      <c r="B36198" t="inlineStr">
        <is>
          <t>x̄x̄x̄V̅MCXCVII</t>
        </is>
      </c>
      <c r="C36198">
        <f>ROMAN(36197)</f>
        <v/>
      </c>
      <c r="D36198">
        <f>IF(B36198=C36198, "YES", "WRONG")</f>
        <v/>
      </c>
    </row>
    <row r="36199">
      <c r="A36199" t="n">
        <v>36198</v>
      </c>
      <c r="B36199" t="inlineStr">
        <is>
          <t>x̄x̄x̄V̅MCXCVIII</t>
        </is>
      </c>
      <c r="C36199">
        <f>ROMAN(36198)</f>
        <v/>
      </c>
      <c r="D36199">
        <f>IF(B36199=C36199, "YES", "WRONG")</f>
        <v/>
      </c>
    </row>
    <row r="36200">
      <c r="A36200" t="n">
        <v>36199</v>
      </c>
      <c r="B36200" t="inlineStr">
        <is>
          <t>x̄x̄x̄V̅MCXCIX</t>
        </is>
      </c>
      <c r="C36200">
        <f>ROMAN(36199)</f>
        <v/>
      </c>
      <c r="D36200">
        <f>IF(B36200=C36200, "YES", "WRONG")</f>
        <v/>
      </c>
    </row>
    <row r="36201">
      <c r="A36201" t="n">
        <v>36200</v>
      </c>
      <c r="B36201" t="inlineStr">
        <is>
          <t>x̄x̄x̄V̅MCC</t>
        </is>
      </c>
      <c r="C36201">
        <f>ROMAN(36200)</f>
        <v/>
      </c>
      <c r="D36201">
        <f>IF(B36201=C36201, "YES", "WRONG")</f>
        <v/>
      </c>
    </row>
    <row r="36202">
      <c r="A36202" t="n">
        <v>36201</v>
      </c>
      <c r="B36202" t="inlineStr">
        <is>
          <t>x̄x̄x̄V̅MCCI</t>
        </is>
      </c>
      <c r="C36202">
        <f>ROMAN(36201)</f>
        <v/>
      </c>
      <c r="D36202">
        <f>IF(B36202=C36202, "YES", "WRONG")</f>
        <v/>
      </c>
    </row>
    <row r="36203">
      <c r="A36203" t="n">
        <v>36202</v>
      </c>
      <c r="B36203" t="inlineStr">
        <is>
          <t>x̄x̄x̄V̅MCCII</t>
        </is>
      </c>
      <c r="C36203">
        <f>ROMAN(36202)</f>
        <v/>
      </c>
      <c r="D36203">
        <f>IF(B36203=C36203, "YES", "WRONG")</f>
        <v/>
      </c>
    </row>
    <row r="36204">
      <c r="A36204" t="n">
        <v>36203</v>
      </c>
      <c r="B36204" t="inlineStr">
        <is>
          <t>x̄x̄x̄V̅MCCIII</t>
        </is>
      </c>
      <c r="C36204">
        <f>ROMAN(36203)</f>
        <v/>
      </c>
      <c r="D36204">
        <f>IF(B36204=C36204, "YES", "WRONG")</f>
        <v/>
      </c>
    </row>
    <row r="36205">
      <c r="A36205" t="n">
        <v>36204</v>
      </c>
      <c r="B36205" t="inlineStr">
        <is>
          <t>x̄x̄x̄V̅MCCIV</t>
        </is>
      </c>
      <c r="C36205">
        <f>ROMAN(36204)</f>
        <v/>
      </c>
      <c r="D36205">
        <f>IF(B36205=C36205, "YES", "WRONG")</f>
        <v/>
      </c>
    </row>
    <row r="36206">
      <c r="A36206" t="n">
        <v>36205</v>
      </c>
      <c r="B36206" t="inlineStr">
        <is>
          <t>x̄x̄x̄V̅MCCV</t>
        </is>
      </c>
      <c r="C36206">
        <f>ROMAN(36205)</f>
        <v/>
      </c>
      <c r="D36206">
        <f>IF(B36206=C36206, "YES", "WRONG")</f>
        <v/>
      </c>
    </row>
    <row r="36207">
      <c r="A36207" t="n">
        <v>36206</v>
      </c>
      <c r="B36207" t="inlineStr">
        <is>
          <t>x̄x̄x̄V̅MCCVI</t>
        </is>
      </c>
      <c r="C36207">
        <f>ROMAN(36206)</f>
        <v/>
      </c>
      <c r="D36207">
        <f>IF(B36207=C36207, "YES", "WRONG")</f>
        <v/>
      </c>
    </row>
    <row r="36208">
      <c r="A36208" t="n">
        <v>36207</v>
      </c>
      <c r="B36208" t="inlineStr">
        <is>
          <t>x̄x̄x̄V̅MCCVII</t>
        </is>
      </c>
      <c r="C36208">
        <f>ROMAN(36207)</f>
        <v/>
      </c>
      <c r="D36208">
        <f>IF(B36208=C36208, "YES", "WRONG")</f>
        <v/>
      </c>
    </row>
    <row r="36209">
      <c r="A36209" t="n">
        <v>36208</v>
      </c>
      <c r="B36209" t="inlineStr">
        <is>
          <t>x̄x̄x̄V̅MCCVIII</t>
        </is>
      </c>
      <c r="C36209">
        <f>ROMAN(36208)</f>
        <v/>
      </c>
      <c r="D36209">
        <f>IF(B36209=C36209, "YES", "WRONG")</f>
        <v/>
      </c>
    </row>
    <row r="36210">
      <c r="A36210" t="n">
        <v>36209</v>
      </c>
      <c r="B36210" t="inlineStr">
        <is>
          <t>x̄x̄x̄V̅MCCIX</t>
        </is>
      </c>
      <c r="C36210">
        <f>ROMAN(36209)</f>
        <v/>
      </c>
      <c r="D36210">
        <f>IF(B36210=C36210, "YES", "WRONG")</f>
        <v/>
      </c>
    </row>
    <row r="36211">
      <c r="A36211" t="n">
        <v>36210</v>
      </c>
      <c r="B36211" t="inlineStr">
        <is>
          <t>x̄x̄x̄V̅MCCX</t>
        </is>
      </c>
      <c r="C36211">
        <f>ROMAN(36210)</f>
        <v/>
      </c>
      <c r="D36211">
        <f>IF(B36211=C36211, "YES", "WRONG")</f>
        <v/>
      </c>
    </row>
    <row r="36212">
      <c r="A36212" t="n">
        <v>36211</v>
      </c>
      <c r="B36212" t="inlineStr">
        <is>
          <t>x̄x̄x̄V̅MCCXI</t>
        </is>
      </c>
      <c r="C36212">
        <f>ROMAN(36211)</f>
        <v/>
      </c>
      <c r="D36212">
        <f>IF(B36212=C36212, "YES", "WRONG")</f>
        <v/>
      </c>
    </row>
    <row r="36213">
      <c r="A36213" t="n">
        <v>36212</v>
      </c>
      <c r="B36213" t="inlineStr">
        <is>
          <t>x̄x̄x̄V̅MCCXII</t>
        </is>
      </c>
      <c r="C36213">
        <f>ROMAN(36212)</f>
        <v/>
      </c>
      <c r="D36213">
        <f>IF(B36213=C36213, "YES", "WRONG")</f>
        <v/>
      </c>
    </row>
    <row r="36214">
      <c r="A36214" t="n">
        <v>36213</v>
      </c>
      <c r="B36214" t="inlineStr">
        <is>
          <t>x̄x̄x̄V̅MCCXIII</t>
        </is>
      </c>
      <c r="C36214">
        <f>ROMAN(36213)</f>
        <v/>
      </c>
      <c r="D36214">
        <f>IF(B36214=C36214, "YES", "WRONG")</f>
        <v/>
      </c>
    </row>
    <row r="36215">
      <c r="A36215" t="n">
        <v>36214</v>
      </c>
      <c r="B36215" t="inlineStr">
        <is>
          <t>x̄x̄x̄V̅MCCXIV</t>
        </is>
      </c>
      <c r="C36215">
        <f>ROMAN(36214)</f>
        <v/>
      </c>
      <c r="D36215">
        <f>IF(B36215=C36215, "YES", "WRONG")</f>
        <v/>
      </c>
    </row>
    <row r="36216">
      <c r="A36216" t="n">
        <v>36215</v>
      </c>
      <c r="B36216" t="inlineStr">
        <is>
          <t>x̄x̄x̄V̅MCCXV</t>
        </is>
      </c>
      <c r="C36216">
        <f>ROMAN(36215)</f>
        <v/>
      </c>
      <c r="D36216">
        <f>IF(B36216=C36216, "YES", "WRONG")</f>
        <v/>
      </c>
    </row>
    <row r="36217">
      <c r="A36217" t="n">
        <v>36216</v>
      </c>
      <c r="B36217" t="inlineStr">
        <is>
          <t>x̄x̄x̄V̅MCCXVI</t>
        </is>
      </c>
      <c r="C36217">
        <f>ROMAN(36216)</f>
        <v/>
      </c>
      <c r="D36217">
        <f>IF(B36217=C36217, "YES", "WRONG")</f>
        <v/>
      </c>
    </row>
    <row r="36218">
      <c r="A36218" t="n">
        <v>36217</v>
      </c>
      <c r="B36218" t="inlineStr">
        <is>
          <t>x̄x̄x̄V̅MCCXVII</t>
        </is>
      </c>
      <c r="C36218">
        <f>ROMAN(36217)</f>
        <v/>
      </c>
      <c r="D36218">
        <f>IF(B36218=C36218, "YES", "WRONG")</f>
        <v/>
      </c>
    </row>
    <row r="36219">
      <c r="A36219" t="n">
        <v>36218</v>
      </c>
      <c r="B36219" t="inlineStr">
        <is>
          <t>x̄x̄x̄V̅MCCXVIII</t>
        </is>
      </c>
      <c r="C36219">
        <f>ROMAN(36218)</f>
        <v/>
      </c>
      <c r="D36219">
        <f>IF(B36219=C36219, "YES", "WRONG")</f>
        <v/>
      </c>
    </row>
    <row r="36220">
      <c r="A36220" t="n">
        <v>36219</v>
      </c>
      <c r="B36220" t="inlineStr">
        <is>
          <t>x̄x̄x̄V̅MCCXIX</t>
        </is>
      </c>
      <c r="C36220">
        <f>ROMAN(36219)</f>
        <v/>
      </c>
      <c r="D36220">
        <f>IF(B36220=C36220, "YES", "WRONG")</f>
        <v/>
      </c>
    </row>
    <row r="36221">
      <c r="A36221" t="n">
        <v>36220</v>
      </c>
      <c r="B36221" t="inlineStr">
        <is>
          <t>x̄x̄x̄V̅MCCXX</t>
        </is>
      </c>
      <c r="C36221">
        <f>ROMAN(36220)</f>
        <v/>
      </c>
      <c r="D36221">
        <f>IF(B36221=C36221, "YES", "WRONG")</f>
        <v/>
      </c>
    </row>
    <row r="36222">
      <c r="A36222" t="n">
        <v>36221</v>
      </c>
      <c r="B36222" t="inlineStr">
        <is>
          <t>x̄x̄x̄V̅MCCXXI</t>
        </is>
      </c>
      <c r="C36222">
        <f>ROMAN(36221)</f>
        <v/>
      </c>
      <c r="D36222">
        <f>IF(B36222=C36222, "YES", "WRONG")</f>
        <v/>
      </c>
    </row>
    <row r="36223">
      <c r="A36223" t="n">
        <v>36222</v>
      </c>
      <c r="B36223" t="inlineStr">
        <is>
          <t>x̄x̄x̄V̅MCCXXII</t>
        </is>
      </c>
      <c r="C36223">
        <f>ROMAN(36222)</f>
        <v/>
      </c>
      <c r="D36223">
        <f>IF(B36223=C36223, "YES", "WRONG")</f>
        <v/>
      </c>
    </row>
    <row r="36224">
      <c r="A36224" t="n">
        <v>36223</v>
      </c>
      <c r="B36224" t="inlineStr">
        <is>
          <t>x̄x̄x̄V̅MCCXXIII</t>
        </is>
      </c>
      <c r="C36224">
        <f>ROMAN(36223)</f>
        <v/>
      </c>
      <c r="D36224">
        <f>IF(B36224=C36224, "YES", "WRONG")</f>
        <v/>
      </c>
    </row>
    <row r="36225">
      <c r="A36225" t="n">
        <v>36224</v>
      </c>
      <c r="B36225" t="inlineStr">
        <is>
          <t>x̄x̄x̄V̅MCCXXIV</t>
        </is>
      </c>
      <c r="C36225">
        <f>ROMAN(36224)</f>
        <v/>
      </c>
      <c r="D36225">
        <f>IF(B36225=C36225, "YES", "WRONG")</f>
        <v/>
      </c>
    </row>
    <row r="36226">
      <c r="A36226" t="n">
        <v>36225</v>
      </c>
      <c r="B36226" t="inlineStr">
        <is>
          <t>x̄x̄x̄V̅MCCXXV</t>
        </is>
      </c>
      <c r="C36226">
        <f>ROMAN(36225)</f>
        <v/>
      </c>
      <c r="D36226">
        <f>IF(B36226=C36226, "YES", "WRONG")</f>
        <v/>
      </c>
    </row>
    <row r="36227">
      <c r="A36227" t="n">
        <v>36226</v>
      </c>
      <c r="B36227" t="inlineStr">
        <is>
          <t>x̄x̄x̄V̅MCCXXVI</t>
        </is>
      </c>
      <c r="C36227">
        <f>ROMAN(36226)</f>
        <v/>
      </c>
      <c r="D36227">
        <f>IF(B36227=C36227, "YES", "WRONG")</f>
        <v/>
      </c>
    </row>
    <row r="36228">
      <c r="A36228" t="n">
        <v>36227</v>
      </c>
      <c r="B36228" t="inlineStr">
        <is>
          <t>x̄x̄x̄V̅MCCXXVII</t>
        </is>
      </c>
      <c r="C36228">
        <f>ROMAN(36227)</f>
        <v/>
      </c>
      <c r="D36228">
        <f>IF(B36228=C36228, "YES", "WRONG")</f>
        <v/>
      </c>
    </row>
    <row r="36229">
      <c r="A36229" t="n">
        <v>36228</v>
      </c>
      <c r="B36229" t="inlineStr">
        <is>
          <t>x̄x̄x̄V̅MCCXXVIII</t>
        </is>
      </c>
      <c r="C36229">
        <f>ROMAN(36228)</f>
        <v/>
      </c>
      <c r="D36229">
        <f>IF(B36229=C36229, "YES", "WRONG")</f>
        <v/>
      </c>
    </row>
    <row r="36230">
      <c r="A36230" t="n">
        <v>36229</v>
      </c>
      <c r="B36230" t="inlineStr">
        <is>
          <t>x̄x̄x̄V̅MCCXXIX</t>
        </is>
      </c>
      <c r="C36230">
        <f>ROMAN(36229)</f>
        <v/>
      </c>
      <c r="D36230">
        <f>IF(B36230=C36230, "YES", "WRONG")</f>
        <v/>
      </c>
    </row>
    <row r="36231">
      <c r="A36231" t="n">
        <v>36230</v>
      </c>
      <c r="B36231" t="inlineStr">
        <is>
          <t>x̄x̄x̄V̅MCCXXX</t>
        </is>
      </c>
      <c r="C36231">
        <f>ROMAN(36230)</f>
        <v/>
      </c>
      <c r="D36231">
        <f>IF(B36231=C36231, "YES", "WRONG")</f>
        <v/>
      </c>
    </row>
    <row r="36232">
      <c r="A36232" t="n">
        <v>36231</v>
      </c>
      <c r="B36232" t="inlineStr">
        <is>
          <t>x̄x̄x̄V̅MCCXXXI</t>
        </is>
      </c>
      <c r="C36232">
        <f>ROMAN(36231)</f>
        <v/>
      </c>
      <c r="D36232">
        <f>IF(B36232=C36232, "YES", "WRONG")</f>
        <v/>
      </c>
    </row>
    <row r="36233">
      <c r="A36233" t="n">
        <v>36232</v>
      </c>
      <c r="B36233" t="inlineStr">
        <is>
          <t>x̄x̄x̄V̅MCCXXXII</t>
        </is>
      </c>
      <c r="C36233">
        <f>ROMAN(36232)</f>
        <v/>
      </c>
      <c r="D36233">
        <f>IF(B36233=C36233, "YES", "WRONG")</f>
        <v/>
      </c>
    </row>
    <row r="36234">
      <c r="A36234" t="n">
        <v>36233</v>
      </c>
      <c r="B36234" t="inlineStr">
        <is>
          <t>x̄x̄x̄V̅MCCXXXIII</t>
        </is>
      </c>
      <c r="C36234">
        <f>ROMAN(36233)</f>
        <v/>
      </c>
      <c r="D36234">
        <f>IF(B36234=C36234, "YES", "WRONG")</f>
        <v/>
      </c>
    </row>
    <row r="36235">
      <c r="A36235" t="n">
        <v>36234</v>
      </c>
      <c r="B36235" t="inlineStr">
        <is>
          <t>x̄x̄x̄V̅MCCXXXIV</t>
        </is>
      </c>
      <c r="C36235">
        <f>ROMAN(36234)</f>
        <v/>
      </c>
      <c r="D36235">
        <f>IF(B36235=C36235, "YES", "WRONG")</f>
        <v/>
      </c>
    </row>
    <row r="36236">
      <c r="A36236" t="n">
        <v>36235</v>
      </c>
      <c r="B36236" t="inlineStr">
        <is>
          <t>x̄x̄x̄V̅MCCXXXV</t>
        </is>
      </c>
      <c r="C36236">
        <f>ROMAN(36235)</f>
        <v/>
      </c>
      <c r="D36236">
        <f>IF(B36236=C36236, "YES", "WRONG")</f>
        <v/>
      </c>
    </row>
    <row r="36237">
      <c r="A36237" t="n">
        <v>36236</v>
      </c>
      <c r="B36237" t="inlineStr">
        <is>
          <t>x̄x̄x̄V̅MCCXXXVI</t>
        </is>
      </c>
      <c r="C36237">
        <f>ROMAN(36236)</f>
        <v/>
      </c>
      <c r="D36237">
        <f>IF(B36237=C36237, "YES", "WRONG")</f>
        <v/>
      </c>
    </row>
    <row r="36238">
      <c r="A36238" t="n">
        <v>36237</v>
      </c>
      <c r="B36238" t="inlineStr">
        <is>
          <t>x̄x̄x̄V̅MCCXXXVII</t>
        </is>
      </c>
      <c r="C36238">
        <f>ROMAN(36237)</f>
        <v/>
      </c>
      <c r="D36238">
        <f>IF(B36238=C36238, "YES", "WRONG")</f>
        <v/>
      </c>
    </row>
    <row r="36239">
      <c r="A36239" t="n">
        <v>36238</v>
      </c>
      <c r="B36239" t="inlineStr">
        <is>
          <t>x̄x̄x̄V̅MCCXXXVIII</t>
        </is>
      </c>
      <c r="C36239">
        <f>ROMAN(36238)</f>
        <v/>
      </c>
      <c r="D36239">
        <f>IF(B36239=C36239, "YES", "WRONG")</f>
        <v/>
      </c>
    </row>
    <row r="36240">
      <c r="A36240" t="n">
        <v>36239</v>
      </c>
      <c r="B36240" t="inlineStr">
        <is>
          <t>x̄x̄x̄V̅MCCXXXIX</t>
        </is>
      </c>
      <c r="C36240">
        <f>ROMAN(36239)</f>
        <v/>
      </c>
      <c r="D36240">
        <f>IF(B36240=C36240, "YES", "WRONG")</f>
        <v/>
      </c>
    </row>
    <row r="36241">
      <c r="A36241" t="n">
        <v>36240</v>
      </c>
      <c r="B36241" t="inlineStr">
        <is>
          <t>x̄x̄x̄V̅MCCXL</t>
        </is>
      </c>
      <c r="C36241">
        <f>ROMAN(36240)</f>
        <v/>
      </c>
      <c r="D36241">
        <f>IF(B36241=C36241, "YES", "WRONG")</f>
        <v/>
      </c>
    </row>
    <row r="36242">
      <c r="A36242" t="n">
        <v>36241</v>
      </c>
      <c r="B36242" t="inlineStr">
        <is>
          <t>x̄x̄x̄V̅MCCXLI</t>
        </is>
      </c>
      <c r="C36242">
        <f>ROMAN(36241)</f>
        <v/>
      </c>
      <c r="D36242">
        <f>IF(B36242=C36242, "YES", "WRONG")</f>
        <v/>
      </c>
    </row>
    <row r="36243">
      <c r="A36243" t="n">
        <v>36242</v>
      </c>
      <c r="B36243" t="inlineStr">
        <is>
          <t>x̄x̄x̄V̅MCCXLII</t>
        </is>
      </c>
      <c r="C36243">
        <f>ROMAN(36242)</f>
        <v/>
      </c>
      <c r="D36243">
        <f>IF(B36243=C36243, "YES", "WRONG")</f>
        <v/>
      </c>
    </row>
    <row r="36244">
      <c r="A36244" t="n">
        <v>36243</v>
      </c>
      <c r="B36244" t="inlineStr">
        <is>
          <t>x̄x̄x̄V̅MCCXLIII</t>
        </is>
      </c>
      <c r="C36244">
        <f>ROMAN(36243)</f>
        <v/>
      </c>
      <c r="D36244">
        <f>IF(B36244=C36244, "YES", "WRONG")</f>
        <v/>
      </c>
    </row>
    <row r="36245">
      <c r="A36245" t="n">
        <v>36244</v>
      </c>
      <c r="B36245" t="inlineStr">
        <is>
          <t>x̄x̄x̄V̅MCCXLIV</t>
        </is>
      </c>
      <c r="C36245">
        <f>ROMAN(36244)</f>
        <v/>
      </c>
      <c r="D36245">
        <f>IF(B36245=C36245, "YES", "WRONG")</f>
        <v/>
      </c>
    </row>
    <row r="36246">
      <c r="A36246" t="n">
        <v>36245</v>
      </c>
      <c r="B36246" t="inlineStr">
        <is>
          <t>x̄x̄x̄V̅MCCXLV</t>
        </is>
      </c>
      <c r="C36246">
        <f>ROMAN(36245)</f>
        <v/>
      </c>
      <c r="D36246">
        <f>IF(B36246=C36246, "YES", "WRONG")</f>
        <v/>
      </c>
    </row>
    <row r="36247">
      <c r="A36247" t="n">
        <v>36246</v>
      </c>
      <c r="B36247" t="inlineStr">
        <is>
          <t>x̄x̄x̄V̅MCCXLVI</t>
        </is>
      </c>
      <c r="C36247">
        <f>ROMAN(36246)</f>
        <v/>
      </c>
      <c r="D36247">
        <f>IF(B36247=C36247, "YES", "WRONG")</f>
        <v/>
      </c>
    </row>
    <row r="36248">
      <c r="A36248" t="n">
        <v>36247</v>
      </c>
      <c r="B36248" t="inlineStr">
        <is>
          <t>x̄x̄x̄V̅MCCXLVII</t>
        </is>
      </c>
      <c r="C36248">
        <f>ROMAN(36247)</f>
        <v/>
      </c>
      <c r="D36248">
        <f>IF(B36248=C36248, "YES", "WRONG")</f>
        <v/>
      </c>
    </row>
    <row r="36249">
      <c r="A36249" t="n">
        <v>36248</v>
      </c>
      <c r="B36249" t="inlineStr">
        <is>
          <t>x̄x̄x̄V̅MCCXLVIII</t>
        </is>
      </c>
      <c r="C36249">
        <f>ROMAN(36248)</f>
        <v/>
      </c>
      <c r="D36249">
        <f>IF(B36249=C36249, "YES", "WRONG")</f>
        <v/>
      </c>
    </row>
    <row r="36250">
      <c r="A36250" t="n">
        <v>36249</v>
      </c>
      <c r="B36250" t="inlineStr">
        <is>
          <t>x̄x̄x̄V̅MCCXLIX</t>
        </is>
      </c>
      <c r="C36250">
        <f>ROMAN(36249)</f>
        <v/>
      </c>
      <c r="D36250">
        <f>IF(B36250=C36250, "YES", "WRONG")</f>
        <v/>
      </c>
    </row>
    <row r="36251">
      <c r="A36251" t="n">
        <v>36250</v>
      </c>
      <c r="B36251" t="inlineStr">
        <is>
          <t>x̄x̄x̄V̅MCCL</t>
        </is>
      </c>
      <c r="C36251">
        <f>ROMAN(36250)</f>
        <v/>
      </c>
      <c r="D36251">
        <f>IF(B36251=C36251, "YES", "WRONG")</f>
        <v/>
      </c>
    </row>
    <row r="36252">
      <c r="A36252" t="n">
        <v>36251</v>
      </c>
      <c r="B36252" t="inlineStr">
        <is>
          <t>x̄x̄x̄V̅MCCLI</t>
        </is>
      </c>
      <c r="C36252">
        <f>ROMAN(36251)</f>
        <v/>
      </c>
      <c r="D36252">
        <f>IF(B36252=C36252, "YES", "WRONG")</f>
        <v/>
      </c>
    </row>
    <row r="36253">
      <c r="A36253" t="n">
        <v>36252</v>
      </c>
      <c r="B36253" t="inlineStr">
        <is>
          <t>x̄x̄x̄V̅MCCLII</t>
        </is>
      </c>
      <c r="C36253">
        <f>ROMAN(36252)</f>
        <v/>
      </c>
      <c r="D36253">
        <f>IF(B36253=C36253, "YES", "WRONG")</f>
        <v/>
      </c>
    </row>
    <row r="36254">
      <c r="A36254" t="n">
        <v>36253</v>
      </c>
      <c r="B36254" t="inlineStr">
        <is>
          <t>x̄x̄x̄V̅MCCLIII</t>
        </is>
      </c>
      <c r="C36254">
        <f>ROMAN(36253)</f>
        <v/>
      </c>
      <c r="D36254">
        <f>IF(B36254=C36254, "YES", "WRONG")</f>
        <v/>
      </c>
    </row>
    <row r="36255">
      <c r="A36255" t="n">
        <v>36254</v>
      </c>
      <c r="B36255" t="inlineStr">
        <is>
          <t>x̄x̄x̄V̅MCCLIV</t>
        </is>
      </c>
      <c r="C36255">
        <f>ROMAN(36254)</f>
        <v/>
      </c>
      <c r="D36255">
        <f>IF(B36255=C36255, "YES", "WRONG")</f>
        <v/>
      </c>
    </row>
    <row r="36256">
      <c r="A36256" t="n">
        <v>36255</v>
      </c>
      <c r="B36256" t="inlineStr">
        <is>
          <t>x̄x̄x̄V̅MCCLV</t>
        </is>
      </c>
      <c r="C36256">
        <f>ROMAN(36255)</f>
        <v/>
      </c>
      <c r="D36256">
        <f>IF(B36256=C36256, "YES", "WRONG")</f>
        <v/>
      </c>
    </row>
    <row r="36257">
      <c r="A36257" t="n">
        <v>36256</v>
      </c>
      <c r="B36257" t="inlineStr">
        <is>
          <t>x̄x̄x̄V̅MCCLVI</t>
        </is>
      </c>
      <c r="C36257">
        <f>ROMAN(36256)</f>
        <v/>
      </c>
      <c r="D36257">
        <f>IF(B36257=C36257, "YES", "WRONG")</f>
        <v/>
      </c>
    </row>
    <row r="36258">
      <c r="A36258" t="n">
        <v>36257</v>
      </c>
      <c r="B36258" t="inlineStr">
        <is>
          <t>x̄x̄x̄V̅MCCLVII</t>
        </is>
      </c>
      <c r="C36258">
        <f>ROMAN(36257)</f>
        <v/>
      </c>
      <c r="D36258">
        <f>IF(B36258=C36258, "YES", "WRONG")</f>
        <v/>
      </c>
    </row>
    <row r="36259">
      <c r="A36259" t="n">
        <v>36258</v>
      </c>
      <c r="B36259" t="inlineStr">
        <is>
          <t>x̄x̄x̄V̅MCCLVIII</t>
        </is>
      </c>
      <c r="C36259">
        <f>ROMAN(36258)</f>
        <v/>
      </c>
      <c r="D36259">
        <f>IF(B36259=C36259, "YES", "WRONG")</f>
        <v/>
      </c>
    </row>
    <row r="36260">
      <c r="A36260" t="n">
        <v>36259</v>
      </c>
      <c r="B36260" t="inlineStr">
        <is>
          <t>x̄x̄x̄V̅MCCLIX</t>
        </is>
      </c>
      <c r="C36260">
        <f>ROMAN(36259)</f>
        <v/>
      </c>
      <c r="D36260">
        <f>IF(B36260=C36260, "YES", "WRONG")</f>
        <v/>
      </c>
    </row>
    <row r="36261">
      <c r="A36261" t="n">
        <v>36260</v>
      </c>
      <c r="B36261" t="inlineStr">
        <is>
          <t>x̄x̄x̄V̅MCCLX</t>
        </is>
      </c>
      <c r="C36261">
        <f>ROMAN(36260)</f>
        <v/>
      </c>
      <c r="D36261">
        <f>IF(B36261=C36261, "YES", "WRONG")</f>
        <v/>
      </c>
    </row>
    <row r="36262">
      <c r="A36262" t="n">
        <v>36261</v>
      </c>
      <c r="B36262" t="inlineStr">
        <is>
          <t>x̄x̄x̄V̅MCCLXI</t>
        </is>
      </c>
      <c r="C36262">
        <f>ROMAN(36261)</f>
        <v/>
      </c>
      <c r="D36262">
        <f>IF(B36262=C36262, "YES", "WRONG")</f>
        <v/>
      </c>
    </row>
    <row r="36263">
      <c r="A36263" t="n">
        <v>36262</v>
      </c>
      <c r="B36263" t="inlineStr">
        <is>
          <t>x̄x̄x̄V̅MCCLXII</t>
        </is>
      </c>
      <c r="C36263">
        <f>ROMAN(36262)</f>
        <v/>
      </c>
      <c r="D36263">
        <f>IF(B36263=C36263, "YES", "WRONG")</f>
        <v/>
      </c>
    </row>
    <row r="36264">
      <c r="A36264" t="n">
        <v>36263</v>
      </c>
      <c r="B36264" t="inlineStr">
        <is>
          <t>x̄x̄x̄V̅MCCLXIII</t>
        </is>
      </c>
      <c r="C36264">
        <f>ROMAN(36263)</f>
        <v/>
      </c>
      <c r="D36264">
        <f>IF(B36264=C36264, "YES", "WRONG")</f>
        <v/>
      </c>
    </row>
    <row r="36265">
      <c r="A36265" t="n">
        <v>36264</v>
      </c>
      <c r="B36265" t="inlineStr">
        <is>
          <t>x̄x̄x̄V̅MCCLXIV</t>
        </is>
      </c>
      <c r="C36265">
        <f>ROMAN(36264)</f>
        <v/>
      </c>
      <c r="D36265">
        <f>IF(B36265=C36265, "YES", "WRONG")</f>
        <v/>
      </c>
    </row>
    <row r="36266">
      <c r="A36266" t="n">
        <v>36265</v>
      </c>
      <c r="B36266" t="inlineStr">
        <is>
          <t>x̄x̄x̄V̅MCCLXV</t>
        </is>
      </c>
      <c r="C36266">
        <f>ROMAN(36265)</f>
        <v/>
      </c>
      <c r="D36266">
        <f>IF(B36266=C36266, "YES", "WRONG")</f>
        <v/>
      </c>
    </row>
    <row r="36267">
      <c r="A36267" t="n">
        <v>36266</v>
      </c>
      <c r="B36267" t="inlineStr">
        <is>
          <t>x̄x̄x̄V̅MCCLXVI</t>
        </is>
      </c>
      <c r="C36267">
        <f>ROMAN(36266)</f>
        <v/>
      </c>
      <c r="D36267">
        <f>IF(B36267=C36267, "YES", "WRONG")</f>
        <v/>
      </c>
    </row>
    <row r="36268">
      <c r="A36268" t="n">
        <v>36267</v>
      </c>
      <c r="B36268" t="inlineStr">
        <is>
          <t>x̄x̄x̄V̅MCCLXVII</t>
        </is>
      </c>
      <c r="C36268">
        <f>ROMAN(36267)</f>
        <v/>
      </c>
      <c r="D36268">
        <f>IF(B36268=C36268, "YES", "WRONG")</f>
        <v/>
      </c>
    </row>
    <row r="36269">
      <c r="A36269" t="n">
        <v>36268</v>
      </c>
      <c r="B36269" t="inlineStr">
        <is>
          <t>x̄x̄x̄V̅MCCLXVIII</t>
        </is>
      </c>
      <c r="C36269">
        <f>ROMAN(36268)</f>
        <v/>
      </c>
      <c r="D36269">
        <f>IF(B36269=C36269, "YES", "WRONG")</f>
        <v/>
      </c>
    </row>
    <row r="36270">
      <c r="A36270" t="n">
        <v>36269</v>
      </c>
      <c r="B36270" t="inlineStr">
        <is>
          <t>x̄x̄x̄V̅MCCLXIX</t>
        </is>
      </c>
      <c r="C36270">
        <f>ROMAN(36269)</f>
        <v/>
      </c>
      <c r="D36270">
        <f>IF(B36270=C36270, "YES", "WRONG")</f>
        <v/>
      </c>
    </row>
    <row r="36271">
      <c r="A36271" t="n">
        <v>36270</v>
      </c>
      <c r="B36271" t="inlineStr">
        <is>
          <t>x̄x̄x̄V̅MCCLXX</t>
        </is>
      </c>
      <c r="C36271">
        <f>ROMAN(36270)</f>
        <v/>
      </c>
      <c r="D36271">
        <f>IF(B36271=C36271, "YES", "WRONG")</f>
        <v/>
      </c>
    </row>
    <row r="36272">
      <c r="A36272" t="n">
        <v>36271</v>
      </c>
      <c r="B36272" t="inlineStr">
        <is>
          <t>x̄x̄x̄V̅MCCLXXI</t>
        </is>
      </c>
      <c r="C36272">
        <f>ROMAN(36271)</f>
        <v/>
      </c>
      <c r="D36272">
        <f>IF(B36272=C36272, "YES", "WRONG")</f>
        <v/>
      </c>
    </row>
    <row r="36273">
      <c r="A36273" t="n">
        <v>36272</v>
      </c>
      <c r="B36273" t="inlineStr">
        <is>
          <t>x̄x̄x̄V̅MCCLXXII</t>
        </is>
      </c>
      <c r="C36273">
        <f>ROMAN(36272)</f>
        <v/>
      </c>
      <c r="D36273">
        <f>IF(B36273=C36273, "YES", "WRONG")</f>
        <v/>
      </c>
    </row>
    <row r="36274">
      <c r="A36274" t="n">
        <v>36273</v>
      </c>
      <c r="B36274" t="inlineStr">
        <is>
          <t>x̄x̄x̄V̅MCCLXXIII</t>
        </is>
      </c>
      <c r="C36274">
        <f>ROMAN(36273)</f>
        <v/>
      </c>
      <c r="D36274">
        <f>IF(B36274=C36274, "YES", "WRONG")</f>
        <v/>
      </c>
    </row>
    <row r="36275">
      <c r="A36275" t="n">
        <v>36274</v>
      </c>
      <c r="B36275" t="inlineStr">
        <is>
          <t>x̄x̄x̄V̅MCCLXXIV</t>
        </is>
      </c>
      <c r="C36275">
        <f>ROMAN(36274)</f>
        <v/>
      </c>
      <c r="D36275">
        <f>IF(B36275=C36275, "YES", "WRONG")</f>
        <v/>
      </c>
    </row>
    <row r="36276">
      <c r="A36276" t="n">
        <v>36275</v>
      </c>
      <c r="B36276" t="inlineStr">
        <is>
          <t>x̄x̄x̄V̅MCCLXXV</t>
        </is>
      </c>
      <c r="C36276">
        <f>ROMAN(36275)</f>
        <v/>
      </c>
      <c r="D36276">
        <f>IF(B36276=C36276, "YES", "WRONG")</f>
        <v/>
      </c>
    </row>
    <row r="36277">
      <c r="A36277" t="n">
        <v>36276</v>
      </c>
      <c r="B36277" t="inlineStr">
        <is>
          <t>x̄x̄x̄V̅MCCLXXVI</t>
        </is>
      </c>
      <c r="C36277">
        <f>ROMAN(36276)</f>
        <v/>
      </c>
      <c r="D36277">
        <f>IF(B36277=C36277, "YES", "WRONG")</f>
        <v/>
      </c>
    </row>
    <row r="36278">
      <c r="A36278" t="n">
        <v>36277</v>
      </c>
      <c r="B36278" t="inlineStr">
        <is>
          <t>x̄x̄x̄V̅MCCLXXVII</t>
        </is>
      </c>
      <c r="C36278">
        <f>ROMAN(36277)</f>
        <v/>
      </c>
      <c r="D36278">
        <f>IF(B36278=C36278, "YES", "WRONG")</f>
        <v/>
      </c>
    </row>
    <row r="36279">
      <c r="A36279" t="n">
        <v>36278</v>
      </c>
      <c r="B36279" t="inlineStr">
        <is>
          <t>x̄x̄x̄V̅MCCLXXVIII</t>
        </is>
      </c>
      <c r="C36279">
        <f>ROMAN(36278)</f>
        <v/>
      </c>
      <c r="D36279">
        <f>IF(B36279=C36279, "YES", "WRONG")</f>
        <v/>
      </c>
    </row>
    <row r="36280">
      <c r="A36280" t="n">
        <v>36279</v>
      </c>
      <c r="B36280" t="inlineStr">
        <is>
          <t>x̄x̄x̄V̅MCCLXXIX</t>
        </is>
      </c>
      <c r="C36280">
        <f>ROMAN(36279)</f>
        <v/>
      </c>
      <c r="D36280">
        <f>IF(B36280=C36280, "YES", "WRONG")</f>
        <v/>
      </c>
    </row>
    <row r="36281">
      <c r="A36281" t="n">
        <v>36280</v>
      </c>
      <c r="B36281" t="inlineStr">
        <is>
          <t>x̄x̄x̄V̅MCCLXXX</t>
        </is>
      </c>
      <c r="C36281">
        <f>ROMAN(36280)</f>
        <v/>
      </c>
      <c r="D36281">
        <f>IF(B36281=C36281, "YES", "WRONG")</f>
        <v/>
      </c>
    </row>
    <row r="36282">
      <c r="A36282" t="n">
        <v>36281</v>
      </c>
      <c r="B36282" t="inlineStr">
        <is>
          <t>x̄x̄x̄V̅MCCLXXXI</t>
        </is>
      </c>
      <c r="C36282">
        <f>ROMAN(36281)</f>
        <v/>
      </c>
      <c r="D36282">
        <f>IF(B36282=C36282, "YES", "WRONG")</f>
        <v/>
      </c>
    </row>
    <row r="36283">
      <c r="A36283" t="n">
        <v>36282</v>
      </c>
      <c r="B36283" t="inlineStr">
        <is>
          <t>x̄x̄x̄V̅MCCLXXXII</t>
        </is>
      </c>
      <c r="C36283">
        <f>ROMAN(36282)</f>
        <v/>
      </c>
      <c r="D36283">
        <f>IF(B36283=C36283, "YES", "WRONG")</f>
        <v/>
      </c>
    </row>
    <row r="36284">
      <c r="A36284" t="n">
        <v>36283</v>
      </c>
      <c r="B36284" t="inlineStr">
        <is>
          <t>x̄x̄x̄V̅MCCLXXXIII</t>
        </is>
      </c>
      <c r="C36284">
        <f>ROMAN(36283)</f>
        <v/>
      </c>
      <c r="D36284">
        <f>IF(B36284=C36284, "YES", "WRONG")</f>
        <v/>
      </c>
    </row>
    <row r="36285">
      <c r="A36285" t="n">
        <v>36284</v>
      </c>
      <c r="B36285" t="inlineStr">
        <is>
          <t>x̄x̄x̄V̅MCCLXXXIV</t>
        </is>
      </c>
      <c r="C36285">
        <f>ROMAN(36284)</f>
        <v/>
      </c>
      <c r="D36285">
        <f>IF(B36285=C36285, "YES", "WRONG")</f>
        <v/>
      </c>
    </row>
    <row r="36286">
      <c r="A36286" t="n">
        <v>36285</v>
      </c>
      <c r="B36286" t="inlineStr">
        <is>
          <t>x̄x̄x̄V̅MCCLXXXV</t>
        </is>
      </c>
      <c r="C36286">
        <f>ROMAN(36285)</f>
        <v/>
      </c>
      <c r="D36286">
        <f>IF(B36286=C36286, "YES", "WRONG")</f>
        <v/>
      </c>
    </row>
    <row r="36287">
      <c r="A36287" t="n">
        <v>36286</v>
      </c>
      <c r="B36287" t="inlineStr">
        <is>
          <t>x̄x̄x̄V̅MCCLXXXVI</t>
        </is>
      </c>
      <c r="C36287">
        <f>ROMAN(36286)</f>
        <v/>
      </c>
      <c r="D36287">
        <f>IF(B36287=C36287, "YES", "WRONG")</f>
        <v/>
      </c>
    </row>
    <row r="36288">
      <c r="A36288" t="n">
        <v>36287</v>
      </c>
      <c r="B36288" t="inlineStr">
        <is>
          <t>x̄x̄x̄V̅MCCLXXXVII</t>
        </is>
      </c>
      <c r="C36288">
        <f>ROMAN(36287)</f>
        <v/>
      </c>
      <c r="D36288">
        <f>IF(B36288=C36288, "YES", "WRONG")</f>
        <v/>
      </c>
    </row>
    <row r="36289">
      <c r="A36289" t="n">
        <v>36288</v>
      </c>
      <c r="B36289" t="inlineStr">
        <is>
          <t>x̄x̄x̄V̅MCCLXXXVIII</t>
        </is>
      </c>
      <c r="C36289">
        <f>ROMAN(36288)</f>
        <v/>
      </c>
      <c r="D36289">
        <f>IF(B36289=C36289, "YES", "WRONG")</f>
        <v/>
      </c>
    </row>
    <row r="36290">
      <c r="A36290" t="n">
        <v>36289</v>
      </c>
      <c r="B36290" t="inlineStr">
        <is>
          <t>x̄x̄x̄V̅MCCLXXXIX</t>
        </is>
      </c>
      <c r="C36290">
        <f>ROMAN(36289)</f>
        <v/>
      </c>
      <c r="D36290">
        <f>IF(B36290=C36290, "YES", "WRONG")</f>
        <v/>
      </c>
    </row>
    <row r="36291">
      <c r="A36291" t="n">
        <v>36290</v>
      </c>
      <c r="B36291" t="inlineStr">
        <is>
          <t>x̄x̄x̄V̅MCCXC</t>
        </is>
      </c>
      <c r="C36291">
        <f>ROMAN(36290)</f>
        <v/>
      </c>
      <c r="D36291">
        <f>IF(B36291=C36291, "YES", "WRONG")</f>
        <v/>
      </c>
    </row>
    <row r="36292">
      <c r="A36292" t="n">
        <v>36291</v>
      </c>
      <c r="B36292" t="inlineStr">
        <is>
          <t>x̄x̄x̄V̅MCCXCI</t>
        </is>
      </c>
      <c r="C36292">
        <f>ROMAN(36291)</f>
        <v/>
      </c>
      <c r="D36292">
        <f>IF(B36292=C36292, "YES", "WRONG")</f>
        <v/>
      </c>
    </row>
    <row r="36293">
      <c r="A36293" t="n">
        <v>36292</v>
      </c>
      <c r="B36293" t="inlineStr">
        <is>
          <t>x̄x̄x̄V̅MCCXCII</t>
        </is>
      </c>
      <c r="C36293">
        <f>ROMAN(36292)</f>
        <v/>
      </c>
      <c r="D36293">
        <f>IF(B36293=C36293, "YES", "WRONG")</f>
        <v/>
      </c>
    </row>
    <row r="36294">
      <c r="A36294" t="n">
        <v>36293</v>
      </c>
      <c r="B36294" t="inlineStr">
        <is>
          <t>x̄x̄x̄V̅MCCXCIII</t>
        </is>
      </c>
      <c r="C36294">
        <f>ROMAN(36293)</f>
        <v/>
      </c>
      <c r="D36294">
        <f>IF(B36294=C36294, "YES", "WRONG")</f>
        <v/>
      </c>
    </row>
    <row r="36295">
      <c r="A36295" t="n">
        <v>36294</v>
      </c>
      <c r="B36295" t="inlineStr">
        <is>
          <t>x̄x̄x̄V̅MCCXCIV</t>
        </is>
      </c>
      <c r="C36295">
        <f>ROMAN(36294)</f>
        <v/>
      </c>
      <c r="D36295">
        <f>IF(B36295=C36295, "YES", "WRONG")</f>
        <v/>
      </c>
    </row>
    <row r="36296">
      <c r="A36296" t="n">
        <v>36295</v>
      </c>
      <c r="B36296" t="inlineStr">
        <is>
          <t>x̄x̄x̄V̅MCCXCV</t>
        </is>
      </c>
      <c r="C36296">
        <f>ROMAN(36295)</f>
        <v/>
      </c>
      <c r="D36296">
        <f>IF(B36296=C36296, "YES", "WRONG")</f>
        <v/>
      </c>
    </row>
    <row r="36297">
      <c r="A36297" t="n">
        <v>36296</v>
      </c>
      <c r="B36297" t="inlineStr">
        <is>
          <t>x̄x̄x̄V̅MCCXCVI</t>
        </is>
      </c>
      <c r="C36297">
        <f>ROMAN(36296)</f>
        <v/>
      </c>
      <c r="D36297">
        <f>IF(B36297=C36297, "YES", "WRONG")</f>
        <v/>
      </c>
    </row>
    <row r="36298">
      <c r="A36298" t="n">
        <v>36297</v>
      </c>
      <c r="B36298" t="inlineStr">
        <is>
          <t>x̄x̄x̄V̅MCCXCVII</t>
        </is>
      </c>
      <c r="C36298">
        <f>ROMAN(36297)</f>
        <v/>
      </c>
      <c r="D36298">
        <f>IF(B36298=C36298, "YES", "WRONG")</f>
        <v/>
      </c>
    </row>
    <row r="36299">
      <c r="A36299" t="n">
        <v>36298</v>
      </c>
      <c r="B36299" t="inlineStr">
        <is>
          <t>x̄x̄x̄V̅MCCXCVIII</t>
        </is>
      </c>
      <c r="C36299">
        <f>ROMAN(36298)</f>
        <v/>
      </c>
      <c r="D36299">
        <f>IF(B36299=C36299, "YES", "WRONG")</f>
        <v/>
      </c>
    </row>
    <row r="36300">
      <c r="A36300" t="n">
        <v>36299</v>
      </c>
      <c r="B36300" t="inlineStr">
        <is>
          <t>x̄x̄x̄V̅MCCXCIX</t>
        </is>
      </c>
      <c r="C36300">
        <f>ROMAN(36299)</f>
        <v/>
      </c>
      <c r="D36300">
        <f>IF(B36300=C36300, "YES", "WRONG")</f>
        <v/>
      </c>
    </row>
    <row r="36301">
      <c r="A36301" t="n">
        <v>36300</v>
      </c>
      <c r="B36301" t="inlineStr">
        <is>
          <t>x̄x̄x̄V̅MCCC</t>
        </is>
      </c>
      <c r="C36301">
        <f>ROMAN(36300)</f>
        <v/>
      </c>
      <c r="D36301">
        <f>IF(B36301=C36301, "YES", "WRONG")</f>
        <v/>
      </c>
    </row>
    <row r="36302">
      <c r="A36302" t="n">
        <v>36301</v>
      </c>
      <c r="B36302" t="inlineStr">
        <is>
          <t>x̄x̄x̄V̅MCCCI</t>
        </is>
      </c>
      <c r="C36302">
        <f>ROMAN(36301)</f>
        <v/>
      </c>
      <c r="D36302">
        <f>IF(B36302=C36302, "YES", "WRONG")</f>
        <v/>
      </c>
    </row>
    <row r="36303">
      <c r="A36303" t="n">
        <v>36302</v>
      </c>
      <c r="B36303" t="inlineStr">
        <is>
          <t>x̄x̄x̄V̅MCCCII</t>
        </is>
      </c>
      <c r="C36303">
        <f>ROMAN(36302)</f>
        <v/>
      </c>
      <c r="D36303">
        <f>IF(B36303=C36303, "YES", "WRONG")</f>
        <v/>
      </c>
    </row>
    <row r="36304">
      <c r="A36304" t="n">
        <v>36303</v>
      </c>
      <c r="B36304" t="inlineStr">
        <is>
          <t>x̄x̄x̄V̅MCCCIII</t>
        </is>
      </c>
      <c r="C36304">
        <f>ROMAN(36303)</f>
        <v/>
      </c>
      <c r="D36304">
        <f>IF(B36304=C36304, "YES", "WRONG")</f>
        <v/>
      </c>
    </row>
    <row r="36305">
      <c r="A36305" t="n">
        <v>36304</v>
      </c>
      <c r="B36305" t="inlineStr">
        <is>
          <t>x̄x̄x̄V̅MCCCIV</t>
        </is>
      </c>
      <c r="C36305">
        <f>ROMAN(36304)</f>
        <v/>
      </c>
      <c r="D36305">
        <f>IF(B36305=C36305, "YES", "WRONG")</f>
        <v/>
      </c>
    </row>
    <row r="36306">
      <c r="A36306" t="n">
        <v>36305</v>
      </c>
      <c r="B36306" t="inlineStr">
        <is>
          <t>x̄x̄x̄V̅MCCCV</t>
        </is>
      </c>
      <c r="C36306">
        <f>ROMAN(36305)</f>
        <v/>
      </c>
      <c r="D36306">
        <f>IF(B36306=C36306, "YES", "WRONG")</f>
        <v/>
      </c>
    </row>
    <row r="36307">
      <c r="A36307" t="n">
        <v>36306</v>
      </c>
      <c r="B36307" t="inlineStr">
        <is>
          <t>x̄x̄x̄V̅MCCCVI</t>
        </is>
      </c>
      <c r="C36307">
        <f>ROMAN(36306)</f>
        <v/>
      </c>
      <c r="D36307">
        <f>IF(B36307=C36307, "YES", "WRONG")</f>
        <v/>
      </c>
    </row>
    <row r="36308">
      <c r="A36308" t="n">
        <v>36307</v>
      </c>
      <c r="B36308" t="inlineStr">
        <is>
          <t>x̄x̄x̄V̅MCCCVII</t>
        </is>
      </c>
      <c r="C36308">
        <f>ROMAN(36307)</f>
        <v/>
      </c>
      <c r="D36308">
        <f>IF(B36308=C36308, "YES", "WRONG")</f>
        <v/>
      </c>
    </row>
    <row r="36309">
      <c r="A36309" t="n">
        <v>36308</v>
      </c>
      <c r="B36309" t="inlineStr">
        <is>
          <t>x̄x̄x̄V̅MCCCVIII</t>
        </is>
      </c>
      <c r="C36309">
        <f>ROMAN(36308)</f>
        <v/>
      </c>
      <c r="D36309">
        <f>IF(B36309=C36309, "YES", "WRONG")</f>
        <v/>
      </c>
    </row>
    <row r="36310">
      <c r="A36310" t="n">
        <v>36309</v>
      </c>
      <c r="B36310" t="inlineStr">
        <is>
          <t>x̄x̄x̄V̅MCCCIX</t>
        </is>
      </c>
      <c r="C36310">
        <f>ROMAN(36309)</f>
        <v/>
      </c>
      <c r="D36310">
        <f>IF(B36310=C36310, "YES", "WRONG")</f>
        <v/>
      </c>
    </row>
    <row r="36311">
      <c r="A36311" t="n">
        <v>36310</v>
      </c>
      <c r="B36311" t="inlineStr">
        <is>
          <t>x̄x̄x̄V̅MCCCX</t>
        </is>
      </c>
      <c r="C36311">
        <f>ROMAN(36310)</f>
        <v/>
      </c>
      <c r="D36311">
        <f>IF(B36311=C36311, "YES", "WRONG")</f>
        <v/>
      </c>
    </row>
    <row r="36312">
      <c r="A36312" t="n">
        <v>36311</v>
      </c>
      <c r="B36312" t="inlineStr">
        <is>
          <t>x̄x̄x̄V̅MCCCXI</t>
        </is>
      </c>
      <c r="C36312">
        <f>ROMAN(36311)</f>
        <v/>
      </c>
      <c r="D36312">
        <f>IF(B36312=C36312, "YES", "WRONG")</f>
        <v/>
      </c>
    </row>
    <row r="36313">
      <c r="A36313" t="n">
        <v>36312</v>
      </c>
      <c r="B36313" t="inlineStr">
        <is>
          <t>x̄x̄x̄V̅MCCCXII</t>
        </is>
      </c>
      <c r="C36313">
        <f>ROMAN(36312)</f>
        <v/>
      </c>
      <c r="D36313">
        <f>IF(B36313=C36313, "YES", "WRONG")</f>
        <v/>
      </c>
    </row>
    <row r="36314">
      <c r="A36314" t="n">
        <v>36313</v>
      </c>
      <c r="B36314" t="inlineStr">
        <is>
          <t>x̄x̄x̄V̅MCCCXIII</t>
        </is>
      </c>
      <c r="C36314">
        <f>ROMAN(36313)</f>
        <v/>
      </c>
      <c r="D36314">
        <f>IF(B36314=C36314, "YES", "WRONG")</f>
        <v/>
      </c>
    </row>
    <row r="36315">
      <c r="A36315" t="n">
        <v>36314</v>
      </c>
      <c r="B36315" t="inlineStr">
        <is>
          <t>x̄x̄x̄V̅MCCCXIV</t>
        </is>
      </c>
      <c r="C36315">
        <f>ROMAN(36314)</f>
        <v/>
      </c>
      <c r="D36315">
        <f>IF(B36315=C36315, "YES", "WRONG")</f>
        <v/>
      </c>
    </row>
    <row r="36316">
      <c r="A36316" t="n">
        <v>36315</v>
      </c>
      <c r="B36316" t="inlineStr">
        <is>
          <t>x̄x̄x̄V̅MCCCXV</t>
        </is>
      </c>
      <c r="C36316">
        <f>ROMAN(36315)</f>
        <v/>
      </c>
      <c r="D36316">
        <f>IF(B36316=C36316, "YES", "WRONG")</f>
        <v/>
      </c>
    </row>
    <row r="36317">
      <c r="A36317" t="n">
        <v>36316</v>
      </c>
      <c r="B36317" t="inlineStr">
        <is>
          <t>x̄x̄x̄V̅MCCCXVI</t>
        </is>
      </c>
      <c r="C36317">
        <f>ROMAN(36316)</f>
        <v/>
      </c>
      <c r="D36317">
        <f>IF(B36317=C36317, "YES", "WRONG")</f>
        <v/>
      </c>
    </row>
    <row r="36318">
      <c r="A36318" t="n">
        <v>36317</v>
      </c>
      <c r="B36318" t="inlineStr">
        <is>
          <t>x̄x̄x̄V̅MCCCXVII</t>
        </is>
      </c>
      <c r="C36318">
        <f>ROMAN(36317)</f>
        <v/>
      </c>
      <c r="D36318">
        <f>IF(B36318=C36318, "YES", "WRONG")</f>
        <v/>
      </c>
    </row>
    <row r="36319">
      <c r="A36319" t="n">
        <v>36318</v>
      </c>
      <c r="B36319" t="inlineStr">
        <is>
          <t>x̄x̄x̄V̅MCCCXVIII</t>
        </is>
      </c>
      <c r="C36319">
        <f>ROMAN(36318)</f>
        <v/>
      </c>
      <c r="D36319">
        <f>IF(B36319=C36319, "YES", "WRONG")</f>
        <v/>
      </c>
    </row>
    <row r="36320">
      <c r="A36320" t="n">
        <v>36319</v>
      </c>
      <c r="B36320" t="inlineStr">
        <is>
          <t>x̄x̄x̄V̅MCCCXIX</t>
        </is>
      </c>
      <c r="C36320">
        <f>ROMAN(36319)</f>
        <v/>
      </c>
      <c r="D36320">
        <f>IF(B36320=C36320, "YES", "WRONG")</f>
        <v/>
      </c>
    </row>
    <row r="36321">
      <c r="A36321" t="n">
        <v>36320</v>
      </c>
      <c r="B36321" t="inlineStr">
        <is>
          <t>x̄x̄x̄V̅MCCCXX</t>
        </is>
      </c>
      <c r="C36321">
        <f>ROMAN(36320)</f>
        <v/>
      </c>
      <c r="D36321">
        <f>IF(B36321=C36321, "YES", "WRONG")</f>
        <v/>
      </c>
    </row>
    <row r="36322">
      <c r="A36322" t="n">
        <v>36321</v>
      </c>
      <c r="B36322" t="inlineStr">
        <is>
          <t>x̄x̄x̄V̅MCCCXXI</t>
        </is>
      </c>
      <c r="C36322">
        <f>ROMAN(36321)</f>
        <v/>
      </c>
      <c r="D36322">
        <f>IF(B36322=C36322, "YES", "WRONG")</f>
        <v/>
      </c>
    </row>
    <row r="36323">
      <c r="A36323" t="n">
        <v>36322</v>
      </c>
      <c r="B36323" t="inlineStr">
        <is>
          <t>x̄x̄x̄V̅MCCCXXII</t>
        </is>
      </c>
      <c r="C36323">
        <f>ROMAN(36322)</f>
        <v/>
      </c>
      <c r="D36323">
        <f>IF(B36323=C36323, "YES", "WRONG")</f>
        <v/>
      </c>
    </row>
    <row r="36324">
      <c r="A36324" t="n">
        <v>36323</v>
      </c>
      <c r="B36324" t="inlineStr">
        <is>
          <t>x̄x̄x̄V̅MCCCXXIII</t>
        </is>
      </c>
      <c r="C36324">
        <f>ROMAN(36323)</f>
        <v/>
      </c>
      <c r="D36324">
        <f>IF(B36324=C36324, "YES", "WRONG")</f>
        <v/>
      </c>
    </row>
    <row r="36325">
      <c r="A36325" t="n">
        <v>36324</v>
      </c>
      <c r="B36325" t="inlineStr">
        <is>
          <t>x̄x̄x̄V̅MCCCXXIV</t>
        </is>
      </c>
      <c r="C36325">
        <f>ROMAN(36324)</f>
        <v/>
      </c>
      <c r="D36325">
        <f>IF(B36325=C36325, "YES", "WRONG")</f>
        <v/>
      </c>
    </row>
    <row r="36326">
      <c r="A36326" t="n">
        <v>36325</v>
      </c>
      <c r="B36326" t="inlineStr">
        <is>
          <t>x̄x̄x̄V̅MCCCXXV</t>
        </is>
      </c>
      <c r="C36326">
        <f>ROMAN(36325)</f>
        <v/>
      </c>
      <c r="D36326">
        <f>IF(B36326=C36326, "YES", "WRONG")</f>
        <v/>
      </c>
    </row>
    <row r="36327">
      <c r="A36327" t="n">
        <v>36326</v>
      </c>
      <c r="B36327" t="inlineStr">
        <is>
          <t>x̄x̄x̄V̅MCCCXXVI</t>
        </is>
      </c>
      <c r="C36327">
        <f>ROMAN(36326)</f>
        <v/>
      </c>
      <c r="D36327">
        <f>IF(B36327=C36327, "YES", "WRONG")</f>
        <v/>
      </c>
    </row>
    <row r="36328">
      <c r="A36328" t="n">
        <v>36327</v>
      </c>
      <c r="B36328" t="inlineStr">
        <is>
          <t>x̄x̄x̄V̅MCCCXXVII</t>
        </is>
      </c>
      <c r="C36328">
        <f>ROMAN(36327)</f>
        <v/>
      </c>
      <c r="D36328">
        <f>IF(B36328=C36328, "YES", "WRONG")</f>
        <v/>
      </c>
    </row>
    <row r="36329">
      <c r="A36329" t="n">
        <v>36328</v>
      </c>
      <c r="B36329" t="inlineStr">
        <is>
          <t>x̄x̄x̄V̅MCCCXXVIII</t>
        </is>
      </c>
      <c r="C36329">
        <f>ROMAN(36328)</f>
        <v/>
      </c>
      <c r="D36329">
        <f>IF(B36329=C36329, "YES", "WRONG")</f>
        <v/>
      </c>
    </row>
    <row r="36330">
      <c r="A36330" t="n">
        <v>36329</v>
      </c>
      <c r="B36330" t="inlineStr">
        <is>
          <t>x̄x̄x̄V̅MCCCXXIX</t>
        </is>
      </c>
      <c r="C36330">
        <f>ROMAN(36329)</f>
        <v/>
      </c>
      <c r="D36330">
        <f>IF(B36330=C36330, "YES", "WRONG")</f>
        <v/>
      </c>
    </row>
    <row r="36331">
      <c r="A36331" t="n">
        <v>36330</v>
      </c>
      <c r="B36331" t="inlineStr">
        <is>
          <t>x̄x̄x̄V̅MCCCXXX</t>
        </is>
      </c>
      <c r="C36331">
        <f>ROMAN(36330)</f>
        <v/>
      </c>
      <c r="D36331">
        <f>IF(B36331=C36331, "YES", "WRONG")</f>
        <v/>
      </c>
    </row>
    <row r="36332">
      <c r="A36332" t="n">
        <v>36331</v>
      </c>
      <c r="B36332" t="inlineStr">
        <is>
          <t>x̄x̄x̄V̅MCCCXXXI</t>
        </is>
      </c>
      <c r="C36332">
        <f>ROMAN(36331)</f>
        <v/>
      </c>
      <c r="D36332">
        <f>IF(B36332=C36332, "YES", "WRONG")</f>
        <v/>
      </c>
    </row>
    <row r="36333">
      <c r="A36333" t="n">
        <v>36332</v>
      </c>
      <c r="B36333" t="inlineStr">
        <is>
          <t>x̄x̄x̄V̅MCCCXXXII</t>
        </is>
      </c>
      <c r="C36333">
        <f>ROMAN(36332)</f>
        <v/>
      </c>
      <c r="D36333">
        <f>IF(B36333=C36333, "YES", "WRONG")</f>
        <v/>
      </c>
    </row>
    <row r="36334">
      <c r="A36334" t="n">
        <v>36333</v>
      </c>
      <c r="B36334" t="inlineStr">
        <is>
          <t>x̄x̄x̄V̅MCCCXXXIII</t>
        </is>
      </c>
      <c r="C36334">
        <f>ROMAN(36333)</f>
        <v/>
      </c>
      <c r="D36334">
        <f>IF(B36334=C36334, "YES", "WRONG")</f>
        <v/>
      </c>
    </row>
    <row r="36335">
      <c r="A36335" t="n">
        <v>36334</v>
      </c>
      <c r="B36335" t="inlineStr">
        <is>
          <t>x̄x̄x̄V̅MCCCXXXIV</t>
        </is>
      </c>
      <c r="C36335">
        <f>ROMAN(36334)</f>
        <v/>
      </c>
      <c r="D36335">
        <f>IF(B36335=C36335, "YES", "WRONG")</f>
        <v/>
      </c>
    </row>
    <row r="36336">
      <c r="A36336" t="n">
        <v>36335</v>
      </c>
      <c r="B36336" t="inlineStr">
        <is>
          <t>x̄x̄x̄V̅MCCCXXXV</t>
        </is>
      </c>
      <c r="C36336">
        <f>ROMAN(36335)</f>
        <v/>
      </c>
      <c r="D36336">
        <f>IF(B36336=C36336, "YES", "WRONG")</f>
        <v/>
      </c>
    </row>
    <row r="36337">
      <c r="A36337" t="n">
        <v>36336</v>
      </c>
      <c r="B36337" t="inlineStr">
        <is>
          <t>x̄x̄x̄V̅MCCCXXXVI</t>
        </is>
      </c>
      <c r="C36337">
        <f>ROMAN(36336)</f>
        <v/>
      </c>
      <c r="D36337">
        <f>IF(B36337=C36337, "YES", "WRONG")</f>
        <v/>
      </c>
    </row>
    <row r="36338">
      <c r="A36338" t="n">
        <v>36337</v>
      </c>
      <c r="B36338" t="inlineStr">
        <is>
          <t>x̄x̄x̄V̅MCCCXXXVII</t>
        </is>
      </c>
      <c r="C36338">
        <f>ROMAN(36337)</f>
        <v/>
      </c>
      <c r="D36338">
        <f>IF(B36338=C36338, "YES", "WRONG")</f>
        <v/>
      </c>
    </row>
    <row r="36339">
      <c r="A36339" t="n">
        <v>36338</v>
      </c>
      <c r="B36339" t="inlineStr">
        <is>
          <t>x̄x̄x̄V̅MCCCXXXVIII</t>
        </is>
      </c>
      <c r="C36339">
        <f>ROMAN(36338)</f>
        <v/>
      </c>
      <c r="D36339">
        <f>IF(B36339=C36339, "YES", "WRONG")</f>
        <v/>
      </c>
    </row>
    <row r="36340">
      <c r="A36340" t="n">
        <v>36339</v>
      </c>
      <c r="B36340" t="inlineStr">
        <is>
          <t>x̄x̄x̄V̅MCCCXXXIX</t>
        </is>
      </c>
      <c r="C36340">
        <f>ROMAN(36339)</f>
        <v/>
      </c>
      <c r="D36340">
        <f>IF(B36340=C36340, "YES", "WRONG")</f>
        <v/>
      </c>
    </row>
    <row r="36341">
      <c r="A36341" t="n">
        <v>36340</v>
      </c>
      <c r="B36341" t="inlineStr">
        <is>
          <t>x̄x̄x̄V̅MCCCXL</t>
        </is>
      </c>
      <c r="C36341">
        <f>ROMAN(36340)</f>
        <v/>
      </c>
      <c r="D36341">
        <f>IF(B36341=C36341, "YES", "WRONG")</f>
        <v/>
      </c>
    </row>
    <row r="36342">
      <c r="A36342" t="n">
        <v>36341</v>
      </c>
      <c r="B36342" t="inlineStr">
        <is>
          <t>x̄x̄x̄V̅MCCCXLI</t>
        </is>
      </c>
      <c r="C36342">
        <f>ROMAN(36341)</f>
        <v/>
      </c>
      <c r="D36342">
        <f>IF(B36342=C36342, "YES", "WRONG")</f>
        <v/>
      </c>
    </row>
    <row r="36343">
      <c r="A36343" t="n">
        <v>36342</v>
      </c>
      <c r="B36343" t="inlineStr">
        <is>
          <t>x̄x̄x̄V̅MCCCXLII</t>
        </is>
      </c>
      <c r="C36343">
        <f>ROMAN(36342)</f>
        <v/>
      </c>
      <c r="D36343">
        <f>IF(B36343=C36343, "YES", "WRONG")</f>
        <v/>
      </c>
    </row>
    <row r="36344">
      <c r="A36344" t="n">
        <v>36343</v>
      </c>
      <c r="B36344" t="inlineStr">
        <is>
          <t>x̄x̄x̄V̅MCCCXLIII</t>
        </is>
      </c>
      <c r="C36344">
        <f>ROMAN(36343)</f>
        <v/>
      </c>
      <c r="D36344">
        <f>IF(B36344=C36344, "YES", "WRONG")</f>
        <v/>
      </c>
    </row>
    <row r="36345">
      <c r="A36345" t="n">
        <v>36344</v>
      </c>
      <c r="B36345" t="inlineStr">
        <is>
          <t>x̄x̄x̄V̅MCCCXLIV</t>
        </is>
      </c>
      <c r="C36345">
        <f>ROMAN(36344)</f>
        <v/>
      </c>
      <c r="D36345">
        <f>IF(B36345=C36345, "YES", "WRONG")</f>
        <v/>
      </c>
    </row>
    <row r="36346">
      <c r="A36346" t="n">
        <v>36345</v>
      </c>
      <c r="B36346" t="inlineStr">
        <is>
          <t>x̄x̄x̄V̅MCCCXLV</t>
        </is>
      </c>
      <c r="C36346">
        <f>ROMAN(36345)</f>
        <v/>
      </c>
      <c r="D36346">
        <f>IF(B36346=C36346, "YES", "WRONG")</f>
        <v/>
      </c>
    </row>
    <row r="36347">
      <c r="A36347" t="n">
        <v>36346</v>
      </c>
      <c r="B36347" t="inlineStr">
        <is>
          <t>x̄x̄x̄V̅MCCCXLVI</t>
        </is>
      </c>
      <c r="C36347">
        <f>ROMAN(36346)</f>
        <v/>
      </c>
      <c r="D36347">
        <f>IF(B36347=C36347, "YES", "WRONG")</f>
        <v/>
      </c>
    </row>
    <row r="36348">
      <c r="A36348" t="n">
        <v>36347</v>
      </c>
      <c r="B36348" t="inlineStr">
        <is>
          <t>x̄x̄x̄V̅MCCCXLVII</t>
        </is>
      </c>
      <c r="C36348">
        <f>ROMAN(36347)</f>
        <v/>
      </c>
      <c r="D36348">
        <f>IF(B36348=C36348, "YES", "WRONG")</f>
        <v/>
      </c>
    </row>
    <row r="36349">
      <c r="A36349" t="n">
        <v>36348</v>
      </c>
      <c r="B36349" t="inlineStr">
        <is>
          <t>x̄x̄x̄V̅MCCCXLVIII</t>
        </is>
      </c>
      <c r="C36349">
        <f>ROMAN(36348)</f>
        <v/>
      </c>
      <c r="D36349">
        <f>IF(B36349=C36349, "YES", "WRONG")</f>
        <v/>
      </c>
    </row>
    <row r="36350">
      <c r="A36350" t="n">
        <v>36349</v>
      </c>
      <c r="B36350" t="inlineStr">
        <is>
          <t>x̄x̄x̄V̅MCCCXLIX</t>
        </is>
      </c>
      <c r="C36350">
        <f>ROMAN(36349)</f>
        <v/>
      </c>
      <c r="D36350">
        <f>IF(B36350=C36350, "YES", "WRONG")</f>
        <v/>
      </c>
    </row>
    <row r="36351">
      <c r="A36351" t="n">
        <v>36350</v>
      </c>
      <c r="B36351" t="inlineStr">
        <is>
          <t>x̄x̄x̄V̅MCCCL</t>
        </is>
      </c>
      <c r="C36351">
        <f>ROMAN(36350)</f>
        <v/>
      </c>
      <c r="D36351">
        <f>IF(B36351=C36351, "YES", "WRONG")</f>
        <v/>
      </c>
    </row>
    <row r="36352">
      <c r="A36352" t="n">
        <v>36351</v>
      </c>
      <c r="B36352" t="inlineStr">
        <is>
          <t>x̄x̄x̄V̅MCCCLI</t>
        </is>
      </c>
      <c r="C36352">
        <f>ROMAN(36351)</f>
        <v/>
      </c>
      <c r="D36352">
        <f>IF(B36352=C36352, "YES", "WRONG")</f>
        <v/>
      </c>
    </row>
    <row r="36353">
      <c r="A36353" t="n">
        <v>36352</v>
      </c>
      <c r="B36353" t="inlineStr">
        <is>
          <t>x̄x̄x̄V̅MCCCLII</t>
        </is>
      </c>
      <c r="C36353">
        <f>ROMAN(36352)</f>
        <v/>
      </c>
      <c r="D36353">
        <f>IF(B36353=C36353, "YES", "WRONG")</f>
        <v/>
      </c>
    </row>
    <row r="36354">
      <c r="A36354" t="n">
        <v>36353</v>
      </c>
      <c r="B36354" t="inlineStr">
        <is>
          <t>x̄x̄x̄V̅MCCCLIII</t>
        </is>
      </c>
      <c r="C36354">
        <f>ROMAN(36353)</f>
        <v/>
      </c>
      <c r="D36354">
        <f>IF(B36354=C36354, "YES", "WRONG")</f>
        <v/>
      </c>
    </row>
    <row r="36355">
      <c r="A36355" t="n">
        <v>36354</v>
      </c>
      <c r="B36355" t="inlineStr">
        <is>
          <t>x̄x̄x̄V̅MCCCLIV</t>
        </is>
      </c>
      <c r="C36355">
        <f>ROMAN(36354)</f>
        <v/>
      </c>
      <c r="D36355">
        <f>IF(B36355=C36355, "YES", "WRONG")</f>
        <v/>
      </c>
    </row>
    <row r="36356">
      <c r="A36356" t="n">
        <v>36355</v>
      </c>
      <c r="B36356" t="inlineStr">
        <is>
          <t>x̄x̄x̄V̅MCCCLV</t>
        </is>
      </c>
      <c r="C36356">
        <f>ROMAN(36355)</f>
        <v/>
      </c>
      <c r="D36356">
        <f>IF(B36356=C36356, "YES", "WRONG")</f>
        <v/>
      </c>
    </row>
    <row r="36357">
      <c r="A36357" t="n">
        <v>36356</v>
      </c>
      <c r="B36357" t="inlineStr">
        <is>
          <t>x̄x̄x̄V̅MCCCLVI</t>
        </is>
      </c>
      <c r="C36357">
        <f>ROMAN(36356)</f>
        <v/>
      </c>
      <c r="D36357">
        <f>IF(B36357=C36357, "YES", "WRONG")</f>
        <v/>
      </c>
    </row>
    <row r="36358">
      <c r="A36358" t="n">
        <v>36357</v>
      </c>
      <c r="B36358" t="inlineStr">
        <is>
          <t>x̄x̄x̄V̅MCCCLVII</t>
        </is>
      </c>
      <c r="C36358">
        <f>ROMAN(36357)</f>
        <v/>
      </c>
      <c r="D36358">
        <f>IF(B36358=C36358, "YES", "WRONG")</f>
        <v/>
      </c>
    </row>
    <row r="36359">
      <c r="A36359" t="n">
        <v>36358</v>
      </c>
      <c r="B36359" t="inlineStr">
        <is>
          <t>x̄x̄x̄V̅MCCCLVIII</t>
        </is>
      </c>
      <c r="C36359">
        <f>ROMAN(36358)</f>
        <v/>
      </c>
      <c r="D36359">
        <f>IF(B36359=C36359, "YES", "WRONG")</f>
        <v/>
      </c>
    </row>
    <row r="36360">
      <c r="A36360" t="n">
        <v>36359</v>
      </c>
      <c r="B36360" t="inlineStr">
        <is>
          <t>x̄x̄x̄V̅MCCCLIX</t>
        </is>
      </c>
      <c r="C36360">
        <f>ROMAN(36359)</f>
        <v/>
      </c>
      <c r="D36360">
        <f>IF(B36360=C36360, "YES", "WRONG")</f>
        <v/>
      </c>
    </row>
    <row r="36361">
      <c r="A36361" t="n">
        <v>36360</v>
      </c>
      <c r="B36361" t="inlineStr">
        <is>
          <t>x̄x̄x̄V̅MCCCLX</t>
        </is>
      </c>
      <c r="C36361">
        <f>ROMAN(36360)</f>
        <v/>
      </c>
      <c r="D36361">
        <f>IF(B36361=C36361, "YES", "WRONG")</f>
        <v/>
      </c>
    </row>
    <row r="36362">
      <c r="A36362" t="n">
        <v>36361</v>
      </c>
      <c r="B36362" t="inlineStr">
        <is>
          <t>x̄x̄x̄V̅MCCCLXI</t>
        </is>
      </c>
      <c r="C36362">
        <f>ROMAN(36361)</f>
        <v/>
      </c>
      <c r="D36362">
        <f>IF(B36362=C36362, "YES", "WRONG")</f>
        <v/>
      </c>
    </row>
    <row r="36363">
      <c r="A36363" t="n">
        <v>36362</v>
      </c>
      <c r="B36363" t="inlineStr">
        <is>
          <t>x̄x̄x̄V̅MCCCLXII</t>
        </is>
      </c>
      <c r="C36363">
        <f>ROMAN(36362)</f>
        <v/>
      </c>
      <c r="D36363">
        <f>IF(B36363=C36363, "YES", "WRONG")</f>
        <v/>
      </c>
    </row>
    <row r="36364">
      <c r="A36364" t="n">
        <v>36363</v>
      </c>
      <c r="B36364" t="inlineStr">
        <is>
          <t>x̄x̄x̄V̅MCCCLXIII</t>
        </is>
      </c>
      <c r="C36364">
        <f>ROMAN(36363)</f>
        <v/>
      </c>
      <c r="D36364">
        <f>IF(B36364=C36364, "YES", "WRONG")</f>
        <v/>
      </c>
    </row>
    <row r="36365">
      <c r="A36365" t="n">
        <v>36364</v>
      </c>
      <c r="B36365" t="inlineStr">
        <is>
          <t>x̄x̄x̄V̅MCCCLXIV</t>
        </is>
      </c>
      <c r="C36365">
        <f>ROMAN(36364)</f>
        <v/>
      </c>
      <c r="D36365">
        <f>IF(B36365=C36365, "YES", "WRONG")</f>
        <v/>
      </c>
    </row>
    <row r="36366">
      <c r="A36366" t="n">
        <v>36365</v>
      </c>
      <c r="B36366" t="inlineStr">
        <is>
          <t>x̄x̄x̄V̅MCCCLXV</t>
        </is>
      </c>
      <c r="C36366">
        <f>ROMAN(36365)</f>
        <v/>
      </c>
      <c r="D36366">
        <f>IF(B36366=C36366, "YES", "WRONG")</f>
        <v/>
      </c>
    </row>
    <row r="36367">
      <c r="A36367" t="n">
        <v>36366</v>
      </c>
      <c r="B36367" t="inlineStr">
        <is>
          <t>x̄x̄x̄V̅MCCCLXVI</t>
        </is>
      </c>
      <c r="C36367">
        <f>ROMAN(36366)</f>
        <v/>
      </c>
      <c r="D36367">
        <f>IF(B36367=C36367, "YES", "WRONG")</f>
        <v/>
      </c>
    </row>
    <row r="36368">
      <c r="A36368" t="n">
        <v>36367</v>
      </c>
      <c r="B36368" t="inlineStr">
        <is>
          <t>x̄x̄x̄V̅MCCCLXVII</t>
        </is>
      </c>
      <c r="C36368">
        <f>ROMAN(36367)</f>
        <v/>
      </c>
      <c r="D36368">
        <f>IF(B36368=C36368, "YES", "WRONG")</f>
        <v/>
      </c>
    </row>
    <row r="36369">
      <c r="A36369" t="n">
        <v>36368</v>
      </c>
      <c r="B36369" t="inlineStr">
        <is>
          <t>x̄x̄x̄V̅MCCCLXVIII</t>
        </is>
      </c>
      <c r="C36369">
        <f>ROMAN(36368)</f>
        <v/>
      </c>
      <c r="D36369">
        <f>IF(B36369=C36369, "YES", "WRONG")</f>
        <v/>
      </c>
    </row>
    <row r="36370">
      <c r="A36370" t="n">
        <v>36369</v>
      </c>
      <c r="B36370" t="inlineStr">
        <is>
          <t>x̄x̄x̄V̅MCCCLXIX</t>
        </is>
      </c>
      <c r="C36370">
        <f>ROMAN(36369)</f>
        <v/>
      </c>
      <c r="D36370">
        <f>IF(B36370=C36370, "YES", "WRONG")</f>
        <v/>
      </c>
    </row>
    <row r="36371">
      <c r="A36371" t="n">
        <v>36370</v>
      </c>
      <c r="B36371" t="inlineStr">
        <is>
          <t>x̄x̄x̄V̅MCCCLXX</t>
        </is>
      </c>
      <c r="C36371">
        <f>ROMAN(36370)</f>
        <v/>
      </c>
      <c r="D36371">
        <f>IF(B36371=C36371, "YES", "WRONG")</f>
        <v/>
      </c>
    </row>
    <row r="36372">
      <c r="A36372" t="n">
        <v>36371</v>
      </c>
      <c r="B36372" t="inlineStr">
        <is>
          <t>x̄x̄x̄V̅MCCCLXXI</t>
        </is>
      </c>
      <c r="C36372">
        <f>ROMAN(36371)</f>
        <v/>
      </c>
      <c r="D36372">
        <f>IF(B36372=C36372, "YES", "WRONG")</f>
        <v/>
      </c>
    </row>
    <row r="36373">
      <c r="A36373" t="n">
        <v>36372</v>
      </c>
      <c r="B36373" t="inlineStr">
        <is>
          <t>x̄x̄x̄V̅MCCCLXXII</t>
        </is>
      </c>
      <c r="C36373">
        <f>ROMAN(36372)</f>
        <v/>
      </c>
      <c r="D36373">
        <f>IF(B36373=C36373, "YES", "WRONG")</f>
        <v/>
      </c>
    </row>
    <row r="36374">
      <c r="A36374" t="n">
        <v>36373</v>
      </c>
      <c r="B36374" t="inlineStr">
        <is>
          <t>x̄x̄x̄V̅MCCCLXXIII</t>
        </is>
      </c>
      <c r="C36374">
        <f>ROMAN(36373)</f>
        <v/>
      </c>
      <c r="D36374">
        <f>IF(B36374=C36374, "YES", "WRONG")</f>
        <v/>
      </c>
    </row>
    <row r="36375">
      <c r="A36375" t="n">
        <v>36374</v>
      </c>
      <c r="B36375" t="inlineStr">
        <is>
          <t>x̄x̄x̄V̅MCCCLXXIV</t>
        </is>
      </c>
      <c r="C36375">
        <f>ROMAN(36374)</f>
        <v/>
      </c>
      <c r="D36375">
        <f>IF(B36375=C36375, "YES", "WRONG")</f>
        <v/>
      </c>
    </row>
    <row r="36376">
      <c r="A36376" t="n">
        <v>36375</v>
      </c>
      <c r="B36376" t="inlineStr">
        <is>
          <t>x̄x̄x̄V̅MCCCLXXV</t>
        </is>
      </c>
      <c r="C36376">
        <f>ROMAN(36375)</f>
        <v/>
      </c>
      <c r="D36376">
        <f>IF(B36376=C36376, "YES", "WRONG")</f>
        <v/>
      </c>
    </row>
    <row r="36377">
      <c r="A36377" t="n">
        <v>36376</v>
      </c>
      <c r="B36377" t="inlineStr">
        <is>
          <t>x̄x̄x̄V̅MCCCLXXVI</t>
        </is>
      </c>
      <c r="C36377">
        <f>ROMAN(36376)</f>
        <v/>
      </c>
      <c r="D36377">
        <f>IF(B36377=C36377, "YES", "WRONG")</f>
        <v/>
      </c>
    </row>
    <row r="36378">
      <c r="A36378" t="n">
        <v>36377</v>
      </c>
      <c r="B36378" t="inlineStr">
        <is>
          <t>x̄x̄x̄V̅MCCCLXXVII</t>
        </is>
      </c>
      <c r="C36378">
        <f>ROMAN(36377)</f>
        <v/>
      </c>
      <c r="D36378">
        <f>IF(B36378=C36378, "YES", "WRONG")</f>
        <v/>
      </c>
    </row>
    <row r="36379">
      <c r="A36379" t="n">
        <v>36378</v>
      </c>
      <c r="B36379" t="inlineStr">
        <is>
          <t>x̄x̄x̄V̅MCCCLXXVIII</t>
        </is>
      </c>
      <c r="C36379">
        <f>ROMAN(36378)</f>
        <v/>
      </c>
      <c r="D36379">
        <f>IF(B36379=C36379, "YES", "WRONG")</f>
        <v/>
      </c>
    </row>
    <row r="36380">
      <c r="A36380" t="n">
        <v>36379</v>
      </c>
      <c r="B36380" t="inlineStr">
        <is>
          <t>x̄x̄x̄V̅MCCCLXXIX</t>
        </is>
      </c>
      <c r="C36380">
        <f>ROMAN(36379)</f>
        <v/>
      </c>
      <c r="D36380">
        <f>IF(B36380=C36380, "YES", "WRONG")</f>
        <v/>
      </c>
    </row>
    <row r="36381">
      <c r="A36381" t="n">
        <v>36380</v>
      </c>
      <c r="B36381" t="inlineStr">
        <is>
          <t>x̄x̄x̄V̅MCCCLXXX</t>
        </is>
      </c>
      <c r="C36381">
        <f>ROMAN(36380)</f>
        <v/>
      </c>
      <c r="D36381">
        <f>IF(B36381=C36381, "YES", "WRONG")</f>
        <v/>
      </c>
    </row>
    <row r="36382">
      <c r="A36382" t="n">
        <v>36381</v>
      </c>
      <c r="B36382" t="inlineStr">
        <is>
          <t>x̄x̄x̄V̅MCCCLXXXI</t>
        </is>
      </c>
      <c r="C36382">
        <f>ROMAN(36381)</f>
        <v/>
      </c>
      <c r="D36382">
        <f>IF(B36382=C36382, "YES", "WRONG")</f>
        <v/>
      </c>
    </row>
    <row r="36383">
      <c r="A36383" t="n">
        <v>36382</v>
      </c>
      <c r="B36383" t="inlineStr">
        <is>
          <t>x̄x̄x̄V̅MCCCLXXXII</t>
        </is>
      </c>
      <c r="C36383">
        <f>ROMAN(36382)</f>
        <v/>
      </c>
      <c r="D36383">
        <f>IF(B36383=C36383, "YES", "WRONG")</f>
        <v/>
      </c>
    </row>
    <row r="36384">
      <c r="A36384" t="n">
        <v>36383</v>
      </c>
      <c r="B36384" t="inlineStr">
        <is>
          <t>x̄x̄x̄V̅MCCCLXXXIII</t>
        </is>
      </c>
      <c r="C36384">
        <f>ROMAN(36383)</f>
        <v/>
      </c>
      <c r="D36384">
        <f>IF(B36384=C36384, "YES", "WRONG")</f>
        <v/>
      </c>
    </row>
    <row r="36385">
      <c r="A36385" t="n">
        <v>36384</v>
      </c>
      <c r="B36385" t="inlineStr">
        <is>
          <t>x̄x̄x̄V̅MCCCLXXXIV</t>
        </is>
      </c>
      <c r="C36385">
        <f>ROMAN(36384)</f>
        <v/>
      </c>
      <c r="D36385">
        <f>IF(B36385=C36385, "YES", "WRONG")</f>
        <v/>
      </c>
    </row>
    <row r="36386">
      <c r="A36386" t="n">
        <v>36385</v>
      </c>
      <c r="B36386" t="inlineStr">
        <is>
          <t>x̄x̄x̄V̅MCCCLXXXV</t>
        </is>
      </c>
      <c r="C36386">
        <f>ROMAN(36385)</f>
        <v/>
      </c>
      <c r="D36386">
        <f>IF(B36386=C36386, "YES", "WRONG")</f>
        <v/>
      </c>
    </row>
    <row r="36387">
      <c r="A36387" t="n">
        <v>36386</v>
      </c>
      <c r="B36387" t="inlineStr">
        <is>
          <t>x̄x̄x̄V̅MCCCLXXXVI</t>
        </is>
      </c>
      <c r="C36387">
        <f>ROMAN(36386)</f>
        <v/>
      </c>
      <c r="D36387">
        <f>IF(B36387=C36387, "YES", "WRONG")</f>
        <v/>
      </c>
    </row>
    <row r="36388">
      <c r="A36388" t="n">
        <v>36387</v>
      </c>
      <c r="B36388" t="inlineStr">
        <is>
          <t>x̄x̄x̄V̅MCCCLXXXVII</t>
        </is>
      </c>
      <c r="C36388">
        <f>ROMAN(36387)</f>
        <v/>
      </c>
      <c r="D36388">
        <f>IF(B36388=C36388, "YES", "WRONG")</f>
        <v/>
      </c>
    </row>
    <row r="36389">
      <c r="A36389" t="n">
        <v>36388</v>
      </c>
      <c r="B36389" t="inlineStr">
        <is>
          <t>x̄x̄x̄V̅MCCCLXXXVIII</t>
        </is>
      </c>
      <c r="C36389">
        <f>ROMAN(36388)</f>
        <v/>
      </c>
      <c r="D36389">
        <f>IF(B36389=C36389, "YES", "WRONG")</f>
        <v/>
      </c>
    </row>
    <row r="36390">
      <c r="A36390" t="n">
        <v>36389</v>
      </c>
      <c r="B36390" t="inlineStr">
        <is>
          <t>x̄x̄x̄V̅MCCCLXXXIX</t>
        </is>
      </c>
      <c r="C36390">
        <f>ROMAN(36389)</f>
        <v/>
      </c>
      <c r="D36390">
        <f>IF(B36390=C36390, "YES", "WRONG")</f>
        <v/>
      </c>
    </row>
    <row r="36391">
      <c r="A36391" t="n">
        <v>36390</v>
      </c>
      <c r="B36391" t="inlineStr">
        <is>
          <t>x̄x̄x̄V̅MCCCXC</t>
        </is>
      </c>
      <c r="C36391">
        <f>ROMAN(36390)</f>
        <v/>
      </c>
      <c r="D36391">
        <f>IF(B36391=C36391, "YES", "WRONG")</f>
        <v/>
      </c>
    </row>
    <row r="36392">
      <c r="A36392" t="n">
        <v>36391</v>
      </c>
      <c r="B36392" t="inlineStr">
        <is>
          <t>x̄x̄x̄V̅MCCCXCI</t>
        </is>
      </c>
      <c r="C36392">
        <f>ROMAN(36391)</f>
        <v/>
      </c>
      <c r="D36392">
        <f>IF(B36392=C36392, "YES", "WRONG")</f>
        <v/>
      </c>
    </row>
    <row r="36393">
      <c r="A36393" t="n">
        <v>36392</v>
      </c>
      <c r="B36393" t="inlineStr">
        <is>
          <t>x̄x̄x̄V̅MCCCXCII</t>
        </is>
      </c>
      <c r="C36393">
        <f>ROMAN(36392)</f>
        <v/>
      </c>
      <c r="D36393">
        <f>IF(B36393=C36393, "YES", "WRONG")</f>
        <v/>
      </c>
    </row>
    <row r="36394">
      <c r="A36394" t="n">
        <v>36393</v>
      </c>
      <c r="B36394" t="inlineStr">
        <is>
          <t>x̄x̄x̄V̅MCCCXCIII</t>
        </is>
      </c>
      <c r="C36394">
        <f>ROMAN(36393)</f>
        <v/>
      </c>
      <c r="D36394">
        <f>IF(B36394=C36394, "YES", "WRONG")</f>
        <v/>
      </c>
    </row>
    <row r="36395">
      <c r="A36395" t="n">
        <v>36394</v>
      </c>
      <c r="B36395" t="inlineStr">
        <is>
          <t>x̄x̄x̄V̅MCCCXCIV</t>
        </is>
      </c>
      <c r="C36395">
        <f>ROMAN(36394)</f>
        <v/>
      </c>
      <c r="D36395">
        <f>IF(B36395=C36395, "YES", "WRONG")</f>
        <v/>
      </c>
    </row>
    <row r="36396">
      <c r="A36396" t="n">
        <v>36395</v>
      </c>
      <c r="B36396" t="inlineStr">
        <is>
          <t>x̄x̄x̄V̅MCCCXCV</t>
        </is>
      </c>
      <c r="C36396">
        <f>ROMAN(36395)</f>
        <v/>
      </c>
      <c r="D36396">
        <f>IF(B36396=C36396, "YES", "WRONG")</f>
        <v/>
      </c>
    </row>
    <row r="36397">
      <c r="A36397" t="n">
        <v>36396</v>
      </c>
      <c r="B36397" t="inlineStr">
        <is>
          <t>x̄x̄x̄V̅MCCCXCVI</t>
        </is>
      </c>
      <c r="C36397">
        <f>ROMAN(36396)</f>
        <v/>
      </c>
      <c r="D36397">
        <f>IF(B36397=C36397, "YES", "WRONG")</f>
        <v/>
      </c>
    </row>
    <row r="36398">
      <c r="A36398" t="n">
        <v>36397</v>
      </c>
      <c r="B36398" t="inlineStr">
        <is>
          <t>x̄x̄x̄V̅MCCCXCVII</t>
        </is>
      </c>
      <c r="C36398">
        <f>ROMAN(36397)</f>
        <v/>
      </c>
      <c r="D36398">
        <f>IF(B36398=C36398, "YES", "WRONG")</f>
        <v/>
      </c>
    </row>
    <row r="36399">
      <c r="A36399" t="n">
        <v>36398</v>
      </c>
      <c r="B36399" t="inlineStr">
        <is>
          <t>x̄x̄x̄V̅MCCCXCVIII</t>
        </is>
      </c>
      <c r="C36399">
        <f>ROMAN(36398)</f>
        <v/>
      </c>
      <c r="D36399">
        <f>IF(B36399=C36399, "YES", "WRONG")</f>
        <v/>
      </c>
    </row>
    <row r="36400">
      <c r="A36400" t="n">
        <v>36399</v>
      </c>
      <c r="B36400" t="inlineStr">
        <is>
          <t>x̄x̄x̄V̅MCCCXCIX</t>
        </is>
      </c>
      <c r="C36400">
        <f>ROMAN(36399)</f>
        <v/>
      </c>
      <c r="D36400">
        <f>IF(B36400=C36400, "YES", "WRONG")</f>
        <v/>
      </c>
    </row>
    <row r="36401">
      <c r="A36401" t="n">
        <v>36400</v>
      </c>
      <c r="B36401" t="inlineStr">
        <is>
          <t>x̄x̄x̄V̅MCD</t>
        </is>
      </c>
      <c r="C36401">
        <f>ROMAN(36400)</f>
        <v/>
      </c>
      <c r="D36401">
        <f>IF(B36401=C36401, "YES", "WRONG")</f>
        <v/>
      </c>
    </row>
    <row r="36402">
      <c r="A36402" t="n">
        <v>36401</v>
      </c>
      <c r="B36402" t="inlineStr">
        <is>
          <t>x̄x̄x̄V̅MCDI</t>
        </is>
      </c>
      <c r="C36402">
        <f>ROMAN(36401)</f>
        <v/>
      </c>
      <c r="D36402">
        <f>IF(B36402=C36402, "YES", "WRONG")</f>
        <v/>
      </c>
    </row>
    <row r="36403">
      <c r="A36403" t="n">
        <v>36402</v>
      </c>
      <c r="B36403" t="inlineStr">
        <is>
          <t>x̄x̄x̄V̅MCDII</t>
        </is>
      </c>
      <c r="C36403">
        <f>ROMAN(36402)</f>
        <v/>
      </c>
      <c r="D36403">
        <f>IF(B36403=C36403, "YES", "WRONG")</f>
        <v/>
      </c>
    </row>
    <row r="36404">
      <c r="A36404" t="n">
        <v>36403</v>
      </c>
      <c r="B36404" t="inlineStr">
        <is>
          <t>x̄x̄x̄V̅MCDIII</t>
        </is>
      </c>
      <c r="C36404">
        <f>ROMAN(36403)</f>
        <v/>
      </c>
      <c r="D36404">
        <f>IF(B36404=C36404, "YES", "WRONG")</f>
        <v/>
      </c>
    </row>
    <row r="36405">
      <c r="A36405" t="n">
        <v>36404</v>
      </c>
      <c r="B36405" t="inlineStr">
        <is>
          <t>x̄x̄x̄V̅MCDIV</t>
        </is>
      </c>
      <c r="C36405">
        <f>ROMAN(36404)</f>
        <v/>
      </c>
      <c r="D36405">
        <f>IF(B36405=C36405, "YES", "WRONG")</f>
        <v/>
      </c>
    </row>
    <row r="36406">
      <c r="A36406" t="n">
        <v>36405</v>
      </c>
      <c r="B36406" t="inlineStr">
        <is>
          <t>x̄x̄x̄V̅MCDV</t>
        </is>
      </c>
      <c r="C36406">
        <f>ROMAN(36405)</f>
        <v/>
      </c>
      <c r="D36406">
        <f>IF(B36406=C36406, "YES", "WRONG")</f>
        <v/>
      </c>
    </row>
    <row r="36407">
      <c r="A36407" t="n">
        <v>36406</v>
      </c>
      <c r="B36407" t="inlineStr">
        <is>
          <t>x̄x̄x̄V̅MCDVI</t>
        </is>
      </c>
      <c r="C36407">
        <f>ROMAN(36406)</f>
        <v/>
      </c>
      <c r="D36407">
        <f>IF(B36407=C36407, "YES", "WRONG")</f>
        <v/>
      </c>
    </row>
    <row r="36408">
      <c r="A36408" t="n">
        <v>36407</v>
      </c>
      <c r="B36408" t="inlineStr">
        <is>
          <t>x̄x̄x̄V̅MCDVII</t>
        </is>
      </c>
      <c r="C36408">
        <f>ROMAN(36407)</f>
        <v/>
      </c>
      <c r="D36408">
        <f>IF(B36408=C36408, "YES", "WRONG")</f>
        <v/>
      </c>
    </row>
    <row r="36409">
      <c r="A36409" t="n">
        <v>36408</v>
      </c>
      <c r="B36409" t="inlineStr">
        <is>
          <t>x̄x̄x̄V̅MCDVIII</t>
        </is>
      </c>
      <c r="C36409">
        <f>ROMAN(36408)</f>
        <v/>
      </c>
      <c r="D36409">
        <f>IF(B36409=C36409, "YES", "WRONG")</f>
        <v/>
      </c>
    </row>
    <row r="36410">
      <c r="A36410" t="n">
        <v>36409</v>
      </c>
      <c r="B36410" t="inlineStr">
        <is>
          <t>x̄x̄x̄V̅MCDIX</t>
        </is>
      </c>
      <c r="C36410">
        <f>ROMAN(36409)</f>
        <v/>
      </c>
      <c r="D36410">
        <f>IF(B36410=C36410, "YES", "WRONG")</f>
        <v/>
      </c>
    </row>
    <row r="36411">
      <c r="A36411" t="n">
        <v>36410</v>
      </c>
      <c r="B36411" t="inlineStr">
        <is>
          <t>x̄x̄x̄V̅MCDX</t>
        </is>
      </c>
      <c r="C36411">
        <f>ROMAN(36410)</f>
        <v/>
      </c>
      <c r="D36411">
        <f>IF(B36411=C36411, "YES", "WRONG")</f>
        <v/>
      </c>
    </row>
    <row r="36412">
      <c r="A36412" t="n">
        <v>36411</v>
      </c>
      <c r="B36412" t="inlineStr">
        <is>
          <t>x̄x̄x̄V̅MCDXI</t>
        </is>
      </c>
      <c r="C36412">
        <f>ROMAN(36411)</f>
        <v/>
      </c>
      <c r="D36412">
        <f>IF(B36412=C36412, "YES", "WRONG")</f>
        <v/>
      </c>
    </row>
    <row r="36413">
      <c r="A36413" t="n">
        <v>36412</v>
      </c>
      <c r="B36413" t="inlineStr">
        <is>
          <t>x̄x̄x̄V̅MCDXII</t>
        </is>
      </c>
      <c r="C36413">
        <f>ROMAN(36412)</f>
        <v/>
      </c>
      <c r="D36413">
        <f>IF(B36413=C36413, "YES", "WRONG")</f>
        <v/>
      </c>
    </row>
    <row r="36414">
      <c r="A36414" t="n">
        <v>36413</v>
      </c>
      <c r="B36414" t="inlineStr">
        <is>
          <t>x̄x̄x̄V̅MCDXIII</t>
        </is>
      </c>
      <c r="C36414">
        <f>ROMAN(36413)</f>
        <v/>
      </c>
      <c r="D36414">
        <f>IF(B36414=C36414, "YES", "WRONG")</f>
        <v/>
      </c>
    </row>
    <row r="36415">
      <c r="A36415" t="n">
        <v>36414</v>
      </c>
      <c r="B36415" t="inlineStr">
        <is>
          <t>x̄x̄x̄V̅MCDXIV</t>
        </is>
      </c>
      <c r="C36415">
        <f>ROMAN(36414)</f>
        <v/>
      </c>
      <c r="D36415">
        <f>IF(B36415=C36415, "YES", "WRONG")</f>
        <v/>
      </c>
    </row>
    <row r="36416">
      <c r="A36416" t="n">
        <v>36415</v>
      </c>
      <c r="B36416" t="inlineStr">
        <is>
          <t>x̄x̄x̄V̅MCDXV</t>
        </is>
      </c>
      <c r="C36416">
        <f>ROMAN(36415)</f>
        <v/>
      </c>
      <c r="D36416">
        <f>IF(B36416=C36416, "YES", "WRONG")</f>
        <v/>
      </c>
    </row>
    <row r="36417">
      <c r="A36417" t="n">
        <v>36416</v>
      </c>
      <c r="B36417" t="inlineStr">
        <is>
          <t>x̄x̄x̄V̅MCDXVI</t>
        </is>
      </c>
      <c r="C36417">
        <f>ROMAN(36416)</f>
        <v/>
      </c>
      <c r="D36417">
        <f>IF(B36417=C36417, "YES", "WRONG")</f>
        <v/>
      </c>
    </row>
    <row r="36418">
      <c r="A36418" t="n">
        <v>36417</v>
      </c>
      <c r="B36418" t="inlineStr">
        <is>
          <t>x̄x̄x̄V̅MCDXVII</t>
        </is>
      </c>
      <c r="C36418">
        <f>ROMAN(36417)</f>
        <v/>
      </c>
      <c r="D36418">
        <f>IF(B36418=C36418, "YES", "WRONG")</f>
        <v/>
      </c>
    </row>
    <row r="36419">
      <c r="A36419" t="n">
        <v>36418</v>
      </c>
      <c r="B36419" t="inlineStr">
        <is>
          <t>x̄x̄x̄V̅MCDXVIII</t>
        </is>
      </c>
      <c r="C36419">
        <f>ROMAN(36418)</f>
        <v/>
      </c>
      <c r="D36419">
        <f>IF(B36419=C36419, "YES", "WRONG")</f>
        <v/>
      </c>
    </row>
    <row r="36420">
      <c r="A36420" t="n">
        <v>36419</v>
      </c>
      <c r="B36420" t="inlineStr">
        <is>
          <t>x̄x̄x̄V̅MCDXIX</t>
        </is>
      </c>
      <c r="C36420">
        <f>ROMAN(36419)</f>
        <v/>
      </c>
      <c r="D36420">
        <f>IF(B36420=C36420, "YES", "WRONG")</f>
        <v/>
      </c>
    </row>
    <row r="36421">
      <c r="A36421" t="n">
        <v>36420</v>
      </c>
      <c r="B36421" t="inlineStr">
        <is>
          <t>x̄x̄x̄V̅MCDXX</t>
        </is>
      </c>
      <c r="C36421">
        <f>ROMAN(36420)</f>
        <v/>
      </c>
      <c r="D36421">
        <f>IF(B36421=C36421, "YES", "WRONG")</f>
        <v/>
      </c>
    </row>
    <row r="36422">
      <c r="A36422" t="n">
        <v>36421</v>
      </c>
      <c r="B36422" t="inlineStr">
        <is>
          <t>x̄x̄x̄V̅MCDXXI</t>
        </is>
      </c>
      <c r="C36422">
        <f>ROMAN(36421)</f>
        <v/>
      </c>
      <c r="D36422">
        <f>IF(B36422=C36422, "YES", "WRONG")</f>
        <v/>
      </c>
    </row>
    <row r="36423">
      <c r="A36423" t="n">
        <v>36422</v>
      </c>
      <c r="B36423" t="inlineStr">
        <is>
          <t>x̄x̄x̄V̅MCDXXII</t>
        </is>
      </c>
      <c r="C36423">
        <f>ROMAN(36422)</f>
        <v/>
      </c>
      <c r="D36423">
        <f>IF(B36423=C36423, "YES", "WRONG")</f>
        <v/>
      </c>
    </row>
    <row r="36424">
      <c r="A36424" t="n">
        <v>36423</v>
      </c>
      <c r="B36424" t="inlineStr">
        <is>
          <t>x̄x̄x̄V̅MCDXXIII</t>
        </is>
      </c>
      <c r="C36424">
        <f>ROMAN(36423)</f>
        <v/>
      </c>
      <c r="D36424">
        <f>IF(B36424=C36424, "YES", "WRONG")</f>
        <v/>
      </c>
    </row>
    <row r="36425">
      <c r="A36425" t="n">
        <v>36424</v>
      </c>
      <c r="B36425" t="inlineStr">
        <is>
          <t>x̄x̄x̄V̅MCDXXIV</t>
        </is>
      </c>
      <c r="C36425">
        <f>ROMAN(36424)</f>
        <v/>
      </c>
      <c r="D36425">
        <f>IF(B36425=C36425, "YES", "WRONG")</f>
        <v/>
      </c>
    </row>
    <row r="36426">
      <c r="A36426" t="n">
        <v>36425</v>
      </c>
      <c r="B36426" t="inlineStr">
        <is>
          <t>x̄x̄x̄V̅MCDXXV</t>
        </is>
      </c>
      <c r="C36426">
        <f>ROMAN(36425)</f>
        <v/>
      </c>
      <c r="D36426">
        <f>IF(B36426=C36426, "YES", "WRONG")</f>
        <v/>
      </c>
    </row>
    <row r="36427">
      <c r="A36427" t="n">
        <v>36426</v>
      </c>
      <c r="B36427" t="inlineStr">
        <is>
          <t>x̄x̄x̄V̅MCDXXVI</t>
        </is>
      </c>
      <c r="C36427">
        <f>ROMAN(36426)</f>
        <v/>
      </c>
      <c r="D36427">
        <f>IF(B36427=C36427, "YES", "WRONG")</f>
        <v/>
      </c>
    </row>
    <row r="36428">
      <c r="A36428" t="n">
        <v>36427</v>
      </c>
      <c r="B36428" t="inlineStr">
        <is>
          <t>x̄x̄x̄V̅MCDXXVII</t>
        </is>
      </c>
      <c r="C36428">
        <f>ROMAN(36427)</f>
        <v/>
      </c>
      <c r="D36428">
        <f>IF(B36428=C36428, "YES", "WRONG")</f>
        <v/>
      </c>
    </row>
    <row r="36429">
      <c r="A36429" t="n">
        <v>36428</v>
      </c>
      <c r="B36429" t="inlineStr">
        <is>
          <t>x̄x̄x̄V̅MCDXXVIII</t>
        </is>
      </c>
      <c r="C36429">
        <f>ROMAN(36428)</f>
        <v/>
      </c>
      <c r="D36429">
        <f>IF(B36429=C36429, "YES", "WRONG")</f>
        <v/>
      </c>
    </row>
    <row r="36430">
      <c r="A36430" t="n">
        <v>36429</v>
      </c>
      <c r="B36430" t="inlineStr">
        <is>
          <t>x̄x̄x̄V̅MCDXXIX</t>
        </is>
      </c>
      <c r="C36430">
        <f>ROMAN(36429)</f>
        <v/>
      </c>
      <c r="D36430">
        <f>IF(B36430=C36430, "YES", "WRONG")</f>
        <v/>
      </c>
    </row>
    <row r="36431">
      <c r="A36431" t="n">
        <v>36430</v>
      </c>
      <c r="B36431" t="inlineStr">
        <is>
          <t>x̄x̄x̄V̅MCDXXX</t>
        </is>
      </c>
      <c r="C36431">
        <f>ROMAN(36430)</f>
        <v/>
      </c>
      <c r="D36431">
        <f>IF(B36431=C36431, "YES", "WRONG")</f>
        <v/>
      </c>
    </row>
    <row r="36432">
      <c r="A36432" t="n">
        <v>36431</v>
      </c>
      <c r="B36432" t="inlineStr">
        <is>
          <t>x̄x̄x̄V̅MCDXXXI</t>
        </is>
      </c>
      <c r="C36432">
        <f>ROMAN(36431)</f>
        <v/>
      </c>
      <c r="D36432">
        <f>IF(B36432=C36432, "YES", "WRONG")</f>
        <v/>
      </c>
    </row>
    <row r="36433">
      <c r="A36433" t="n">
        <v>36432</v>
      </c>
      <c r="B36433" t="inlineStr">
        <is>
          <t>x̄x̄x̄V̅MCDXXXII</t>
        </is>
      </c>
      <c r="C36433">
        <f>ROMAN(36432)</f>
        <v/>
      </c>
      <c r="D36433">
        <f>IF(B36433=C36433, "YES", "WRONG")</f>
        <v/>
      </c>
    </row>
    <row r="36434">
      <c r="A36434" t="n">
        <v>36433</v>
      </c>
      <c r="B36434" t="inlineStr">
        <is>
          <t>x̄x̄x̄V̅MCDXXXIII</t>
        </is>
      </c>
      <c r="C36434">
        <f>ROMAN(36433)</f>
        <v/>
      </c>
      <c r="D36434">
        <f>IF(B36434=C36434, "YES", "WRONG")</f>
        <v/>
      </c>
    </row>
    <row r="36435">
      <c r="A36435" t="n">
        <v>36434</v>
      </c>
      <c r="B36435" t="inlineStr">
        <is>
          <t>x̄x̄x̄V̅MCDXXXIV</t>
        </is>
      </c>
      <c r="C36435">
        <f>ROMAN(36434)</f>
        <v/>
      </c>
      <c r="D36435">
        <f>IF(B36435=C36435, "YES", "WRONG")</f>
        <v/>
      </c>
    </row>
    <row r="36436">
      <c r="A36436" t="n">
        <v>36435</v>
      </c>
      <c r="B36436" t="inlineStr">
        <is>
          <t>x̄x̄x̄V̅MCDXXXV</t>
        </is>
      </c>
      <c r="C36436">
        <f>ROMAN(36435)</f>
        <v/>
      </c>
      <c r="D36436">
        <f>IF(B36436=C36436, "YES", "WRONG")</f>
        <v/>
      </c>
    </row>
    <row r="36437">
      <c r="A36437" t="n">
        <v>36436</v>
      </c>
      <c r="B36437" t="inlineStr">
        <is>
          <t>x̄x̄x̄V̅MCDXXXVI</t>
        </is>
      </c>
      <c r="C36437">
        <f>ROMAN(36436)</f>
        <v/>
      </c>
      <c r="D36437">
        <f>IF(B36437=C36437, "YES", "WRONG")</f>
        <v/>
      </c>
    </row>
    <row r="36438">
      <c r="A36438" t="n">
        <v>36437</v>
      </c>
      <c r="B36438" t="inlineStr">
        <is>
          <t>x̄x̄x̄V̅MCDXXXVII</t>
        </is>
      </c>
      <c r="C36438">
        <f>ROMAN(36437)</f>
        <v/>
      </c>
      <c r="D36438">
        <f>IF(B36438=C36438, "YES", "WRONG")</f>
        <v/>
      </c>
    </row>
    <row r="36439">
      <c r="A36439" t="n">
        <v>36438</v>
      </c>
      <c r="B36439" t="inlineStr">
        <is>
          <t>x̄x̄x̄V̅MCDXXXVIII</t>
        </is>
      </c>
      <c r="C36439">
        <f>ROMAN(36438)</f>
        <v/>
      </c>
      <c r="D36439">
        <f>IF(B36439=C36439, "YES", "WRONG")</f>
        <v/>
      </c>
    </row>
    <row r="36440">
      <c r="A36440" t="n">
        <v>36439</v>
      </c>
      <c r="B36440" t="inlineStr">
        <is>
          <t>x̄x̄x̄V̅MCDXXXIX</t>
        </is>
      </c>
      <c r="C36440">
        <f>ROMAN(36439)</f>
        <v/>
      </c>
      <c r="D36440">
        <f>IF(B36440=C36440, "YES", "WRONG")</f>
        <v/>
      </c>
    </row>
    <row r="36441">
      <c r="A36441" t="n">
        <v>36440</v>
      </c>
      <c r="B36441" t="inlineStr">
        <is>
          <t>x̄x̄x̄V̅MCDXL</t>
        </is>
      </c>
      <c r="C36441">
        <f>ROMAN(36440)</f>
        <v/>
      </c>
      <c r="D36441">
        <f>IF(B36441=C36441, "YES", "WRONG")</f>
        <v/>
      </c>
    </row>
    <row r="36442">
      <c r="A36442" t="n">
        <v>36441</v>
      </c>
      <c r="B36442" t="inlineStr">
        <is>
          <t>x̄x̄x̄V̅MCDXLI</t>
        </is>
      </c>
      <c r="C36442">
        <f>ROMAN(36441)</f>
        <v/>
      </c>
      <c r="D36442">
        <f>IF(B36442=C36442, "YES", "WRONG")</f>
        <v/>
      </c>
    </row>
    <row r="36443">
      <c r="A36443" t="n">
        <v>36442</v>
      </c>
      <c r="B36443" t="inlineStr">
        <is>
          <t>x̄x̄x̄V̅MCDXLII</t>
        </is>
      </c>
      <c r="C36443">
        <f>ROMAN(36442)</f>
        <v/>
      </c>
      <c r="D36443">
        <f>IF(B36443=C36443, "YES", "WRONG")</f>
        <v/>
      </c>
    </row>
    <row r="36444">
      <c r="A36444" t="n">
        <v>36443</v>
      </c>
      <c r="B36444" t="inlineStr">
        <is>
          <t>x̄x̄x̄V̅MCDXLIII</t>
        </is>
      </c>
      <c r="C36444">
        <f>ROMAN(36443)</f>
        <v/>
      </c>
      <c r="D36444">
        <f>IF(B36444=C36444, "YES", "WRONG")</f>
        <v/>
      </c>
    </row>
    <row r="36445">
      <c r="A36445" t="n">
        <v>36444</v>
      </c>
      <c r="B36445" t="inlineStr">
        <is>
          <t>x̄x̄x̄V̅MCDXLIV</t>
        </is>
      </c>
      <c r="C36445">
        <f>ROMAN(36444)</f>
        <v/>
      </c>
      <c r="D36445">
        <f>IF(B36445=C36445, "YES", "WRONG")</f>
        <v/>
      </c>
    </row>
    <row r="36446">
      <c r="A36446" t="n">
        <v>36445</v>
      </c>
      <c r="B36446" t="inlineStr">
        <is>
          <t>x̄x̄x̄V̅MCDXLV</t>
        </is>
      </c>
      <c r="C36446">
        <f>ROMAN(36445)</f>
        <v/>
      </c>
      <c r="D36446">
        <f>IF(B36446=C36446, "YES", "WRONG")</f>
        <v/>
      </c>
    </row>
    <row r="36447">
      <c r="A36447" t="n">
        <v>36446</v>
      </c>
      <c r="B36447" t="inlineStr">
        <is>
          <t>x̄x̄x̄V̅MCDXLVI</t>
        </is>
      </c>
      <c r="C36447">
        <f>ROMAN(36446)</f>
        <v/>
      </c>
      <c r="D36447">
        <f>IF(B36447=C36447, "YES", "WRONG")</f>
        <v/>
      </c>
    </row>
    <row r="36448">
      <c r="A36448" t="n">
        <v>36447</v>
      </c>
      <c r="B36448" t="inlineStr">
        <is>
          <t>x̄x̄x̄V̅MCDXLVII</t>
        </is>
      </c>
      <c r="C36448">
        <f>ROMAN(36447)</f>
        <v/>
      </c>
      <c r="D36448">
        <f>IF(B36448=C36448, "YES", "WRONG")</f>
        <v/>
      </c>
    </row>
    <row r="36449">
      <c r="A36449" t="n">
        <v>36448</v>
      </c>
      <c r="B36449" t="inlineStr">
        <is>
          <t>x̄x̄x̄V̅MCDXLVIII</t>
        </is>
      </c>
      <c r="C36449">
        <f>ROMAN(36448)</f>
        <v/>
      </c>
      <c r="D36449">
        <f>IF(B36449=C36449, "YES", "WRONG")</f>
        <v/>
      </c>
    </row>
    <row r="36450">
      <c r="A36450" t="n">
        <v>36449</v>
      </c>
      <c r="B36450" t="inlineStr">
        <is>
          <t>x̄x̄x̄V̅MCDXLIX</t>
        </is>
      </c>
      <c r="C36450">
        <f>ROMAN(36449)</f>
        <v/>
      </c>
      <c r="D36450">
        <f>IF(B36450=C36450, "YES", "WRONG")</f>
        <v/>
      </c>
    </row>
    <row r="36451">
      <c r="A36451" t="n">
        <v>36450</v>
      </c>
      <c r="B36451" t="inlineStr">
        <is>
          <t>x̄x̄x̄V̅MCDL</t>
        </is>
      </c>
      <c r="C36451">
        <f>ROMAN(36450)</f>
        <v/>
      </c>
      <c r="D36451">
        <f>IF(B36451=C36451, "YES", "WRONG")</f>
        <v/>
      </c>
    </row>
    <row r="36452">
      <c r="A36452" t="n">
        <v>36451</v>
      </c>
      <c r="B36452" t="inlineStr">
        <is>
          <t>x̄x̄x̄V̅MCDLI</t>
        </is>
      </c>
      <c r="C36452">
        <f>ROMAN(36451)</f>
        <v/>
      </c>
      <c r="D36452">
        <f>IF(B36452=C36452, "YES", "WRONG")</f>
        <v/>
      </c>
    </row>
    <row r="36453">
      <c r="A36453" t="n">
        <v>36452</v>
      </c>
      <c r="B36453" t="inlineStr">
        <is>
          <t>x̄x̄x̄V̅MCDLII</t>
        </is>
      </c>
      <c r="C36453">
        <f>ROMAN(36452)</f>
        <v/>
      </c>
      <c r="D36453">
        <f>IF(B36453=C36453, "YES", "WRONG")</f>
        <v/>
      </c>
    </row>
    <row r="36454">
      <c r="A36454" t="n">
        <v>36453</v>
      </c>
      <c r="B36454" t="inlineStr">
        <is>
          <t>x̄x̄x̄V̅MCDLIII</t>
        </is>
      </c>
      <c r="C36454">
        <f>ROMAN(36453)</f>
        <v/>
      </c>
      <c r="D36454">
        <f>IF(B36454=C36454, "YES", "WRONG")</f>
        <v/>
      </c>
    </row>
    <row r="36455">
      <c r="A36455" t="n">
        <v>36454</v>
      </c>
      <c r="B36455" t="inlineStr">
        <is>
          <t>x̄x̄x̄V̅MCDLIV</t>
        </is>
      </c>
      <c r="C36455">
        <f>ROMAN(36454)</f>
        <v/>
      </c>
      <c r="D36455">
        <f>IF(B36455=C36455, "YES", "WRONG")</f>
        <v/>
      </c>
    </row>
    <row r="36456">
      <c r="A36456" t="n">
        <v>36455</v>
      </c>
      <c r="B36456" t="inlineStr">
        <is>
          <t>x̄x̄x̄V̅MCDLV</t>
        </is>
      </c>
      <c r="C36456">
        <f>ROMAN(36455)</f>
        <v/>
      </c>
      <c r="D36456">
        <f>IF(B36456=C36456, "YES", "WRONG")</f>
        <v/>
      </c>
    </row>
    <row r="36457">
      <c r="A36457" t="n">
        <v>36456</v>
      </c>
      <c r="B36457" t="inlineStr">
        <is>
          <t>x̄x̄x̄V̅MCDLVI</t>
        </is>
      </c>
      <c r="C36457">
        <f>ROMAN(36456)</f>
        <v/>
      </c>
      <c r="D36457">
        <f>IF(B36457=C36457, "YES", "WRONG")</f>
        <v/>
      </c>
    </row>
    <row r="36458">
      <c r="A36458" t="n">
        <v>36457</v>
      </c>
      <c r="B36458" t="inlineStr">
        <is>
          <t>x̄x̄x̄V̅MCDLVII</t>
        </is>
      </c>
      <c r="C36458">
        <f>ROMAN(36457)</f>
        <v/>
      </c>
      <c r="D36458">
        <f>IF(B36458=C36458, "YES", "WRONG")</f>
        <v/>
      </c>
    </row>
    <row r="36459">
      <c r="A36459" t="n">
        <v>36458</v>
      </c>
      <c r="B36459" t="inlineStr">
        <is>
          <t>x̄x̄x̄V̅MCDLVIII</t>
        </is>
      </c>
      <c r="C36459">
        <f>ROMAN(36458)</f>
        <v/>
      </c>
      <c r="D36459">
        <f>IF(B36459=C36459, "YES", "WRONG")</f>
        <v/>
      </c>
    </row>
    <row r="36460">
      <c r="A36460" t="n">
        <v>36459</v>
      </c>
      <c r="B36460" t="inlineStr">
        <is>
          <t>x̄x̄x̄V̅MCDLIX</t>
        </is>
      </c>
      <c r="C36460">
        <f>ROMAN(36459)</f>
        <v/>
      </c>
      <c r="D36460">
        <f>IF(B36460=C36460, "YES", "WRONG")</f>
        <v/>
      </c>
    </row>
    <row r="36461">
      <c r="A36461" t="n">
        <v>36460</v>
      </c>
      <c r="B36461" t="inlineStr">
        <is>
          <t>x̄x̄x̄V̅MCDLX</t>
        </is>
      </c>
      <c r="C36461">
        <f>ROMAN(36460)</f>
        <v/>
      </c>
      <c r="D36461">
        <f>IF(B36461=C36461, "YES", "WRONG")</f>
        <v/>
      </c>
    </row>
    <row r="36462">
      <c r="A36462" t="n">
        <v>36461</v>
      </c>
      <c r="B36462" t="inlineStr">
        <is>
          <t>x̄x̄x̄V̅MCDLXI</t>
        </is>
      </c>
      <c r="C36462">
        <f>ROMAN(36461)</f>
        <v/>
      </c>
      <c r="D36462">
        <f>IF(B36462=C36462, "YES", "WRONG")</f>
        <v/>
      </c>
    </row>
    <row r="36463">
      <c r="A36463" t="n">
        <v>36462</v>
      </c>
      <c r="B36463" t="inlineStr">
        <is>
          <t>x̄x̄x̄V̅MCDLXII</t>
        </is>
      </c>
      <c r="C36463">
        <f>ROMAN(36462)</f>
        <v/>
      </c>
      <c r="D36463">
        <f>IF(B36463=C36463, "YES", "WRONG")</f>
        <v/>
      </c>
    </row>
    <row r="36464">
      <c r="A36464" t="n">
        <v>36463</v>
      </c>
      <c r="B36464" t="inlineStr">
        <is>
          <t>x̄x̄x̄V̅MCDLXIII</t>
        </is>
      </c>
      <c r="C36464">
        <f>ROMAN(36463)</f>
        <v/>
      </c>
      <c r="D36464">
        <f>IF(B36464=C36464, "YES", "WRONG")</f>
        <v/>
      </c>
    </row>
    <row r="36465">
      <c r="A36465" t="n">
        <v>36464</v>
      </c>
      <c r="B36465" t="inlineStr">
        <is>
          <t>x̄x̄x̄V̅MCDLXIV</t>
        </is>
      </c>
      <c r="C36465">
        <f>ROMAN(36464)</f>
        <v/>
      </c>
      <c r="D36465">
        <f>IF(B36465=C36465, "YES", "WRONG")</f>
        <v/>
      </c>
    </row>
    <row r="36466">
      <c r="A36466" t="n">
        <v>36465</v>
      </c>
      <c r="B36466" t="inlineStr">
        <is>
          <t>x̄x̄x̄V̅MCDLXV</t>
        </is>
      </c>
      <c r="C36466">
        <f>ROMAN(36465)</f>
        <v/>
      </c>
      <c r="D36466">
        <f>IF(B36466=C36466, "YES", "WRONG")</f>
        <v/>
      </c>
    </row>
    <row r="36467">
      <c r="A36467" t="n">
        <v>36466</v>
      </c>
      <c r="B36467" t="inlineStr">
        <is>
          <t>x̄x̄x̄V̅MCDLXVI</t>
        </is>
      </c>
      <c r="C36467">
        <f>ROMAN(36466)</f>
        <v/>
      </c>
      <c r="D36467">
        <f>IF(B36467=C36467, "YES", "WRONG")</f>
        <v/>
      </c>
    </row>
    <row r="36468">
      <c r="A36468" t="n">
        <v>36467</v>
      </c>
      <c r="B36468" t="inlineStr">
        <is>
          <t>x̄x̄x̄V̅MCDLXVII</t>
        </is>
      </c>
      <c r="C36468">
        <f>ROMAN(36467)</f>
        <v/>
      </c>
      <c r="D36468">
        <f>IF(B36468=C36468, "YES", "WRONG")</f>
        <v/>
      </c>
    </row>
    <row r="36469">
      <c r="A36469" t="n">
        <v>36468</v>
      </c>
      <c r="B36469" t="inlineStr">
        <is>
          <t>x̄x̄x̄V̅MCDLXVIII</t>
        </is>
      </c>
      <c r="C36469">
        <f>ROMAN(36468)</f>
        <v/>
      </c>
      <c r="D36469">
        <f>IF(B36469=C36469, "YES", "WRONG")</f>
        <v/>
      </c>
    </row>
    <row r="36470">
      <c r="A36470" t="n">
        <v>36469</v>
      </c>
      <c r="B36470" t="inlineStr">
        <is>
          <t>x̄x̄x̄V̅MCDLXIX</t>
        </is>
      </c>
      <c r="C36470">
        <f>ROMAN(36469)</f>
        <v/>
      </c>
      <c r="D36470">
        <f>IF(B36470=C36470, "YES", "WRONG")</f>
        <v/>
      </c>
    </row>
    <row r="36471">
      <c r="A36471" t="n">
        <v>36470</v>
      </c>
      <c r="B36471" t="inlineStr">
        <is>
          <t>x̄x̄x̄V̅MCDLXX</t>
        </is>
      </c>
      <c r="C36471">
        <f>ROMAN(36470)</f>
        <v/>
      </c>
      <c r="D36471">
        <f>IF(B36471=C36471, "YES", "WRONG")</f>
        <v/>
      </c>
    </row>
    <row r="36472">
      <c r="A36472" t="n">
        <v>36471</v>
      </c>
      <c r="B36472" t="inlineStr">
        <is>
          <t>x̄x̄x̄V̅MCDLXXI</t>
        </is>
      </c>
      <c r="C36472">
        <f>ROMAN(36471)</f>
        <v/>
      </c>
      <c r="D36472">
        <f>IF(B36472=C36472, "YES", "WRONG")</f>
        <v/>
      </c>
    </row>
    <row r="36473">
      <c r="A36473" t="n">
        <v>36472</v>
      </c>
      <c r="B36473" t="inlineStr">
        <is>
          <t>x̄x̄x̄V̅MCDLXXII</t>
        </is>
      </c>
      <c r="C36473">
        <f>ROMAN(36472)</f>
        <v/>
      </c>
      <c r="D36473">
        <f>IF(B36473=C36473, "YES", "WRONG")</f>
        <v/>
      </c>
    </row>
    <row r="36474">
      <c r="A36474" t="n">
        <v>36473</v>
      </c>
      <c r="B36474" t="inlineStr">
        <is>
          <t>x̄x̄x̄V̅MCDLXXIII</t>
        </is>
      </c>
      <c r="C36474">
        <f>ROMAN(36473)</f>
        <v/>
      </c>
      <c r="D36474">
        <f>IF(B36474=C36474, "YES", "WRONG")</f>
        <v/>
      </c>
    </row>
    <row r="36475">
      <c r="A36475" t="n">
        <v>36474</v>
      </c>
      <c r="B36475" t="inlineStr">
        <is>
          <t>x̄x̄x̄V̅MCDLXXIV</t>
        </is>
      </c>
      <c r="C36475">
        <f>ROMAN(36474)</f>
        <v/>
      </c>
      <c r="D36475">
        <f>IF(B36475=C36475, "YES", "WRONG")</f>
        <v/>
      </c>
    </row>
    <row r="36476">
      <c r="A36476" t="n">
        <v>36475</v>
      </c>
      <c r="B36476" t="inlineStr">
        <is>
          <t>x̄x̄x̄V̅MCDLXXV</t>
        </is>
      </c>
      <c r="C36476">
        <f>ROMAN(36475)</f>
        <v/>
      </c>
      <c r="D36476">
        <f>IF(B36476=C36476, "YES", "WRONG")</f>
        <v/>
      </c>
    </row>
    <row r="36477">
      <c r="A36477" t="n">
        <v>36476</v>
      </c>
      <c r="B36477" t="inlineStr">
        <is>
          <t>x̄x̄x̄V̅MCDLXXVI</t>
        </is>
      </c>
      <c r="C36477">
        <f>ROMAN(36476)</f>
        <v/>
      </c>
      <c r="D36477">
        <f>IF(B36477=C36477, "YES", "WRONG")</f>
        <v/>
      </c>
    </row>
    <row r="36478">
      <c r="A36478" t="n">
        <v>36477</v>
      </c>
      <c r="B36478" t="inlineStr">
        <is>
          <t>x̄x̄x̄V̅MCDLXXVII</t>
        </is>
      </c>
      <c r="C36478">
        <f>ROMAN(36477)</f>
        <v/>
      </c>
      <c r="D36478">
        <f>IF(B36478=C36478, "YES", "WRONG")</f>
        <v/>
      </c>
    </row>
    <row r="36479">
      <c r="A36479" t="n">
        <v>36478</v>
      </c>
      <c r="B36479" t="inlineStr">
        <is>
          <t>x̄x̄x̄V̅MCDLXXVIII</t>
        </is>
      </c>
      <c r="C36479">
        <f>ROMAN(36478)</f>
        <v/>
      </c>
      <c r="D36479">
        <f>IF(B36479=C36479, "YES", "WRONG")</f>
        <v/>
      </c>
    </row>
    <row r="36480">
      <c r="A36480" t="n">
        <v>36479</v>
      </c>
      <c r="B36480" t="inlineStr">
        <is>
          <t>x̄x̄x̄V̅MCDLXXIX</t>
        </is>
      </c>
      <c r="C36480">
        <f>ROMAN(36479)</f>
        <v/>
      </c>
      <c r="D36480">
        <f>IF(B36480=C36480, "YES", "WRONG")</f>
        <v/>
      </c>
    </row>
    <row r="36481">
      <c r="A36481" t="n">
        <v>36480</v>
      </c>
      <c r="B36481" t="inlineStr">
        <is>
          <t>x̄x̄x̄V̅MCDLXXX</t>
        </is>
      </c>
      <c r="C36481">
        <f>ROMAN(36480)</f>
        <v/>
      </c>
      <c r="D36481">
        <f>IF(B36481=C36481, "YES", "WRONG")</f>
        <v/>
      </c>
    </row>
    <row r="36482">
      <c r="A36482" t="n">
        <v>36481</v>
      </c>
      <c r="B36482" t="inlineStr">
        <is>
          <t>x̄x̄x̄V̅MCDLXXXI</t>
        </is>
      </c>
      <c r="C36482">
        <f>ROMAN(36481)</f>
        <v/>
      </c>
      <c r="D36482">
        <f>IF(B36482=C36482, "YES", "WRONG")</f>
        <v/>
      </c>
    </row>
    <row r="36483">
      <c r="A36483" t="n">
        <v>36482</v>
      </c>
      <c r="B36483" t="inlineStr">
        <is>
          <t>x̄x̄x̄V̅MCDLXXXII</t>
        </is>
      </c>
      <c r="C36483">
        <f>ROMAN(36482)</f>
        <v/>
      </c>
      <c r="D36483">
        <f>IF(B36483=C36483, "YES", "WRONG")</f>
        <v/>
      </c>
    </row>
    <row r="36484">
      <c r="A36484" t="n">
        <v>36483</v>
      </c>
      <c r="B36484" t="inlineStr">
        <is>
          <t>x̄x̄x̄V̅MCDLXXXIII</t>
        </is>
      </c>
      <c r="C36484">
        <f>ROMAN(36483)</f>
        <v/>
      </c>
      <c r="D36484">
        <f>IF(B36484=C36484, "YES", "WRONG")</f>
        <v/>
      </c>
    </row>
    <row r="36485">
      <c r="A36485" t="n">
        <v>36484</v>
      </c>
      <c r="B36485" t="inlineStr">
        <is>
          <t>x̄x̄x̄V̅MCDLXXXIV</t>
        </is>
      </c>
      <c r="C36485">
        <f>ROMAN(36484)</f>
        <v/>
      </c>
      <c r="D36485">
        <f>IF(B36485=C36485, "YES", "WRONG")</f>
        <v/>
      </c>
    </row>
    <row r="36486">
      <c r="A36486" t="n">
        <v>36485</v>
      </c>
      <c r="B36486" t="inlineStr">
        <is>
          <t>x̄x̄x̄V̅MCDLXXXV</t>
        </is>
      </c>
      <c r="C36486">
        <f>ROMAN(36485)</f>
        <v/>
      </c>
      <c r="D36486">
        <f>IF(B36486=C36486, "YES", "WRONG")</f>
        <v/>
      </c>
    </row>
    <row r="36487">
      <c r="A36487" t="n">
        <v>36486</v>
      </c>
      <c r="B36487" t="inlineStr">
        <is>
          <t>x̄x̄x̄V̅MCDLXXXVI</t>
        </is>
      </c>
      <c r="C36487">
        <f>ROMAN(36486)</f>
        <v/>
      </c>
      <c r="D36487">
        <f>IF(B36487=C36487, "YES", "WRONG")</f>
        <v/>
      </c>
    </row>
    <row r="36488">
      <c r="A36488" t="n">
        <v>36487</v>
      </c>
      <c r="B36488" t="inlineStr">
        <is>
          <t>x̄x̄x̄V̅MCDLXXXVII</t>
        </is>
      </c>
      <c r="C36488">
        <f>ROMAN(36487)</f>
        <v/>
      </c>
      <c r="D36488">
        <f>IF(B36488=C36488, "YES", "WRONG")</f>
        <v/>
      </c>
    </row>
    <row r="36489">
      <c r="A36489" t="n">
        <v>36488</v>
      </c>
      <c r="B36489" t="inlineStr">
        <is>
          <t>x̄x̄x̄V̅MCDLXXXVIII</t>
        </is>
      </c>
      <c r="C36489">
        <f>ROMAN(36488)</f>
        <v/>
      </c>
      <c r="D36489">
        <f>IF(B36489=C36489, "YES", "WRONG")</f>
        <v/>
      </c>
    </row>
    <row r="36490">
      <c r="A36490" t="n">
        <v>36489</v>
      </c>
      <c r="B36490" t="inlineStr">
        <is>
          <t>x̄x̄x̄V̅MCDLXXXIX</t>
        </is>
      </c>
      <c r="C36490">
        <f>ROMAN(36489)</f>
        <v/>
      </c>
      <c r="D36490">
        <f>IF(B36490=C36490, "YES", "WRONG")</f>
        <v/>
      </c>
    </row>
    <row r="36491">
      <c r="A36491" t="n">
        <v>36490</v>
      </c>
      <c r="B36491" t="inlineStr">
        <is>
          <t>x̄x̄x̄V̅MCDXC</t>
        </is>
      </c>
      <c r="C36491">
        <f>ROMAN(36490)</f>
        <v/>
      </c>
      <c r="D36491">
        <f>IF(B36491=C36491, "YES", "WRONG")</f>
        <v/>
      </c>
    </row>
    <row r="36492">
      <c r="A36492" t="n">
        <v>36491</v>
      </c>
      <c r="B36492" t="inlineStr">
        <is>
          <t>x̄x̄x̄V̅MCDXCI</t>
        </is>
      </c>
      <c r="C36492">
        <f>ROMAN(36491)</f>
        <v/>
      </c>
      <c r="D36492">
        <f>IF(B36492=C36492, "YES", "WRONG")</f>
        <v/>
      </c>
    </row>
    <row r="36493">
      <c r="A36493" t="n">
        <v>36492</v>
      </c>
      <c r="B36493" t="inlineStr">
        <is>
          <t>x̄x̄x̄V̅MCDXCII</t>
        </is>
      </c>
      <c r="C36493">
        <f>ROMAN(36492)</f>
        <v/>
      </c>
      <c r="D36493">
        <f>IF(B36493=C36493, "YES", "WRONG")</f>
        <v/>
      </c>
    </row>
    <row r="36494">
      <c r="A36494" t="n">
        <v>36493</v>
      </c>
      <c r="B36494" t="inlineStr">
        <is>
          <t>x̄x̄x̄V̅MCDXCIII</t>
        </is>
      </c>
      <c r="C36494">
        <f>ROMAN(36493)</f>
        <v/>
      </c>
      <c r="D36494">
        <f>IF(B36494=C36494, "YES", "WRONG")</f>
        <v/>
      </c>
    </row>
    <row r="36495">
      <c r="A36495" t="n">
        <v>36494</v>
      </c>
      <c r="B36495" t="inlineStr">
        <is>
          <t>x̄x̄x̄V̅MCDXCIV</t>
        </is>
      </c>
      <c r="C36495">
        <f>ROMAN(36494)</f>
        <v/>
      </c>
      <c r="D36495">
        <f>IF(B36495=C36495, "YES", "WRONG")</f>
        <v/>
      </c>
    </row>
    <row r="36496">
      <c r="A36496" t="n">
        <v>36495</v>
      </c>
      <c r="B36496" t="inlineStr">
        <is>
          <t>x̄x̄x̄V̅MCDXCV</t>
        </is>
      </c>
      <c r="C36496">
        <f>ROMAN(36495)</f>
        <v/>
      </c>
      <c r="D36496">
        <f>IF(B36496=C36496, "YES", "WRONG")</f>
        <v/>
      </c>
    </row>
    <row r="36497">
      <c r="A36497" t="n">
        <v>36496</v>
      </c>
      <c r="B36497" t="inlineStr">
        <is>
          <t>x̄x̄x̄V̅MCDXCVI</t>
        </is>
      </c>
      <c r="C36497">
        <f>ROMAN(36496)</f>
        <v/>
      </c>
      <c r="D36497">
        <f>IF(B36497=C36497, "YES", "WRONG")</f>
        <v/>
      </c>
    </row>
    <row r="36498">
      <c r="A36498" t="n">
        <v>36497</v>
      </c>
      <c r="B36498" t="inlineStr">
        <is>
          <t>x̄x̄x̄V̅MCDXCVII</t>
        </is>
      </c>
      <c r="C36498">
        <f>ROMAN(36497)</f>
        <v/>
      </c>
      <c r="D36498">
        <f>IF(B36498=C36498, "YES", "WRONG")</f>
        <v/>
      </c>
    </row>
    <row r="36499">
      <c r="A36499" t="n">
        <v>36498</v>
      </c>
      <c r="B36499" t="inlineStr">
        <is>
          <t>x̄x̄x̄V̅MCDXCVIII</t>
        </is>
      </c>
      <c r="C36499">
        <f>ROMAN(36498)</f>
        <v/>
      </c>
      <c r="D36499">
        <f>IF(B36499=C36499, "YES", "WRONG")</f>
        <v/>
      </c>
    </row>
    <row r="36500">
      <c r="A36500" t="n">
        <v>36499</v>
      </c>
      <c r="B36500" t="inlineStr">
        <is>
          <t>x̄x̄x̄V̅MCDXCIX</t>
        </is>
      </c>
      <c r="C36500">
        <f>ROMAN(36499)</f>
        <v/>
      </c>
      <c r="D36500">
        <f>IF(B36500=C36500, "YES", "WRONG")</f>
        <v/>
      </c>
    </row>
    <row r="36501">
      <c r="A36501" t="n">
        <v>36500</v>
      </c>
      <c r="B36501" t="inlineStr">
        <is>
          <t>x̄x̄x̄V̅MD</t>
        </is>
      </c>
      <c r="C36501">
        <f>ROMAN(36500)</f>
        <v/>
      </c>
      <c r="D36501">
        <f>IF(B36501=C36501, "YES", "WRONG")</f>
        <v/>
      </c>
    </row>
    <row r="36502">
      <c r="A36502" t="n">
        <v>36501</v>
      </c>
      <c r="B36502" t="inlineStr">
        <is>
          <t>x̄x̄x̄V̅MDI</t>
        </is>
      </c>
      <c r="C36502">
        <f>ROMAN(36501)</f>
        <v/>
      </c>
      <c r="D36502">
        <f>IF(B36502=C36502, "YES", "WRONG")</f>
        <v/>
      </c>
    </row>
    <row r="36503">
      <c r="A36503" t="n">
        <v>36502</v>
      </c>
      <c r="B36503" t="inlineStr">
        <is>
          <t>x̄x̄x̄V̅MDII</t>
        </is>
      </c>
      <c r="C36503">
        <f>ROMAN(36502)</f>
        <v/>
      </c>
      <c r="D36503">
        <f>IF(B36503=C36503, "YES", "WRONG")</f>
        <v/>
      </c>
    </row>
    <row r="36504">
      <c r="A36504" t="n">
        <v>36503</v>
      </c>
      <c r="B36504" t="inlineStr">
        <is>
          <t>x̄x̄x̄V̅MDIII</t>
        </is>
      </c>
      <c r="C36504">
        <f>ROMAN(36503)</f>
        <v/>
      </c>
      <c r="D36504">
        <f>IF(B36504=C36504, "YES", "WRONG")</f>
        <v/>
      </c>
    </row>
    <row r="36505">
      <c r="A36505" t="n">
        <v>36504</v>
      </c>
      <c r="B36505" t="inlineStr">
        <is>
          <t>x̄x̄x̄V̅MDIV</t>
        </is>
      </c>
      <c r="C36505">
        <f>ROMAN(36504)</f>
        <v/>
      </c>
      <c r="D36505">
        <f>IF(B36505=C36505, "YES", "WRONG")</f>
        <v/>
      </c>
    </row>
    <row r="36506">
      <c r="A36506" t="n">
        <v>36505</v>
      </c>
      <c r="B36506" t="inlineStr">
        <is>
          <t>x̄x̄x̄V̅MDV</t>
        </is>
      </c>
      <c r="C36506">
        <f>ROMAN(36505)</f>
        <v/>
      </c>
      <c r="D36506">
        <f>IF(B36506=C36506, "YES", "WRONG")</f>
        <v/>
      </c>
    </row>
    <row r="36507">
      <c r="A36507" t="n">
        <v>36506</v>
      </c>
      <c r="B36507" t="inlineStr">
        <is>
          <t>x̄x̄x̄V̅MDVI</t>
        </is>
      </c>
      <c r="C36507">
        <f>ROMAN(36506)</f>
        <v/>
      </c>
      <c r="D36507">
        <f>IF(B36507=C36507, "YES", "WRONG")</f>
        <v/>
      </c>
    </row>
    <row r="36508">
      <c r="A36508" t="n">
        <v>36507</v>
      </c>
      <c r="B36508" t="inlineStr">
        <is>
          <t>x̄x̄x̄V̅MDVII</t>
        </is>
      </c>
      <c r="C36508">
        <f>ROMAN(36507)</f>
        <v/>
      </c>
      <c r="D36508">
        <f>IF(B36508=C36508, "YES", "WRONG")</f>
        <v/>
      </c>
    </row>
    <row r="36509">
      <c r="A36509" t="n">
        <v>36508</v>
      </c>
      <c r="B36509" t="inlineStr">
        <is>
          <t>x̄x̄x̄V̅MDVIII</t>
        </is>
      </c>
      <c r="C36509">
        <f>ROMAN(36508)</f>
        <v/>
      </c>
      <c r="D36509">
        <f>IF(B36509=C36509, "YES", "WRONG")</f>
        <v/>
      </c>
    </row>
    <row r="36510">
      <c r="A36510" t="n">
        <v>36509</v>
      </c>
      <c r="B36510" t="inlineStr">
        <is>
          <t>x̄x̄x̄V̅MDIX</t>
        </is>
      </c>
      <c r="C36510">
        <f>ROMAN(36509)</f>
        <v/>
      </c>
      <c r="D36510">
        <f>IF(B36510=C36510, "YES", "WRONG")</f>
        <v/>
      </c>
    </row>
    <row r="36511">
      <c r="A36511" t="n">
        <v>36510</v>
      </c>
      <c r="B36511" t="inlineStr">
        <is>
          <t>x̄x̄x̄V̅MDX</t>
        </is>
      </c>
      <c r="C36511">
        <f>ROMAN(36510)</f>
        <v/>
      </c>
      <c r="D36511">
        <f>IF(B36511=C36511, "YES", "WRONG")</f>
        <v/>
      </c>
    </row>
    <row r="36512">
      <c r="A36512" t="n">
        <v>36511</v>
      </c>
      <c r="B36512" t="inlineStr">
        <is>
          <t>x̄x̄x̄V̅MDXI</t>
        </is>
      </c>
      <c r="C36512">
        <f>ROMAN(36511)</f>
        <v/>
      </c>
      <c r="D36512">
        <f>IF(B36512=C36512, "YES", "WRONG")</f>
        <v/>
      </c>
    </row>
    <row r="36513">
      <c r="A36513" t="n">
        <v>36512</v>
      </c>
      <c r="B36513" t="inlineStr">
        <is>
          <t>x̄x̄x̄V̅MDXII</t>
        </is>
      </c>
      <c r="C36513">
        <f>ROMAN(36512)</f>
        <v/>
      </c>
      <c r="D36513">
        <f>IF(B36513=C36513, "YES", "WRONG")</f>
        <v/>
      </c>
    </row>
    <row r="36514">
      <c r="A36514" t="n">
        <v>36513</v>
      </c>
      <c r="B36514" t="inlineStr">
        <is>
          <t>x̄x̄x̄V̅MDXIII</t>
        </is>
      </c>
      <c r="C36514">
        <f>ROMAN(36513)</f>
        <v/>
      </c>
      <c r="D36514">
        <f>IF(B36514=C36514, "YES", "WRONG")</f>
        <v/>
      </c>
    </row>
    <row r="36515">
      <c r="A36515" t="n">
        <v>36514</v>
      </c>
      <c r="B36515" t="inlineStr">
        <is>
          <t>x̄x̄x̄V̅MDXIV</t>
        </is>
      </c>
      <c r="C36515">
        <f>ROMAN(36514)</f>
        <v/>
      </c>
      <c r="D36515">
        <f>IF(B36515=C36515, "YES", "WRONG")</f>
        <v/>
      </c>
    </row>
    <row r="36516">
      <c r="A36516" t="n">
        <v>36515</v>
      </c>
      <c r="B36516" t="inlineStr">
        <is>
          <t>x̄x̄x̄V̅MDXV</t>
        </is>
      </c>
      <c r="C36516">
        <f>ROMAN(36515)</f>
        <v/>
      </c>
      <c r="D36516">
        <f>IF(B36516=C36516, "YES", "WRONG")</f>
        <v/>
      </c>
    </row>
    <row r="36517">
      <c r="A36517" t="n">
        <v>36516</v>
      </c>
      <c r="B36517" t="inlineStr">
        <is>
          <t>x̄x̄x̄V̅MDXVI</t>
        </is>
      </c>
      <c r="C36517">
        <f>ROMAN(36516)</f>
        <v/>
      </c>
      <c r="D36517">
        <f>IF(B36517=C36517, "YES", "WRONG")</f>
        <v/>
      </c>
    </row>
    <row r="36518">
      <c r="A36518" t="n">
        <v>36517</v>
      </c>
      <c r="B36518" t="inlineStr">
        <is>
          <t>x̄x̄x̄V̅MDXVII</t>
        </is>
      </c>
      <c r="C36518">
        <f>ROMAN(36517)</f>
        <v/>
      </c>
      <c r="D36518">
        <f>IF(B36518=C36518, "YES", "WRONG")</f>
        <v/>
      </c>
    </row>
    <row r="36519">
      <c r="A36519" t="n">
        <v>36518</v>
      </c>
      <c r="B36519" t="inlineStr">
        <is>
          <t>x̄x̄x̄V̅MDXVIII</t>
        </is>
      </c>
      <c r="C36519">
        <f>ROMAN(36518)</f>
        <v/>
      </c>
      <c r="D36519">
        <f>IF(B36519=C36519, "YES", "WRONG")</f>
        <v/>
      </c>
    </row>
    <row r="36520">
      <c r="A36520" t="n">
        <v>36519</v>
      </c>
      <c r="B36520" t="inlineStr">
        <is>
          <t>x̄x̄x̄V̅MDXIX</t>
        </is>
      </c>
      <c r="C36520">
        <f>ROMAN(36519)</f>
        <v/>
      </c>
      <c r="D36520">
        <f>IF(B36520=C36520, "YES", "WRONG")</f>
        <v/>
      </c>
    </row>
    <row r="36521">
      <c r="A36521" t="n">
        <v>36520</v>
      </c>
      <c r="B36521" t="inlineStr">
        <is>
          <t>x̄x̄x̄V̅MDXX</t>
        </is>
      </c>
      <c r="C36521">
        <f>ROMAN(36520)</f>
        <v/>
      </c>
      <c r="D36521">
        <f>IF(B36521=C36521, "YES", "WRONG")</f>
        <v/>
      </c>
    </row>
    <row r="36522">
      <c r="A36522" t="n">
        <v>36521</v>
      </c>
      <c r="B36522" t="inlineStr">
        <is>
          <t>x̄x̄x̄V̅MDXXI</t>
        </is>
      </c>
      <c r="C36522">
        <f>ROMAN(36521)</f>
        <v/>
      </c>
      <c r="D36522">
        <f>IF(B36522=C36522, "YES", "WRONG")</f>
        <v/>
      </c>
    </row>
    <row r="36523">
      <c r="A36523" t="n">
        <v>36522</v>
      </c>
      <c r="B36523" t="inlineStr">
        <is>
          <t>x̄x̄x̄V̅MDXXII</t>
        </is>
      </c>
      <c r="C36523">
        <f>ROMAN(36522)</f>
        <v/>
      </c>
      <c r="D36523">
        <f>IF(B36523=C36523, "YES", "WRONG")</f>
        <v/>
      </c>
    </row>
    <row r="36524">
      <c r="A36524" t="n">
        <v>36523</v>
      </c>
      <c r="B36524" t="inlineStr">
        <is>
          <t>x̄x̄x̄V̅MDXXIII</t>
        </is>
      </c>
      <c r="C36524">
        <f>ROMAN(36523)</f>
        <v/>
      </c>
      <c r="D36524">
        <f>IF(B36524=C36524, "YES", "WRONG")</f>
        <v/>
      </c>
    </row>
    <row r="36525">
      <c r="A36525" t="n">
        <v>36524</v>
      </c>
      <c r="B36525" t="inlineStr">
        <is>
          <t>x̄x̄x̄V̅MDXXIV</t>
        </is>
      </c>
      <c r="C36525">
        <f>ROMAN(36524)</f>
        <v/>
      </c>
      <c r="D36525">
        <f>IF(B36525=C36525, "YES", "WRONG")</f>
        <v/>
      </c>
    </row>
    <row r="36526">
      <c r="A36526" t="n">
        <v>36525</v>
      </c>
      <c r="B36526" t="inlineStr">
        <is>
          <t>x̄x̄x̄V̅MDXXV</t>
        </is>
      </c>
      <c r="C36526">
        <f>ROMAN(36525)</f>
        <v/>
      </c>
      <c r="D36526">
        <f>IF(B36526=C36526, "YES", "WRONG")</f>
        <v/>
      </c>
    </row>
    <row r="36527">
      <c r="A36527" t="n">
        <v>36526</v>
      </c>
      <c r="B36527" t="inlineStr">
        <is>
          <t>x̄x̄x̄V̅MDXXVI</t>
        </is>
      </c>
      <c r="C36527">
        <f>ROMAN(36526)</f>
        <v/>
      </c>
      <c r="D36527">
        <f>IF(B36527=C36527, "YES", "WRONG")</f>
        <v/>
      </c>
    </row>
    <row r="36528">
      <c r="A36528" t="n">
        <v>36527</v>
      </c>
      <c r="B36528" t="inlineStr">
        <is>
          <t>x̄x̄x̄V̅MDXXVII</t>
        </is>
      </c>
      <c r="C36528">
        <f>ROMAN(36527)</f>
        <v/>
      </c>
      <c r="D36528">
        <f>IF(B36528=C36528, "YES", "WRONG")</f>
        <v/>
      </c>
    </row>
    <row r="36529">
      <c r="A36529" t="n">
        <v>36528</v>
      </c>
      <c r="B36529" t="inlineStr">
        <is>
          <t>x̄x̄x̄V̅MDXXVIII</t>
        </is>
      </c>
      <c r="C36529">
        <f>ROMAN(36528)</f>
        <v/>
      </c>
      <c r="D36529">
        <f>IF(B36529=C36529, "YES", "WRONG")</f>
        <v/>
      </c>
    </row>
    <row r="36530">
      <c r="A36530" t="n">
        <v>36529</v>
      </c>
      <c r="B36530" t="inlineStr">
        <is>
          <t>x̄x̄x̄V̅MDXXIX</t>
        </is>
      </c>
      <c r="C36530">
        <f>ROMAN(36529)</f>
        <v/>
      </c>
      <c r="D36530">
        <f>IF(B36530=C36530, "YES", "WRONG")</f>
        <v/>
      </c>
    </row>
    <row r="36531">
      <c r="A36531" t="n">
        <v>36530</v>
      </c>
      <c r="B36531" t="inlineStr">
        <is>
          <t>x̄x̄x̄V̅MDXXX</t>
        </is>
      </c>
      <c r="C36531">
        <f>ROMAN(36530)</f>
        <v/>
      </c>
      <c r="D36531">
        <f>IF(B36531=C36531, "YES", "WRONG")</f>
        <v/>
      </c>
    </row>
    <row r="36532">
      <c r="A36532" t="n">
        <v>36531</v>
      </c>
      <c r="B36532" t="inlineStr">
        <is>
          <t>x̄x̄x̄V̅MDXXXI</t>
        </is>
      </c>
      <c r="C36532">
        <f>ROMAN(36531)</f>
        <v/>
      </c>
      <c r="D36532">
        <f>IF(B36532=C36532, "YES", "WRONG")</f>
        <v/>
      </c>
    </row>
    <row r="36533">
      <c r="A36533" t="n">
        <v>36532</v>
      </c>
      <c r="B36533" t="inlineStr">
        <is>
          <t>x̄x̄x̄V̅MDXXXII</t>
        </is>
      </c>
      <c r="C36533">
        <f>ROMAN(36532)</f>
        <v/>
      </c>
      <c r="D36533">
        <f>IF(B36533=C36533, "YES", "WRONG")</f>
        <v/>
      </c>
    </row>
    <row r="36534">
      <c r="A36534" t="n">
        <v>36533</v>
      </c>
      <c r="B36534" t="inlineStr">
        <is>
          <t>x̄x̄x̄V̅MDXXXIII</t>
        </is>
      </c>
      <c r="C36534">
        <f>ROMAN(36533)</f>
        <v/>
      </c>
      <c r="D36534">
        <f>IF(B36534=C36534, "YES", "WRONG")</f>
        <v/>
      </c>
    </row>
    <row r="36535">
      <c r="A36535" t="n">
        <v>36534</v>
      </c>
      <c r="B36535" t="inlineStr">
        <is>
          <t>x̄x̄x̄V̅MDXXXIV</t>
        </is>
      </c>
      <c r="C36535">
        <f>ROMAN(36534)</f>
        <v/>
      </c>
      <c r="D36535">
        <f>IF(B36535=C36535, "YES", "WRONG")</f>
        <v/>
      </c>
    </row>
    <row r="36536">
      <c r="A36536" t="n">
        <v>36535</v>
      </c>
      <c r="B36536" t="inlineStr">
        <is>
          <t>x̄x̄x̄V̅MDXXXV</t>
        </is>
      </c>
      <c r="C36536">
        <f>ROMAN(36535)</f>
        <v/>
      </c>
      <c r="D36536">
        <f>IF(B36536=C36536, "YES", "WRONG")</f>
        <v/>
      </c>
    </row>
    <row r="36537">
      <c r="A36537" t="n">
        <v>36536</v>
      </c>
      <c r="B36537" t="inlineStr">
        <is>
          <t>x̄x̄x̄V̅MDXXXVI</t>
        </is>
      </c>
      <c r="C36537">
        <f>ROMAN(36536)</f>
        <v/>
      </c>
      <c r="D36537">
        <f>IF(B36537=C36537, "YES", "WRONG")</f>
        <v/>
      </c>
    </row>
    <row r="36538">
      <c r="A36538" t="n">
        <v>36537</v>
      </c>
      <c r="B36538" t="inlineStr">
        <is>
          <t>x̄x̄x̄V̅MDXXXVII</t>
        </is>
      </c>
      <c r="C36538">
        <f>ROMAN(36537)</f>
        <v/>
      </c>
      <c r="D36538">
        <f>IF(B36538=C36538, "YES", "WRONG")</f>
        <v/>
      </c>
    </row>
    <row r="36539">
      <c r="A36539" t="n">
        <v>36538</v>
      </c>
      <c r="B36539" t="inlineStr">
        <is>
          <t>x̄x̄x̄V̅MDXXXVIII</t>
        </is>
      </c>
      <c r="C36539">
        <f>ROMAN(36538)</f>
        <v/>
      </c>
      <c r="D36539">
        <f>IF(B36539=C36539, "YES", "WRONG")</f>
        <v/>
      </c>
    </row>
    <row r="36540">
      <c r="A36540" t="n">
        <v>36539</v>
      </c>
      <c r="B36540" t="inlineStr">
        <is>
          <t>x̄x̄x̄V̅MDXXXIX</t>
        </is>
      </c>
      <c r="C36540">
        <f>ROMAN(36539)</f>
        <v/>
      </c>
      <c r="D36540">
        <f>IF(B36540=C36540, "YES", "WRONG")</f>
        <v/>
      </c>
    </row>
    <row r="36541">
      <c r="A36541" t="n">
        <v>36540</v>
      </c>
      <c r="B36541" t="inlineStr">
        <is>
          <t>x̄x̄x̄V̅MDXL</t>
        </is>
      </c>
      <c r="C36541">
        <f>ROMAN(36540)</f>
        <v/>
      </c>
      <c r="D36541">
        <f>IF(B36541=C36541, "YES", "WRONG")</f>
        <v/>
      </c>
    </row>
    <row r="36542">
      <c r="A36542" t="n">
        <v>36541</v>
      </c>
      <c r="B36542" t="inlineStr">
        <is>
          <t>x̄x̄x̄V̅MDXLI</t>
        </is>
      </c>
      <c r="C36542">
        <f>ROMAN(36541)</f>
        <v/>
      </c>
      <c r="D36542">
        <f>IF(B36542=C36542, "YES", "WRONG")</f>
        <v/>
      </c>
    </row>
    <row r="36543">
      <c r="A36543" t="n">
        <v>36542</v>
      </c>
      <c r="B36543" t="inlineStr">
        <is>
          <t>x̄x̄x̄V̅MDXLII</t>
        </is>
      </c>
      <c r="C36543">
        <f>ROMAN(36542)</f>
        <v/>
      </c>
      <c r="D36543">
        <f>IF(B36543=C36543, "YES", "WRONG")</f>
        <v/>
      </c>
    </row>
    <row r="36544">
      <c r="A36544" t="n">
        <v>36543</v>
      </c>
      <c r="B36544" t="inlineStr">
        <is>
          <t>x̄x̄x̄V̅MDXLIII</t>
        </is>
      </c>
      <c r="C36544">
        <f>ROMAN(36543)</f>
        <v/>
      </c>
      <c r="D36544">
        <f>IF(B36544=C36544, "YES", "WRONG")</f>
        <v/>
      </c>
    </row>
    <row r="36545">
      <c r="A36545" t="n">
        <v>36544</v>
      </c>
      <c r="B36545" t="inlineStr">
        <is>
          <t>x̄x̄x̄V̅MDXLIV</t>
        </is>
      </c>
      <c r="C36545">
        <f>ROMAN(36544)</f>
        <v/>
      </c>
      <c r="D36545">
        <f>IF(B36545=C36545, "YES", "WRONG")</f>
        <v/>
      </c>
    </row>
    <row r="36546">
      <c r="A36546" t="n">
        <v>36545</v>
      </c>
      <c r="B36546" t="inlineStr">
        <is>
          <t>x̄x̄x̄V̅MDXLV</t>
        </is>
      </c>
      <c r="C36546">
        <f>ROMAN(36545)</f>
        <v/>
      </c>
      <c r="D36546">
        <f>IF(B36546=C36546, "YES", "WRONG")</f>
        <v/>
      </c>
    </row>
    <row r="36547">
      <c r="A36547" t="n">
        <v>36546</v>
      </c>
      <c r="B36547" t="inlineStr">
        <is>
          <t>x̄x̄x̄V̅MDXLVI</t>
        </is>
      </c>
      <c r="C36547">
        <f>ROMAN(36546)</f>
        <v/>
      </c>
      <c r="D36547">
        <f>IF(B36547=C36547, "YES", "WRONG")</f>
        <v/>
      </c>
    </row>
    <row r="36548">
      <c r="A36548" t="n">
        <v>36547</v>
      </c>
      <c r="B36548" t="inlineStr">
        <is>
          <t>x̄x̄x̄V̅MDXLVII</t>
        </is>
      </c>
      <c r="C36548">
        <f>ROMAN(36547)</f>
        <v/>
      </c>
      <c r="D36548">
        <f>IF(B36548=C36548, "YES", "WRONG")</f>
        <v/>
      </c>
    </row>
    <row r="36549">
      <c r="A36549" t="n">
        <v>36548</v>
      </c>
      <c r="B36549" t="inlineStr">
        <is>
          <t>x̄x̄x̄V̅MDXLVIII</t>
        </is>
      </c>
      <c r="C36549">
        <f>ROMAN(36548)</f>
        <v/>
      </c>
      <c r="D36549">
        <f>IF(B36549=C36549, "YES", "WRONG")</f>
        <v/>
      </c>
    </row>
    <row r="36550">
      <c r="A36550" t="n">
        <v>36549</v>
      </c>
      <c r="B36550" t="inlineStr">
        <is>
          <t>x̄x̄x̄V̅MDXLIX</t>
        </is>
      </c>
      <c r="C36550">
        <f>ROMAN(36549)</f>
        <v/>
      </c>
      <c r="D36550">
        <f>IF(B36550=C36550, "YES", "WRONG")</f>
        <v/>
      </c>
    </row>
    <row r="36551">
      <c r="A36551" t="n">
        <v>36550</v>
      </c>
      <c r="B36551" t="inlineStr">
        <is>
          <t>x̄x̄x̄V̅MDL</t>
        </is>
      </c>
      <c r="C36551">
        <f>ROMAN(36550)</f>
        <v/>
      </c>
      <c r="D36551">
        <f>IF(B36551=C36551, "YES", "WRONG")</f>
        <v/>
      </c>
    </row>
    <row r="36552">
      <c r="A36552" t="n">
        <v>36551</v>
      </c>
      <c r="B36552" t="inlineStr">
        <is>
          <t>x̄x̄x̄V̅MDLI</t>
        </is>
      </c>
      <c r="C36552">
        <f>ROMAN(36551)</f>
        <v/>
      </c>
      <c r="D36552">
        <f>IF(B36552=C36552, "YES", "WRONG")</f>
        <v/>
      </c>
    </row>
    <row r="36553">
      <c r="A36553" t="n">
        <v>36552</v>
      </c>
      <c r="B36553" t="inlineStr">
        <is>
          <t>x̄x̄x̄V̅MDLII</t>
        </is>
      </c>
      <c r="C36553">
        <f>ROMAN(36552)</f>
        <v/>
      </c>
      <c r="D36553">
        <f>IF(B36553=C36553, "YES", "WRONG")</f>
        <v/>
      </c>
    </row>
    <row r="36554">
      <c r="A36554" t="n">
        <v>36553</v>
      </c>
      <c r="B36554" t="inlineStr">
        <is>
          <t>x̄x̄x̄V̅MDLIII</t>
        </is>
      </c>
      <c r="C36554">
        <f>ROMAN(36553)</f>
        <v/>
      </c>
      <c r="D36554">
        <f>IF(B36554=C36554, "YES", "WRONG")</f>
        <v/>
      </c>
    </row>
    <row r="36555">
      <c r="A36555" t="n">
        <v>36554</v>
      </c>
      <c r="B36555" t="inlineStr">
        <is>
          <t>x̄x̄x̄V̅MDLIV</t>
        </is>
      </c>
      <c r="C36555">
        <f>ROMAN(36554)</f>
        <v/>
      </c>
      <c r="D36555">
        <f>IF(B36555=C36555, "YES", "WRONG")</f>
        <v/>
      </c>
    </row>
    <row r="36556">
      <c r="A36556" t="n">
        <v>36555</v>
      </c>
      <c r="B36556" t="inlineStr">
        <is>
          <t>x̄x̄x̄V̅MDLV</t>
        </is>
      </c>
      <c r="C36556">
        <f>ROMAN(36555)</f>
        <v/>
      </c>
      <c r="D36556">
        <f>IF(B36556=C36556, "YES", "WRONG")</f>
        <v/>
      </c>
    </row>
    <row r="36557">
      <c r="A36557" t="n">
        <v>36556</v>
      </c>
      <c r="B36557" t="inlineStr">
        <is>
          <t>x̄x̄x̄V̅MDLVI</t>
        </is>
      </c>
      <c r="C36557">
        <f>ROMAN(36556)</f>
        <v/>
      </c>
      <c r="D36557">
        <f>IF(B36557=C36557, "YES", "WRONG")</f>
        <v/>
      </c>
    </row>
    <row r="36558">
      <c r="A36558" t="n">
        <v>36557</v>
      </c>
      <c r="B36558" t="inlineStr">
        <is>
          <t>x̄x̄x̄V̅MDLVII</t>
        </is>
      </c>
      <c r="C36558">
        <f>ROMAN(36557)</f>
        <v/>
      </c>
      <c r="D36558">
        <f>IF(B36558=C36558, "YES", "WRONG")</f>
        <v/>
      </c>
    </row>
    <row r="36559">
      <c r="A36559" t="n">
        <v>36558</v>
      </c>
      <c r="B36559" t="inlineStr">
        <is>
          <t>x̄x̄x̄V̅MDLVIII</t>
        </is>
      </c>
      <c r="C36559">
        <f>ROMAN(36558)</f>
        <v/>
      </c>
      <c r="D36559">
        <f>IF(B36559=C36559, "YES", "WRONG")</f>
        <v/>
      </c>
    </row>
    <row r="36560">
      <c r="A36560" t="n">
        <v>36559</v>
      </c>
      <c r="B36560" t="inlineStr">
        <is>
          <t>x̄x̄x̄V̅MDLIX</t>
        </is>
      </c>
      <c r="C36560">
        <f>ROMAN(36559)</f>
        <v/>
      </c>
      <c r="D36560">
        <f>IF(B36560=C36560, "YES", "WRONG")</f>
        <v/>
      </c>
    </row>
    <row r="36561">
      <c r="A36561" t="n">
        <v>36560</v>
      </c>
      <c r="B36561" t="inlineStr">
        <is>
          <t>x̄x̄x̄V̅MDLX</t>
        </is>
      </c>
      <c r="C36561">
        <f>ROMAN(36560)</f>
        <v/>
      </c>
      <c r="D36561">
        <f>IF(B36561=C36561, "YES", "WRONG")</f>
        <v/>
      </c>
    </row>
    <row r="36562">
      <c r="A36562" t="n">
        <v>36561</v>
      </c>
      <c r="B36562" t="inlineStr">
        <is>
          <t>x̄x̄x̄V̅MDLXI</t>
        </is>
      </c>
      <c r="C36562">
        <f>ROMAN(36561)</f>
        <v/>
      </c>
      <c r="D36562">
        <f>IF(B36562=C36562, "YES", "WRONG")</f>
        <v/>
      </c>
    </row>
    <row r="36563">
      <c r="A36563" t="n">
        <v>36562</v>
      </c>
      <c r="B36563" t="inlineStr">
        <is>
          <t>x̄x̄x̄V̅MDLXII</t>
        </is>
      </c>
      <c r="C36563">
        <f>ROMAN(36562)</f>
        <v/>
      </c>
      <c r="D36563">
        <f>IF(B36563=C36563, "YES", "WRONG")</f>
        <v/>
      </c>
    </row>
    <row r="36564">
      <c r="A36564" t="n">
        <v>36563</v>
      </c>
      <c r="B36564" t="inlineStr">
        <is>
          <t>x̄x̄x̄V̅MDLXIII</t>
        </is>
      </c>
      <c r="C36564">
        <f>ROMAN(36563)</f>
        <v/>
      </c>
      <c r="D36564">
        <f>IF(B36564=C36564, "YES", "WRONG")</f>
        <v/>
      </c>
    </row>
    <row r="36565">
      <c r="A36565" t="n">
        <v>36564</v>
      </c>
      <c r="B36565" t="inlineStr">
        <is>
          <t>x̄x̄x̄V̅MDLXIV</t>
        </is>
      </c>
      <c r="C36565">
        <f>ROMAN(36564)</f>
        <v/>
      </c>
      <c r="D36565">
        <f>IF(B36565=C36565, "YES", "WRONG")</f>
        <v/>
      </c>
    </row>
    <row r="36566">
      <c r="A36566" t="n">
        <v>36565</v>
      </c>
      <c r="B36566" t="inlineStr">
        <is>
          <t>x̄x̄x̄V̅MDLXV</t>
        </is>
      </c>
      <c r="C36566">
        <f>ROMAN(36565)</f>
        <v/>
      </c>
      <c r="D36566">
        <f>IF(B36566=C36566, "YES", "WRONG")</f>
        <v/>
      </c>
    </row>
    <row r="36567">
      <c r="A36567" t="n">
        <v>36566</v>
      </c>
      <c r="B36567" t="inlineStr">
        <is>
          <t>x̄x̄x̄V̅MDLXVI</t>
        </is>
      </c>
      <c r="C36567">
        <f>ROMAN(36566)</f>
        <v/>
      </c>
      <c r="D36567">
        <f>IF(B36567=C36567, "YES", "WRONG")</f>
        <v/>
      </c>
    </row>
    <row r="36568">
      <c r="A36568" t="n">
        <v>36567</v>
      </c>
      <c r="B36568" t="inlineStr">
        <is>
          <t>x̄x̄x̄V̅MDLXVII</t>
        </is>
      </c>
      <c r="C36568">
        <f>ROMAN(36567)</f>
        <v/>
      </c>
      <c r="D36568">
        <f>IF(B36568=C36568, "YES", "WRONG")</f>
        <v/>
      </c>
    </row>
    <row r="36569">
      <c r="A36569" t="n">
        <v>36568</v>
      </c>
      <c r="B36569" t="inlineStr">
        <is>
          <t>x̄x̄x̄V̅MDLXVIII</t>
        </is>
      </c>
      <c r="C36569">
        <f>ROMAN(36568)</f>
        <v/>
      </c>
      <c r="D36569">
        <f>IF(B36569=C36569, "YES", "WRONG")</f>
        <v/>
      </c>
    </row>
    <row r="36570">
      <c r="A36570" t="n">
        <v>36569</v>
      </c>
      <c r="B36570" t="inlineStr">
        <is>
          <t>x̄x̄x̄V̅MDLXIX</t>
        </is>
      </c>
      <c r="C36570">
        <f>ROMAN(36569)</f>
        <v/>
      </c>
      <c r="D36570">
        <f>IF(B36570=C36570, "YES", "WRONG")</f>
        <v/>
      </c>
    </row>
    <row r="36571">
      <c r="A36571" t="n">
        <v>36570</v>
      </c>
      <c r="B36571" t="inlineStr">
        <is>
          <t>x̄x̄x̄V̅MDLXX</t>
        </is>
      </c>
      <c r="C36571">
        <f>ROMAN(36570)</f>
        <v/>
      </c>
      <c r="D36571">
        <f>IF(B36571=C36571, "YES", "WRONG")</f>
        <v/>
      </c>
    </row>
    <row r="36572">
      <c r="A36572" t="n">
        <v>36571</v>
      </c>
      <c r="B36572" t="inlineStr">
        <is>
          <t>x̄x̄x̄V̅MDLXXI</t>
        </is>
      </c>
      <c r="C36572">
        <f>ROMAN(36571)</f>
        <v/>
      </c>
      <c r="D36572">
        <f>IF(B36572=C36572, "YES", "WRONG")</f>
        <v/>
      </c>
    </row>
    <row r="36573">
      <c r="A36573" t="n">
        <v>36572</v>
      </c>
      <c r="B36573" t="inlineStr">
        <is>
          <t>x̄x̄x̄V̅MDLXXII</t>
        </is>
      </c>
      <c r="C36573">
        <f>ROMAN(36572)</f>
        <v/>
      </c>
      <c r="D36573">
        <f>IF(B36573=C36573, "YES", "WRONG")</f>
        <v/>
      </c>
    </row>
    <row r="36574">
      <c r="A36574" t="n">
        <v>36573</v>
      </c>
      <c r="B36574" t="inlineStr">
        <is>
          <t>x̄x̄x̄V̅MDLXXIII</t>
        </is>
      </c>
      <c r="C36574">
        <f>ROMAN(36573)</f>
        <v/>
      </c>
      <c r="D36574">
        <f>IF(B36574=C36574, "YES", "WRONG")</f>
        <v/>
      </c>
    </row>
    <row r="36575">
      <c r="A36575" t="n">
        <v>36574</v>
      </c>
      <c r="B36575" t="inlineStr">
        <is>
          <t>x̄x̄x̄V̅MDLXXIV</t>
        </is>
      </c>
      <c r="C36575">
        <f>ROMAN(36574)</f>
        <v/>
      </c>
      <c r="D36575">
        <f>IF(B36575=C36575, "YES", "WRONG")</f>
        <v/>
      </c>
    </row>
    <row r="36576">
      <c r="A36576" t="n">
        <v>36575</v>
      </c>
      <c r="B36576" t="inlineStr">
        <is>
          <t>x̄x̄x̄V̅MDLXXV</t>
        </is>
      </c>
      <c r="C36576">
        <f>ROMAN(36575)</f>
        <v/>
      </c>
      <c r="D36576">
        <f>IF(B36576=C36576, "YES", "WRONG")</f>
        <v/>
      </c>
    </row>
    <row r="36577">
      <c r="A36577" t="n">
        <v>36576</v>
      </c>
      <c r="B36577" t="inlineStr">
        <is>
          <t>x̄x̄x̄V̅MDLXXVI</t>
        </is>
      </c>
      <c r="C36577">
        <f>ROMAN(36576)</f>
        <v/>
      </c>
      <c r="D36577">
        <f>IF(B36577=C36577, "YES", "WRONG")</f>
        <v/>
      </c>
    </row>
    <row r="36578">
      <c r="A36578" t="n">
        <v>36577</v>
      </c>
      <c r="B36578" t="inlineStr">
        <is>
          <t>x̄x̄x̄V̅MDLXXVII</t>
        </is>
      </c>
      <c r="C36578">
        <f>ROMAN(36577)</f>
        <v/>
      </c>
      <c r="D36578">
        <f>IF(B36578=C36578, "YES", "WRONG")</f>
        <v/>
      </c>
    </row>
    <row r="36579">
      <c r="A36579" t="n">
        <v>36578</v>
      </c>
      <c r="B36579" t="inlineStr">
        <is>
          <t>x̄x̄x̄V̅MDLXXVIII</t>
        </is>
      </c>
      <c r="C36579">
        <f>ROMAN(36578)</f>
        <v/>
      </c>
      <c r="D36579">
        <f>IF(B36579=C36579, "YES", "WRONG")</f>
        <v/>
      </c>
    </row>
    <row r="36580">
      <c r="A36580" t="n">
        <v>36579</v>
      </c>
      <c r="B36580" t="inlineStr">
        <is>
          <t>x̄x̄x̄V̅MDLXXIX</t>
        </is>
      </c>
      <c r="C36580">
        <f>ROMAN(36579)</f>
        <v/>
      </c>
      <c r="D36580">
        <f>IF(B36580=C36580, "YES", "WRONG")</f>
        <v/>
      </c>
    </row>
    <row r="36581">
      <c r="A36581" t="n">
        <v>36580</v>
      </c>
      <c r="B36581" t="inlineStr">
        <is>
          <t>x̄x̄x̄V̅MDLXXX</t>
        </is>
      </c>
      <c r="C36581">
        <f>ROMAN(36580)</f>
        <v/>
      </c>
      <c r="D36581">
        <f>IF(B36581=C36581, "YES", "WRONG")</f>
        <v/>
      </c>
    </row>
    <row r="36582">
      <c r="A36582" t="n">
        <v>36581</v>
      </c>
      <c r="B36582" t="inlineStr">
        <is>
          <t>x̄x̄x̄V̅MDLXXXI</t>
        </is>
      </c>
      <c r="C36582">
        <f>ROMAN(36581)</f>
        <v/>
      </c>
      <c r="D36582">
        <f>IF(B36582=C36582, "YES", "WRONG")</f>
        <v/>
      </c>
    </row>
    <row r="36583">
      <c r="A36583" t="n">
        <v>36582</v>
      </c>
      <c r="B36583" t="inlineStr">
        <is>
          <t>x̄x̄x̄V̅MDLXXXII</t>
        </is>
      </c>
      <c r="C36583">
        <f>ROMAN(36582)</f>
        <v/>
      </c>
      <c r="D36583">
        <f>IF(B36583=C36583, "YES", "WRONG")</f>
        <v/>
      </c>
    </row>
    <row r="36584">
      <c r="A36584" t="n">
        <v>36583</v>
      </c>
      <c r="B36584" t="inlineStr">
        <is>
          <t>x̄x̄x̄V̅MDLXXXIII</t>
        </is>
      </c>
      <c r="C36584">
        <f>ROMAN(36583)</f>
        <v/>
      </c>
      <c r="D36584">
        <f>IF(B36584=C36584, "YES", "WRONG")</f>
        <v/>
      </c>
    </row>
    <row r="36585">
      <c r="A36585" t="n">
        <v>36584</v>
      </c>
      <c r="B36585" t="inlineStr">
        <is>
          <t>x̄x̄x̄V̅MDLXXXIV</t>
        </is>
      </c>
      <c r="C36585">
        <f>ROMAN(36584)</f>
        <v/>
      </c>
      <c r="D36585">
        <f>IF(B36585=C36585, "YES", "WRONG")</f>
        <v/>
      </c>
    </row>
    <row r="36586">
      <c r="A36586" t="n">
        <v>36585</v>
      </c>
      <c r="B36586" t="inlineStr">
        <is>
          <t>x̄x̄x̄V̅MDLXXXV</t>
        </is>
      </c>
      <c r="C36586">
        <f>ROMAN(36585)</f>
        <v/>
      </c>
      <c r="D36586">
        <f>IF(B36586=C36586, "YES", "WRONG")</f>
        <v/>
      </c>
    </row>
    <row r="36587">
      <c r="A36587" t="n">
        <v>36586</v>
      </c>
      <c r="B36587" t="inlineStr">
        <is>
          <t>x̄x̄x̄V̅MDLXXXVI</t>
        </is>
      </c>
      <c r="C36587">
        <f>ROMAN(36586)</f>
        <v/>
      </c>
      <c r="D36587">
        <f>IF(B36587=C36587, "YES", "WRONG")</f>
        <v/>
      </c>
    </row>
    <row r="36588">
      <c r="A36588" t="n">
        <v>36587</v>
      </c>
      <c r="B36588" t="inlineStr">
        <is>
          <t>x̄x̄x̄V̅MDLXXXVII</t>
        </is>
      </c>
      <c r="C36588">
        <f>ROMAN(36587)</f>
        <v/>
      </c>
      <c r="D36588">
        <f>IF(B36588=C36588, "YES", "WRONG")</f>
        <v/>
      </c>
    </row>
    <row r="36589">
      <c r="A36589" t="n">
        <v>36588</v>
      </c>
      <c r="B36589" t="inlineStr">
        <is>
          <t>x̄x̄x̄V̅MDLXXXVIII</t>
        </is>
      </c>
      <c r="C36589">
        <f>ROMAN(36588)</f>
        <v/>
      </c>
      <c r="D36589">
        <f>IF(B36589=C36589, "YES", "WRONG")</f>
        <v/>
      </c>
    </row>
    <row r="36590">
      <c r="A36590" t="n">
        <v>36589</v>
      </c>
      <c r="B36590" t="inlineStr">
        <is>
          <t>x̄x̄x̄V̅MDLXXXIX</t>
        </is>
      </c>
      <c r="C36590">
        <f>ROMAN(36589)</f>
        <v/>
      </c>
      <c r="D36590">
        <f>IF(B36590=C36590, "YES", "WRONG")</f>
        <v/>
      </c>
    </row>
    <row r="36591">
      <c r="A36591" t="n">
        <v>36590</v>
      </c>
      <c r="B36591" t="inlineStr">
        <is>
          <t>x̄x̄x̄V̅MDXC</t>
        </is>
      </c>
      <c r="C36591">
        <f>ROMAN(36590)</f>
        <v/>
      </c>
      <c r="D36591">
        <f>IF(B36591=C36591, "YES", "WRONG")</f>
        <v/>
      </c>
    </row>
    <row r="36592">
      <c r="A36592" t="n">
        <v>36591</v>
      </c>
      <c r="B36592" t="inlineStr">
        <is>
          <t>x̄x̄x̄V̅MDXCI</t>
        </is>
      </c>
      <c r="C36592">
        <f>ROMAN(36591)</f>
        <v/>
      </c>
      <c r="D36592">
        <f>IF(B36592=C36592, "YES", "WRONG")</f>
        <v/>
      </c>
    </row>
    <row r="36593">
      <c r="A36593" t="n">
        <v>36592</v>
      </c>
      <c r="B36593" t="inlineStr">
        <is>
          <t>x̄x̄x̄V̅MDXCII</t>
        </is>
      </c>
      <c r="C36593">
        <f>ROMAN(36592)</f>
        <v/>
      </c>
      <c r="D36593">
        <f>IF(B36593=C36593, "YES", "WRONG")</f>
        <v/>
      </c>
    </row>
    <row r="36594">
      <c r="A36594" t="n">
        <v>36593</v>
      </c>
      <c r="B36594" t="inlineStr">
        <is>
          <t>x̄x̄x̄V̅MDXCIII</t>
        </is>
      </c>
      <c r="C36594">
        <f>ROMAN(36593)</f>
        <v/>
      </c>
      <c r="D36594">
        <f>IF(B36594=C36594, "YES", "WRONG")</f>
        <v/>
      </c>
    </row>
    <row r="36595">
      <c r="A36595" t="n">
        <v>36594</v>
      </c>
      <c r="B36595" t="inlineStr">
        <is>
          <t>x̄x̄x̄V̅MDXCIV</t>
        </is>
      </c>
      <c r="C36595">
        <f>ROMAN(36594)</f>
        <v/>
      </c>
      <c r="D36595">
        <f>IF(B36595=C36595, "YES", "WRONG")</f>
        <v/>
      </c>
    </row>
    <row r="36596">
      <c r="A36596" t="n">
        <v>36595</v>
      </c>
      <c r="B36596" t="inlineStr">
        <is>
          <t>x̄x̄x̄V̅MDXCV</t>
        </is>
      </c>
      <c r="C36596">
        <f>ROMAN(36595)</f>
        <v/>
      </c>
      <c r="D36596">
        <f>IF(B36596=C36596, "YES", "WRONG")</f>
        <v/>
      </c>
    </row>
    <row r="36597">
      <c r="A36597" t="n">
        <v>36596</v>
      </c>
      <c r="B36597" t="inlineStr">
        <is>
          <t>x̄x̄x̄V̅MDXCVI</t>
        </is>
      </c>
      <c r="C36597">
        <f>ROMAN(36596)</f>
        <v/>
      </c>
      <c r="D36597">
        <f>IF(B36597=C36597, "YES", "WRONG")</f>
        <v/>
      </c>
    </row>
    <row r="36598">
      <c r="A36598" t="n">
        <v>36597</v>
      </c>
      <c r="B36598" t="inlineStr">
        <is>
          <t>x̄x̄x̄V̅MDXCVII</t>
        </is>
      </c>
      <c r="C36598">
        <f>ROMAN(36597)</f>
        <v/>
      </c>
      <c r="D36598">
        <f>IF(B36598=C36598, "YES", "WRONG")</f>
        <v/>
      </c>
    </row>
    <row r="36599">
      <c r="A36599" t="n">
        <v>36598</v>
      </c>
      <c r="B36599" t="inlineStr">
        <is>
          <t>x̄x̄x̄V̅MDXCVIII</t>
        </is>
      </c>
      <c r="C36599">
        <f>ROMAN(36598)</f>
        <v/>
      </c>
      <c r="D36599">
        <f>IF(B36599=C36599, "YES", "WRONG")</f>
        <v/>
      </c>
    </row>
    <row r="36600">
      <c r="A36600" t="n">
        <v>36599</v>
      </c>
      <c r="B36600" t="inlineStr">
        <is>
          <t>x̄x̄x̄V̅MDXCIX</t>
        </is>
      </c>
      <c r="C36600">
        <f>ROMAN(36599)</f>
        <v/>
      </c>
      <c r="D36600">
        <f>IF(B36600=C36600, "YES", "WRONG")</f>
        <v/>
      </c>
    </row>
    <row r="36601">
      <c r="A36601" t="n">
        <v>36600</v>
      </c>
      <c r="B36601" t="inlineStr">
        <is>
          <t>x̄x̄x̄V̅MDC</t>
        </is>
      </c>
      <c r="C36601">
        <f>ROMAN(36600)</f>
        <v/>
      </c>
      <c r="D36601">
        <f>IF(B36601=C36601, "YES", "WRONG")</f>
        <v/>
      </c>
    </row>
    <row r="36602">
      <c r="A36602" t="n">
        <v>36601</v>
      </c>
      <c r="B36602" t="inlineStr">
        <is>
          <t>x̄x̄x̄V̅MDCI</t>
        </is>
      </c>
      <c r="C36602">
        <f>ROMAN(36601)</f>
        <v/>
      </c>
      <c r="D36602">
        <f>IF(B36602=C36602, "YES", "WRONG")</f>
        <v/>
      </c>
    </row>
    <row r="36603">
      <c r="A36603" t="n">
        <v>36602</v>
      </c>
      <c r="B36603" t="inlineStr">
        <is>
          <t>x̄x̄x̄V̅MDCII</t>
        </is>
      </c>
      <c r="C36603">
        <f>ROMAN(36602)</f>
        <v/>
      </c>
      <c r="D36603">
        <f>IF(B36603=C36603, "YES", "WRONG")</f>
        <v/>
      </c>
    </row>
    <row r="36604">
      <c r="A36604" t="n">
        <v>36603</v>
      </c>
      <c r="B36604" t="inlineStr">
        <is>
          <t>x̄x̄x̄V̅MDCIII</t>
        </is>
      </c>
      <c r="C36604">
        <f>ROMAN(36603)</f>
        <v/>
      </c>
      <c r="D36604">
        <f>IF(B36604=C36604, "YES", "WRONG")</f>
        <v/>
      </c>
    </row>
    <row r="36605">
      <c r="A36605" t="n">
        <v>36604</v>
      </c>
      <c r="B36605" t="inlineStr">
        <is>
          <t>x̄x̄x̄V̅MDCIV</t>
        </is>
      </c>
      <c r="C36605">
        <f>ROMAN(36604)</f>
        <v/>
      </c>
      <c r="D36605">
        <f>IF(B36605=C36605, "YES", "WRONG")</f>
        <v/>
      </c>
    </row>
    <row r="36606">
      <c r="A36606" t="n">
        <v>36605</v>
      </c>
      <c r="B36606" t="inlineStr">
        <is>
          <t>x̄x̄x̄V̅MDCV</t>
        </is>
      </c>
      <c r="C36606">
        <f>ROMAN(36605)</f>
        <v/>
      </c>
      <c r="D36606">
        <f>IF(B36606=C36606, "YES", "WRONG")</f>
        <v/>
      </c>
    </row>
    <row r="36607">
      <c r="A36607" t="n">
        <v>36606</v>
      </c>
      <c r="B36607" t="inlineStr">
        <is>
          <t>x̄x̄x̄V̅MDCVI</t>
        </is>
      </c>
      <c r="C36607">
        <f>ROMAN(36606)</f>
        <v/>
      </c>
      <c r="D36607">
        <f>IF(B36607=C36607, "YES", "WRONG")</f>
        <v/>
      </c>
    </row>
    <row r="36608">
      <c r="A36608" t="n">
        <v>36607</v>
      </c>
      <c r="B36608" t="inlineStr">
        <is>
          <t>x̄x̄x̄V̅MDCVII</t>
        </is>
      </c>
      <c r="C36608">
        <f>ROMAN(36607)</f>
        <v/>
      </c>
      <c r="D36608">
        <f>IF(B36608=C36608, "YES", "WRONG")</f>
        <v/>
      </c>
    </row>
    <row r="36609">
      <c r="A36609" t="n">
        <v>36608</v>
      </c>
      <c r="B36609" t="inlineStr">
        <is>
          <t>x̄x̄x̄V̅MDCVIII</t>
        </is>
      </c>
      <c r="C36609">
        <f>ROMAN(36608)</f>
        <v/>
      </c>
      <c r="D36609">
        <f>IF(B36609=C36609, "YES", "WRONG")</f>
        <v/>
      </c>
    </row>
    <row r="36610">
      <c r="A36610" t="n">
        <v>36609</v>
      </c>
      <c r="B36610" t="inlineStr">
        <is>
          <t>x̄x̄x̄V̅MDCIX</t>
        </is>
      </c>
      <c r="C36610">
        <f>ROMAN(36609)</f>
        <v/>
      </c>
      <c r="D36610">
        <f>IF(B36610=C36610, "YES", "WRONG")</f>
        <v/>
      </c>
    </row>
    <row r="36611">
      <c r="A36611" t="n">
        <v>36610</v>
      </c>
      <c r="B36611" t="inlineStr">
        <is>
          <t>x̄x̄x̄V̅MDCX</t>
        </is>
      </c>
      <c r="C36611">
        <f>ROMAN(36610)</f>
        <v/>
      </c>
      <c r="D36611">
        <f>IF(B36611=C36611, "YES", "WRONG")</f>
        <v/>
      </c>
    </row>
    <row r="36612">
      <c r="A36612" t="n">
        <v>36611</v>
      </c>
      <c r="B36612" t="inlineStr">
        <is>
          <t>x̄x̄x̄V̅MDCXI</t>
        </is>
      </c>
      <c r="C36612">
        <f>ROMAN(36611)</f>
        <v/>
      </c>
      <c r="D36612">
        <f>IF(B36612=C36612, "YES", "WRONG")</f>
        <v/>
      </c>
    </row>
    <row r="36613">
      <c r="A36613" t="n">
        <v>36612</v>
      </c>
      <c r="B36613" t="inlineStr">
        <is>
          <t>x̄x̄x̄V̅MDCXII</t>
        </is>
      </c>
      <c r="C36613">
        <f>ROMAN(36612)</f>
        <v/>
      </c>
      <c r="D36613">
        <f>IF(B36613=C36613, "YES", "WRONG")</f>
        <v/>
      </c>
    </row>
    <row r="36614">
      <c r="A36614" t="n">
        <v>36613</v>
      </c>
      <c r="B36614" t="inlineStr">
        <is>
          <t>x̄x̄x̄V̅MDCXIII</t>
        </is>
      </c>
      <c r="C36614">
        <f>ROMAN(36613)</f>
        <v/>
      </c>
      <c r="D36614">
        <f>IF(B36614=C36614, "YES", "WRONG")</f>
        <v/>
      </c>
    </row>
    <row r="36615">
      <c r="A36615" t="n">
        <v>36614</v>
      </c>
      <c r="B36615" t="inlineStr">
        <is>
          <t>x̄x̄x̄V̅MDCXIV</t>
        </is>
      </c>
      <c r="C36615">
        <f>ROMAN(36614)</f>
        <v/>
      </c>
      <c r="D36615">
        <f>IF(B36615=C36615, "YES", "WRONG")</f>
        <v/>
      </c>
    </row>
    <row r="36616">
      <c r="A36616" t="n">
        <v>36615</v>
      </c>
      <c r="B36616" t="inlineStr">
        <is>
          <t>x̄x̄x̄V̅MDCXV</t>
        </is>
      </c>
      <c r="C36616">
        <f>ROMAN(36615)</f>
        <v/>
      </c>
      <c r="D36616">
        <f>IF(B36616=C36616, "YES", "WRONG")</f>
        <v/>
      </c>
    </row>
    <row r="36617">
      <c r="A36617" t="n">
        <v>36616</v>
      </c>
      <c r="B36617" t="inlineStr">
        <is>
          <t>x̄x̄x̄V̅MDCXVI</t>
        </is>
      </c>
      <c r="C36617">
        <f>ROMAN(36616)</f>
        <v/>
      </c>
      <c r="D36617">
        <f>IF(B36617=C36617, "YES", "WRONG")</f>
        <v/>
      </c>
    </row>
    <row r="36618">
      <c r="A36618" t="n">
        <v>36617</v>
      </c>
      <c r="B36618" t="inlineStr">
        <is>
          <t>x̄x̄x̄V̅MDCXVII</t>
        </is>
      </c>
      <c r="C36618">
        <f>ROMAN(36617)</f>
        <v/>
      </c>
      <c r="D36618">
        <f>IF(B36618=C36618, "YES", "WRONG")</f>
        <v/>
      </c>
    </row>
    <row r="36619">
      <c r="A36619" t="n">
        <v>36618</v>
      </c>
      <c r="B36619" t="inlineStr">
        <is>
          <t>x̄x̄x̄V̅MDCXVIII</t>
        </is>
      </c>
      <c r="C36619">
        <f>ROMAN(36618)</f>
        <v/>
      </c>
      <c r="D36619">
        <f>IF(B36619=C36619, "YES", "WRONG")</f>
        <v/>
      </c>
    </row>
    <row r="36620">
      <c r="A36620" t="n">
        <v>36619</v>
      </c>
      <c r="B36620" t="inlineStr">
        <is>
          <t>x̄x̄x̄V̅MDCXIX</t>
        </is>
      </c>
      <c r="C36620">
        <f>ROMAN(36619)</f>
        <v/>
      </c>
      <c r="D36620">
        <f>IF(B36620=C36620, "YES", "WRONG")</f>
        <v/>
      </c>
    </row>
    <row r="36621">
      <c r="A36621" t="n">
        <v>36620</v>
      </c>
      <c r="B36621" t="inlineStr">
        <is>
          <t>x̄x̄x̄V̅MDCXX</t>
        </is>
      </c>
      <c r="C36621">
        <f>ROMAN(36620)</f>
        <v/>
      </c>
      <c r="D36621">
        <f>IF(B36621=C36621, "YES", "WRONG")</f>
        <v/>
      </c>
    </row>
    <row r="36622">
      <c r="A36622" t="n">
        <v>36621</v>
      </c>
      <c r="B36622" t="inlineStr">
        <is>
          <t>x̄x̄x̄V̅MDCXXI</t>
        </is>
      </c>
      <c r="C36622">
        <f>ROMAN(36621)</f>
        <v/>
      </c>
      <c r="D36622">
        <f>IF(B36622=C36622, "YES", "WRONG")</f>
        <v/>
      </c>
    </row>
    <row r="36623">
      <c r="A36623" t="n">
        <v>36622</v>
      </c>
      <c r="B36623" t="inlineStr">
        <is>
          <t>x̄x̄x̄V̅MDCXXII</t>
        </is>
      </c>
      <c r="C36623">
        <f>ROMAN(36622)</f>
        <v/>
      </c>
      <c r="D36623">
        <f>IF(B36623=C36623, "YES", "WRONG")</f>
        <v/>
      </c>
    </row>
    <row r="36624">
      <c r="A36624" t="n">
        <v>36623</v>
      </c>
      <c r="B36624" t="inlineStr">
        <is>
          <t>x̄x̄x̄V̅MDCXXIII</t>
        </is>
      </c>
      <c r="C36624">
        <f>ROMAN(36623)</f>
        <v/>
      </c>
      <c r="D36624">
        <f>IF(B36624=C36624, "YES", "WRONG")</f>
        <v/>
      </c>
    </row>
    <row r="36625">
      <c r="A36625" t="n">
        <v>36624</v>
      </c>
      <c r="B36625" t="inlineStr">
        <is>
          <t>x̄x̄x̄V̅MDCXXIV</t>
        </is>
      </c>
      <c r="C36625">
        <f>ROMAN(36624)</f>
        <v/>
      </c>
      <c r="D36625">
        <f>IF(B36625=C36625, "YES", "WRONG")</f>
        <v/>
      </c>
    </row>
    <row r="36626">
      <c r="A36626" t="n">
        <v>36625</v>
      </c>
      <c r="B36626" t="inlineStr">
        <is>
          <t>x̄x̄x̄V̅MDCXXV</t>
        </is>
      </c>
      <c r="C36626">
        <f>ROMAN(36625)</f>
        <v/>
      </c>
      <c r="D36626">
        <f>IF(B36626=C36626, "YES", "WRONG")</f>
        <v/>
      </c>
    </row>
    <row r="36627">
      <c r="A36627" t="n">
        <v>36626</v>
      </c>
      <c r="B36627" t="inlineStr">
        <is>
          <t>x̄x̄x̄V̅MDCXXVI</t>
        </is>
      </c>
      <c r="C36627">
        <f>ROMAN(36626)</f>
        <v/>
      </c>
      <c r="D36627">
        <f>IF(B36627=C36627, "YES", "WRONG")</f>
        <v/>
      </c>
    </row>
    <row r="36628">
      <c r="A36628" t="n">
        <v>36627</v>
      </c>
      <c r="B36628" t="inlineStr">
        <is>
          <t>x̄x̄x̄V̅MDCXXVII</t>
        </is>
      </c>
      <c r="C36628">
        <f>ROMAN(36627)</f>
        <v/>
      </c>
      <c r="D36628">
        <f>IF(B36628=C36628, "YES", "WRONG")</f>
        <v/>
      </c>
    </row>
    <row r="36629">
      <c r="A36629" t="n">
        <v>36628</v>
      </c>
      <c r="B36629" t="inlineStr">
        <is>
          <t>x̄x̄x̄V̅MDCXXVIII</t>
        </is>
      </c>
      <c r="C36629">
        <f>ROMAN(36628)</f>
        <v/>
      </c>
      <c r="D36629">
        <f>IF(B36629=C36629, "YES", "WRONG")</f>
        <v/>
      </c>
    </row>
    <row r="36630">
      <c r="A36630" t="n">
        <v>36629</v>
      </c>
      <c r="B36630" t="inlineStr">
        <is>
          <t>x̄x̄x̄V̅MDCXXIX</t>
        </is>
      </c>
      <c r="C36630">
        <f>ROMAN(36629)</f>
        <v/>
      </c>
      <c r="D36630">
        <f>IF(B36630=C36630, "YES", "WRONG")</f>
        <v/>
      </c>
    </row>
    <row r="36631">
      <c r="A36631" t="n">
        <v>36630</v>
      </c>
      <c r="B36631" t="inlineStr">
        <is>
          <t>x̄x̄x̄V̅MDCXXX</t>
        </is>
      </c>
      <c r="C36631">
        <f>ROMAN(36630)</f>
        <v/>
      </c>
      <c r="D36631">
        <f>IF(B36631=C36631, "YES", "WRONG")</f>
        <v/>
      </c>
    </row>
    <row r="36632">
      <c r="A36632" t="n">
        <v>36631</v>
      </c>
      <c r="B36632" t="inlineStr">
        <is>
          <t>x̄x̄x̄V̅MDCXXXI</t>
        </is>
      </c>
      <c r="C36632">
        <f>ROMAN(36631)</f>
        <v/>
      </c>
      <c r="D36632">
        <f>IF(B36632=C36632, "YES", "WRONG")</f>
        <v/>
      </c>
    </row>
    <row r="36633">
      <c r="A36633" t="n">
        <v>36632</v>
      </c>
      <c r="B36633" t="inlineStr">
        <is>
          <t>x̄x̄x̄V̅MDCXXXII</t>
        </is>
      </c>
      <c r="C36633">
        <f>ROMAN(36632)</f>
        <v/>
      </c>
      <c r="D36633">
        <f>IF(B36633=C36633, "YES", "WRONG")</f>
        <v/>
      </c>
    </row>
    <row r="36634">
      <c r="A36634" t="n">
        <v>36633</v>
      </c>
      <c r="B36634" t="inlineStr">
        <is>
          <t>x̄x̄x̄V̅MDCXXXIII</t>
        </is>
      </c>
      <c r="C36634">
        <f>ROMAN(36633)</f>
        <v/>
      </c>
      <c r="D36634">
        <f>IF(B36634=C36634, "YES", "WRONG")</f>
        <v/>
      </c>
    </row>
    <row r="36635">
      <c r="A36635" t="n">
        <v>36634</v>
      </c>
      <c r="B36635" t="inlineStr">
        <is>
          <t>x̄x̄x̄V̅MDCXXXIV</t>
        </is>
      </c>
      <c r="C36635">
        <f>ROMAN(36634)</f>
        <v/>
      </c>
      <c r="D36635">
        <f>IF(B36635=C36635, "YES", "WRONG")</f>
        <v/>
      </c>
    </row>
    <row r="36636">
      <c r="A36636" t="n">
        <v>36635</v>
      </c>
      <c r="B36636" t="inlineStr">
        <is>
          <t>x̄x̄x̄V̅MDCXXXV</t>
        </is>
      </c>
      <c r="C36636">
        <f>ROMAN(36635)</f>
        <v/>
      </c>
      <c r="D36636">
        <f>IF(B36636=C36636, "YES", "WRONG")</f>
        <v/>
      </c>
    </row>
    <row r="36637">
      <c r="A36637" t="n">
        <v>36636</v>
      </c>
      <c r="B36637" t="inlineStr">
        <is>
          <t>x̄x̄x̄V̅MDCXXXVI</t>
        </is>
      </c>
      <c r="C36637">
        <f>ROMAN(36636)</f>
        <v/>
      </c>
      <c r="D36637">
        <f>IF(B36637=C36637, "YES", "WRONG")</f>
        <v/>
      </c>
    </row>
    <row r="36638">
      <c r="A36638" t="n">
        <v>36637</v>
      </c>
      <c r="B36638" t="inlineStr">
        <is>
          <t>x̄x̄x̄V̅MDCXXXVII</t>
        </is>
      </c>
      <c r="C36638">
        <f>ROMAN(36637)</f>
        <v/>
      </c>
      <c r="D36638">
        <f>IF(B36638=C36638, "YES", "WRONG")</f>
        <v/>
      </c>
    </row>
    <row r="36639">
      <c r="A36639" t="n">
        <v>36638</v>
      </c>
      <c r="B36639" t="inlineStr">
        <is>
          <t>x̄x̄x̄V̅MDCXXXVIII</t>
        </is>
      </c>
      <c r="C36639">
        <f>ROMAN(36638)</f>
        <v/>
      </c>
      <c r="D36639">
        <f>IF(B36639=C36639, "YES", "WRONG")</f>
        <v/>
      </c>
    </row>
    <row r="36640">
      <c r="A36640" t="n">
        <v>36639</v>
      </c>
      <c r="B36640" t="inlineStr">
        <is>
          <t>x̄x̄x̄V̅MDCXXXIX</t>
        </is>
      </c>
      <c r="C36640">
        <f>ROMAN(36639)</f>
        <v/>
      </c>
      <c r="D36640">
        <f>IF(B36640=C36640, "YES", "WRONG")</f>
        <v/>
      </c>
    </row>
    <row r="36641">
      <c r="A36641" t="n">
        <v>36640</v>
      </c>
      <c r="B36641" t="inlineStr">
        <is>
          <t>x̄x̄x̄V̅MDCXL</t>
        </is>
      </c>
      <c r="C36641">
        <f>ROMAN(36640)</f>
        <v/>
      </c>
      <c r="D36641">
        <f>IF(B36641=C36641, "YES", "WRONG")</f>
        <v/>
      </c>
    </row>
    <row r="36642">
      <c r="A36642" t="n">
        <v>36641</v>
      </c>
      <c r="B36642" t="inlineStr">
        <is>
          <t>x̄x̄x̄V̅MDCXLI</t>
        </is>
      </c>
      <c r="C36642">
        <f>ROMAN(36641)</f>
        <v/>
      </c>
      <c r="D36642">
        <f>IF(B36642=C36642, "YES", "WRONG")</f>
        <v/>
      </c>
    </row>
    <row r="36643">
      <c r="A36643" t="n">
        <v>36642</v>
      </c>
      <c r="B36643" t="inlineStr">
        <is>
          <t>x̄x̄x̄V̅MDCXLII</t>
        </is>
      </c>
      <c r="C36643">
        <f>ROMAN(36642)</f>
        <v/>
      </c>
      <c r="D36643">
        <f>IF(B36643=C36643, "YES", "WRONG")</f>
        <v/>
      </c>
    </row>
    <row r="36644">
      <c r="A36644" t="n">
        <v>36643</v>
      </c>
      <c r="B36644" t="inlineStr">
        <is>
          <t>x̄x̄x̄V̅MDCXLIII</t>
        </is>
      </c>
      <c r="C36644">
        <f>ROMAN(36643)</f>
        <v/>
      </c>
      <c r="D36644">
        <f>IF(B36644=C36644, "YES", "WRONG")</f>
        <v/>
      </c>
    </row>
    <row r="36645">
      <c r="A36645" t="n">
        <v>36644</v>
      </c>
      <c r="B36645" t="inlineStr">
        <is>
          <t>x̄x̄x̄V̅MDCXLIV</t>
        </is>
      </c>
      <c r="C36645">
        <f>ROMAN(36644)</f>
        <v/>
      </c>
      <c r="D36645">
        <f>IF(B36645=C36645, "YES", "WRONG")</f>
        <v/>
      </c>
    </row>
    <row r="36646">
      <c r="A36646" t="n">
        <v>36645</v>
      </c>
      <c r="B36646" t="inlineStr">
        <is>
          <t>x̄x̄x̄V̅MDCXLV</t>
        </is>
      </c>
      <c r="C36646">
        <f>ROMAN(36645)</f>
        <v/>
      </c>
      <c r="D36646">
        <f>IF(B36646=C36646, "YES", "WRONG")</f>
        <v/>
      </c>
    </row>
    <row r="36647">
      <c r="A36647" t="n">
        <v>36646</v>
      </c>
      <c r="B36647" t="inlineStr">
        <is>
          <t>x̄x̄x̄V̅MDCXLVI</t>
        </is>
      </c>
      <c r="C36647">
        <f>ROMAN(36646)</f>
        <v/>
      </c>
      <c r="D36647">
        <f>IF(B36647=C36647, "YES", "WRONG")</f>
        <v/>
      </c>
    </row>
    <row r="36648">
      <c r="A36648" t="n">
        <v>36647</v>
      </c>
      <c r="B36648" t="inlineStr">
        <is>
          <t>x̄x̄x̄V̅MDCXLVII</t>
        </is>
      </c>
      <c r="C36648">
        <f>ROMAN(36647)</f>
        <v/>
      </c>
      <c r="D36648">
        <f>IF(B36648=C36648, "YES", "WRONG")</f>
        <v/>
      </c>
    </row>
    <row r="36649">
      <c r="A36649" t="n">
        <v>36648</v>
      </c>
      <c r="B36649" t="inlineStr">
        <is>
          <t>x̄x̄x̄V̅MDCXLVIII</t>
        </is>
      </c>
      <c r="C36649">
        <f>ROMAN(36648)</f>
        <v/>
      </c>
      <c r="D36649">
        <f>IF(B36649=C36649, "YES", "WRONG")</f>
        <v/>
      </c>
    </row>
    <row r="36650">
      <c r="A36650" t="n">
        <v>36649</v>
      </c>
      <c r="B36650" t="inlineStr">
        <is>
          <t>x̄x̄x̄V̅MDCXLIX</t>
        </is>
      </c>
      <c r="C36650">
        <f>ROMAN(36649)</f>
        <v/>
      </c>
      <c r="D36650">
        <f>IF(B36650=C36650, "YES", "WRONG")</f>
        <v/>
      </c>
    </row>
    <row r="36651">
      <c r="A36651" t="n">
        <v>36650</v>
      </c>
      <c r="B36651" t="inlineStr">
        <is>
          <t>x̄x̄x̄V̅MDCL</t>
        </is>
      </c>
      <c r="C36651">
        <f>ROMAN(36650)</f>
        <v/>
      </c>
      <c r="D36651">
        <f>IF(B36651=C36651, "YES", "WRONG")</f>
        <v/>
      </c>
    </row>
    <row r="36652">
      <c r="A36652" t="n">
        <v>36651</v>
      </c>
      <c r="B36652" t="inlineStr">
        <is>
          <t>x̄x̄x̄V̅MDCLI</t>
        </is>
      </c>
      <c r="C36652">
        <f>ROMAN(36651)</f>
        <v/>
      </c>
      <c r="D36652">
        <f>IF(B36652=C36652, "YES", "WRONG")</f>
        <v/>
      </c>
    </row>
    <row r="36653">
      <c r="A36653" t="n">
        <v>36652</v>
      </c>
      <c r="B36653" t="inlineStr">
        <is>
          <t>x̄x̄x̄V̅MDCLII</t>
        </is>
      </c>
      <c r="C36653">
        <f>ROMAN(36652)</f>
        <v/>
      </c>
      <c r="D36653">
        <f>IF(B36653=C36653, "YES", "WRONG")</f>
        <v/>
      </c>
    </row>
    <row r="36654">
      <c r="A36654" t="n">
        <v>36653</v>
      </c>
      <c r="B36654" t="inlineStr">
        <is>
          <t>x̄x̄x̄V̅MDCLIII</t>
        </is>
      </c>
      <c r="C36654">
        <f>ROMAN(36653)</f>
        <v/>
      </c>
      <c r="D36654">
        <f>IF(B36654=C36654, "YES", "WRONG")</f>
        <v/>
      </c>
    </row>
    <row r="36655">
      <c r="A36655" t="n">
        <v>36654</v>
      </c>
      <c r="B36655" t="inlineStr">
        <is>
          <t>x̄x̄x̄V̅MDCLIV</t>
        </is>
      </c>
      <c r="C36655">
        <f>ROMAN(36654)</f>
        <v/>
      </c>
      <c r="D36655">
        <f>IF(B36655=C36655, "YES", "WRONG")</f>
        <v/>
      </c>
    </row>
    <row r="36656">
      <c r="A36656" t="n">
        <v>36655</v>
      </c>
      <c r="B36656" t="inlineStr">
        <is>
          <t>x̄x̄x̄V̅MDCLV</t>
        </is>
      </c>
      <c r="C36656">
        <f>ROMAN(36655)</f>
        <v/>
      </c>
      <c r="D36656">
        <f>IF(B36656=C36656, "YES", "WRONG")</f>
        <v/>
      </c>
    </row>
    <row r="36657">
      <c r="A36657" t="n">
        <v>36656</v>
      </c>
      <c r="B36657" t="inlineStr">
        <is>
          <t>x̄x̄x̄V̅MDCLVI</t>
        </is>
      </c>
      <c r="C36657">
        <f>ROMAN(36656)</f>
        <v/>
      </c>
      <c r="D36657">
        <f>IF(B36657=C36657, "YES", "WRONG")</f>
        <v/>
      </c>
    </row>
    <row r="36658">
      <c r="A36658" t="n">
        <v>36657</v>
      </c>
      <c r="B36658" t="inlineStr">
        <is>
          <t>x̄x̄x̄V̅MDCLVII</t>
        </is>
      </c>
      <c r="C36658">
        <f>ROMAN(36657)</f>
        <v/>
      </c>
      <c r="D36658">
        <f>IF(B36658=C36658, "YES", "WRONG")</f>
        <v/>
      </c>
    </row>
    <row r="36659">
      <c r="A36659" t="n">
        <v>36658</v>
      </c>
      <c r="B36659" t="inlineStr">
        <is>
          <t>x̄x̄x̄V̅MDCLVIII</t>
        </is>
      </c>
      <c r="C36659">
        <f>ROMAN(36658)</f>
        <v/>
      </c>
      <c r="D36659">
        <f>IF(B36659=C36659, "YES", "WRONG")</f>
        <v/>
      </c>
    </row>
    <row r="36660">
      <c r="A36660" t="n">
        <v>36659</v>
      </c>
      <c r="B36660" t="inlineStr">
        <is>
          <t>x̄x̄x̄V̅MDCLIX</t>
        </is>
      </c>
      <c r="C36660">
        <f>ROMAN(36659)</f>
        <v/>
      </c>
      <c r="D36660">
        <f>IF(B36660=C36660, "YES", "WRONG")</f>
        <v/>
      </c>
    </row>
    <row r="36661">
      <c r="A36661" t="n">
        <v>36660</v>
      </c>
      <c r="B36661" t="inlineStr">
        <is>
          <t>x̄x̄x̄V̅MDCLX</t>
        </is>
      </c>
      <c r="C36661">
        <f>ROMAN(36660)</f>
        <v/>
      </c>
      <c r="D36661">
        <f>IF(B36661=C36661, "YES", "WRONG")</f>
        <v/>
      </c>
    </row>
    <row r="36662">
      <c r="A36662" t="n">
        <v>36661</v>
      </c>
      <c r="B36662" t="inlineStr">
        <is>
          <t>x̄x̄x̄V̅MDCLXI</t>
        </is>
      </c>
      <c r="C36662">
        <f>ROMAN(36661)</f>
        <v/>
      </c>
      <c r="D36662">
        <f>IF(B36662=C36662, "YES", "WRONG")</f>
        <v/>
      </c>
    </row>
    <row r="36663">
      <c r="A36663" t="n">
        <v>36662</v>
      </c>
      <c r="B36663" t="inlineStr">
        <is>
          <t>x̄x̄x̄V̅MDCLXII</t>
        </is>
      </c>
      <c r="C36663">
        <f>ROMAN(36662)</f>
        <v/>
      </c>
      <c r="D36663">
        <f>IF(B36663=C36663, "YES", "WRONG")</f>
        <v/>
      </c>
    </row>
    <row r="36664">
      <c r="A36664" t="n">
        <v>36663</v>
      </c>
      <c r="B36664" t="inlineStr">
        <is>
          <t>x̄x̄x̄V̅MDCLXIII</t>
        </is>
      </c>
      <c r="C36664">
        <f>ROMAN(36663)</f>
        <v/>
      </c>
      <c r="D36664">
        <f>IF(B36664=C36664, "YES", "WRONG")</f>
        <v/>
      </c>
    </row>
    <row r="36665">
      <c r="A36665" t="n">
        <v>36664</v>
      </c>
      <c r="B36665" t="inlineStr">
        <is>
          <t>x̄x̄x̄V̅MDCLXIV</t>
        </is>
      </c>
      <c r="C36665">
        <f>ROMAN(36664)</f>
        <v/>
      </c>
      <c r="D36665">
        <f>IF(B36665=C36665, "YES", "WRONG")</f>
        <v/>
      </c>
    </row>
    <row r="36666">
      <c r="A36666" t="n">
        <v>36665</v>
      </c>
      <c r="B36666" t="inlineStr">
        <is>
          <t>x̄x̄x̄V̅MDCLXV</t>
        </is>
      </c>
      <c r="C36666">
        <f>ROMAN(36665)</f>
        <v/>
      </c>
      <c r="D36666">
        <f>IF(B36666=C36666, "YES", "WRONG")</f>
        <v/>
      </c>
    </row>
    <row r="36667">
      <c r="A36667" t="n">
        <v>36666</v>
      </c>
      <c r="B36667" t="inlineStr">
        <is>
          <t>x̄x̄x̄V̅MDCLXVI</t>
        </is>
      </c>
      <c r="C36667">
        <f>ROMAN(36666)</f>
        <v/>
      </c>
      <c r="D36667">
        <f>IF(B36667=C36667, "YES", "WRONG")</f>
        <v/>
      </c>
    </row>
    <row r="36668">
      <c r="A36668" t="n">
        <v>36667</v>
      </c>
      <c r="B36668" t="inlineStr">
        <is>
          <t>x̄x̄x̄V̅MDCLXVII</t>
        </is>
      </c>
      <c r="C36668">
        <f>ROMAN(36667)</f>
        <v/>
      </c>
      <c r="D36668">
        <f>IF(B36668=C36668, "YES", "WRONG")</f>
        <v/>
      </c>
    </row>
    <row r="36669">
      <c r="A36669" t="n">
        <v>36668</v>
      </c>
      <c r="B36669" t="inlineStr">
        <is>
          <t>x̄x̄x̄V̅MDCLXVIII</t>
        </is>
      </c>
      <c r="C36669">
        <f>ROMAN(36668)</f>
        <v/>
      </c>
      <c r="D36669">
        <f>IF(B36669=C36669, "YES", "WRONG")</f>
        <v/>
      </c>
    </row>
    <row r="36670">
      <c r="A36670" t="n">
        <v>36669</v>
      </c>
      <c r="B36670" t="inlineStr">
        <is>
          <t>x̄x̄x̄V̅MDCLXIX</t>
        </is>
      </c>
      <c r="C36670">
        <f>ROMAN(36669)</f>
        <v/>
      </c>
      <c r="D36670">
        <f>IF(B36670=C36670, "YES", "WRONG")</f>
        <v/>
      </c>
    </row>
    <row r="36671">
      <c r="A36671" t="n">
        <v>36670</v>
      </c>
      <c r="B36671" t="inlineStr">
        <is>
          <t>x̄x̄x̄V̅MDCLXX</t>
        </is>
      </c>
      <c r="C36671">
        <f>ROMAN(36670)</f>
        <v/>
      </c>
      <c r="D36671">
        <f>IF(B36671=C36671, "YES", "WRONG")</f>
        <v/>
      </c>
    </row>
    <row r="36672">
      <c r="A36672" t="n">
        <v>36671</v>
      </c>
      <c r="B36672" t="inlineStr">
        <is>
          <t>x̄x̄x̄V̅MDCLXXI</t>
        </is>
      </c>
      <c r="C36672">
        <f>ROMAN(36671)</f>
        <v/>
      </c>
      <c r="D36672">
        <f>IF(B36672=C36672, "YES", "WRONG")</f>
        <v/>
      </c>
    </row>
    <row r="36673">
      <c r="A36673" t="n">
        <v>36672</v>
      </c>
      <c r="B36673" t="inlineStr">
        <is>
          <t>x̄x̄x̄V̅MDCLXXII</t>
        </is>
      </c>
      <c r="C36673">
        <f>ROMAN(36672)</f>
        <v/>
      </c>
      <c r="D36673">
        <f>IF(B36673=C36673, "YES", "WRONG")</f>
        <v/>
      </c>
    </row>
    <row r="36674">
      <c r="A36674" t="n">
        <v>36673</v>
      </c>
      <c r="B36674" t="inlineStr">
        <is>
          <t>x̄x̄x̄V̅MDCLXXIII</t>
        </is>
      </c>
      <c r="C36674">
        <f>ROMAN(36673)</f>
        <v/>
      </c>
      <c r="D36674">
        <f>IF(B36674=C36674, "YES", "WRONG")</f>
        <v/>
      </c>
    </row>
    <row r="36675">
      <c r="A36675" t="n">
        <v>36674</v>
      </c>
      <c r="B36675" t="inlineStr">
        <is>
          <t>x̄x̄x̄V̅MDCLXXIV</t>
        </is>
      </c>
      <c r="C36675">
        <f>ROMAN(36674)</f>
        <v/>
      </c>
      <c r="D36675">
        <f>IF(B36675=C36675, "YES", "WRONG")</f>
        <v/>
      </c>
    </row>
    <row r="36676">
      <c r="A36676" t="n">
        <v>36675</v>
      </c>
      <c r="B36676" t="inlineStr">
        <is>
          <t>x̄x̄x̄V̅MDCLXXV</t>
        </is>
      </c>
      <c r="C36676">
        <f>ROMAN(36675)</f>
        <v/>
      </c>
      <c r="D36676">
        <f>IF(B36676=C36676, "YES", "WRONG")</f>
        <v/>
      </c>
    </row>
    <row r="36677">
      <c r="A36677" t="n">
        <v>36676</v>
      </c>
      <c r="B36677" t="inlineStr">
        <is>
          <t>x̄x̄x̄V̅MDCLXXVI</t>
        </is>
      </c>
      <c r="C36677">
        <f>ROMAN(36676)</f>
        <v/>
      </c>
      <c r="D36677">
        <f>IF(B36677=C36677, "YES", "WRONG")</f>
        <v/>
      </c>
    </row>
    <row r="36678">
      <c r="A36678" t="n">
        <v>36677</v>
      </c>
      <c r="B36678" t="inlineStr">
        <is>
          <t>x̄x̄x̄V̅MDCLXXVII</t>
        </is>
      </c>
      <c r="C36678">
        <f>ROMAN(36677)</f>
        <v/>
      </c>
      <c r="D36678">
        <f>IF(B36678=C36678, "YES", "WRONG")</f>
        <v/>
      </c>
    </row>
    <row r="36679">
      <c r="A36679" t="n">
        <v>36678</v>
      </c>
      <c r="B36679" t="inlineStr">
        <is>
          <t>x̄x̄x̄V̅MDCLXXVIII</t>
        </is>
      </c>
      <c r="C36679">
        <f>ROMAN(36678)</f>
        <v/>
      </c>
      <c r="D36679">
        <f>IF(B36679=C36679, "YES", "WRONG")</f>
        <v/>
      </c>
    </row>
    <row r="36680">
      <c r="A36680" t="n">
        <v>36679</v>
      </c>
      <c r="B36680" t="inlineStr">
        <is>
          <t>x̄x̄x̄V̅MDCLXXIX</t>
        </is>
      </c>
      <c r="C36680">
        <f>ROMAN(36679)</f>
        <v/>
      </c>
      <c r="D36680">
        <f>IF(B36680=C36680, "YES", "WRONG")</f>
        <v/>
      </c>
    </row>
    <row r="36681">
      <c r="A36681" t="n">
        <v>36680</v>
      </c>
      <c r="B36681" t="inlineStr">
        <is>
          <t>x̄x̄x̄V̅MDCLXXX</t>
        </is>
      </c>
      <c r="C36681">
        <f>ROMAN(36680)</f>
        <v/>
      </c>
      <c r="D36681">
        <f>IF(B36681=C36681, "YES", "WRONG")</f>
        <v/>
      </c>
    </row>
    <row r="36682">
      <c r="A36682" t="n">
        <v>36681</v>
      </c>
      <c r="B36682" t="inlineStr">
        <is>
          <t>x̄x̄x̄V̅MDCLXXXI</t>
        </is>
      </c>
      <c r="C36682">
        <f>ROMAN(36681)</f>
        <v/>
      </c>
      <c r="D36682">
        <f>IF(B36682=C36682, "YES", "WRONG")</f>
        <v/>
      </c>
    </row>
    <row r="36683">
      <c r="A36683" t="n">
        <v>36682</v>
      </c>
      <c r="B36683" t="inlineStr">
        <is>
          <t>x̄x̄x̄V̅MDCLXXXII</t>
        </is>
      </c>
      <c r="C36683">
        <f>ROMAN(36682)</f>
        <v/>
      </c>
      <c r="D36683">
        <f>IF(B36683=C36683, "YES", "WRONG")</f>
        <v/>
      </c>
    </row>
    <row r="36684">
      <c r="A36684" t="n">
        <v>36683</v>
      </c>
      <c r="B36684" t="inlineStr">
        <is>
          <t>x̄x̄x̄V̅MDCLXXXIII</t>
        </is>
      </c>
      <c r="C36684">
        <f>ROMAN(36683)</f>
        <v/>
      </c>
      <c r="D36684">
        <f>IF(B36684=C36684, "YES", "WRONG")</f>
        <v/>
      </c>
    </row>
    <row r="36685">
      <c r="A36685" t="n">
        <v>36684</v>
      </c>
      <c r="B36685" t="inlineStr">
        <is>
          <t>x̄x̄x̄V̅MDCLXXXIV</t>
        </is>
      </c>
      <c r="C36685">
        <f>ROMAN(36684)</f>
        <v/>
      </c>
      <c r="D36685">
        <f>IF(B36685=C36685, "YES", "WRONG")</f>
        <v/>
      </c>
    </row>
    <row r="36686">
      <c r="A36686" t="n">
        <v>36685</v>
      </c>
      <c r="B36686" t="inlineStr">
        <is>
          <t>x̄x̄x̄V̅MDCLXXXV</t>
        </is>
      </c>
      <c r="C36686">
        <f>ROMAN(36685)</f>
        <v/>
      </c>
      <c r="D36686">
        <f>IF(B36686=C36686, "YES", "WRONG")</f>
        <v/>
      </c>
    </row>
    <row r="36687">
      <c r="A36687" t="n">
        <v>36686</v>
      </c>
      <c r="B36687" t="inlineStr">
        <is>
          <t>x̄x̄x̄V̅MDCLXXXVI</t>
        </is>
      </c>
      <c r="C36687">
        <f>ROMAN(36686)</f>
        <v/>
      </c>
      <c r="D36687">
        <f>IF(B36687=C36687, "YES", "WRONG")</f>
        <v/>
      </c>
    </row>
    <row r="36688">
      <c r="A36688" t="n">
        <v>36687</v>
      </c>
      <c r="B36688" t="inlineStr">
        <is>
          <t>x̄x̄x̄V̅MDCLXXXVII</t>
        </is>
      </c>
      <c r="C36688">
        <f>ROMAN(36687)</f>
        <v/>
      </c>
      <c r="D36688">
        <f>IF(B36688=C36688, "YES", "WRONG")</f>
        <v/>
      </c>
    </row>
    <row r="36689">
      <c r="A36689" t="n">
        <v>36688</v>
      </c>
      <c r="B36689" t="inlineStr">
        <is>
          <t>x̄x̄x̄V̅MDCLXXXVIII</t>
        </is>
      </c>
      <c r="C36689">
        <f>ROMAN(36688)</f>
        <v/>
      </c>
      <c r="D36689">
        <f>IF(B36689=C36689, "YES", "WRONG")</f>
        <v/>
      </c>
    </row>
    <row r="36690">
      <c r="A36690" t="n">
        <v>36689</v>
      </c>
      <c r="B36690" t="inlineStr">
        <is>
          <t>x̄x̄x̄V̅MDCLXXXIX</t>
        </is>
      </c>
      <c r="C36690">
        <f>ROMAN(36689)</f>
        <v/>
      </c>
      <c r="D36690">
        <f>IF(B36690=C36690, "YES", "WRONG")</f>
        <v/>
      </c>
    </row>
    <row r="36691">
      <c r="A36691" t="n">
        <v>36690</v>
      </c>
      <c r="B36691" t="inlineStr">
        <is>
          <t>x̄x̄x̄V̅MDCXC</t>
        </is>
      </c>
      <c r="C36691">
        <f>ROMAN(36690)</f>
        <v/>
      </c>
      <c r="D36691">
        <f>IF(B36691=C36691, "YES", "WRONG")</f>
        <v/>
      </c>
    </row>
    <row r="36692">
      <c r="A36692" t="n">
        <v>36691</v>
      </c>
      <c r="B36692" t="inlineStr">
        <is>
          <t>x̄x̄x̄V̅MDCXCI</t>
        </is>
      </c>
      <c r="C36692">
        <f>ROMAN(36691)</f>
        <v/>
      </c>
      <c r="D36692">
        <f>IF(B36692=C36692, "YES", "WRONG")</f>
        <v/>
      </c>
    </row>
    <row r="36693">
      <c r="A36693" t="n">
        <v>36692</v>
      </c>
      <c r="B36693" t="inlineStr">
        <is>
          <t>x̄x̄x̄V̅MDCXCII</t>
        </is>
      </c>
      <c r="C36693">
        <f>ROMAN(36692)</f>
        <v/>
      </c>
      <c r="D36693">
        <f>IF(B36693=C36693, "YES", "WRONG")</f>
        <v/>
      </c>
    </row>
    <row r="36694">
      <c r="A36694" t="n">
        <v>36693</v>
      </c>
      <c r="B36694" t="inlineStr">
        <is>
          <t>x̄x̄x̄V̅MDCXCIII</t>
        </is>
      </c>
      <c r="C36694">
        <f>ROMAN(36693)</f>
        <v/>
      </c>
      <c r="D36694">
        <f>IF(B36694=C36694, "YES", "WRONG")</f>
        <v/>
      </c>
    </row>
    <row r="36695">
      <c r="A36695" t="n">
        <v>36694</v>
      </c>
      <c r="B36695" t="inlineStr">
        <is>
          <t>x̄x̄x̄V̅MDCXCIV</t>
        </is>
      </c>
      <c r="C36695">
        <f>ROMAN(36694)</f>
        <v/>
      </c>
      <c r="D36695">
        <f>IF(B36695=C36695, "YES", "WRONG")</f>
        <v/>
      </c>
    </row>
    <row r="36696">
      <c r="A36696" t="n">
        <v>36695</v>
      </c>
      <c r="B36696" t="inlineStr">
        <is>
          <t>x̄x̄x̄V̅MDCXCV</t>
        </is>
      </c>
      <c r="C36696">
        <f>ROMAN(36695)</f>
        <v/>
      </c>
      <c r="D36696">
        <f>IF(B36696=C36696, "YES", "WRONG")</f>
        <v/>
      </c>
    </row>
    <row r="36697">
      <c r="A36697" t="n">
        <v>36696</v>
      </c>
      <c r="B36697" t="inlineStr">
        <is>
          <t>x̄x̄x̄V̅MDCXCVI</t>
        </is>
      </c>
      <c r="C36697">
        <f>ROMAN(36696)</f>
        <v/>
      </c>
      <c r="D36697">
        <f>IF(B36697=C36697, "YES", "WRONG")</f>
        <v/>
      </c>
    </row>
    <row r="36698">
      <c r="A36698" t="n">
        <v>36697</v>
      </c>
      <c r="B36698" t="inlineStr">
        <is>
          <t>x̄x̄x̄V̅MDCXCVII</t>
        </is>
      </c>
      <c r="C36698">
        <f>ROMAN(36697)</f>
        <v/>
      </c>
      <c r="D36698">
        <f>IF(B36698=C36698, "YES", "WRONG")</f>
        <v/>
      </c>
    </row>
    <row r="36699">
      <c r="A36699" t="n">
        <v>36698</v>
      </c>
      <c r="B36699" t="inlineStr">
        <is>
          <t>x̄x̄x̄V̅MDCXCVIII</t>
        </is>
      </c>
      <c r="C36699">
        <f>ROMAN(36698)</f>
        <v/>
      </c>
      <c r="D36699">
        <f>IF(B36699=C36699, "YES", "WRONG")</f>
        <v/>
      </c>
    </row>
    <row r="36700">
      <c r="A36700" t="n">
        <v>36699</v>
      </c>
      <c r="B36700" t="inlineStr">
        <is>
          <t>x̄x̄x̄V̅MDCXCIX</t>
        </is>
      </c>
      <c r="C36700">
        <f>ROMAN(36699)</f>
        <v/>
      </c>
      <c r="D36700">
        <f>IF(B36700=C36700, "YES", "WRONG")</f>
        <v/>
      </c>
    </row>
    <row r="36701">
      <c r="A36701" t="n">
        <v>36700</v>
      </c>
      <c r="B36701" t="inlineStr">
        <is>
          <t>x̄x̄x̄V̅MDCC</t>
        </is>
      </c>
      <c r="C36701">
        <f>ROMAN(36700)</f>
        <v/>
      </c>
      <c r="D36701">
        <f>IF(B36701=C36701, "YES", "WRONG")</f>
        <v/>
      </c>
    </row>
    <row r="36702">
      <c r="A36702" t="n">
        <v>36701</v>
      </c>
      <c r="B36702" t="inlineStr">
        <is>
          <t>x̄x̄x̄V̅MDCCI</t>
        </is>
      </c>
      <c r="C36702">
        <f>ROMAN(36701)</f>
        <v/>
      </c>
      <c r="D36702">
        <f>IF(B36702=C36702, "YES", "WRONG")</f>
        <v/>
      </c>
    </row>
    <row r="36703">
      <c r="A36703" t="n">
        <v>36702</v>
      </c>
      <c r="B36703" t="inlineStr">
        <is>
          <t>x̄x̄x̄V̅MDCCII</t>
        </is>
      </c>
      <c r="C36703">
        <f>ROMAN(36702)</f>
        <v/>
      </c>
      <c r="D36703">
        <f>IF(B36703=C36703, "YES", "WRONG")</f>
        <v/>
      </c>
    </row>
    <row r="36704">
      <c r="A36704" t="n">
        <v>36703</v>
      </c>
      <c r="B36704" t="inlineStr">
        <is>
          <t>x̄x̄x̄V̅MDCCIII</t>
        </is>
      </c>
      <c r="C36704">
        <f>ROMAN(36703)</f>
        <v/>
      </c>
      <c r="D36704">
        <f>IF(B36704=C36704, "YES", "WRONG")</f>
        <v/>
      </c>
    </row>
    <row r="36705">
      <c r="A36705" t="n">
        <v>36704</v>
      </c>
      <c r="B36705" t="inlineStr">
        <is>
          <t>x̄x̄x̄V̅MDCCIV</t>
        </is>
      </c>
      <c r="C36705">
        <f>ROMAN(36704)</f>
        <v/>
      </c>
      <c r="D36705">
        <f>IF(B36705=C36705, "YES", "WRONG")</f>
        <v/>
      </c>
    </row>
    <row r="36706">
      <c r="A36706" t="n">
        <v>36705</v>
      </c>
      <c r="B36706" t="inlineStr">
        <is>
          <t>x̄x̄x̄V̅MDCCV</t>
        </is>
      </c>
      <c r="C36706">
        <f>ROMAN(36705)</f>
        <v/>
      </c>
      <c r="D36706">
        <f>IF(B36706=C36706, "YES", "WRONG")</f>
        <v/>
      </c>
    </row>
    <row r="36707">
      <c r="A36707" t="n">
        <v>36706</v>
      </c>
      <c r="B36707" t="inlineStr">
        <is>
          <t>x̄x̄x̄V̅MDCCVI</t>
        </is>
      </c>
      <c r="C36707">
        <f>ROMAN(36706)</f>
        <v/>
      </c>
      <c r="D36707">
        <f>IF(B36707=C36707, "YES", "WRONG")</f>
        <v/>
      </c>
    </row>
    <row r="36708">
      <c r="A36708" t="n">
        <v>36707</v>
      </c>
      <c r="B36708" t="inlineStr">
        <is>
          <t>x̄x̄x̄V̅MDCCVII</t>
        </is>
      </c>
      <c r="C36708">
        <f>ROMAN(36707)</f>
        <v/>
      </c>
      <c r="D36708">
        <f>IF(B36708=C36708, "YES", "WRONG")</f>
        <v/>
      </c>
    </row>
    <row r="36709">
      <c r="A36709" t="n">
        <v>36708</v>
      </c>
      <c r="B36709" t="inlineStr">
        <is>
          <t>x̄x̄x̄V̅MDCCVIII</t>
        </is>
      </c>
      <c r="C36709">
        <f>ROMAN(36708)</f>
        <v/>
      </c>
      <c r="D36709">
        <f>IF(B36709=C36709, "YES", "WRONG")</f>
        <v/>
      </c>
    </row>
    <row r="36710">
      <c r="A36710" t="n">
        <v>36709</v>
      </c>
      <c r="B36710" t="inlineStr">
        <is>
          <t>x̄x̄x̄V̅MDCCIX</t>
        </is>
      </c>
      <c r="C36710">
        <f>ROMAN(36709)</f>
        <v/>
      </c>
      <c r="D36710">
        <f>IF(B36710=C36710, "YES", "WRONG")</f>
        <v/>
      </c>
    </row>
    <row r="36711">
      <c r="A36711" t="n">
        <v>36710</v>
      </c>
      <c r="B36711" t="inlineStr">
        <is>
          <t>x̄x̄x̄V̅MDCCX</t>
        </is>
      </c>
      <c r="C36711">
        <f>ROMAN(36710)</f>
        <v/>
      </c>
      <c r="D36711">
        <f>IF(B36711=C36711, "YES", "WRONG")</f>
        <v/>
      </c>
    </row>
    <row r="36712">
      <c r="A36712" t="n">
        <v>36711</v>
      </c>
      <c r="B36712" t="inlineStr">
        <is>
          <t>x̄x̄x̄V̅MDCCXI</t>
        </is>
      </c>
      <c r="C36712">
        <f>ROMAN(36711)</f>
        <v/>
      </c>
      <c r="D36712">
        <f>IF(B36712=C36712, "YES", "WRONG")</f>
        <v/>
      </c>
    </row>
    <row r="36713">
      <c r="A36713" t="n">
        <v>36712</v>
      </c>
      <c r="B36713" t="inlineStr">
        <is>
          <t>x̄x̄x̄V̅MDCCXII</t>
        </is>
      </c>
      <c r="C36713">
        <f>ROMAN(36712)</f>
        <v/>
      </c>
      <c r="D36713">
        <f>IF(B36713=C36713, "YES", "WRONG")</f>
        <v/>
      </c>
    </row>
    <row r="36714">
      <c r="A36714" t="n">
        <v>36713</v>
      </c>
      <c r="B36714" t="inlineStr">
        <is>
          <t>x̄x̄x̄V̅MDCCXIII</t>
        </is>
      </c>
      <c r="C36714">
        <f>ROMAN(36713)</f>
        <v/>
      </c>
      <c r="D36714">
        <f>IF(B36714=C36714, "YES", "WRONG")</f>
        <v/>
      </c>
    </row>
    <row r="36715">
      <c r="A36715" t="n">
        <v>36714</v>
      </c>
      <c r="B36715" t="inlineStr">
        <is>
          <t>x̄x̄x̄V̅MDCCXIV</t>
        </is>
      </c>
      <c r="C36715">
        <f>ROMAN(36714)</f>
        <v/>
      </c>
      <c r="D36715">
        <f>IF(B36715=C36715, "YES", "WRONG")</f>
        <v/>
      </c>
    </row>
    <row r="36716">
      <c r="A36716" t="n">
        <v>36715</v>
      </c>
      <c r="B36716" t="inlineStr">
        <is>
          <t>x̄x̄x̄V̅MDCCXV</t>
        </is>
      </c>
      <c r="C36716">
        <f>ROMAN(36715)</f>
        <v/>
      </c>
      <c r="D36716">
        <f>IF(B36716=C36716, "YES", "WRONG")</f>
        <v/>
      </c>
    </row>
    <row r="36717">
      <c r="A36717" t="n">
        <v>36716</v>
      </c>
      <c r="B36717" t="inlineStr">
        <is>
          <t>x̄x̄x̄V̅MDCCXVI</t>
        </is>
      </c>
      <c r="C36717">
        <f>ROMAN(36716)</f>
        <v/>
      </c>
      <c r="D36717">
        <f>IF(B36717=C36717, "YES", "WRONG")</f>
        <v/>
      </c>
    </row>
    <row r="36718">
      <c r="A36718" t="n">
        <v>36717</v>
      </c>
      <c r="B36718" t="inlineStr">
        <is>
          <t>x̄x̄x̄V̅MDCCXVII</t>
        </is>
      </c>
      <c r="C36718">
        <f>ROMAN(36717)</f>
        <v/>
      </c>
      <c r="D36718">
        <f>IF(B36718=C36718, "YES", "WRONG")</f>
        <v/>
      </c>
    </row>
    <row r="36719">
      <c r="A36719" t="n">
        <v>36718</v>
      </c>
      <c r="B36719" t="inlineStr">
        <is>
          <t>x̄x̄x̄V̅MDCCXVIII</t>
        </is>
      </c>
      <c r="C36719">
        <f>ROMAN(36718)</f>
        <v/>
      </c>
      <c r="D36719">
        <f>IF(B36719=C36719, "YES", "WRONG")</f>
        <v/>
      </c>
    </row>
    <row r="36720">
      <c r="A36720" t="n">
        <v>36719</v>
      </c>
      <c r="B36720" t="inlineStr">
        <is>
          <t>x̄x̄x̄V̅MDCCXIX</t>
        </is>
      </c>
      <c r="C36720">
        <f>ROMAN(36719)</f>
        <v/>
      </c>
      <c r="D36720">
        <f>IF(B36720=C36720, "YES", "WRONG")</f>
        <v/>
      </c>
    </row>
    <row r="36721">
      <c r="A36721" t="n">
        <v>36720</v>
      </c>
      <c r="B36721" t="inlineStr">
        <is>
          <t>x̄x̄x̄V̅MDCCXX</t>
        </is>
      </c>
      <c r="C36721">
        <f>ROMAN(36720)</f>
        <v/>
      </c>
      <c r="D36721">
        <f>IF(B36721=C36721, "YES", "WRONG")</f>
        <v/>
      </c>
    </row>
    <row r="36722">
      <c r="A36722" t="n">
        <v>36721</v>
      </c>
      <c r="B36722" t="inlineStr">
        <is>
          <t>x̄x̄x̄V̅MDCCXXI</t>
        </is>
      </c>
      <c r="C36722">
        <f>ROMAN(36721)</f>
        <v/>
      </c>
      <c r="D36722">
        <f>IF(B36722=C36722, "YES", "WRONG")</f>
        <v/>
      </c>
    </row>
    <row r="36723">
      <c r="A36723" t="n">
        <v>36722</v>
      </c>
      <c r="B36723" t="inlineStr">
        <is>
          <t>x̄x̄x̄V̅MDCCXXII</t>
        </is>
      </c>
      <c r="C36723">
        <f>ROMAN(36722)</f>
        <v/>
      </c>
      <c r="D36723">
        <f>IF(B36723=C36723, "YES", "WRONG")</f>
        <v/>
      </c>
    </row>
    <row r="36724">
      <c r="A36724" t="n">
        <v>36723</v>
      </c>
      <c r="B36724" t="inlineStr">
        <is>
          <t>x̄x̄x̄V̅MDCCXXIII</t>
        </is>
      </c>
      <c r="C36724">
        <f>ROMAN(36723)</f>
        <v/>
      </c>
      <c r="D36724">
        <f>IF(B36724=C36724, "YES", "WRONG")</f>
        <v/>
      </c>
    </row>
    <row r="36725">
      <c r="A36725" t="n">
        <v>36724</v>
      </c>
      <c r="B36725" t="inlineStr">
        <is>
          <t>x̄x̄x̄V̅MDCCXXIV</t>
        </is>
      </c>
      <c r="C36725">
        <f>ROMAN(36724)</f>
        <v/>
      </c>
      <c r="D36725">
        <f>IF(B36725=C36725, "YES", "WRONG")</f>
        <v/>
      </c>
    </row>
    <row r="36726">
      <c r="A36726" t="n">
        <v>36725</v>
      </c>
      <c r="B36726" t="inlineStr">
        <is>
          <t>x̄x̄x̄V̅MDCCXXV</t>
        </is>
      </c>
      <c r="C36726">
        <f>ROMAN(36725)</f>
        <v/>
      </c>
      <c r="D36726">
        <f>IF(B36726=C36726, "YES", "WRONG")</f>
        <v/>
      </c>
    </row>
    <row r="36727">
      <c r="A36727" t="n">
        <v>36726</v>
      </c>
      <c r="B36727" t="inlineStr">
        <is>
          <t>x̄x̄x̄V̅MDCCXXVI</t>
        </is>
      </c>
      <c r="C36727">
        <f>ROMAN(36726)</f>
        <v/>
      </c>
      <c r="D36727">
        <f>IF(B36727=C36727, "YES", "WRONG")</f>
        <v/>
      </c>
    </row>
    <row r="36728">
      <c r="A36728" t="n">
        <v>36727</v>
      </c>
      <c r="B36728" t="inlineStr">
        <is>
          <t>x̄x̄x̄V̅MDCCXXVII</t>
        </is>
      </c>
      <c r="C36728">
        <f>ROMAN(36727)</f>
        <v/>
      </c>
      <c r="D36728">
        <f>IF(B36728=C36728, "YES", "WRONG")</f>
        <v/>
      </c>
    </row>
    <row r="36729">
      <c r="A36729" t="n">
        <v>36728</v>
      </c>
      <c r="B36729" t="inlineStr">
        <is>
          <t>x̄x̄x̄V̅MDCCXXVIII</t>
        </is>
      </c>
      <c r="C36729">
        <f>ROMAN(36728)</f>
        <v/>
      </c>
      <c r="D36729">
        <f>IF(B36729=C36729, "YES", "WRONG")</f>
        <v/>
      </c>
    </row>
    <row r="36730">
      <c r="A36730" t="n">
        <v>36729</v>
      </c>
      <c r="B36730" t="inlineStr">
        <is>
          <t>x̄x̄x̄V̅MDCCXXIX</t>
        </is>
      </c>
      <c r="C36730">
        <f>ROMAN(36729)</f>
        <v/>
      </c>
      <c r="D36730">
        <f>IF(B36730=C36730, "YES", "WRONG")</f>
        <v/>
      </c>
    </row>
    <row r="36731">
      <c r="A36731" t="n">
        <v>36730</v>
      </c>
      <c r="B36731" t="inlineStr">
        <is>
          <t>x̄x̄x̄V̅MDCCXXX</t>
        </is>
      </c>
      <c r="C36731">
        <f>ROMAN(36730)</f>
        <v/>
      </c>
      <c r="D36731">
        <f>IF(B36731=C36731, "YES", "WRONG")</f>
        <v/>
      </c>
    </row>
    <row r="36732">
      <c r="A36732" t="n">
        <v>36731</v>
      </c>
      <c r="B36732" t="inlineStr">
        <is>
          <t>x̄x̄x̄V̅MDCCXXXI</t>
        </is>
      </c>
      <c r="C36732">
        <f>ROMAN(36731)</f>
        <v/>
      </c>
      <c r="D36732">
        <f>IF(B36732=C36732, "YES", "WRONG")</f>
        <v/>
      </c>
    </row>
    <row r="36733">
      <c r="A36733" t="n">
        <v>36732</v>
      </c>
      <c r="B36733" t="inlineStr">
        <is>
          <t>x̄x̄x̄V̅MDCCXXXII</t>
        </is>
      </c>
      <c r="C36733">
        <f>ROMAN(36732)</f>
        <v/>
      </c>
      <c r="D36733">
        <f>IF(B36733=C36733, "YES", "WRONG")</f>
        <v/>
      </c>
    </row>
    <row r="36734">
      <c r="A36734" t="n">
        <v>36733</v>
      </c>
      <c r="B36734" t="inlineStr">
        <is>
          <t>x̄x̄x̄V̅MDCCXXXIII</t>
        </is>
      </c>
      <c r="C36734">
        <f>ROMAN(36733)</f>
        <v/>
      </c>
      <c r="D36734">
        <f>IF(B36734=C36734, "YES", "WRONG")</f>
        <v/>
      </c>
    </row>
    <row r="36735">
      <c r="A36735" t="n">
        <v>36734</v>
      </c>
      <c r="B36735" t="inlineStr">
        <is>
          <t>x̄x̄x̄V̅MDCCXXXIV</t>
        </is>
      </c>
      <c r="C36735">
        <f>ROMAN(36734)</f>
        <v/>
      </c>
      <c r="D36735">
        <f>IF(B36735=C36735, "YES", "WRONG")</f>
        <v/>
      </c>
    </row>
    <row r="36736">
      <c r="A36736" t="n">
        <v>36735</v>
      </c>
      <c r="B36736" t="inlineStr">
        <is>
          <t>x̄x̄x̄V̅MDCCXXXV</t>
        </is>
      </c>
      <c r="C36736">
        <f>ROMAN(36735)</f>
        <v/>
      </c>
      <c r="D36736">
        <f>IF(B36736=C36736, "YES", "WRONG")</f>
        <v/>
      </c>
    </row>
    <row r="36737">
      <c r="A36737" t="n">
        <v>36736</v>
      </c>
      <c r="B36737" t="inlineStr">
        <is>
          <t>x̄x̄x̄V̅MDCCXXXVI</t>
        </is>
      </c>
      <c r="C36737">
        <f>ROMAN(36736)</f>
        <v/>
      </c>
      <c r="D36737">
        <f>IF(B36737=C36737, "YES", "WRONG")</f>
        <v/>
      </c>
    </row>
    <row r="36738">
      <c r="A36738" t="n">
        <v>36737</v>
      </c>
      <c r="B36738" t="inlineStr">
        <is>
          <t>x̄x̄x̄V̅MDCCXXXVII</t>
        </is>
      </c>
      <c r="C36738">
        <f>ROMAN(36737)</f>
        <v/>
      </c>
      <c r="D36738">
        <f>IF(B36738=C36738, "YES", "WRONG")</f>
        <v/>
      </c>
    </row>
    <row r="36739">
      <c r="A36739" t="n">
        <v>36738</v>
      </c>
      <c r="B36739" t="inlineStr">
        <is>
          <t>x̄x̄x̄V̅MDCCXXXVIII</t>
        </is>
      </c>
      <c r="C36739">
        <f>ROMAN(36738)</f>
        <v/>
      </c>
      <c r="D36739">
        <f>IF(B36739=C36739, "YES", "WRONG")</f>
        <v/>
      </c>
    </row>
    <row r="36740">
      <c r="A36740" t="n">
        <v>36739</v>
      </c>
      <c r="B36740" t="inlineStr">
        <is>
          <t>x̄x̄x̄V̅MDCCXXXIX</t>
        </is>
      </c>
      <c r="C36740">
        <f>ROMAN(36739)</f>
        <v/>
      </c>
      <c r="D36740">
        <f>IF(B36740=C36740, "YES", "WRONG")</f>
        <v/>
      </c>
    </row>
    <row r="36741">
      <c r="A36741" t="n">
        <v>36740</v>
      </c>
      <c r="B36741" t="inlineStr">
        <is>
          <t>x̄x̄x̄V̅MDCCXL</t>
        </is>
      </c>
      <c r="C36741">
        <f>ROMAN(36740)</f>
        <v/>
      </c>
      <c r="D36741">
        <f>IF(B36741=C36741, "YES", "WRONG")</f>
        <v/>
      </c>
    </row>
    <row r="36742">
      <c r="A36742" t="n">
        <v>36741</v>
      </c>
      <c r="B36742" t="inlineStr">
        <is>
          <t>x̄x̄x̄V̅MDCCXLI</t>
        </is>
      </c>
      <c r="C36742">
        <f>ROMAN(36741)</f>
        <v/>
      </c>
      <c r="D36742">
        <f>IF(B36742=C36742, "YES", "WRONG")</f>
        <v/>
      </c>
    </row>
    <row r="36743">
      <c r="A36743" t="n">
        <v>36742</v>
      </c>
      <c r="B36743" t="inlineStr">
        <is>
          <t>x̄x̄x̄V̅MDCCXLII</t>
        </is>
      </c>
      <c r="C36743">
        <f>ROMAN(36742)</f>
        <v/>
      </c>
      <c r="D36743">
        <f>IF(B36743=C36743, "YES", "WRONG")</f>
        <v/>
      </c>
    </row>
    <row r="36744">
      <c r="A36744" t="n">
        <v>36743</v>
      </c>
      <c r="B36744" t="inlineStr">
        <is>
          <t>x̄x̄x̄V̅MDCCXLIII</t>
        </is>
      </c>
      <c r="C36744">
        <f>ROMAN(36743)</f>
        <v/>
      </c>
      <c r="D36744">
        <f>IF(B36744=C36744, "YES", "WRONG")</f>
        <v/>
      </c>
    </row>
    <row r="36745">
      <c r="A36745" t="n">
        <v>36744</v>
      </c>
      <c r="B36745" t="inlineStr">
        <is>
          <t>x̄x̄x̄V̅MDCCXLIV</t>
        </is>
      </c>
      <c r="C36745">
        <f>ROMAN(36744)</f>
        <v/>
      </c>
      <c r="D36745">
        <f>IF(B36745=C36745, "YES", "WRONG")</f>
        <v/>
      </c>
    </row>
    <row r="36746">
      <c r="A36746" t="n">
        <v>36745</v>
      </c>
      <c r="B36746" t="inlineStr">
        <is>
          <t>x̄x̄x̄V̅MDCCXLV</t>
        </is>
      </c>
      <c r="C36746">
        <f>ROMAN(36745)</f>
        <v/>
      </c>
      <c r="D36746">
        <f>IF(B36746=C36746, "YES", "WRONG")</f>
        <v/>
      </c>
    </row>
    <row r="36747">
      <c r="A36747" t="n">
        <v>36746</v>
      </c>
      <c r="B36747" t="inlineStr">
        <is>
          <t>x̄x̄x̄V̅MDCCXLVI</t>
        </is>
      </c>
      <c r="C36747">
        <f>ROMAN(36746)</f>
        <v/>
      </c>
      <c r="D36747">
        <f>IF(B36747=C36747, "YES", "WRONG")</f>
        <v/>
      </c>
    </row>
    <row r="36748">
      <c r="A36748" t="n">
        <v>36747</v>
      </c>
      <c r="B36748" t="inlineStr">
        <is>
          <t>x̄x̄x̄V̅MDCCXLVII</t>
        </is>
      </c>
      <c r="C36748">
        <f>ROMAN(36747)</f>
        <v/>
      </c>
      <c r="D36748">
        <f>IF(B36748=C36748, "YES", "WRONG")</f>
        <v/>
      </c>
    </row>
    <row r="36749">
      <c r="A36749" t="n">
        <v>36748</v>
      </c>
      <c r="B36749" t="inlineStr">
        <is>
          <t>x̄x̄x̄V̅MDCCXLVIII</t>
        </is>
      </c>
      <c r="C36749">
        <f>ROMAN(36748)</f>
        <v/>
      </c>
      <c r="D36749">
        <f>IF(B36749=C36749, "YES", "WRONG")</f>
        <v/>
      </c>
    </row>
    <row r="36750">
      <c r="A36750" t="n">
        <v>36749</v>
      </c>
      <c r="B36750" t="inlineStr">
        <is>
          <t>x̄x̄x̄V̅MDCCXLIX</t>
        </is>
      </c>
      <c r="C36750">
        <f>ROMAN(36749)</f>
        <v/>
      </c>
      <c r="D36750">
        <f>IF(B36750=C36750, "YES", "WRONG")</f>
        <v/>
      </c>
    </row>
    <row r="36751">
      <c r="A36751" t="n">
        <v>36750</v>
      </c>
      <c r="B36751" t="inlineStr">
        <is>
          <t>x̄x̄x̄V̅MDCCL</t>
        </is>
      </c>
      <c r="C36751">
        <f>ROMAN(36750)</f>
        <v/>
      </c>
      <c r="D36751">
        <f>IF(B36751=C36751, "YES", "WRONG")</f>
        <v/>
      </c>
    </row>
    <row r="36752">
      <c r="A36752" t="n">
        <v>36751</v>
      </c>
      <c r="B36752" t="inlineStr">
        <is>
          <t>x̄x̄x̄V̅MDCCLI</t>
        </is>
      </c>
      <c r="C36752">
        <f>ROMAN(36751)</f>
        <v/>
      </c>
      <c r="D36752">
        <f>IF(B36752=C36752, "YES", "WRONG")</f>
        <v/>
      </c>
    </row>
    <row r="36753">
      <c r="A36753" t="n">
        <v>36752</v>
      </c>
      <c r="B36753" t="inlineStr">
        <is>
          <t>x̄x̄x̄V̅MDCCLII</t>
        </is>
      </c>
      <c r="C36753">
        <f>ROMAN(36752)</f>
        <v/>
      </c>
      <c r="D36753">
        <f>IF(B36753=C36753, "YES", "WRONG")</f>
        <v/>
      </c>
    </row>
    <row r="36754">
      <c r="A36754" t="n">
        <v>36753</v>
      </c>
      <c r="B36754" t="inlineStr">
        <is>
          <t>x̄x̄x̄V̅MDCCLIII</t>
        </is>
      </c>
      <c r="C36754">
        <f>ROMAN(36753)</f>
        <v/>
      </c>
      <c r="D36754">
        <f>IF(B36754=C36754, "YES", "WRONG")</f>
        <v/>
      </c>
    </row>
    <row r="36755">
      <c r="A36755" t="n">
        <v>36754</v>
      </c>
      <c r="B36755" t="inlineStr">
        <is>
          <t>x̄x̄x̄V̅MDCCLIV</t>
        </is>
      </c>
      <c r="C36755">
        <f>ROMAN(36754)</f>
        <v/>
      </c>
      <c r="D36755">
        <f>IF(B36755=C36755, "YES", "WRONG")</f>
        <v/>
      </c>
    </row>
    <row r="36756">
      <c r="A36756" t="n">
        <v>36755</v>
      </c>
      <c r="B36756" t="inlineStr">
        <is>
          <t>x̄x̄x̄V̅MDCCLV</t>
        </is>
      </c>
      <c r="C36756">
        <f>ROMAN(36755)</f>
        <v/>
      </c>
      <c r="D36756">
        <f>IF(B36756=C36756, "YES", "WRONG")</f>
        <v/>
      </c>
    </row>
    <row r="36757">
      <c r="A36757" t="n">
        <v>36756</v>
      </c>
      <c r="B36757" t="inlineStr">
        <is>
          <t>x̄x̄x̄V̅MDCCLVI</t>
        </is>
      </c>
      <c r="C36757">
        <f>ROMAN(36756)</f>
        <v/>
      </c>
      <c r="D36757">
        <f>IF(B36757=C36757, "YES", "WRONG")</f>
        <v/>
      </c>
    </row>
    <row r="36758">
      <c r="A36758" t="n">
        <v>36757</v>
      </c>
      <c r="B36758" t="inlineStr">
        <is>
          <t>x̄x̄x̄V̅MDCCLVII</t>
        </is>
      </c>
      <c r="C36758">
        <f>ROMAN(36757)</f>
        <v/>
      </c>
      <c r="D36758">
        <f>IF(B36758=C36758, "YES", "WRONG")</f>
        <v/>
      </c>
    </row>
    <row r="36759">
      <c r="A36759" t="n">
        <v>36758</v>
      </c>
      <c r="B36759" t="inlineStr">
        <is>
          <t>x̄x̄x̄V̅MDCCLVIII</t>
        </is>
      </c>
      <c r="C36759">
        <f>ROMAN(36758)</f>
        <v/>
      </c>
      <c r="D36759">
        <f>IF(B36759=C36759, "YES", "WRONG")</f>
        <v/>
      </c>
    </row>
    <row r="36760">
      <c r="A36760" t="n">
        <v>36759</v>
      </c>
      <c r="B36760" t="inlineStr">
        <is>
          <t>x̄x̄x̄V̅MDCCLIX</t>
        </is>
      </c>
      <c r="C36760">
        <f>ROMAN(36759)</f>
        <v/>
      </c>
      <c r="D36760">
        <f>IF(B36760=C36760, "YES", "WRONG")</f>
        <v/>
      </c>
    </row>
    <row r="36761">
      <c r="A36761" t="n">
        <v>36760</v>
      </c>
      <c r="B36761" t="inlineStr">
        <is>
          <t>x̄x̄x̄V̅MDCCLX</t>
        </is>
      </c>
      <c r="C36761">
        <f>ROMAN(36760)</f>
        <v/>
      </c>
      <c r="D36761">
        <f>IF(B36761=C36761, "YES", "WRONG")</f>
        <v/>
      </c>
    </row>
    <row r="36762">
      <c r="A36762" t="n">
        <v>36761</v>
      </c>
      <c r="B36762" t="inlineStr">
        <is>
          <t>x̄x̄x̄V̅MDCCLXI</t>
        </is>
      </c>
      <c r="C36762">
        <f>ROMAN(36761)</f>
        <v/>
      </c>
      <c r="D36762">
        <f>IF(B36762=C36762, "YES", "WRONG")</f>
        <v/>
      </c>
    </row>
    <row r="36763">
      <c r="A36763" t="n">
        <v>36762</v>
      </c>
      <c r="B36763" t="inlineStr">
        <is>
          <t>x̄x̄x̄V̅MDCCLXII</t>
        </is>
      </c>
      <c r="C36763">
        <f>ROMAN(36762)</f>
        <v/>
      </c>
      <c r="D36763">
        <f>IF(B36763=C36763, "YES", "WRONG")</f>
        <v/>
      </c>
    </row>
    <row r="36764">
      <c r="A36764" t="n">
        <v>36763</v>
      </c>
      <c r="B36764" t="inlineStr">
        <is>
          <t>x̄x̄x̄V̅MDCCLXIII</t>
        </is>
      </c>
      <c r="C36764">
        <f>ROMAN(36763)</f>
        <v/>
      </c>
      <c r="D36764">
        <f>IF(B36764=C36764, "YES", "WRONG")</f>
        <v/>
      </c>
    </row>
    <row r="36765">
      <c r="A36765" t="n">
        <v>36764</v>
      </c>
      <c r="B36765" t="inlineStr">
        <is>
          <t>x̄x̄x̄V̅MDCCLXIV</t>
        </is>
      </c>
      <c r="C36765">
        <f>ROMAN(36764)</f>
        <v/>
      </c>
      <c r="D36765">
        <f>IF(B36765=C36765, "YES", "WRONG")</f>
        <v/>
      </c>
    </row>
    <row r="36766">
      <c r="A36766" t="n">
        <v>36765</v>
      </c>
      <c r="B36766" t="inlineStr">
        <is>
          <t>x̄x̄x̄V̅MDCCLXV</t>
        </is>
      </c>
      <c r="C36766">
        <f>ROMAN(36765)</f>
        <v/>
      </c>
      <c r="D36766">
        <f>IF(B36766=C36766, "YES", "WRONG")</f>
        <v/>
      </c>
    </row>
    <row r="36767">
      <c r="A36767" t="n">
        <v>36766</v>
      </c>
      <c r="B36767" t="inlineStr">
        <is>
          <t>x̄x̄x̄V̅MDCCLXVI</t>
        </is>
      </c>
      <c r="C36767">
        <f>ROMAN(36766)</f>
        <v/>
      </c>
      <c r="D36767">
        <f>IF(B36767=C36767, "YES", "WRONG")</f>
        <v/>
      </c>
    </row>
    <row r="36768">
      <c r="A36768" t="n">
        <v>36767</v>
      </c>
      <c r="B36768" t="inlineStr">
        <is>
          <t>x̄x̄x̄V̅MDCCLXVII</t>
        </is>
      </c>
      <c r="C36768">
        <f>ROMAN(36767)</f>
        <v/>
      </c>
      <c r="D36768">
        <f>IF(B36768=C36768, "YES", "WRONG")</f>
        <v/>
      </c>
    </row>
    <row r="36769">
      <c r="A36769" t="n">
        <v>36768</v>
      </c>
      <c r="B36769" t="inlineStr">
        <is>
          <t>x̄x̄x̄V̅MDCCLXVIII</t>
        </is>
      </c>
      <c r="C36769">
        <f>ROMAN(36768)</f>
        <v/>
      </c>
      <c r="D36769">
        <f>IF(B36769=C36769, "YES", "WRONG")</f>
        <v/>
      </c>
    </row>
    <row r="36770">
      <c r="A36770" t="n">
        <v>36769</v>
      </c>
      <c r="B36770" t="inlineStr">
        <is>
          <t>x̄x̄x̄V̅MDCCLXIX</t>
        </is>
      </c>
      <c r="C36770">
        <f>ROMAN(36769)</f>
        <v/>
      </c>
      <c r="D36770">
        <f>IF(B36770=C36770, "YES", "WRONG")</f>
        <v/>
      </c>
    </row>
    <row r="36771">
      <c r="A36771" t="n">
        <v>36770</v>
      </c>
      <c r="B36771" t="inlineStr">
        <is>
          <t>x̄x̄x̄V̅MDCCLXX</t>
        </is>
      </c>
      <c r="C36771">
        <f>ROMAN(36770)</f>
        <v/>
      </c>
      <c r="D36771">
        <f>IF(B36771=C36771, "YES", "WRONG")</f>
        <v/>
      </c>
    </row>
    <row r="36772">
      <c r="A36772" t="n">
        <v>36771</v>
      </c>
      <c r="B36772" t="inlineStr">
        <is>
          <t>x̄x̄x̄V̅MDCCLXXI</t>
        </is>
      </c>
      <c r="C36772">
        <f>ROMAN(36771)</f>
        <v/>
      </c>
      <c r="D36772">
        <f>IF(B36772=C36772, "YES", "WRONG")</f>
        <v/>
      </c>
    </row>
    <row r="36773">
      <c r="A36773" t="n">
        <v>36772</v>
      </c>
      <c r="B36773" t="inlineStr">
        <is>
          <t>x̄x̄x̄V̅MDCCLXXII</t>
        </is>
      </c>
      <c r="C36773">
        <f>ROMAN(36772)</f>
        <v/>
      </c>
      <c r="D36773">
        <f>IF(B36773=C36773, "YES", "WRONG")</f>
        <v/>
      </c>
    </row>
    <row r="36774">
      <c r="A36774" t="n">
        <v>36773</v>
      </c>
      <c r="B36774" t="inlineStr">
        <is>
          <t>x̄x̄x̄V̅MDCCLXXIII</t>
        </is>
      </c>
      <c r="C36774">
        <f>ROMAN(36773)</f>
        <v/>
      </c>
      <c r="D36774">
        <f>IF(B36774=C36774, "YES", "WRONG")</f>
        <v/>
      </c>
    </row>
    <row r="36775">
      <c r="A36775" t="n">
        <v>36774</v>
      </c>
      <c r="B36775" t="inlineStr">
        <is>
          <t>x̄x̄x̄V̅MDCCLXXIV</t>
        </is>
      </c>
      <c r="C36775">
        <f>ROMAN(36774)</f>
        <v/>
      </c>
      <c r="D36775">
        <f>IF(B36775=C36775, "YES", "WRONG")</f>
        <v/>
      </c>
    </row>
    <row r="36776">
      <c r="A36776" t="n">
        <v>36775</v>
      </c>
      <c r="B36776" t="inlineStr">
        <is>
          <t>x̄x̄x̄V̅MDCCLXXV</t>
        </is>
      </c>
      <c r="C36776">
        <f>ROMAN(36775)</f>
        <v/>
      </c>
      <c r="D36776">
        <f>IF(B36776=C36776, "YES", "WRONG")</f>
        <v/>
      </c>
    </row>
    <row r="36777">
      <c r="A36777" t="n">
        <v>36776</v>
      </c>
      <c r="B36777" t="inlineStr">
        <is>
          <t>x̄x̄x̄V̅MDCCLXXVI</t>
        </is>
      </c>
      <c r="C36777">
        <f>ROMAN(36776)</f>
        <v/>
      </c>
      <c r="D36777">
        <f>IF(B36777=C36777, "YES", "WRONG")</f>
        <v/>
      </c>
    </row>
    <row r="36778">
      <c r="A36778" t="n">
        <v>36777</v>
      </c>
      <c r="B36778" t="inlineStr">
        <is>
          <t>x̄x̄x̄V̅MDCCLXXVII</t>
        </is>
      </c>
      <c r="C36778">
        <f>ROMAN(36777)</f>
        <v/>
      </c>
      <c r="D36778">
        <f>IF(B36778=C36778, "YES", "WRONG")</f>
        <v/>
      </c>
    </row>
    <row r="36779">
      <c r="A36779" t="n">
        <v>36778</v>
      </c>
      <c r="B36779" t="inlineStr">
        <is>
          <t>x̄x̄x̄V̅MDCCLXXVIII</t>
        </is>
      </c>
      <c r="C36779">
        <f>ROMAN(36778)</f>
        <v/>
      </c>
      <c r="D36779">
        <f>IF(B36779=C36779, "YES", "WRONG")</f>
        <v/>
      </c>
    </row>
    <row r="36780">
      <c r="A36780" t="n">
        <v>36779</v>
      </c>
      <c r="B36780" t="inlineStr">
        <is>
          <t>x̄x̄x̄V̅MDCCLXXIX</t>
        </is>
      </c>
      <c r="C36780">
        <f>ROMAN(36779)</f>
        <v/>
      </c>
      <c r="D36780">
        <f>IF(B36780=C36780, "YES", "WRONG")</f>
        <v/>
      </c>
    </row>
    <row r="36781">
      <c r="A36781" t="n">
        <v>36780</v>
      </c>
      <c r="B36781" t="inlineStr">
        <is>
          <t>x̄x̄x̄V̅MDCCLXXX</t>
        </is>
      </c>
      <c r="C36781">
        <f>ROMAN(36780)</f>
        <v/>
      </c>
      <c r="D36781">
        <f>IF(B36781=C36781, "YES", "WRONG")</f>
        <v/>
      </c>
    </row>
    <row r="36782">
      <c r="A36782" t="n">
        <v>36781</v>
      </c>
      <c r="B36782" t="inlineStr">
        <is>
          <t>x̄x̄x̄V̅MDCCLXXXI</t>
        </is>
      </c>
      <c r="C36782">
        <f>ROMAN(36781)</f>
        <v/>
      </c>
      <c r="D36782">
        <f>IF(B36782=C36782, "YES", "WRONG")</f>
        <v/>
      </c>
    </row>
    <row r="36783">
      <c r="A36783" t="n">
        <v>36782</v>
      </c>
      <c r="B36783" t="inlineStr">
        <is>
          <t>x̄x̄x̄V̅MDCCLXXXII</t>
        </is>
      </c>
      <c r="C36783">
        <f>ROMAN(36782)</f>
        <v/>
      </c>
      <c r="D36783">
        <f>IF(B36783=C36783, "YES", "WRONG")</f>
        <v/>
      </c>
    </row>
    <row r="36784">
      <c r="A36784" t="n">
        <v>36783</v>
      </c>
      <c r="B36784" t="inlineStr">
        <is>
          <t>x̄x̄x̄V̅MDCCLXXXIII</t>
        </is>
      </c>
      <c r="C36784">
        <f>ROMAN(36783)</f>
        <v/>
      </c>
      <c r="D36784">
        <f>IF(B36784=C36784, "YES", "WRONG")</f>
        <v/>
      </c>
    </row>
    <row r="36785">
      <c r="A36785" t="n">
        <v>36784</v>
      </c>
      <c r="B36785" t="inlineStr">
        <is>
          <t>x̄x̄x̄V̅MDCCLXXXIV</t>
        </is>
      </c>
      <c r="C36785">
        <f>ROMAN(36784)</f>
        <v/>
      </c>
      <c r="D36785">
        <f>IF(B36785=C36785, "YES", "WRONG")</f>
        <v/>
      </c>
    </row>
    <row r="36786">
      <c r="A36786" t="n">
        <v>36785</v>
      </c>
      <c r="B36786" t="inlineStr">
        <is>
          <t>x̄x̄x̄V̅MDCCLXXXV</t>
        </is>
      </c>
      <c r="C36786">
        <f>ROMAN(36785)</f>
        <v/>
      </c>
      <c r="D36786">
        <f>IF(B36786=C36786, "YES", "WRONG")</f>
        <v/>
      </c>
    </row>
    <row r="36787">
      <c r="A36787" t="n">
        <v>36786</v>
      </c>
      <c r="B36787" t="inlineStr">
        <is>
          <t>x̄x̄x̄V̅MDCCLXXXVI</t>
        </is>
      </c>
      <c r="C36787">
        <f>ROMAN(36786)</f>
        <v/>
      </c>
      <c r="D36787">
        <f>IF(B36787=C36787, "YES", "WRONG")</f>
        <v/>
      </c>
    </row>
    <row r="36788">
      <c r="A36788" t="n">
        <v>36787</v>
      </c>
      <c r="B36788" t="inlineStr">
        <is>
          <t>x̄x̄x̄V̅MDCCLXXXVII</t>
        </is>
      </c>
      <c r="C36788">
        <f>ROMAN(36787)</f>
        <v/>
      </c>
      <c r="D36788">
        <f>IF(B36788=C36788, "YES", "WRONG")</f>
        <v/>
      </c>
    </row>
    <row r="36789">
      <c r="A36789" t="n">
        <v>36788</v>
      </c>
      <c r="B36789" t="inlineStr">
        <is>
          <t>x̄x̄x̄V̅MDCCLXXXVIII</t>
        </is>
      </c>
      <c r="C36789">
        <f>ROMAN(36788)</f>
        <v/>
      </c>
      <c r="D36789">
        <f>IF(B36789=C36789, "YES", "WRONG")</f>
        <v/>
      </c>
    </row>
    <row r="36790">
      <c r="A36790" t="n">
        <v>36789</v>
      </c>
      <c r="B36790" t="inlineStr">
        <is>
          <t>x̄x̄x̄V̅MDCCLXXXIX</t>
        </is>
      </c>
      <c r="C36790">
        <f>ROMAN(36789)</f>
        <v/>
      </c>
      <c r="D36790">
        <f>IF(B36790=C36790, "YES", "WRONG")</f>
        <v/>
      </c>
    </row>
    <row r="36791">
      <c r="A36791" t="n">
        <v>36790</v>
      </c>
      <c r="B36791" t="inlineStr">
        <is>
          <t>x̄x̄x̄V̅MDCCXC</t>
        </is>
      </c>
      <c r="C36791">
        <f>ROMAN(36790)</f>
        <v/>
      </c>
      <c r="D36791">
        <f>IF(B36791=C36791, "YES", "WRONG")</f>
        <v/>
      </c>
    </row>
    <row r="36792">
      <c r="A36792" t="n">
        <v>36791</v>
      </c>
      <c r="B36792" t="inlineStr">
        <is>
          <t>x̄x̄x̄V̅MDCCXCI</t>
        </is>
      </c>
      <c r="C36792">
        <f>ROMAN(36791)</f>
        <v/>
      </c>
      <c r="D36792">
        <f>IF(B36792=C36792, "YES", "WRONG")</f>
        <v/>
      </c>
    </row>
    <row r="36793">
      <c r="A36793" t="n">
        <v>36792</v>
      </c>
      <c r="B36793" t="inlineStr">
        <is>
          <t>x̄x̄x̄V̅MDCCXCII</t>
        </is>
      </c>
      <c r="C36793">
        <f>ROMAN(36792)</f>
        <v/>
      </c>
      <c r="D36793">
        <f>IF(B36793=C36793, "YES", "WRONG")</f>
        <v/>
      </c>
    </row>
    <row r="36794">
      <c r="A36794" t="n">
        <v>36793</v>
      </c>
      <c r="B36794" t="inlineStr">
        <is>
          <t>x̄x̄x̄V̅MDCCXCIII</t>
        </is>
      </c>
      <c r="C36794">
        <f>ROMAN(36793)</f>
        <v/>
      </c>
      <c r="D36794">
        <f>IF(B36794=C36794, "YES", "WRONG")</f>
        <v/>
      </c>
    </row>
    <row r="36795">
      <c r="A36795" t="n">
        <v>36794</v>
      </c>
      <c r="B36795" t="inlineStr">
        <is>
          <t>x̄x̄x̄V̅MDCCXCIV</t>
        </is>
      </c>
      <c r="C36795">
        <f>ROMAN(36794)</f>
        <v/>
      </c>
      <c r="D36795">
        <f>IF(B36795=C36795, "YES", "WRONG")</f>
        <v/>
      </c>
    </row>
    <row r="36796">
      <c r="A36796" t="n">
        <v>36795</v>
      </c>
      <c r="B36796" t="inlineStr">
        <is>
          <t>x̄x̄x̄V̅MDCCXCV</t>
        </is>
      </c>
      <c r="C36796">
        <f>ROMAN(36795)</f>
        <v/>
      </c>
      <c r="D36796">
        <f>IF(B36796=C36796, "YES", "WRONG")</f>
        <v/>
      </c>
    </row>
    <row r="36797">
      <c r="A36797" t="n">
        <v>36796</v>
      </c>
      <c r="B36797" t="inlineStr">
        <is>
          <t>x̄x̄x̄V̅MDCCXCVI</t>
        </is>
      </c>
      <c r="C36797">
        <f>ROMAN(36796)</f>
        <v/>
      </c>
      <c r="D36797">
        <f>IF(B36797=C36797, "YES", "WRONG")</f>
        <v/>
      </c>
    </row>
    <row r="36798">
      <c r="A36798" t="n">
        <v>36797</v>
      </c>
      <c r="B36798" t="inlineStr">
        <is>
          <t>x̄x̄x̄V̅MDCCXCVII</t>
        </is>
      </c>
      <c r="C36798">
        <f>ROMAN(36797)</f>
        <v/>
      </c>
      <c r="D36798">
        <f>IF(B36798=C36798, "YES", "WRONG")</f>
        <v/>
      </c>
    </row>
    <row r="36799">
      <c r="A36799" t="n">
        <v>36798</v>
      </c>
      <c r="B36799" t="inlineStr">
        <is>
          <t>x̄x̄x̄V̅MDCCXCVIII</t>
        </is>
      </c>
      <c r="C36799">
        <f>ROMAN(36798)</f>
        <v/>
      </c>
      <c r="D36799">
        <f>IF(B36799=C36799, "YES", "WRONG")</f>
        <v/>
      </c>
    </row>
    <row r="36800">
      <c r="A36800" t="n">
        <v>36799</v>
      </c>
      <c r="B36800" t="inlineStr">
        <is>
          <t>x̄x̄x̄V̅MDCCXCIX</t>
        </is>
      </c>
      <c r="C36800">
        <f>ROMAN(36799)</f>
        <v/>
      </c>
      <c r="D36800">
        <f>IF(B36800=C36800, "YES", "WRONG")</f>
        <v/>
      </c>
    </row>
    <row r="36801">
      <c r="A36801" t="n">
        <v>36800</v>
      </c>
      <c r="B36801" t="inlineStr">
        <is>
          <t>x̄x̄x̄V̅MDCCC</t>
        </is>
      </c>
      <c r="C36801">
        <f>ROMAN(36800)</f>
        <v/>
      </c>
      <c r="D36801">
        <f>IF(B36801=C36801, "YES", "WRONG")</f>
        <v/>
      </c>
    </row>
    <row r="36802">
      <c r="A36802" t="n">
        <v>36801</v>
      </c>
      <c r="B36802" t="inlineStr">
        <is>
          <t>x̄x̄x̄V̅MDCCCI</t>
        </is>
      </c>
      <c r="C36802">
        <f>ROMAN(36801)</f>
        <v/>
      </c>
      <c r="D36802">
        <f>IF(B36802=C36802, "YES", "WRONG")</f>
        <v/>
      </c>
    </row>
    <row r="36803">
      <c r="A36803" t="n">
        <v>36802</v>
      </c>
      <c r="B36803" t="inlineStr">
        <is>
          <t>x̄x̄x̄V̅MDCCCII</t>
        </is>
      </c>
      <c r="C36803">
        <f>ROMAN(36802)</f>
        <v/>
      </c>
      <c r="D36803">
        <f>IF(B36803=C36803, "YES", "WRONG")</f>
        <v/>
      </c>
    </row>
    <row r="36804">
      <c r="A36804" t="n">
        <v>36803</v>
      </c>
      <c r="B36804" t="inlineStr">
        <is>
          <t>x̄x̄x̄V̅MDCCCIII</t>
        </is>
      </c>
      <c r="C36804">
        <f>ROMAN(36803)</f>
        <v/>
      </c>
      <c r="D36804">
        <f>IF(B36804=C36804, "YES", "WRONG")</f>
        <v/>
      </c>
    </row>
    <row r="36805">
      <c r="A36805" t="n">
        <v>36804</v>
      </c>
      <c r="B36805" t="inlineStr">
        <is>
          <t>x̄x̄x̄V̅MDCCCIV</t>
        </is>
      </c>
      <c r="C36805">
        <f>ROMAN(36804)</f>
        <v/>
      </c>
      <c r="D36805">
        <f>IF(B36805=C36805, "YES", "WRONG")</f>
        <v/>
      </c>
    </row>
    <row r="36806">
      <c r="A36806" t="n">
        <v>36805</v>
      </c>
      <c r="B36806" t="inlineStr">
        <is>
          <t>x̄x̄x̄V̅MDCCCV</t>
        </is>
      </c>
      <c r="C36806">
        <f>ROMAN(36805)</f>
        <v/>
      </c>
      <c r="D36806">
        <f>IF(B36806=C36806, "YES", "WRONG")</f>
        <v/>
      </c>
    </row>
    <row r="36807">
      <c r="A36807" t="n">
        <v>36806</v>
      </c>
      <c r="B36807" t="inlineStr">
        <is>
          <t>x̄x̄x̄V̅MDCCCVI</t>
        </is>
      </c>
      <c r="C36807">
        <f>ROMAN(36806)</f>
        <v/>
      </c>
      <c r="D36807">
        <f>IF(B36807=C36807, "YES", "WRONG")</f>
        <v/>
      </c>
    </row>
    <row r="36808">
      <c r="A36808" t="n">
        <v>36807</v>
      </c>
      <c r="B36808" t="inlineStr">
        <is>
          <t>x̄x̄x̄V̅MDCCCVII</t>
        </is>
      </c>
      <c r="C36808">
        <f>ROMAN(36807)</f>
        <v/>
      </c>
      <c r="D36808">
        <f>IF(B36808=C36808, "YES", "WRONG")</f>
        <v/>
      </c>
    </row>
    <row r="36809">
      <c r="A36809" t="n">
        <v>36808</v>
      </c>
      <c r="B36809" t="inlineStr">
        <is>
          <t>x̄x̄x̄V̅MDCCCVIII</t>
        </is>
      </c>
      <c r="C36809">
        <f>ROMAN(36808)</f>
        <v/>
      </c>
      <c r="D36809">
        <f>IF(B36809=C36809, "YES", "WRONG")</f>
        <v/>
      </c>
    </row>
    <row r="36810">
      <c r="A36810" t="n">
        <v>36809</v>
      </c>
      <c r="B36810" t="inlineStr">
        <is>
          <t>x̄x̄x̄V̅MDCCCIX</t>
        </is>
      </c>
      <c r="C36810">
        <f>ROMAN(36809)</f>
        <v/>
      </c>
      <c r="D36810">
        <f>IF(B36810=C36810, "YES", "WRONG")</f>
        <v/>
      </c>
    </row>
    <row r="36811">
      <c r="A36811" t="n">
        <v>36810</v>
      </c>
      <c r="B36811" t="inlineStr">
        <is>
          <t>x̄x̄x̄V̅MDCCCX</t>
        </is>
      </c>
      <c r="C36811">
        <f>ROMAN(36810)</f>
        <v/>
      </c>
      <c r="D36811">
        <f>IF(B36811=C36811, "YES", "WRONG")</f>
        <v/>
      </c>
    </row>
    <row r="36812">
      <c r="A36812" t="n">
        <v>36811</v>
      </c>
      <c r="B36812" t="inlineStr">
        <is>
          <t>x̄x̄x̄V̅MDCCCXI</t>
        </is>
      </c>
      <c r="C36812">
        <f>ROMAN(36811)</f>
        <v/>
      </c>
      <c r="D36812">
        <f>IF(B36812=C36812, "YES", "WRONG")</f>
        <v/>
      </c>
    </row>
    <row r="36813">
      <c r="A36813" t="n">
        <v>36812</v>
      </c>
      <c r="B36813" t="inlineStr">
        <is>
          <t>x̄x̄x̄V̅MDCCCXII</t>
        </is>
      </c>
      <c r="C36813">
        <f>ROMAN(36812)</f>
        <v/>
      </c>
      <c r="D36813">
        <f>IF(B36813=C36813, "YES", "WRONG")</f>
        <v/>
      </c>
    </row>
    <row r="36814">
      <c r="A36814" t="n">
        <v>36813</v>
      </c>
      <c r="B36814" t="inlineStr">
        <is>
          <t>x̄x̄x̄V̅MDCCCXIII</t>
        </is>
      </c>
      <c r="C36814">
        <f>ROMAN(36813)</f>
        <v/>
      </c>
      <c r="D36814">
        <f>IF(B36814=C36814, "YES", "WRONG")</f>
        <v/>
      </c>
    </row>
    <row r="36815">
      <c r="A36815" t="n">
        <v>36814</v>
      </c>
      <c r="B36815" t="inlineStr">
        <is>
          <t>x̄x̄x̄V̅MDCCCXIV</t>
        </is>
      </c>
      <c r="C36815">
        <f>ROMAN(36814)</f>
        <v/>
      </c>
      <c r="D36815">
        <f>IF(B36815=C36815, "YES", "WRONG")</f>
        <v/>
      </c>
    </row>
    <row r="36816">
      <c r="A36816" t="n">
        <v>36815</v>
      </c>
      <c r="B36816" t="inlineStr">
        <is>
          <t>x̄x̄x̄V̅MDCCCXV</t>
        </is>
      </c>
      <c r="C36816">
        <f>ROMAN(36815)</f>
        <v/>
      </c>
      <c r="D36816">
        <f>IF(B36816=C36816, "YES", "WRONG")</f>
        <v/>
      </c>
    </row>
    <row r="36817">
      <c r="A36817" t="n">
        <v>36816</v>
      </c>
      <c r="B36817" t="inlineStr">
        <is>
          <t>x̄x̄x̄V̅MDCCCXVI</t>
        </is>
      </c>
      <c r="C36817">
        <f>ROMAN(36816)</f>
        <v/>
      </c>
      <c r="D36817">
        <f>IF(B36817=C36817, "YES", "WRONG")</f>
        <v/>
      </c>
    </row>
    <row r="36818">
      <c r="A36818" t="n">
        <v>36817</v>
      </c>
      <c r="B36818" t="inlineStr">
        <is>
          <t>x̄x̄x̄V̅MDCCCXVII</t>
        </is>
      </c>
      <c r="C36818">
        <f>ROMAN(36817)</f>
        <v/>
      </c>
      <c r="D36818">
        <f>IF(B36818=C36818, "YES", "WRONG")</f>
        <v/>
      </c>
    </row>
    <row r="36819">
      <c r="A36819" t="n">
        <v>36818</v>
      </c>
      <c r="B36819" t="inlineStr">
        <is>
          <t>x̄x̄x̄V̅MDCCCXVIII</t>
        </is>
      </c>
      <c r="C36819">
        <f>ROMAN(36818)</f>
        <v/>
      </c>
      <c r="D36819">
        <f>IF(B36819=C36819, "YES", "WRONG")</f>
        <v/>
      </c>
    </row>
    <row r="36820">
      <c r="A36820" t="n">
        <v>36819</v>
      </c>
      <c r="B36820" t="inlineStr">
        <is>
          <t>x̄x̄x̄V̅MDCCCXIX</t>
        </is>
      </c>
      <c r="C36820">
        <f>ROMAN(36819)</f>
        <v/>
      </c>
      <c r="D36820">
        <f>IF(B36820=C36820, "YES", "WRONG")</f>
        <v/>
      </c>
    </row>
    <row r="36821">
      <c r="A36821" t="n">
        <v>36820</v>
      </c>
      <c r="B36821" t="inlineStr">
        <is>
          <t>x̄x̄x̄V̅MDCCCXX</t>
        </is>
      </c>
      <c r="C36821">
        <f>ROMAN(36820)</f>
        <v/>
      </c>
      <c r="D36821">
        <f>IF(B36821=C36821, "YES", "WRONG")</f>
        <v/>
      </c>
    </row>
    <row r="36822">
      <c r="A36822" t="n">
        <v>36821</v>
      </c>
      <c r="B36822" t="inlineStr">
        <is>
          <t>x̄x̄x̄V̅MDCCCXXI</t>
        </is>
      </c>
      <c r="C36822">
        <f>ROMAN(36821)</f>
        <v/>
      </c>
      <c r="D36822">
        <f>IF(B36822=C36822, "YES", "WRONG")</f>
        <v/>
      </c>
    </row>
    <row r="36823">
      <c r="A36823" t="n">
        <v>36822</v>
      </c>
      <c r="B36823" t="inlineStr">
        <is>
          <t>x̄x̄x̄V̅MDCCCXXII</t>
        </is>
      </c>
      <c r="C36823">
        <f>ROMAN(36822)</f>
        <v/>
      </c>
      <c r="D36823">
        <f>IF(B36823=C36823, "YES", "WRONG")</f>
        <v/>
      </c>
    </row>
    <row r="36824">
      <c r="A36824" t="n">
        <v>36823</v>
      </c>
      <c r="B36824" t="inlineStr">
        <is>
          <t>x̄x̄x̄V̅MDCCCXXIII</t>
        </is>
      </c>
      <c r="C36824">
        <f>ROMAN(36823)</f>
        <v/>
      </c>
      <c r="D36824">
        <f>IF(B36824=C36824, "YES", "WRONG")</f>
        <v/>
      </c>
    </row>
    <row r="36825">
      <c r="A36825" t="n">
        <v>36824</v>
      </c>
      <c r="B36825" t="inlineStr">
        <is>
          <t>x̄x̄x̄V̅MDCCCXXIV</t>
        </is>
      </c>
      <c r="C36825">
        <f>ROMAN(36824)</f>
        <v/>
      </c>
      <c r="D36825">
        <f>IF(B36825=C36825, "YES", "WRONG")</f>
        <v/>
      </c>
    </row>
    <row r="36826">
      <c r="A36826" t="n">
        <v>36825</v>
      </c>
      <c r="B36826" t="inlineStr">
        <is>
          <t>x̄x̄x̄V̅MDCCCXXV</t>
        </is>
      </c>
      <c r="C36826">
        <f>ROMAN(36825)</f>
        <v/>
      </c>
      <c r="D36826">
        <f>IF(B36826=C36826, "YES", "WRONG")</f>
        <v/>
      </c>
    </row>
    <row r="36827">
      <c r="A36827" t="n">
        <v>36826</v>
      </c>
      <c r="B36827" t="inlineStr">
        <is>
          <t>x̄x̄x̄V̅MDCCCXXVI</t>
        </is>
      </c>
      <c r="C36827">
        <f>ROMAN(36826)</f>
        <v/>
      </c>
      <c r="D36827">
        <f>IF(B36827=C36827, "YES", "WRONG")</f>
        <v/>
      </c>
    </row>
    <row r="36828">
      <c r="A36828" t="n">
        <v>36827</v>
      </c>
      <c r="B36828" t="inlineStr">
        <is>
          <t>x̄x̄x̄V̅MDCCCXXVII</t>
        </is>
      </c>
      <c r="C36828">
        <f>ROMAN(36827)</f>
        <v/>
      </c>
      <c r="D36828">
        <f>IF(B36828=C36828, "YES", "WRONG")</f>
        <v/>
      </c>
    </row>
    <row r="36829">
      <c r="A36829" t="n">
        <v>36828</v>
      </c>
      <c r="B36829" t="inlineStr">
        <is>
          <t>x̄x̄x̄V̅MDCCCXXVIII</t>
        </is>
      </c>
      <c r="C36829">
        <f>ROMAN(36828)</f>
        <v/>
      </c>
      <c r="D36829">
        <f>IF(B36829=C36829, "YES", "WRONG")</f>
        <v/>
      </c>
    </row>
    <row r="36830">
      <c r="A36830" t="n">
        <v>36829</v>
      </c>
      <c r="B36830" t="inlineStr">
        <is>
          <t>x̄x̄x̄V̅MDCCCXXIX</t>
        </is>
      </c>
      <c r="C36830">
        <f>ROMAN(36829)</f>
        <v/>
      </c>
      <c r="D36830">
        <f>IF(B36830=C36830, "YES", "WRONG")</f>
        <v/>
      </c>
    </row>
    <row r="36831">
      <c r="A36831" t="n">
        <v>36830</v>
      </c>
      <c r="B36831" t="inlineStr">
        <is>
          <t>x̄x̄x̄V̅MDCCCXXX</t>
        </is>
      </c>
      <c r="C36831">
        <f>ROMAN(36830)</f>
        <v/>
      </c>
      <c r="D36831">
        <f>IF(B36831=C36831, "YES", "WRONG")</f>
        <v/>
      </c>
    </row>
    <row r="36832">
      <c r="A36832" t="n">
        <v>36831</v>
      </c>
      <c r="B36832" t="inlineStr">
        <is>
          <t>x̄x̄x̄V̅MDCCCXXXI</t>
        </is>
      </c>
      <c r="C36832">
        <f>ROMAN(36831)</f>
        <v/>
      </c>
      <c r="D36832">
        <f>IF(B36832=C36832, "YES", "WRONG")</f>
        <v/>
      </c>
    </row>
    <row r="36833">
      <c r="A36833" t="n">
        <v>36832</v>
      </c>
      <c r="B36833" t="inlineStr">
        <is>
          <t>x̄x̄x̄V̅MDCCCXXXII</t>
        </is>
      </c>
      <c r="C36833">
        <f>ROMAN(36832)</f>
        <v/>
      </c>
      <c r="D36833">
        <f>IF(B36833=C36833, "YES", "WRONG")</f>
        <v/>
      </c>
    </row>
    <row r="36834">
      <c r="A36834" t="n">
        <v>36833</v>
      </c>
      <c r="B36834" t="inlineStr">
        <is>
          <t>x̄x̄x̄V̅MDCCCXXXIII</t>
        </is>
      </c>
      <c r="C36834">
        <f>ROMAN(36833)</f>
        <v/>
      </c>
      <c r="D36834">
        <f>IF(B36834=C36834, "YES", "WRONG")</f>
        <v/>
      </c>
    </row>
    <row r="36835">
      <c r="A36835" t="n">
        <v>36834</v>
      </c>
      <c r="B36835" t="inlineStr">
        <is>
          <t>x̄x̄x̄V̅MDCCCXXXIV</t>
        </is>
      </c>
      <c r="C36835">
        <f>ROMAN(36834)</f>
        <v/>
      </c>
      <c r="D36835">
        <f>IF(B36835=C36835, "YES", "WRONG")</f>
        <v/>
      </c>
    </row>
    <row r="36836">
      <c r="A36836" t="n">
        <v>36835</v>
      </c>
      <c r="B36836" t="inlineStr">
        <is>
          <t>x̄x̄x̄V̅MDCCCXXXV</t>
        </is>
      </c>
      <c r="C36836">
        <f>ROMAN(36835)</f>
        <v/>
      </c>
      <c r="D36836">
        <f>IF(B36836=C36836, "YES", "WRONG")</f>
        <v/>
      </c>
    </row>
    <row r="36837">
      <c r="A36837" t="n">
        <v>36836</v>
      </c>
      <c r="B36837" t="inlineStr">
        <is>
          <t>x̄x̄x̄V̅MDCCCXXXVI</t>
        </is>
      </c>
      <c r="C36837">
        <f>ROMAN(36836)</f>
        <v/>
      </c>
      <c r="D36837">
        <f>IF(B36837=C36837, "YES", "WRONG")</f>
        <v/>
      </c>
    </row>
    <row r="36838">
      <c r="A36838" t="n">
        <v>36837</v>
      </c>
      <c r="B36838" t="inlineStr">
        <is>
          <t>x̄x̄x̄V̅MDCCCXXXVII</t>
        </is>
      </c>
      <c r="C36838">
        <f>ROMAN(36837)</f>
        <v/>
      </c>
      <c r="D36838">
        <f>IF(B36838=C36838, "YES", "WRONG")</f>
        <v/>
      </c>
    </row>
    <row r="36839">
      <c r="A36839" t="n">
        <v>36838</v>
      </c>
      <c r="B36839" t="inlineStr">
        <is>
          <t>x̄x̄x̄V̅MDCCCXXXVIII</t>
        </is>
      </c>
      <c r="C36839">
        <f>ROMAN(36838)</f>
        <v/>
      </c>
      <c r="D36839">
        <f>IF(B36839=C36839, "YES", "WRONG")</f>
        <v/>
      </c>
    </row>
    <row r="36840">
      <c r="A36840" t="n">
        <v>36839</v>
      </c>
      <c r="B36840" t="inlineStr">
        <is>
          <t>x̄x̄x̄V̅MDCCCXXXIX</t>
        </is>
      </c>
      <c r="C36840">
        <f>ROMAN(36839)</f>
        <v/>
      </c>
      <c r="D36840">
        <f>IF(B36840=C36840, "YES", "WRONG")</f>
        <v/>
      </c>
    </row>
    <row r="36841">
      <c r="A36841" t="n">
        <v>36840</v>
      </c>
      <c r="B36841" t="inlineStr">
        <is>
          <t>x̄x̄x̄V̅MDCCCXL</t>
        </is>
      </c>
      <c r="C36841">
        <f>ROMAN(36840)</f>
        <v/>
      </c>
      <c r="D36841">
        <f>IF(B36841=C36841, "YES", "WRONG")</f>
        <v/>
      </c>
    </row>
    <row r="36842">
      <c r="A36842" t="n">
        <v>36841</v>
      </c>
      <c r="B36842" t="inlineStr">
        <is>
          <t>x̄x̄x̄V̅MDCCCXLI</t>
        </is>
      </c>
      <c r="C36842">
        <f>ROMAN(36841)</f>
        <v/>
      </c>
      <c r="D36842">
        <f>IF(B36842=C36842, "YES", "WRONG")</f>
        <v/>
      </c>
    </row>
    <row r="36843">
      <c r="A36843" t="n">
        <v>36842</v>
      </c>
      <c r="B36843" t="inlineStr">
        <is>
          <t>x̄x̄x̄V̅MDCCCXLII</t>
        </is>
      </c>
      <c r="C36843">
        <f>ROMAN(36842)</f>
        <v/>
      </c>
      <c r="D36843">
        <f>IF(B36843=C36843, "YES", "WRONG")</f>
        <v/>
      </c>
    </row>
    <row r="36844">
      <c r="A36844" t="n">
        <v>36843</v>
      </c>
      <c r="B36844" t="inlineStr">
        <is>
          <t>x̄x̄x̄V̅MDCCCXLIII</t>
        </is>
      </c>
      <c r="C36844">
        <f>ROMAN(36843)</f>
        <v/>
      </c>
      <c r="D36844">
        <f>IF(B36844=C36844, "YES", "WRONG")</f>
        <v/>
      </c>
    </row>
    <row r="36845">
      <c r="A36845" t="n">
        <v>36844</v>
      </c>
      <c r="B36845" t="inlineStr">
        <is>
          <t>x̄x̄x̄V̅MDCCCXLIV</t>
        </is>
      </c>
      <c r="C36845">
        <f>ROMAN(36844)</f>
        <v/>
      </c>
      <c r="D36845">
        <f>IF(B36845=C36845, "YES", "WRONG")</f>
        <v/>
      </c>
    </row>
    <row r="36846">
      <c r="A36846" t="n">
        <v>36845</v>
      </c>
      <c r="B36846" t="inlineStr">
        <is>
          <t>x̄x̄x̄V̅MDCCCXLV</t>
        </is>
      </c>
      <c r="C36846">
        <f>ROMAN(36845)</f>
        <v/>
      </c>
      <c r="D36846">
        <f>IF(B36846=C36846, "YES", "WRONG")</f>
        <v/>
      </c>
    </row>
    <row r="36847">
      <c r="A36847" t="n">
        <v>36846</v>
      </c>
      <c r="B36847" t="inlineStr">
        <is>
          <t>x̄x̄x̄V̅MDCCCXLVI</t>
        </is>
      </c>
      <c r="C36847">
        <f>ROMAN(36846)</f>
        <v/>
      </c>
      <c r="D36847">
        <f>IF(B36847=C36847, "YES", "WRONG")</f>
        <v/>
      </c>
    </row>
    <row r="36848">
      <c r="A36848" t="n">
        <v>36847</v>
      </c>
      <c r="B36848" t="inlineStr">
        <is>
          <t>x̄x̄x̄V̅MDCCCXLVII</t>
        </is>
      </c>
      <c r="C36848">
        <f>ROMAN(36847)</f>
        <v/>
      </c>
      <c r="D36848">
        <f>IF(B36848=C36848, "YES", "WRONG")</f>
        <v/>
      </c>
    </row>
    <row r="36849">
      <c r="A36849" t="n">
        <v>36848</v>
      </c>
      <c r="B36849" t="inlineStr">
        <is>
          <t>x̄x̄x̄V̅MDCCCXLVIII</t>
        </is>
      </c>
      <c r="C36849">
        <f>ROMAN(36848)</f>
        <v/>
      </c>
      <c r="D36849">
        <f>IF(B36849=C36849, "YES", "WRONG")</f>
        <v/>
      </c>
    </row>
    <row r="36850">
      <c r="A36850" t="n">
        <v>36849</v>
      </c>
      <c r="B36850" t="inlineStr">
        <is>
          <t>x̄x̄x̄V̅MDCCCXLIX</t>
        </is>
      </c>
      <c r="C36850">
        <f>ROMAN(36849)</f>
        <v/>
      </c>
      <c r="D36850">
        <f>IF(B36850=C36850, "YES", "WRONG")</f>
        <v/>
      </c>
    </row>
    <row r="36851">
      <c r="A36851" t="n">
        <v>36850</v>
      </c>
      <c r="B36851" t="inlineStr">
        <is>
          <t>x̄x̄x̄V̅MDCCCL</t>
        </is>
      </c>
      <c r="C36851">
        <f>ROMAN(36850)</f>
        <v/>
      </c>
      <c r="D36851">
        <f>IF(B36851=C36851, "YES", "WRONG")</f>
        <v/>
      </c>
    </row>
    <row r="36852">
      <c r="A36852" t="n">
        <v>36851</v>
      </c>
      <c r="B36852" t="inlineStr">
        <is>
          <t>x̄x̄x̄V̅MDCCCLI</t>
        </is>
      </c>
      <c r="C36852">
        <f>ROMAN(36851)</f>
        <v/>
      </c>
      <c r="D36852">
        <f>IF(B36852=C36852, "YES", "WRONG")</f>
        <v/>
      </c>
    </row>
    <row r="36853">
      <c r="A36853" t="n">
        <v>36852</v>
      </c>
      <c r="B36853" t="inlineStr">
        <is>
          <t>x̄x̄x̄V̅MDCCCLII</t>
        </is>
      </c>
      <c r="C36853">
        <f>ROMAN(36852)</f>
        <v/>
      </c>
      <c r="D36853">
        <f>IF(B36853=C36853, "YES", "WRONG")</f>
        <v/>
      </c>
    </row>
    <row r="36854">
      <c r="A36854" t="n">
        <v>36853</v>
      </c>
      <c r="B36854" t="inlineStr">
        <is>
          <t>x̄x̄x̄V̅MDCCCLIII</t>
        </is>
      </c>
      <c r="C36854">
        <f>ROMAN(36853)</f>
        <v/>
      </c>
      <c r="D36854">
        <f>IF(B36854=C36854, "YES", "WRONG")</f>
        <v/>
      </c>
    </row>
    <row r="36855">
      <c r="A36855" t="n">
        <v>36854</v>
      </c>
      <c r="B36855" t="inlineStr">
        <is>
          <t>x̄x̄x̄V̅MDCCCLIV</t>
        </is>
      </c>
      <c r="C36855">
        <f>ROMAN(36854)</f>
        <v/>
      </c>
      <c r="D36855">
        <f>IF(B36855=C36855, "YES", "WRONG")</f>
        <v/>
      </c>
    </row>
    <row r="36856">
      <c r="A36856" t="n">
        <v>36855</v>
      </c>
      <c r="B36856" t="inlineStr">
        <is>
          <t>x̄x̄x̄V̅MDCCCLV</t>
        </is>
      </c>
      <c r="C36856">
        <f>ROMAN(36855)</f>
        <v/>
      </c>
      <c r="D36856">
        <f>IF(B36856=C36856, "YES", "WRONG")</f>
        <v/>
      </c>
    </row>
    <row r="36857">
      <c r="A36857" t="n">
        <v>36856</v>
      </c>
      <c r="B36857" t="inlineStr">
        <is>
          <t>x̄x̄x̄V̅MDCCCLVI</t>
        </is>
      </c>
      <c r="C36857">
        <f>ROMAN(36856)</f>
        <v/>
      </c>
      <c r="D36857">
        <f>IF(B36857=C36857, "YES", "WRONG")</f>
        <v/>
      </c>
    </row>
    <row r="36858">
      <c r="A36858" t="n">
        <v>36857</v>
      </c>
      <c r="B36858" t="inlineStr">
        <is>
          <t>x̄x̄x̄V̅MDCCCLVII</t>
        </is>
      </c>
      <c r="C36858">
        <f>ROMAN(36857)</f>
        <v/>
      </c>
      <c r="D36858">
        <f>IF(B36858=C36858, "YES", "WRONG")</f>
        <v/>
      </c>
    </row>
    <row r="36859">
      <c r="A36859" t="n">
        <v>36858</v>
      </c>
      <c r="B36859" t="inlineStr">
        <is>
          <t>x̄x̄x̄V̅MDCCCLVIII</t>
        </is>
      </c>
      <c r="C36859">
        <f>ROMAN(36858)</f>
        <v/>
      </c>
      <c r="D36859">
        <f>IF(B36859=C36859, "YES", "WRONG")</f>
        <v/>
      </c>
    </row>
    <row r="36860">
      <c r="A36860" t="n">
        <v>36859</v>
      </c>
      <c r="B36860" t="inlineStr">
        <is>
          <t>x̄x̄x̄V̅MDCCCLIX</t>
        </is>
      </c>
      <c r="C36860">
        <f>ROMAN(36859)</f>
        <v/>
      </c>
      <c r="D36860">
        <f>IF(B36860=C36860, "YES", "WRONG")</f>
        <v/>
      </c>
    </row>
    <row r="36861">
      <c r="A36861" t="n">
        <v>36860</v>
      </c>
      <c r="B36861" t="inlineStr">
        <is>
          <t>x̄x̄x̄V̅MDCCCLX</t>
        </is>
      </c>
      <c r="C36861">
        <f>ROMAN(36860)</f>
        <v/>
      </c>
      <c r="D36861">
        <f>IF(B36861=C36861, "YES", "WRONG")</f>
        <v/>
      </c>
    </row>
    <row r="36862">
      <c r="A36862" t="n">
        <v>36861</v>
      </c>
      <c r="B36862" t="inlineStr">
        <is>
          <t>x̄x̄x̄V̅MDCCCLXI</t>
        </is>
      </c>
      <c r="C36862">
        <f>ROMAN(36861)</f>
        <v/>
      </c>
      <c r="D36862">
        <f>IF(B36862=C36862, "YES", "WRONG")</f>
        <v/>
      </c>
    </row>
    <row r="36863">
      <c r="A36863" t="n">
        <v>36862</v>
      </c>
      <c r="B36863" t="inlineStr">
        <is>
          <t>x̄x̄x̄V̅MDCCCLXII</t>
        </is>
      </c>
      <c r="C36863">
        <f>ROMAN(36862)</f>
        <v/>
      </c>
      <c r="D36863">
        <f>IF(B36863=C36863, "YES", "WRONG")</f>
        <v/>
      </c>
    </row>
    <row r="36864">
      <c r="A36864" t="n">
        <v>36863</v>
      </c>
      <c r="B36864" t="inlineStr">
        <is>
          <t>x̄x̄x̄V̅MDCCCLXIII</t>
        </is>
      </c>
      <c r="C36864">
        <f>ROMAN(36863)</f>
        <v/>
      </c>
      <c r="D36864">
        <f>IF(B36864=C36864, "YES", "WRONG")</f>
        <v/>
      </c>
    </row>
    <row r="36865">
      <c r="A36865" t="n">
        <v>36864</v>
      </c>
      <c r="B36865" t="inlineStr">
        <is>
          <t>x̄x̄x̄V̅MDCCCLXIV</t>
        </is>
      </c>
      <c r="C36865">
        <f>ROMAN(36864)</f>
        <v/>
      </c>
      <c r="D36865">
        <f>IF(B36865=C36865, "YES", "WRONG")</f>
        <v/>
      </c>
    </row>
    <row r="36866">
      <c r="A36866" t="n">
        <v>36865</v>
      </c>
      <c r="B36866" t="inlineStr">
        <is>
          <t>x̄x̄x̄V̅MDCCCLXV</t>
        </is>
      </c>
      <c r="C36866">
        <f>ROMAN(36865)</f>
        <v/>
      </c>
      <c r="D36866">
        <f>IF(B36866=C36866, "YES", "WRONG")</f>
        <v/>
      </c>
    </row>
    <row r="36867">
      <c r="A36867" t="n">
        <v>36866</v>
      </c>
      <c r="B36867" t="inlineStr">
        <is>
          <t>x̄x̄x̄V̅MDCCCLXVI</t>
        </is>
      </c>
      <c r="C36867">
        <f>ROMAN(36866)</f>
        <v/>
      </c>
      <c r="D36867">
        <f>IF(B36867=C36867, "YES", "WRONG")</f>
        <v/>
      </c>
    </row>
    <row r="36868">
      <c r="A36868" t="n">
        <v>36867</v>
      </c>
      <c r="B36868" t="inlineStr">
        <is>
          <t>x̄x̄x̄V̅MDCCCLXVII</t>
        </is>
      </c>
      <c r="C36868">
        <f>ROMAN(36867)</f>
        <v/>
      </c>
      <c r="D36868">
        <f>IF(B36868=C36868, "YES", "WRONG")</f>
        <v/>
      </c>
    </row>
    <row r="36869">
      <c r="A36869" t="n">
        <v>36868</v>
      </c>
      <c r="B36869" t="inlineStr">
        <is>
          <t>x̄x̄x̄V̅MDCCCLXVIII</t>
        </is>
      </c>
      <c r="C36869">
        <f>ROMAN(36868)</f>
        <v/>
      </c>
      <c r="D36869">
        <f>IF(B36869=C36869, "YES", "WRONG")</f>
        <v/>
      </c>
    </row>
    <row r="36870">
      <c r="A36870" t="n">
        <v>36869</v>
      </c>
      <c r="B36870" t="inlineStr">
        <is>
          <t>x̄x̄x̄V̅MDCCCLXIX</t>
        </is>
      </c>
      <c r="C36870">
        <f>ROMAN(36869)</f>
        <v/>
      </c>
      <c r="D36870">
        <f>IF(B36870=C36870, "YES", "WRONG")</f>
        <v/>
      </c>
    </row>
    <row r="36871">
      <c r="A36871" t="n">
        <v>36870</v>
      </c>
      <c r="B36871" t="inlineStr">
        <is>
          <t>x̄x̄x̄V̅MDCCCLXX</t>
        </is>
      </c>
      <c r="C36871">
        <f>ROMAN(36870)</f>
        <v/>
      </c>
      <c r="D36871">
        <f>IF(B36871=C36871, "YES", "WRONG")</f>
        <v/>
      </c>
    </row>
    <row r="36872">
      <c r="A36872" t="n">
        <v>36871</v>
      </c>
      <c r="B36872" t="inlineStr">
        <is>
          <t>x̄x̄x̄V̅MDCCCLXXI</t>
        </is>
      </c>
      <c r="C36872">
        <f>ROMAN(36871)</f>
        <v/>
      </c>
      <c r="D36872">
        <f>IF(B36872=C36872, "YES", "WRONG")</f>
        <v/>
      </c>
    </row>
    <row r="36873">
      <c r="A36873" t="n">
        <v>36872</v>
      </c>
      <c r="B36873" t="inlineStr">
        <is>
          <t>x̄x̄x̄V̅MDCCCLXXII</t>
        </is>
      </c>
      <c r="C36873">
        <f>ROMAN(36872)</f>
        <v/>
      </c>
      <c r="D36873">
        <f>IF(B36873=C36873, "YES", "WRONG")</f>
        <v/>
      </c>
    </row>
    <row r="36874">
      <c r="A36874" t="n">
        <v>36873</v>
      </c>
      <c r="B36874" t="inlineStr">
        <is>
          <t>x̄x̄x̄V̅MDCCCLXXIII</t>
        </is>
      </c>
      <c r="C36874">
        <f>ROMAN(36873)</f>
        <v/>
      </c>
      <c r="D36874">
        <f>IF(B36874=C36874, "YES", "WRONG")</f>
        <v/>
      </c>
    </row>
    <row r="36875">
      <c r="A36875" t="n">
        <v>36874</v>
      </c>
      <c r="B36875" t="inlineStr">
        <is>
          <t>x̄x̄x̄V̅MDCCCLXXIV</t>
        </is>
      </c>
      <c r="C36875">
        <f>ROMAN(36874)</f>
        <v/>
      </c>
      <c r="D36875">
        <f>IF(B36875=C36875, "YES", "WRONG")</f>
        <v/>
      </c>
    </row>
    <row r="36876">
      <c r="A36876" t="n">
        <v>36875</v>
      </c>
      <c r="B36876" t="inlineStr">
        <is>
          <t>x̄x̄x̄V̅MDCCCLXXV</t>
        </is>
      </c>
      <c r="C36876">
        <f>ROMAN(36875)</f>
        <v/>
      </c>
      <c r="D36876">
        <f>IF(B36876=C36876, "YES", "WRONG")</f>
        <v/>
      </c>
    </row>
    <row r="36877">
      <c r="A36877" t="n">
        <v>36876</v>
      </c>
      <c r="B36877" t="inlineStr">
        <is>
          <t>x̄x̄x̄V̅MDCCCLXXVI</t>
        </is>
      </c>
      <c r="C36877">
        <f>ROMAN(36876)</f>
        <v/>
      </c>
      <c r="D36877">
        <f>IF(B36877=C36877, "YES", "WRONG")</f>
        <v/>
      </c>
    </row>
    <row r="36878">
      <c r="A36878" t="n">
        <v>36877</v>
      </c>
      <c r="B36878" t="inlineStr">
        <is>
          <t>x̄x̄x̄V̅MDCCCLXXVII</t>
        </is>
      </c>
      <c r="C36878">
        <f>ROMAN(36877)</f>
        <v/>
      </c>
      <c r="D36878">
        <f>IF(B36878=C36878, "YES", "WRONG")</f>
        <v/>
      </c>
    </row>
    <row r="36879">
      <c r="A36879" t="n">
        <v>36878</v>
      </c>
      <c r="B36879" t="inlineStr">
        <is>
          <t>x̄x̄x̄V̅MDCCCLXXVIII</t>
        </is>
      </c>
      <c r="C36879">
        <f>ROMAN(36878)</f>
        <v/>
      </c>
      <c r="D36879">
        <f>IF(B36879=C36879, "YES", "WRONG")</f>
        <v/>
      </c>
    </row>
    <row r="36880">
      <c r="A36880" t="n">
        <v>36879</v>
      </c>
      <c r="B36880" t="inlineStr">
        <is>
          <t>x̄x̄x̄V̅MDCCCLXXIX</t>
        </is>
      </c>
      <c r="C36880">
        <f>ROMAN(36879)</f>
        <v/>
      </c>
      <c r="D36880">
        <f>IF(B36880=C36880, "YES", "WRONG")</f>
        <v/>
      </c>
    </row>
    <row r="36881">
      <c r="A36881" t="n">
        <v>36880</v>
      </c>
      <c r="B36881" t="inlineStr">
        <is>
          <t>x̄x̄x̄V̅MDCCCLXXX</t>
        </is>
      </c>
      <c r="C36881">
        <f>ROMAN(36880)</f>
        <v/>
      </c>
      <c r="D36881">
        <f>IF(B36881=C36881, "YES", "WRONG")</f>
        <v/>
      </c>
    </row>
    <row r="36882">
      <c r="A36882" t="n">
        <v>36881</v>
      </c>
      <c r="B36882" t="inlineStr">
        <is>
          <t>x̄x̄x̄V̅MDCCCLXXXI</t>
        </is>
      </c>
      <c r="C36882">
        <f>ROMAN(36881)</f>
        <v/>
      </c>
      <c r="D36882">
        <f>IF(B36882=C36882, "YES", "WRONG")</f>
        <v/>
      </c>
    </row>
    <row r="36883">
      <c r="A36883" t="n">
        <v>36882</v>
      </c>
      <c r="B36883" t="inlineStr">
        <is>
          <t>x̄x̄x̄V̅MDCCCLXXXII</t>
        </is>
      </c>
      <c r="C36883">
        <f>ROMAN(36882)</f>
        <v/>
      </c>
      <c r="D36883">
        <f>IF(B36883=C36883, "YES", "WRONG")</f>
        <v/>
      </c>
    </row>
    <row r="36884">
      <c r="A36884" t="n">
        <v>36883</v>
      </c>
      <c r="B36884" t="inlineStr">
        <is>
          <t>x̄x̄x̄V̅MDCCCLXXXIII</t>
        </is>
      </c>
      <c r="C36884">
        <f>ROMAN(36883)</f>
        <v/>
      </c>
      <c r="D36884">
        <f>IF(B36884=C36884, "YES", "WRONG")</f>
        <v/>
      </c>
    </row>
    <row r="36885">
      <c r="A36885" t="n">
        <v>36884</v>
      </c>
      <c r="B36885" t="inlineStr">
        <is>
          <t>x̄x̄x̄V̅MDCCCLXXXIV</t>
        </is>
      </c>
      <c r="C36885">
        <f>ROMAN(36884)</f>
        <v/>
      </c>
      <c r="D36885">
        <f>IF(B36885=C36885, "YES", "WRONG")</f>
        <v/>
      </c>
    </row>
    <row r="36886">
      <c r="A36886" t="n">
        <v>36885</v>
      </c>
      <c r="B36886" t="inlineStr">
        <is>
          <t>x̄x̄x̄V̅MDCCCLXXXV</t>
        </is>
      </c>
      <c r="C36886">
        <f>ROMAN(36885)</f>
        <v/>
      </c>
      <c r="D36886">
        <f>IF(B36886=C36886, "YES", "WRONG")</f>
        <v/>
      </c>
    </row>
    <row r="36887">
      <c r="A36887" t="n">
        <v>36886</v>
      </c>
      <c r="B36887" t="inlineStr">
        <is>
          <t>x̄x̄x̄V̅MDCCCLXXXVI</t>
        </is>
      </c>
      <c r="C36887">
        <f>ROMAN(36886)</f>
        <v/>
      </c>
      <c r="D36887">
        <f>IF(B36887=C36887, "YES", "WRONG")</f>
        <v/>
      </c>
    </row>
    <row r="36888">
      <c r="A36888" t="n">
        <v>36887</v>
      </c>
      <c r="B36888" t="inlineStr">
        <is>
          <t>x̄x̄x̄V̅MDCCCLXXXVII</t>
        </is>
      </c>
      <c r="C36888">
        <f>ROMAN(36887)</f>
        <v/>
      </c>
      <c r="D36888">
        <f>IF(B36888=C36888, "YES", "WRONG")</f>
        <v/>
      </c>
    </row>
    <row r="36889">
      <c r="A36889" t="n">
        <v>36888</v>
      </c>
      <c r="B36889" t="inlineStr">
        <is>
          <t>x̄x̄x̄V̅MDCCCLXXXVIII</t>
        </is>
      </c>
      <c r="C36889">
        <f>ROMAN(36888)</f>
        <v/>
      </c>
      <c r="D36889">
        <f>IF(B36889=C36889, "YES", "WRONG")</f>
        <v/>
      </c>
    </row>
    <row r="36890">
      <c r="A36890" t="n">
        <v>36889</v>
      </c>
      <c r="B36890" t="inlineStr">
        <is>
          <t>x̄x̄x̄V̅MDCCCLXXXIX</t>
        </is>
      </c>
      <c r="C36890">
        <f>ROMAN(36889)</f>
        <v/>
      </c>
      <c r="D36890">
        <f>IF(B36890=C36890, "YES", "WRONG")</f>
        <v/>
      </c>
    </row>
    <row r="36891">
      <c r="A36891" t="n">
        <v>36890</v>
      </c>
      <c r="B36891" t="inlineStr">
        <is>
          <t>x̄x̄x̄V̅MDCCCXC</t>
        </is>
      </c>
      <c r="C36891">
        <f>ROMAN(36890)</f>
        <v/>
      </c>
      <c r="D36891">
        <f>IF(B36891=C36891, "YES", "WRONG")</f>
        <v/>
      </c>
    </row>
    <row r="36892">
      <c r="A36892" t="n">
        <v>36891</v>
      </c>
      <c r="B36892" t="inlineStr">
        <is>
          <t>x̄x̄x̄V̅MDCCCXCI</t>
        </is>
      </c>
      <c r="C36892">
        <f>ROMAN(36891)</f>
        <v/>
      </c>
      <c r="D36892">
        <f>IF(B36892=C36892, "YES", "WRONG")</f>
        <v/>
      </c>
    </row>
    <row r="36893">
      <c r="A36893" t="n">
        <v>36892</v>
      </c>
      <c r="B36893" t="inlineStr">
        <is>
          <t>x̄x̄x̄V̅MDCCCXCII</t>
        </is>
      </c>
      <c r="C36893">
        <f>ROMAN(36892)</f>
        <v/>
      </c>
      <c r="D36893">
        <f>IF(B36893=C36893, "YES", "WRONG")</f>
        <v/>
      </c>
    </row>
    <row r="36894">
      <c r="A36894" t="n">
        <v>36893</v>
      </c>
      <c r="B36894" t="inlineStr">
        <is>
          <t>x̄x̄x̄V̅MDCCCXCIII</t>
        </is>
      </c>
      <c r="C36894">
        <f>ROMAN(36893)</f>
        <v/>
      </c>
      <c r="D36894">
        <f>IF(B36894=C36894, "YES", "WRONG")</f>
        <v/>
      </c>
    </row>
    <row r="36895">
      <c r="A36895" t="n">
        <v>36894</v>
      </c>
      <c r="B36895" t="inlineStr">
        <is>
          <t>x̄x̄x̄V̅MDCCCXCIV</t>
        </is>
      </c>
      <c r="C36895">
        <f>ROMAN(36894)</f>
        <v/>
      </c>
      <c r="D36895">
        <f>IF(B36895=C36895, "YES", "WRONG")</f>
        <v/>
      </c>
    </row>
    <row r="36896">
      <c r="A36896" t="n">
        <v>36895</v>
      </c>
      <c r="B36896" t="inlineStr">
        <is>
          <t>x̄x̄x̄V̅MDCCCXCV</t>
        </is>
      </c>
      <c r="C36896">
        <f>ROMAN(36895)</f>
        <v/>
      </c>
      <c r="D36896">
        <f>IF(B36896=C36896, "YES", "WRONG")</f>
        <v/>
      </c>
    </row>
    <row r="36897">
      <c r="A36897" t="n">
        <v>36896</v>
      </c>
      <c r="B36897" t="inlineStr">
        <is>
          <t>x̄x̄x̄V̅MDCCCXCVI</t>
        </is>
      </c>
      <c r="C36897">
        <f>ROMAN(36896)</f>
        <v/>
      </c>
      <c r="D36897">
        <f>IF(B36897=C36897, "YES", "WRONG")</f>
        <v/>
      </c>
    </row>
    <row r="36898">
      <c r="A36898" t="n">
        <v>36897</v>
      </c>
      <c r="B36898" t="inlineStr">
        <is>
          <t>x̄x̄x̄V̅MDCCCXCVII</t>
        </is>
      </c>
      <c r="C36898">
        <f>ROMAN(36897)</f>
        <v/>
      </c>
      <c r="D36898">
        <f>IF(B36898=C36898, "YES", "WRONG")</f>
        <v/>
      </c>
    </row>
    <row r="36899">
      <c r="A36899" t="n">
        <v>36898</v>
      </c>
      <c r="B36899" t="inlineStr">
        <is>
          <t>x̄x̄x̄V̅MDCCCXCVIII</t>
        </is>
      </c>
      <c r="C36899">
        <f>ROMAN(36898)</f>
        <v/>
      </c>
      <c r="D36899">
        <f>IF(B36899=C36899, "YES", "WRONG")</f>
        <v/>
      </c>
    </row>
    <row r="36900">
      <c r="A36900" t="n">
        <v>36899</v>
      </c>
      <c r="B36900" t="inlineStr">
        <is>
          <t>x̄x̄x̄V̅MDCCCXCIX</t>
        </is>
      </c>
      <c r="C36900">
        <f>ROMAN(36899)</f>
        <v/>
      </c>
      <c r="D36900">
        <f>IF(B36900=C36900, "YES", "WRONG")</f>
        <v/>
      </c>
    </row>
    <row r="36901">
      <c r="A36901" t="n">
        <v>36900</v>
      </c>
      <c r="B36901" t="inlineStr">
        <is>
          <t>x̄x̄x̄V̅MCM</t>
        </is>
      </c>
      <c r="C36901">
        <f>ROMAN(36900)</f>
        <v/>
      </c>
      <c r="D36901">
        <f>IF(B36901=C36901, "YES", "WRONG")</f>
        <v/>
      </c>
    </row>
    <row r="36902">
      <c r="A36902" t="n">
        <v>36901</v>
      </c>
      <c r="B36902" t="inlineStr">
        <is>
          <t>x̄x̄x̄V̅MCMI</t>
        </is>
      </c>
      <c r="C36902">
        <f>ROMAN(36901)</f>
        <v/>
      </c>
      <c r="D36902">
        <f>IF(B36902=C36902, "YES", "WRONG")</f>
        <v/>
      </c>
    </row>
    <row r="36903">
      <c r="A36903" t="n">
        <v>36902</v>
      </c>
      <c r="B36903" t="inlineStr">
        <is>
          <t>x̄x̄x̄V̅MCMII</t>
        </is>
      </c>
      <c r="C36903">
        <f>ROMAN(36902)</f>
        <v/>
      </c>
      <c r="D36903">
        <f>IF(B36903=C36903, "YES", "WRONG")</f>
        <v/>
      </c>
    </row>
    <row r="36904">
      <c r="A36904" t="n">
        <v>36903</v>
      </c>
      <c r="B36904" t="inlineStr">
        <is>
          <t>x̄x̄x̄V̅MCMIII</t>
        </is>
      </c>
      <c r="C36904">
        <f>ROMAN(36903)</f>
        <v/>
      </c>
      <c r="D36904">
        <f>IF(B36904=C36904, "YES", "WRONG")</f>
        <v/>
      </c>
    </row>
    <row r="36905">
      <c r="A36905" t="n">
        <v>36904</v>
      </c>
      <c r="B36905" t="inlineStr">
        <is>
          <t>x̄x̄x̄V̅MCMIV</t>
        </is>
      </c>
      <c r="C36905">
        <f>ROMAN(36904)</f>
        <v/>
      </c>
      <c r="D36905">
        <f>IF(B36905=C36905, "YES", "WRONG")</f>
        <v/>
      </c>
    </row>
    <row r="36906">
      <c r="A36906" t="n">
        <v>36905</v>
      </c>
      <c r="B36906" t="inlineStr">
        <is>
          <t>x̄x̄x̄V̅MCMV</t>
        </is>
      </c>
      <c r="C36906">
        <f>ROMAN(36905)</f>
        <v/>
      </c>
      <c r="D36906">
        <f>IF(B36906=C36906, "YES", "WRONG")</f>
        <v/>
      </c>
    </row>
    <row r="36907">
      <c r="A36907" t="n">
        <v>36906</v>
      </c>
      <c r="B36907" t="inlineStr">
        <is>
          <t>x̄x̄x̄V̅MCMVI</t>
        </is>
      </c>
      <c r="C36907">
        <f>ROMAN(36906)</f>
        <v/>
      </c>
      <c r="D36907">
        <f>IF(B36907=C36907, "YES", "WRONG")</f>
        <v/>
      </c>
    </row>
    <row r="36908">
      <c r="A36908" t="n">
        <v>36907</v>
      </c>
      <c r="B36908" t="inlineStr">
        <is>
          <t>x̄x̄x̄V̅MCMVII</t>
        </is>
      </c>
      <c r="C36908">
        <f>ROMAN(36907)</f>
        <v/>
      </c>
      <c r="D36908">
        <f>IF(B36908=C36908, "YES", "WRONG")</f>
        <v/>
      </c>
    </row>
    <row r="36909">
      <c r="A36909" t="n">
        <v>36908</v>
      </c>
      <c r="B36909" t="inlineStr">
        <is>
          <t>x̄x̄x̄V̅MCMVIII</t>
        </is>
      </c>
      <c r="C36909">
        <f>ROMAN(36908)</f>
        <v/>
      </c>
      <c r="D36909">
        <f>IF(B36909=C36909, "YES", "WRONG")</f>
        <v/>
      </c>
    </row>
    <row r="36910">
      <c r="A36910" t="n">
        <v>36909</v>
      </c>
      <c r="B36910" t="inlineStr">
        <is>
          <t>x̄x̄x̄V̅MCMIX</t>
        </is>
      </c>
      <c r="C36910">
        <f>ROMAN(36909)</f>
        <v/>
      </c>
      <c r="D36910">
        <f>IF(B36910=C36910, "YES", "WRONG")</f>
        <v/>
      </c>
    </row>
    <row r="36911">
      <c r="A36911" t="n">
        <v>36910</v>
      </c>
      <c r="B36911" t="inlineStr">
        <is>
          <t>x̄x̄x̄V̅MCMX</t>
        </is>
      </c>
      <c r="C36911">
        <f>ROMAN(36910)</f>
        <v/>
      </c>
      <c r="D36911">
        <f>IF(B36911=C36911, "YES", "WRONG")</f>
        <v/>
      </c>
    </row>
    <row r="36912">
      <c r="A36912" t="n">
        <v>36911</v>
      </c>
      <c r="B36912" t="inlineStr">
        <is>
          <t>x̄x̄x̄V̅MCMXI</t>
        </is>
      </c>
      <c r="C36912">
        <f>ROMAN(36911)</f>
        <v/>
      </c>
      <c r="D36912">
        <f>IF(B36912=C36912, "YES", "WRONG")</f>
        <v/>
      </c>
    </row>
    <row r="36913">
      <c r="A36913" t="n">
        <v>36912</v>
      </c>
      <c r="B36913" t="inlineStr">
        <is>
          <t>x̄x̄x̄V̅MCMXII</t>
        </is>
      </c>
      <c r="C36913">
        <f>ROMAN(36912)</f>
        <v/>
      </c>
      <c r="D36913">
        <f>IF(B36913=C36913, "YES", "WRONG")</f>
        <v/>
      </c>
    </row>
    <row r="36914">
      <c r="A36914" t="n">
        <v>36913</v>
      </c>
      <c r="B36914" t="inlineStr">
        <is>
          <t>x̄x̄x̄V̅MCMXIII</t>
        </is>
      </c>
      <c r="C36914">
        <f>ROMAN(36913)</f>
        <v/>
      </c>
      <c r="D36914">
        <f>IF(B36914=C36914, "YES", "WRONG")</f>
        <v/>
      </c>
    </row>
    <row r="36915">
      <c r="A36915" t="n">
        <v>36914</v>
      </c>
      <c r="B36915" t="inlineStr">
        <is>
          <t>x̄x̄x̄V̅MCMXIV</t>
        </is>
      </c>
      <c r="C36915">
        <f>ROMAN(36914)</f>
        <v/>
      </c>
      <c r="D36915">
        <f>IF(B36915=C36915, "YES", "WRONG")</f>
        <v/>
      </c>
    </row>
    <row r="36916">
      <c r="A36916" t="n">
        <v>36915</v>
      </c>
      <c r="B36916" t="inlineStr">
        <is>
          <t>x̄x̄x̄V̅MCMXV</t>
        </is>
      </c>
      <c r="C36916">
        <f>ROMAN(36915)</f>
        <v/>
      </c>
      <c r="D36916">
        <f>IF(B36916=C36916, "YES", "WRONG")</f>
        <v/>
      </c>
    </row>
    <row r="36917">
      <c r="A36917" t="n">
        <v>36916</v>
      </c>
      <c r="B36917" t="inlineStr">
        <is>
          <t>x̄x̄x̄V̅MCMXVI</t>
        </is>
      </c>
      <c r="C36917">
        <f>ROMAN(36916)</f>
        <v/>
      </c>
      <c r="D36917">
        <f>IF(B36917=C36917, "YES", "WRONG")</f>
        <v/>
      </c>
    </row>
    <row r="36918">
      <c r="A36918" t="n">
        <v>36917</v>
      </c>
      <c r="B36918" t="inlineStr">
        <is>
          <t>x̄x̄x̄V̅MCMXVII</t>
        </is>
      </c>
      <c r="C36918">
        <f>ROMAN(36917)</f>
        <v/>
      </c>
      <c r="D36918">
        <f>IF(B36918=C36918, "YES", "WRONG")</f>
        <v/>
      </c>
    </row>
    <row r="36919">
      <c r="A36919" t="n">
        <v>36918</v>
      </c>
      <c r="B36919" t="inlineStr">
        <is>
          <t>x̄x̄x̄V̅MCMXVIII</t>
        </is>
      </c>
      <c r="C36919">
        <f>ROMAN(36918)</f>
        <v/>
      </c>
      <c r="D36919">
        <f>IF(B36919=C36919, "YES", "WRONG")</f>
        <v/>
      </c>
    </row>
    <row r="36920">
      <c r="A36920" t="n">
        <v>36919</v>
      </c>
      <c r="B36920" t="inlineStr">
        <is>
          <t>x̄x̄x̄V̅MCMXIX</t>
        </is>
      </c>
      <c r="C36920">
        <f>ROMAN(36919)</f>
        <v/>
      </c>
      <c r="D36920">
        <f>IF(B36920=C36920, "YES", "WRONG")</f>
        <v/>
      </c>
    </row>
    <row r="36921">
      <c r="A36921" t="n">
        <v>36920</v>
      </c>
      <c r="B36921" t="inlineStr">
        <is>
          <t>x̄x̄x̄V̅MCMXX</t>
        </is>
      </c>
      <c r="C36921">
        <f>ROMAN(36920)</f>
        <v/>
      </c>
      <c r="D36921">
        <f>IF(B36921=C36921, "YES", "WRONG")</f>
        <v/>
      </c>
    </row>
    <row r="36922">
      <c r="A36922" t="n">
        <v>36921</v>
      </c>
      <c r="B36922" t="inlineStr">
        <is>
          <t>x̄x̄x̄V̅MCMXXI</t>
        </is>
      </c>
      <c r="C36922">
        <f>ROMAN(36921)</f>
        <v/>
      </c>
      <c r="D36922">
        <f>IF(B36922=C36922, "YES", "WRONG")</f>
        <v/>
      </c>
    </row>
    <row r="36923">
      <c r="A36923" t="n">
        <v>36922</v>
      </c>
      <c r="B36923" t="inlineStr">
        <is>
          <t>x̄x̄x̄V̅MCMXXII</t>
        </is>
      </c>
      <c r="C36923">
        <f>ROMAN(36922)</f>
        <v/>
      </c>
      <c r="D36923">
        <f>IF(B36923=C36923, "YES", "WRONG")</f>
        <v/>
      </c>
    </row>
    <row r="36924">
      <c r="A36924" t="n">
        <v>36923</v>
      </c>
      <c r="B36924" t="inlineStr">
        <is>
          <t>x̄x̄x̄V̅MCMXXIII</t>
        </is>
      </c>
      <c r="C36924">
        <f>ROMAN(36923)</f>
        <v/>
      </c>
      <c r="D36924">
        <f>IF(B36924=C36924, "YES", "WRONG")</f>
        <v/>
      </c>
    </row>
    <row r="36925">
      <c r="A36925" t="n">
        <v>36924</v>
      </c>
      <c r="B36925" t="inlineStr">
        <is>
          <t>x̄x̄x̄V̅MCMXXIV</t>
        </is>
      </c>
      <c r="C36925">
        <f>ROMAN(36924)</f>
        <v/>
      </c>
      <c r="D36925">
        <f>IF(B36925=C36925, "YES", "WRONG")</f>
        <v/>
      </c>
    </row>
    <row r="36926">
      <c r="A36926" t="n">
        <v>36925</v>
      </c>
      <c r="B36926" t="inlineStr">
        <is>
          <t>x̄x̄x̄V̅MCMXXV</t>
        </is>
      </c>
      <c r="C36926">
        <f>ROMAN(36925)</f>
        <v/>
      </c>
      <c r="D36926">
        <f>IF(B36926=C36926, "YES", "WRONG")</f>
        <v/>
      </c>
    </row>
    <row r="36927">
      <c r="A36927" t="n">
        <v>36926</v>
      </c>
      <c r="B36927" t="inlineStr">
        <is>
          <t>x̄x̄x̄V̅MCMXXVI</t>
        </is>
      </c>
      <c r="C36927">
        <f>ROMAN(36926)</f>
        <v/>
      </c>
      <c r="D36927">
        <f>IF(B36927=C36927, "YES", "WRONG")</f>
        <v/>
      </c>
    </row>
    <row r="36928">
      <c r="A36928" t="n">
        <v>36927</v>
      </c>
      <c r="B36928" t="inlineStr">
        <is>
          <t>x̄x̄x̄V̅MCMXXVII</t>
        </is>
      </c>
      <c r="C36928">
        <f>ROMAN(36927)</f>
        <v/>
      </c>
      <c r="D36928">
        <f>IF(B36928=C36928, "YES", "WRONG")</f>
        <v/>
      </c>
    </row>
    <row r="36929">
      <c r="A36929" t="n">
        <v>36928</v>
      </c>
      <c r="B36929" t="inlineStr">
        <is>
          <t>x̄x̄x̄V̅MCMXXVIII</t>
        </is>
      </c>
      <c r="C36929">
        <f>ROMAN(36928)</f>
        <v/>
      </c>
      <c r="D36929">
        <f>IF(B36929=C36929, "YES", "WRONG")</f>
        <v/>
      </c>
    </row>
    <row r="36930">
      <c r="A36930" t="n">
        <v>36929</v>
      </c>
      <c r="B36930" t="inlineStr">
        <is>
          <t>x̄x̄x̄V̅MCMXXIX</t>
        </is>
      </c>
      <c r="C36930">
        <f>ROMAN(36929)</f>
        <v/>
      </c>
      <c r="D36930">
        <f>IF(B36930=C36930, "YES", "WRONG")</f>
        <v/>
      </c>
    </row>
    <row r="36931">
      <c r="A36931" t="n">
        <v>36930</v>
      </c>
      <c r="B36931" t="inlineStr">
        <is>
          <t>x̄x̄x̄V̅MCMXXX</t>
        </is>
      </c>
      <c r="C36931">
        <f>ROMAN(36930)</f>
        <v/>
      </c>
      <c r="D36931">
        <f>IF(B36931=C36931, "YES", "WRONG")</f>
        <v/>
      </c>
    </row>
    <row r="36932">
      <c r="A36932" t="n">
        <v>36931</v>
      </c>
      <c r="B36932" t="inlineStr">
        <is>
          <t>x̄x̄x̄V̅MCMXXXI</t>
        </is>
      </c>
      <c r="C36932">
        <f>ROMAN(36931)</f>
        <v/>
      </c>
      <c r="D36932">
        <f>IF(B36932=C36932, "YES", "WRONG")</f>
        <v/>
      </c>
    </row>
    <row r="36933">
      <c r="A36933" t="n">
        <v>36932</v>
      </c>
      <c r="B36933" t="inlineStr">
        <is>
          <t>x̄x̄x̄V̅MCMXXXII</t>
        </is>
      </c>
      <c r="C36933">
        <f>ROMAN(36932)</f>
        <v/>
      </c>
      <c r="D36933">
        <f>IF(B36933=C36933, "YES", "WRONG")</f>
        <v/>
      </c>
    </row>
    <row r="36934">
      <c r="A36934" t="n">
        <v>36933</v>
      </c>
      <c r="B36934" t="inlineStr">
        <is>
          <t>x̄x̄x̄V̅MCMXXXIII</t>
        </is>
      </c>
      <c r="C36934">
        <f>ROMAN(36933)</f>
        <v/>
      </c>
      <c r="D36934">
        <f>IF(B36934=C36934, "YES", "WRONG")</f>
        <v/>
      </c>
    </row>
    <row r="36935">
      <c r="A36935" t="n">
        <v>36934</v>
      </c>
      <c r="B36935" t="inlineStr">
        <is>
          <t>x̄x̄x̄V̅MCMXXXIV</t>
        </is>
      </c>
      <c r="C36935">
        <f>ROMAN(36934)</f>
        <v/>
      </c>
      <c r="D36935">
        <f>IF(B36935=C36935, "YES", "WRONG")</f>
        <v/>
      </c>
    </row>
    <row r="36936">
      <c r="A36936" t="n">
        <v>36935</v>
      </c>
      <c r="B36936" t="inlineStr">
        <is>
          <t>x̄x̄x̄V̅MCMXXXV</t>
        </is>
      </c>
      <c r="C36936">
        <f>ROMAN(36935)</f>
        <v/>
      </c>
      <c r="D36936">
        <f>IF(B36936=C36936, "YES", "WRONG")</f>
        <v/>
      </c>
    </row>
    <row r="36937">
      <c r="A36937" t="n">
        <v>36936</v>
      </c>
      <c r="B36937" t="inlineStr">
        <is>
          <t>x̄x̄x̄V̅MCMXXXVI</t>
        </is>
      </c>
      <c r="C36937">
        <f>ROMAN(36936)</f>
        <v/>
      </c>
      <c r="D36937">
        <f>IF(B36937=C36937, "YES", "WRONG")</f>
        <v/>
      </c>
    </row>
    <row r="36938">
      <c r="A36938" t="n">
        <v>36937</v>
      </c>
      <c r="B36938" t="inlineStr">
        <is>
          <t>x̄x̄x̄V̅MCMXXXVII</t>
        </is>
      </c>
      <c r="C36938">
        <f>ROMAN(36937)</f>
        <v/>
      </c>
      <c r="D36938">
        <f>IF(B36938=C36938, "YES", "WRONG")</f>
        <v/>
      </c>
    </row>
    <row r="36939">
      <c r="A36939" t="n">
        <v>36938</v>
      </c>
      <c r="B36939" t="inlineStr">
        <is>
          <t>x̄x̄x̄V̅MCMXXXVIII</t>
        </is>
      </c>
      <c r="C36939">
        <f>ROMAN(36938)</f>
        <v/>
      </c>
      <c r="D36939">
        <f>IF(B36939=C36939, "YES", "WRONG")</f>
        <v/>
      </c>
    </row>
    <row r="36940">
      <c r="A36940" t="n">
        <v>36939</v>
      </c>
      <c r="B36940" t="inlineStr">
        <is>
          <t>x̄x̄x̄V̅MCMXXXIX</t>
        </is>
      </c>
      <c r="C36940">
        <f>ROMAN(36939)</f>
        <v/>
      </c>
      <c r="D36940">
        <f>IF(B36940=C36940, "YES", "WRONG")</f>
        <v/>
      </c>
    </row>
    <row r="36941">
      <c r="A36941" t="n">
        <v>36940</v>
      </c>
      <c r="B36941" t="inlineStr">
        <is>
          <t>x̄x̄x̄V̅MCMXL</t>
        </is>
      </c>
      <c r="C36941">
        <f>ROMAN(36940)</f>
        <v/>
      </c>
      <c r="D36941">
        <f>IF(B36941=C36941, "YES", "WRONG")</f>
        <v/>
      </c>
    </row>
    <row r="36942">
      <c r="A36942" t="n">
        <v>36941</v>
      </c>
      <c r="B36942" t="inlineStr">
        <is>
          <t>x̄x̄x̄V̅MCMXLI</t>
        </is>
      </c>
      <c r="C36942">
        <f>ROMAN(36941)</f>
        <v/>
      </c>
      <c r="D36942">
        <f>IF(B36942=C36942, "YES", "WRONG")</f>
        <v/>
      </c>
    </row>
    <row r="36943">
      <c r="A36943" t="n">
        <v>36942</v>
      </c>
      <c r="B36943" t="inlineStr">
        <is>
          <t>x̄x̄x̄V̅MCMXLII</t>
        </is>
      </c>
      <c r="C36943">
        <f>ROMAN(36942)</f>
        <v/>
      </c>
      <c r="D36943">
        <f>IF(B36943=C36943, "YES", "WRONG")</f>
        <v/>
      </c>
    </row>
    <row r="36944">
      <c r="A36944" t="n">
        <v>36943</v>
      </c>
      <c r="B36944" t="inlineStr">
        <is>
          <t>x̄x̄x̄V̅MCMXLIII</t>
        </is>
      </c>
      <c r="C36944">
        <f>ROMAN(36943)</f>
        <v/>
      </c>
      <c r="D36944">
        <f>IF(B36944=C36944, "YES", "WRONG")</f>
        <v/>
      </c>
    </row>
    <row r="36945">
      <c r="A36945" t="n">
        <v>36944</v>
      </c>
      <c r="B36945" t="inlineStr">
        <is>
          <t>x̄x̄x̄V̅MCMXLIV</t>
        </is>
      </c>
      <c r="C36945">
        <f>ROMAN(36944)</f>
        <v/>
      </c>
      <c r="D36945">
        <f>IF(B36945=C36945, "YES", "WRONG")</f>
        <v/>
      </c>
    </row>
    <row r="36946">
      <c r="A36946" t="n">
        <v>36945</v>
      </c>
      <c r="B36946" t="inlineStr">
        <is>
          <t>x̄x̄x̄V̅MCMXLV</t>
        </is>
      </c>
      <c r="C36946">
        <f>ROMAN(36945)</f>
        <v/>
      </c>
      <c r="D36946">
        <f>IF(B36946=C36946, "YES", "WRONG")</f>
        <v/>
      </c>
    </row>
    <row r="36947">
      <c r="A36947" t="n">
        <v>36946</v>
      </c>
      <c r="B36947" t="inlineStr">
        <is>
          <t>x̄x̄x̄V̅MCMXLVI</t>
        </is>
      </c>
      <c r="C36947">
        <f>ROMAN(36946)</f>
        <v/>
      </c>
      <c r="D36947">
        <f>IF(B36947=C36947, "YES", "WRONG")</f>
        <v/>
      </c>
    </row>
    <row r="36948">
      <c r="A36948" t="n">
        <v>36947</v>
      </c>
      <c r="B36948" t="inlineStr">
        <is>
          <t>x̄x̄x̄V̅MCMXLVII</t>
        </is>
      </c>
      <c r="C36948">
        <f>ROMAN(36947)</f>
        <v/>
      </c>
      <c r="D36948">
        <f>IF(B36948=C36948, "YES", "WRONG")</f>
        <v/>
      </c>
    </row>
    <row r="36949">
      <c r="A36949" t="n">
        <v>36948</v>
      </c>
      <c r="B36949" t="inlineStr">
        <is>
          <t>x̄x̄x̄V̅MCMXLVIII</t>
        </is>
      </c>
      <c r="C36949">
        <f>ROMAN(36948)</f>
        <v/>
      </c>
      <c r="D36949">
        <f>IF(B36949=C36949, "YES", "WRONG")</f>
        <v/>
      </c>
    </row>
    <row r="36950">
      <c r="A36950" t="n">
        <v>36949</v>
      </c>
      <c r="B36950" t="inlineStr">
        <is>
          <t>x̄x̄x̄V̅MCMXLIX</t>
        </is>
      </c>
      <c r="C36950">
        <f>ROMAN(36949)</f>
        <v/>
      </c>
      <c r="D36950">
        <f>IF(B36950=C36950, "YES", "WRONG")</f>
        <v/>
      </c>
    </row>
    <row r="36951">
      <c r="A36951" t="n">
        <v>36950</v>
      </c>
      <c r="B36951" t="inlineStr">
        <is>
          <t>x̄x̄x̄V̅MCML</t>
        </is>
      </c>
      <c r="C36951">
        <f>ROMAN(36950)</f>
        <v/>
      </c>
      <c r="D36951">
        <f>IF(B36951=C36951, "YES", "WRONG")</f>
        <v/>
      </c>
    </row>
    <row r="36952">
      <c r="A36952" t="n">
        <v>36951</v>
      </c>
      <c r="B36952" t="inlineStr">
        <is>
          <t>x̄x̄x̄V̅MCMLI</t>
        </is>
      </c>
      <c r="C36952">
        <f>ROMAN(36951)</f>
        <v/>
      </c>
      <c r="D36952">
        <f>IF(B36952=C36952, "YES", "WRONG")</f>
        <v/>
      </c>
    </row>
    <row r="36953">
      <c r="A36953" t="n">
        <v>36952</v>
      </c>
      <c r="B36953" t="inlineStr">
        <is>
          <t>x̄x̄x̄V̅MCMLII</t>
        </is>
      </c>
      <c r="C36953">
        <f>ROMAN(36952)</f>
        <v/>
      </c>
      <c r="D36953">
        <f>IF(B36953=C36953, "YES", "WRONG")</f>
        <v/>
      </c>
    </row>
    <row r="36954">
      <c r="A36954" t="n">
        <v>36953</v>
      </c>
      <c r="B36954" t="inlineStr">
        <is>
          <t>x̄x̄x̄V̅MCMLIII</t>
        </is>
      </c>
      <c r="C36954">
        <f>ROMAN(36953)</f>
        <v/>
      </c>
      <c r="D36954">
        <f>IF(B36954=C36954, "YES", "WRONG")</f>
        <v/>
      </c>
    </row>
    <row r="36955">
      <c r="A36955" t="n">
        <v>36954</v>
      </c>
      <c r="B36955" t="inlineStr">
        <is>
          <t>x̄x̄x̄V̅MCMLIV</t>
        </is>
      </c>
      <c r="C36955">
        <f>ROMAN(36954)</f>
        <v/>
      </c>
      <c r="D36955">
        <f>IF(B36955=C36955, "YES", "WRONG")</f>
        <v/>
      </c>
    </row>
    <row r="36956">
      <c r="A36956" t="n">
        <v>36955</v>
      </c>
      <c r="B36956" t="inlineStr">
        <is>
          <t>x̄x̄x̄V̅MCMLV</t>
        </is>
      </c>
      <c r="C36956">
        <f>ROMAN(36955)</f>
        <v/>
      </c>
      <c r="D36956">
        <f>IF(B36956=C36956, "YES", "WRONG")</f>
        <v/>
      </c>
    </row>
    <row r="36957">
      <c r="A36957" t="n">
        <v>36956</v>
      </c>
      <c r="B36957" t="inlineStr">
        <is>
          <t>x̄x̄x̄V̅MCMLVI</t>
        </is>
      </c>
      <c r="C36957">
        <f>ROMAN(36956)</f>
        <v/>
      </c>
      <c r="D36957">
        <f>IF(B36957=C36957, "YES", "WRONG")</f>
        <v/>
      </c>
    </row>
    <row r="36958">
      <c r="A36958" t="n">
        <v>36957</v>
      </c>
      <c r="B36958" t="inlineStr">
        <is>
          <t>x̄x̄x̄V̅MCMLVII</t>
        </is>
      </c>
      <c r="C36958">
        <f>ROMAN(36957)</f>
        <v/>
      </c>
      <c r="D36958">
        <f>IF(B36958=C36958, "YES", "WRONG")</f>
        <v/>
      </c>
    </row>
    <row r="36959">
      <c r="A36959" t="n">
        <v>36958</v>
      </c>
      <c r="B36959" t="inlineStr">
        <is>
          <t>x̄x̄x̄V̅MCMLVIII</t>
        </is>
      </c>
      <c r="C36959">
        <f>ROMAN(36958)</f>
        <v/>
      </c>
      <c r="D36959">
        <f>IF(B36959=C36959, "YES", "WRONG")</f>
        <v/>
      </c>
    </row>
    <row r="36960">
      <c r="A36960" t="n">
        <v>36959</v>
      </c>
      <c r="B36960" t="inlineStr">
        <is>
          <t>x̄x̄x̄V̅MCMLIX</t>
        </is>
      </c>
      <c r="C36960">
        <f>ROMAN(36959)</f>
        <v/>
      </c>
      <c r="D36960">
        <f>IF(B36960=C36960, "YES", "WRONG")</f>
        <v/>
      </c>
    </row>
    <row r="36961">
      <c r="A36961" t="n">
        <v>36960</v>
      </c>
      <c r="B36961" t="inlineStr">
        <is>
          <t>x̄x̄x̄V̅MCMLX</t>
        </is>
      </c>
      <c r="C36961">
        <f>ROMAN(36960)</f>
        <v/>
      </c>
      <c r="D36961">
        <f>IF(B36961=C36961, "YES", "WRONG")</f>
        <v/>
      </c>
    </row>
    <row r="36962">
      <c r="A36962" t="n">
        <v>36961</v>
      </c>
      <c r="B36962" t="inlineStr">
        <is>
          <t>x̄x̄x̄V̅MCMLXI</t>
        </is>
      </c>
      <c r="C36962">
        <f>ROMAN(36961)</f>
        <v/>
      </c>
      <c r="D36962">
        <f>IF(B36962=C36962, "YES", "WRONG")</f>
        <v/>
      </c>
    </row>
    <row r="36963">
      <c r="A36963" t="n">
        <v>36962</v>
      </c>
      <c r="B36963" t="inlineStr">
        <is>
          <t>x̄x̄x̄V̅MCMLXII</t>
        </is>
      </c>
      <c r="C36963">
        <f>ROMAN(36962)</f>
        <v/>
      </c>
      <c r="D36963">
        <f>IF(B36963=C36963, "YES", "WRONG")</f>
        <v/>
      </c>
    </row>
    <row r="36964">
      <c r="A36964" t="n">
        <v>36963</v>
      </c>
      <c r="B36964" t="inlineStr">
        <is>
          <t>x̄x̄x̄V̅MCMLXIII</t>
        </is>
      </c>
      <c r="C36964">
        <f>ROMAN(36963)</f>
        <v/>
      </c>
      <c r="D36964">
        <f>IF(B36964=C36964, "YES", "WRONG")</f>
        <v/>
      </c>
    </row>
    <row r="36965">
      <c r="A36965" t="n">
        <v>36964</v>
      </c>
      <c r="B36965" t="inlineStr">
        <is>
          <t>x̄x̄x̄V̅MCMLXIV</t>
        </is>
      </c>
      <c r="C36965">
        <f>ROMAN(36964)</f>
        <v/>
      </c>
      <c r="D36965">
        <f>IF(B36965=C36965, "YES", "WRONG")</f>
        <v/>
      </c>
    </row>
    <row r="36966">
      <c r="A36966" t="n">
        <v>36965</v>
      </c>
      <c r="B36966" t="inlineStr">
        <is>
          <t>x̄x̄x̄V̅MCMLXV</t>
        </is>
      </c>
      <c r="C36966">
        <f>ROMAN(36965)</f>
        <v/>
      </c>
      <c r="D36966">
        <f>IF(B36966=C36966, "YES", "WRONG")</f>
        <v/>
      </c>
    </row>
    <row r="36967">
      <c r="A36967" t="n">
        <v>36966</v>
      </c>
      <c r="B36967" t="inlineStr">
        <is>
          <t>x̄x̄x̄V̅MCMLXVI</t>
        </is>
      </c>
      <c r="C36967">
        <f>ROMAN(36966)</f>
        <v/>
      </c>
      <c r="D36967">
        <f>IF(B36967=C36967, "YES", "WRONG")</f>
        <v/>
      </c>
    </row>
    <row r="36968">
      <c r="A36968" t="n">
        <v>36967</v>
      </c>
      <c r="B36968" t="inlineStr">
        <is>
          <t>x̄x̄x̄V̅MCMLXVII</t>
        </is>
      </c>
      <c r="C36968">
        <f>ROMAN(36967)</f>
        <v/>
      </c>
      <c r="D36968">
        <f>IF(B36968=C36968, "YES", "WRONG")</f>
        <v/>
      </c>
    </row>
    <row r="36969">
      <c r="A36969" t="n">
        <v>36968</v>
      </c>
      <c r="B36969" t="inlineStr">
        <is>
          <t>x̄x̄x̄V̅MCMLXVIII</t>
        </is>
      </c>
      <c r="C36969">
        <f>ROMAN(36968)</f>
        <v/>
      </c>
      <c r="D36969">
        <f>IF(B36969=C36969, "YES", "WRONG")</f>
        <v/>
      </c>
    </row>
    <row r="36970">
      <c r="A36970" t="n">
        <v>36969</v>
      </c>
      <c r="B36970" t="inlineStr">
        <is>
          <t>x̄x̄x̄V̅MCMLXIX</t>
        </is>
      </c>
      <c r="C36970">
        <f>ROMAN(36969)</f>
        <v/>
      </c>
      <c r="D36970">
        <f>IF(B36970=C36970, "YES", "WRONG")</f>
        <v/>
      </c>
    </row>
    <row r="36971">
      <c r="A36971" t="n">
        <v>36970</v>
      </c>
      <c r="B36971" t="inlineStr">
        <is>
          <t>x̄x̄x̄V̅MCMLXX</t>
        </is>
      </c>
      <c r="C36971">
        <f>ROMAN(36970)</f>
        <v/>
      </c>
      <c r="D36971">
        <f>IF(B36971=C36971, "YES", "WRONG")</f>
        <v/>
      </c>
    </row>
    <row r="36972">
      <c r="A36972" t="n">
        <v>36971</v>
      </c>
      <c r="B36972" t="inlineStr">
        <is>
          <t>x̄x̄x̄V̅MCMLXXI</t>
        </is>
      </c>
      <c r="C36972">
        <f>ROMAN(36971)</f>
        <v/>
      </c>
      <c r="D36972">
        <f>IF(B36972=C36972, "YES", "WRONG")</f>
        <v/>
      </c>
    </row>
    <row r="36973">
      <c r="A36973" t="n">
        <v>36972</v>
      </c>
      <c r="B36973" t="inlineStr">
        <is>
          <t>x̄x̄x̄V̅MCMLXXII</t>
        </is>
      </c>
      <c r="C36973">
        <f>ROMAN(36972)</f>
        <v/>
      </c>
      <c r="D36973">
        <f>IF(B36973=C36973, "YES", "WRONG")</f>
        <v/>
      </c>
    </row>
    <row r="36974">
      <c r="A36974" t="n">
        <v>36973</v>
      </c>
      <c r="B36974" t="inlineStr">
        <is>
          <t>x̄x̄x̄V̅MCMLXXIII</t>
        </is>
      </c>
      <c r="C36974">
        <f>ROMAN(36973)</f>
        <v/>
      </c>
      <c r="D36974">
        <f>IF(B36974=C36974, "YES", "WRONG")</f>
        <v/>
      </c>
    </row>
    <row r="36975">
      <c r="A36975" t="n">
        <v>36974</v>
      </c>
      <c r="B36975" t="inlineStr">
        <is>
          <t>x̄x̄x̄V̅MCMLXXIV</t>
        </is>
      </c>
      <c r="C36975">
        <f>ROMAN(36974)</f>
        <v/>
      </c>
      <c r="D36975">
        <f>IF(B36975=C36975, "YES", "WRONG")</f>
        <v/>
      </c>
    </row>
    <row r="36976">
      <c r="A36976" t="n">
        <v>36975</v>
      </c>
      <c r="B36976" t="inlineStr">
        <is>
          <t>x̄x̄x̄V̅MCMLXXV</t>
        </is>
      </c>
      <c r="C36976">
        <f>ROMAN(36975)</f>
        <v/>
      </c>
      <c r="D36976">
        <f>IF(B36976=C36976, "YES", "WRONG")</f>
        <v/>
      </c>
    </row>
    <row r="36977">
      <c r="A36977" t="n">
        <v>36976</v>
      </c>
      <c r="B36977" t="inlineStr">
        <is>
          <t>x̄x̄x̄V̅MCMLXXVI</t>
        </is>
      </c>
      <c r="C36977">
        <f>ROMAN(36976)</f>
        <v/>
      </c>
      <c r="D36977">
        <f>IF(B36977=C36977, "YES", "WRONG")</f>
        <v/>
      </c>
    </row>
    <row r="36978">
      <c r="A36978" t="n">
        <v>36977</v>
      </c>
      <c r="B36978" t="inlineStr">
        <is>
          <t>x̄x̄x̄V̅MCMLXXVII</t>
        </is>
      </c>
      <c r="C36978">
        <f>ROMAN(36977)</f>
        <v/>
      </c>
      <c r="D36978">
        <f>IF(B36978=C36978, "YES", "WRONG")</f>
        <v/>
      </c>
    </row>
    <row r="36979">
      <c r="A36979" t="n">
        <v>36978</v>
      </c>
      <c r="B36979" t="inlineStr">
        <is>
          <t>x̄x̄x̄V̅MCMLXXVIII</t>
        </is>
      </c>
      <c r="C36979">
        <f>ROMAN(36978)</f>
        <v/>
      </c>
      <c r="D36979">
        <f>IF(B36979=C36979, "YES", "WRONG")</f>
        <v/>
      </c>
    </row>
    <row r="36980">
      <c r="A36980" t="n">
        <v>36979</v>
      </c>
      <c r="B36980" t="inlineStr">
        <is>
          <t>x̄x̄x̄V̅MCMLXXIX</t>
        </is>
      </c>
      <c r="C36980">
        <f>ROMAN(36979)</f>
        <v/>
      </c>
      <c r="D36980">
        <f>IF(B36980=C36980, "YES", "WRONG")</f>
        <v/>
      </c>
    </row>
    <row r="36981">
      <c r="A36981" t="n">
        <v>36980</v>
      </c>
      <c r="B36981" t="inlineStr">
        <is>
          <t>x̄x̄x̄V̅MCMLXXX</t>
        </is>
      </c>
      <c r="C36981">
        <f>ROMAN(36980)</f>
        <v/>
      </c>
      <c r="D36981">
        <f>IF(B36981=C36981, "YES", "WRONG")</f>
        <v/>
      </c>
    </row>
    <row r="36982">
      <c r="A36982" t="n">
        <v>36981</v>
      </c>
      <c r="B36982" t="inlineStr">
        <is>
          <t>x̄x̄x̄V̅MCMLXXXI</t>
        </is>
      </c>
      <c r="C36982">
        <f>ROMAN(36981)</f>
        <v/>
      </c>
      <c r="D36982">
        <f>IF(B36982=C36982, "YES", "WRONG")</f>
        <v/>
      </c>
    </row>
    <row r="36983">
      <c r="A36983" t="n">
        <v>36982</v>
      </c>
      <c r="B36983" t="inlineStr">
        <is>
          <t>x̄x̄x̄V̅MCMLXXXII</t>
        </is>
      </c>
      <c r="C36983">
        <f>ROMAN(36982)</f>
        <v/>
      </c>
      <c r="D36983">
        <f>IF(B36983=C36983, "YES", "WRONG")</f>
        <v/>
      </c>
    </row>
    <row r="36984">
      <c r="A36984" t="n">
        <v>36983</v>
      </c>
      <c r="B36984" t="inlineStr">
        <is>
          <t>x̄x̄x̄V̅MCMLXXXIII</t>
        </is>
      </c>
      <c r="C36984">
        <f>ROMAN(36983)</f>
        <v/>
      </c>
      <c r="D36984">
        <f>IF(B36984=C36984, "YES", "WRONG")</f>
        <v/>
      </c>
    </row>
    <row r="36985">
      <c r="A36985" t="n">
        <v>36984</v>
      </c>
      <c r="B36985" t="inlineStr">
        <is>
          <t>x̄x̄x̄V̅MCMLXXXIV</t>
        </is>
      </c>
      <c r="C36985">
        <f>ROMAN(36984)</f>
        <v/>
      </c>
      <c r="D36985">
        <f>IF(B36985=C36985, "YES", "WRONG")</f>
        <v/>
      </c>
    </row>
    <row r="36986">
      <c r="A36986" t="n">
        <v>36985</v>
      </c>
      <c r="B36986" t="inlineStr">
        <is>
          <t>x̄x̄x̄V̅MCMLXXXV</t>
        </is>
      </c>
      <c r="C36986">
        <f>ROMAN(36985)</f>
        <v/>
      </c>
      <c r="D36986">
        <f>IF(B36986=C36986, "YES", "WRONG")</f>
        <v/>
      </c>
    </row>
    <row r="36987">
      <c r="A36987" t="n">
        <v>36986</v>
      </c>
      <c r="B36987" t="inlineStr">
        <is>
          <t>x̄x̄x̄V̅MCMLXXXVI</t>
        </is>
      </c>
      <c r="C36987">
        <f>ROMAN(36986)</f>
        <v/>
      </c>
      <c r="D36987">
        <f>IF(B36987=C36987, "YES", "WRONG")</f>
        <v/>
      </c>
    </row>
    <row r="36988">
      <c r="A36988" t="n">
        <v>36987</v>
      </c>
      <c r="B36988" t="inlineStr">
        <is>
          <t>x̄x̄x̄V̅MCMLXXXVII</t>
        </is>
      </c>
      <c r="C36988">
        <f>ROMAN(36987)</f>
        <v/>
      </c>
      <c r="D36988">
        <f>IF(B36988=C36988, "YES", "WRONG")</f>
        <v/>
      </c>
    </row>
    <row r="36989">
      <c r="A36989" t="n">
        <v>36988</v>
      </c>
      <c r="B36989" t="inlineStr">
        <is>
          <t>x̄x̄x̄V̅MCMLXXXVIII</t>
        </is>
      </c>
      <c r="C36989">
        <f>ROMAN(36988)</f>
        <v/>
      </c>
      <c r="D36989">
        <f>IF(B36989=C36989, "YES", "WRONG")</f>
        <v/>
      </c>
    </row>
    <row r="36990">
      <c r="A36990" t="n">
        <v>36989</v>
      </c>
      <c r="B36990" t="inlineStr">
        <is>
          <t>x̄x̄x̄V̅MCMLXXXIX</t>
        </is>
      </c>
      <c r="C36990">
        <f>ROMAN(36989)</f>
        <v/>
      </c>
      <c r="D36990">
        <f>IF(B36990=C36990, "YES", "WRONG")</f>
        <v/>
      </c>
    </row>
    <row r="36991">
      <c r="A36991" t="n">
        <v>36990</v>
      </c>
      <c r="B36991" t="inlineStr">
        <is>
          <t>x̄x̄x̄V̅MCMXC</t>
        </is>
      </c>
      <c r="C36991">
        <f>ROMAN(36990)</f>
        <v/>
      </c>
      <c r="D36991">
        <f>IF(B36991=C36991, "YES", "WRONG")</f>
        <v/>
      </c>
    </row>
    <row r="36992">
      <c r="A36992" t="n">
        <v>36991</v>
      </c>
      <c r="B36992" t="inlineStr">
        <is>
          <t>x̄x̄x̄V̅MCMXCI</t>
        </is>
      </c>
      <c r="C36992">
        <f>ROMAN(36991)</f>
        <v/>
      </c>
      <c r="D36992">
        <f>IF(B36992=C36992, "YES", "WRONG")</f>
        <v/>
      </c>
    </row>
    <row r="36993">
      <c r="A36993" t="n">
        <v>36992</v>
      </c>
      <c r="B36993" t="inlineStr">
        <is>
          <t>x̄x̄x̄V̅MCMXCII</t>
        </is>
      </c>
      <c r="C36993">
        <f>ROMAN(36992)</f>
        <v/>
      </c>
      <c r="D36993">
        <f>IF(B36993=C36993, "YES", "WRONG")</f>
        <v/>
      </c>
    </row>
    <row r="36994">
      <c r="A36994" t="n">
        <v>36993</v>
      </c>
      <c r="B36994" t="inlineStr">
        <is>
          <t>x̄x̄x̄V̅MCMXCIII</t>
        </is>
      </c>
      <c r="C36994">
        <f>ROMAN(36993)</f>
        <v/>
      </c>
      <c r="D36994">
        <f>IF(B36994=C36994, "YES", "WRONG")</f>
        <v/>
      </c>
    </row>
    <row r="36995">
      <c r="A36995" t="n">
        <v>36994</v>
      </c>
      <c r="B36995" t="inlineStr">
        <is>
          <t>x̄x̄x̄V̅MCMXCIV</t>
        </is>
      </c>
      <c r="C36995">
        <f>ROMAN(36994)</f>
        <v/>
      </c>
      <c r="D36995">
        <f>IF(B36995=C36995, "YES", "WRONG")</f>
        <v/>
      </c>
    </row>
    <row r="36996">
      <c r="A36996" t="n">
        <v>36995</v>
      </c>
      <c r="B36996" t="inlineStr">
        <is>
          <t>x̄x̄x̄V̅MCMXCV</t>
        </is>
      </c>
      <c r="C36996">
        <f>ROMAN(36995)</f>
        <v/>
      </c>
      <c r="D36996">
        <f>IF(B36996=C36996, "YES", "WRONG")</f>
        <v/>
      </c>
    </row>
    <row r="36997">
      <c r="A36997" t="n">
        <v>36996</v>
      </c>
      <c r="B36997" t="inlineStr">
        <is>
          <t>x̄x̄x̄V̅MCMXCVI</t>
        </is>
      </c>
      <c r="C36997">
        <f>ROMAN(36996)</f>
        <v/>
      </c>
      <c r="D36997">
        <f>IF(B36997=C36997, "YES", "WRONG")</f>
        <v/>
      </c>
    </row>
    <row r="36998">
      <c r="A36998" t="n">
        <v>36997</v>
      </c>
      <c r="B36998" t="inlineStr">
        <is>
          <t>x̄x̄x̄V̅MCMXCVII</t>
        </is>
      </c>
      <c r="C36998">
        <f>ROMAN(36997)</f>
        <v/>
      </c>
      <c r="D36998">
        <f>IF(B36998=C36998, "YES", "WRONG")</f>
        <v/>
      </c>
    </row>
    <row r="36999">
      <c r="A36999" t="n">
        <v>36998</v>
      </c>
      <c r="B36999" t="inlineStr">
        <is>
          <t>x̄x̄x̄V̅MCMXCVIII</t>
        </is>
      </c>
      <c r="C36999">
        <f>ROMAN(36998)</f>
        <v/>
      </c>
      <c r="D36999">
        <f>IF(B36999=C36999, "YES", "WRONG")</f>
        <v/>
      </c>
    </row>
    <row r="37000">
      <c r="A37000" t="n">
        <v>36999</v>
      </c>
      <c r="B37000" t="inlineStr">
        <is>
          <t>x̄x̄x̄V̅MCMXCIX</t>
        </is>
      </c>
      <c r="C37000">
        <f>ROMAN(36999)</f>
        <v/>
      </c>
      <c r="D37000">
        <f>IF(B37000=C37000, "YES", "WRONG")</f>
        <v/>
      </c>
    </row>
    <row r="37001">
      <c r="A37001" t="n">
        <v>37000</v>
      </c>
      <c r="B37001" t="inlineStr">
        <is>
          <t>x̄x̄x̄V̅MM</t>
        </is>
      </c>
      <c r="C37001">
        <f>ROMAN(37000)</f>
        <v/>
      </c>
      <c r="D37001">
        <f>IF(B37001=C37001, "YES", "WRONG")</f>
        <v/>
      </c>
    </row>
    <row r="37002">
      <c r="A37002" t="n">
        <v>37001</v>
      </c>
      <c r="B37002" t="inlineStr">
        <is>
          <t>x̄x̄x̄V̅MMI</t>
        </is>
      </c>
      <c r="C37002">
        <f>ROMAN(37001)</f>
        <v/>
      </c>
      <c r="D37002">
        <f>IF(B37002=C37002, "YES", "WRONG")</f>
        <v/>
      </c>
    </row>
    <row r="37003">
      <c r="A37003" t="n">
        <v>37002</v>
      </c>
      <c r="B37003" t="inlineStr">
        <is>
          <t>x̄x̄x̄V̅MMII</t>
        </is>
      </c>
      <c r="C37003">
        <f>ROMAN(37002)</f>
        <v/>
      </c>
      <c r="D37003">
        <f>IF(B37003=C37003, "YES", "WRONG")</f>
        <v/>
      </c>
    </row>
    <row r="37004">
      <c r="A37004" t="n">
        <v>37003</v>
      </c>
      <c r="B37004" t="inlineStr">
        <is>
          <t>x̄x̄x̄V̅MMIII</t>
        </is>
      </c>
      <c r="C37004">
        <f>ROMAN(37003)</f>
        <v/>
      </c>
      <c r="D37004">
        <f>IF(B37004=C37004, "YES", "WRONG")</f>
        <v/>
      </c>
    </row>
    <row r="37005">
      <c r="A37005" t="n">
        <v>37004</v>
      </c>
      <c r="B37005" t="inlineStr">
        <is>
          <t>x̄x̄x̄V̅MMIV</t>
        </is>
      </c>
      <c r="C37005">
        <f>ROMAN(37004)</f>
        <v/>
      </c>
      <c r="D37005">
        <f>IF(B37005=C37005, "YES", "WRONG")</f>
        <v/>
      </c>
    </row>
    <row r="37006">
      <c r="A37006" t="n">
        <v>37005</v>
      </c>
      <c r="B37006" t="inlineStr">
        <is>
          <t>x̄x̄x̄V̅MMV</t>
        </is>
      </c>
      <c r="C37006">
        <f>ROMAN(37005)</f>
        <v/>
      </c>
      <c r="D37006">
        <f>IF(B37006=C37006, "YES", "WRONG")</f>
        <v/>
      </c>
    </row>
    <row r="37007">
      <c r="A37007" t="n">
        <v>37006</v>
      </c>
      <c r="B37007" t="inlineStr">
        <is>
          <t>x̄x̄x̄V̅MMVI</t>
        </is>
      </c>
      <c r="C37007">
        <f>ROMAN(37006)</f>
        <v/>
      </c>
      <c r="D37007">
        <f>IF(B37007=C37007, "YES", "WRONG")</f>
        <v/>
      </c>
    </row>
    <row r="37008">
      <c r="A37008" t="n">
        <v>37007</v>
      </c>
      <c r="B37008" t="inlineStr">
        <is>
          <t>x̄x̄x̄V̅MMVII</t>
        </is>
      </c>
      <c r="C37008">
        <f>ROMAN(37007)</f>
        <v/>
      </c>
      <c r="D37008">
        <f>IF(B37008=C37008, "YES", "WRONG")</f>
        <v/>
      </c>
    </row>
    <row r="37009">
      <c r="A37009" t="n">
        <v>37008</v>
      </c>
      <c r="B37009" t="inlineStr">
        <is>
          <t>x̄x̄x̄V̅MMVIII</t>
        </is>
      </c>
      <c r="C37009">
        <f>ROMAN(37008)</f>
        <v/>
      </c>
      <c r="D37009">
        <f>IF(B37009=C37009, "YES", "WRONG")</f>
        <v/>
      </c>
    </row>
    <row r="37010">
      <c r="A37010" t="n">
        <v>37009</v>
      </c>
      <c r="B37010" t="inlineStr">
        <is>
          <t>x̄x̄x̄V̅MMIX</t>
        </is>
      </c>
      <c r="C37010">
        <f>ROMAN(37009)</f>
        <v/>
      </c>
      <c r="D37010">
        <f>IF(B37010=C37010, "YES", "WRONG")</f>
        <v/>
      </c>
    </row>
    <row r="37011">
      <c r="A37011" t="n">
        <v>37010</v>
      </c>
      <c r="B37011" t="inlineStr">
        <is>
          <t>x̄x̄x̄V̅MMX</t>
        </is>
      </c>
      <c r="C37011">
        <f>ROMAN(37010)</f>
        <v/>
      </c>
      <c r="D37011">
        <f>IF(B37011=C37011, "YES", "WRONG")</f>
        <v/>
      </c>
    </row>
    <row r="37012">
      <c r="A37012" t="n">
        <v>37011</v>
      </c>
      <c r="B37012" t="inlineStr">
        <is>
          <t>x̄x̄x̄V̅MMXI</t>
        </is>
      </c>
      <c r="C37012">
        <f>ROMAN(37011)</f>
        <v/>
      </c>
      <c r="D37012">
        <f>IF(B37012=C37012, "YES", "WRONG")</f>
        <v/>
      </c>
    </row>
    <row r="37013">
      <c r="A37013" t="n">
        <v>37012</v>
      </c>
      <c r="B37013" t="inlineStr">
        <is>
          <t>x̄x̄x̄V̅MMXII</t>
        </is>
      </c>
      <c r="C37013">
        <f>ROMAN(37012)</f>
        <v/>
      </c>
      <c r="D37013">
        <f>IF(B37013=C37013, "YES", "WRONG")</f>
        <v/>
      </c>
    </row>
    <row r="37014">
      <c r="A37014" t="n">
        <v>37013</v>
      </c>
      <c r="B37014" t="inlineStr">
        <is>
          <t>x̄x̄x̄V̅MMXIII</t>
        </is>
      </c>
      <c r="C37014">
        <f>ROMAN(37013)</f>
        <v/>
      </c>
      <c r="D37014">
        <f>IF(B37014=C37014, "YES", "WRONG")</f>
        <v/>
      </c>
    </row>
    <row r="37015">
      <c r="A37015" t="n">
        <v>37014</v>
      </c>
      <c r="B37015" t="inlineStr">
        <is>
          <t>x̄x̄x̄V̅MMXIV</t>
        </is>
      </c>
      <c r="C37015">
        <f>ROMAN(37014)</f>
        <v/>
      </c>
      <c r="D37015">
        <f>IF(B37015=C37015, "YES", "WRONG")</f>
        <v/>
      </c>
    </row>
    <row r="37016">
      <c r="A37016" t="n">
        <v>37015</v>
      </c>
      <c r="B37016" t="inlineStr">
        <is>
          <t>x̄x̄x̄V̅MMXV</t>
        </is>
      </c>
      <c r="C37016">
        <f>ROMAN(37015)</f>
        <v/>
      </c>
      <c r="D37016">
        <f>IF(B37016=C37016, "YES", "WRONG")</f>
        <v/>
      </c>
    </row>
    <row r="37017">
      <c r="A37017" t="n">
        <v>37016</v>
      </c>
      <c r="B37017" t="inlineStr">
        <is>
          <t>x̄x̄x̄V̅MMXVI</t>
        </is>
      </c>
      <c r="C37017">
        <f>ROMAN(37016)</f>
        <v/>
      </c>
      <c r="D37017">
        <f>IF(B37017=C37017, "YES", "WRONG")</f>
        <v/>
      </c>
    </row>
    <row r="37018">
      <c r="A37018" t="n">
        <v>37017</v>
      </c>
      <c r="B37018" t="inlineStr">
        <is>
          <t>x̄x̄x̄V̅MMXVII</t>
        </is>
      </c>
      <c r="C37018">
        <f>ROMAN(37017)</f>
        <v/>
      </c>
      <c r="D37018">
        <f>IF(B37018=C37018, "YES", "WRONG")</f>
        <v/>
      </c>
    </row>
    <row r="37019">
      <c r="A37019" t="n">
        <v>37018</v>
      </c>
      <c r="B37019" t="inlineStr">
        <is>
          <t>x̄x̄x̄V̅MMXVIII</t>
        </is>
      </c>
      <c r="C37019">
        <f>ROMAN(37018)</f>
        <v/>
      </c>
      <c r="D37019">
        <f>IF(B37019=C37019, "YES", "WRONG")</f>
        <v/>
      </c>
    </row>
    <row r="37020">
      <c r="A37020" t="n">
        <v>37019</v>
      </c>
      <c r="B37020" t="inlineStr">
        <is>
          <t>x̄x̄x̄V̅MMXIX</t>
        </is>
      </c>
      <c r="C37020">
        <f>ROMAN(37019)</f>
        <v/>
      </c>
      <c r="D37020">
        <f>IF(B37020=C37020, "YES", "WRONG")</f>
        <v/>
      </c>
    </row>
    <row r="37021">
      <c r="A37021" t="n">
        <v>37020</v>
      </c>
      <c r="B37021" t="inlineStr">
        <is>
          <t>x̄x̄x̄V̅MMXX</t>
        </is>
      </c>
      <c r="C37021">
        <f>ROMAN(37020)</f>
        <v/>
      </c>
      <c r="D37021">
        <f>IF(B37021=C37021, "YES", "WRONG")</f>
        <v/>
      </c>
    </row>
    <row r="37022">
      <c r="A37022" t="n">
        <v>37021</v>
      </c>
      <c r="B37022" t="inlineStr">
        <is>
          <t>x̄x̄x̄V̅MMXXI</t>
        </is>
      </c>
      <c r="C37022">
        <f>ROMAN(37021)</f>
        <v/>
      </c>
      <c r="D37022">
        <f>IF(B37022=C37022, "YES", "WRONG")</f>
        <v/>
      </c>
    </row>
    <row r="37023">
      <c r="A37023" t="n">
        <v>37022</v>
      </c>
      <c r="B37023" t="inlineStr">
        <is>
          <t>x̄x̄x̄V̅MMXXII</t>
        </is>
      </c>
      <c r="C37023">
        <f>ROMAN(37022)</f>
        <v/>
      </c>
      <c r="D37023">
        <f>IF(B37023=C37023, "YES", "WRONG")</f>
        <v/>
      </c>
    </row>
    <row r="37024">
      <c r="A37024" t="n">
        <v>37023</v>
      </c>
      <c r="B37024" t="inlineStr">
        <is>
          <t>x̄x̄x̄V̅MMXXIII</t>
        </is>
      </c>
      <c r="C37024">
        <f>ROMAN(37023)</f>
        <v/>
      </c>
      <c r="D37024">
        <f>IF(B37024=C37024, "YES", "WRONG")</f>
        <v/>
      </c>
    </row>
    <row r="37025">
      <c r="A37025" t="n">
        <v>37024</v>
      </c>
      <c r="B37025" t="inlineStr">
        <is>
          <t>x̄x̄x̄V̅MMXXIV</t>
        </is>
      </c>
      <c r="C37025">
        <f>ROMAN(37024)</f>
        <v/>
      </c>
      <c r="D37025">
        <f>IF(B37025=C37025, "YES", "WRONG")</f>
        <v/>
      </c>
    </row>
    <row r="37026">
      <c r="A37026" t="n">
        <v>37025</v>
      </c>
      <c r="B37026" t="inlineStr">
        <is>
          <t>x̄x̄x̄V̅MMXXV</t>
        </is>
      </c>
      <c r="C37026">
        <f>ROMAN(37025)</f>
        <v/>
      </c>
      <c r="D37026">
        <f>IF(B37026=C37026, "YES", "WRONG")</f>
        <v/>
      </c>
    </row>
    <row r="37027">
      <c r="A37027" t="n">
        <v>37026</v>
      </c>
      <c r="B37027" t="inlineStr">
        <is>
          <t>x̄x̄x̄V̅MMXXVI</t>
        </is>
      </c>
      <c r="C37027">
        <f>ROMAN(37026)</f>
        <v/>
      </c>
      <c r="D37027">
        <f>IF(B37027=C37027, "YES", "WRONG")</f>
        <v/>
      </c>
    </row>
    <row r="37028">
      <c r="A37028" t="n">
        <v>37027</v>
      </c>
      <c r="B37028" t="inlineStr">
        <is>
          <t>x̄x̄x̄V̅MMXXVII</t>
        </is>
      </c>
      <c r="C37028">
        <f>ROMAN(37027)</f>
        <v/>
      </c>
      <c r="D37028">
        <f>IF(B37028=C37028, "YES", "WRONG")</f>
        <v/>
      </c>
    </row>
    <row r="37029">
      <c r="A37029" t="n">
        <v>37028</v>
      </c>
      <c r="B37029" t="inlineStr">
        <is>
          <t>x̄x̄x̄V̅MMXXVIII</t>
        </is>
      </c>
      <c r="C37029">
        <f>ROMAN(37028)</f>
        <v/>
      </c>
      <c r="D37029">
        <f>IF(B37029=C37029, "YES", "WRONG")</f>
        <v/>
      </c>
    </row>
    <row r="37030">
      <c r="A37030" t="n">
        <v>37029</v>
      </c>
      <c r="B37030" t="inlineStr">
        <is>
          <t>x̄x̄x̄V̅MMXXIX</t>
        </is>
      </c>
      <c r="C37030">
        <f>ROMAN(37029)</f>
        <v/>
      </c>
      <c r="D37030">
        <f>IF(B37030=C37030, "YES", "WRONG")</f>
        <v/>
      </c>
    </row>
    <row r="37031">
      <c r="A37031" t="n">
        <v>37030</v>
      </c>
      <c r="B37031" t="inlineStr">
        <is>
          <t>x̄x̄x̄V̅MMXXX</t>
        </is>
      </c>
      <c r="C37031">
        <f>ROMAN(37030)</f>
        <v/>
      </c>
      <c r="D37031">
        <f>IF(B37031=C37031, "YES", "WRONG")</f>
        <v/>
      </c>
    </row>
    <row r="37032">
      <c r="A37032" t="n">
        <v>37031</v>
      </c>
      <c r="B37032" t="inlineStr">
        <is>
          <t>x̄x̄x̄V̅MMXXXI</t>
        </is>
      </c>
      <c r="C37032">
        <f>ROMAN(37031)</f>
        <v/>
      </c>
      <c r="D37032">
        <f>IF(B37032=C37032, "YES", "WRONG")</f>
        <v/>
      </c>
    </row>
    <row r="37033">
      <c r="A37033" t="n">
        <v>37032</v>
      </c>
      <c r="B37033" t="inlineStr">
        <is>
          <t>x̄x̄x̄V̅MMXXXII</t>
        </is>
      </c>
      <c r="C37033">
        <f>ROMAN(37032)</f>
        <v/>
      </c>
      <c r="D37033">
        <f>IF(B37033=C37033, "YES", "WRONG")</f>
        <v/>
      </c>
    </row>
    <row r="37034">
      <c r="A37034" t="n">
        <v>37033</v>
      </c>
      <c r="B37034" t="inlineStr">
        <is>
          <t>x̄x̄x̄V̅MMXXXIII</t>
        </is>
      </c>
      <c r="C37034">
        <f>ROMAN(37033)</f>
        <v/>
      </c>
      <c r="D37034">
        <f>IF(B37034=C37034, "YES", "WRONG")</f>
        <v/>
      </c>
    </row>
    <row r="37035">
      <c r="A37035" t="n">
        <v>37034</v>
      </c>
      <c r="B37035" t="inlineStr">
        <is>
          <t>x̄x̄x̄V̅MMXXXIV</t>
        </is>
      </c>
      <c r="C37035">
        <f>ROMAN(37034)</f>
        <v/>
      </c>
      <c r="D37035">
        <f>IF(B37035=C37035, "YES", "WRONG")</f>
        <v/>
      </c>
    </row>
    <row r="37036">
      <c r="A37036" t="n">
        <v>37035</v>
      </c>
      <c r="B37036" t="inlineStr">
        <is>
          <t>x̄x̄x̄V̅MMXXXV</t>
        </is>
      </c>
      <c r="C37036">
        <f>ROMAN(37035)</f>
        <v/>
      </c>
      <c r="D37036">
        <f>IF(B37036=C37036, "YES", "WRONG")</f>
        <v/>
      </c>
    </row>
    <row r="37037">
      <c r="A37037" t="n">
        <v>37036</v>
      </c>
      <c r="B37037" t="inlineStr">
        <is>
          <t>x̄x̄x̄V̅MMXXXVI</t>
        </is>
      </c>
      <c r="C37037">
        <f>ROMAN(37036)</f>
        <v/>
      </c>
      <c r="D37037">
        <f>IF(B37037=C37037, "YES", "WRONG")</f>
        <v/>
      </c>
    </row>
    <row r="37038">
      <c r="A37038" t="n">
        <v>37037</v>
      </c>
      <c r="B37038" t="inlineStr">
        <is>
          <t>x̄x̄x̄V̅MMXXXVII</t>
        </is>
      </c>
      <c r="C37038">
        <f>ROMAN(37037)</f>
        <v/>
      </c>
      <c r="D37038">
        <f>IF(B37038=C37038, "YES", "WRONG")</f>
        <v/>
      </c>
    </row>
    <row r="37039">
      <c r="A37039" t="n">
        <v>37038</v>
      </c>
      <c r="B37039" t="inlineStr">
        <is>
          <t>x̄x̄x̄V̅MMXXXVIII</t>
        </is>
      </c>
      <c r="C37039">
        <f>ROMAN(37038)</f>
        <v/>
      </c>
      <c r="D37039">
        <f>IF(B37039=C37039, "YES", "WRONG")</f>
        <v/>
      </c>
    </row>
    <row r="37040">
      <c r="A37040" t="n">
        <v>37039</v>
      </c>
      <c r="B37040" t="inlineStr">
        <is>
          <t>x̄x̄x̄V̅MMXXXIX</t>
        </is>
      </c>
      <c r="C37040">
        <f>ROMAN(37039)</f>
        <v/>
      </c>
      <c r="D37040">
        <f>IF(B37040=C37040, "YES", "WRONG")</f>
        <v/>
      </c>
    </row>
    <row r="37041">
      <c r="A37041" t="n">
        <v>37040</v>
      </c>
      <c r="B37041" t="inlineStr">
        <is>
          <t>x̄x̄x̄V̅MMXL</t>
        </is>
      </c>
      <c r="C37041">
        <f>ROMAN(37040)</f>
        <v/>
      </c>
      <c r="D37041">
        <f>IF(B37041=C37041, "YES", "WRONG")</f>
        <v/>
      </c>
    </row>
    <row r="37042">
      <c r="A37042" t="n">
        <v>37041</v>
      </c>
      <c r="B37042" t="inlineStr">
        <is>
          <t>x̄x̄x̄V̅MMXLI</t>
        </is>
      </c>
      <c r="C37042">
        <f>ROMAN(37041)</f>
        <v/>
      </c>
      <c r="D37042">
        <f>IF(B37042=C37042, "YES", "WRONG")</f>
        <v/>
      </c>
    </row>
    <row r="37043">
      <c r="A37043" t="n">
        <v>37042</v>
      </c>
      <c r="B37043" t="inlineStr">
        <is>
          <t>x̄x̄x̄V̅MMXLII</t>
        </is>
      </c>
      <c r="C37043">
        <f>ROMAN(37042)</f>
        <v/>
      </c>
      <c r="D37043">
        <f>IF(B37043=C37043, "YES", "WRONG")</f>
        <v/>
      </c>
    </row>
    <row r="37044">
      <c r="A37044" t="n">
        <v>37043</v>
      </c>
      <c r="B37044" t="inlineStr">
        <is>
          <t>x̄x̄x̄V̅MMXLIII</t>
        </is>
      </c>
      <c r="C37044">
        <f>ROMAN(37043)</f>
        <v/>
      </c>
      <c r="D37044">
        <f>IF(B37044=C37044, "YES", "WRONG")</f>
        <v/>
      </c>
    </row>
    <row r="37045">
      <c r="A37045" t="n">
        <v>37044</v>
      </c>
      <c r="B37045" t="inlineStr">
        <is>
          <t>x̄x̄x̄V̅MMXLIV</t>
        </is>
      </c>
      <c r="C37045">
        <f>ROMAN(37044)</f>
        <v/>
      </c>
      <c r="D37045">
        <f>IF(B37045=C37045, "YES", "WRONG")</f>
        <v/>
      </c>
    </row>
    <row r="37046">
      <c r="A37046" t="n">
        <v>37045</v>
      </c>
      <c r="B37046" t="inlineStr">
        <is>
          <t>x̄x̄x̄V̅MMXLV</t>
        </is>
      </c>
      <c r="C37046">
        <f>ROMAN(37045)</f>
        <v/>
      </c>
      <c r="D37046">
        <f>IF(B37046=C37046, "YES", "WRONG")</f>
        <v/>
      </c>
    </row>
    <row r="37047">
      <c r="A37047" t="n">
        <v>37046</v>
      </c>
      <c r="B37047" t="inlineStr">
        <is>
          <t>x̄x̄x̄V̅MMXLVI</t>
        </is>
      </c>
      <c r="C37047">
        <f>ROMAN(37046)</f>
        <v/>
      </c>
      <c r="D37047">
        <f>IF(B37047=C37047, "YES", "WRONG")</f>
        <v/>
      </c>
    </row>
    <row r="37048">
      <c r="A37048" t="n">
        <v>37047</v>
      </c>
      <c r="B37048" t="inlineStr">
        <is>
          <t>x̄x̄x̄V̅MMXLVII</t>
        </is>
      </c>
      <c r="C37048">
        <f>ROMAN(37047)</f>
        <v/>
      </c>
      <c r="D37048">
        <f>IF(B37048=C37048, "YES", "WRONG")</f>
        <v/>
      </c>
    </row>
    <row r="37049">
      <c r="A37049" t="n">
        <v>37048</v>
      </c>
      <c r="B37049" t="inlineStr">
        <is>
          <t>x̄x̄x̄V̅MMXLVIII</t>
        </is>
      </c>
      <c r="C37049">
        <f>ROMAN(37048)</f>
        <v/>
      </c>
      <c r="D37049">
        <f>IF(B37049=C37049, "YES", "WRONG")</f>
        <v/>
      </c>
    </row>
    <row r="37050">
      <c r="A37050" t="n">
        <v>37049</v>
      </c>
      <c r="B37050" t="inlineStr">
        <is>
          <t>x̄x̄x̄V̅MMXLIX</t>
        </is>
      </c>
      <c r="C37050">
        <f>ROMAN(37049)</f>
        <v/>
      </c>
      <c r="D37050">
        <f>IF(B37050=C37050, "YES", "WRONG")</f>
        <v/>
      </c>
    </row>
    <row r="37051">
      <c r="A37051" t="n">
        <v>37050</v>
      </c>
      <c r="B37051" t="inlineStr">
        <is>
          <t>x̄x̄x̄V̅MML</t>
        </is>
      </c>
      <c r="C37051">
        <f>ROMAN(37050)</f>
        <v/>
      </c>
      <c r="D37051">
        <f>IF(B37051=C37051, "YES", "WRONG")</f>
        <v/>
      </c>
    </row>
    <row r="37052">
      <c r="A37052" t="n">
        <v>37051</v>
      </c>
      <c r="B37052" t="inlineStr">
        <is>
          <t>x̄x̄x̄V̅MMLI</t>
        </is>
      </c>
      <c r="C37052">
        <f>ROMAN(37051)</f>
        <v/>
      </c>
      <c r="D37052">
        <f>IF(B37052=C37052, "YES", "WRONG")</f>
        <v/>
      </c>
    </row>
    <row r="37053">
      <c r="A37053" t="n">
        <v>37052</v>
      </c>
      <c r="B37053" t="inlineStr">
        <is>
          <t>x̄x̄x̄V̅MMLII</t>
        </is>
      </c>
      <c r="C37053">
        <f>ROMAN(37052)</f>
        <v/>
      </c>
      <c r="D37053">
        <f>IF(B37053=C37053, "YES", "WRONG")</f>
        <v/>
      </c>
    </row>
    <row r="37054">
      <c r="A37054" t="n">
        <v>37053</v>
      </c>
      <c r="B37054" t="inlineStr">
        <is>
          <t>x̄x̄x̄V̅MMLIII</t>
        </is>
      </c>
      <c r="C37054">
        <f>ROMAN(37053)</f>
        <v/>
      </c>
      <c r="D37054">
        <f>IF(B37054=C37054, "YES", "WRONG")</f>
        <v/>
      </c>
    </row>
    <row r="37055">
      <c r="A37055" t="n">
        <v>37054</v>
      </c>
      <c r="B37055" t="inlineStr">
        <is>
          <t>x̄x̄x̄V̅MMLIV</t>
        </is>
      </c>
      <c r="C37055">
        <f>ROMAN(37054)</f>
        <v/>
      </c>
      <c r="D37055">
        <f>IF(B37055=C37055, "YES", "WRONG")</f>
        <v/>
      </c>
    </row>
    <row r="37056">
      <c r="A37056" t="n">
        <v>37055</v>
      </c>
      <c r="B37056" t="inlineStr">
        <is>
          <t>x̄x̄x̄V̅MMLV</t>
        </is>
      </c>
      <c r="C37056">
        <f>ROMAN(37055)</f>
        <v/>
      </c>
      <c r="D37056">
        <f>IF(B37056=C37056, "YES", "WRONG")</f>
        <v/>
      </c>
    </row>
    <row r="37057">
      <c r="A37057" t="n">
        <v>37056</v>
      </c>
      <c r="B37057" t="inlineStr">
        <is>
          <t>x̄x̄x̄V̅MMLVI</t>
        </is>
      </c>
      <c r="C37057">
        <f>ROMAN(37056)</f>
        <v/>
      </c>
      <c r="D37057">
        <f>IF(B37057=C37057, "YES", "WRONG")</f>
        <v/>
      </c>
    </row>
    <row r="37058">
      <c r="A37058" t="n">
        <v>37057</v>
      </c>
      <c r="B37058" t="inlineStr">
        <is>
          <t>x̄x̄x̄V̅MMLVII</t>
        </is>
      </c>
      <c r="C37058">
        <f>ROMAN(37057)</f>
        <v/>
      </c>
      <c r="D37058">
        <f>IF(B37058=C37058, "YES", "WRONG")</f>
        <v/>
      </c>
    </row>
    <row r="37059">
      <c r="A37059" t="n">
        <v>37058</v>
      </c>
      <c r="B37059" t="inlineStr">
        <is>
          <t>x̄x̄x̄V̅MMLVIII</t>
        </is>
      </c>
      <c r="C37059">
        <f>ROMAN(37058)</f>
        <v/>
      </c>
      <c r="D37059">
        <f>IF(B37059=C37059, "YES", "WRONG")</f>
        <v/>
      </c>
    </row>
    <row r="37060">
      <c r="A37060" t="n">
        <v>37059</v>
      </c>
      <c r="B37060" t="inlineStr">
        <is>
          <t>x̄x̄x̄V̅MMLIX</t>
        </is>
      </c>
      <c r="C37060">
        <f>ROMAN(37059)</f>
        <v/>
      </c>
      <c r="D37060">
        <f>IF(B37060=C37060, "YES", "WRONG")</f>
        <v/>
      </c>
    </row>
    <row r="37061">
      <c r="A37061" t="n">
        <v>37060</v>
      </c>
      <c r="B37061" t="inlineStr">
        <is>
          <t>x̄x̄x̄V̅MMLX</t>
        </is>
      </c>
      <c r="C37061">
        <f>ROMAN(37060)</f>
        <v/>
      </c>
      <c r="D37061">
        <f>IF(B37061=C37061, "YES", "WRONG")</f>
        <v/>
      </c>
    </row>
    <row r="37062">
      <c r="A37062" t="n">
        <v>37061</v>
      </c>
      <c r="B37062" t="inlineStr">
        <is>
          <t>x̄x̄x̄V̅MMLXI</t>
        </is>
      </c>
      <c r="C37062">
        <f>ROMAN(37061)</f>
        <v/>
      </c>
      <c r="D37062">
        <f>IF(B37062=C37062, "YES", "WRONG")</f>
        <v/>
      </c>
    </row>
    <row r="37063">
      <c r="A37063" t="n">
        <v>37062</v>
      </c>
      <c r="B37063" t="inlineStr">
        <is>
          <t>x̄x̄x̄V̅MMLXII</t>
        </is>
      </c>
      <c r="C37063">
        <f>ROMAN(37062)</f>
        <v/>
      </c>
      <c r="D37063">
        <f>IF(B37063=C37063, "YES", "WRONG")</f>
        <v/>
      </c>
    </row>
    <row r="37064">
      <c r="A37064" t="n">
        <v>37063</v>
      </c>
      <c r="B37064" t="inlineStr">
        <is>
          <t>x̄x̄x̄V̅MMLXIII</t>
        </is>
      </c>
      <c r="C37064">
        <f>ROMAN(37063)</f>
        <v/>
      </c>
      <c r="D37064">
        <f>IF(B37064=C37064, "YES", "WRONG")</f>
        <v/>
      </c>
    </row>
    <row r="37065">
      <c r="A37065" t="n">
        <v>37064</v>
      </c>
      <c r="B37065" t="inlineStr">
        <is>
          <t>x̄x̄x̄V̅MMLXIV</t>
        </is>
      </c>
      <c r="C37065">
        <f>ROMAN(37064)</f>
        <v/>
      </c>
      <c r="D37065">
        <f>IF(B37065=C37065, "YES", "WRONG")</f>
        <v/>
      </c>
    </row>
    <row r="37066">
      <c r="A37066" t="n">
        <v>37065</v>
      </c>
      <c r="B37066" t="inlineStr">
        <is>
          <t>x̄x̄x̄V̅MMLXV</t>
        </is>
      </c>
      <c r="C37066">
        <f>ROMAN(37065)</f>
        <v/>
      </c>
      <c r="D37066">
        <f>IF(B37066=C37066, "YES", "WRONG")</f>
        <v/>
      </c>
    </row>
    <row r="37067">
      <c r="A37067" t="n">
        <v>37066</v>
      </c>
      <c r="B37067" t="inlineStr">
        <is>
          <t>x̄x̄x̄V̅MMLXVI</t>
        </is>
      </c>
      <c r="C37067">
        <f>ROMAN(37066)</f>
        <v/>
      </c>
      <c r="D37067">
        <f>IF(B37067=C37067, "YES", "WRONG")</f>
        <v/>
      </c>
    </row>
    <row r="37068">
      <c r="A37068" t="n">
        <v>37067</v>
      </c>
      <c r="B37068" t="inlineStr">
        <is>
          <t>x̄x̄x̄V̅MMLXVII</t>
        </is>
      </c>
      <c r="C37068">
        <f>ROMAN(37067)</f>
        <v/>
      </c>
      <c r="D37068">
        <f>IF(B37068=C37068, "YES", "WRONG")</f>
        <v/>
      </c>
    </row>
    <row r="37069">
      <c r="A37069" t="n">
        <v>37068</v>
      </c>
      <c r="B37069" t="inlineStr">
        <is>
          <t>x̄x̄x̄V̅MMLXVIII</t>
        </is>
      </c>
      <c r="C37069">
        <f>ROMAN(37068)</f>
        <v/>
      </c>
      <c r="D37069">
        <f>IF(B37069=C37069, "YES", "WRONG")</f>
        <v/>
      </c>
    </row>
    <row r="37070">
      <c r="A37070" t="n">
        <v>37069</v>
      </c>
      <c r="B37070" t="inlineStr">
        <is>
          <t>x̄x̄x̄V̅MMLXIX</t>
        </is>
      </c>
      <c r="C37070">
        <f>ROMAN(37069)</f>
        <v/>
      </c>
      <c r="D37070">
        <f>IF(B37070=C37070, "YES", "WRONG")</f>
        <v/>
      </c>
    </row>
    <row r="37071">
      <c r="A37071" t="n">
        <v>37070</v>
      </c>
      <c r="B37071" t="inlineStr">
        <is>
          <t>x̄x̄x̄V̅MMLXX</t>
        </is>
      </c>
      <c r="C37071">
        <f>ROMAN(37070)</f>
        <v/>
      </c>
      <c r="D37071">
        <f>IF(B37071=C37071, "YES", "WRONG")</f>
        <v/>
      </c>
    </row>
    <row r="37072">
      <c r="A37072" t="n">
        <v>37071</v>
      </c>
      <c r="B37072" t="inlineStr">
        <is>
          <t>x̄x̄x̄V̅MMLXXI</t>
        </is>
      </c>
      <c r="C37072">
        <f>ROMAN(37071)</f>
        <v/>
      </c>
      <c r="D37072">
        <f>IF(B37072=C37072, "YES", "WRONG")</f>
        <v/>
      </c>
    </row>
    <row r="37073">
      <c r="A37073" t="n">
        <v>37072</v>
      </c>
      <c r="B37073" t="inlineStr">
        <is>
          <t>x̄x̄x̄V̅MMLXXII</t>
        </is>
      </c>
      <c r="C37073">
        <f>ROMAN(37072)</f>
        <v/>
      </c>
      <c r="D37073">
        <f>IF(B37073=C37073, "YES", "WRONG")</f>
        <v/>
      </c>
    </row>
    <row r="37074">
      <c r="A37074" t="n">
        <v>37073</v>
      </c>
      <c r="B37074" t="inlineStr">
        <is>
          <t>x̄x̄x̄V̅MMLXXIII</t>
        </is>
      </c>
      <c r="C37074">
        <f>ROMAN(37073)</f>
        <v/>
      </c>
      <c r="D37074">
        <f>IF(B37074=C37074, "YES", "WRONG")</f>
        <v/>
      </c>
    </row>
    <row r="37075">
      <c r="A37075" t="n">
        <v>37074</v>
      </c>
      <c r="B37075" t="inlineStr">
        <is>
          <t>x̄x̄x̄V̅MMLXXIV</t>
        </is>
      </c>
      <c r="C37075">
        <f>ROMAN(37074)</f>
        <v/>
      </c>
      <c r="D37075">
        <f>IF(B37075=C37075, "YES", "WRONG")</f>
        <v/>
      </c>
    </row>
    <row r="37076">
      <c r="A37076" t="n">
        <v>37075</v>
      </c>
      <c r="B37076" t="inlineStr">
        <is>
          <t>x̄x̄x̄V̅MMLXXV</t>
        </is>
      </c>
      <c r="C37076">
        <f>ROMAN(37075)</f>
        <v/>
      </c>
      <c r="D37076">
        <f>IF(B37076=C37076, "YES", "WRONG")</f>
        <v/>
      </c>
    </row>
    <row r="37077">
      <c r="A37077" t="n">
        <v>37076</v>
      </c>
      <c r="B37077" t="inlineStr">
        <is>
          <t>x̄x̄x̄V̅MMLXXVI</t>
        </is>
      </c>
      <c r="C37077">
        <f>ROMAN(37076)</f>
        <v/>
      </c>
      <c r="D37077">
        <f>IF(B37077=C37077, "YES", "WRONG")</f>
        <v/>
      </c>
    </row>
    <row r="37078">
      <c r="A37078" t="n">
        <v>37077</v>
      </c>
      <c r="B37078" t="inlineStr">
        <is>
          <t>x̄x̄x̄V̅MMLXXVII</t>
        </is>
      </c>
      <c r="C37078">
        <f>ROMAN(37077)</f>
        <v/>
      </c>
      <c r="D37078">
        <f>IF(B37078=C37078, "YES", "WRONG")</f>
        <v/>
      </c>
    </row>
    <row r="37079">
      <c r="A37079" t="n">
        <v>37078</v>
      </c>
      <c r="B37079" t="inlineStr">
        <is>
          <t>x̄x̄x̄V̅MMLXXVIII</t>
        </is>
      </c>
      <c r="C37079">
        <f>ROMAN(37078)</f>
        <v/>
      </c>
      <c r="D37079">
        <f>IF(B37079=C37079, "YES", "WRONG")</f>
        <v/>
      </c>
    </row>
    <row r="37080">
      <c r="A37080" t="n">
        <v>37079</v>
      </c>
      <c r="B37080" t="inlineStr">
        <is>
          <t>x̄x̄x̄V̅MMLXXIX</t>
        </is>
      </c>
      <c r="C37080">
        <f>ROMAN(37079)</f>
        <v/>
      </c>
      <c r="D37080">
        <f>IF(B37080=C37080, "YES", "WRONG")</f>
        <v/>
      </c>
    </row>
    <row r="37081">
      <c r="A37081" t="n">
        <v>37080</v>
      </c>
      <c r="B37081" t="inlineStr">
        <is>
          <t>x̄x̄x̄V̅MMLXXX</t>
        </is>
      </c>
      <c r="C37081">
        <f>ROMAN(37080)</f>
        <v/>
      </c>
      <c r="D37081">
        <f>IF(B37081=C37081, "YES", "WRONG")</f>
        <v/>
      </c>
    </row>
    <row r="37082">
      <c r="A37082" t="n">
        <v>37081</v>
      </c>
      <c r="B37082" t="inlineStr">
        <is>
          <t>x̄x̄x̄V̅MMLXXXI</t>
        </is>
      </c>
      <c r="C37082">
        <f>ROMAN(37081)</f>
        <v/>
      </c>
      <c r="D37082">
        <f>IF(B37082=C37082, "YES", "WRONG")</f>
        <v/>
      </c>
    </row>
    <row r="37083">
      <c r="A37083" t="n">
        <v>37082</v>
      </c>
      <c r="B37083" t="inlineStr">
        <is>
          <t>x̄x̄x̄V̅MMLXXXII</t>
        </is>
      </c>
      <c r="C37083">
        <f>ROMAN(37082)</f>
        <v/>
      </c>
      <c r="D37083">
        <f>IF(B37083=C37083, "YES", "WRONG")</f>
        <v/>
      </c>
    </row>
    <row r="37084">
      <c r="A37084" t="n">
        <v>37083</v>
      </c>
      <c r="B37084" t="inlineStr">
        <is>
          <t>x̄x̄x̄V̅MMLXXXIII</t>
        </is>
      </c>
      <c r="C37084">
        <f>ROMAN(37083)</f>
        <v/>
      </c>
      <c r="D37084">
        <f>IF(B37084=C37084, "YES", "WRONG")</f>
        <v/>
      </c>
    </row>
    <row r="37085">
      <c r="A37085" t="n">
        <v>37084</v>
      </c>
      <c r="B37085" t="inlineStr">
        <is>
          <t>x̄x̄x̄V̅MMLXXXIV</t>
        </is>
      </c>
      <c r="C37085">
        <f>ROMAN(37084)</f>
        <v/>
      </c>
      <c r="D37085">
        <f>IF(B37085=C37085, "YES", "WRONG")</f>
        <v/>
      </c>
    </row>
    <row r="37086">
      <c r="A37086" t="n">
        <v>37085</v>
      </c>
      <c r="B37086" t="inlineStr">
        <is>
          <t>x̄x̄x̄V̅MMLXXXV</t>
        </is>
      </c>
      <c r="C37086">
        <f>ROMAN(37085)</f>
        <v/>
      </c>
      <c r="D37086">
        <f>IF(B37086=C37086, "YES", "WRONG")</f>
        <v/>
      </c>
    </row>
    <row r="37087">
      <c r="A37087" t="n">
        <v>37086</v>
      </c>
      <c r="B37087" t="inlineStr">
        <is>
          <t>x̄x̄x̄V̅MMLXXXVI</t>
        </is>
      </c>
      <c r="C37087">
        <f>ROMAN(37086)</f>
        <v/>
      </c>
      <c r="D37087">
        <f>IF(B37087=C37087, "YES", "WRONG")</f>
        <v/>
      </c>
    </row>
    <row r="37088">
      <c r="A37088" t="n">
        <v>37087</v>
      </c>
      <c r="B37088" t="inlineStr">
        <is>
          <t>x̄x̄x̄V̅MMLXXXVII</t>
        </is>
      </c>
      <c r="C37088">
        <f>ROMAN(37087)</f>
        <v/>
      </c>
      <c r="D37088">
        <f>IF(B37088=C37088, "YES", "WRONG")</f>
        <v/>
      </c>
    </row>
    <row r="37089">
      <c r="A37089" t="n">
        <v>37088</v>
      </c>
      <c r="B37089" t="inlineStr">
        <is>
          <t>x̄x̄x̄V̅MMLXXXVIII</t>
        </is>
      </c>
      <c r="C37089">
        <f>ROMAN(37088)</f>
        <v/>
      </c>
      <c r="D37089">
        <f>IF(B37089=C37089, "YES", "WRONG")</f>
        <v/>
      </c>
    </row>
    <row r="37090">
      <c r="A37090" t="n">
        <v>37089</v>
      </c>
      <c r="B37090" t="inlineStr">
        <is>
          <t>x̄x̄x̄V̅MMLXXXIX</t>
        </is>
      </c>
      <c r="C37090">
        <f>ROMAN(37089)</f>
        <v/>
      </c>
      <c r="D37090">
        <f>IF(B37090=C37090, "YES", "WRONG")</f>
        <v/>
      </c>
    </row>
    <row r="37091">
      <c r="A37091" t="n">
        <v>37090</v>
      </c>
      <c r="B37091" t="inlineStr">
        <is>
          <t>x̄x̄x̄V̅MMXC</t>
        </is>
      </c>
      <c r="C37091">
        <f>ROMAN(37090)</f>
        <v/>
      </c>
      <c r="D37091">
        <f>IF(B37091=C37091, "YES", "WRONG")</f>
        <v/>
      </c>
    </row>
    <row r="37092">
      <c r="A37092" t="n">
        <v>37091</v>
      </c>
      <c r="B37092" t="inlineStr">
        <is>
          <t>x̄x̄x̄V̅MMXCI</t>
        </is>
      </c>
      <c r="C37092">
        <f>ROMAN(37091)</f>
        <v/>
      </c>
      <c r="D37092">
        <f>IF(B37092=C37092, "YES", "WRONG")</f>
        <v/>
      </c>
    </row>
    <row r="37093">
      <c r="A37093" t="n">
        <v>37092</v>
      </c>
      <c r="B37093" t="inlineStr">
        <is>
          <t>x̄x̄x̄V̅MMXCII</t>
        </is>
      </c>
      <c r="C37093">
        <f>ROMAN(37092)</f>
        <v/>
      </c>
      <c r="D37093">
        <f>IF(B37093=C37093, "YES", "WRONG")</f>
        <v/>
      </c>
    </row>
    <row r="37094">
      <c r="A37094" t="n">
        <v>37093</v>
      </c>
      <c r="B37094" t="inlineStr">
        <is>
          <t>x̄x̄x̄V̅MMXCIII</t>
        </is>
      </c>
      <c r="C37094">
        <f>ROMAN(37093)</f>
        <v/>
      </c>
      <c r="D37094">
        <f>IF(B37094=C37094, "YES", "WRONG")</f>
        <v/>
      </c>
    </row>
    <row r="37095">
      <c r="A37095" t="n">
        <v>37094</v>
      </c>
      <c r="B37095" t="inlineStr">
        <is>
          <t>x̄x̄x̄V̅MMXCIV</t>
        </is>
      </c>
      <c r="C37095">
        <f>ROMAN(37094)</f>
        <v/>
      </c>
      <c r="D37095">
        <f>IF(B37095=C37095, "YES", "WRONG")</f>
        <v/>
      </c>
    </row>
    <row r="37096">
      <c r="A37096" t="n">
        <v>37095</v>
      </c>
      <c r="B37096" t="inlineStr">
        <is>
          <t>x̄x̄x̄V̅MMXCV</t>
        </is>
      </c>
      <c r="C37096">
        <f>ROMAN(37095)</f>
        <v/>
      </c>
      <c r="D37096">
        <f>IF(B37096=C37096, "YES", "WRONG")</f>
        <v/>
      </c>
    </row>
    <row r="37097">
      <c r="A37097" t="n">
        <v>37096</v>
      </c>
      <c r="B37097" t="inlineStr">
        <is>
          <t>x̄x̄x̄V̅MMXCVI</t>
        </is>
      </c>
      <c r="C37097">
        <f>ROMAN(37096)</f>
        <v/>
      </c>
      <c r="D37097">
        <f>IF(B37097=C37097, "YES", "WRONG")</f>
        <v/>
      </c>
    </row>
    <row r="37098">
      <c r="A37098" t="n">
        <v>37097</v>
      </c>
      <c r="B37098" t="inlineStr">
        <is>
          <t>x̄x̄x̄V̅MMXCVII</t>
        </is>
      </c>
      <c r="C37098">
        <f>ROMAN(37097)</f>
        <v/>
      </c>
      <c r="D37098">
        <f>IF(B37098=C37098, "YES", "WRONG")</f>
        <v/>
      </c>
    </row>
    <row r="37099">
      <c r="A37099" t="n">
        <v>37098</v>
      </c>
      <c r="B37099" t="inlineStr">
        <is>
          <t>x̄x̄x̄V̅MMXCVIII</t>
        </is>
      </c>
      <c r="C37099">
        <f>ROMAN(37098)</f>
        <v/>
      </c>
      <c r="D37099">
        <f>IF(B37099=C37099, "YES", "WRONG")</f>
        <v/>
      </c>
    </row>
    <row r="37100">
      <c r="A37100" t="n">
        <v>37099</v>
      </c>
      <c r="B37100" t="inlineStr">
        <is>
          <t>x̄x̄x̄V̅MMXCIX</t>
        </is>
      </c>
      <c r="C37100">
        <f>ROMAN(37099)</f>
        <v/>
      </c>
      <c r="D37100">
        <f>IF(B37100=C37100, "YES", "WRONG")</f>
        <v/>
      </c>
    </row>
    <row r="37101">
      <c r="A37101" t="n">
        <v>37100</v>
      </c>
      <c r="B37101" t="inlineStr">
        <is>
          <t>x̄x̄x̄V̅MMC</t>
        </is>
      </c>
      <c r="C37101">
        <f>ROMAN(37100)</f>
        <v/>
      </c>
      <c r="D37101">
        <f>IF(B37101=C37101, "YES", "WRONG")</f>
        <v/>
      </c>
    </row>
    <row r="37102">
      <c r="A37102" t="n">
        <v>37101</v>
      </c>
      <c r="B37102" t="inlineStr">
        <is>
          <t>x̄x̄x̄V̅MMCI</t>
        </is>
      </c>
      <c r="C37102">
        <f>ROMAN(37101)</f>
        <v/>
      </c>
      <c r="D37102">
        <f>IF(B37102=C37102, "YES", "WRONG")</f>
        <v/>
      </c>
    </row>
    <row r="37103">
      <c r="A37103" t="n">
        <v>37102</v>
      </c>
      <c r="B37103" t="inlineStr">
        <is>
          <t>x̄x̄x̄V̅MMCII</t>
        </is>
      </c>
      <c r="C37103">
        <f>ROMAN(37102)</f>
        <v/>
      </c>
      <c r="D37103">
        <f>IF(B37103=C37103, "YES", "WRONG")</f>
        <v/>
      </c>
    </row>
    <row r="37104">
      <c r="A37104" t="n">
        <v>37103</v>
      </c>
      <c r="B37104" t="inlineStr">
        <is>
          <t>x̄x̄x̄V̅MMCIII</t>
        </is>
      </c>
      <c r="C37104">
        <f>ROMAN(37103)</f>
        <v/>
      </c>
      <c r="D37104">
        <f>IF(B37104=C37104, "YES", "WRONG")</f>
        <v/>
      </c>
    </row>
    <row r="37105">
      <c r="A37105" t="n">
        <v>37104</v>
      </c>
      <c r="B37105" t="inlineStr">
        <is>
          <t>x̄x̄x̄V̅MMCIV</t>
        </is>
      </c>
      <c r="C37105">
        <f>ROMAN(37104)</f>
        <v/>
      </c>
      <c r="D37105">
        <f>IF(B37105=C37105, "YES", "WRONG")</f>
        <v/>
      </c>
    </row>
    <row r="37106">
      <c r="A37106" t="n">
        <v>37105</v>
      </c>
      <c r="B37106" t="inlineStr">
        <is>
          <t>x̄x̄x̄V̅MMCV</t>
        </is>
      </c>
      <c r="C37106">
        <f>ROMAN(37105)</f>
        <v/>
      </c>
      <c r="D37106">
        <f>IF(B37106=C37106, "YES", "WRONG")</f>
        <v/>
      </c>
    </row>
    <row r="37107">
      <c r="A37107" t="n">
        <v>37106</v>
      </c>
      <c r="B37107" t="inlineStr">
        <is>
          <t>x̄x̄x̄V̅MMCVI</t>
        </is>
      </c>
      <c r="C37107">
        <f>ROMAN(37106)</f>
        <v/>
      </c>
      <c r="D37107">
        <f>IF(B37107=C37107, "YES", "WRONG")</f>
        <v/>
      </c>
    </row>
    <row r="37108">
      <c r="A37108" t="n">
        <v>37107</v>
      </c>
      <c r="B37108" t="inlineStr">
        <is>
          <t>x̄x̄x̄V̅MMCVII</t>
        </is>
      </c>
      <c r="C37108">
        <f>ROMAN(37107)</f>
        <v/>
      </c>
      <c r="D37108">
        <f>IF(B37108=C37108, "YES", "WRONG")</f>
        <v/>
      </c>
    </row>
    <row r="37109">
      <c r="A37109" t="n">
        <v>37108</v>
      </c>
      <c r="B37109" t="inlineStr">
        <is>
          <t>x̄x̄x̄V̅MMCVIII</t>
        </is>
      </c>
      <c r="C37109">
        <f>ROMAN(37108)</f>
        <v/>
      </c>
      <c r="D37109">
        <f>IF(B37109=C37109, "YES", "WRONG")</f>
        <v/>
      </c>
    </row>
    <row r="37110">
      <c r="A37110" t="n">
        <v>37109</v>
      </c>
      <c r="B37110" t="inlineStr">
        <is>
          <t>x̄x̄x̄V̅MMCIX</t>
        </is>
      </c>
      <c r="C37110">
        <f>ROMAN(37109)</f>
        <v/>
      </c>
      <c r="D37110">
        <f>IF(B37110=C37110, "YES", "WRONG")</f>
        <v/>
      </c>
    </row>
    <row r="37111">
      <c r="A37111" t="n">
        <v>37110</v>
      </c>
      <c r="B37111" t="inlineStr">
        <is>
          <t>x̄x̄x̄V̅MMCX</t>
        </is>
      </c>
      <c r="C37111">
        <f>ROMAN(37110)</f>
        <v/>
      </c>
      <c r="D37111">
        <f>IF(B37111=C37111, "YES", "WRONG")</f>
        <v/>
      </c>
    </row>
    <row r="37112">
      <c r="A37112" t="n">
        <v>37111</v>
      </c>
      <c r="B37112" t="inlineStr">
        <is>
          <t>x̄x̄x̄V̅MMCXI</t>
        </is>
      </c>
      <c r="C37112">
        <f>ROMAN(37111)</f>
        <v/>
      </c>
      <c r="D37112">
        <f>IF(B37112=C37112, "YES", "WRONG")</f>
        <v/>
      </c>
    </row>
    <row r="37113">
      <c r="A37113" t="n">
        <v>37112</v>
      </c>
      <c r="B37113" t="inlineStr">
        <is>
          <t>x̄x̄x̄V̅MMCXII</t>
        </is>
      </c>
      <c r="C37113">
        <f>ROMAN(37112)</f>
        <v/>
      </c>
      <c r="D37113">
        <f>IF(B37113=C37113, "YES", "WRONG")</f>
        <v/>
      </c>
    </row>
    <row r="37114">
      <c r="A37114" t="n">
        <v>37113</v>
      </c>
      <c r="B37114" t="inlineStr">
        <is>
          <t>x̄x̄x̄V̅MMCXIII</t>
        </is>
      </c>
      <c r="C37114">
        <f>ROMAN(37113)</f>
        <v/>
      </c>
      <c r="D37114">
        <f>IF(B37114=C37114, "YES", "WRONG")</f>
        <v/>
      </c>
    </row>
    <row r="37115">
      <c r="A37115" t="n">
        <v>37114</v>
      </c>
      <c r="B37115" t="inlineStr">
        <is>
          <t>x̄x̄x̄V̅MMCXIV</t>
        </is>
      </c>
      <c r="C37115">
        <f>ROMAN(37114)</f>
        <v/>
      </c>
      <c r="D37115">
        <f>IF(B37115=C37115, "YES", "WRONG")</f>
        <v/>
      </c>
    </row>
    <row r="37116">
      <c r="A37116" t="n">
        <v>37115</v>
      </c>
      <c r="B37116" t="inlineStr">
        <is>
          <t>x̄x̄x̄V̅MMCXV</t>
        </is>
      </c>
      <c r="C37116">
        <f>ROMAN(37115)</f>
        <v/>
      </c>
      <c r="D37116">
        <f>IF(B37116=C37116, "YES", "WRONG")</f>
        <v/>
      </c>
    </row>
    <row r="37117">
      <c r="A37117" t="n">
        <v>37116</v>
      </c>
      <c r="B37117" t="inlineStr">
        <is>
          <t>x̄x̄x̄V̅MMCXVI</t>
        </is>
      </c>
      <c r="C37117">
        <f>ROMAN(37116)</f>
        <v/>
      </c>
      <c r="D37117">
        <f>IF(B37117=C37117, "YES", "WRONG")</f>
        <v/>
      </c>
    </row>
    <row r="37118">
      <c r="A37118" t="n">
        <v>37117</v>
      </c>
      <c r="B37118" t="inlineStr">
        <is>
          <t>x̄x̄x̄V̅MMCXVII</t>
        </is>
      </c>
      <c r="C37118">
        <f>ROMAN(37117)</f>
        <v/>
      </c>
      <c r="D37118">
        <f>IF(B37118=C37118, "YES", "WRONG")</f>
        <v/>
      </c>
    </row>
    <row r="37119">
      <c r="A37119" t="n">
        <v>37118</v>
      </c>
      <c r="B37119" t="inlineStr">
        <is>
          <t>x̄x̄x̄V̅MMCXVIII</t>
        </is>
      </c>
      <c r="C37119">
        <f>ROMAN(37118)</f>
        <v/>
      </c>
      <c r="D37119">
        <f>IF(B37119=C37119, "YES", "WRONG")</f>
        <v/>
      </c>
    </row>
    <row r="37120">
      <c r="A37120" t="n">
        <v>37119</v>
      </c>
      <c r="B37120" t="inlineStr">
        <is>
          <t>x̄x̄x̄V̅MMCXIX</t>
        </is>
      </c>
      <c r="C37120">
        <f>ROMAN(37119)</f>
        <v/>
      </c>
      <c r="D37120">
        <f>IF(B37120=C37120, "YES", "WRONG")</f>
        <v/>
      </c>
    </row>
    <row r="37121">
      <c r="A37121" t="n">
        <v>37120</v>
      </c>
      <c r="B37121" t="inlineStr">
        <is>
          <t>x̄x̄x̄V̅MMCXX</t>
        </is>
      </c>
      <c r="C37121">
        <f>ROMAN(37120)</f>
        <v/>
      </c>
      <c r="D37121">
        <f>IF(B37121=C37121, "YES", "WRONG")</f>
        <v/>
      </c>
    </row>
    <row r="37122">
      <c r="A37122" t="n">
        <v>37121</v>
      </c>
      <c r="B37122" t="inlineStr">
        <is>
          <t>x̄x̄x̄V̅MMCXXI</t>
        </is>
      </c>
      <c r="C37122">
        <f>ROMAN(37121)</f>
        <v/>
      </c>
      <c r="D37122">
        <f>IF(B37122=C37122, "YES", "WRONG")</f>
        <v/>
      </c>
    </row>
    <row r="37123">
      <c r="A37123" t="n">
        <v>37122</v>
      </c>
      <c r="B37123" t="inlineStr">
        <is>
          <t>x̄x̄x̄V̅MMCXXII</t>
        </is>
      </c>
      <c r="C37123">
        <f>ROMAN(37122)</f>
        <v/>
      </c>
      <c r="D37123">
        <f>IF(B37123=C37123, "YES", "WRONG")</f>
        <v/>
      </c>
    </row>
    <row r="37124">
      <c r="A37124" t="n">
        <v>37123</v>
      </c>
      <c r="B37124" t="inlineStr">
        <is>
          <t>x̄x̄x̄V̅MMCXXIII</t>
        </is>
      </c>
      <c r="C37124">
        <f>ROMAN(37123)</f>
        <v/>
      </c>
      <c r="D37124">
        <f>IF(B37124=C37124, "YES", "WRONG")</f>
        <v/>
      </c>
    </row>
    <row r="37125">
      <c r="A37125" t="n">
        <v>37124</v>
      </c>
      <c r="B37125" t="inlineStr">
        <is>
          <t>x̄x̄x̄V̅MMCXXIV</t>
        </is>
      </c>
      <c r="C37125">
        <f>ROMAN(37124)</f>
        <v/>
      </c>
      <c r="D37125">
        <f>IF(B37125=C37125, "YES", "WRONG")</f>
        <v/>
      </c>
    </row>
    <row r="37126">
      <c r="A37126" t="n">
        <v>37125</v>
      </c>
      <c r="B37126" t="inlineStr">
        <is>
          <t>x̄x̄x̄V̅MMCXXV</t>
        </is>
      </c>
      <c r="C37126">
        <f>ROMAN(37125)</f>
        <v/>
      </c>
      <c r="D37126">
        <f>IF(B37126=C37126, "YES", "WRONG")</f>
        <v/>
      </c>
    </row>
    <row r="37127">
      <c r="A37127" t="n">
        <v>37126</v>
      </c>
      <c r="B37127" t="inlineStr">
        <is>
          <t>x̄x̄x̄V̅MMCXXVI</t>
        </is>
      </c>
      <c r="C37127">
        <f>ROMAN(37126)</f>
        <v/>
      </c>
      <c r="D37127">
        <f>IF(B37127=C37127, "YES", "WRONG")</f>
        <v/>
      </c>
    </row>
    <row r="37128">
      <c r="A37128" t="n">
        <v>37127</v>
      </c>
      <c r="B37128" t="inlineStr">
        <is>
          <t>x̄x̄x̄V̅MMCXXVII</t>
        </is>
      </c>
      <c r="C37128">
        <f>ROMAN(37127)</f>
        <v/>
      </c>
      <c r="D37128">
        <f>IF(B37128=C37128, "YES", "WRONG")</f>
        <v/>
      </c>
    </row>
    <row r="37129">
      <c r="A37129" t="n">
        <v>37128</v>
      </c>
      <c r="B37129" t="inlineStr">
        <is>
          <t>x̄x̄x̄V̅MMCXXVIII</t>
        </is>
      </c>
      <c r="C37129">
        <f>ROMAN(37128)</f>
        <v/>
      </c>
      <c r="D37129">
        <f>IF(B37129=C37129, "YES", "WRONG")</f>
        <v/>
      </c>
    </row>
    <row r="37130">
      <c r="A37130" t="n">
        <v>37129</v>
      </c>
      <c r="B37130" t="inlineStr">
        <is>
          <t>x̄x̄x̄V̅MMCXXIX</t>
        </is>
      </c>
      <c r="C37130">
        <f>ROMAN(37129)</f>
        <v/>
      </c>
      <c r="D37130">
        <f>IF(B37130=C37130, "YES", "WRONG")</f>
        <v/>
      </c>
    </row>
    <row r="37131">
      <c r="A37131" t="n">
        <v>37130</v>
      </c>
      <c r="B37131" t="inlineStr">
        <is>
          <t>x̄x̄x̄V̅MMCXXX</t>
        </is>
      </c>
      <c r="C37131">
        <f>ROMAN(37130)</f>
        <v/>
      </c>
      <c r="D37131">
        <f>IF(B37131=C37131, "YES", "WRONG")</f>
        <v/>
      </c>
    </row>
    <row r="37132">
      <c r="A37132" t="n">
        <v>37131</v>
      </c>
      <c r="B37132" t="inlineStr">
        <is>
          <t>x̄x̄x̄V̅MMCXXXI</t>
        </is>
      </c>
      <c r="C37132">
        <f>ROMAN(37131)</f>
        <v/>
      </c>
      <c r="D37132">
        <f>IF(B37132=C37132, "YES", "WRONG")</f>
        <v/>
      </c>
    </row>
    <row r="37133">
      <c r="A37133" t="n">
        <v>37132</v>
      </c>
      <c r="B37133" t="inlineStr">
        <is>
          <t>x̄x̄x̄V̅MMCXXXII</t>
        </is>
      </c>
      <c r="C37133">
        <f>ROMAN(37132)</f>
        <v/>
      </c>
      <c r="D37133">
        <f>IF(B37133=C37133, "YES", "WRONG")</f>
        <v/>
      </c>
    </row>
    <row r="37134">
      <c r="A37134" t="n">
        <v>37133</v>
      </c>
      <c r="B37134" t="inlineStr">
        <is>
          <t>x̄x̄x̄V̅MMCXXXIII</t>
        </is>
      </c>
      <c r="C37134">
        <f>ROMAN(37133)</f>
        <v/>
      </c>
      <c r="D37134">
        <f>IF(B37134=C37134, "YES", "WRONG")</f>
        <v/>
      </c>
    </row>
    <row r="37135">
      <c r="A37135" t="n">
        <v>37134</v>
      </c>
      <c r="B37135" t="inlineStr">
        <is>
          <t>x̄x̄x̄V̅MMCXXXIV</t>
        </is>
      </c>
      <c r="C37135">
        <f>ROMAN(37134)</f>
        <v/>
      </c>
      <c r="D37135">
        <f>IF(B37135=C37135, "YES", "WRONG")</f>
        <v/>
      </c>
    </row>
    <row r="37136">
      <c r="A37136" t="n">
        <v>37135</v>
      </c>
      <c r="B37136" t="inlineStr">
        <is>
          <t>x̄x̄x̄V̅MMCXXXV</t>
        </is>
      </c>
      <c r="C37136">
        <f>ROMAN(37135)</f>
        <v/>
      </c>
      <c r="D37136">
        <f>IF(B37136=C37136, "YES", "WRONG")</f>
        <v/>
      </c>
    </row>
    <row r="37137">
      <c r="A37137" t="n">
        <v>37136</v>
      </c>
      <c r="B37137" t="inlineStr">
        <is>
          <t>x̄x̄x̄V̅MMCXXXVI</t>
        </is>
      </c>
      <c r="C37137">
        <f>ROMAN(37136)</f>
        <v/>
      </c>
      <c r="D37137">
        <f>IF(B37137=C37137, "YES", "WRONG")</f>
        <v/>
      </c>
    </row>
    <row r="37138">
      <c r="A37138" t="n">
        <v>37137</v>
      </c>
      <c r="B37138" t="inlineStr">
        <is>
          <t>x̄x̄x̄V̅MMCXXXVII</t>
        </is>
      </c>
      <c r="C37138">
        <f>ROMAN(37137)</f>
        <v/>
      </c>
      <c r="D37138">
        <f>IF(B37138=C37138, "YES", "WRONG")</f>
        <v/>
      </c>
    </row>
    <row r="37139">
      <c r="A37139" t="n">
        <v>37138</v>
      </c>
      <c r="B37139" t="inlineStr">
        <is>
          <t>x̄x̄x̄V̅MMCXXXVIII</t>
        </is>
      </c>
      <c r="C37139">
        <f>ROMAN(37138)</f>
        <v/>
      </c>
      <c r="D37139">
        <f>IF(B37139=C37139, "YES", "WRONG")</f>
        <v/>
      </c>
    </row>
    <row r="37140">
      <c r="A37140" t="n">
        <v>37139</v>
      </c>
      <c r="B37140" t="inlineStr">
        <is>
          <t>x̄x̄x̄V̅MMCXXXIX</t>
        </is>
      </c>
      <c r="C37140">
        <f>ROMAN(37139)</f>
        <v/>
      </c>
      <c r="D37140">
        <f>IF(B37140=C37140, "YES", "WRONG")</f>
        <v/>
      </c>
    </row>
    <row r="37141">
      <c r="A37141" t="n">
        <v>37140</v>
      </c>
      <c r="B37141" t="inlineStr">
        <is>
          <t>x̄x̄x̄V̅MMCXL</t>
        </is>
      </c>
      <c r="C37141">
        <f>ROMAN(37140)</f>
        <v/>
      </c>
      <c r="D37141">
        <f>IF(B37141=C37141, "YES", "WRONG")</f>
        <v/>
      </c>
    </row>
    <row r="37142">
      <c r="A37142" t="n">
        <v>37141</v>
      </c>
      <c r="B37142" t="inlineStr">
        <is>
          <t>x̄x̄x̄V̅MMCXLI</t>
        </is>
      </c>
      <c r="C37142">
        <f>ROMAN(37141)</f>
        <v/>
      </c>
      <c r="D37142">
        <f>IF(B37142=C37142, "YES", "WRONG")</f>
        <v/>
      </c>
    </row>
    <row r="37143">
      <c r="A37143" t="n">
        <v>37142</v>
      </c>
      <c r="B37143" t="inlineStr">
        <is>
          <t>x̄x̄x̄V̅MMCXLII</t>
        </is>
      </c>
      <c r="C37143">
        <f>ROMAN(37142)</f>
        <v/>
      </c>
      <c r="D37143">
        <f>IF(B37143=C37143, "YES", "WRONG")</f>
        <v/>
      </c>
    </row>
    <row r="37144">
      <c r="A37144" t="n">
        <v>37143</v>
      </c>
      <c r="B37144" t="inlineStr">
        <is>
          <t>x̄x̄x̄V̅MMCXLIII</t>
        </is>
      </c>
      <c r="C37144">
        <f>ROMAN(37143)</f>
        <v/>
      </c>
      <c r="D37144">
        <f>IF(B37144=C37144, "YES", "WRONG")</f>
        <v/>
      </c>
    </row>
    <row r="37145">
      <c r="A37145" t="n">
        <v>37144</v>
      </c>
      <c r="B37145" t="inlineStr">
        <is>
          <t>x̄x̄x̄V̅MMCXLIV</t>
        </is>
      </c>
      <c r="C37145">
        <f>ROMAN(37144)</f>
        <v/>
      </c>
      <c r="D37145">
        <f>IF(B37145=C37145, "YES", "WRONG")</f>
        <v/>
      </c>
    </row>
    <row r="37146">
      <c r="A37146" t="n">
        <v>37145</v>
      </c>
      <c r="B37146" t="inlineStr">
        <is>
          <t>x̄x̄x̄V̅MMCXLV</t>
        </is>
      </c>
      <c r="C37146">
        <f>ROMAN(37145)</f>
        <v/>
      </c>
      <c r="D37146">
        <f>IF(B37146=C37146, "YES", "WRONG")</f>
        <v/>
      </c>
    </row>
    <row r="37147">
      <c r="A37147" t="n">
        <v>37146</v>
      </c>
      <c r="B37147" t="inlineStr">
        <is>
          <t>x̄x̄x̄V̅MMCXLVI</t>
        </is>
      </c>
      <c r="C37147">
        <f>ROMAN(37146)</f>
        <v/>
      </c>
      <c r="D37147">
        <f>IF(B37147=C37147, "YES", "WRONG")</f>
        <v/>
      </c>
    </row>
    <row r="37148">
      <c r="A37148" t="n">
        <v>37147</v>
      </c>
      <c r="B37148" t="inlineStr">
        <is>
          <t>x̄x̄x̄V̅MMCXLVII</t>
        </is>
      </c>
      <c r="C37148">
        <f>ROMAN(37147)</f>
        <v/>
      </c>
      <c r="D37148">
        <f>IF(B37148=C37148, "YES", "WRONG")</f>
        <v/>
      </c>
    </row>
    <row r="37149">
      <c r="A37149" t="n">
        <v>37148</v>
      </c>
      <c r="B37149" t="inlineStr">
        <is>
          <t>x̄x̄x̄V̅MMCXLVIII</t>
        </is>
      </c>
      <c r="C37149">
        <f>ROMAN(37148)</f>
        <v/>
      </c>
      <c r="D37149">
        <f>IF(B37149=C37149, "YES", "WRONG")</f>
        <v/>
      </c>
    </row>
    <row r="37150">
      <c r="A37150" t="n">
        <v>37149</v>
      </c>
      <c r="B37150" t="inlineStr">
        <is>
          <t>x̄x̄x̄V̅MMCXLIX</t>
        </is>
      </c>
      <c r="C37150">
        <f>ROMAN(37149)</f>
        <v/>
      </c>
      <c r="D37150">
        <f>IF(B37150=C37150, "YES", "WRONG")</f>
        <v/>
      </c>
    </row>
    <row r="37151">
      <c r="A37151" t="n">
        <v>37150</v>
      </c>
      <c r="B37151" t="inlineStr">
        <is>
          <t>x̄x̄x̄V̅MMCL</t>
        </is>
      </c>
      <c r="C37151">
        <f>ROMAN(37150)</f>
        <v/>
      </c>
      <c r="D37151">
        <f>IF(B37151=C37151, "YES", "WRONG")</f>
        <v/>
      </c>
    </row>
    <row r="37152">
      <c r="A37152" t="n">
        <v>37151</v>
      </c>
      <c r="B37152" t="inlineStr">
        <is>
          <t>x̄x̄x̄V̅MMCLI</t>
        </is>
      </c>
      <c r="C37152">
        <f>ROMAN(37151)</f>
        <v/>
      </c>
      <c r="D37152">
        <f>IF(B37152=C37152, "YES", "WRONG")</f>
        <v/>
      </c>
    </row>
    <row r="37153">
      <c r="A37153" t="n">
        <v>37152</v>
      </c>
      <c r="B37153" t="inlineStr">
        <is>
          <t>x̄x̄x̄V̅MMCLII</t>
        </is>
      </c>
      <c r="C37153">
        <f>ROMAN(37152)</f>
        <v/>
      </c>
      <c r="D37153">
        <f>IF(B37153=C37153, "YES", "WRONG")</f>
        <v/>
      </c>
    </row>
    <row r="37154">
      <c r="A37154" t="n">
        <v>37153</v>
      </c>
      <c r="B37154" t="inlineStr">
        <is>
          <t>x̄x̄x̄V̅MMCLIII</t>
        </is>
      </c>
      <c r="C37154">
        <f>ROMAN(37153)</f>
        <v/>
      </c>
      <c r="D37154">
        <f>IF(B37154=C37154, "YES", "WRONG")</f>
        <v/>
      </c>
    </row>
    <row r="37155">
      <c r="A37155" t="n">
        <v>37154</v>
      </c>
      <c r="B37155" t="inlineStr">
        <is>
          <t>x̄x̄x̄V̅MMCLIV</t>
        </is>
      </c>
      <c r="C37155">
        <f>ROMAN(37154)</f>
        <v/>
      </c>
      <c r="D37155">
        <f>IF(B37155=C37155, "YES", "WRONG")</f>
        <v/>
      </c>
    </row>
    <row r="37156">
      <c r="A37156" t="n">
        <v>37155</v>
      </c>
      <c r="B37156" t="inlineStr">
        <is>
          <t>x̄x̄x̄V̅MMCLV</t>
        </is>
      </c>
      <c r="C37156">
        <f>ROMAN(37155)</f>
        <v/>
      </c>
      <c r="D37156">
        <f>IF(B37156=C37156, "YES", "WRONG")</f>
        <v/>
      </c>
    </row>
    <row r="37157">
      <c r="A37157" t="n">
        <v>37156</v>
      </c>
      <c r="B37157" t="inlineStr">
        <is>
          <t>x̄x̄x̄V̅MMCLVI</t>
        </is>
      </c>
      <c r="C37157">
        <f>ROMAN(37156)</f>
        <v/>
      </c>
      <c r="D37157">
        <f>IF(B37157=C37157, "YES", "WRONG")</f>
        <v/>
      </c>
    </row>
    <row r="37158">
      <c r="A37158" t="n">
        <v>37157</v>
      </c>
      <c r="B37158" t="inlineStr">
        <is>
          <t>x̄x̄x̄V̅MMCLVII</t>
        </is>
      </c>
      <c r="C37158">
        <f>ROMAN(37157)</f>
        <v/>
      </c>
      <c r="D37158">
        <f>IF(B37158=C37158, "YES", "WRONG")</f>
        <v/>
      </c>
    </row>
    <row r="37159">
      <c r="A37159" t="n">
        <v>37158</v>
      </c>
      <c r="B37159" t="inlineStr">
        <is>
          <t>x̄x̄x̄V̅MMCLVIII</t>
        </is>
      </c>
      <c r="C37159">
        <f>ROMAN(37158)</f>
        <v/>
      </c>
      <c r="D37159">
        <f>IF(B37159=C37159, "YES", "WRONG")</f>
        <v/>
      </c>
    </row>
    <row r="37160">
      <c r="A37160" t="n">
        <v>37159</v>
      </c>
      <c r="B37160" t="inlineStr">
        <is>
          <t>x̄x̄x̄V̅MMCLIX</t>
        </is>
      </c>
      <c r="C37160">
        <f>ROMAN(37159)</f>
        <v/>
      </c>
      <c r="D37160">
        <f>IF(B37160=C37160, "YES", "WRONG")</f>
        <v/>
      </c>
    </row>
    <row r="37161">
      <c r="A37161" t="n">
        <v>37160</v>
      </c>
      <c r="B37161" t="inlineStr">
        <is>
          <t>x̄x̄x̄V̅MMCLX</t>
        </is>
      </c>
      <c r="C37161">
        <f>ROMAN(37160)</f>
        <v/>
      </c>
      <c r="D37161">
        <f>IF(B37161=C37161, "YES", "WRONG")</f>
        <v/>
      </c>
    </row>
    <row r="37162">
      <c r="A37162" t="n">
        <v>37161</v>
      </c>
      <c r="B37162" t="inlineStr">
        <is>
          <t>x̄x̄x̄V̅MMCLXI</t>
        </is>
      </c>
      <c r="C37162">
        <f>ROMAN(37161)</f>
        <v/>
      </c>
      <c r="D37162">
        <f>IF(B37162=C37162, "YES", "WRONG")</f>
        <v/>
      </c>
    </row>
    <row r="37163">
      <c r="A37163" t="n">
        <v>37162</v>
      </c>
      <c r="B37163" t="inlineStr">
        <is>
          <t>x̄x̄x̄V̅MMCLXII</t>
        </is>
      </c>
      <c r="C37163">
        <f>ROMAN(37162)</f>
        <v/>
      </c>
      <c r="D37163">
        <f>IF(B37163=C37163, "YES", "WRONG")</f>
        <v/>
      </c>
    </row>
    <row r="37164">
      <c r="A37164" t="n">
        <v>37163</v>
      </c>
      <c r="B37164" t="inlineStr">
        <is>
          <t>x̄x̄x̄V̅MMCLXIII</t>
        </is>
      </c>
      <c r="C37164">
        <f>ROMAN(37163)</f>
        <v/>
      </c>
      <c r="D37164">
        <f>IF(B37164=C37164, "YES", "WRONG")</f>
        <v/>
      </c>
    </row>
    <row r="37165">
      <c r="A37165" t="n">
        <v>37164</v>
      </c>
      <c r="B37165" t="inlineStr">
        <is>
          <t>x̄x̄x̄V̅MMCLXIV</t>
        </is>
      </c>
      <c r="C37165">
        <f>ROMAN(37164)</f>
        <v/>
      </c>
      <c r="D37165">
        <f>IF(B37165=C37165, "YES", "WRONG")</f>
        <v/>
      </c>
    </row>
    <row r="37166">
      <c r="A37166" t="n">
        <v>37165</v>
      </c>
      <c r="B37166" t="inlineStr">
        <is>
          <t>x̄x̄x̄V̅MMCLXV</t>
        </is>
      </c>
      <c r="C37166">
        <f>ROMAN(37165)</f>
        <v/>
      </c>
      <c r="D37166">
        <f>IF(B37166=C37166, "YES", "WRONG")</f>
        <v/>
      </c>
    </row>
    <row r="37167">
      <c r="A37167" t="n">
        <v>37166</v>
      </c>
      <c r="B37167" t="inlineStr">
        <is>
          <t>x̄x̄x̄V̅MMCLXVI</t>
        </is>
      </c>
      <c r="C37167">
        <f>ROMAN(37166)</f>
        <v/>
      </c>
      <c r="D37167">
        <f>IF(B37167=C37167, "YES", "WRONG")</f>
        <v/>
      </c>
    </row>
    <row r="37168">
      <c r="A37168" t="n">
        <v>37167</v>
      </c>
      <c r="B37168" t="inlineStr">
        <is>
          <t>x̄x̄x̄V̅MMCLXVII</t>
        </is>
      </c>
      <c r="C37168">
        <f>ROMAN(37167)</f>
        <v/>
      </c>
      <c r="D37168">
        <f>IF(B37168=C37168, "YES", "WRONG")</f>
        <v/>
      </c>
    </row>
    <row r="37169">
      <c r="A37169" t="n">
        <v>37168</v>
      </c>
      <c r="B37169" t="inlineStr">
        <is>
          <t>x̄x̄x̄V̅MMCLXVIII</t>
        </is>
      </c>
      <c r="C37169">
        <f>ROMAN(37168)</f>
        <v/>
      </c>
      <c r="D37169">
        <f>IF(B37169=C37169, "YES", "WRONG")</f>
        <v/>
      </c>
    </row>
    <row r="37170">
      <c r="A37170" t="n">
        <v>37169</v>
      </c>
      <c r="B37170" t="inlineStr">
        <is>
          <t>x̄x̄x̄V̅MMCLXIX</t>
        </is>
      </c>
      <c r="C37170">
        <f>ROMAN(37169)</f>
        <v/>
      </c>
      <c r="D37170">
        <f>IF(B37170=C37170, "YES", "WRONG")</f>
        <v/>
      </c>
    </row>
    <row r="37171">
      <c r="A37171" t="n">
        <v>37170</v>
      </c>
      <c r="B37171" t="inlineStr">
        <is>
          <t>x̄x̄x̄V̅MMCLXX</t>
        </is>
      </c>
      <c r="C37171">
        <f>ROMAN(37170)</f>
        <v/>
      </c>
      <c r="D37171">
        <f>IF(B37171=C37171, "YES", "WRONG")</f>
        <v/>
      </c>
    </row>
    <row r="37172">
      <c r="A37172" t="n">
        <v>37171</v>
      </c>
      <c r="B37172" t="inlineStr">
        <is>
          <t>x̄x̄x̄V̅MMCLXXI</t>
        </is>
      </c>
      <c r="C37172">
        <f>ROMAN(37171)</f>
        <v/>
      </c>
      <c r="D37172">
        <f>IF(B37172=C37172, "YES", "WRONG")</f>
        <v/>
      </c>
    </row>
    <row r="37173">
      <c r="A37173" t="n">
        <v>37172</v>
      </c>
      <c r="B37173" t="inlineStr">
        <is>
          <t>x̄x̄x̄V̅MMCLXXII</t>
        </is>
      </c>
      <c r="C37173">
        <f>ROMAN(37172)</f>
        <v/>
      </c>
      <c r="D37173">
        <f>IF(B37173=C37173, "YES", "WRONG")</f>
        <v/>
      </c>
    </row>
    <row r="37174">
      <c r="A37174" t="n">
        <v>37173</v>
      </c>
      <c r="B37174" t="inlineStr">
        <is>
          <t>x̄x̄x̄V̅MMCLXXIII</t>
        </is>
      </c>
      <c r="C37174">
        <f>ROMAN(37173)</f>
        <v/>
      </c>
      <c r="D37174">
        <f>IF(B37174=C37174, "YES", "WRONG")</f>
        <v/>
      </c>
    </row>
    <row r="37175">
      <c r="A37175" t="n">
        <v>37174</v>
      </c>
      <c r="B37175" t="inlineStr">
        <is>
          <t>x̄x̄x̄V̅MMCLXXIV</t>
        </is>
      </c>
      <c r="C37175">
        <f>ROMAN(37174)</f>
        <v/>
      </c>
      <c r="D37175">
        <f>IF(B37175=C37175, "YES", "WRONG")</f>
        <v/>
      </c>
    </row>
    <row r="37176">
      <c r="A37176" t="n">
        <v>37175</v>
      </c>
      <c r="B37176" t="inlineStr">
        <is>
          <t>x̄x̄x̄V̅MMCLXXV</t>
        </is>
      </c>
      <c r="C37176">
        <f>ROMAN(37175)</f>
        <v/>
      </c>
      <c r="D37176">
        <f>IF(B37176=C37176, "YES", "WRONG")</f>
        <v/>
      </c>
    </row>
    <row r="37177">
      <c r="A37177" t="n">
        <v>37176</v>
      </c>
      <c r="B37177" t="inlineStr">
        <is>
          <t>x̄x̄x̄V̅MMCLXXVI</t>
        </is>
      </c>
      <c r="C37177">
        <f>ROMAN(37176)</f>
        <v/>
      </c>
      <c r="D37177">
        <f>IF(B37177=C37177, "YES", "WRONG")</f>
        <v/>
      </c>
    </row>
    <row r="37178">
      <c r="A37178" t="n">
        <v>37177</v>
      </c>
      <c r="B37178" t="inlineStr">
        <is>
          <t>x̄x̄x̄V̅MMCLXXVII</t>
        </is>
      </c>
      <c r="C37178">
        <f>ROMAN(37177)</f>
        <v/>
      </c>
      <c r="D37178">
        <f>IF(B37178=C37178, "YES", "WRONG")</f>
        <v/>
      </c>
    </row>
    <row r="37179">
      <c r="A37179" t="n">
        <v>37178</v>
      </c>
      <c r="B37179" t="inlineStr">
        <is>
          <t>x̄x̄x̄V̅MMCLXXVIII</t>
        </is>
      </c>
      <c r="C37179">
        <f>ROMAN(37178)</f>
        <v/>
      </c>
      <c r="D37179">
        <f>IF(B37179=C37179, "YES", "WRONG")</f>
        <v/>
      </c>
    </row>
    <row r="37180">
      <c r="A37180" t="n">
        <v>37179</v>
      </c>
      <c r="B37180" t="inlineStr">
        <is>
          <t>x̄x̄x̄V̅MMCLXXIX</t>
        </is>
      </c>
      <c r="C37180">
        <f>ROMAN(37179)</f>
        <v/>
      </c>
      <c r="D37180">
        <f>IF(B37180=C37180, "YES", "WRONG")</f>
        <v/>
      </c>
    </row>
    <row r="37181">
      <c r="A37181" t="n">
        <v>37180</v>
      </c>
      <c r="B37181" t="inlineStr">
        <is>
          <t>x̄x̄x̄V̅MMCLXXX</t>
        </is>
      </c>
      <c r="C37181">
        <f>ROMAN(37180)</f>
        <v/>
      </c>
      <c r="D37181">
        <f>IF(B37181=C37181, "YES", "WRONG")</f>
        <v/>
      </c>
    </row>
    <row r="37182">
      <c r="A37182" t="n">
        <v>37181</v>
      </c>
      <c r="B37182" t="inlineStr">
        <is>
          <t>x̄x̄x̄V̅MMCLXXXI</t>
        </is>
      </c>
      <c r="C37182">
        <f>ROMAN(37181)</f>
        <v/>
      </c>
      <c r="D37182">
        <f>IF(B37182=C37182, "YES", "WRONG")</f>
        <v/>
      </c>
    </row>
    <row r="37183">
      <c r="A37183" t="n">
        <v>37182</v>
      </c>
      <c r="B37183" t="inlineStr">
        <is>
          <t>x̄x̄x̄V̅MMCLXXXII</t>
        </is>
      </c>
      <c r="C37183">
        <f>ROMAN(37182)</f>
        <v/>
      </c>
      <c r="D37183">
        <f>IF(B37183=C37183, "YES", "WRONG")</f>
        <v/>
      </c>
    </row>
    <row r="37184">
      <c r="A37184" t="n">
        <v>37183</v>
      </c>
      <c r="B37184" t="inlineStr">
        <is>
          <t>x̄x̄x̄V̅MMCLXXXIII</t>
        </is>
      </c>
      <c r="C37184">
        <f>ROMAN(37183)</f>
        <v/>
      </c>
      <c r="D37184">
        <f>IF(B37184=C37184, "YES", "WRONG")</f>
        <v/>
      </c>
    </row>
    <row r="37185">
      <c r="A37185" t="n">
        <v>37184</v>
      </c>
      <c r="B37185" t="inlineStr">
        <is>
          <t>x̄x̄x̄V̅MMCLXXXIV</t>
        </is>
      </c>
      <c r="C37185">
        <f>ROMAN(37184)</f>
        <v/>
      </c>
      <c r="D37185">
        <f>IF(B37185=C37185, "YES", "WRONG")</f>
        <v/>
      </c>
    </row>
    <row r="37186">
      <c r="A37186" t="n">
        <v>37185</v>
      </c>
      <c r="B37186" t="inlineStr">
        <is>
          <t>x̄x̄x̄V̅MMCLXXXV</t>
        </is>
      </c>
      <c r="C37186">
        <f>ROMAN(37185)</f>
        <v/>
      </c>
      <c r="D37186">
        <f>IF(B37186=C37186, "YES", "WRONG")</f>
        <v/>
      </c>
    </row>
    <row r="37187">
      <c r="A37187" t="n">
        <v>37186</v>
      </c>
      <c r="B37187" t="inlineStr">
        <is>
          <t>x̄x̄x̄V̅MMCLXXXVI</t>
        </is>
      </c>
      <c r="C37187">
        <f>ROMAN(37186)</f>
        <v/>
      </c>
      <c r="D37187">
        <f>IF(B37187=C37187, "YES", "WRONG")</f>
        <v/>
      </c>
    </row>
    <row r="37188">
      <c r="A37188" t="n">
        <v>37187</v>
      </c>
      <c r="B37188" t="inlineStr">
        <is>
          <t>x̄x̄x̄V̅MMCLXXXVII</t>
        </is>
      </c>
      <c r="C37188">
        <f>ROMAN(37187)</f>
        <v/>
      </c>
      <c r="D37188">
        <f>IF(B37188=C37188, "YES", "WRONG")</f>
        <v/>
      </c>
    </row>
    <row r="37189">
      <c r="A37189" t="n">
        <v>37188</v>
      </c>
      <c r="B37189" t="inlineStr">
        <is>
          <t>x̄x̄x̄V̅MMCLXXXVIII</t>
        </is>
      </c>
      <c r="C37189">
        <f>ROMAN(37188)</f>
        <v/>
      </c>
      <c r="D37189">
        <f>IF(B37189=C37189, "YES", "WRONG")</f>
        <v/>
      </c>
    </row>
    <row r="37190">
      <c r="A37190" t="n">
        <v>37189</v>
      </c>
      <c r="B37190" t="inlineStr">
        <is>
          <t>x̄x̄x̄V̅MMCLXXXIX</t>
        </is>
      </c>
      <c r="C37190">
        <f>ROMAN(37189)</f>
        <v/>
      </c>
      <c r="D37190">
        <f>IF(B37190=C37190, "YES", "WRONG")</f>
        <v/>
      </c>
    </row>
    <row r="37191">
      <c r="A37191" t="n">
        <v>37190</v>
      </c>
      <c r="B37191" t="inlineStr">
        <is>
          <t>x̄x̄x̄V̅MMCXC</t>
        </is>
      </c>
      <c r="C37191">
        <f>ROMAN(37190)</f>
        <v/>
      </c>
      <c r="D37191">
        <f>IF(B37191=C37191, "YES", "WRONG")</f>
        <v/>
      </c>
    </row>
    <row r="37192">
      <c r="A37192" t="n">
        <v>37191</v>
      </c>
      <c r="B37192" t="inlineStr">
        <is>
          <t>x̄x̄x̄V̅MMCXCI</t>
        </is>
      </c>
      <c r="C37192">
        <f>ROMAN(37191)</f>
        <v/>
      </c>
      <c r="D37192">
        <f>IF(B37192=C37192, "YES", "WRONG")</f>
        <v/>
      </c>
    </row>
    <row r="37193">
      <c r="A37193" t="n">
        <v>37192</v>
      </c>
      <c r="B37193" t="inlineStr">
        <is>
          <t>x̄x̄x̄V̅MMCXCII</t>
        </is>
      </c>
      <c r="C37193">
        <f>ROMAN(37192)</f>
        <v/>
      </c>
      <c r="D37193">
        <f>IF(B37193=C37193, "YES", "WRONG")</f>
        <v/>
      </c>
    </row>
    <row r="37194">
      <c r="A37194" t="n">
        <v>37193</v>
      </c>
      <c r="B37194" t="inlineStr">
        <is>
          <t>x̄x̄x̄V̅MMCXCIII</t>
        </is>
      </c>
      <c r="C37194">
        <f>ROMAN(37193)</f>
        <v/>
      </c>
      <c r="D37194">
        <f>IF(B37194=C37194, "YES", "WRONG")</f>
        <v/>
      </c>
    </row>
    <row r="37195">
      <c r="A37195" t="n">
        <v>37194</v>
      </c>
      <c r="B37195" t="inlineStr">
        <is>
          <t>x̄x̄x̄V̅MMCXCIV</t>
        </is>
      </c>
      <c r="C37195">
        <f>ROMAN(37194)</f>
        <v/>
      </c>
      <c r="D37195">
        <f>IF(B37195=C37195, "YES", "WRONG")</f>
        <v/>
      </c>
    </row>
    <row r="37196">
      <c r="A37196" t="n">
        <v>37195</v>
      </c>
      <c r="B37196" t="inlineStr">
        <is>
          <t>x̄x̄x̄V̅MMCXCV</t>
        </is>
      </c>
      <c r="C37196">
        <f>ROMAN(37195)</f>
        <v/>
      </c>
      <c r="D37196">
        <f>IF(B37196=C37196, "YES", "WRONG")</f>
        <v/>
      </c>
    </row>
    <row r="37197">
      <c r="A37197" t="n">
        <v>37196</v>
      </c>
      <c r="B37197" t="inlineStr">
        <is>
          <t>x̄x̄x̄V̅MMCXCVI</t>
        </is>
      </c>
      <c r="C37197">
        <f>ROMAN(37196)</f>
        <v/>
      </c>
      <c r="D37197">
        <f>IF(B37197=C37197, "YES", "WRONG")</f>
        <v/>
      </c>
    </row>
    <row r="37198">
      <c r="A37198" t="n">
        <v>37197</v>
      </c>
      <c r="B37198" t="inlineStr">
        <is>
          <t>x̄x̄x̄V̅MMCXCVII</t>
        </is>
      </c>
      <c r="C37198">
        <f>ROMAN(37197)</f>
        <v/>
      </c>
      <c r="D37198">
        <f>IF(B37198=C37198, "YES", "WRONG")</f>
        <v/>
      </c>
    </row>
    <row r="37199">
      <c r="A37199" t="n">
        <v>37198</v>
      </c>
      <c r="B37199" t="inlineStr">
        <is>
          <t>x̄x̄x̄V̅MMCXCVIII</t>
        </is>
      </c>
      <c r="C37199">
        <f>ROMAN(37198)</f>
        <v/>
      </c>
      <c r="D37199">
        <f>IF(B37199=C37199, "YES", "WRONG")</f>
        <v/>
      </c>
    </row>
    <row r="37200">
      <c r="A37200" t="n">
        <v>37199</v>
      </c>
      <c r="B37200" t="inlineStr">
        <is>
          <t>x̄x̄x̄V̅MMCXCIX</t>
        </is>
      </c>
      <c r="C37200">
        <f>ROMAN(37199)</f>
        <v/>
      </c>
      <c r="D37200">
        <f>IF(B37200=C37200, "YES", "WRONG")</f>
        <v/>
      </c>
    </row>
    <row r="37201">
      <c r="A37201" t="n">
        <v>37200</v>
      </c>
      <c r="B37201" t="inlineStr">
        <is>
          <t>x̄x̄x̄V̅MMCC</t>
        </is>
      </c>
      <c r="C37201">
        <f>ROMAN(37200)</f>
        <v/>
      </c>
      <c r="D37201">
        <f>IF(B37201=C37201, "YES", "WRONG")</f>
        <v/>
      </c>
    </row>
    <row r="37202">
      <c r="A37202" t="n">
        <v>37201</v>
      </c>
      <c r="B37202" t="inlineStr">
        <is>
          <t>x̄x̄x̄V̅MMCCI</t>
        </is>
      </c>
      <c r="C37202">
        <f>ROMAN(37201)</f>
        <v/>
      </c>
      <c r="D37202">
        <f>IF(B37202=C37202, "YES", "WRONG")</f>
        <v/>
      </c>
    </row>
    <row r="37203">
      <c r="A37203" t="n">
        <v>37202</v>
      </c>
      <c r="B37203" t="inlineStr">
        <is>
          <t>x̄x̄x̄V̅MMCCII</t>
        </is>
      </c>
      <c r="C37203">
        <f>ROMAN(37202)</f>
        <v/>
      </c>
      <c r="D37203">
        <f>IF(B37203=C37203, "YES", "WRONG")</f>
        <v/>
      </c>
    </row>
    <row r="37204">
      <c r="A37204" t="n">
        <v>37203</v>
      </c>
      <c r="B37204" t="inlineStr">
        <is>
          <t>x̄x̄x̄V̅MMCCIII</t>
        </is>
      </c>
      <c r="C37204">
        <f>ROMAN(37203)</f>
        <v/>
      </c>
      <c r="D37204">
        <f>IF(B37204=C37204, "YES", "WRONG")</f>
        <v/>
      </c>
    </row>
    <row r="37205">
      <c r="A37205" t="n">
        <v>37204</v>
      </c>
      <c r="B37205" t="inlineStr">
        <is>
          <t>x̄x̄x̄V̅MMCCIV</t>
        </is>
      </c>
      <c r="C37205">
        <f>ROMAN(37204)</f>
        <v/>
      </c>
      <c r="D37205">
        <f>IF(B37205=C37205, "YES", "WRONG")</f>
        <v/>
      </c>
    </row>
    <row r="37206">
      <c r="A37206" t="n">
        <v>37205</v>
      </c>
      <c r="B37206" t="inlineStr">
        <is>
          <t>x̄x̄x̄V̅MMCCV</t>
        </is>
      </c>
      <c r="C37206">
        <f>ROMAN(37205)</f>
        <v/>
      </c>
      <c r="D37206">
        <f>IF(B37206=C37206, "YES", "WRONG")</f>
        <v/>
      </c>
    </row>
    <row r="37207">
      <c r="A37207" t="n">
        <v>37206</v>
      </c>
      <c r="B37207" t="inlineStr">
        <is>
          <t>x̄x̄x̄V̅MMCCVI</t>
        </is>
      </c>
      <c r="C37207">
        <f>ROMAN(37206)</f>
        <v/>
      </c>
      <c r="D37207">
        <f>IF(B37207=C37207, "YES", "WRONG")</f>
        <v/>
      </c>
    </row>
    <row r="37208">
      <c r="A37208" t="n">
        <v>37207</v>
      </c>
      <c r="B37208" t="inlineStr">
        <is>
          <t>x̄x̄x̄V̅MMCCVII</t>
        </is>
      </c>
      <c r="C37208">
        <f>ROMAN(37207)</f>
        <v/>
      </c>
      <c r="D37208">
        <f>IF(B37208=C37208, "YES", "WRONG")</f>
        <v/>
      </c>
    </row>
    <row r="37209">
      <c r="A37209" t="n">
        <v>37208</v>
      </c>
      <c r="B37209" t="inlineStr">
        <is>
          <t>x̄x̄x̄V̅MMCCVIII</t>
        </is>
      </c>
      <c r="C37209">
        <f>ROMAN(37208)</f>
        <v/>
      </c>
      <c r="D37209">
        <f>IF(B37209=C37209, "YES", "WRONG")</f>
        <v/>
      </c>
    </row>
    <row r="37210">
      <c r="A37210" t="n">
        <v>37209</v>
      </c>
      <c r="B37210" t="inlineStr">
        <is>
          <t>x̄x̄x̄V̅MMCCIX</t>
        </is>
      </c>
      <c r="C37210">
        <f>ROMAN(37209)</f>
        <v/>
      </c>
      <c r="D37210">
        <f>IF(B37210=C37210, "YES", "WRONG")</f>
        <v/>
      </c>
    </row>
    <row r="37211">
      <c r="A37211" t="n">
        <v>37210</v>
      </c>
      <c r="B37211" t="inlineStr">
        <is>
          <t>x̄x̄x̄V̅MMCCX</t>
        </is>
      </c>
      <c r="C37211">
        <f>ROMAN(37210)</f>
        <v/>
      </c>
      <c r="D37211">
        <f>IF(B37211=C37211, "YES", "WRONG")</f>
        <v/>
      </c>
    </row>
    <row r="37212">
      <c r="A37212" t="n">
        <v>37211</v>
      </c>
      <c r="B37212" t="inlineStr">
        <is>
          <t>x̄x̄x̄V̅MMCCXI</t>
        </is>
      </c>
      <c r="C37212">
        <f>ROMAN(37211)</f>
        <v/>
      </c>
      <c r="D37212">
        <f>IF(B37212=C37212, "YES", "WRONG")</f>
        <v/>
      </c>
    </row>
    <row r="37213">
      <c r="A37213" t="n">
        <v>37212</v>
      </c>
      <c r="B37213" t="inlineStr">
        <is>
          <t>x̄x̄x̄V̅MMCCXII</t>
        </is>
      </c>
      <c r="C37213">
        <f>ROMAN(37212)</f>
        <v/>
      </c>
      <c r="D37213">
        <f>IF(B37213=C37213, "YES", "WRONG")</f>
        <v/>
      </c>
    </row>
    <row r="37214">
      <c r="A37214" t="n">
        <v>37213</v>
      </c>
      <c r="B37214" t="inlineStr">
        <is>
          <t>x̄x̄x̄V̅MMCCXIII</t>
        </is>
      </c>
      <c r="C37214">
        <f>ROMAN(37213)</f>
        <v/>
      </c>
      <c r="D37214">
        <f>IF(B37214=C37214, "YES", "WRONG")</f>
        <v/>
      </c>
    </row>
    <row r="37215">
      <c r="A37215" t="n">
        <v>37214</v>
      </c>
      <c r="B37215" t="inlineStr">
        <is>
          <t>x̄x̄x̄V̅MMCCXIV</t>
        </is>
      </c>
      <c r="C37215">
        <f>ROMAN(37214)</f>
        <v/>
      </c>
      <c r="D37215">
        <f>IF(B37215=C37215, "YES", "WRONG")</f>
        <v/>
      </c>
    </row>
    <row r="37216">
      <c r="A37216" t="n">
        <v>37215</v>
      </c>
      <c r="B37216" t="inlineStr">
        <is>
          <t>x̄x̄x̄V̅MMCCXV</t>
        </is>
      </c>
      <c r="C37216">
        <f>ROMAN(37215)</f>
        <v/>
      </c>
      <c r="D37216">
        <f>IF(B37216=C37216, "YES", "WRONG")</f>
        <v/>
      </c>
    </row>
    <row r="37217">
      <c r="A37217" t="n">
        <v>37216</v>
      </c>
      <c r="B37217" t="inlineStr">
        <is>
          <t>x̄x̄x̄V̅MMCCXVI</t>
        </is>
      </c>
      <c r="C37217">
        <f>ROMAN(37216)</f>
        <v/>
      </c>
      <c r="D37217">
        <f>IF(B37217=C37217, "YES", "WRONG")</f>
        <v/>
      </c>
    </row>
    <row r="37218">
      <c r="A37218" t="n">
        <v>37217</v>
      </c>
      <c r="B37218" t="inlineStr">
        <is>
          <t>x̄x̄x̄V̅MMCCXVII</t>
        </is>
      </c>
      <c r="C37218">
        <f>ROMAN(37217)</f>
        <v/>
      </c>
      <c r="D37218">
        <f>IF(B37218=C37218, "YES", "WRONG")</f>
        <v/>
      </c>
    </row>
    <row r="37219">
      <c r="A37219" t="n">
        <v>37218</v>
      </c>
      <c r="B37219" t="inlineStr">
        <is>
          <t>x̄x̄x̄V̅MMCCXVIII</t>
        </is>
      </c>
      <c r="C37219">
        <f>ROMAN(37218)</f>
        <v/>
      </c>
      <c r="D37219">
        <f>IF(B37219=C37219, "YES", "WRONG")</f>
        <v/>
      </c>
    </row>
    <row r="37220">
      <c r="A37220" t="n">
        <v>37219</v>
      </c>
      <c r="B37220" t="inlineStr">
        <is>
          <t>x̄x̄x̄V̅MMCCXIX</t>
        </is>
      </c>
      <c r="C37220">
        <f>ROMAN(37219)</f>
        <v/>
      </c>
      <c r="D37220">
        <f>IF(B37220=C37220, "YES", "WRONG")</f>
        <v/>
      </c>
    </row>
    <row r="37221">
      <c r="A37221" t="n">
        <v>37220</v>
      </c>
      <c r="B37221" t="inlineStr">
        <is>
          <t>x̄x̄x̄V̅MMCCXX</t>
        </is>
      </c>
      <c r="C37221">
        <f>ROMAN(37220)</f>
        <v/>
      </c>
      <c r="D37221">
        <f>IF(B37221=C37221, "YES", "WRONG")</f>
        <v/>
      </c>
    </row>
    <row r="37222">
      <c r="A37222" t="n">
        <v>37221</v>
      </c>
      <c r="B37222" t="inlineStr">
        <is>
          <t>x̄x̄x̄V̅MMCCXXI</t>
        </is>
      </c>
      <c r="C37222">
        <f>ROMAN(37221)</f>
        <v/>
      </c>
      <c r="D37222">
        <f>IF(B37222=C37222, "YES", "WRONG")</f>
        <v/>
      </c>
    </row>
    <row r="37223">
      <c r="A37223" t="n">
        <v>37222</v>
      </c>
      <c r="B37223" t="inlineStr">
        <is>
          <t>x̄x̄x̄V̅MMCCXXII</t>
        </is>
      </c>
      <c r="C37223">
        <f>ROMAN(37222)</f>
        <v/>
      </c>
      <c r="D37223">
        <f>IF(B37223=C37223, "YES", "WRONG")</f>
        <v/>
      </c>
    </row>
    <row r="37224">
      <c r="A37224" t="n">
        <v>37223</v>
      </c>
      <c r="B37224" t="inlineStr">
        <is>
          <t>x̄x̄x̄V̅MMCCXXIII</t>
        </is>
      </c>
      <c r="C37224">
        <f>ROMAN(37223)</f>
        <v/>
      </c>
      <c r="D37224">
        <f>IF(B37224=C37224, "YES", "WRONG")</f>
        <v/>
      </c>
    </row>
    <row r="37225">
      <c r="A37225" t="n">
        <v>37224</v>
      </c>
      <c r="B37225" t="inlineStr">
        <is>
          <t>x̄x̄x̄V̅MMCCXXIV</t>
        </is>
      </c>
      <c r="C37225">
        <f>ROMAN(37224)</f>
        <v/>
      </c>
      <c r="D37225">
        <f>IF(B37225=C37225, "YES", "WRONG")</f>
        <v/>
      </c>
    </row>
    <row r="37226">
      <c r="A37226" t="n">
        <v>37225</v>
      </c>
      <c r="B37226" t="inlineStr">
        <is>
          <t>x̄x̄x̄V̅MMCCXXV</t>
        </is>
      </c>
      <c r="C37226">
        <f>ROMAN(37225)</f>
        <v/>
      </c>
      <c r="D37226">
        <f>IF(B37226=C37226, "YES", "WRONG")</f>
        <v/>
      </c>
    </row>
    <row r="37227">
      <c r="A37227" t="n">
        <v>37226</v>
      </c>
      <c r="B37227" t="inlineStr">
        <is>
          <t>x̄x̄x̄V̅MMCCXXVI</t>
        </is>
      </c>
      <c r="C37227">
        <f>ROMAN(37226)</f>
        <v/>
      </c>
      <c r="D37227">
        <f>IF(B37227=C37227, "YES", "WRONG")</f>
        <v/>
      </c>
    </row>
    <row r="37228">
      <c r="A37228" t="n">
        <v>37227</v>
      </c>
      <c r="B37228" t="inlineStr">
        <is>
          <t>x̄x̄x̄V̅MMCCXXVII</t>
        </is>
      </c>
      <c r="C37228">
        <f>ROMAN(37227)</f>
        <v/>
      </c>
      <c r="D37228">
        <f>IF(B37228=C37228, "YES", "WRONG")</f>
        <v/>
      </c>
    </row>
    <row r="37229">
      <c r="A37229" t="n">
        <v>37228</v>
      </c>
      <c r="B37229" t="inlineStr">
        <is>
          <t>x̄x̄x̄V̅MMCCXXVIII</t>
        </is>
      </c>
      <c r="C37229">
        <f>ROMAN(37228)</f>
        <v/>
      </c>
      <c r="D37229">
        <f>IF(B37229=C37229, "YES", "WRONG")</f>
        <v/>
      </c>
    </row>
    <row r="37230">
      <c r="A37230" t="n">
        <v>37229</v>
      </c>
      <c r="B37230" t="inlineStr">
        <is>
          <t>x̄x̄x̄V̅MMCCXXIX</t>
        </is>
      </c>
      <c r="C37230">
        <f>ROMAN(37229)</f>
        <v/>
      </c>
      <c r="D37230">
        <f>IF(B37230=C37230, "YES", "WRONG")</f>
        <v/>
      </c>
    </row>
    <row r="37231">
      <c r="A37231" t="n">
        <v>37230</v>
      </c>
      <c r="B37231" t="inlineStr">
        <is>
          <t>x̄x̄x̄V̅MMCCXXX</t>
        </is>
      </c>
      <c r="C37231">
        <f>ROMAN(37230)</f>
        <v/>
      </c>
      <c r="D37231">
        <f>IF(B37231=C37231, "YES", "WRONG")</f>
        <v/>
      </c>
    </row>
    <row r="37232">
      <c r="A37232" t="n">
        <v>37231</v>
      </c>
      <c r="B37232" t="inlineStr">
        <is>
          <t>x̄x̄x̄V̅MMCCXXXI</t>
        </is>
      </c>
      <c r="C37232">
        <f>ROMAN(37231)</f>
        <v/>
      </c>
      <c r="D37232">
        <f>IF(B37232=C37232, "YES", "WRONG")</f>
        <v/>
      </c>
    </row>
    <row r="37233">
      <c r="A37233" t="n">
        <v>37232</v>
      </c>
      <c r="B37233" t="inlineStr">
        <is>
          <t>x̄x̄x̄V̅MMCCXXXII</t>
        </is>
      </c>
      <c r="C37233">
        <f>ROMAN(37232)</f>
        <v/>
      </c>
      <c r="D37233">
        <f>IF(B37233=C37233, "YES", "WRONG")</f>
        <v/>
      </c>
    </row>
    <row r="37234">
      <c r="A37234" t="n">
        <v>37233</v>
      </c>
      <c r="B37234" t="inlineStr">
        <is>
          <t>x̄x̄x̄V̅MMCCXXXIII</t>
        </is>
      </c>
      <c r="C37234">
        <f>ROMAN(37233)</f>
        <v/>
      </c>
      <c r="D37234">
        <f>IF(B37234=C37234, "YES", "WRONG")</f>
        <v/>
      </c>
    </row>
    <row r="37235">
      <c r="A37235" t="n">
        <v>37234</v>
      </c>
      <c r="B37235" t="inlineStr">
        <is>
          <t>x̄x̄x̄V̅MMCCXXXIV</t>
        </is>
      </c>
      <c r="C37235">
        <f>ROMAN(37234)</f>
        <v/>
      </c>
      <c r="D37235">
        <f>IF(B37235=C37235, "YES", "WRONG")</f>
        <v/>
      </c>
    </row>
    <row r="37236">
      <c r="A37236" t="n">
        <v>37235</v>
      </c>
      <c r="B37236" t="inlineStr">
        <is>
          <t>x̄x̄x̄V̅MMCCXXXV</t>
        </is>
      </c>
      <c r="C37236">
        <f>ROMAN(37235)</f>
        <v/>
      </c>
      <c r="D37236">
        <f>IF(B37236=C37236, "YES", "WRONG")</f>
        <v/>
      </c>
    </row>
    <row r="37237">
      <c r="A37237" t="n">
        <v>37236</v>
      </c>
      <c r="B37237" t="inlineStr">
        <is>
          <t>x̄x̄x̄V̅MMCCXXXVI</t>
        </is>
      </c>
      <c r="C37237">
        <f>ROMAN(37236)</f>
        <v/>
      </c>
      <c r="D37237">
        <f>IF(B37237=C37237, "YES", "WRONG")</f>
        <v/>
      </c>
    </row>
    <row r="37238">
      <c r="A37238" t="n">
        <v>37237</v>
      </c>
      <c r="B37238" t="inlineStr">
        <is>
          <t>x̄x̄x̄V̅MMCCXXXVII</t>
        </is>
      </c>
      <c r="C37238">
        <f>ROMAN(37237)</f>
        <v/>
      </c>
      <c r="D37238">
        <f>IF(B37238=C37238, "YES", "WRONG")</f>
        <v/>
      </c>
    </row>
    <row r="37239">
      <c r="A37239" t="n">
        <v>37238</v>
      </c>
      <c r="B37239" t="inlineStr">
        <is>
          <t>x̄x̄x̄V̅MMCCXXXVIII</t>
        </is>
      </c>
      <c r="C37239">
        <f>ROMAN(37238)</f>
        <v/>
      </c>
      <c r="D37239">
        <f>IF(B37239=C37239, "YES", "WRONG")</f>
        <v/>
      </c>
    </row>
    <row r="37240">
      <c r="A37240" t="n">
        <v>37239</v>
      </c>
      <c r="B37240" t="inlineStr">
        <is>
          <t>x̄x̄x̄V̅MMCCXXXIX</t>
        </is>
      </c>
      <c r="C37240">
        <f>ROMAN(37239)</f>
        <v/>
      </c>
      <c r="D37240">
        <f>IF(B37240=C37240, "YES", "WRONG")</f>
        <v/>
      </c>
    </row>
    <row r="37241">
      <c r="A37241" t="n">
        <v>37240</v>
      </c>
      <c r="B37241" t="inlineStr">
        <is>
          <t>x̄x̄x̄V̅MMCCXL</t>
        </is>
      </c>
      <c r="C37241">
        <f>ROMAN(37240)</f>
        <v/>
      </c>
      <c r="D37241">
        <f>IF(B37241=C37241, "YES", "WRONG")</f>
        <v/>
      </c>
    </row>
    <row r="37242">
      <c r="A37242" t="n">
        <v>37241</v>
      </c>
      <c r="B37242" t="inlineStr">
        <is>
          <t>x̄x̄x̄V̅MMCCXLI</t>
        </is>
      </c>
      <c r="C37242">
        <f>ROMAN(37241)</f>
        <v/>
      </c>
      <c r="D37242">
        <f>IF(B37242=C37242, "YES", "WRONG")</f>
        <v/>
      </c>
    </row>
    <row r="37243">
      <c r="A37243" t="n">
        <v>37242</v>
      </c>
      <c r="B37243" t="inlineStr">
        <is>
          <t>x̄x̄x̄V̅MMCCXLII</t>
        </is>
      </c>
      <c r="C37243">
        <f>ROMAN(37242)</f>
        <v/>
      </c>
      <c r="D37243">
        <f>IF(B37243=C37243, "YES", "WRONG")</f>
        <v/>
      </c>
    </row>
    <row r="37244">
      <c r="A37244" t="n">
        <v>37243</v>
      </c>
      <c r="B37244" t="inlineStr">
        <is>
          <t>x̄x̄x̄V̅MMCCXLIII</t>
        </is>
      </c>
      <c r="C37244">
        <f>ROMAN(37243)</f>
        <v/>
      </c>
      <c r="D37244">
        <f>IF(B37244=C37244, "YES", "WRONG")</f>
        <v/>
      </c>
    </row>
    <row r="37245">
      <c r="A37245" t="n">
        <v>37244</v>
      </c>
      <c r="B37245" t="inlineStr">
        <is>
          <t>x̄x̄x̄V̅MMCCXLIV</t>
        </is>
      </c>
      <c r="C37245">
        <f>ROMAN(37244)</f>
        <v/>
      </c>
      <c r="D37245">
        <f>IF(B37245=C37245, "YES", "WRONG")</f>
        <v/>
      </c>
    </row>
    <row r="37246">
      <c r="A37246" t="n">
        <v>37245</v>
      </c>
      <c r="B37246" t="inlineStr">
        <is>
          <t>x̄x̄x̄V̅MMCCXLV</t>
        </is>
      </c>
      <c r="C37246">
        <f>ROMAN(37245)</f>
        <v/>
      </c>
      <c r="D37246">
        <f>IF(B37246=C37246, "YES", "WRONG")</f>
        <v/>
      </c>
    </row>
    <row r="37247">
      <c r="A37247" t="n">
        <v>37246</v>
      </c>
      <c r="B37247" t="inlineStr">
        <is>
          <t>x̄x̄x̄V̅MMCCXLVI</t>
        </is>
      </c>
      <c r="C37247">
        <f>ROMAN(37246)</f>
        <v/>
      </c>
      <c r="D37247">
        <f>IF(B37247=C37247, "YES", "WRONG")</f>
        <v/>
      </c>
    </row>
    <row r="37248">
      <c r="A37248" t="n">
        <v>37247</v>
      </c>
      <c r="B37248" t="inlineStr">
        <is>
          <t>x̄x̄x̄V̅MMCCXLVII</t>
        </is>
      </c>
      <c r="C37248">
        <f>ROMAN(37247)</f>
        <v/>
      </c>
      <c r="D37248">
        <f>IF(B37248=C37248, "YES", "WRONG")</f>
        <v/>
      </c>
    </row>
    <row r="37249">
      <c r="A37249" t="n">
        <v>37248</v>
      </c>
      <c r="B37249" t="inlineStr">
        <is>
          <t>x̄x̄x̄V̅MMCCXLVIII</t>
        </is>
      </c>
      <c r="C37249">
        <f>ROMAN(37248)</f>
        <v/>
      </c>
      <c r="D37249">
        <f>IF(B37249=C37249, "YES", "WRONG")</f>
        <v/>
      </c>
    </row>
    <row r="37250">
      <c r="A37250" t="n">
        <v>37249</v>
      </c>
      <c r="B37250" t="inlineStr">
        <is>
          <t>x̄x̄x̄V̅MMCCXLIX</t>
        </is>
      </c>
      <c r="C37250">
        <f>ROMAN(37249)</f>
        <v/>
      </c>
      <c r="D37250">
        <f>IF(B37250=C37250, "YES", "WRONG")</f>
        <v/>
      </c>
    </row>
    <row r="37251">
      <c r="A37251" t="n">
        <v>37250</v>
      </c>
      <c r="B37251" t="inlineStr">
        <is>
          <t>x̄x̄x̄V̅MMCCL</t>
        </is>
      </c>
      <c r="C37251">
        <f>ROMAN(37250)</f>
        <v/>
      </c>
      <c r="D37251">
        <f>IF(B37251=C37251, "YES", "WRONG")</f>
        <v/>
      </c>
    </row>
    <row r="37252">
      <c r="A37252" t="n">
        <v>37251</v>
      </c>
      <c r="B37252" t="inlineStr">
        <is>
          <t>x̄x̄x̄V̅MMCCLI</t>
        </is>
      </c>
      <c r="C37252">
        <f>ROMAN(37251)</f>
        <v/>
      </c>
      <c r="D37252">
        <f>IF(B37252=C37252, "YES", "WRONG")</f>
        <v/>
      </c>
    </row>
    <row r="37253">
      <c r="A37253" t="n">
        <v>37252</v>
      </c>
      <c r="B37253" t="inlineStr">
        <is>
          <t>x̄x̄x̄V̅MMCCLII</t>
        </is>
      </c>
      <c r="C37253">
        <f>ROMAN(37252)</f>
        <v/>
      </c>
      <c r="D37253">
        <f>IF(B37253=C37253, "YES", "WRONG")</f>
        <v/>
      </c>
    </row>
    <row r="37254">
      <c r="A37254" t="n">
        <v>37253</v>
      </c>
      <c r="B37254" t="inlineStr">
        <is>
          <t>x̄x̄x̄V̅MMCCLIII</t>
        </is>
      </c>
      <c r="C37254">
        <f>ROMAN(37253)</f>
        <v/>
      </c>
      <c r="D37254">
        <f>IF(B37254=C37254, "YES", "WRONG")</f>
        <v/>
      </c>
    </row>
    <row r="37255">
      <c r="A37255" t="n">
        <v>37254</v>
      </c>
      <c r="B37255" t="inlineStr">
        <is>
          <t>x̄x̄x̄V̅MMCCLIV</t>
        </is>
      </c>
      <c r="C37255">
        <f>ROMAN(37254)</f>
        <v/>
      </c>
      <c r="D37255">
        <f>IF(B37255=C37255, "YES", "WRONG")</f>
        <v/>
      </c>
    </row>
    <row r="37256">
      <c r="A37256" t="n">
        <v>37255</v>
      </c>
      <c r="B37256" t="inlineStr">
        <is>
          <t>x̄x̄x̄V̅MMCCLV</t>
        </is>
      </c>
      <c r="C37256">
        <f>ROMAN(37255)</f>
        <v/>
      </c>
      <c r="D37256">
        <f>IF(B37256=C37256, "YES", "WRONG")</f>
        <v/>
      </c>
    </row>
    <row r="37257">
      <c r="A37257" t="n">
        <v>37256</v>
      </c>
      <c r="B37257" t="inlineStr">
        <is>
          <t>x̄x̄x̄V̅MMCCLVI</t>
        </is>
      </c>
      <c r="C37257">
        <f>ROMAN(37256)</f>
        <v/>
      </c>
      <c r="D37257">
        <f>IF(B37257=C37257, "YES", "WRONG")</f>
        <v/>
      </c>
    </row>
    <row r="37258">
      <c r="A37258" t="n">
        <v>37257</v>
      </c>
      <c r="B37258" t="inlineStr">
        <is>
          <t>x̄x̄x̄V̅MMCCLVII</t>
        </is>
      </c>
      <c r="C37258">
        <f>ROMAN(37257)</f>
        <v/>
      </c>
      <c r="D37258">
        <f>IF(B37258=C37258, "YES", "WRONG")</f>
        <v/>
      </c>
    </row>
    <row r="37259">
      <c r="A37259" t="n">
        <v>37258</v>
      </c>
      <c r="B37259" t="inlineStr">
        <is>
          <t>x̄x̄x̄V̅MMCCLVIII</t>
        </is>
      </c>
      <c r="C37259">
        <f>ROMAN(37258)</f>
        <v/>
      </c>
      <c r="D37259">
        <f>IF(B37259=C37259, "YES", "WRONG")</f>
        <v/>
      </c>
    </row>
    <row r="37260">
      <c r="A37260" t="n">
        <v>37259</v>
      </c>
      <c r="B37260" t="inlineStr">
        <is>
          <t>x̄x̄x̄V̅MMCCLIX</t>
        </is>
      </c>
      <c r="C37260">
        <f>ROMAN(37259)</f>
        <v/>
      </c>
      <c r="D37260">
        <f>IF(B37260=C37260, "YES", "WRONG")</f>
        <v/>
      </c>
    </row>
    <row r="37261">
      <c r="A37261" t="n">
        <v>37260</v>
      </c>
      <c r="B37261" t="inlineStr">
        <is>
          <t>x̄x̄x̄V̅MMCCLX</t>
        </is>
      </c>
      <c r="C37261">
        <f>ROMAN(37260)</f>
        <v/>
      </c>
      <c r="D37261">
        <f>IF(B37261=C37261, "YES", "WRONG")</f>
        <v/>
      </c>
    </row>
    <row r="37262">
      <c r="A37262" t="n">
        <v>37261</v>
      </c>
      <c r="B37262" t="inlineStr">
        <is>
          <t>x̄x̄x̄V̅MMCCLXI</t>
        </is>
      </c>
      <c r="C37262">
        <f>ROMAN(37261)</f>
        <v/>
      </c>
      <c r="D37262">
        <f>IF(B37262=C37262, "YES", "WRONG")</f>
        <v/>
      </c>
    </row>
    <row r="37263">
      <c r="A37263" t="n">
        <v>37262</v>
      </c>
      <c r="B37263" t="inlineStr">
        <is>
          <t>x̄x̄x̄V̅MMCCLXII</t>
        </is>
      </c>
      <c r="C37263">
        <f>ROMAN(37262)</f>
        <v/>
      </c>
      <c r="D37263">
        <f>IF(B37263=C37263, "YES", "WRONG")</f>
        <v/>
      </c>
    </row>
    <row r="37264">
      <c r="A37264" t="n">
        <v>37263</v>
      </c>
      <c r="B37264" t="inlineStr">
        <is>
          <t>x̄x̄x̄V̅MMCCLXIII</t>
        </is>
      </c>
      <c r="C37264">
        <f>ROMAN(37263)</f>
        <v/>
      </c>
      <c r="D37264">
        <f>IF(B37264=C37264, "YES", "WRONG")</f>
        <v/>
      </c>
    </row>
    <row r="37265">
      <c r="A37265" t="n">
        <v>37264</v>
      </c>
      <c r="B37265" t="inlineStr">
        <is>
          <t>x̄x̄x̄V̅MMCCLXIV</t>
        </is>
      </c>
      <c r="C37265">
        <f>ROMAN(37264)</f>
        <v/>
      </c>
      <c r="D37265">
        <f>IF(B37265=C37265, "YES", "WRONG")</f>
        <v/>
      </c>
    </row>
    <row r="37266">
      <c r="A37266" t="n">
        <v>37265</v>
      </c>
      <c r="B37266" t="inlineStr">
        <is>
          <t>x̄x̄x̄V̅MMCCLXV</t>
        </is>
      </c>
      <c r="C37266">
        <f>ROMAN(37265)</f>
        <v/>
      </c>
      <c r="D37266">
        <f>IF(B37266=C37266, "YES", "WRONG")</f>
        <v/>
      </c>
    </row>
    <row r="37267">
      <c r="A37267" t="n">
        <v>37266</v>
      </c>
      <c r="B37267" t="inlineStr">
        <is>
          <t>x̄x̄x̄V̅MMCCLXVI</t>
        </is>
      </c>
      <c r="C37267">
        <f>ROMAN(37266)</f>
        <v/>
      </c>
      <c r="D37267">
        <f>IF(B37267=C37267, "YES", "WRONG")</f>
        <v/>
      </c>
    </row>
    <row r="37268">
      <c r="A37268" t="n">
        <v>37267</v>
      </c>
      <c r="B37268" t="inlineStr">
        <is>
          <t>x̄x̄x̄V̅MMCCLXVII</t>
        </is>
      </c>
      <c r="C37268">
        <f>ROMAN(37267)</f>
        <v/>
      </c>
      <c r="D37268">
        <f>IF(B37268=C37268, "YES", "WRONG")</f>
        <v/>
      </c>
    </row>
    <row r="37269">
      <c r="A37269" t="n">
        <v>37268</v>
      </c>
      <c r="B37269" t="inlineStr">
        <is>
          <t>x̄x̄x̄V̅MMCCLXVIII</t>
        </is>
      </c>
      <c r="C37269">
        <f>ROMAN(37268)</f>
        <v/>
      </c>
      <c r="D37269">
        <f>IF(B37269=C37269, "YES", "WRONG")</f>
        <v/>
      </c>
    </row>
    <row r="37270">
      <c r="A37270" t="n">
        <v>37269</v>
      </c>
      <c r="B37270" t="inlineStr">
        <is>
          <t>x̄x̄x̄V̅MMCCLXIX</t>
        </is>
      </c>
      <c r="C37270">
        <f>ROMAN(37269)</f>
        <v/>
      </c>
      <c r="D37270">
        <f>IF(B37270=C37270, "YES", "WRONG")</f>
        <v/>
      </c>
    </row>
    <row r="37271">
      <c r="A37271" t="n">
        <v>37270</v>
      </c>
      <c r="B37271" t="inlineStr">
        <is>
          <t>x̄x̄x̄V̅MMCCLXX</t>
        </is>
      </c>
      <c r="C37271">
        <f>ROMAN(37270)</f>
        <v/>
      </c>
      <c r="D37271">
        <f>IF(B37271=C37271, "YES", "WRONG")</f>
        <v/>
      </c>
    </row>
    <row r="37272">
      <c r="A37272" t="n">
        <v>37271</v>
      </c>
      <c r="B37272" t="inlineStr">
        <is>
          <t>x̄x̄x̄V̅MMCCLXXI</t>
        </is>
      </c>
      <c r="C37272">
        <f>ROMAN(37271)</f>
        <v/>
      </c>
      <c r="D37272">
        <f>IF(B37272=C37272, "YES", "WRONG")</f>
        <v/>
      </c>
    </row>
    <row r="37273">
      <c r="A37273" t="n">
        <v>37272</v>
      </c>
      <c r="B37273" t="inlineStr">
        <is>
          <t>x̄x̄x̄V̅MMCCLXXII</t>
        </is>
      </c>
      <c r="C37273">
        <f>ROMAN(37272)</f>
        <v/>
      </c>
      <c r="D37273">
        <f>IF(B37273=C37273, "YES", "WRONG")</f>
        <v/>
      </c>
    </row>
    <row r="37274">
      <c r="A37274" t="n">
        <v>37273</v>
      </c>
      <c r="B37274" t="inlineStr">
        <is>
          <t>x̄x̄x̄V̅MMCCLXXIII</t>
        </is>
      </c>
      <c r="C37274">
        <f>ROMAN(37273)</f>
        <v/>
      </c>
      <c r="D37274">
        <f>IF(B37274=C37274, "YES", "WRONG")</f>
        <v/>
      </c>
    </row>
    <row r="37275">
      <c r="A37275" t="n">
        <v>37274</v>
      </c>
      <c r="B37275" t="inlineStr">
        <is>
          <t>x̄x̄x̄V̅MMCCLXXIV</t>
        </is>
      </c>
      <c r="C37275">
        <f>ROMAN(37274)</f>
        <v/>
      </c>
      <c r="D37275">
        <f>IF(B37275=C37275, "YES", "WRONG")</f>
        <v/>
      </c>
    </row>
    <row r="37276">
      <c r="A37276" t="n">
        <v>37275</v>
      </c>
      <c r="B37276" t="inlineStr">
        <is>
          <t>x̄x̄x̄V̅MMCCLXXV</t>
        </is>
      </c>
      <c r="C37276">
        <f>ROMAN(37275)</f>
        <v/>
      </c>
      <c r="D37276">
        <f>IF(B37276=C37276, "YES", "WRONG")</f>
        <v/>
      </c>
    </row>
    <row r="37277">
      <c r="A37277" t="n">
        <v>37276</v>
      </c>
      <c r="B37277" t="inlineStr">
        <is>
          <t>x̄x̄x̄V̅MMCCLXXVI</t>
        </is>
      </c>
      <c r="C37277">
        <f>ROMAN(37276)</f>
        <v/>
      </c>
      <c r="D37277">
        <f>IF(B37277=C37277, "YES", "WRONG")</f>
        <v/>
      </c>
    </row>
    <row r="37278">
      <c r="A37278" t="n">
        <v>37277</v>
      </c>
      <c r="B37278" t="inlineStr">
        <is>
          <t>x̄x̄x̄V̅MMCCLXXVII</t>
        </is>
      </c>
      <c r="C37278">
        <f>ROMAN(37277)</f>
        <v/>
      </c>
      <c r="D37278">
        <f>IF(B37278=C37278, "YES", "WRONG")</f>
        <v/>
      </c>
    </row>
    <row r="37279">
      <c r="A37279" t="n">
        <v>37278</v>
      </c>
      <c r="B37279" t="inlineStr">
        <is>
          <t>x̄x̄x̄V̅MMCCLXXVIII</t>
        </is>
      </c>
      <c r="C37279">
        <f>ROMAN(37278)</f>
        <v/>
      </c>
      <c r="D37279">
        <f>IF(B37279=C37279, "YES", "WRONG")</f>
        <v/>
      </c>
    </row>
    <row r="37280">
      <c r="A37280" t="n">
        <v>37279</v>
      </c>
      <c r="B37280" t="inlineStr">
        <is>
          <t>x̄x̄x̄V̅MMCCLXXIX</t>
        </is>
      </c>
      <c r="C37280">
        <f>ROMAN(37279)</f>
        <v/>
      </c>
      <c r="D37280">
        <f>IF(B37280=C37280, "YES", "WRONG")</f>
        <v/>
      </c>
    </row>
    <row r="37281">
      <c r="A37281" t="n">
        <v>37280</v>
      </c>
      <c r="B37281" t="inlineStr">
        <is>
          <t>x̄x̄x̄V̅MMCCLXXX</t>
        </is>
      </c>
      <c r="C37281">
        <f>ROMAN(37280)</f>
        <v/>
      </c>
      <c r="D37281">
        <f>IF(B37281=C37281, "YES", "WRONG")</f>
        <v/>
      </c>
    </row>
    <row r="37282">
      <c r="A37282" t="n">
        <v>37281</v>
      </c>
      <c r="B37282" t="inlineStr">
        <is>
          <t>x̄x̄x̄V̅MMCCLXXXI</t>
        </is>
      </c>
      <c r="C37282">
        <f>ROMAN(37281)</f>
        <v/>
      </c>
      <c r="D37282">
        <f>IF(B37282=C37282, "YES", "WRONG")</f>
        <v/>
      </c>
    </row>
    <row r="37283">
      <c r="A37283" t="n">
        <v>37282</v>
      </c>
      <c r="B37283" t="inlineStr">
        <is>
          <t>x̄x̄x̄V̅MMCCLXXXII</t>
        </is>
      </c>
      <c r="C37283">
        <f>ROMAN(37282)</f>
        <v/>
      </c>
      <c r="D37283">
        <f>IF(B37283=C37283, "YES", "WRONG")</f>
        <v/>
      </c>
    </row>
    <row r="37284">
      <c r="A37284" t="n">
        <v>37283</v>
      </c>
      <c r="B37284" t="inlineStr">
        <is>
          <t>x̄x̄x̄V̅MMCCLXXXIII</t>
        </is>
      </c>
      <c r="C37284">
        <f>ROMAN(37283)</f>
        <v/>
      </c>
      <c r="D37284">
        <f>IF(B37284=C37284, "YES", "WRONG")</f>
        <v/>
      </c>
    </row>
    <row r="37285">
      <c r="A37285" t="n">
        <v>37284</v>
      </c>
      <c r="B37285" t="inlineStr">
        <is>
          <t>x̄x̄x̄V̅MMCCLXXXIV</t>
        </is>
      </c>
      <c r="C37285">
        <f>ROMAN(37284)</f>
        <v/>
      </c>
      <c r="D37285">
        <f>IF(B37285=C37285, "YES", "WRONG")</f>
        <v/>
      </c>
    </row>
    <row r="37286">
      <c r="A37286" t="n">
        <v>37285</v>
      </c>
      <c r="B37286" t="inlineStr">
        <is>
          <t>x̄x̄x̄V̅MMCCLXXXV</t>
        </is>
      </c>
      <c r="C37286">
        <f>ROMAN(37285)</f>
        <v/>
      </c>
      <c r="D37286">
        <f>IF(B37286=C37286, "YES", "WRONG")</f>
        <v/>
      </c>
    </row>
    <row r="37287">
      <c r="A37287" t="n">
        <v>37286</v>
      </c>
      <c r="B37287" t="inlineStr">
        <is>
          <t>x̄x̄x̄V̅MMCCLXXXVI</t>
        </is>
      </c>
      <c r="C37287">
        <f>ROMAN(37286)</f>
        <v/>
      </c>
      <c r="D37287">
        <f>IF(B37287=C37287, "YES", "WRONG")</f>
        <v/>
      </c>
    </row>
    <row r="37288">
      <c r="A37288" t="n">
        <v>37287</v>
      </c>
      <c r="B37288" t="inlineStr">
        <is>
          <t>x̄x̄x̄V̅MMCCLXXXVII</t>
        </is>
      </c>
      <c r="C37288">
        <f>ROMAN(37287)</f>
        <v/>
      </c>
      <c r="D37288">
        <f>IF(B37288=C37288, "YES", "WRONG")</f>
        <v/>
      </c>
    </row>
    <row r="37289">
      <c r="A37289" t="n">
        <v>37288</v>
      </c>
      <c r="B37289" t="inlineStr">
        <is>
          <t>x̄x̄x̄V̅MMCCLXXXVIII</t>
        </is>
      </c>
      <c r="C37289">
        <f>ROMAN(37288)</f>
        <v/>
      </c>
      <c r="D37289">
        <f>IF(B37289=C37289, "YES", "WRONG")</f>
        <v/>
      </c>
    </row>
    <row r="37290">
      <c r="A37290" t="n">
        <v>37289</v>
      </c>
      <c r="B37290" t="inlineStr">
        <is>
          <t>x̄x̄x̄V̅MMCCLXXXIX</t>
        </is>
      </c>
      <c r="C37290">
        <f>ROMAN(37289)</f>
        <v/>
      </c>
      <c r="D37290">
        <f>IF(B37290=C37290, "YES", "WRONG")</f>
        <v/>
      </c>
    </row>
    <row r="37291">
      <c r="A37291" t="n">
        <v>37290</v>
      </c>
      <c r="B37291" t="inlineStr">
        <is>
          <t>x̄x̄x̄V̅MMCCXC</t>
        </is>
      </c>
      <c r="C37291">
        <f>ROMAN(37290)</f>
        <v/>
      </c>
      <c r="D37291">
        <f>IF(B37291=C37291, "YES", "WRONG")</f>
        <v/>
      </c>
    </row>
    <row r="37292">
      <c r="A37292" t="n">
        <v>37291</v>
      </c>
      <c r="B37292" t="inlineStr">
        <is>
          <t>x̄x̄x̄V̅MMCCXCI</t>
        </is>
      </c>
      <c r="C37292">
        <f>ROMAN(37291)</f>
        <v/>
      </c>
      <c r="D37292">
        <f>IF(B37292=C37292, "YES", "WRONG")</f>
        <v/>
      </c>
    </row>
    <row r="37293">
      <c r="A37293" t="n">
        <v>37292</v>
      </c>
      <c r="B37293" t="inlineStr">
        <is>
          <t>x̄x̄x̄V̅MMCCXCII</t>
        </is>
      </c>
      <c r="C37293">
        <f>ROMAN(37292)</f>
        <v/>
      </c>
      <c r="D37293">
        <f>IF(B37293=C37293, "YES", "WRONG")</f>
        <v/>
      </c>
    </row>
    <row r="37294">
      <c r="A37294" t="n">
        <v>37293</v>
      </c>
      <c r="B37294" t="inlineStr">
        <is>
          <t>x̄x̄x̄V̅MMCCXCIII</t>
        </is>
      </c>
      <c r="C37294">
        <f>ROMAN(37293)</f>
        <v/>
      </c>
      <c r="D37294">
        <f>IF(B37294=C37294, "YES", "WRONG")</f>
        <v/>
      </c>
    </row>
    <row r="37295">
      <c r="A37295" t="n">
        <v>37294</v>
      </c>
      <c r="B37295" t="inlineStr">
        <is>
          <t>x̄x̄x̄V̅MMCCXCIV</t>
        </is>
      </c>
      <c r="C37295">
        <f>ROMAN(37294)</f>
        <v/>
      </c>
      <c r="D37295">
        <f>IF(B37295=C37295, "YES", "WRONG")</f>
        <v/>
      </c>
    </row>
    <row r="37296">
      <c r="A37296" t="n">
        <v>37295</v>
      </c>
      <c r="B37296" t="inlineStr">
        <is>
          <t>x̄x̄x̄V̅MMCCXCV</t>
        </is>
      </c>
      <c r="C37296">
        <f>ROMAN(37295)</f>
        <v/>
      </c>
      <c r="D37296">
        <f>IF(B37296=C37296, "YES", "WRONG")</f>
        <v/>
      </c>
    </row>
    <row r="37297">
      <c r="A37297" t="n">
        <v>37296</v>
      </c>
      <c r="B37297" t="inlineStr">
        <is>
          <t>x̄x̄x̄V̅MMCCXCVI</t>
        </is>
      </c>
      <c r="C37297">
        <f>ROMAN(37296)</f>
        <v/>
      </c>
      <c r="D37297">
        <f>IF(B37297=C37297, "YES", "WRONG")</f>
        <v/>
      </c>
    </row>
    <row r="37298">
      <c r="A37298" t="n">
        <v>37297</v>
      </c>
      <c r="B37298" t="inlineStr">
        <is>
          <t>x̄x̄x̄V̅MMCCXCVII</t>
        </is>
      </c>
      <c r="C37298">
        <f>ROMAN(37297)</f>
        <v/>
      </c>
      <c r="D37298">
        <f>IF(B37298=C37298, "YES", "WRONG")</f>
        <v/>
      </c>
    </row>
    <row r="37299">
      <c r="A37299" t="n">
        <v>37298</v>
      </c>
      <c r="B37299" t="inlineStr">
        <is>
          <t>x̄x̄x̄V̅MMCCXCVIII</t>
        </is>
      </c>
      <c r="C37299">
        <f>ROMAN(37298)</f>
        <v/>
      </c>
      <c r="D37299">
        <f>IF(B37299=C37299, "YES", "WRONG")</f>
        <v/>
      </c>
    </row>
    <row r="37300">
      <c r="A37300" t="n">
        <v>37299</v>
      </c>
      <c r="B37300" t="inlineStr">
        <is>
          <t>x̄x̄x̄V̅MMCCXCIX</t>
        </is>
      </c>
      <c r="C37300">
        <f>ROMAN(37299)</f>
        <v/>
      </c>
      <c r="D37300">
        <f>IF(B37300=C37300, "YES", "WRONG")</f>
        <v/>
      </c>
    </row>
    <row r="37301">
      <c r="A37301" t="n">
        <v>37300</v>
      </c>
      <c r="B37301" t="inlineStr">
        <is>
          <t>x̄x̄x̄V̅MMCCC</t>
        </is>
      </c>
      <c r="C37301">
        <f>ROMAN(37300)</f>
        <v/>
      </c>
      <c r="D37301">
        <f>IF(B37301=C37301, "YES", "WRONG")</f>
        <v/>
      </c>
    </row>
    <row r="37302">
      <c r="A37302" t="n">
        <v>37301</v>
      </c>
      <c r="B37302" t="inlineStr">
        <is>
          <t>x̄x̄x̄V̅MMCCCI</t>
        </is>
      </c>
      <c r="C37302">
        <f>ROMAN(37301)</f>
        <v/>
      </c>
      <c r="D37302">
        <f>IF(B37302=C37302, "YES", "WRONG")</f>
        <v/>
      </c>
    </row>
    <row r="37303">
      <c r="A37303" t="n">
        <v>37302</v>
      </c>
      <c r="B37303" t="inlineStr">
        <is>
          <t>x̄x̄x̄V̅MMCCCII</t>
        </is>
      </c>
      <c r="C37303">
        <f>ROMAN(37302)</f>
        <v/>
      </c>
      <c r="D37303">
        <f>IF(B37303=C37303, "YES", "WRONG")</f>
        <v/>
      </c>
    </row>
    <row r="37304">
      <c r="A37304" t="n">
        <v>37303</v>
      </c>
      <c r="B37304" t="inlineStr">
        <is>
          <t>x̄x̄x̄V̅MMCCCIII</t>
        </is>
      </c>
      <c r="C37304">
        <f>ROMAN(37303)</f>
        <v/>
      </c>
      <c r="D37304">
        <f>IF(B37304=C37304, "YES", "WRONG")</f>
        <v/>
      </c>
    </row>
    <row r="37305">
      <c r="A37305" t="n">
        <v>37304</v>
      </c>
      <c r="B37305" t="inlineStr">
        <is>
          <t>x̄x̄x̄V̅MMCCCIV</t>
        </is>
      </c>
      <c r="C37305">
        <f>ROMAN(37304)</f>
        <v/>
      </c>
      <c r="D37305">
        <f>IF(B37305=C37305, "YES", "WRONG")</f>
        <v/>
      </c>
    </row>
    <row r="37306">
      <c r="A37306" t="n">
        <v>37305</v>
      </c>
      <c r="B37306" t="inlineStr">
        <is>
          <t>x̄x̄x̄V̅MMCCCV</t>
        </is>
      </c>
      <c r="C37306">
        <f>ROMAN(37305)</f>
        <v/>
      </c>
      <c r="D37306">
        <f>IF(B37306=C37306, "YES", "WRONG")</f>
        <v/>
      </c>
    </row>
    <row r="37307">
      <c r="A37307" t="n">
        <v>37306</v>
      </c>
      <c r="B37307" t="inlineStr">
        <is>
          <t>x̄x̄x̄V̅MMCCCVI</t>
        </is>
      </c>
      <c r="C37307">
        <f>ROMAN(37306)</f>
        <v/>
      </c>
      <c r="D37307">
        <f>IF(B37307=C37307, "YES", "WRONG")</f>
        <v/>
      </c>
    </row>
    <row r="37308">
      <c r="A37308" t="n">
        <v>37307</v>
      </c>
      <c r="B37308" t="inlineStr">
        <is>
          <t>x̄x̄x̄V̅MMCCCVII</t>
        </is>
      </c>
      <c r="C37308">
        <f>ROMAN(37307)</f>
        <v/>
      </c>
      <c r="D37308">
        <f>IF(B37308=C37308, "YES", "WRONG")</f>
        <v/>
      </c>
    </row>
    <row r="37309">
      <c r="A37309" t="n">
        <v>37308</v>
      </c>
      <c r="B37309" t="inlineStr">
        <is>
          <t>x̄x̄x̄V̅MMCCCVIII</t>
        </is>
      </c>
      <c r="C37309">
        <f>ROMAN(37308)</f>
        <v/>
      </c>
      <c r="D37309">
        <f>IF(B37309=C37309, "YES", "WRONG")</f>
        <v/>
      </c>
    </row>
    <row r="37310">
      <c r="A37310" t="n">
        <v>37309</v>
      </c>
      <c r="B37310" t="inlineStr">
        <is>
          <t>x̄x̄x̄V̅MMCCCIX</t>
        </is>
      </c>
      <c r="C37310">
        <f>ROMAN(37309)</f>
        <v/>
      </c>
      <c r="D37310">
        <f>IF(B37310=C37310, "YES", "WRONG")</f>
        <v/>
      </c>
    </row>
    <row r="37311">
      <c r="A37311" t="n">
        <v>37310</v>
      </c>
      <c r="B37311" t="inlineStr">
        <is>
          <t>x̄x̄x̄V̅MMCCCX</t>
        </is>
      </c>
      <c r="C37311">
        <f>ROMAN(37310)</f>
        <v/>
      </c>
      <c r="D37311">
        <f>IF(B37311=C37311, "YES", "WRONG")</f>
        <v/>
      </c>
    </row>
    <row r="37312">
      <c r="A37312" t="n">
        <v>37311</v>
      </c>
      <c r="B37312" t="inlineStr">
        <is>
          <t>x̄x̄x̄V̅MMCCCXI</t>
        </is>
      </c>
      <c r="C37312">
        <f>ROMAN(37311)</f>
        <v/>
      </c>
      <c r="D37312">
        <f>IF(B37312=C37312, "YES", "WRONG")</f>
        <v/>
      </c>
    </row>
    <row r="37313">
      <c r="A37313" t="n">
        <v>37312</v>
      </c>
      <c r="B37313" t="inlineStr">
        <is>
          <t>x̄x̄x̄V̅MMCCCXII</t>
        </is>
      </c>
      <c r="C37313">
        <f>ROMAN(37312)</f>
        <v/>
      </c>
      <c r="D37313">
        <f>IF(B37313=C37313, "YES", "WRONG")</f>
        <v/>
      </c>
    </row>
    <row r="37314">
      <c r="A37314" t="n">
        <v>37313</v>
      </c>
      <c r="B37314" t="inlineStr">
        <is>
          <t>x̄x̄x̄V̅MMCCCXIII</t>
        </is>
      </c>
      <c r="C37314">
        <f>ROMAN(37313)</f>
        <v/>
      </c>
      <c r="D37314">
        <f>IF(B37314=C37314, "YES", "WRONG")</f>
        <v/>
      </c>
    </row>
    <row r="37315">
      <c r="A37315" t="n">
        <v>37314</v>
      </c>
      <c r="B37315" t="inlineStr">
        <is>
          <t>x̄x̄x̄V̅MMCCCXIV</t>
        </is>
      </c>
      <c r="C37315">
        <f>ROMAN(37314)</f>
        <v/>
      </c>
      <c r="D37315">
        <f>IF(B37315=C37315, "YES", "WRONG")</f>
        <v/>
      </c>
    </row>
    <row r="37316">
      <c r="A37316" t="n">
        <v>37315</v>
      </c>
      <c r="B37316" t="inlineStr">
        <is>
          <t>x̄x̄x̄V̅MMCCCXV</t>
        </is>
      </c>
      <c r="C37316">
        <f>ROMAN(37315)</f>
        <v/>
      </c>
      <c r="D37316">
        <f>IF(B37316=C37316, "YES", "WRONG")</f>
        <v/>
      </c>
    </row>
    <row r="37317">
      <c r="A37317" t="n">
        <v>37316</v>
      </c>
      <c r="B37317" t="inlineStr">
        <is>
          <t>x̄x̄x̄V̅MMCCCXVI</t>
        </is>
      </c>
      <c r="C37317">
        <f>ROMAN(37316)</f>
        <v/>
      </c>
      <c r="D37317">
        <f>IF(B37317=C37317, "YES", "WRONG")</f>
        <v/>
      </c>
    </row>
    <row r="37318">
      <c r="A37318" t="n">
        <v>37317</v>
      </c>
      <c r="B37318" t="inlineStr">
        <is>
          <t>x̄x̄x̄V̅MMCCCXVII</t>
        </is>
      </c>
      <c r="C37318">
        <f>ROMAN(37317)</f>
        <v/>
      </c>
      <c r="D37318">
        <f>IF(B37318=C37318, "YES", "WRONG")</f>
        <v/>
      </c>
    </row>
    <row r="37319">
      <c r="A37319" t="n">
        <v>37318</v>
      </c>
      <c r="B37319" t="inlineStr">
        <is>
          <t>x̄x̄x̄V̅MMCCCXVIII</t>
        </is>
      </c>
      <c r="C37319">
        <f>ROMAN(37318)</f>
        <v/>
      </c>
      <c r="D37319">
        <f>IF(B37319=C37319, "YES", "WRONG")</f>
        <v/>
      </c>
    </row>
    <row r="37320">
      <c r="A37320" t="n">
        <v>37319</v>
      </c>
      <c r="B37320" t="inlineStr">
        <is>
          <t>x̄x̄x̄V̅MMCCCXIX</t>
        </is>
      </c>
      <c r="C37320">
        <f>ROMAN(37319)</f>
        <v/>
      </c>
      <c r="D37320">
        <f>IF(B37320=C37320, "YES", "WRONG")</f>
        <v/>
      </c>
    </row>
    <row r="37321">
      <c r="A37321" t="n">
        <v>37320</v>
      </c>
      <c r="B37321" t="inlineStr">
        <is>
          <t>x̄x̄x̄V̅MMCCCXX</t>
        </is>
      </c>
      <c r="C37321">
        <f>ROMAN(37320)</f>
        <v/>
      </c>
      <c r="D37321">
        <f>IF(B37321=C37321, "YES", "WRONG")</f>
        <v/>
      </c>
    </row>
    <row r="37322">
      <c r="A37322" t="n">
        <v>37321</v>
      </c>
      <c r="B37322" t="inlineStr">
        <is>
          <t>x̄x̄x̄V̅MMCCCXXI</t>
        </is>
      </c>
      <c r="C37322">
        <f>ROMAN(37321)</f>
        <v/>
      </c>
      <c r="D37322">
        <f>IF(B37322=C37322, "YES", "WRONG")</f>
        <v/>
      </c>
    </row>
    <row r="37323">
      <c r="A37323" t="n">
        <v>37322</v>
      </c>
      <c r="B37323" t="inlineStr">
        <is>
          <t>x̄x̄x̄V̅MMCCCXXII</t>
        </is>
      </c>
      <c r="C37323">
        <f>ROMAN(37322)</f>
        <v/>
      </c>
      <c r="D37323">
        <f>IF(B37323=C37323, "YES", "WRONG")</f>
        <v/>
      </c>
    </row>
    <row r="37324">
      <c r="A37324" t="n">
        <v>37323</v>
      </c>
      <c r="B37324" t="inlineStr">
        <is>
          <t>x̄x̄x̄V̅MMCCCXXIII</t>
        </is>
      </c>
      <c r="C37324">
        <f>ROMAN(37323)</f>
        <v/>
      </c>
      <c r="D37324">
        <f>IF(B37324=C37324, "YES", "WRONG")</f>
        <v/>
      </c>
    </row>
    <row r="37325">
      <c r="A37325" t="n">
        <v>37324</v>
      </c>
      <c r="B37325" t="inlineStr">
        <is>
          <t>x̄x̄x̄V̅MMCCCXXIV</t>
        </is>
      </c>
      <c r="C37325">
        <f>ROMAN(37324)</f>
        <v/>
      </c>
      <c r="D37325">
        <f>IF(B37325=C37325, "YES", "WRONG")</f>
        <v/>
      </c>
    </row>
    <row r="37326">
      <c r="A37326" t="n">
        <v>37325</v>
      </c>
      <c r="B37326" t="inlineStr">
        <is>
          <t>x̄x̄x̄V̅MMCCCXXV</t>
        </is>
      </c>
      <c r="C37326">
        <f>ROMAN(37325)</f>
        <v/>
      </c>
      <c r="D37326">
        <f>IF(B37326=C37326, "YES", "WRONG")</f>
        <v/>
      </c>
    </row>
    <row r="37327">
      <c r="A37327" t="n">
        <v>37326</v>
      </c>
      <c r="B37327" t="inlineStr">
        <is>
          <t>x̄x̄x̄V̅MMCCCXXVI</t>
        </is>
      </c>
      <c r="C37327">
        <f>ROMAN(37326)</f>
        <v/>
      </c>
      <c r="D37327">
        <f>IF(B37327=C37327, "YES", "WRONG")</f>
        <v/>
      </c>
    </row>
    <row r="37328">
      <c r="A37328" t="n">
        <v>37327</v>
      </c>
      <c r="B37328" t="inlineStr">
        <is>
          <t>x̄x̄x̄V̅MMCCCXXVII</t>
        </is>
      </c>
      <c r="C37328">
        <f>ROMAN(37327)</f>
        <v/>
      </c>
      <c r="D37328">
        <f>IF(B37328=C37328, "YES", "WRONG")</f>
        <v/>
      </c>
    </row>
    <row r="37329">
      <c r="A37329" t="n">
        <v>37328</v>
      </c>
      <c r="B37329" t="inlineStr">
        <is>
          <t>x̄x̄x̄V̅MMCCCXXVIII</t>
        </is>
      </c>
      <c r="C37329">
        <f>ROMAN(37328)</f>
        <v/>
      </c>
      <c r="D37329">
        <f>IF(B37329=C37329, "YES", "WRONG")</f>
        <v/>
      </c>
    </row>
    <row r="37330">
      <c r="A37330" t="n">
        <v>37329</v>
      </c>
      <c r="B37330" t="inlineStr">
        <is>
          <t>x̄x̄x̄V̅MMCCCXXIX</t>
        </is>
      </c>
      <c r="C37330">
        <f>ROMAN(37329)</f>
        <v/>
      </c>
      <c r="D37330">
        <f>IF(B37330=C37330, "YES", "WRONG")</f>
        <v/>
      </c>
    </row>
    <row r="37331">
      <c r="A37331" t="n">
        <v>37330</v>
      </c>
      <c r="B37331" t="inlineStr">
        <is>
          <t>x̄x̄x̄V̅MMCCCXXX</t>
        </is>
      </c>
      <c r="C37331">
        <f>ROMAN(37330)</f>
        <v/>
      </c>
      <c r="D37331">
        <f>IF(B37331=C37331, "YES", "WRONG")</f>
        <v/>
      </c>
    </row>
    <row r="37332">
      <c r="A37332" t="n">
        <v>37331</v>
      </c>
      <c r="B37332" t="inlineStr">
        <is>
          <t>x̄x̄x̄V̅MMCCCXXXI</t>
        </is>
      </c>
      <c r="C37332">
        <f>ROMAN(37331)</f>
        <v/>
      </c>
      <c r="D37332">
        <f>IF(B37332=C37332, "YES", "WRONG")</f>
        <v/>
      </c>
    </row>
    <row r="37333">
      <c r="A37333" t="n">
        <v>37332</v>
      </c>
      <c r="B37333" t="inlineStr">
        <is>
          <t>x̄x̄x̄V̅MMCCCXXXII</t>
        </is>
      </c>
      <c r="C37333">
        <f>ROMAN(37332)</f>
        <v/>
      </c>
      <c r="D37333">
        <f>IF(B37333=C37333, "YES", "WRONG")</f>
        <v/>
      </c>
    </row>
    <row r="37334">
      <c r="A37334" t="n">
        <v>37333</v>
      </c>
      <c r="B37334" t="inlineStr">
        <is>
          <t>x̄x̄x̄V̅MMCCCXXXIII</t>
        </is>
      </c>
      <c r="C37334">
        <f>ROMAN(37333)</f>
        <v/>
      </c>
      <c r="D37334">
        <f>IF(B37334=C37334, "YES", "WRONG")</f>
        <v/>
      </c>
    </row>
    <row r="37335">
      <c r="A37335" t="n">
        <v>37334</v>
      </c>
      <c r="B37335" t="inlineStr">
        <is>
          <t>x̄x̄x̄V̅MMCCCXXXIV</t>
        </is>
      </c>
      <c r="C37335">
        <f>ROMAN(37334)</f>
        <v/>
      </c>
      <c r="D37335">
        <f>IF(B37335=C37335, "YES", "WRONG")</f>
        <v/>
      </c>
    </row>
    <row r="37336">
      <c r="A37336" t="n">
        <v>37335</v>
      </c>
      <c r="B37336" t="inlineStr">
        <is>
          <t>x̄x̄x̄V̅MMCCCXXXV</t>
        </is>
      </c>
      <c r="C37336">
        <f>ROMAN(37335)</f>
        <v/>
      </c>
      <c r="D37336">
        <f>IF(B37336=C37336, "YES", "WRONG")</f>
        <v/>
      </c>
    </row>
    <row r="37337">
      <c r="A37337" t="n">
        <v>37336</v>
      </c>
      <c r="B37337" t="inlineStr">
        <is>
          <t>x̄x̄x̄V̅MMCCCXXXVI</t>
        </is>
      </c>
      <c r="C37337">
        <f>ROMAN(37336)</f>
        <v/>
      </c>
      <c r="D37337">
        <f>IF(B37337=C37337, "YES", "WRONG")</f>
        <v/>
      </c>
    </row>
    <row r="37338">
      <c r="A37338" t="n">
        <v>37337</v>
      </c>
      <c r="B37338" t="inlineStr">
        <is>
          <t>x̄x̄x̄V̅MMCCCXXXVII</t>
        </is>
      </c>
      <c r="C37338">
        <f>ROMAN(37337)</f>
        <v/>
      </c>
      <c r="D37338">
        <f>IF(B37338=C37338, "YES", "WRONG")</f>
        <v/>
      </c>
    </row>
    <row r="37339">
      <c r="A37339" t="n">
        <v>37338</v>
      </c>
      <c r="B37339" t="inlineStr">
        <is>
          <t>x̄x̄x̄V̅MMCCCXXXVIII</t>
        </is>
      </c>
      <c r="C37339">
        <f>ROMAN(37338)</f>
        <v/>
      </c>
      <c r="D37339">
        <f>IF(B37339=C37339, "YES", "WRONG")</f>
        <v/>
      </c>
    </row>
    <row r="37340">
      <c r="A37340" t="n">
        <v>37339</v>
      </c>
      <c r="B37340" t="inlineStr">
        <is>
          <t>x̄x̄x̄V̅MMCCCXXXIX</t>
        </is>
      </c>
      <c r="C37340">
        <f>ROMAN(37339)</f>
        <v/>
      </c>
      <c r="D37340">
        <f>IF(B37340=C37340, "YES", "WRONG")</f>
        <v/>
      </c>
    </row>
    <row r="37341">
      <c r="A37341" t="n">
        <v>37340</v>
      </c>
      <c r="B37341" t="inlineStr">
        <is>
          <t>x̄x̄x̄V̅MMCCCXL</t>
        </is>
      </c>
      <c r="C37341">
        <f>ROMAN(37340)</f>
        <v/>
      </c>
      <c r="D37341">
        <f>IF(B37341=C37341, "YES", "WRONG")</f>
        <v/>
      </c>
    </row>
    <row r="37342">
      <c r="A37342" t="n">
        <v>37341</v>
      </c>
      <c r="B37342" t="inlineStr">
        <is>
          <t>x̄x̄x̄V̅MMCCCXLI</t>
        </is>
      </c>
      <c r="C37342">
        <f>ROMAN(37341)</f>
        <v/>
      </c>
      <c r="D37342">
        <f>IF(B37342=C37342, "YES", "WRONG")</f>
        <v/>
      </c>
    </row>
    <row r="37343">
      <c r="A37343" t="n">
        <v>37342</v>
      </c>
      <c r="B37343" t="inlineStr">
        <is>
          <t>x̄x̄x̄V̅MMCCCXLII</t>
        </is>
      </c>
      <c r="C37343">
        <f>ROMAN(37342)</f>
        <v/>
      </c>
      <c r="D37343">
        <f>IF(B37343=C37343, "YES", "WRONG")</f>
        <v/>
      </c>
    </row>
    <row r="37344">
      <c r="A37344" t="n">
        <v>37343</v>
      </c>
      <c r="B37344" t="inlineStr">
        <is>
          <t>x̄x̄x̄V̅MMCCCXLIII</t>
        </is>
      </c>
      <c r="C37344">
        <f>ROMAN(37343)</f>
        <v/>
      </c>
      <c r="D37344">
        <f>IF(B37344=C37344, "YES", "WRONG")</f>
        <v/>
      </c>
    </row>
    <row r="37345">
      <c r="A37345" t="n">
        <v>37344</v>
      </c>
      <c r="B37345" t="inlineStr">
        <is>
          <t>x̄x̄x̄V̅MMCCCXLIV</t>
        </is>
      </c>
      <c r="C37345">
        <f>ROMAN(37344)</f>
        <v/>
      </c>
      <c r="D37345">
        <f>IF(B37345=C37345, "YES", "WRONG")</f>
        <v/>
      </c>
    </row>
    <row r="37346">
      <c r="A37346" t="n">
        <v>37345</v>
      </c>
      <c r="B37346" t="inlineStr">
        <is>
          <t>x̄x̄x̄V̅MMCCCXLV</t>
        </is>
      </c>
      <c r="C37346">
        <f>ROMAN(37345)</f>
        <v/>
      </c>
      <c r="D37346">
        <f>IF(B37346=C37346, "YES", "WRONG")</f>
        <v/>
      </c>
    </row>
    <row r="37347">
      <c r="A37347" t="n">
        <v>37346</v>
      </c>
      <c r="B37347" t="inlineStr">
        <is>
          <t>x̄x̄x̄V̅MMCCCXLVI</t>
        </is>
      </c>
      <c r="C37347">
        <f>ROMAN(37346)</f>
        <v/>
      </c>
      <c r="D37347">
        <f>IF(B37347=C37347, "YES", "WRONG")</f>
        <v/>
      </c>
    </row>
    <row r="37348">
      <c r="A37348" t="n">
        <v>37347</v>
      </c>
      <c r="B37348" t="inlineStr">
        <is>
          <t>x̄x̄x̄V̅MMCCCXLVII</t>
        </is>
      </c>
      <c r="C37348">
        <f>ROMAN(37347)</f>
        <v/>
      </c>
      <c r="D37348">
        <f>IF(B37348=C37348, "YES", "WRONG")</f>
        <v/>
      </c>
    </row>
    <row r="37349">
      <c r="A37349" t="n">
        <v>37348</v>
      </c>
      <c r="B37349" t="inlineStr">
        <is>
          <t>x̄x̄x̄V̅MMCCCXLVIII</t>
        </is>
      </c>
      <c r="C37349">
        <f>ROMAN(37348)</f>
        <v/>
      </c>
      <c r="D37349">
        <f>IF(B37349=C37349, "YES", "WRONG")</f>
        <v/>
      </c>
    </row>
    <row r="37350">
      <c r="A37350" t="n">
        <v>37349</v>
      </c>
      <c r="B37350" t="inlineStr">
        <is>
          <t>x̄x̄x̄V̅MMCCCXLIX</t>
        </is>
      </c>
      <c r="C37350">
        <f>ROMAN(37349)</f>
        <v/>
      </c>
      <c r="D37350">
        <f>IF(B37350=C37350, "YES", "WRONG")</f>
        <v/>
      </c>
    </row>
    <row r="37351">
      <c r="A37351" t="n">
        <v>37350</v>
      </c>
      <c r="B37351" t="inlineStr">
        <is>
          <t>x̄x̄x̄V̅MMCCCL</t>
        </is>
      </c>
      <c r="C37351">
        <f>ROMAN(37350)</f>
        <v/>
      </c>
      <c r="D37351">
        <f>IF(B37351=C37351, "YES", "WRONG")</f>
        <v/>
      </c>
    </row>
    <row r="37352">
      <c r="A37352" t="n">
        <v>37351</v>
      </c>
      <c r="B37352" t="inlineStr">
        <is>
          <t>x̄x̄x̄V̅MMCCCLI</t>
        </is>
      </c>
      <c r="C37352">
        <f>ROMAN(37351)</f>
        <v/>
      </c>
      <c r="D37352">
        <f>IF(B37352=C37352, "YES", "WRONG")</f>
        <v/>
      </c>
    </row>
    <row r="37353">
      <c r="A37353" t="n">
        <v>37352</v>
      </c>
      <c r="B37353" t="inlineStr">
        <is>
          <t>x̄x̄x̄V̅MMCCCLII</t>
        </is>
      </c>
      <c r="C37353">
        <f>ROMAN(37352)</f>
        <v/>
      </c>
      <c r="D37353">
        <f>IF(B37353=C37353, "YES", "WRONG")</f>
        <v/>
      </c>
    </row>
    <row r="37354">
      <c r="A37354" t="n">
        <v>37353</v>
      </c>
      <c r="B37354" t="inlineStr">
        <is>
          <t>x̄x̄x̄V̅MMCCCLIII</t>
        </is>
      </c>
      <c r="C37354">
        <f>ROMAN(37353)</f>
        <v/>
      </c>
      <c r="D37354">
        <f>IF(B37354=C37354, "YES", "WRONG")</f>
        <v/>
      </c>
    </row>
    <row r="37355">
      <c r="A37355" t="n">
        <v>37354</v>
      </c>
      <c r="B37355" t="inlineStr">
        <is>
          <t>x̄x̄x̄V̅MMCCCLIV</t>
        </is>
      </c>
      <c r="C37355">
        <f>ROMAN(37354)</f>
        <v/>
      </c>
      <c r="D37355">
        <f>IF(B37355=C37355, "YES", "WRONG")</f>
        <v/>
      </c>
    </row>
    <row r="37356">
      <c r="A37356" t="n">
        <v>37355</v>
      </c>
      <c r="B37356" t="inlineStr">
        <is>
          <t>x̄x̄x̄V̅MMCCCLV</t>
        </is>
      </c>
      <c r="C37356">
        <f>ROMAN(37355)</f>
        <v/>
      </c>
      <c r="D37356">
        <f>IF(B37356=C37356, "YES", "WRONG")</f>
        <v/>
      </c>
    </row>
    <row r="37357">
      <c r="A37357" t="n">
        <v>37356</v>
      </c>
      <c r="B37357" t="inlineStr">
        <is>
          <t>x̄x̄x̄V̅MMCCCLVI</t>
        </is>
      </c>
      <c r="C37357">
        <f>ROMAN(37356)</f>
        <v/>
      </c>
      <c r="D37357">
        <f>IF(B37357=C37357, "YES", "WRONG")</f>
        <v/>
      </c>
    </row>
    <row r="37358">
      <c r="A37358" t="n">
        <v>37357</v>
      </c>
      <c r="B37358" t="inlineStr">
        <is>
          <t>x̄x̄x̄V̅MMCCCLVII</t>
        </is>
      </c>
      <c r="C37358">
        <f>ROMAN(37357)</f>
        <v/>
      </c>
      <c r="D37358">
        <f>IF(B37358=C37358, "YES", "WRONG")</f>
        <v/>
      </c>
    </row>
    <row r="37359">
      <c r="A37359" t="n">
        <v>37358</v>
      </c>
      <c r="B37359" t="inlineStr">
        <is>
          <t>x̄x̄x̄V̅MMCCCLVIII</t>
        </is>
      </c>
      <c r="C37359">
        <f>ROMAN(37358)</f>
        <v/>
      </c>
      <c r="D37359">
        <f>IF(B37359=C37359, "YES", "WRONG")</f>
        <v/>
      </c>
    </row>
    <row r="37360">
      <c r="A37360" t="n">
        <v>37359</v>
      </c>
      <c r="B37360" t="inlineStr">
        <is>
          <t>x̄x̄x̄V̅MMCCCLIX</t>
        </is>
      </c>
      <c r="C37360">
        <f>ROMAN(37359)</f>
        <v/>
      </c>
      <c r="D37360">
        <f>IF(B37360=C37360, "YES", "WRONG")</f>
        <v/>
      </c>
    </row>
    <row r="37361">
      <c r="A37361" t="n">
        <v>37360</v>
      </c>
      <c r="B37361" t="inlineStr">
        <is>
          <t>x̄x̄x̄V̅MMCCCLX</t>
        </is>
      </c>
      <c r="C37361">
        <f>ROMAN(37360)</f>
        <v/>
      </c>
      <c r="D37361">
        <f>IF(B37361=C37361, "YES", "WRONG")</f>
        <v/>
      </c>
    </row>
    <row r="37362">
      <c r="A37362" t="n">
        <v>37361</v>
      </c>
      <c r="B37362" t="inlineStr">
        <is>
          <t>x̄x̄x̄V̅MMCCCLXI</t>
        </is>
      </c>
      <c r="C37362">
        <f>ROMAN(37361)</f>
        <v/>
      </c>
      <c r="D37362">
        <f>IF(B37362=C37362, "YES", "WRONG")</f>
        <v/>
      </c>
    </row>
    <row r="37363">
      <c r="A37363" t="n">
        <v>37362</v>
      </c>
      <c r="B37363" t="inlineStr">
        <is>
          <t>x̄x̄x̄V̅MMCCCLXII</t>
        </is>
      </c>
      <c r="C37363">
        <f>ROMAN(37362)</f>
        <v/>
      </c>
      <c r="D37363">
        <f>IF(B37363=C37363, "YES", "WRONG")</f>
        <v/>
      </c>
    </row>
    <row r="37364">
      <c r="A37364" t="n">
        <v>37363</v>
      </c>
      <c r="B37364" t="inlineStr">
        <is>
          <t>x̄x̄x̄V̅MMCCCLXIII</t>
        </is>
      </c>
      <c r="C37364">
        <f>ROMAN(37363)</f>
        <v/>
      </c>
      <c r="D37364">
        <f>IF(B37364=C37364, "YES", "WRONG")</f>
        <v/>
      </c>
    </row>
    <row r="37365">
      <c r="A37365" t="n">
        <v>37364</v>
      </c>
      <c r="B37365" t="inlineStr">
        <is>
          <t>x̄x̄x̄V̅MMCCCLXIV</t>
        </is>
      </c>
      <c r="C37365">
        <f>ROMAN(37364)</f>
        <v/>
      </c>
      <c r="D37365">
        <f>IF(B37365=C37365, "YES", "WRONG")</f>
        <v/>
      </c>
    </row>
    <row r="37366">
      <c r="A37366" t="n">
        <v>37365</v>
      </c>
      <c r="B37366" t="inlineStr">
        <is>
          <t>x̄x̄x̄V̅MMCCCLXV</t>
        </is>
      </c>
      <c r="C37366">
        <f>ROMAN(37365)</f>
        <v/>
      </c>
      <c r="D37366">
        <f>IF(B37366=C37366, "YES", "WRONG")</f>
        <v/>
      </c>
    </row>
    <row r="37367">
      <c r="A37367" t="n">
        <v>37366</v>
      </c>
      <c r="B37367" t="inlineStr">
        <is>
          <t>x̄x̄x̄V̅MMCCCLXVI</t>
        </is>
      </c>
      <c r="C37367">
        <f>ROMAN(37366)</f>
        <v/>
      </c>
      <c r="D37367">
        <f>IF(B37367=C37367, "YES", "WRONG")</f>
        <v/>
      </c>
    </row>
    <row r="37368">
      <c r="A37368" t="n">
        <v>37367</v>
      </c>
      <c r="B37368" t="inlineStr">
        <is>
          <t>x̄x̄x̄V̅MMCCCLXVII</t>
        </is>
      </c>
      <c r="C37368">
        <f>ROMAN(37367)</f>
        <v/>
      </c>
      <c r="D37368">
        <f>IF(B37368=C37368, "YES", "WRONG")</f>
        <v/>
      </c>
    </row>
    <row r="37369">
      <c r="A37369" t="n">
        <v>37368</v>
      </c>
      <c r="B37369" t="inlineStr">
        <is>
          <t>x̄x̄x̄V̅MMCCCLXVIII</t>
        </is>
      </c>
      <c r="C37369">
        <f>ROMAN(37368)</f>
        <v/>
      </c>
      <c r="D37369">
        <f>IF(B37369=C37369, "YES", "WRONG")</f>
        <v/>
      </c>
    </row>
    <row r="37370">
      <c r="A37370" t="n">
        <v>37369</v>
      </c>
      <c r="B37370" t="inlineStr">
        <is>
          <t>x̄x̄x̄V̅MMCCCLXIX</t>
        </is>
      </c>
      <c r="C37370">
        <f>ROMAN(37369)</f>
        <v/>
      </c>
      <c r="D37370">
        <f>IF(B37370=C37370, "YES", "WRONG")</f>
        <v/>
      </c>
    </row>
    <row r="37371">
      <c r="A37371" t="n">
        <v>37370</v>
      </c>
      <c r="B37371" t="inlineStr">
        <is>
          <t>x̄x̄x̄V̅MMCCCLXX</t>
        </is>
      </c>
      <c r="C37371">
        <f>ROMAN(37370)</f>
        <v/>
      </c>
      <c r="D37371">
        <f>IF(B37371=C37371, "YES", "WRONG")</f>
        <v/>
      </c>
    </row>
    <row r="37372">
      <c r="A37372" t="n">
        <v>37371</v>
      </c>
      <c r="B37372" t="inlineStr">
        <is>
          <t>x̄x̄x̄V̅MMCCCLXXI</t>
        </is>
      </c>
      <c r="C37372">
        <f>ROMAN(37371)</f>
        <v/>
      </c>
      <c r="D37372">
        <f>IF(B37372=C37372, "YES", "WRONG")</f>
        <v/>
      </c>
    </row>
    <row r="37373">
      <c r="A37373" t="n">
        <v>37372</v>
      </c>
      <c r="B37373" t="inlineStr">
        <is>
          <t>x̄x̄x̄V̅MMCCCLXXII</t>
        </is>
      </c>
      <c r="C37373">
        <f>ROMAN(37372)</f>
        <v/>
      </c>
      <c r="D37373">
        <f>IF(B37373=C37373, "YES", "WRONG")</f>
        <v/>
      </c>
    </row>
    <row r="37374">
      <c r="A37374" t="n">
        <v>37373</v>
      </c>
      <c r="B37374" t="inlineStr">
        <is>
          <t>x̄x̄x̄V̅MMCCCLXXIII</t>
        </is>
      </c>
      <c r="C37374">
        <f>ROMAN(37373)</f>
        <v/>
      </c>
      <c r="D37374">
        <f>IF(B37374=C37374, "YES", "WRONG")</f>
        <v/>
      </c>
    </row>
    <row r="37375">
      <c r="A37375" t="n">
        <v>37374</v>
      </c>
      <c r="B37375" t="inlineStr">
        <is>
          <t>x̄x̄x̄V̅MMCCCLXXIV</t>
        </is>
      </c>
      <c r="C37375">
        <f>ROMAN(37374)</f>
        <v/>
      </c>
      <c r="D37375">
        <f>IF(B37375=C37375, "YES", "WRONG")</f>
        <v/>
      </c>
    </row>
    <row r="37376">
      <c r="A37376" t="n">
        <v>37375</v>
      </c>
      <c r="B37376" t="inlineStr">
        <is>
          <t>x̄x̄x̄V̅MMCCCLXXV</t>
        </is>
      </c>
      <c r="C37376">
        <f>ROMAN(37375)</f>
        <v/>
      </c>
      <c r="D37376">
        <f>IF(B37376=C37376, "YES", "WRONG")</f>
        <v/>
      </c>
    </row>
    <row r="37377">
      <c r="A37377" t="n">
        <v>37376</v>
      </c>
      <c r="B37377" t="inlineStr">
        <is>
          <t>x̄x̄x̄V̅MMCCCLXXVI</t>
        </is>
      </c>
      <c r="C37377">
        <f>ROMAN(37376)</f>
        <v/>
      </c>
      <c r="D37377">
        <f>IF(B37377=C37377, "YES", "WRONG")</f>
        <v/>
      </c>
    </row>
    <row r="37378">
      <c r="A37378" t="n">
        <v>37377</v>
      </c>
      <c r="B37378" t="inlineStr">
        <is>
          <t>x̄x̄x̄V̅MMCCCLXXVII</t>
        </is>
      </c>
      <c r="C37378">
        <f>ROMAN(37377)</f>
        <v/>
      </c>
      <c r="D37378">
        <f>IF(B37378=C37378, "YES", "WRONG")</f>
        <v/>
      </c>
    </row>
    <row r="37379">
      <c r="A37379" t="n">
        <v>37378</v>
      </c>
      <c r="B37379" t="inlineStr">
        <is>
          <t>x̄x̄x̄V̅MMCCCLXXVIII</t>
        </is>
      </c>
      <c r="C37379">
        <f>ROMAN(37378)</f>
        <v/>
      </c>
      <c r="D37379">
        <f>IF(B37379=C37379, "YES", "WRONG")</f>
        <v/>
      </c>
    </row>
    <row r="37380">
      <c r="A37380" t="n">
        <v>37379</v>
      </c>
      <c r="B37380" t="inlineStr">
        <is>
          <t>x̄x̄x̄V̅MMCCCLXXIX</t>
        </is>
      </c>
      <c r="C37380">
        <f>ROMAN(37379)</f>
        <v/>
      </c>
      <c r="D37380">
        <f>IF(B37380=C37380, "YES", "WRONG")</f>
        <v/>
      </c>
    </row>
    <row r="37381">
      <c r="A37381" t="n">
        <v>37380</v>
      </c>
      <c r="B37381" t="inlineStr">
        <is>
          <t>x̄x̄x̄V̅MMCCCLXXX</t>
        </is>
      </c>
      <c r="C37381">
        <f>ROMAN(37380)</f>
        <v/>
      </c>
      <c r="D37381">
        <f>IF(B37381=C37381, "YES", "WRONG")</f>
        <v/>
      </c>
    </row>
    <row r="37382">
      <c r="A37382" t="n">
        <v>37381</v>
      </c>
      <c r="B37382" t="inlineStr">
        <is>
          <t>x̄x̄x̄V̅MMCCCLXXXI</t>
        </is>
      </c>
      <c r="C37382">
        <f>ROMAN(37381)</f>
        <v/>
      </c>
      <c r="D37382">
        <f>IF(B37382=C37382, "YES", "WRONG")</f>
        <v/>
      </c>
    </row>
    <row r="37383">
      <c r="A37383" t="n">
        <v>37382</v>
      </c>
      <c r="B37383" t="inlineStr">
        <is>
          <t>x̄x̄x̄V̅MMCCCLXXXII</t>
        </is>
      </c>
      <c r="C37383">
        <f>ROMAN(37382)</f>
        <v/>
      </c>
      <c r="D37383">
        <f>IF(B37383=C37383, "YES", "WRONG")</f>
        <v/>
      </c>
    </row>
    <row r="37384">
      <c r="A37384" t="n">
        <v>37383</v>
      </c>
      <c r="B37384" t="inlineStr">
        <is>
          <t>x̄x̄x̄V̅MMCCCLXXXIII</t>
        </is>
      </c>
      <c r="C37384">
        <f>ROMAN(37383)</f>
        <v/>
      </c>
      <c r="D37384">
        <f>IF(B37384=C37384, "YES", "WRONG")</f>
        <v/>
      </c>
    </row>
    <row r="37385">
      <c r="A37385" t="n">
        <v>37384</v>
      </c>
      <c r="B37385" t="inlineStr">
        <is>
          <t>x̄x̄x̄V̅MMCCCLXXXIV</t>
        </is>
      </c>
      <c r="C37385">
        <f>ROMAN(37384)</f>
        <v/>
      </c>
      <c r="D37385">
        <f>IF(B37385=C37385, "YES", "WRONG")</f>
        <v/>
      </c>
    </row>
    <row r="37386">
      <c r="A37386" t="n">
        <v>37385</v>
      </c>
      <c r="B37386" t="inlineStr">
        <is>
          <t>x̄x̄x̄V̅MMCCCLXXXV</t>
        </is>
      </c>
      <c r="C37386">
        <f>ROMAN(37385)</f>
        <v/>
      </c>
      <c r="D37386">
        <f>IF(B37386=C37386, "YES", "WRONG")</f>
        <v/>
      </c>
    </row>
    <row r="37387">
      <c r="A37387" t="n">
        <v>37386</v>
      </c>
      <c r="B37387" t="inlineStr">
        <is>
          <t>x̄x̄x̄V̅MMCCCLXXXVI</t>
        </is>
      </c>
      <c r="C37387">
        <f>ROMAN(37386)</f>
        <v/>
      </c>
      <c r="D37387">
        <f>IF(B37387=C37387, "YES", "WRONG")</f>
        <v/>
      </c>
    </row>
    <row r="37388">
      <c r="A37388" t="n">
        <v>37387</v>
      </c>
      <c r="B37388" t="inlineStr">
        <is>
          <t>x̄x̄x̄V̅MMCCCLXXXVII</t>
        </is>
      </c>
      <c r="C37388">
        <f>ROMAN(37387)</f>
        <v/>
      </c>
      <c r="D37388">
        <f>IF(B37388=C37388, "YES", "WRONG")</f>
        <v/>
      </c>
    </row>
    <row r="37389">
      <c r="A37389" t="n">
        <v>37388</v>
      </c>
      <c r="B37389" t="inlineStr">
        <is>
          <t>x̄x̄x̄V̅MMCCCLXXXVIII</t>
        </is>
      </c>
      <c r="C37389">
        <f>ROMAN(37388)</f>
        <v/>
      </c>
      <c r="D37389">
        <f>IF(B37389=C37389, "YES", "WRONG")</f>
        <v/>
      </c>
    </row>
    <row r="37390">
      <c r="A37390" t="n">
        <v>37389</v>
      </c>
      <c r="B37390" t="inlineStr">
        <is>
          <t>x̄x̄x̄V̅MMCCCLXXXIX</t>
        </is>
      </c>
      <c r="C37390">
        <f>ROMAN(37389)</f>
        <v/>
      </c>
      <c r="D37390">
        <f>IF(B37390=C37390, "YES", "WRONG")</f>
        <v/>
      </c>
    </row>
    <row r="37391">
      <c r="A37391" t="n">
        <v>37390</v>
      </c>
      <c r="B37391" t="inlineStr">
        <is>
          <t>x̄x̄x̄V̅MMCCCXC</t>
        </is>
      </c>
      <c r="C37391">
        <f>ROMAN(37390)</f>
        <v/>
      </c>
      <c r="D37391">
        <f>IF(B37391=C37391, "YES", "WRONG")</f>
        <v/>
      </c>
    </row>
    <row r="37392">
      <c r="A37392" t="n">
        <v>37391</v>
      </c>
      <c r="B37392" t="inlineStr">
        <is>
          <t>x̄x̄x̄V̅MMCCCXCI</t>
        </is>
      </c>
      <c r="C37392">
        <f>ROMAN(37391)</f>
        <v/>
      </c>
      <c r="D37392">
        <f>IF(B37392=C37392, "YES", "WRONG")</f>
        <v/>
      </c>
    </row>
    <row r="37393">
      <c r="A37393" t="n">
        <v>37392</v>
      </c>
      <c r="B37393" t="inlineStr">
        <is>
          <t>x̄x̄x̄V̅MMCCCXCII</t>
        </is>
      </c>
      <c r="C37393">
        <f>ROMAN(37392)</f>
        <v/>
      </c>
      <c r="D37393">
        <f>IF(B37393=C37393, "YES", "WRONG")</f>
        <v/>
      </c>
    </row>
    <row r="37394">
      <c r="A37394" t="n">
        <v>37393</v>
      </c>
      <c r="B37394" t="inlineStr">
        <is>
          <t>x̄x̄x̄V̅MMCCCXCIII</t>
        </is>
      </c>
      <c r="C37394">
        <f>ROMAN(37393)</f>
        <v/>
      </c>
      <c r="D37394">
        <f>IF(B37394=C37394, "YES", "WRONG")</f>
        <v/>
      </c>
    </row>
    <row r="37395">
      <c r="A37395" t="n">
        <v>37394</v>
      </c>
      <c r="B37395" t="inlineStr">
        <is>
          <t>x̄x̄x̄V̅MMCCCXCIV</t>
        </is>
      </c>
      <c r="C37395">
        <f>ROMAN(37394)</f>
        <v/>
      </c>
      <c r="D37395">
        <f>IF(B37395=C37395, "YES", "WRONG")</f>
        <v/>
      </c>
    </row>
    <row r="37396">
      <c r="A37396" t="n">
        <v>37395</v>
      </c>
      <c r="B37396" t="inlineStr">
        <is>
          <t>x̄x̄x̄V̅MMCCCXCV</t>
        </is>
      </c>
      <c r="C37396">
        <f>ROMAN(37395)</f>
        <v/>
      </c>
      <c r="D37396">
        <f>IF(B37396=C37396, "YES", "WRONG")</f>
        <v/>
      </c>
    </row>
    <row r="37397">
      <c r="A37397" t="n">
        <v>37396</v>
      </c>
      <c r="B37397" t="inlineStr">
        <is>
          <t>x̄x̄x̄V̅MMCCCXCVI</t>
        </is>
      </c>
      <c r="C37397">
        <f>ROMAN(37396)</f>
        <v/>
      </c>
      <c r="D37397">
        <f>IF(B37397=C37397, "YES", "WRONG")</f>
        <v/>
      </c>
    </row>
    <row r="37398">
      <c r="A37398" t="n">
        <v>37397</v>
      </c>
      <c r="B37398" t="inlineStr">
        <is>
          <t>x̄x̄x̄V̅MMCCCXCVII</t>
        </is>
      </c>
      <c r="C37398">
        <f>ROMAN(37397)</f>
        <v/>
      </c>
      <c r="D37398">
        <f>IF(B37398=C37398, "YES", "WRONG")</f>
        <v/>
      </c>
    </row>
    <row r="37399">
      <c r="A37399" t="n">
        <v>37398</v>
      </c>
      <c r="B37399" t="inlineStr">
        <is>
          <t>x̄x̄x̄V̅MMCCCXCVIII</t>
        </is>
      </c>
      <c r="C37399">
        <f>ROMAN(37398)</f>
        <v/>
      </c>
      <c r="D37399">
        <f>IF(B37399=C37399, "YES", "WRONG")</f>
        <v/>
      </c>
    </row>
    <row r="37400">
      <c r="A37400" t="n">
        <v>37399</v>
      </c>
      <c r="B37400" t="inlineStr">
        <is>
          <t>x̄x̄x̄V̅MMCCCXCIX</t>
        </is>
      </c>
      <c r="C37400">
        <f>ROMAN(37399)</f>
        <v/>
      </c>
      <c r="D37400">
        <f>IF(B37400=C37400, "YES", "WRONG")</f>
        <v/>
      </c>
    </row>
    <row r="37401">
      <c r="A37401" t="n">
        <v>37400</v>
      </c>
      <c r="B37401" t="inlineStr">
        <is>
          <t>x̄x̄x̄V̅MMCD</t>
        </is>
      </c>
      <c r="C37401">
        <f>ROMAN(37400)</f>
        <v/>
      </c>
      <c r="D37401">
        <f>IF(B37401=C37401, "YES", "WRONG")</f>
        <v/>
      </c>
    </row>
    <row r="37402">
      <c r="A37402" t="n">
        <v>37401</v>
      </c>
      <c r="B37402" t="inlineStr">
        <is>
          <t>x̄x̄x̄V̅MMCDI</t>
        </is>
      </c>
      <c r="C37402">
        <f>ROMAN(37401)</f>
        <v/>
      </c>
      <c r="D37402">
        <f>IF(B37402=C37402, "YES", "WRONG")</f>
        <v/>
      </c>
    </row>
    <row r="37403">
      <c r="A37403" t="n">
        <v>37402</v>
      </c>
      <c r="B37403" t="inlineStr">
        <is>
          <t>x̄x̄x̄V̅MMCDII</t>
        </is>
      </c>
      <c r="C37403">
        <f>ROMAN(37402)</f>
        <v/>
      </c>
      <c r="D37403">
        <f>IF(B37403=C37403, "YES", "WRONG")</f>
        <v/>
      </c>
    </row>
    <row r="37404">
      <c r="A37404" t="n">
        <v>37403</v>
      </c>
      <c r="B37404" t="inlineStr">
        <is>
          <t>x̄x̄x̄V̅MMCDIII</t>
        </is>
      </c>
      <c r="C37404">
        <f>ROMAN(37403)</f>
        <v/>
      </c>
      <c r="D37404">
        <f>IF(B37404=C37404, "YES", "WRONG")</f>
        <v/>
      </c>
    </row>
    <row r="37405">
      <c r="A37405" t="n">
        <v>37404</v>
      </c>
      <c r="B37405" t="inlineStr">
        <is>
          <t>x̄x̄x̄V̅MMCDIV</t>
        </is>
      </c>
      <c r="C37405">
        <f>ROMAN(37404)</f>
        <v/>
      </c>
      <c r="D37405">
        <f>IF(B37405=C37405, "YES", "WRONG")</f>
        <v/>
      </c>
    </row>
    <row r="37406">
      <c r="A37406" t="n">
        <v>37405</v>
      </c>
      <c r="B37406" t="inlineStr">
        <is>
          <t>x̄x̄x̄V̅MMCDV</t>
        </is>
      </c>
      <c r="C37406">
        <f>ROMAN(37405)</f>
        <v/>
      </c>
      <c r="D37406">
        <f>IF(B37406=C37406, "YES", "WRONG")</f>
        <v/>
      </c>
    </row>
    <row r="37407">
      <c r="A37407" t="n">
        <v>37406</v>
      </c>
      <c r="B37407" t="inlineStr">
        <is>
          <t>x̄x̄x̄V̅MMCDVI</t>
        </is>
      </c>
      <c r="C37407">
        <f>ROMAN(37406)</f>
        <v/>
      </c>
      <c r="D37407">
        <f>IF(B37407=C37407, "YES", "WRONG")</f>
        <v/>
      </c>
    </row>
    <row r="37408">
      <c r="A37408" t="n">
        <v>37407</v>
      </c>
      <c r="B37408" t="inlineStr">
        <is>
          <t>x̄x̄x̄V̅MMCDVII</t>
        </is>
      </c>
      <c r="C37408">
        <f>ROMAN(37407)</f>
        <v/>
      </c>
      <c r="D37408">
        <f>IF(B37408=C37408, "YES", "WRONG")</f>
        <v/>
      </c>
    </row>
    <row r="37409">
      <c r="A37409" t="n">
        <v>37408</v>
      </c>
      <c r="B37409" t="inlineStr">
        <is>
          <t>x̄x̄x̄V̅MMCDVIII</t>
        </is>
      </c>
      <c r="C37409">
        <f>ROMAN(37408)</f>
        <v/>
      </c>
      <c r="D37409">
        <f>IF(B37409=C37409, "YES", "WRONG")</f>
        <v/>
      </c>
    </row>
    <row r="37410">
      <c r="A37410" t="n">
        <v>37409</v>
      </c>
      <c r="B37410" t="inlineStr">
        <is>
          <t>x̄x̄x̄V̅MMCDIX</t>
        </is>
      </c>
      <c r="C37410">
        <f>ROMAN(37409)</f>
        <v/>
      </c>
      <c r="D37410">
        <f>IF(B37410=C37410, "YES", "WRONG")</f>
        <v/>
      </c>
    </row>
    <row r="37411">
      <c r="A37411" t="n">
        <v>37410</v>
      </c>
      <c r="B37411" t="inlineStr">
        <is>
          <t>x̄x̄x̄V̅MMCDX</t>
        </is>
      </c>
      <c r="C37411">
        <f>ROMAN(37410)</f>
        <v/>
      </c>
      <c r="D37411">
        <f>IF(B37411=C37411, "YES", "WRONG")</f>
        <v/>
      </c>
    </row>
    <row r="37412">
      <c r="A37412" t="n">
        <v>37411</v>
      </c>
      <c r="B37412" t="inlineStr">
        <is>
          <t>x̄x̄x̄V̅MMCDXI</t>
        </is>
      </c>
      <c r="C37412">
        <f>ROMAN(37411)</f>
        <v/>
      </c>
      <c r="D37412">
        <f>IF(B37412=C37412, "YES", "WRONG")</f>
        <v/>
      </c>
    </row>
    <row r="37413">
      <c r="A37413" t="n">
        <v>37412</v>
      </c>
      <c r="B37413" t="inlineStr">
        <is>
          <t>x̄x̄x̄V̅MMCDXII</t>
        </is>
      </c>
      <c r="C37413">
        <f>ROMAN(37412)</f>
        <v/>
      </c>
      <c r="D37413">
        <f>IF(B37413=C37413, "YES", "WRONG")</f>
        <v/>
      </c>
    </row>
    <row r="37414">
      <c r="A37414" t="n">
        <v>37413</v>
      </c>
      <c r="B37414" t="inlineStr">
        <is>
          <t>x̄x̄x̄V̅MMCDXIII</t>
        </is>
      </c>
      <c r="C37414">
        <f>ROMAN(37413)</f>
        <v/>
      </c>
      <c r="D37414">
        <f>IF(B37414=C37414, "YES", "WRONG")</f>
        <v/>
      </c>
    </row>
    <row r="37415">
      <c r="A37415" t="n">
        <v>37414</v>
      </c>
      <c r="B37415" t="inlineStr">
        <is>
          <t>x̄x̄x̄V̅MMCDXIV</t>
        </is>
      </c>
      <c r="C37415">
        <f>ROMAN(37414)</f>
        <v/>
      </c>
      <c r="D37415">
        <f>IF(B37415=C37415, "YES", "WRONG")</f>
        <v/>
      </c>
    </row>
    <row r="37416">
      <c r="A37416" t="n">
        <v>37415</v>
      </c>
      <c r="B37416" t="inlineStr">
        <is>
          <t>x̄x̄x̄V̅MMCDXV</t>
        </is>
      </c>
      <c r="C37416">
        <f>ROMAN(37415)</f>
        <v/>
      </c>
      <c r="D37416">
        <f>IF(B37416=C37416, "YES", "WRONG")</f>
        <v/>
      </c>
    </row>
    <row r="37417">
      <c r="A37417" t="n">
        <v>37416</v>
      </c>
      <c r="B37417" t="inlineStr">
        <is>
          <t>x̄x̄x̄V̅MMCDXVI</t>
        </is>
      </c>
      <c r="C37417">
        <f>ROMAN(37416)</f>
        <v/>
      </c>
      <c r="D37417">
        <f>IF(B37417=C37417, "YES", "WRONG")</f>
        <v/>
      </c>
    </row>
    <row r="37418">
      <c r="A37418" t="n">
        <v>37417</v>
      </c>
      <c r="B37418" t="inlineStr">
        <is>
          <t>x̄x̄x̄V̅MMCDXVII</t>
        </is>
      </c>
      <c r="C37418">
        <f>ROMAN(37417)</f>
        <v/>
      </c>
      <c r="D37418">
        <f>IF(B37418=C37418, "YES", "WRONG")</f>
        <v/>
      </c>
    </row>
    <row r="37419">
      <c r="A37419" t="n">
        <v>37418</v>
      </c>
      <c r="B37419" t="inlineStr">
        <is>
          <t>x̄x̄x̄V̅MMCDXVIII</t>
        </is>
      </c>
      <c r="C37419">
        <f>ROMAN(37418)</f>
        <v/>
      </c>
      <c r="D37419">
        <f>IF(B37419=C37419, "YES", "WRONG")</f>
        <v/>
      </c>
    </row>
    <row r="37420">
      <c r="A37420" t="n">
        <v>37419</v>
      </c>
      <c r="B37420" t="inlineStr">
        <is>
          <t>x̄x̄x̄V̅MMCDXIX</t>
        </is>
      </c>
      <c r="C37420">
        <f>ROMAN(37419)</f>
        <v/>
      </c>
      <c r="D37420">
        <f>IF(B37420=C37420, "YES", "WRONG")</f>
        <v/>
      </c>
    </row>
    <row r="37421">
      <c r="A37421" t="n">
        <v>37420</v>
      </c>
      <c r="B37421" t="inlineStr">
        <is>
          <t>x̄x̄x̄V̅MMCDXX</t>
        </is>
      </c>
      <c r="C37421">
        <f>ROMAN(37420)</f>
        <v/>
      </c>
      <c r="D37421">
        <f>IF(B37421=C37421, "YES", "WRONG")</f>
        <v/>
      </c>
    </row>
    <row r="37422">
      <c r="A37422" t="n">
        <v>37421</v>
      </c>
      <c r="B37422" t="inlineStr">
        <is>
          <t>x̄x̄x̄V̅MMCDXXI</t>
        </is>
      </c>
      <c r="C37422">
        <f>ROMAN(37421)</f>
        <v/>
      </c>
      <c r="D37422">
        <f>IF(B37422=C37422, "YES", "WRONG")</f>
        <v/>
      </c>
    </row>
    <row r="37423">
      <c r="A37423" t="n">
        <v>37422</v>
      </c>
      <c r="B37423" t="inlineStr">
        <is>
          <t>x̄x̄x̄V̅MMCDXXII</t>
        </is>
      </c>
      <c r="C37423">
        <f>ROMAN(37422)</f>
        <v/>
      </c>
      <c r="D37423">
        <f>IF(B37423=C37423, "YES", "WRONG")</f>
        <v/>
      </c>
    </row>
    <row r="37424">
      <c r="A37424" t="n">
        <v>37423</v>
      </c>
      <c r="B37424" t="inlineStr">
        <is>
          <t>x̄x̄x̄V̅MMCDXXIII</t>
        </is>
      </c>
      <c r="C37424">
        <f>ROMAN(37423)</f>
        <v/>
      </c>
      <c r="D37424">
        <f>IF(B37424=C37424, "YES", "WRONG")</f>
        <v/>
      </c>
    </row>
    <row r="37425">
      <c r="A37425" t="n">
        <v>37424</v>
      </c>
      <c r="B37425" t="inlineStr">
        <is>
          <t>x̄x̄x̄V̅MMCDXXIV</t>
        </is>
      </c>
      <c r="C37425">
        <f>ROMAN(37424)</f>
        <v/>
      </c>
      <c r="D37425">
        <f>IF(B37425=C37425, "YES", "WRONG")</f>
        <v/>
      </c>
    </row>
    <row r="37426">
      <c r="A37426" t="n">
        <v>37425</v>
      </c>
      <c r="B37426" t="inlineStr">
        <is>
          <t>x̄x̄x̄V̅MMCDXXV</t>
        </is>
      </c>
      <c r="C37426">
        <f>ROMAN(37425)</f>
        <v/>
      </c>
      <c r="D37426">
        <f>IF(B37426=C37426, "YES", "WRONG")</f>
        <v/>
      </c>
    </row>
    <row r="37427">
      <c r="A37427" t="n">
        <v>37426</v>
      </c>
      <c r="B37427" t="inlineStr">
        <is>
          <t>x̄x̄x̄V̅MMCDXXVI</t>
        </is>
      </c>
      <c r="C37427">
        <f>ROMAN(37426)</f>
        <v/>
      </c>
      <c r="D37427">
        <f>IF(B37427=C37427, "YES", "WRONG")</f>
        <v/>
      </c>
    </row>
    <row r="37428">
      <c r="A37428" t="n">
        <v>37427</v>
      </c>
      <c r="B37428" t="inlineStr">
        <is>
          <t>x̄x̄x̄V̅MMCDXXVII</t>
        </is>
      </c>
      <c r="C37428">
        <f>ROMAN(37427)</f>
        <v/>
      </c>
      <c r="D37428">
        <f>IF(B37428=C37428, "YES", "WRONG")</f>
        <v/>
      </c>
    </row>
    <row r="37429">
      <c r="A37429" t="n">
        <v>37428</v>
      </c>
      <c r="B37429" t="inlineStr">
        <is>
          <t>x̄x̄x̄V̅MMCDXXVIII</t>
        </is>
      </c>
      <c r="C37429">
        <f>ROMAN(37428)</f>
        <v/>
      </c>
      <c r="D37429">
        <f>IF(B37429=C37429, "YES", "WRONG")</f>
        <v/>
      </c>
    </row>
    <row r="37430">
      <c r="A37430" t="n">
        <v>37429</v>
      </c>
      <c r="B37430" t="inlineStr">
        <is>
          <t>x̄x̄x̄V̅MMCDXXIX</t>
        </is>
      </c>
      <c r="C37430">
        <f>ROMAN(37429)</f>
        <v/>
      </c>
      <c r="D37430">
        <f>IF(B37430=C37430, "YES", "WRONG")</f>
        <v/>
      </c>
    </row>
    <row r="37431">
      <c r="A37431" t="n">
        <v>37430</v>
      </c>
      <c r="B37431" t="inlineStr">
        <is>
          <t>x̄x̄x̄V̅MMCDXXX</t>
        </is>
      </c>
      <c r="C37431">
        <f>ROMAN(37430)</f>
        <v/>
      </c>
      <c r="D37431">
        <f>IF(B37431=C37431, "YES", "WRONG")</f>
        <v/>
      </c>
    </row>
    <row r="37432">
      <c r="A37432" t="n">
        <v>37431</v>
      </c>
      <c r="B37432" t="inlineStr">
        <is>
          <t>x̄x̄x̄V̅MMCDXXXI</t>
        </is>
      </c>
      <c r="C37432">
        <f>ROMAN(37431)</f>
        <v/>
      </c>
      <c r="D37432">
        <f>IF(B37432=C37432, "YES", "WRONG")</f>
        <v/>
      </c>
    </row>
    <row r="37433">
      <c r="A37433" t="n">
        <v>37432</v>
      </c>
      <c r="B37433" t="inlineStr">
        <is>
          <t>x̄x̄x̄V̅MMCDXXXII</t>
        </is>
      </c>
      <c r="C37433">
        <f>ROMAN(37432)</f>
        <v/>
      </c>
      <c r="D37433">
        <f>IF(B37433=C37433, "YES", "WRONG")</f>
        <v/>
      </c>
    </row>
    <row r="37434">
      <c r="A37434" t="n">
        <v>37433</v>
      </c>
      <c r="B37434" t="inlineStr">
        <is>
          <t>x̄x̄x̄V̅MMCDXXXIII</t>
        </is>
      </c>
      <c r="C37434">
        <f>ROMAN(37433)</f>
        <v/>
      </c>
      <c r="D37434">
        <f>IF(B37434=C37434, "YES", "WRONG")</f>
        <v/>
      </c>
    </row>
    <row r="37435">
      <c r="A37435" t="n">
        <v>37434</v>
      </c>
      <c r="B37435" t="inlineStr">
        <is>
          <t>x̄x̄x̄V̅MMCDXXXIV</t>
        </is>
      </c>
      <c r="C37435">
        <f>ROMAN(37434)</f>
        <v/>
      </c>
      <c r="D37435">
        <f>IF(B37435=C37435, "YES", "WRONG")</f>
        <v/>
      </c>
    </row>
    <row r="37436">
      <c r="A37436" t="n">
        <v>37435</v>
      </c>
      <c r="B37436" t="inlineStr">
        <is>
          <t>x̄x̄x̄V̅MMCDXXXV</t>
        </is>
      </c>
      <c r="C37436">
        <f>ROMAN(37435)</f>
        <v/>
      </c>
      <c r="D37436">
        <f>IF(B37436=C37436, "YES", "WRONG")</f>
        <v/>
      </c>
    </row>
    <row r="37437">
      <c r="A37437" t="n">
        <v>37436</v>
      </c>
      <c r="B37437" t="inlineStr">
        <is>
          <t>x̄x̄x̄V̅MMCDXXXVI</t>
        </is>
      </c>
      <c r="C37437">
        <f>ROMAN(37436)</f>
        <v/>
      </c>
      <c r="D37437">
        <f>IF(B37437=C37437, "YES", "WRONG")</f>
        <v/>
      </c>
    </row>
    <row r="37438">
      <c r="A37438" t="n">
        <v>37437</v>
      </c>
      <c r="B37438" t="inlineStr">
        <is>
          <t>x̄x̄x̄V̅MMCDXXXVII</t>
        </is>
      </c>
      <c r="C37438">
        <f>ROMAN(37437)</f>
        <v/>
      </c>
      <c r="D37438">
        <f>IF(B37438=C37438, "YES", "WRONG")</f>
        <v/>
      </c>
    </row>
    <row r="37439">
      <c r="A37439" t="n">
        <v>37438</v>
      </c>
      <c r="B37439" t="inlineStr">
        <is>
          <t>x̄x̄x̄V̅MMCDXXXVIII</t>
        </is>
      </c>
      <c r="C37439">
        <f>ROMAN(37438)</f>
        <v/>
      </c>
      <c r="D37439">
        <f>IF(B37439=C37439, "YES", "WRONG")</f>
        <v/>
      </c>
    </row>
    <row r="37440">
      <c r="A37440" t="n">
        <v>37439</v>
      </c>
      <c r="B37440" t="inlineStr">
        <is>
          <t>x̄x̄x̄V̅MMCDXXXIX</t>
        </is>
      </c>
      <c r="C37440">
        <f>ROMAN(37439)</f>
        <v/>
      </c>
      <c r="D37440">
        <f>IF(B37440=C37440, "YES", "WRONG")</f>
        <v/>
      </c>
    </row>
    <row r="37441">
      <c r="A37441" t="n">
        <v>37440</v>
      </c>
      <c r="B37441" t="inlineStr">
        <is>
          <t>x̄x̄x̄V̅MMCDXL</t>
        </is>
      </c>
      <c r="C37441">
        <f>ROMAN(37440)</f>
        <v/>
      </c>
      <c r="D37441">
        <f>IF(B37441=C37441, "YES", "WRONG")</f>
        <v/>
      </c>
    </row>
    <row r="37442">
      <c r="A37442" t="n">
        <v>37441</v>
      </c>
      <c r="B37442" t="inlineStr">
        <is>
          <t>x̄x̄x̄V̅MMCDXLI</t>
        </is>
      </c>
      <c r="C37442">
        <f>ROMAN(37441)</f>
        <v/>
      </c>
      <c r="D37442">
        <f>IF(B37442=C37442, "YES", "WRONG")</f>
        <v/>
      </c>
    </row>
    <row r="37443">
      <c r="A37443" t="n">
        <v>37442</v>
      </c>
      <c r="B37443" t="inlineStr">
        <is>
          <t>x̄x̄x̄V̅MMCDXLII</t>
        </is>
      </c>
      <c r="C37443">
        <f>ROMAN(37442)</f>
        <v/>
      </c>
      <c r="D37443">
        <f>IF(B37443=C37443, "YES", "WRONG")</f>
        <v/>
      </c>
    </row>
    <row r="37444">
      <c r="A37444" t="n">
        <v>37443</v>
      </c>
      <c r="B37444" t="inlineStr">
        <is>
          <t>x̄x̄x̄V̅MMCDXLIII</t>
        </is>
      </c>
      <c r="C37444">
        <f>ROMAN(37443)</f>
        <v/>
      </c>
      <c r="D37444">
        <f>IF(B37444=C37444, "YES", "WRONG")</f>
        <v/>
      </c>
    </row>
    <row r="37445">
      <c r="A37445" t="n">
        <v>37444</v>
      </c>
      <c r="B37445" t="inlineStr">
        <is>
          <t>x̄x̄x̄V̅MMCDXLIV</t>
        </is>
      </c>
      <c r="C37445">
        <f>ROMAN(37444)</f>
        <v/>
      </c>
      <c r="D37445">
        <f>IF(B37445=C37445, "YES", "WRONG")</f>
        <v/>
      </c>
    </row>
    <row r="37446">
      <c r="A37446" t="n">
        <v>37445</v>
      </c>
      <c r="B37446" t="inlineStr">
        <is>
          <t>x̄x̄x̄V̅MMCDXLV</t>
        </is>
      </c>
      <c r="C37446">
        <f>ROMAN(37445)</f>
        <v/>
      </c>
      <c r="D37446">
        <f>IF(B37446=C37446, "YES", "WRONG")</f>
        <v/>
      </c>
    </row>
    <row r="37447">
      <c r="A37447" t="n">
        <v>37446</v>
      </c>
      <c r="B37447" t="inlineStr">
        <is>
          <t>x̄x̄x̄V̅MMCDXLVI</t>
        </is>
      </c>
      <c r="C37447">
        <f>ROMAN(37446)</f>
        <v/>
      </c>
      <c r="D37447">
        <f>IF(B37447=C37447, "YES", "WRONG")</f>
        <v/>
      </c>
    </row>
    <row r="37448">
      <c r="A37448" t="n">
        <v>37447</v>
      </c>
      <c r="B37448" t="inlineStr">
        <is>
          <t>x̄x̄x̄V̅MMCDXLVII</t>
        </is>
      </c>
      <c r="C37448">
        <f>ROMAN(37447)</f>
        <v/>
      </c>
      <c r="D37448">
        <f>IF(B37448=C37448, "YES", "WRONG")</f>
        <v/>
      </c>
    </row>
    <row r="37449">
      <c r="A37449" t="n">
        <v>37448</v>
      </c>
      <c r="B37449" t="inlineStr">
        <is>
          <t>x̄x̄x̄V̅MMCDXLVIII</t>
        </is>
      </c>
      <c r="C37449">
        <f>ROMAN(37448)</f>
        <v/>
      </c>
      <c r="D37449">
        <f>IF(B37449=C37449, "YES", "WRONG")</f>
        <v/>
      </c>
    </row>
    <row r="37450">
      <c r="A37450" t="n">
        <v>37449</v>
      </c>
      <c r="B37450" t="inlineStr">
        <is>
          <t>x̄x̄x̄V̅MMCDXLIX</t>
        </is>
      </c>
      <c r="C37450">
        <f>ROMAN(37449)</f>
        <v/>
      </c>
      <c r="D37450">
        <f>IF(B37450=C37450, "YES", "WRONG")</f>
        <v/>
      </c>
    </row>
    <row r="37451">
      <c r="A37451" t="n">
        <v>37450</v>
      </c>
      <c r="B37451" t="inlineStr">
        <is>
          <t>x̄x̄x̄V̅MMCDL</t>
        </is>
      </c>
      <c r="C37451">
        <f>ROMAN(37450)</f>
        <v/>
      </c>
      <c r="D37451">
        <f>IF(B37451=C37451, "YES", "WRONG")</f>
        <v/>
      </c>
    </row>
    <row r="37452">
      <c r="A37452" t="n">
        <v>37451</v>
      </c>
      <c r="B37452" t="inlineStr">
        <is>
          <t>x̄x̄x̄V̅MMCDLI</t>
        </is>
      </c>
      <c r="C37452">
        <f>ROMAN(37451)</f>
        <v/>
      </c>
      <c r="D37452">
        <f>IF(B37452=C37452, "YES", "WRONG")</f>
        <v/>
      </c>
    </row>
    <row r="37453">
      <c r="A37453" t="n">
        <v>37452</v>
      </c>
      <c r="B37453" t="inlineStr">
        <is>
          <t>x̄x̄x̄V̅MMCDLII</t>
        </is>
      </c>
      <c r="C37453">
        <f>ROMAN(37452)</f>
        <v/>
      </c>
      <c r="D37453">
        <f>IF(B37453=C37453, "YES", "WRONG")</f>
        <v/>
      </c>
    </row>
    <row r="37454">
      <c r="A37454" t="n">
        <v>37453</v>
      </c>
      <c r="B37454" t="inlineStr">
        <is>
          <t>x̄x̄x̄V̅MMCDLIII</t>
        </is>
      </c>
      <c r="C37454">
        <f>ROMAN(37453)</f>
        <v/>
      </c>
      <c r="D37454">
        <f>IF(B37454=C37454, "YES", "WRONG")</f>
        <v/>
      </c>
    </row>
    <row r="37455">
      <c r="A37455" t="n">
        <v>37454</v>
      </c>
      <c r="B37455" t="inlineStr">
        <is>
          <t>x̄x̄x̄V̅MMCDLIV</t>
        </is>
      </c>
      <c r="C37455">
        <f>ROMAN(37454)</f>
        <v/>
      </c>
      <c r="D37455">
        <f>IF(B37455=C37455, "YES", "WRONG")</f>
        <v/>
      </c>
    </row>
    <row r="37456">
      <c r="A37456" t="n">
        <v>37455</v>
      </c>
      <c r="B37456" t="inlineStr">
        <is>
          <t>x̄x̄x̄V̅MMCDLV</t>
        </is>
      </c>
      <c r="C37456">
        <f>ROMAN(37455)</f>
        <v/>
      </c>
      <c r="D37456">
        <f>IF(B37456=C37456, "YES", "WRONG")</f>
        <v/>
      </c>
    </row>
    <row r="37457">
      <c r="A37457" t="n">
        <v>37456</v>
      </c>
      <c r="B37457" t="inlineStr">
        <is>
          <t>x̄x̄x̄V̅MMCDLVI</t>
        </is>
      </c>
      <c r="C37457">
        <f>ROMAN(37456)</f>
        <v/>
      </c>
      <c r="D37457">
        <f>IF(B37457=C37457, "YES", "WRONG")</f>
        <v/>
      </c>
    </row>
    <row r="37458">
      <c r="A37458" t="n">
        <v>37457</v>
      </c>
      <c r="B37458" t="inlineStr">
        <is>
          <t>x̄x̄x̄V̅MMCDLVII</t>
        </is>
      </c>
      <c r="C37458">
        <f>ROMAN(37457)</f>
        <v/>
      </c>
      <c r="D37458">
        <f>IF(B37458=C37458, "YES", "WRONG")</f>
        <v/>
      </c>
    </row>
    <row r="37459">
      <c r="A37459" t="n">
        <v>37458</v>
      </c>
      <c r="B37459" t="inlineStr">
        <is>
          <t>x̄x̄x̄V̅MMCDLVIII</t>
        </is>
      </c>
      <c r="C37459">
        <f>ROMAN(37458)</f>
        <v/>
      </c>
      <c r="D37459">
        <f>IF(B37459=C37459, "YES", "WRONG")</f>
        <v/>
      </c>
    </row>
    <row r="37460">
      <c r="A37460" t="n">
        <v>37459</v>
      </c>
      <c r="B37460" t="inlineStr">
        <is>
          <t>x̄x̄x̄V̅MMCDLIX</t>
        </is>
      </c>
      <c r="C37460">
        <f>ROMAN(37459)</f>
        <v/>
      </c>
      <c r="D37460">
        <f>IF(B37460=C37460, "YES", "WRONG")</f>
        <v/>
      </c>
    </row>
    <row r="37461">
      <c r="A37461" t="n">
        <v>37460</v>
      </c>
      <c r="B37461" t="inlineStr">
        <is>
          <t>x̄x̄x̄V̅MMCDLX</t>
        </is>
      </c>
      <c r="C37461">
        <f>ROMAN(37460)</f>
        <v/>
      </c>
      <c r="D37461">
        <f>IF(B37461=C37461, "YES", "WRONG")</f>
        <v/>
      </c>
    </row>
    <row r="37462">
      <c r="A37462" t="n">
        <v>37461</v>
      </c>
      <c r="B37462" t="inlineStr">
        <is>
          <t>x̄x̄x̄V̅MMCDLXI</t>
        </is>
      </c>
      <c r="C37462">
        <f>ROMAN(37461)</f>
        <v/>
      </c>
      <c r="D37462">
        <f>IF(B37462=C37462, "YES", "WRONG")</f>
        <v/>
      </c>
    </row>
    <row r="37463">
      <c r="A37463" t="n">
        <v>37462</v>
      </c>
      <c r="B37463" t="inlineStr">
        <is>
          <t>x̄x̄x̄V̅MMCDLXII</t>
        </is>
      </c>
      <c r="C37463">
        <f>ROMAN(37462)</f>
        <v/>
      </c>
      <c r="D37463">
        <f>IF(B37463=C37463, "YES", "WRONG")</f>
        <v/>
      </c>
    </row>
    <row r="37464">
      <c r="A37464" t="n">
        <v>37463</v>
      </c>
      <c r="B37464" t="inlineStr">
        <is>
          <t>x̄x̄x̄V̅MMCDLXIII</t>
        </is>
      </c>
      <c r="C37464">
        <f>ROMAN(37463)</f>
        <v/>
      </c>
      <c r="D37464">
        <f>IF(B37464=C37464, "YES", "WRONG")</f>
        <v/>
      </c>
    </row>
    <row r="37465">
      <c r="A37465" t="n">
        <v>37464</v>
      </c>
      <c r="B37465" t="inlineStr">
        <is>
          <t>x̄x̄x̄V̅MMCDLXIV</t>
        </is>
      </c>
      <c r="C37465">
        <f>ROMAN(37464)</f>
        <v/>
      </c>
      <c r="D37465">
        <f>IF(B37465=C37465, "YES", "WRONG")</f>
        <v/>
      </c>
    </row>
    <row r="37466">
      <c r="A37466" t="n">
        <v>37465</v>
      </c>
      <c r="B37466" t="inlineStr">
        <is>
          <t>x̄x̄x̄V̅MMCDLXV</t>
        </is>
      </c>
      <c r="C37466">
        <f>ROMAN(37465)</f>
        <v/>
      </c>
      <c r="D37466">
        <f>IF(B37466=C37466, "YES", "WRONG")</f>
        <v/>
      </c>
    </row>
    <row r="37467">
      <c r="A37467" t="n">
        <v>37466</v>
      </c>
      <c r="B37467" t="inlineStr">
        <is>
          <t>x̄x̄x̄V̅MMCDLXVI</t>
        </is>
      </c>
      <c r="C37467">
        <f>ROMAN(37466)</f>
        <v/>
      </c>
      <c r="D37467">
        <f>IF(B37467=C37467, "YES", "WRONG")</f>
        <v/>
      </c>
    </row>
    <row r="37468">
      <c r="A37468" t="n">
        <v>37467</v>
      </c>
      <c r="B37468" t="inlineStr">
        <is>
          <t>x̄x̄x̄V̅MMCDLXVII</t>
        </is>
      </c>
      <c r="C37468">
        <f>ROMAN(37467)</f>
        <v/>
      </c>
      <c r="D37468">
        <f>IF(B37468=C37468, "YES", "WRONG")</f>
        <v/>
      </c>
    </row>
    <row r="37469">
      <c r="A37469" t="n">
        <v>37468</v>
      </c>
      <c r="B37469" t="inlineStr">
        <is>
          <t>x̄x̄x̄V̅MMCDLXVIII</t>
        </is>
      </c>
      <c r="C37469">
        <f>ROMAN(37468)</f>
        <v/>
      </c>
      <c r="D37469">
        <f>IF(B37469=C37469, "YES", "WRONG")</f>
        <v/>
      </c>
    </row>
    <row r="37470">
      <c r="A37470" t="n">
        <v>37469</v>
      </c>
      <c r="B37470" t="inlineStr">
        <is>
          <t>x̄x̄x̄V̅MMCDLXIX</t>
        </is>
      </c>
      <c r="C37470">
        <f>ROMAN(37469)</f>
        <v/>
      </c>
      <c r="D37470">
        <f>IF(B37470=C37470, "YES", "WRONG")</f>
        <v/>
      </c>
    </row>
    <row r="37471">
      <c r="A37471" t="n">
        <v>37470</v>
      </c>
      <c r="B37471" t="inlineStr">
        <is>
          <t>x̄x̄x̄V̅MMCDLXX</t>
        </is>
      </c>
      <c r="C37471">
        <f>ROMAN(37470)</f>
        <v/>
      </c>
      <c r="D37471">
        <f>IF(B37471=C37471, "YES", "WRONG")</f>
        <v/>
      </c>
    </row>
    <row r="37472">
      <c r="A37472" t="n">
        <v>37471</v>
      </c>
      <c r="B37472" t="inlineStr">
        <is>
          <t>x̄x̄x̄V̅MMCDLXXI</t>
        </is>
      </c>
      <c r="C37472">
        <f>ROMAN(37471)</f>
        <v/>
      </c>
      <c r="D37472">
        <f>IF(B37472=C37472, "YES", "WRONG")</f>
        <v/>
      </c>
    </row>
    <row r="37473">
      <c r="A37473" t="n">
        <v>37472</v>
      </c>
      <c r="B37473" t="inlineStr">
        <is>
          <t>x̄x̄x̄V̅MMCDLXXII</t>
        </is>
      </c>
      <c r="C37473">
        <f>ROMAN(37472)</f>
        <v/>
      </c>
      <c r="D37473">
        <f>IF(B37473=C37473, "YES", "WRONG")</f>
        <v/>
      </c>
    </row>
    <row r="37474">
      <c r="A37474" t="n">
        <v>37473</v>
      </c>
      <c r="B37474" t="inlineStr">
        <is>
          <t>x̄x̄x̄V̅MMCDLXXIII</t>
        </is>
      </c>
      <c r="C37474">
        <f>ROMAN(37473)</f>
        <v/>
      </c>
      <c r="D37474">
        <f>IF(B37474=C37474, "YES", "WRONG")</f>
        <v/>
      </c>
    </row>
    <row r="37475">
      <c r="A37475" t="n">
        <v>37474</v>
      </c>
      <c r="B37475" t="inlineStr">
        <is>
          <t>x̄x̄x̄V̅MMCDLXXIV</t>
        </is>
      </c>
      <c r="C37475">
        <f>ROMAN(37474)</f>
        <v/>
      </c>
      <c r="D37475">
        <f>IF(B37475=C37475, "YES", "WRONG")</f>
        <v/>
      </c>
    </row>
    <row r="37476">
      <c r="A37476" t="n">
        <v>37475</v>
      </c>
      <c r="B37476" t="inlineStr">
        <is>
          <t>x̄x̄x̄V̅MMCDLXXV</t>
        </is>
      </c>
      <c r="C37476">
        <f>ROMAN(37475)</f>
        <v/>
      </c>
      <c r="D37476">
        <f>IF(B37476=C37476, "YES", "WRONG")</f>
        <v/>
      </c>
    </row>
    <row r="37477">
      <c r="A37477" t="n">
        <v>37476</v>
      </c>
      <c r="B37477" t="inlineStr">
        <is>
          <t>x̄x̄x̄V̅MMCDLXXVI</t>
        </is>
      </c>
      <c r="C37477">
        <f>ROMAN(37476)</f>
        <v/>
      </c>
      <c r="D37477">
        <f>IF(B37477=C37477, "YES", "WRONG")</f>
        <v/>
      </c>
    </row>
    <row r="37478">
      <c r="A37478" t="n">
        <v>37477</v>
      </c>
      <c r="B37478" t="inlineStr">
        <is>
          <t>x̄x̄x̄V̅MMCDLXXVII</t>
        </is>
      </c>
      <c r="C37478">
        <f>ROMAN(37477)</f>
        <v/>
      </c>
      <c r="D37478">
        <f>IF(B37478=C37478, "YES", "WRONG")</f>
        <v/>
      </c>
    </row>
    <row r="37479">
      <c r="A37479" t="n">
        <v>37478</v>
      </c>
      <c r="B37479" t="inlineStr">
        <is>
          <t>x̄x̄x̄V̅MMCDLXXVIII</t>
        </is>
      </c>
      <c r="C37479">
        <f>ROMAN(37478)</f>
        <v/>
      </c>
      <c r="D37479">
        <f>IF(B37479=C37479, "YES", "WRONG")</f>
        <v/>
      </c>
    </row>
    <row r="37480">
      <c r="A37480" t="n">
        <v>37479</v>
      </c>
      <c r="B37480" t="inlineStr">
        <is>
          <t>x̄x̄x̄V̅MMCDLXXIX</t>
        </is>
      </c>
      <c r="C37480">
        <f>ROMAN(37479)</f>
        <v/>
      </c>
      <c r="D37480">
        <f>IF(B37480=C37480, "YES", "WRONG")</f>
        <v/>
      </c>
    </row>
    <row r="37481">
      <c r="A37481" t="n">
        <v>37480</v>
      </c>
      <c r="B37481" t="inlineStr">
        <is>
          <t>x̄x̄x̄V̅MMCDLXXX</t>
        </is>
      </c>
      <c r="C37481">
        <f>ROMAN(37480)</f>
        <v/>
      </c>
      <c r="D37481">
        <f>IF(B37481=C37481, "YES", "WRONG")</f>
        <v/>
      </c>
    </row>
    <row r="37482">
      <c r="A37482" t="n">
        <v>37481</v>
      </c>
      <c r="B37482" t="inlineStr">
        <is>
          <t>x̄x̄x̄V̅MMCDLXXXI</t>
        </is>
      </c>
      <c r="C37482">
        <f>ROMAN(37481)</f>
        <v/>
      </c>
      <c r="D37482">
        <f>IF(B37482=C37482, "YES", "WRONG")</f>
        <v/>
      </c>
    </row>
    <row r="37483">
      <c r="A37483" t="n">
        <v>37482</v>
      </c>
      <c r="B37483" t="inlineStr">
        <is>
          <t>x̄x̄x̄V̅MMCDLXXXII</t>
        </is>
      </c>
      <c r="C37483">
        <f>ROMAN(37482)</f>
        <v/>
      </c>
      <c r="D37483">
        <f>IF(B37483=C37483, "YES", "WRONG")</f>
        <v/>
      </c>
    </row>
    <row r="37484">
      <c r="A37484" t="n">
        <v>37483</v>
      </c>
      <c r="B37484" t="inlineStr">
        <is>
          <t>x̄x̄x̄V̅MMCDLXXXIII</t>
        </is>
      </c>
      <c r="C37484">
        <f>ROMAN(37483)</f>
        <v/>
      </c>
      <c r="D37484">
        <f>IF(B37484=C37484, "YES", "WRONG")</f>
        <v/>
      </c>
    </row>
    <row r="37485">
      <c r="A37485" t="n">
        <v>37484</v>
      </c>
      <c r="B37485" t="inlineStr">
        <is>
          <t>x̄x̄x̄V̅MMCDLXXXIV</t>
        </is>
      </c>
      <c r="C37485">
        <f>ROMAN(37484)</f>
        <v/>
      </c>
      <c r="D37485">
        <f>IF(B37485=C37485, "YES", "WRONG")</f>
        <v/>
      </c>
    </row>
    <row r="37486">
      <c r="A37486" t="n">
        <v>37485</v>
      </c>
      <c r="B37486" t="inlineStr">
        <is>
          <t>x̄x̄x̄V̅MMCDLXXXV</t>
        </is>
      </c>
      <c r="C37486">
        <f>ROMAN(37485)</f>
        <v/>
      </c>
      <c r="D37486">
        <f>IF(B37486=C37486, "YES", "WRONG")</f>
        <v/>
      </c>
    </row>
    <row r="37487">
      <c r="A37487" t="n">
        <v>37486</v>
      </c>
      <c r="B37487" t="inlineStr">
        <is>
          <t>x̄x̄x̄V̅MMCDLXXXVI</t>
        </is>
      </c>
      <c r="C37487">
        <f>ROMAN(37486)</f>
        <v/>
      </c>
      <c r="D37487">
        <f>IF(B37487=C37487, "YES", "WRONG")</f>
        <v/>
      </c>
    </row>
    <row r="37488">
      <c r="A37488" t="n">
        <v>37487</v>
      </c>
      <c r="B37488" t="inlineStr">
        <is>
          <t>x̄x̄x̄V̅MMCDLXXXVII</t>
        </is>
      </c>
      <c r="C37488">
        <f>ROMAN(37487)</f>
        <v/>
      </c>
      <c r="D37488">
        <f>IF(B37488=C37488, "YES", "WRONG")</f>
        <v/>
      </c>
    </row>
    <row r="37489">
      <c r="A37489" t="n">
        <v>37488</v>
      </c>
      <c r="B37489" t="inlineStr">
        <is>
          <t>x̄x̄x̄V̅MMCDLXXXVIII</t>
        </is>
      </c>
      <c r="C37489">
        <f>ROMAN(37488)</f>
        <v/>
      </c>
      <c r="D37489">
        <f>IF(B37489=C37489, "YES", "WRONG")</f>
        <v/>
      </c>
    </row>
    <row r="37490">
      <c r="A37490" t="n">
        <v>37489</v>
      </c>
      <c r="B37490" t="inlineStr">
        <is>
          <t>x̄x̄x̄V̅MMCDLXXXIX</t>
        </is>
      </c>
      <c r="C37490">
        <f>ROMAN(37489)</f>
        <v/>
      </c>
      <c r="D37490">
        <f>IF(B37490=C37490, "YES", "WRONG")</f>
        <v/>
      </c>
    </row>
    <row r="37491">
      <c r="A37491" t="n">
        <v>37490</v>
      </c>
      <c r="B37491" t="inlineStr">
        <is>
          <t>x̄x̄x̄V̅MMCDXC</t>
        </is>
      </c>
      <c r="C37491">
        <f>ROMAN(37490)</f>
        <v/>
      </c>
      <c r="D37491">
        <f>IF(B37491=C37491, "YES", "WRONG")</f>
        <v/>
      </c>
    </row>
    <row r="37492">
      <c r="A37492" t="n">
        <v>37491</v>
      </c>
      <c r="B37492" t="inlineStr">
        <is>
          <t>x̄x̄x̄V̅MMCDXCI</t>
        </is>
      </c>
      <c r="C37492">
        <f>ROMAN(37491)</f>
        <v/>
      </c>
      <c r="D37492">
        <f>IF(B37492=C37492, "YES", "WRONG")</f>
        <v/>
      </c>
    </row>
    <row r="37493">
      <c r="A37493" t="n">
        <v>37492</v>
      </c>
      <c r="B37493" t="inlineStr">
        <is>
          <t>x̄x̄x̄V̅MMCDXCII</t>
        </is>
      </c>
      <c r="C37493">
        <f>ROMAN(37492)</f>
        <v/>
      </c>
      <c r="D37493">
        <f>IF(B37493=C37493, "YES", "WRONG")</f>
        <v/>
      </c>
    </row>
    <row r="37494">
      <c r="A37494" t="n">
        <v>37493</v>
      </c>
      <c r="B37494" t="inlineStr">
        <is>
          <t>x̄x̄x̄V̅MMCDXCIII</t>
        </is>
      </c>
      <c r="C37494">
        <f>ROMAN(37493)</f>
        <v/>
      </c>
      <c r="D37494">
        <f>IF(B37494=C37494, "YES", "WRONG")</f>
        <v/>
      </c>
    </row>
    <row r="37495">
      <c r="A37495" t="n">
        <v>37494</v>
      </c>
      <c r="B37495" t="inlineStr">
        <is>
          <t>x̄x̄x̄V̅MMCDXCIV</t>
        </is>
      </c>
      <c r="C37495">
        <f>ROMAN(37494)</f>
        <v/>
      </c>
      <c r="D37495">
        <f>IF(B37495=C37495, "YES", "WRONG")</f>
        <v/>
      </c>
    </row>
    <row r="37496">
      <c r="A37496" t="n">
        <v>37495</v>
      </c>
      <c r="B37496" t="inlineStr">
        <is>
          <t>x̄x̄x̄V̅MMCDXCV</t>
        </is>
      </c>
      <c r="C37496">
        <f>ROMAN(37495)</f>
        <v/>
      </c>
      <c r="D37496">
        <f>IF(B37496=C37496, "YES", "WRONG")</f>
        <v/>
      </c>
    </row>
    <row r="37497">
      <c r="A37497" t="n">
        <v>37496</v>
      </c>
      <c r="B37497" t="inlineStr">
        <is>
          <t>x̄x̄x̄V̅MMCDXCVI</t>
        </is>
      </c>
      <c r="C37497">
        <f>ROMAN(37496)</f>
        <v/>
      </c>
      <c r="D37497">
        <f>IF(B37497=C37497, "YES", "WRONG")</f>
        <v/>
      </c>
    </row>
    <row r="37498">
      <c r="A37498" t="n">
        <v>37497</v>
      </c>
      <c r="B37498" t="inlineStr">
        <is>
          <t>x̄x̄x̄V̅MMCDXCVII</t>
        </is>
      </c>
      <c r="C37498">
        <f>ROMAN(37497)</f>
        <v/>
      </c>
      <c r="D37498">
        <f>IF(B37498=C37498, "YES", "WRONG")</f>
        <v/>
      </c>
    </row>
    <row r="37499">
      <c r="A37499" t="n">
        <v>37498</v>
      </c>
      <c r="B37499" t="inlineStr">
        <is>
          <t>x̄x̄x̄V̅MMCDXCVIII</t>
        </is>
      </c>
      <c r="C37499">
        <f>ROMAN(37498)</f>
        <v/>
      </c>
      <c r="D37499">
        <f>IF(B37499=C37499, "YES", "WRONG")</f>
        <v/>
      </c>
    </row>
    <row r="37500">
      <c r="A37500" t="n">
        <v>37499</v>
      </c>
      <c r="B37500" t="inlineStr">
        <is>
          <t>x̄x̄x̄V̅MMCDXCIX</t>
        </is>
      </c>
      <c r="C37500">
        <f>ROMAN(37499)</f>
        <v/>
      </c>
      <c r="D37500">
        <f>IF(B37500=C37500, "YES", "WRONG")</f>
        <v/>
      </c>
    </row>
    <row r="37501">
      <c r="A37501" t="n">
        <v>37500</v>
      </c>
      <c r="B37501" t="inlineStr">
        <is>
          <t>x̄x̄x̄V̅MMD</t>
        </is>
      </c>
      <c r="C37501">
        <f>ROMAN(37500)</f>
        <v/>
      </c>
      <c r="D37501">
        <f>IF(B37501=C37501, "YES", "WRONG")</f>
        <v/>
      </c>
    </row>
    <row r="37502">
      <c r="A37502" t="n">
        <v>37501</v>
      </c>
      <c r="B37502" t="inlineStr">
        <is>
          <t>x̄x̄x̄V̅MMDI</t>
        </is>
      </c>
      <c r="C37502">
        <f>ROMAN(37501)</f>
        <v/>
      </c>
      <c r="D37502">
        <f>IF(B37502=C37502, "YES", "WRONG")</f>
        <v/>
      </c>
    </row>
    <row r="37503">
      <c r="A37503" t="n">
        <v>37502</v>
      </c>
      <c r="B37503" t="inlineStr">
        <is>
          <t>x̄x̄x̄V̅MMDII</t>
        </is>
      </c>
      <c r="C37503">
        <f>ROMAN(37502)</f>
        <v/>
      </c>
      <c r="D37503">
        <f>IF(B37503=C37503, "YES", "WRONG")</f>
        <v/>
      </c>
    </row>
    <row r="37504">
      <c r="A37504" t="n">
        <v>37503</v>
      </c>
      <c r="B37504" t="inlineStr">
        <is>
          <t>x̄x̄x̄V̅MMDIII</t>
        </is>
      </c>
      <c r="C37504">
        <f>ROMAN(37503)</f>
        <v/>
      </c>
      <c r="D37504">
        <f>IF(B37504=C37504, "YES", "WRONG")</f>
        <v/>
      </c>
    </row>
    <row r="37505">
      <c r="A37505" t="n">
        <v>37504</v>
      </c>
      <c r="B37505" t="inlineStr">
        <is>
          <t>x̄x̄x̄V̅MMDIV</t>
        </is>
      </c>
      <c r="C37505">
        <f>ROMAN(37504)</f>
        <v/>
      </c>
      <c r="D37505">
        <f>IF(B37505=C37505, "YES", "WRONG")</f>
        <v/>
      </c>
    </row>
    <row r="37506">
      <c r="A37506" t="n">
        <v>37505</v>
      </c>
      <c r="B37506" t="inlineStr">
        <is>
          <t>x̄x̄x̄V̅MMDV</t>
        </is>
      </c>
      <c r="C37506">
        <f>ROMAN(37505)</f>
        <v/>
      </c>
      <c r="D37506">
        <f>IF(B37506=C37506, "YES", "WRONG")</f>
        <v/>
      </c>
    </row>
    <row r="37507">
      <c r="A37507" t="n">
        <v>37506</v>
      </c>
      <c r="B37507" t="inlineStr">
        <is>
          <t>x̄x̄x̄V̅MMDVI</t>
        </is>
      </c>
      <c r="C37507">
        <f>ROMAN(37506)</f>
        <v/>
      </c>
      <c r="D37507">
        <f>IF(B37507=C37507, "YES", "WRONG")</f>
        <v/>
      </c>
    </row>
    <row r="37508">
      <c r="A37508" t="n">
        <v>37507</v>
      </c>
      <c r="B37508" t="inlineStr">
        <is>
          <t>x̄x̄x̄V̅MMDVII</t>
        </is>
      </c>
      <c r="C37508">
        <f>ROMAN(37507)</f>
        <v/>
      </c>
      <c r="D37508">
        <f>IF(B37508=C37508, "YES", "WRONG")</f>
        <v/>
      </c>
    </row>
    <row r="37509">
      <c r="A37509" t="n">
        <v>37508</v>
      </c>
      <c r="B37509" t="inlineStr">
        <is>
          <t>x̄x̄x̄V̅MMDVIII</t>
        </is>
      </c>
      <c r="C37509">
        <f>ROMAN(37508)</f>
        <v/>
      </c>
      <c r="D37509">
        <f>IF(B37509=C37509, "YES", "WRONG")</f>
        <v/>
      </c>
    </row>
    <row r="37510">
      <c r="A37510" t="n">
        <v>37509</v>
      </c>
      <c r="B37510" t="inlineStr">
        <is>
          <t>x̄x̄x̄V̅MMDIX</t>
        </is>
      </c>
      <c r="C37510">
        <f>ROMAN(37509)</f>
        <v/>
      </c>
      <c r="D37510">
        <f>IF(B37510=C37510, "YES", "WRONG")</f>
        <v/>
      </c>
    </row>
    <row r="37511">
      <c r="A37511" t="n">
        <v>37510</v>
      </c>
      <c r="B37511" t="inlineStr">
        <is>
          <t>x̄x̄x̄V̅MMDX</t>
        </is>
      </c>
      <c r="C37511">
        <f>ROMAN(37510)</f>
        <v/>
      </c>
      <c r="D37511">
        <f>IF(B37511=C37511, "YES", "WRONG")</f>
        <v/>
      </c>
    </row>
    <row r="37512">
      <c r="A37512" t="n">
        <v>37511</v>
      </c>
      <c r="B37512" t="inlineStr">
        <is>
          <t>x̄x̄x̄V̅MMDXI</t>
        </is>
      </c>
      <c r="C37512">
        <f>ROMAN(37511)</f>
        <v/>
      </c>
      <c r="D37512">
        <f>IF(B37512=C37512, "YES", "WRONG")</f>
        <v/>
      </c>
    </row>
    <row r="37513">
      <c r="A37513" t="n">
        <v>37512</v>
      </c>
      <c r="B37513" t="inlineStr">
        <is>
          <t>x̄x̄x̄V̅MMDXII</t>
        </is>
      </c>
      <c r="C37513">
        <f>ROMAN(37512)</f>
        <v/>
      </c>
      <c r="D37513">
        <f>IF(B37513=C37513, "YES", "WRONG")</f>
        <v/>
      </c>
    </row>
    <row r="37514">
      <c r="A37514" t="n">
        <v>37513</v>
      </c>
      <c r="B37514" t="inlineStr">
        <is>
          <t>x̄x̄x̄V̅MMDXIII</t>
        </is>
      </c>
      <c r="C37514">
        <f>ROMAN(37513)</f>
        <v/>
      </c>
      <c r="D37514">
        <f>IF(B37514=C37514, "YES", "WRONG")</f>
        <v/>
      </c>
    </row>
    <row r="37515">
      <c r="A37515" t="n">
        <v>37514</v>
      </c>
      <c r="B37515" t="inlineStr">
        <is>
          <t>x̄x̄x̄V̅MMDXIV</t>
        </is>
      </c>
      <c r="C37515">
        <f>ROMAN(37514)</f>
        <v/>
      </c>
      <c r="D37515">
        <f>IF(B37515=C37515, "YES", "WRONG")</f>
        <v/>
      </c>
    </row>
    <row r="37516">
      <c r="A37516" t="n">
        <v>37515</v>
      </c>
      <c r="B37516" t="inlineStr">
        <is>
          <t>x̄x̄x̄V̅MMDXV</t>
        </is>
      </c>
      <c r="C37516">
        <f>ROMAN(37515)</f>
        <v/>
      </c>
      <c r="D37516">
        <f>IF(B37516=C37516, "YES", "WRONG")</f>
        <v/>
      </c>
    </row>
    <row r="37517">
      <c r="A37517" t="n">
        <v>37516</v>
      </c>
      <c r="B37517" t="inlineStr">
        <is>
          <t>x̄x̄x̄V̅MMDXVI</t>
        </is>
      </c>
      <c r="C37517">
        <f>ROMAN(37516)</f>
        <v/>
      </c>
      <c r="D37517">
        <f>IF(B37517=C37517, "YES", "WRONG")</f>
        <v/>
      </c>
    </row>
    <row r="37518">
      <c r="A37518" t="n">
        <v>37517</v>
      </c>
      <c r="B37518" t="inlineStr">
        <is>
          <t>x̄x̄x̄V̅MMDXVII</t>
        </is>
      </c>
      <c r="C37518">
        <f>ROMAN(37517)</f>
        <v/>
      </c>
      <c r="D37518">
        <f>IF(B37518=C37518, "YES", "WRONG")</f>
        <v/>
      </c>
    </row>
    <row r="37519">
      <c r="A37519" t="n">
        <v>37518</v>
      </c>
      <c r="B37519" t="inlineStr">
        <is>
          <t>x̄x̄x̄V̅MMDXVIII</t>
        </is>
      </c>
      <c r="C37519">
        <f>ROMAN(37518)</f>
        <v/>
      </c>
      <c r="D37519">
        <f>IF(B37519=C37519, "YES", "WRONG")</f>
        <v/>
      </c>
    </row>
    <row r="37520">
      <c r="A37520" t="n">
        <v>37519</v>
      </c>
      <c r="B37520" t="inlineStr">
        <is>
          <t>x̄x̄x̄V̅MMDXIX</t>
        </is>
      </c>
      <c r="C37520">
        <f>ROMAN(37519)</f>
        <v/>
      </c>
      <c r="D37520">
        <f>IF(B37520=C37520, "YES", "WRONG")</f>
        <v/>
      </c>
    </row>
    <row r="37521">
      <c r="A37521" t="n">
        <v>37520</v>
      </c>
      <c r="B37521" t="inlineStr">
        <is>
          <t>x̄x̄x̄V̅MMDXX</t>
        </is>
      </c>
      <c r="C37521">
        <f>ROMAN(37520)</f>
        <v/>
      </c>
      <c r="D37521">
        <f>IF(B37521=C37521, "YES", "WRONG")</f>
        <v/>
      </c>
    </row>
    <row r="37522">
      <c r="A37522" t="n">
        <v>37521</v>
      </c>
      <c r="B37522" t="inlineStr">
        <is>
          <t>x̄x̄x̄V̅MMDXXI</t>
        </is>
      </c>
      <c r="C37522">
        <f>ROMAN(37521)</f>
        <v/>
      </c>
      <c r="D37522">
        <f>IF(B37522=C37522, "YES", "WRONG")</f>
        <v/>
      </c>
    </row>
    <row r="37523">
      <c r="A37523" t="n">
        <v>37522</v>
      </c>
      <c r="B37523" t="inlineStr">
        <is>
          <t>x̄x̄x̄V̅MMDXXII</t>
        </is>
      </c>
      <c r="C37523">
        <f>ROMAN(37522)</f>
        <v/>
      </c>
      <c r="D37523">
        <f>IF(B37523=C37523, "YES", "WRONG")</f>
        <v/>
      </c>
    </row>
    <row r="37524">
      <c r="A37524" t="n">
        <v>37523</v>
      </c>
      <c r="B37524" t="inlineStr">
        <is>
          <t>x̄x̄x̄V̅MMDXXIII</t>
        </is>
      </c>
      <c r="C37524">
        <f>ROMAN(37523)</f>
        <v/>
      </c>
      <c r="D37524">
        <f>IF(B37524=C37524, "YES", "WRONG")</f>
        <v/>
      </c>
    </row>
    <row r="37525">
      <c r="A37525" t="n">
        <v>37524</v>
      </c>
      <c r="B37525" t="inlineStr">
        <is>
          <t>x̄x̄x̄V̅MMDXXIV</t>
        </is>
      </c>
      <c r="C37525">
        <f>ROMAN(37524)</f>
        <v/>
      </c>
      <c r="D37525">
        <f>IF(B37525=C37525, "YES", "WRONG")</f>
        <v/>
      </c>
    </row>
    <row r="37526">
      <c r="A37526" t="n">
        <v>37525</v>
      </c>
      <c r="B37526" t="inlineStr">
        <is>
          <t>x̄x̄x̄V̅MMDXXV</t>
        </is>
      </c>
      <c r="C37526">
        <f>ROMAN(37525)</f>
        <v/>
      </c>
      <c r="D37526">
        <f>IF(B37526=C37526, "YES", "WRONG")</f>
        <v/>
      </c>
    </row>
    <row r="37527">
      <c r="A37527" t="n">
        <v>37526</v>
      </c>
      <c r="B37527" t="inlineStr">
        <is>
          <t>x̄x̄x̄V̅MMDXXVI</t>
        </is>
      </c>
      <c r="C37527">
        <f>ROMAN(37526)</f>
        <v/>
      </c>
      <c r="D37527">
        <f>IF(B37527=C37527, "YES", "WRONG")</f>
        <v/>
      </c>
    </row>
    <row r="37528">
      <c r="A37528" t="n">
        <v>37527</v>
      </c>
      <c r="B37528" t="inlineStr">
        <is>
          <t>x̄x̄x̄V̅MMDXXVII</t>
        </is>
      </c>
      <c r="C37528">
        <f>ROMAN(37527)</f>
        <v/>
      </c>
      <c r="D37528">
        <f>IF(B37528=C37528, "YES", "WRONG")</f>
        <v/>
      </c>
    </row>
    <row r="37529">
      <c r="A37529" t="n">
        <v>37528</v>
      </c>
      <c r="B37529" t="inlineStr">
        <is>
          <t>x̄x̄x̄V̅MMDXXVIII</t>
        </is>
      </c>
      <c r="C37529">
        <f>ROMAN(37528)</f>
        <v/>
      </c>
      <c r="D37529">
        <f>IF(B37529=C37529, "YES", "WRONG")</f>
        <v/>
      </c>
    </row>
    <row r="37530">
      <c r="A37530" t="n">
        <v>37529</v>
      </c>
      <c r="B37530" t="inlineStr">
        <is>
          <t>x̄x̄x̄V̅MMDXXIX</t>
        </is>
      </c>
      <c r="C37530">
        <f>ROMAN(37529)</f>
        <v/>
      </c>
      <c r="D37530">
        <f>IF(B37530=C37530, "YES", "WRONG")</f>
        <v/>
      </c>
    </row>
    <row r="37531">
      <c r="A37531" t="n">
        <v>37530</v>
      </c>
      <c r="B37531" t="inlineStr">
        <is>
          <t>x̄x̄x̄V̅MMDXXX</t>
        </is>
      </c>
      <c r="C37531">
        <f>ROMAN(37530)</f>
        <v/>
      </c>
      <c r="D37531">
        <f>IF(B37531=C37531, "YES", "WRONG")</f>
        <v/>
      </c>
    </row>
    <row r="37532">
      <c r="A37532" t="n">
        <v>37531</v>
      </c>
      <c r="B37532" t="inlineStr">
        <is>
          <t>x̄x̄x̄V̅MMDXXXI</t>
        </is>
      </c>
      <c r="C37532">
        <f>ROMAN(37531)</f>
        <v/>
      </c>
      <c r="D37532">
        <f>IF(B37532=C37532, "YES", "WRONG")</f>
        <v/>
      </c>
    </row>
    <row r="37533">
      <c r="A37533" t="n">
        <v>37532</v>
      </c>
      <c r="B37533" t="inlineStr">
        <is>
          <t>x̄x̄x̄V̅MMDXXXII</t>
        </is>
      </c>
      <c r="C37533">
        <f>ROMAN(37532)</f>
        <v/>
      </c>
      <c r="D37533">
        <f>IF(B37533=C37533, "YES", "WRONG")</f>
        <v/>
      </c>
    </row>
    <row r="37534">
      <c r="A37534" t="n">
        <v>37533</v>
      </c>
      <c r="B37534" t="inlineStr">
        <is>
          <t>x̄x̄x̄V̅MMDXXXIII</t>
        </is>
      </c>
      <c r="C37534">
        <f>ROMAN(37533)</f>
        <v/>
      </c>
      <c r="D37534">
        <f>IF(B37534=C37534, "YES", "WRONG")</f>
        <v/>
      </c>
    </row>
    <row r="37535">
      <c r="A37535" t="n">
        <v>37534</v>
      </c>
      <c r="B37535" t="inlineStr">
        <is>
          <t>x̄x̄x̄V̅MMDXXXIV</t>
        </is>
      </c>
      <c r="C37535">
        <f>ROMAN(37534)</f>
        <v/>
      </c>
      <c r="D37535">
        <f>IF(B37535=C37535, "YES", "WRONG")</f>
        <v/>
      </c>
    </row>
    <row r="37536">
      <c r="A37536" t="n">
        <v>37535</v>
      </c>
      <c r="B37536" t="inlineStr">
        <is>
          <t>x̄x̄x̄V̅MMDXXXV</t>
        </is>
      </c>
      <c r="C37536">
        <f>ROMAN(37535)</f>
        <v/>
      </c>
      <c r="D37536">
        <f>IF(B37536=C37536, "YES", "WRONG")</f>
        <v/>
      </c>
    </row>
    <row r="37537">
      <c r="A37537" t="n">
        <v>37536</v>
      </c>
      <c r="B37537" t="inlineStr">
        <is>
          <t>x̄x̄x̄V̅MMDXXXVI</t>
        </is>
      </c>
      <c r="C37537">
        <f>ROMAN(37536)</f>
        <v/>
      </c>
      <c r="D37537">
        <f>IF(B37537=C37537, "YES", "WRONG")</f>
        <v/>
      </c>
    </row>
    <row r="37538">
      <c r="A37538" t="n">
        <v>37537</v>
      </c>
      <c r="B37538" t="inlineStr">
        <is>
          <t>x̄x̄x̄V̅MMDXXXVII</t>
        </is>
      </c>
      <c r="C37538">
        <f>ROMAN(37537)</f>
        <v/>
      </c>
      <c r="D37538">
        <f>IF(B37538=C37538, "YES", "WRONG")</f>
        <v/>
      </c>
    </row>
    <row r="37539">
      <c r="A37539" t="n">
        <v>37538</v>
      </c>
      <c r="B37539" t="inlineStr">
        <is>
          <t>x̄x̄x̄V̅MMDXXXVIII</t>
        </is>
      </c>
      <c r="C37539">
        <f>ROMAN(37538)</f>
        <v/>
      </c>
      <c r="D37539">
        <f>IF(B37539=C37539, "YES", "WRONG")</f>
        <v/>
      </c>
    </row>
    <row r="37540">
      <c r="A37540" t="n">
        <v>37539</v>
      </c>
      <c r="B37540" t="inlineStr">
        <is>
          <t>x̄x̄x̄V̅MMDXXXIX</t>
        </is>
      </c>
      <c r="C37540">
        <f>ROMAN(37539)</f>
        <v/>
      </c>
      <c r="D37540">
        <f>IF(B37540=C37540, "YES", "WRONG")</f>
        <v/>
      </c>
    </row>
    <row r="37541">
      <c r="A37541" t="n">
        <v>37540</v>
      </c>
      <c r="B37541" t="inlineStr">
        <is>
          <t>x̄x̄x̄V̅MMDXL</t>
        </is>
      </c>
      <c r="C37541">
        <f>ROMAN(37540)</f>
        <v/>
      </c>
      <c r="D37541">
        <f>IF(B37541=C37541, "YES", "WRONG")</f>
        <v/>
      </c>
    </row>
    <row r="37542">
      <c r="A37542" t="n">
        <v>37541</v>
      </c>
      <c r="B37542" t="inlineStr">
        <is>
          <t>x̄x̄x̄V̅MMDXLI</t>
        </is>
      </c>
      <c r="C37542">
        <f>ROMAN(37541)</f>
        <v/>
      </c>
      <c r="D37542">
        <f>IF(B37542=C37542, "YES", "WRONG")</f>
        <v/>
      </c>
    </row>
    <row r="37543">
      <c r="A37543" t="n">
        <v>37542</v>
      </c>
      <c r="B37543" t="inlineStr">
        <is>
          <t>x̄x̄x̄V̅MMDXLII</t>
        </is>
      </c>
      <c r="C37543">
        <f>ROMAN(37542)</f>
        <v/>
      </c>
      <c r="D37543">
        <f>IF(B37543=C37543, "YES", "WRONG")</f>
        <v/>
      </c>
    </row>
    <row r="37544">
      <c r="A37544" t="n">
        <v>37543</v>
      </c>
      <c r="B37544" t="inlineStr">
        <is>
          <t>x̄x̄x̄V̅MMDXLIII</t>
        </is>
      </c>
      <c r="C37544">
        <f>ROMAN(37543)</f>
        <v/>
      </c>
      <c r="D37544">
        <f>IF(B37544=C37544, "YES", "WRONG")</f>
        <v/>
      </c>
    </row>
    <row r="37545">
      <c r="A37545" t="n">
        <v>37544</v>
      </c>
      <c r="B37545" t="inlineStr">
        <is>
          <t>x̄x̄x̄V̅MMDXLIV</t>
        </is>
      </c>
      <c r="C37545">
        <f>ROMAN(37544)</f>
        <v/>
      </c>
      <c r="D37545">
        <f>IF(B37545=C37545, "YES", "WRONG")</f>
        <v/>
      </c>
    </row>
    <row r="37546">
      <c r="A37546" t="n">
        <v>37545</v>
      </c>
      <c r="B37546" t="inlineStr">
        <is>
          <t>x̄x̄x̄V̅MMDXLV</t>
        </is>
      </c>
      <c r="C37546">
        <f>ROMAN(37545)</f>
        <v/>
      </c>
      <c r="D37546">
        <f>IF(B37546=C37546, "YES", "WRONG")</f>
        <v/>
      </c>
    </row>
    <row r="37547">
      <c r="A37547" t="n">
        <v>37546</v>
      </c>
      <c r="B37547" t="inlineStr">
        <is>
          <t>x̄x̄x̄V̅MMDXLVI</t>
        </is>
      </c>
      <c r="C37547">
        <f>ROMAN(37546)</f>
        <v/>
      </c>
      <c r="D37547">
        <f>IF(B37547=C37547, "YES", "WRONG")</f>
        <v/>
      </c>
    </row>
    <row r="37548">
      <c r="A37548" t="n">
        <v>37547</v>
      </c>
      <c r="B37548" t="inlineStr">
        <is>
          <t>x̄x̄x̄V̅MMDXLVII</t>
        </is>
      </c>
      <c r="C37548">
        <f>ROMAN(37547)</f>
        <v/>
      </c>
      <c r="D37548">
        <f>IF(B37548=C37548, "YES", "WRONG")</f>
        <v/>
      </c>
    </row>
    <row r="37549">
      <c r="A37549" t="n">
        <v>37548</v>
      </c>
      <c r="B37549" t="inlineStr">
        <is>
          <t>x̄x̄x̄V̅MMDXLVIII</t>
        </is>
      </c>
      <c r="C37549">
        <f>ROMAN(37548)</f>
        <v/>
      </c>
      <c r="D37549">
        <f>IF(B37549=C37549, "YES", "WRONG")</f>
        <v/>
      </c>
    </row>
    <row r="37550">
      <c r="A37550" t="n">
        <v>37549</v>
      </c>
      <c r="B37550" t="inlineStr">
        <is>
          <t>x̄x̄x̄V̅MMDXLIX</t>
        </is>
      </c>
      <c r="C37550">
        <f>ROMAN(37549)</f>
        <v/>
      </c>
      <c r="D37550">
        <f>IF(B37550=C37550, "YES", "WRONG")</f>
        <v/>
      </c>
    </row>
    <row r="37551">
      <c r="A37551" t="n">
        <v>37550</v>
      </c>
      <c r="B37551" t="inlineStr">
        <is>
          <t>x̄x̄x̄V̅MMDL</t>
        </is>
      </c>
      <c r="C37551">
        <f>ROMAN(37550)</f>
        <v/>
      </c>
      <c r="D37551">
        <f>IF(B37551=C37551, "YES", "WRONG")</f>
        <v/>
      </c>
    </row>
    <row r="37552">
      <c r="A37552" t="n">
        <v>37551</v>
      </c>
      <c r="B37552" t="inlineStr">
        <is>
          <t>x̄x̄x̄V̅MMDLI</t>
        </is>
      </c>
      <c r="C37552">
        <f>ROMAN(37551)</f>
        <v/>
      </c>
      <c r="D37552">
        <f>IF(B37552=C37552, "YES", "WRONG")</f>
        <v/>
      </c>
    </row>
    <row r="37553">
      <c r="A37553" t="n">
        <v>37552</v>
      </c>
      <c r="B37553" t="inlineStr">
        <is>
          <t>x̄x̄x̄V̅MMDLII</t>
        </is>
      </c>
      <c r="C37553">
        <f>ROMAN(37552)</f>
        <v/>
      </c>
      <c r="D37553">
        <f>IF(B37553=C37553, "YES", "WRONG")</f>
        <v/>
      </c>
    </row>
    <row r="37554">
      <c r="A37554" t="n">
        <v>37553</v>
      </c>
      <c r="B37554" t="inlineStr">
        <is>
          <t>x̄x̄x̄V̅MMDLIII</t>
        </is>
      </c>
      <c r="C37554">
        <f>ROMAN(37553)</f>
        <v/>
      </c>
      <c r="D37554">
        <f>IF(B37554=C37554, "YES", "WRONG")</f>
        <v/>
      </c>
    </row>
    <row r="37555">
      <c r="A37555" t="n">
        <v>37554</v>
      </c>
      <c r="B37555" t="inlineStr">
        <is>
          <t>x̄x̄x̄V̅MMDLIV</t>
        </is>
      </c>
      <c r="C37555">
        <f>ROMAN(37554)</f>
        <v/>
      </c>
      <c r="D37555">
        <f>IF(B37555=C37555, "YES", "WRONG")</f>
        <v/>
      </c>
    </row>
    <row r="37556">
      <c r="A37556" t="n">
        <v>37555</v>
      </c>
      <c r="B37556" t="inlineStr">
        <is>
          <t>x̄x̄x̄V̅MMDLV</t>
        </is>
      </c>
      <c r="C37556">
        <f>ROMAN(37555)</f>
        <v/>
      </c>
      <c r="D37556">
        <f>IF(B37556=C37556, "YES", "WRONG")</f>
        <v/>
      </c>
    </row>
    <row r="37557">
      <c r="A37557" t="n">
        <v>37556</v>
      </c>
      <c r="B37557" t="inlineStr">
        <is>
          <t>x̄x̄x̄V̅MMDLVI</t>
        </is>
      </c>
      <c r="C37557">
        <f>ROMAN(37556)</f>
        <v/>
      </c>
      <c r="D37557">
        <f>IF(B37557=C37557, "YES", "WRONG")</f>
        <v/>
      </c>
    </row>
    <row r="37558">
      <c r="A37558" t="n">
        <v>37557</v>
      </c>
      <c r="B37558" t="inlineStr">
        <is>
          <t>x̄x̄x̄V̅MMDLVII</t>
        </is>
      </c>
      <c r="C37558">
        <f>ROMAN(37557)</f>
        <v/>
      </c>
      <c r="D37558">
        <f>IF(B37558=C37558, "YES", "WRONG")</f>
        <v/>
      </c>
    </row>
    <row r="37559">
      <c r="A37559" t="n">
        <v>37558</v>
      </c>
      <c r="B37559" t="inlineStr">
        <is>
          <t>x̄x̄x̄V̅MMDLVIII</t>
        </is>
      </c>
      <c r="C37559">
        <f>ROMAN(37558)</f>
        <v/>
      </c>
      <c r="D37559">
        <f>IF(B37559=C37559, "YES", "WRONG")</f>
        <v/>
      </c>
    </row>
    <row r="37560">
      <c r="A37560" t="n">
        <v>37559</v>
      </c>
      <c r="B37560" t="inlineStr">
        <is>
          <t>x̄x̄x̄V̅MMDLIX</t>
        </is>
      </c>
      <c r="C37560">
        <f>ROMAN(37559)</f>
        <v/>
      </c>
      <c r="D37560">
        <f>IF(B37560=C37560, "YES", "WRONG")</f>
        <v/>
      </c>
    </row>
    <row r="37561">
      <c r="A37561" t="n">
        <v>37560</v>
      </c>
      <c r="B37561" t="inlineStr">
        <is>
          <t>x̄x̄x̄V̅MMDLX</t>
        </is>
      </c>
      <c r="C37561">
        <f>ROMAN(37560)</f>
        <v/>
      </c>
      <c r="D37561">
        <f>IF(B37561=C37561, "YES", "WRONG")</f>
        <v/>
      </c>
    </row>
    <row r="37562">
      <c r="A37562" t="n">
        <v>37561</v>
      </c>
      <c r="B37562" t="inlineStr">
        <is>
          <t>x̄x̄x̄V̅MMDLXI</t>
        </is>
      </c>
      <c r="C37562">
        <f>ROMAN(37561)</f>
        <v/>
      </c>
      <c r="D37562">
        <f>IF(B37562=C37562, "YES", "WRONG")</f>
        <v/>
      </c>
    </row>
    <row r="37563">
      <c r="A37563" t="n">
        <v>37562</v>
      </c>
      <c r="B37563" t="inlineStr">
        <is>
          <t>x̄x̄x̄V̅MMDLXII</t>
        </is>
      </c>
      <c r="C37563">
        <f>ROMAN(37562)</f>
        <v/>
      </c>
      <c r="D37563">
        <f>IF(B37563=C37563, "YES", "WRONG")</f>
        <v/>
      </c>
    </row>
    <row r="37564">
      <c r="A37564" t="n">
        <v>37563</v>
      </c>
      <c r="B37564" t="inlineStr">
        <is>
          <t>x̄x̄x̄V̅MMDLXIII</t>
        </is>
      </c>
      <c r="C37564">
        <f>ROMAN(37563)</f>
        <v/>
      </c>
      <c r="D37564">
        <f>IF(B37564=C37564, "YES", "WRONG")</f>
        <v/>
      </c>
    </row>
    <row r="37565">
      <c r="A37565" t="n">
        <v>37564</v>
      </c>
      <c r="B37565" t="inlineStr">
        <is>
          <t>x̄x̄x̄V̅MMDLXIV</t>
        </is>
      </c>
      <c r="C37565">
        <f>ROMAN(37564)</f>
        <v/>
      </c>
      <c r="D37565">
        <f>IF(B37565=C37565, "YES", "WRONG")</f>
        <v/>
      </c>
    </row>
    <row r="37566">
      <c r="A37566" t="n">
        <v>37565</v>
      </c>
      <c r="B37566" t="inlineStr">
        <is>
          <t>x̄x̄x̄V̅MMDLXV</t>
        </is>
      </c>
      <c r="C37566">
        <f>ROMAN(37565)</f>
        <v/>
      </c>
      <c r="D37566">
        <f>IF(B37566=C37566, "YES", "WRONG")</f>
        <v/>
      </c>
    </row>
    <row r="37567">
      <c r="A37567" t="n">
        <v>37566</v>
      </c>
      <c r="B37567" t="inlineStr">
        <is>
          <t>x̄x̄x̄V̅MMDLXVI</t>
        </is>
      </c>
      <c r="C37567">
        <f>ROMAN(37566)</f>
        <v/>
      </c>
      <c r="D37567">
        <f>IF(B37567=C37567, "YES", "WRONG")</f>
        <v/>
      </c>
    </row>
    <row r="37568">
      <c r="A37568" t="n">
        <v>37567</v>
      </c>
      <c r="B37568" t="inlineStr">
        <is>
          <t>x̄x̄x̄V̅MMDLXVII</t>
        </is>
      </c>
      <c r="C37568">
        <f>ROMAN(37567)</f>
        <v/>
      </c>
      <c r="D37568">
        <f>IF(B37568=C37568, "YES", "WRONG")</f>
        <v/>
      </c>
    </row>
    <row r="37569">
      <c r="A37569" t="n">
        <v>37568</v>
      </c>
      <c r="B37569" t="inlineStr">
        <is>
          <t>x̄x̄x̄V̅MMDLXVIII</t>
        </is>
      </c>
      <c r="C37569">
        <f>ROMAN(37568)</f>
        <v/>
      </c>
      <c r="D37569">
        <f>IF(B37569=C37569, "YES", "WRONG")</f>
        <v/>
      </c>
    </row>
    <row r="37570">
      <c r="A37570" t="n">
        <v>37569</v>
      </c>
      <c r="B37570" t="inlineStr">
        <is>
          <t>x̄x̄x̄V̅MMDLXIX</t>
        </is>
      </c>
      <c r="C37570">
        <f>ROMAN(37569)</f>
        <v/>
      </c>
      <c r="D37570">
        <f>IF(B37570=C37570, "YES", "WRONG")</f>
        <v/>
      </c>
    </row>
    <row r="37571">
      <c r="A37571" t="n">
        <v>37570</v>
      </c>
      <c r="B37571" t="inlineStr">
        <is>
          <t>x̄x̄x̄V̅MMDLXX</t>
        </is>
      </c>
      <c r="C37571">
        <f>ROMAN(37570)</f>
        <v/>
      </c>
      <c r="D37571">
        <f>IF(B37571=C37571, "YES", "WRONG")</f>
        <v/>
      </c>
    </row>
    <row r="37572">
      <c r="A37572" t="n">
        <v>37571</v>
      </c>
      <c r="B37572" t="inlineStr">
        <is>
          <t>x̄x̄x̄V̅MMDLXXI</t>
        </is>
      </c>
      <c r="C37572">
        <f>ROMAN(37571)</f>
        <v/>
      </c>
      <c r="D37572">
        <f>IF(B37572=C37572, "YES", "WRONG")</f>
        <v/>
      </c>
    </row>
    <row r="37573">
      <c r="A37573" t="n">
        <v>37572</v>
      </c>
      <c r="B37573" t="inlineStr">
        <is>
          <t>x̄x̄x̄V̅MMDLXXII</t>
        </is>
      </c>
      <c r="C37573">
        <f>ROMAN(37572)</f>
        <v/>
      </c>
      <c r="D37573">
        <f>IF(B37573=C37573, "YES", "WRONG")</f>
        <v/>
      </c>
    </row>
    <row r="37574">
      <c r="A37574" t="n">
        <v>37573</v>
      </c>
      <c r="B37574" t="inlineStr">
        <is>
          <t>x̄x̄x̄V̅MMDLXXIII</t>
        </is>
      </c>
      <c r="C37574">
        <f>ROMAN(37573)</f>
        <v/>
      </c>
      <c r="D37574">
        <f>IF(B37574=C37574, "YES", "WRONG")</f>
        <v/>
      </c>
    </row>
    <row r="37575">
      <c r="A37575" t="n">
        <v>37574</v>
      </c>
      <c r="B37575" t="inlineStr">
        <is>
          <t>x̄x̄x̄V̅MMDLXXIV</t>
        </is>
      </c>
      <c r="C37575">
        <f>ROMAN(37574)</f>
        <v/>
      </c>
      <c r="D37575">
        <f>IF(B37575=C37575, "YES", "WRONG")</f>
        <v/>
      </c>
    </row>
    <row r="37576">
      <c r="A37576" t="n">
        <v>37575</v>
      </c>
      <c r="B37576" t="inlineStr">
        <is>
          <t>x̄x̄x̄V̅MMDLXXV</t>
        </is>
      </c>
      <c r="C37576">
        <f>ROMAN(37575)</f>
        <v/>
      </c>
      <c r="D37576">
        <f>IF(B37576=C37576, "YES", "WRONG")</f>
        <v/>
      </c>
    </row>
    <row r="37577">
      <c r="A37577" t="n">
        <v>37576</v>
      </c>
      <c r="B37577" t="inlineStr">
        <is>
          <t>x̄x̄x̄V̅MMDLXXVI</t>
        </is>
      </c>
      <c r="C37577">
        <f>ROMAN(37576)</f>
        <v/>
      </c>
      <c r="D37577">
        <f>IF(B37577=C37577, "YES", "WRONG")</f>
        <v/>
      </c>
    </row>
    <row r="37578">
      <c r="A37578" t="n">
        <v>37577</v>
      </c>
      <c r="B37578" t="inlineStr">
        <is>
          <t>x̄x̄x̄V̅MMDLXXVII</t>
        </is>
      </c>
      <c r="C37578">
        <f>ROMAN(37577)</f>
        <v/>
      </c>
      <c r="D37578">
        <f>IF(B37578=C37578, "YES", "WRONG")</f>
        <v/>
      </c>
    </row>
    <row r="37579">
      <c r="A37579" t="n">
        <v>37578</v>
      </c>
      <c r="B37579" t="inlineStr">
        <is>
          <t>x̄x̄x̄V̅MMDLXXVIII</t>
        </is>
      </c>
      <c r="C37579">
        <f>ROMAN(37578)</f>
        <v/>
      </c>
      <c r="D37579">
        <f>IF(B37579=C37579, "YES", "WRONG")</f>
        <v/>
      </c>
    </row>
    <row r="37580">
      <c r="A37580" t="n">
        <v>37579</v>
      </c>
      <c r="B37580" t="inlineStr">
        <is>
          <t>x̄x̄x̄V̅MMDLXXIX</t>
        </is>
      </c>
      <c r="C37580">
        <f>ROMAN(37579)</f>
        <v/>
      </c>
      <c r="D37580">
        <f>IF(B37580=C37580, "YES", "WRONG")</f>
        <v/>
      </c>
    </row>
    <row r="37581">
      <c r="A37581" t="n">
        <v>37580</v>
      </c>
      <c r="B37581" t="inlineStr">
        <is>
          <t>x̄x̄x̄V̅MMDLXXX</t>
        </is>
      </c>
      <c r="C37581">
        <f>ROMAN(37580)</f>
        <v/>
      </c>
      <c r="D37581">
        <f>IF(B37581=C37581, "YES", "WRONG")</f>
        <v/>
      </c>
    </row>
    <row r="37582">
      <c r="A37582" t="n">
        <v>37581</v>
      </c>
      <c r="B37582" t="inlineStr">
        <is>
          <t>x̄x̄x̄V̅MMDLXXXI</t>
        </is>
      </c>
      <c r="C37582">
        <f>ROMAN(37581)</f>
        <v/>
      </c>
      <c r="D37582">
        <f>IF(B37582=C37582, "YES", "WRONG")</f>
        <v/>
      </c>
    </row>
    <row r="37583">
      <c r="A37583" t="n">
        <v>37582</v>
      </c>
      <c r="B37583" t="inlineStr">
        <is>
          <t>x̄x̄x̄V̅MMDLXXXII</t>
        </is>
      </c>
      <c r="C37583">
        <f>ROMAN(37582)</f>
        <v/>
      </c>
      <c r="D37583">
        <f>IF(B37583=C37583, "YES", "WRONG")</f>
        <v/>
      </c>
    </row>
    <row r="37584">
      <c r="A37584" t="n">
        <v>37583</v>
      </c>
      <c r="B37584" t="inlineStr">
        <is>
          <t>x̄x̄x̄V̅MMDLXXXIII</t>
        </is>
      </c>
      <c r="C37584">
        <f>ROMAN(37583)</f>
        <v/>
      </c>
      <c r="D37584">
        <f>IF(B37584=C37584, "YES", "WRONG")</f>
        <v/>
      </c>
    </row>
    <row r="37585">
      <c r="A37585" t="n">
        <v>37584</v>
      </c>
      <c r="B37585" t="inlineStr">
        <is>
          <t>x̄x̄x̄V̅MMDLXXXIV</t>
        </is>
      </c>
      <c r="C37585">
        <f>ROMAN(37584)</f>
        <v/>
      </c>
      <c r="D37585">
        <f>IF(B37585=C37585, "YES", "WRONG")</f>
        <v/>
      </c>
    </row>
    <row r="37586">
      <c r="A37586" t="n">
        <v>37585</v>
      </c>
      <c r="B37586" t="inlineStr">
        <is>
          <t>x̄x̄x̄V̅MMDLXXXV</t>
        </is>
      </c>
      <c r="C37586">
        <f>ROMAN(37585)</f>
        <v/>
      </c>
      <c r="D37586">
        <f>IF(B37586=C37586, "YES", "WRONG")</f>
        <v/>
      </c>
    </row>
    <row r="37587">
      <c r="A37587" t="n">
        <v>37586</v>
      </c>
      <c r="B37587" t="inlineStr">
        <is>
          <t>x̄x̄x̄V̅MMDLXXXVI</t>
        </is>
      </c>
      <c r="C37587">
        <f>ROMAN(37586)</f>
        <v/>
      </c>
      <c r="D37587">
        <f>IF(B37587=C37587, "YES", "WRONG")</f>
        <v/>
      </c>
    </row>
    <row r="37588">
      <c r="A37588" t="n">
        <v>37587</v>
      </c>
      <c r="B37588" t="inlineStr">
        <is>
          <t>x̄x̄x̄V̅MMDLXXXVII</t>
        </is>
      </c>
      <c r="C37588">
        <f>ROMAN(37587)</f>
        <v/>
      </c>
      <c r="D37588">
        <f>IF(B37588=C37588, "YES", "WRONG")</f>
        <v/>
      </c>
    </row>
    <row r="37589">
      <c r="A37589" t="n">
        <v>37588</v>
      </c>
      <c r="B37589" t="inlineStr">
        <is>
          <t>x̄x̄x̄V̅MMDLXXXVIII</t>
        </is>
      </c>
      <c r="C37589">
        <f>ROMAN(37588)</f>
        <v/>
      </c>
      <c r="D37589">
        <f>IF(B37589=C37589, "YES", "WRONG")</f>
        <v/>
      </c>
    </row>
    <row r="37590">
      <c r="A37590" t="n">
        <v>37589</v>
      </c>
      <c r="B37590" t="inlineStr">
        <is>
          <t>x̄x̄x̄V̅MMDLXXXIX</t>
        </is>
      </c>
      <c r="C37590">
        <f>ROMAN(37589)</f>
        <v/>
      </c>
      <c r="D37590">
        <f>IF(B37590=C37590, "YES", "WRONG")</f>
        <v/>
      </c>
    </row>
    <row r="37591">
      <c r="A37591" t="n">
        <v>37590</v>
      </c>
      <c r="B37591" t="inlineStr">
        <is>
          <t>x̄x̄x̄V̅MMDXC</t>
        </is>
      </c>
      <c r="C37591">
        <f>ROMAN(37590)</f>
        <v/>
      </c>
      <c r="D37591">
        <f>IF(B37591=C37591, "YES", "WRONG")</f>
        <v/>
      </c>
    </row>
    <row r="37592">
      <c r="A37592" t="n">
        <v>37591</v>
      </c>
      <c r="B37592" t="inlineStr">
        <is>
          <t>x̄x̄x̄V̅MMDXCI</t>
        </is>
      </c>
      <c r="C37592">
        <f>ROMAN(37591)</f>
        <v/>
      </c>
      <c r="D37592">
        <f>IF(B37592=C37592, "YES", "WRONG")</f>
        <v/>
      </c>
    </row>
    <row r="37593">
      <c r="A37593" t="n">
        <v>37592</v>
      </c>
      <c r="B37593" t="inlineStr">
        <is>
          <t>x̄x̄x̄V̅MMDXCII</t>
        </is>
      </c>
      <c r="C37593">
        <f>ROMAN(37592)</f>
        <v/>
      </c>
      <c r="D37593">
        <f>IF(B37593=C37593, "YES", "WRONG")</f>
        <v/>
      </c>
    </row>
    <row r="37594">
      <c r="A37594" t="n">
        <v>37593</v>
      </c>
      <c r="B37594" t="inlineStr">
        <is>
          <t>x̄x̄x̄V̅MMDXCIII</t>
        </is>
      </c>
      <c r="C37594">
        <f>ROMAN(37593)</f>
        <v/>
      </c>
      <c r="D37594">
        <f>IF(B37594=C37594, "YES", "WRONG")</f>
        <v/>
      </c>
    </row>
    <row r="37595">
      <c r="A37595" t="n">
        <v>37594</v>
      </c>
      <c r="B37595" t="inlineStr">
        <is>
          <t>x̄x̄x̄V̅MMDXCIV</t>
        </is>
      </c>
      <c r="C37595">
        <f>ROMAN(37594)</f>
        <v/>
      </c>
      <c r="D37595">
        <f>IF(B37595=C37595, "YES", "WRONG")</f>
        <v/>
      </c>
    </row>
    <row r="37596">
      <c r="A37596" t="n">
        <v>37595</v>
      </c>
      <c r="B37596" t="inlineStr">
        <is>
          <t>x̄x̄x̄V̅MMDXCV</t>
        </is>
      </c>
      <c r="C37596">
        <f>ROMAN(37595)</f>
        <v/>
      </c>
      <c r="D37596">
        <f>IF(B37596=C37596, "YES", "WRONG")</f>
        <v/>
      </c>
    </row>
    <row r="37597">
      <c r="A37597" t="n">
        <v>37596</v>
      </c>
      <c r="B37597" t="inlineStr">
        <is>
          <t>x̄x̄x̄V̅MMDXCVI</t>
        </is>
      </c>
      <c r="C37597">
        <f>ROMAN(37596)</f>
        <v/>
      </c>
      <c r="D37597">
        <f>IF(B37597=C37597, "YES", "WRONG")</f>
        <v/>
      </c>
    </row>
    <row r="37598">
      <c r="A37598" t="n">
        <v>37597</v>
      </c>
      <c r="B37598" t="inlineStr">
        <is>
          <t>x̄x̄x̄V̅MMDXCVII</t>
        </is>
      </c>
      <c r="C37598">
        <f>ROMAN(37597)</f>
        <v/>
      </c>
      <c r="D37598">
        <f>IF(B37598=C37598, "YES", "WRONG")</f>
        <v/>
      </c>
    </row>
    <row r="37599">
      <c r="A37599" t="n">
        <v>37598</v>
      </c>
      <c r="B37599" t="inlineStr">
        <is>
          <t>x̄x̄x̄V̅MMDXCVIII</t>
        </is>
      </c>
      <c r="C37599">
        <f>ROMAN(37598)</f>
        <v/>
      </c>
      <c r="D37599">
        <f>IF(B37599=C37599, "YES", "WRONG")</f>
        <v/>
      </c>
    </row>
    <row r="37600">
      <c r="A37600" t="n">
        <v>37599</v>
      </c>
      <c r="B37600" t="inlineStr">
        <is>
          <t>x̄x̄x̄V̅MMDXCIX</t>
        </is>
      </c>
      <c r="C37600">
        <f>ROMAN(37599)</f>
        <v/>
      </c>
      <c r="D37600">
        <f>IF(B37600=C37600, "YES", "WRONG")</f>
        <v/>
      </c>
    </row>
    <row r="37601">
      <c r="A37601" t="n">
        <v>37600</v>
      </c>
      <c r="B37601" t="inlineStr">
        <is>
          <t>x̄x̄x̄V̅MMDC</t>
        </is>
      </c>
      <c r="C37601">
        <f>ROMAN(37600)</f>
        <v/>
      </c>
      <c r="D37601">
        <f>IF(B37601=C37601, "YES", "WRONG")</f>
        <v/>
      </c>
    </row>
    <row r="37602">
      <c r="A37602" t="n">
        <v>37601</v>
      </c>
      <c r="B37602" t="inlineStr">
        <is>
          <t>x̄x̄x̄V̅MMDCI</t>
        </is>
      </c>
      <c r="C37602">
        <f>ROMAN(37601)</f>
        <v/>
      </c>
      <c r="D37602">
        <f>IF(B37602=C37602, "YES", "WRONG")</f>
        <v/>
      </c>
    </row>
    <row r="37603">
      <c r="A37603" t="n">
        <v>37602</v>
      </c>
      <c r="B37603" t="inlineStr">
        <is>
          <t>x̄x̄x̄V̅MMDCII</t>
        </is>
      </c>
      <c r="C37603">
        <f>ROMAN(37602)</f>
        <v/>
      </c>
      <c r="D37603">
        <f>IF(B37603=C37603, "YES", "WRONG")</f>
        <v/>
      </c>
    </row>
    <row r="37604">
      <c r="A37604" t="n">
        <v>37603</v>
      </c>
      <c r="B37604" t="inlineStr">
        <is>
          <t>x̄x̄x̄V̅MMDCIII</t>
        </is>
      </c>
      <c r="C37604">
        <f>ROMAN(37603)</f>
        <v/>
      </c>
      <c r="D37604">
        <f>IF(B37604=C37604, "YES", "WRONG")</f>
        <v/>
      </c>
    </row>
    <row r="37605">
      <c r="A37605" t="n">
        <v>37604</v>
      </c>
      <c r="B37605" t="inlineStr">
        <is>
          <t>x̄x̄x̄V̅MMDCIV</t>
        </is>
      </c>
      <c r="C37605">
        <f>ROMAN(37604)</f>
        <v/>
      </c>
      <c r="D37605">
        <f>IF(B37605=C37605, "YES", "WRONG")</f>
        <v/>
      </c>
    </row>
    <row r="37606">
      <c r="A37606" t="n">
        <v>37605</v>
      </c>
      <c r="B37606" t="inlineStr">
        <is>
          <t>x̄x̄x̄V̅MMDCV</t>
        </is>
      </c>
      <c r="C37606">
        <f>ROMAN(37605)</f>
        <v/>
      </c>
      <c r="D37606">
        <f>IF(B37606=C37606, "YES", "WRONG")</f>
        <v/>
      </c>
    </row>
    <row r="37607">
      <c r="A37607" t="n">
        <v>37606</v>
      </c>
      <c r="B37607" t="inlineStr">
        <is>
          <t>x̄x̄x̄V̅MMDCVI</t>
        </is>
      </c>
      <c r="C37607">
        <f>ROMAN(37606)</f>
        <v/>
      </c>
      <c r="D37607">
        <f>IF(B37607=C37607, "YES", "WRONG")</f>
        <v/>
      </c>
    </row>
    <row r="37608">
      <c r="A37608" t="n">
        <v>37607</v>
      </c>
      <c r="B37608" t="inlineStr">
        <is>
          <t>x̄x̄x̄V̅MMDCVII</t>
        </is>
      </c>
      <c r="C37608">
        <f>ROMAN(37607)</f>
        <v/>
      </c>
      <c r="D37608">
        <f>IF(B37608=C37608, "YES", "WRONG")</f>
        <v/>
      </c>
    </row>
    <row r="37609">
      <c r="A37609" t="n">
        <v>37608</v>
      </c>
      <c r="B37609" t="inlineStr">
        <is>
          <t>x̄x̄x̄V̅MMDCVIII</t>
        </is>
      </c>
      <c r="C37609">
        <f>ROMAN(37608)</f>
        <v/>
      </c>
      <c r="D37609">
        <f>IF(B37609=C37609, "YES", "WRONG")</f>
        <v/>
      </c>
    </row>
    <row r="37610">
      <c r="A37610" t="n">
        <v>37609</v>
      </c>
      <c r="B37610" t="inlineStr">
        <is>
          <t>x̄x̄x̄V̅MMDCIX</t>
        </is>
      </c>
      <c r="C37610">
        <f>ROMAN(37609)</f>
        <v/>
      </c>
      <c r="D37610">
        <f>IF(B37610=C37610, "YES", "WRONG")</f>
        <v/>
      </c>
    </row>
    <row r="37611">
      <c r="A37611" t="n">
        <v>37610</v>
      </c>
      <c r="B37611" t="inlineStr">
        <is>
          <t>x̄x̄x̄V̅MMDCX</t>
        </is>
      </c>
      <c r="C37611">
        <f>ROMAN(37610)</f>
        <v/>
      </c>
      <c r="D37611">
        <f>IF(B37611=C37611, "YES", "WRONG")</f>
        <v/>
      </c>
    </row>
    <row r="37612">
      <c r="A37612" t="n">
        <v>37611</v>
      </c>
      <c r="B37612" t="inlineStr">
        <is>
          <t>x̄x̄x̄V̅MMDCXI</t>
        </is>
      </c>
      <c r="C37612">
        <f>ROMAN(37611)</f>
        <v/>
      </c>
      <c r="D37612">
        <f>IF(B37612=C37612, "YES", "WRONG")</f>
        <v/>
      </c>
    </row>
    <row r="37613">
      <c r="A37613" t="n">
        <v>37612</v>
      </c>
      <c r="B37613" t="inlineStr">
        <is>
          <t>x̄x̄x̄V̅MMDCXII</t>
        </is>
      </c>
      <c r="C37613">
        <f>ROMAN(37612)</f>
        <v/>
      </c>
      <c r="D37613">
        <f>IF(B37613=C37613, "YES", "WRONG")</f>
        <v/>
      </c>
    </row>
    <row r="37614">
      <c r="A37614" t="n">
        <v>37613</v>
      </c>
      <c r="B37614" t="inlineStr">
        <is>
          <t>x̄x̄x̄V̅MMDCXIII</t>
        </is>
      </c>
      <c r="C37614">
        <f>ROMAN(37613)</f>
        <v/>
      </c>
      <c r="D37614">
        <f>IF(B37614=C37614, "YES", "WRONG")</f>
        <v/>
      </c>
    </row>
    <row r="37615">
      <c r="A37615" t="n">
        <v>37614</v>
      </c>
      <c r="B37615" t="inlineStr">
        <is>
          <t>x̄x̄x̄V̅MMDCXIV</t>
        </is>
      </c>
      <c r="C37615">
        <f>ROMAN(37614)</f>
        <v/>
      </c>
      <c r="D37615">
        <f>IF(B37615=C37615, "YES", "WRONG")</f>
        <v/>
      </c>
    </row>
    <row r="37616">
      <c r="A37616" t="n">
        <v>37615</v>
      </c>
      <c r="B37616" t="inlineStr">
        <is>
          <t>x̄x̄x̄V̅MMDCXV</t>
        </is>
      </c>
      <c r="C37616">
        <f>ROMAN(37615)</f>
        <v/>
      </c>
      <c r="D37616">
        <f>IF(B37616=C37616, "YES", "WRONG")</f>
        <v/>
      </c>
    </row>
    <row r="37617">
      <c r="A37617" t="n">
        <v>37616</v>
      </c>
      <c r="B37617" t="inlineStr">
        <is>
          <t>x̄x̄x̄V̅MMDCXVI</t>
        </is>
      </c>
      <c r="C37617">
        <f>ROMAN(37616)</f>
        <v/>
      </c>
      <c r="D37617">
        <f>IF(B37617=C37617, "YES", "WRONG")</f>
        <v/>
      </c>
    </row>
    <row r="37618">
      <c r="A37618" t="n">
        <v>37617</v>
      </c>
      <c r="B37618" t="inlineStr">
        <is>
          <t>x̄x̄x̄V̅MMDCXVII</t>
        </is>
      </c>
      <c r="C37618">
        <f>ROMAN(37617)</f>
        <v/>
      </c>
      <c r="D37618">
        <f>IF(B37618=C37618, "YES", "WRONG")</f>
        <v/>
      </c>
    </row>
    <row r="37619">
      <c r="A37619" t="n">
        <v>37618</v>
      </c>
      <c r="B37619" t="inlineStr">
        <is>
          <t>x̄x̄x̄V̅MMDCXVIII</t>
        </is>
      </c>
      <c r="C37619">
        <f>ROMAN(37618)</f>
        <v/>
      </c>
      <c r="D37619">
        <f>IF(B37619=C37619, "YES", "WRONG")</f>
        <v/>
      </c>
    </row>
    <row r="37620">
      <c r="A37620" t="n">
        <v>37619</v>
      </c>
      <c r="B37620" t="inlineStr">
        <is>
          <t>x̄x̄x̄V̅MMDCXIX</t>
        </is>
      </c>
      <c r="C37620">
        <f>ROMAN(37619)</f>
        <v/>
      </c>
      <c r="D37620">
        <f>IF(B37620=C37620, "YES", "WRONG")</f>
        <v/>
      </c>
    </row>
    <row r="37621">
      <c r="A37621" t="n">
        <v>37620</v>
      </c>
      <c r="B37621" t="inlineStr">
        <is>
          <t>x̄x̄x̄V̅MMDCXX</t>
        </is>
      </c>
      <c r="C37621">
        <f>ROMAN(37620)</f>
        <v/>
      </c>
      <c r="D37621">
        <f>IF(B37621=C37621, "YES", "WRONG")</f>
        <v/>
      </c>
    </row>
    <row r="37622">
      <c r="A37622" t="n">
        <v>37621</v>
      </c>
      <c r="B37622" t="inlineStr">
        <is>
          <t>x̄x̄x̄V̅MMDCXXI</t>
        </is>
      </c>
      <c r="C37622">
        <f>ROMAN(37621)</f>
        <v/>
      </c>
      <c r="D37622">
        <f>IF(B37622=C37622, "YES", "WRONG")</f>
        <v/>
      </c>
    </row>
    <row r="37623">
      <c r="A37623" t="n">
        <v>37622</v>
      </c>
      <c r="B37623" t="inlineStr">
        <is>
          <t>x̄x̄x̄V̅MMDCXXII</t>
        </is>
      </c>
      <c r="C37623">
        <f>ROMAN(37622)</f>
        <v/>
      </c>
      <c r="D37623">
        <f>IF(B37623=C37623, "YES", "WRONG")</f>
        <v/>
      </c>
    </row>
    <row r="37624">
      <c r="A37624" t="n">
        <v>37623</v>
      </c>
      <c r="B37624" t="inlineStr">
        <is>
          <t>x̄x̄x̄V̅MMDCXXIII</t>
        </is>
      </c>
      <c r="C37624">
        <f>ROMAN(37623)</f>
        <v/>
      </c>
      <c r="D37624">
        <f>IF(B37624=C37624, "YES", "WRONG")</f>
        <v/>
      </c>
    </row>
    <row r="37625">
      <c r="A37625" t="n">
        <v>37624</v>
      </c>
      <c r="B37625" t="inlineStr">
        <is>
          <t>x̄x̄x̄V̅MMDCXXIV</t>
        </is>
      </c>
      <c r="C37625">
        <f>ROMAN(37624)</f>
        <v/>
      </c>
      <c r="D37625">
        <f>IF(B37625=C37625, "YES", "WRONG")</f>
        <v/>
      </c>
    </row>
    <row r="37626">
      <c r="A37626" t="n">
        <v>37625</v>
      </c>
      <c r="B37626" t="inlineStr">
        <is>
          <t>x̄x̄x̄V̅MMDCXXV</t>
        </is>
      </c>
      <c r="C37626">
        <f>ROMAN(37625)</f>
        <v/>
      </c>
      <c r="D37626">
        <f>IF(B37626=C37626, "YES", "WRONG")</f>
        <v/>
      </c>
    </row>
    <row r="37627">
      <c r="A37627" t="n">
        <v>37626</v>
      </c>
      <c r="B37627" t="inlineStr">
        <is>
          <t>x̄x̄x̄V̅MMDCXXVI</t>
        </is>
      </c>
      <c r="C37627">
        <f>ROMAN(37626)</f>
        <v/>
      </c>
      <c r="D37627">
        <f>IF(B37627=C37627, "YES", "WRONG")</f>
        <v/>
      </c>
    </row>
    <row r="37628">
      <c r="A37628" t="n">
        <v>37627</v>
      </c>
      <c r="B37628" t="inlineStr">
        <is>
          <t>x̄x̄x̄V̅MMDCXXVII</t>
        </is>
      </c>
      <c r="C37628">
        <f>ROMAN(37627)</f>
        <v/>
      </c>
      <c r="D37628">
        <f>IF(B37628=C37628, "YES", "WRONG")</f>
        <v/>
      </c>
    </row>
    <row r="37629">
      <c r="A37629" t="n">
        <v>37628</v>
      </c>
      <c r="B37629" t="inlineStr">
        <is>
          <t>x̄x̄x̄V̅MMDCXXVIII</t>
        </is>
      </c>
      <c r="C37629">
        <f>ROMAN(37628)</f>
        <v/>
      </c>
      <c r="D37629">
        <f>IF(B37629=C37629, "YES", "WRONG")</f>
        <v/>
      </c>
    </row>
    <row r="37630">
      <c r="A37630" t="n">
        <v>37629</v>
      </c>
      <c r="B37630" t="inlineStr">
        <is>
          <t>x̄x̄x̄V̅MMDCXXIX</t>
        </is>
      </c>
      <c r="C37630">
        <f>ROMAN(37629)</f>
        <v/>
      </c>
      <c r="D37630">
        <f>IF(B37630=C37630, "YES", "WRONG")</f>
        <v/>
      </c>
    </row>
    <row r="37631">
      <c r="A37631" t="n">
        <v>37630</v>
      </c>
      <c r="B37631" t="inlineStr">
        <is>
          <t>x̄x̄x̄V̅MMDCXXX</t>
        </is>
      </c>
      <c r="C37631">
        <f>ROMAN(37630)</f>
        <v/>
      </c>
      <c r="D37631">
        <f>IF(B37631=C37631, "YES", "WRONG")</f>
        <v/>
      </c>
    </row>
    <row r="37632">
      <c r="A37632" t="n">
        <v>37631</v>
      </c>
      <c r="B37632" t="inlineStr">
        <is>
          <t>x̄x̄x̄V̅MMDCXXXI</t>
        </is>
      </c>
      <c r="C37632">
        <f>ROMAN(37631)</f>
        <v/>
      </c>
      <c r="D37632">
        <f>IF(B37632=C37632, "YES", "WRONG")</f>
        <v/>
      </c>
    </row>
    <row r="37633">
      <c r="A37633" t="n">
        <v>37632</v>
      </c>
      <c r="B37633" t="inlineStr">
        <is>
          <t>x̄x̄x̄V̅MMDCXXXII</t>
        </is>
      </c>
      <c r="C37633">
        <f>ROMAN(37632)</f>
        <v/>
      </c>
      <c r="D37633">
        <f>IF(B37633=C37633, "YES", "WRONG")</f>
        <v/>
      </c>
    </row>
    <row r="37634">
      <c r="A37634" t="n">
        <v>37633</v>
      </c>
      <c r="B37634" t="inlineStr">
        <is>
          <t>x̄x̄x̄V̅MMDCXXXIII</t>
        </is>
      </c>
      <c r="C37634">
        <f>ROMAN(37633)</f>
        <v/>
      </c>
      <c r="D37634">
        <f>IF(B37634=C37634, "YES", "WRONG")</f>
        <v/>
      </c>
    </row>
    <row r="37635">
      <c r="A37635" t="n">
        <v>37634</v>
      </c>
      <c r="B37635" t="inlineStr">
        <is>
          <t>x̄x̄x̄V̅MMDCXXXIV</t>
        </is>
      </c>
      <c r="C37635">
        <f>ROMAN(37634)</f>
        <v/>
      </c>
      <c r="D37635">
        <f>IF(B37635=C37635, "YES", "WRONG")</f>
        <v/>
      </c>
    </row>
    <row r="37636">
      <c r="A37636" t="n">
        <v>37635</v>
      </c>
      <c r="B37636" t="inlineStr">
        <is>
          <t>x̄x̄x̄V̅MMDCXXXV</t>
        </is>
      </c>
      <c r="C37636">
        <f>ROMAN(37635)</f>
        <v/>
      </c>
      <c r="D37636">
        <f>IF(B37636=C37636, "YES", "WRONG")</f>
        <v/>
      </c>
    </row>
    <row r="37637">
      <c r="A37637" t="n">
        <v>37636</v>
      </c>
      <c r="B37637" t="inlineStr">
        <is>
          <t>x̄x̄x̄V̅MMDCXXXVI</t>
        </is>
      </c>
      <c r="C37637">
        <f>ROMAN(37636)</f>
        <v/>
      </c>
      <c r="D37637">
        <f>IF(B37637=C37637, "YES", "WRONG")</f>
        <v/>
      </c>
    </row>
    <row r="37638">
      <c r="A37638" t="n">
        <v>37637</v>
      </c>
      <c r="B37638" t="inlineStr">
        <is>
          <t>x̄x̄x̄V̅MMDCXXXVII</t>
        </is>
      </c>
      <c r="C37638">
        <f>ROMAN(37637)</f>
        <v/>
      </c>
      <c r="D37638">
        <f>IF(B37638=C37638, "YES", "WRONG")</f>
        <v/>
      </c>
    </row>
    <row r="37639">
      <c r="A37639" t="n">
        <v>37638</v>
      </c>
      <c r="B37639" t="inlineStr">
        <is>
          <t>x̄x̄x̄V̅MMDCXXXVIII</t>
        </is>
      </c>
      <c r="C37639">
        <f>ROMAN(37638)</f>
        <v/>
      </c>
      <c r="D37639">
        <f>IF(B37639=C37639, "YES", "WRONG")</f>
        <v/>
      </c>
    </row>
    <row r="37640">
      <c r="A37640" t="n">
        <v>37639</v>
      </c>
      <c r="B37640" t="inlineStr">
        <is>
          <t>x̄x̄x̄V̅MMDCXXXIX</t>
        </is>
      </c>
      <c r="C37640">
        <f>ROMAN(37639)</f>
        <v/>
      </c>
      <c r="D37640">
        <f>IF(B37640=C37640, "YES", "WRONG")</f>
        <v/>
      </c>
    </row>
    <row r="37641">
      <c r="A37641" t="n">
        <v>37640</v>
      </c>
      <c r="B37641" t="inlineStr">
        <is>
          <t>x̄x̄x̄V̅MMDCXL</t>
        </is>
      </c>
      <c r="C37641">
        <f>ROMAN(37640)</f>
        <v/>
      </c>
      <c r="D37641">
        <f>IF(B37641=C37641, "YES", "WRONG")</f>
        <v/>
      </c>
    </row>
    <row r="37642">
      <c r="A37642" t="n">
        <v>37641</v>
      </c>
      <c r="B37642" t="inlineStr">
        <is>
          <t>x̄x̄x̄V̅MMDCXLI</t>
        </is>
      </c>
      <c r="C37642">
        <f>ROMAN(37641)</f>
        <v/>
      </c>
      <c r="D37642">
        <f>IF(B37642=C37642, "YES", "WRONG")</f>
        <v/>
      </c>
    </row>
    <row r="37643">
      <c r="A37643" t="n">
        <v>37642</v>
      </c>
      <c r="B37643" t="inlineStr">
        <is>
          <t>x̄x̄x̄V̅MMDCXLII</t>
        </is>
      </c>
      <c r="C37643">
        <f>ROMAN(37642)</f>
        <v/>
      </c>
      <c r="D37643">
        <f>IF(B37643=C37643, "YES", "WRONG")</f>
        <v/>
      </c>
    </row>
    <row r="37644">
      <c r="A37644" t="n">
        <v>37643</v>
      </c>
      <c r="B37644" t="inlineStr">
        <is>
          <t>x̄x̄x̄V̅MMDCXLIII</t>
        </is>
      </c>
      <c r="C37644">
        <f>ROMAN(37643)</f>
        <v/>
      </c>
      <c r="D37644">
        <f>IF(B37644=C37644, "YES", "WRONG")</f>
        <v/>
      </c>
    </row>
    <row r="37645">
      <c r="A37645" t="n">
        <v>37644</v>
      </c>
      <c r="B37645" t="inlineStr">
        <is>
          <t>x̄x̄x̄V̅MMDCXLIV</t>
        </is>
      </c>
      <c r="C37645">
        <f>ROMAN(37644)</f>
        <v/>
      </c>
      <c r="D37645">
        <f>IF(B37645=C37645, "YES", "WRONG")</f>
        <v/>
      </c>
    </row>
    <row r="37646">
      <c r="A37646" t="n">
        <v>37645</v>
      </c>
      <c r="B37646" t="inlineStr">
        <is>
          <t>x̄x̄x̄V̅MMDCXLV</t>
        </is>
      </c>
      <c r="C37646">
        <f>ROMAN(37645)</f>
        <v/>
      </c>
      <c r="D37646">
        <f>IF(B37646=C37646, "YES", "WRONG")</f>
        <v/>
      </c>
    </row>
    <row r="37647">
      <c r="A37647" t="n">
        <v>37646</v>
      </c>
      <c r="B37647" t="inlineStr">
        <is>
          <t>x̄x̄x̄V̅MMDCXLVI</t>
        </is>
      </c>
      <c r="C37647">
        <f>ROMAN(37646)</f>
        <v/>
      </c>
      <c r="D37647">
        <f>IF(B37647=C37647, "YES", "WRONG")</f>
        <v/>
      </c>
    </row>
    <row r="37648">
      <c r="A37648" t="n">
        <v>37647</v>
      </c>
      <c r="B37648" t="inlineStr">
        <is>
          <t>x̄x̄x̄V̅MMDCXLVII</t>
        </is>
      </c>
      <c r="C37648">
        <f>ROMAN(37647)</f>
        <v/>
      </c>
      <c r="D37648">
        <f>IF(B37648=C37648, "YES", "WRONG")</f>
        <v/>
      </c>
    </row>
    <row r="37649">
      <c r="A37649" t="n">
        <v>37648</v>
      </c>
      <c r="B37649" t="inlineStr">
        <is>
          <t>x̄x̄x̄V̅MMDCXLVIII</t>
        </is>
      </c>
      <c r="C37649">
        <f>ROMAN(37648)</f>
        <v/>
      </c>
      <c r="D37649">
        <f>IF(B37649=C37649, "YES", "WRONG")</f>
        <v/>
      </c>
    </row>
    <row r="37650">
      <c r="A37650" t="n">
        <v>37649</v>
      </c>
      <c r="B37650" t="inlineStr">
        <is>
          <t>x̄x̄x̄V̅MMDCXLIX</t>
        </is>
      </c>
      <c r="C37650">
        <f>ROMAN(37649)</f>
        <v/>
      </c>
      <c r="D37650">
        <f>IF(B37650=C37650, "YES", "WRONG")</f>
        <v/>
      </c>
    </row>
    <row r="37651">
      <c r="A37651" t="n">
        <v>37650</v>
      </c>
      <c r="B37651" t="inlineStr">
        <is>
          <t>x̄x̄x̄V̅MMDCL</t>
        </is>
      </c>
      <c r="C37651">
        <f>ROMAN(37650)</f>
        <v/>
      </c>
      <c r="D37651">
        <f>IF(B37651=C37651, "YES", "WRONG")</f>
        <v/>
      </c>
    </row>
    <row r="37652">
      <c r="A37652" t="n">
        <v>37651</v>
      </c>
      <c r="B37652" t="inlineStr">
        <is>
          <t>x̄x̄x̄V̅MMDCLI</t>
        </is>
      </c>
      <c r="C37652">
        <f>ROMAN(37651)</f>
        <v/>
      </c>
      <c r="D37652">
        <f>IF(B37652=C37652, "YES", "WRONG")</f>
        <v/>
      </c>
    </row>
    <row r="37653">
      <c r="A37653" t="n">
        <v>37652</v>
      </c>
      <c r="B37653" t="inlineStr">
        <is>
          <t>x̄x̄x̄V̅MMDCLII</t>
        </is>
      </c>
      <c r="C37653">
        <f>ROMAN(37652)</f>
        <v/>
      </c>
      <c r="D37653">
        <f>IF(B37653=C37653, "YES", "WRONG")</f>
        <v/>
      </c>
    </row>
    <row r="37654">
      <c r="A37654" t="n">
        <v>37653</v>
      </c>
      <c r="B37654" t="inlineStr">
        <is>
          <t>x̄x̄x̄V̅MMDCLIII</t>
        </is>
      </c>
      <c r="C37654">
        <f>ROMAN(37653)</f>
        <v/>
      </c>
      <c r="D37654">
        <f>IF(B37654=C37654, "YES", "WRONG")</f>
        <v/>
      </c>
    </row>
    <row r="37655">
      <c r="A37655" t="n">
        <v>37654</v>
      </c>
      <c r="B37655" t="inlineStr">
        <is>
          <t>x̄x̄x̄V̅MMDCLIV</t>
        </is>
      </c>
      <c r="C37655">
        <f>ROMAN(37654)</f>
        <v/>
      </c>
      <c r="D37655">
        <f>IF(B37655=C37655, "YES", "WRONG")</f>
        <v/>
      </c>
    </row>
    <row r="37656">
      <c r="A37656" t="n">
        <v>37655</v>
      </c>
      <c r="B37656" t="inlineStr">
        <is>
          <t>x̄x̄x̄V̅MMDCLV</t>
        </is>
      </c>
      <c r="C37656">
        <f>ROMAN(37655)</f>
        <v/>
      </c>
      <c r="D37656">
        <f>IF(B37656=C37656, "YES", "WRONG")</f>
        <v/>
      </c>
    </row>
    <row r="37657">
      <c r="A37657" t="n">
        <v>37656</v>
      </c>
      <c r="B37657" t="inlineStr">
        <is>
          <t>x̄x̄x̄V̅MMDCLVI</t>
        </is>
      </c>
      <c r="C37657">
        <f>ROMAN(37656)</f>
        <v/>
      </c>
      <c r="D37657">
        <f>IF(B37657=C37657, "YES", "WRONG")</f>
        <v/>
      </c>
    </row>
    <row r="37658">
      <c r="A37658" t="n">
        <v>37657</v>
      </c>
      <c r="B37658" t="inlineStr">
        <is>
          <t>x̄x̄x̄V̅MMDCLVII</t>
        </is>
      </c>
      <c r="C37658">
        <f>ROMAN(37657)</f>
        <v/>
      </c>
      <c r="D37658">
        <f>IF(B37658=C37658, "YES", "WRONG")</f>
        <v/>
      </c>
    </row>
    <row r="37659">
      <c r="A37659" t="n">
        <v>37658</v>
      </c>
      <c r="B37659" t="inlineStr">
        <is>
          <t>x̄x̄x̄V̅MMDCLVIII</t>
        </is>
      </c>
      <c r="C37659">
        <f>ROMAN(37658)</f>
        <v/>
      </c>
      <c r="D37659">
        <f>IF(B37659=C37659, "YES", "WRONG")</f>
        <v/>
      </c>
    </row>
    <row r="37660">
      <c r="A37660" t="n">
        <v>37659</v>
      </c>
      <c r="B37660" t="inlineStr">
        <is>
          <t>x̄x̄x̄V̅MMDCLIX</t>
        </is>
      </c>
      <c r="C37660">
        <f>ROMAN(37659)</f>
        <v/>
      </c>
      <c r="D37660">
        <f>IF(B37660=C37660, "YES", "WRONG")</f>
        <v/>
      </c>
    </row>
    <row r="37661">
      <c r="A37661" t="n">
        <v>37660</v>
      </c>
      <c r="B37661" t="inlineStr">
        <is>
          <t>x̄x̄x̄V̅MMDCLX</t>
        </is>
      </c>
      <c r="C37661">
        <f>ROMAN(37660)</f>
        <v/>
      </c>
      <c r="D37661">
        <f>IF(B37661=C37661, "YES", "WRONG")</f>
        <v/>
      </c>
    </row>
    <row r="37662">
      <c r="A37662" t="n">
        <v>37661</v>
      </c>
      <c r="B37662" t="inlineStr">
        <is>
          <t>x̄x̄x̄V̅MMDCLXI</t>
        </is>
      </c>
      <c r="C37662">
        <f>ROMAN(37661)</f>
        <v/>
      </c>
      <c r="D37662">
        <f>IF(B37662=C37662, "YES", "WRONG")</f>
        <v/>
      </c>
    </row>
    <row r="37663">
      <c r="A37663" t="n">
        <v>37662</v>
      </c>
      <c r="B37663" t="inlineStr">
        <is>
          <t>x̄x̄x̄V̅MMDCLXII</t>
        </is>
      </c>
      <c r="C37663">
        <f>ROMAN(37662)</f>
        <v/>
      </c>
      <c r="D37663">
        <f>IF(B37663=C37663, "YES", "WRONG")</f>
        <v/>
      </c>
    </row>
    <row r="37664">
      <c r="A37664" t="n">
        <v>37663</v>
      </c>
      <c r="B37664" t="inlineStr">
        <is>
          <t>x̄x̄x̄V̅MMDCLXIII</t>
        </is>
      </c>
      <c r="C37664">
        <f>ROMAN(37663)</f>
        <v/>
      </c>
      <c r="D37664">
        <f>IF(B37664=C37664, "YES", "WRONG")</f>
        <v/>
      </c>
    </row>
    <row r="37665">
      <c r="A37665" t="n">
        <v>37664</v>
      </c>
      <c r="B37665" t="inlineStr">
        <is>
          <t>x̄x̄x̄V̅MMDCLXIV</t>
        </is>
      </c>
      <c r="C37665">
        <f>ROMAN(37664)</f>
        <v/>
      </c>
      <c r="D37665">
        <f>IF(B37665=C37665, "YES", "WRONG")</f>
        <v/>
      </c>
    </row>
    <row r="37666">
      <c r="A37666" t="n">
        <v>37665</v>
      </c>
      <c r="B37666" t="inlineStr">
        <is>
          <t>x̄x̄x̄V̅MMDCLXV</t>
        </is>
      </c>
      <c r="C37666">
        <f>ROMAN(37665)</f>
        <v/>
      </c>
      <c r="D37666">
        <f>IF(B37666=C37666, "YES", "WRONG")</f>
        <v/>
      </c>
    </row>
    <row r="37667">
      <c r="A37667" t="n">
        <v>37666</v>
      </c>
      <c r="B37667" t="inlineStr">
        <is>
          <t>x̄x̄x̄V̅MMDCLXVI</t>
        </is>
      </c>
      <c r="C37667">
        <f>ROMAN(37666)</f>
        <v/>
      </c>
      <c r="D37667">
        <f>IF(B37667=C37667, "YES", "WRONG")</f>
        <v/>
      </c>
    </row>
    <row r="37668">
      <c r="A37668" t="n">
        <v>37667</v>
      </c>
      <c r="B37668" t="inlineStr">
        <is>
          <t>x̄x̄x̄V̅MMDCLXVII</t>
        </is>
      </c>
      <c r="C37668">
        <f>ROMAN(37667)</f>
        <v/>
      </c>
      <c r="D37668">
        <f>IF(B37668=C37668, "YES", "WRONG")</f>
        <v/>
      </c>
    </row>
    <row r="37669">
      <c r="A37669" t="n">
        <v>37668</v>
      </c>
      <c r="B37669" t="inlineStr">
        <is>
          <t>x̄x̄x̄V̅MMDCLXVIII</t>
        </is>
      </c>
      <c r="C37669">
        <f>ROMAN(37668)</f>
        <v/>
      </c>
      <c r="D37669">
        <f>IF(B37669=C37669, "YES", "WRONG")</f>
        <v/>
      </c>
    </row>
    <row r="37670">
      <c r="A37670" t="n">
        <v>37669</v>
      </c>
      <c r="B37670" t="inlineStr">
        <is>
          <t>x̄x̄x̄V̅MMDCLXIX</t>
        </is>
      </c>
      <c r="C37670">
        <f>ROMAN(37669)</f>
        <v/>
      </c>
      <c r="D37670">
        <f>IF(B37670=C37670, "YES", "WRONG")</f>
        <v/>
      </c>
    </row>
    <row r="37671">
      <c r="A37671" t="n">
        <v>37670</v>
      </c>
      <c r="B37671" t="inlineStr">
        <is>
          <t>x̄x̄x̄V̅MMDCLXX</t>
        </is>
      </c>
      <c r="C37671">
        <f>ROMAN(37670)</f>
        <v/>
      </c>
      <c r="D37671">
        <f>IF(B37671=C37671, "YES", "WRONG")</f>
        <v/>
      </c>
    </row>
    <row r="37672">
      <c r="A37672" t="n">
        <v>37671</v>
      </c>
      <c r="B37672" t="inlineStr">
        <is>
          <t>x̄x̄x̄V̅MMDCLXXI</t>
        </is>
      </c>
      <c r="C37672">
        <f>ROMAN(37671)</f>
        <v/>
      </c>
      <c r="D37672">
        <f>IF(B37672=C37672, "YES", "WRONG")</f>
        <v/>
      </c>
    </row>
    <row r="37673">
      <c r="A37673" t="n">
        <v>37672</v>
      </c>
      <c r="B37673" t="inlineStr">
        <is>
          <t>x̄x̄x̄V̅MMDCLXXII</t>
        </is>
      </c>
      <c r="C37673">
        <f>ROMAN(37672)</f>
        <v/>
      </c>
      <c r="D37673">
        <f>IF(B37673=C37673, "YES", "WRONG")</f>
        <v/>
      </c>
    </row>
    <row r="37674">
      <c r="A37674" t="n">
        <v>37673</v>
      </c>
      <c r="B37674" t="inlineStr">
        <is>
          <t>x̄x̄x̄V̅MMDCLXXIII</t>
        </is>
      </c>
      <c r="C37674">
        <f>ROMAN(37673)</f>
        <v/>
      </c>
      <c r="D37674">
        <f>IF(B37674=C37674, "YES", "WRONG")</f>
        <v/>
      </c>
    </row>
    <row r="37675">
      <c r="A37675" t="n">
        <v>37674</v>
      </c>
      <c r="B37675" t="inlineStr">
        <is>
          <t>x̄x̄x̄V̅MMDCLXXIV</t>
        </is>
      </c>
      <c r="C37675">
        <f>ROMAN(37674)</f>
        <v/>
      </c>
      <c r="D37675">
        <f>IF(B37675=C37675, "YES", "WRONG")</f>
        <v/>
      </c>
    </row>
    <row r="37676">
      <c r="A37676" t="n">
        <v>37675</v>
      </c>
      <c r="B37676" t="inlineStr">
        <is>
          <t>x̄x̄x̄V̅MMDCLXXV</t>
        </is>
      </c>
      <c r="C37676">
        <f>ROMAN(37675)</f>
        <v/>
      </c>
      <c r="D37676">
        <f>IF(B37676=C37676, "YES", "WRONG")</f>
        <v/>
      </c>
    </row>
    <row r="37677">
      <c r="A37677" t="n">
        <v>37676</v>
      </c>
      <c r="B37677" t="inlineStr">
        <is>
          <t>x̄x̄x̄V̅MMDCLXXVI</t>
        </is>
      </c>
      <c r="C37677">
        <f>ROMAN(37676)</f>
        <v/>
      </c>
      <c r="D37677">
        <f>IF(B37677=C37677, "YES", "WRONG")</f>
        <v/>
      </c>
    </row>
    <row r="37678">
      <c r="A37678" t="n">
        <v>37677</v>
      </c>
      <c r="B37678" t="inlineStr">
        <is>
          <t>x̄x̄x̄V̅MMDCLXXVII</t>
        </is>
      </c>
      <c r="C37678">
        <f>ROMAN(37677)</f>
        <v/>
      </c>
      <c r="D37678">
        <f>IF(B37678=C37678, "YES", "WRONG")</f>
        <v/>
      </c>
    </row>
    <row r="37679">
      <c r="A37679" t="n">
        <v>37678</v>
      </c>
      <c r="B37679" t="inlineStr">
        <is>
          <t>x̄x̄x̄V̅MMDCLXXVIII</t>
        </is>
      </c>
      <c r="C37679">
        <f>ROMAN(37678)</f>
        <v/>
      </c>
      <c r="D37679">
        <f>IF(B37679=C37679, "YES", "WRONG")</f>
        <v/>
      </c>
    </row>
    <row r="37680">
      <c r="A37680" t="n">
        <v>37679</v>
      </c>
      <c r="B37680" t="inlineStr">
        <is>
          <t>x̄x̄x̄V̅MMDCLXXIX</t>
        </is>
      </c>
      <c r="C37680">
        <f>ROMAN(37679)</f>
        <v/>
      </c>
      <c r="D37680">
        <f>IF(B37680=C37680, "YES", "WRONG")</f>
        <v/>
      </c>
    </row>
    <row r="37681">
      <c r="A37681" t="n">
        <v>37680</v>
      </c>
      <c r="B37681" t="inlineStr">
        <is>
          <t>x̄x̄x̄V̅MMDCLXXX</t>
        </is>
      </c>
      <c r="C37681">
        <f>ROMAN(37680)</f>
        <v/>
      </c>
      <c r="D37681">
        <f>IF(B37681=C37681, "YES", "WRONG")</f>
        <v/>
      </c>
    </row>
    <row r="37682">
      <c r="A37682" t="n">
        <v>37681</v>
      </c>
      <c r="B37682" t="inlineStr">
        <is>
          <t>x̄x̄x̄V̅MMDCLXXXI</t>
        </is>
      </c>
      <c r="C37682">
        <f>ROMAN(37681)</f>
        <v/>
      </c>
      <c r="D37682">
        <f>IF(B37682=C37682, "YES", "WRONG")</f>
        <v/>
      </c>
    </row>
    <row r="37683">
      <c r="A37683" t="n">
        <v>37682</v>
      </c>
      <c r="B37683" t="inlineStr">
        <is>
          <t>x̄x̄x̄V̅MMDCLXXXII</t>
        </is>
      </c>
      <c r="C37683">
        <f>ROMAN(37682)</f>
        <v/>
      </c>
      <c r="D37683">
        <f>IF(B37683=C37683, "YES", "WRONG")</f>
        <v/>
      </c>
    </row>
    <row r="37684">
      <c r="A37684" t="n">
        <v>37683</v>
      </c>
      <c r="B37684" t="inlineStr">
        <is>
          <t>x̄x̄x̄V̅MMDCLXXXIII</t>
        </is>
      </c>
      <c r="C37684">
        <f>ROMAN(37683)</f>
        <v/>
      </c>
      <c r="D37684">
        <f>IF(B37684=C37684, "YES", "WRONG")</f>
        <v/>
      </c>
    </row>
    <row r="37685">
      <c r="A37685" t="n">
        <v>37684</v>
      </c>
      <c r="B37685" t="inlineStr">
        <is>
          <t>x̄x̄x̄V̅MMDCLXXXIV</t>
        </is>
      </c>
      <c r="C37685">
        <f>ROMAN(37684)</f>
        <v/>
      </c>
      <c r="D37685">
        <f>IF(B37685=C37685, "YES", "WRONG")</f>
        <v/>
      </c>
    </row>
    <row r="37686">
      <c r="A37686" t="n">
        <v>37685</v>
      </c>
      <c r="B37686" t="inlineStr">
        <is>
          <t>x̄x̄x̄V̅MMDCLXXXV</t>
        </is>
      </c>
      <c r="C37686">
        <f>ROMAN(37685)</f>
        <v/>
      </c>
      <c r="D37686">
        <f>IF(B37686=C37686, "YES", "WRONG")</f>
        <v/>
      </c>
    </row>
    <row r="37687">
      <c r="A37687" t="n">
        <v>37686</v>
      </c>
      <c r="B37687" t="inlineStr">
        <is>
          <t>x̄x̄x̄V̅MMDCLXXXVI</t>
        </is>
      </c>
      <c r="C37687">
        <f>ROMAN(37686)</f>
        <v/>
      </c>
      <c r="D37687">
        <f>IF(B37687=C37687, "YES", "WRONG")</f>
        <v/>
      </c>
    </row>
    <row r="37688">
      <c r="A37688" t="n">
        <v>37687</v>
      </c>
      <c r="B37688" t="inlineStr">
        <is>
          <t>x̄x̄x̄V̅MMDCLXXXVII</t>
        </is>
      </c>
      <c r="C37688">
        <f>ROMAN(37687)</f>
        <v/>
      </c>
      <c r="D37688">
        <f>IF(B37688=C37688, "YES", "WRONG")</f>
        <v/>
      </c>
    </row>
    <row r="37689">
      <c r="A37689" t="n">
        <v>37688</v>
      </c>
      <c r="B37689" t="inlineStr">
        <is>
          <t>x̄x̄x̄V̅MMDCLXXXVIII</t>
        </is>
      </c>
      <c r="C37689">
        <f>ROMAN(37688)</f>
        <v/>
      </c>
      <c r="D37689">
        <f>IF(B37689=C37689, "YES", "WRONG")</f>
        <v/>
      </c>
    </row>
    <row r="37690">
      <c r="A37690" t="n">
        <v>37689</v>
      </c>
      <c r="B37690" t="inlineStr">
        <is>
          <t>x̄x̄x̄V̅MMDCLXXXIX</t>
        </is>
      </c>
      <c r="C37690">
        <f>ROMAN(37689)</f>
        <v/>
      </c>
      <c r="D37690">
        <f>IF(B37690=C37690, "YES", "WRONG")</f>
        <v/>
      </c>
    </row>
    <row r="37691">
      <c r="A37691" t="n">
        <v>37690</v>
      </c>
      <c r="B37691" t="inlineStr">
        <is>
          <t>x̄x̄x̄V̅MMDCXC</t>
        </is>
      </c>
      <c r="C37691">
        <f>ROMAN(37690)</f>
        <v/>
      </c>
      <c r="D37691">
        <f>IF(B37691=C37691, "YES", "WRONG")</f>
        <v/>
      </c>
    </row>
    <row r="37692">
      <c r="A37692" t="n">
        <v>37691</v>
      </c>
      <c r="B37692" t="inlineStr">
        <is>
          <t>x̄x̄x̄V̅MMDCXCI</t>
        </is>
      </c>
      <c r="C37692">
        <f>ROMAN(37691)</f>
        <v/>
      </c>
      <c r="D37692">
        <f>IF(B37692=C37692, "YES", "WRONG")</f>
        <v/>
      </c>
    </row>
    <row r="37693">
      <c r="A37693" t="n">
        <v>37692</v>
      </c>
      <c r="B37693" t="inlineStr">
        <is>
          <t>x̄x̄x̄V̅MMDCXCII</t>
        </is>
      </c>
      <c r="C37693">
        <f>ROMAN(37692)</f>
        <v/>
      </c>
      <c r="D37693">
        <f>IF(B37693=C37693, "YES", "WRONG")</f>
        <v/>
      </c>
    </row>
    <row r="37694">
      <c r="A37694" t="n">
        <v>37693</v>
      </c>
      <c r="B37694" t="inlineStr">
        <is>
          <t>x̄x̄x̄V̅MMDCXCIII</t>
        </is>
      </c>
      <c r="C37694">
        <f>ROMAN(37693)</f>
        <v/>
      </c>
      <c r="D37694">
        <f>IF(B37694=C37694, "YES", "WRONG")</f>
        <v/>
      </c>
    </row>
    <row r="37695">
      <c r="A37695" t="n">
        <v>37694</v>
      </c>
      <c r="B37695" t="inlineStr">
        <is>
          <t>x̄x̄x̄V̅MMDCXCIV</t>
        </is>
      </c>
      <c r="C37695">
        <f>ROMAN(37694)</f>
        <v/>
      </c>
      <c r="D37695">
        <f>IF(B37695=C37695, "YES", "WRONG")</f>
        <v/>
      </c>
    </row>
    <row r="37696">
      <c r="A37696" t="n">
        <v>37695</v>
      </c>
      <c r="B37696" t="inlineStr">
        <is>
          <t>x̄x̄x̄V̅MMDCXCV</t>
        </is>
      </c>
      <c r="C37696">
        <f>ROMAN(37695)</f>
        <v/>
      </c>
      <c r="D37696">
        <f>IF(B37696=C37696, "YES", "WRONG")</f>
        <v/>
      </c>
    </row>
    <row r="37697">
      <c r="A37697" t="n">
        <v>37696</v>
      </c>
      <c r="B37697" t="inlineStr">
        <is>
          <t>x̄x̄x̄V̅MMDCXCVI</t>
        </is>
      </c>
      <c r="C37697">
        <f>ROMAN(37696)</f>
        <v/>
      </c>
      <c r="D37697">
        <f>IF(B37697=C37697, "YES", "WRONG")</f>
        <v/>
      </c>
    </row>
    <row r="37698">
      <c r="A37698" t="n">
        <v>37697</v>
      </c>
      <c r="B37698" t="inlineStr">
        <is>
          <t>x̄x̄x̄V̅MMDCXCVII</t>
        </is>
      </c>
      <c r="C37698">
        <f>ROMAN(37697)</f>
        <v/>
      </c>
      <c r="D37698">
        <f>IF(B37698=C37698, "YES", "WRONG")</f>
        <v/>
      </c>
    </row>
    <row r="37699">
      <c r="A37699" t="n">
        <v>37698</v>
      </c>
      <c r="B37699" t="inlineStr">
        <is>
          <t>x̄x̄x̄V̅MMDCXCVIII</t>
        </is>
      </c>
      <c r="C37699">
        <f>ROMAN(37698)</f>
        <v/>
      </c>
      <c r="D37699">
        <f>IF(B37699=C37699, "YES", "WRONG")</f>
        <v/>
      </c>
    </row>
    <row r="37700">
      <c r="A37700" t="n">
        <v>37699</v>
      </c>
      <c r="B37700" t="inlineStr">
        <is>
          <t>x̄x̄x̄V̅MMDCXCIX</t>
        </is>
      </c>
      <c r="C37700">
        <f>ROMAN(37699)</f>
        <v/>
      </c>
      <c r="D37700">
        <f>IF(B37700=C37700, "YES", "WRONG")</f>
        <v/>
      </c>
    </row>
    <row r="37701">
      <c r="A37701" t="n">
        <v>37700</v>
      </c>
      <c r="B37701" t="inlineStr">
        <is>
          <t>x̄x̄x̄V̅MMDCC</t>
        </is>
      </c>
      <c r="C37701">
        <f>ROMAN(37700)</f>
        <v/>
      </c>
      <c r="D37701">
        <f>IF(B37701=C37701, "YES", "WRONG")</f>
        <v/>
      </c>
    </row>
    <row r="37702">
      <c r="A37702" t="n">
        <v>37701</v>
      </c>
      <c r="B37702" t="inlineStr">
        <is>
          <t>x̄x̄x̄V̅MMDCCI</t>
        </is>
      </c>
      <c r="C37702">
        <f>ROMAN(37701)</f>
        <v/>
      </c>
      <c r="D37702">
        <f>IF(B37702=C37702, "YES", "WRONG")</f>
        <v/>
      </c>
    </row>
    <row r="37703">
      <c r="A37703" t="n">
        <v>37702</v>
      </c>
      <c r="B37703" t="inlineStr">
        <is>
          <t>x̄x̄x̄V̅MMDCCII</t>
        </is>
      </c>
      <c r="C37703">
        <f>ROMAN(37702)</f>
        <v/>
      </c>
      <c r="D37703">
        <f>IF(B37703=C37703, "YES", "WRONG")</f>
        <v/>
      </c>
    </row>
    <row r="37704">
      <c r="A37704" t="n">
        <v>37703</v>
      </c>
      <c r="B37704" t="inlineStr">
        <is>
          <t>x̄x̄x̄V̅MMDCCIII</t>
        </is>
      </c>
      <c r="C37704">
        <f>ROMAN(37703)</f>
        <v/>
      </c>
      <c r="D37704">
        <f>IF(B37704=C37704, "YES", "WRONG")</f>
        <v/>
      </c>
    </row>
    <row r="37705">
      <c r="A37705" t="n">
        <v>37704</v>
      </c>
      <c r="B37705" t="inlineStr">
        <is>
          <t>x̄x̄x̄V̅MMDCCIV</t>
        </is>
      </c>
      <c r="C37705">
        <f>ROMAN(37704)</f>
        <v/>
      </c>
      <c r="D37705">
        <f>IF(B37705=C37705, "YES", "WRONG")</f>
        <v/>
      </c>
    </row>
    <row r="37706">
      <c r="A37706" t="n">
        <v>37705</v>
      </c>
      <c r="B37706" t="inlineStr">
        <is>
          <t>x̄x̄x̄V̅MMDCCV</t>
        </is>
      </c>
      <c r="C37706">
        <f>ROMAN(37705)</f>
        <v/>
      </c>
      <c r="D37706">
        <f>IF(B37706=C37706, "YES", "WRONG")</f>
        <v/>
      </c>
    </row>
    <row r="37707">
      <c r="A37707" t="n">
        <v>37706</v>
      </c>
      <c r="B37707" t="inlineStr">
        <is>
          <t>x̄x̄x̄V̅MMDCCVI</t>
        </is>
      </c>
      <c r="C37707">
        <f>ROMAN(37706)</f>
        <v/>
      </c>
      <c r="D37707">
        <f>IF(B37707=C37707, "YES", "WRONG")</f>
        <v/>
      </c>
    </row>
    <row r="37708">
      <c r="A37708" t="n">
        <v>37707</v>
      </c>
      <c r="B37708" t="inlineStr">
        <is>
          <t>x̄x̄x̄V̅MMDCCVII</t>
        </is>
      </c>
      <c r="C37708">
        <f>ROMAN(37707)</f>
        <v/>
      </c>
      <c r="D37708">
        <f>IF(B37708=C37708, "YES", "WRONG")</f>
        <v/>
      </c>
    </row>
    <row r="37709">
      <c r="A37709" t="n">
        <v>37708</v>
      </c>
      <c r="B37709" t="inlineStr">
        <is>
          <t>x̄x̄x̄V̅MMDCCVIII</t>
        </is>
      </c>
      <c r="C37709">
        <f>ROMAN(37708)</f>
        <v/>
      </c>
      <c r="D37709">
        <f>IF(B37709=C37709, "YES", "WRONG")</f>
        <v/>
      </c>
    </row>
    <row r="37710">
      <c r="A37710" t="n">
        <v>37709</v>
      </c>
      <c r="B37710" t="inlineStr">
        <is>
          <t>x̄x̄x̄V̅MMDCCIX</t>
        </is>
      </c>
      <c r="C37710">
        <f>ROMAN(37709)</f>
        <v/>
      </c>
      <c r="D37710">
        <f>IF(B37710=C37710, "YES", "WRONG")</f>
        <v/>
      </c>
    </row>
    <row r="37711">
      <c r="A37711" t="n">
        <v>37710</v>
      </c>
      <c r="B37711" t="inlineStr">
        <is>
          <t>x̄x̄x̄V̅MMDCCX</t>
        </is>
      </c>
      <c r="C37711">
        <f>ROMAN(37710)</f>
        <v/>
      </c>
      <c r="D37711">
        <f>IF(B37711=C37711, "YES", "WRONG")</f>
        <v/>
      </c>
    </row>
    <row r="37712">
      <c r="A37712" t="n">
        <v>37711</v>
      </c>
      <c r="B37712" t="inlineStr">
        <is>
          <t>x̄x̄x̄V̅MMDCCXI</t>
        </is>
      </c>
      <c r="C37712">
        <f>ROMAN(37711)</f>
        <v/>
      </c>
      <c r="D37712">
        <f>IF(B37712=C37712, "YES", "WRONG")</f>
        <v/>
      </c>
    </row>
    <row r="37713">
      <c r="A37713" t="n">
        <v>37712</v>
      </c>
      <c r="B37713" t="inlineStr">
        <is>
          <t>x̄x̄x̄V̅MMDCCXII</t>
        </is>
      </c>
      <c r="C37713">
        <f>ROMAN(37712)</f>
        <v/>
      </c>
      <c r="D37713">
        <f>IF(B37713=C37713, "YES", "WRONG")</f>
        <v/>
      </c>
    </row>
    <row r="37714">
      <c r="A37714" t="n">
        <v>37713</v>
      </c>
      <c r="B37714" t="inlineStr">
        <is>
          <t>x̄x̄x̄V̅MMDCCXIII</t>
        </is>
      </c>
      <c r="C37714">
        <f>ROMAN(37713)</f>
        <v/>
      </c>
      <c r="D37714">
        <f>IF(B37714=C37714, "YES", "WRONG")</f>
        <v/>
      </c>
    </row>
    <row r="37715">
      <c r="A37715" t="n">
        <v>37714</v>
      </c>
      <c r="B37715" t="inlineStr">
        <is>
          <t>x̄x̄x̄V̅MMDCCXIV</t>
        </is>
      </c>
      <c r="C37715">
        <f>ROMAN(37714)</f>
        <v/>
      </c>
      <c r="D37715">
        <f>IF(B37715=C37715, "YES", "WRONG")</f>
        <v/>
      </c>
    </row>
    <row r="37716">
      <c r="A37716" t="n">
        <v>37715</v>
      </c>
      <c r="B37716" t="inlineStr">
        <is>
          <t>x̄x̄x̄V̅MMDCCXV</t>
        </is>
      </c>
      <c r="C37716">
        <f>ROMAN(37715)</f>
        <v/>
      </c>
      <c r="D37716">
        <f>IF(B37716=C37716, "YES", "WRONG")</f>
        <v/>
      </c>
    </row>
    <row r="37717">
      <c r="A37717" t="n">
        <v>37716</v>
      </c>
      <c r="B37717" t="inlineStr">
        <is>
          <t>x̄x̄x̄V̅MMDCCXVI</t>
        </is>
      </c>
      <c r="C37717">
        <f>ROMAN(37716)</f>
        <v/>
      </c>
      <c r="D37717">
        <f>IF(B37717=C37717, "YES", "WRONG")</f>
        <v/>
      </c>
    </row>
    <row r="37718">
      <c r="A37718" t="n">
        <v>37717</v>
      </c>
      <c r="B37718" t="inlineStr">
        <is>
          <t>x̄x̄x̄V̅MMDCCXVII</t>
        </is>
      </c>
      <c r="C37718">
        <f>ROMAN(37717)</f>
        <v/>
      </c>
      <c r="D37718">
        <f>IF(B37718=C37718, "YES", "WRONG")</f>
        <v/>
      </c>
    </row>
    <row r="37719">
      <c r="A37719" t="n">
        <v>37718</v>
      </c>
      <c r="B37719" t="inlineStr">
        <is>
          <t>x̄x̄x̄V̅MMDCCXVIII</t>
        </is>
      </c>
      <c r="C37719">
        <f>ROMAN(37718)</f>
        <v/>
      </c>
      <c r="D37719">
        <f>IF(B37719=C37719, "YES", "WRONG")</f>
        <v/>
      </c>
    </row>
    <row r="37720">
      <c r="A37720" t="n">
        <v>37719</v>
      </c>
      <c r="B37720" t="inlineStr">
        <is>
          <t>x̄x̄x̄V̅MMDCCXIX</t>
        </is>
      </c>
      <c r="C37720">
        <f>ROMAN(37719)</f>
        <v/>
      </c>
      <c r="D37720">
        <f>IF(B37720=C37720, "YES", "WRONG")</f>
        <v/>
      </c>
    </row>
    <row r="37721">
      <c r="A37721" t="n">
        <v>37720</v>
      </c>
      <c r="B37721" t="inlineStr">
        <is>
          <t>x̄x̄x̄V̅MMDCCXX</t>
        </is>
      </c>
      <c r="C37721">
        <f>ROMAN(37720)</f>
        <v/>
      </c>
      <c r="D37721">
        <f>IF(B37721=C37721, "YES", "WRONG")</f>
        <v/>
      </c>
    </row>
    <row r="37722">
      <c r="A37722" t="n">
        <v>37721</v>
      </c>
      <c r="B37722" t="inlineStr">
        <is>
          <t>x̄x̄x̄V̅MMDCCXXI</t>
        </is>
      </c>
      <c r="C37722">
        <f>ROMAN(37721)</f>
        <v/>
      </c>
      <c r="D37722">
        <f>IF(B37722=C37722, "YES", "WRONG")</f>
        <v/>
      </c>
    </row>
    <row r="37723">
      <c r="A37723" t="n">
        <v>37722</v>
      </c>
      <c r="B37723" t="inlineStr">
        <is>
          <t>x̄x̄x̄V̅MMDCCXXII</t>
        </is>
      </c>
      <c r="C37723">
        <f>ROMAN(37722)</f>
        <v/>
      </c>
      <c r="D37723">
        <f>IF(B37723=C37723, "YES", "WRONG")</f>
        <v/>
      </c>
    </row>
    <row r="37724">
      <c r="A37724" t="n">
        <v>37723</v>
      </c>
      <c r="B37724" t="inlineStr">
        <is>
          <t>x̄x̄x̄V̅MMDCCXXIII</t>
        </is>
      </c>
      <c r="C37724">
        <f>ROMAN(37723)</f>
        <v/>
      </c>
      <c r="D37724">
        <f>IF(B37724=C37724, "YES", "WRONG")</f>
        <v/>
      </c>
    </row>
    <row r="37725">
      <c r="A37725" t="n">
        <v>37724</v>
      </c>
      <c r="B37725" t="inlineStr">
        <is>
          <t>x̄x̄x̄V̅MMDCCXXIV</t>
        </is>
      </c>
      <c r="C37725">
        <f>ROMAN(37724)</f>
        <v/>
      </c>
      <c r="D37725">
        <f>IF(B37725=C37725, "YES", "WRONG")</f>
        <v/>
      </c>
    </row>
    <row r="37726">
      <c r="A37726" t="n">
        <v>37725</v>
      </c>
      <c r="B37726" t="inlineStr">
        <is>
          <t>x̄x̄x̄V̅MMDCCXXV</t>
        </is>
      </c>
      <c r="C37726">
        <f>ROMAN(37725)</f>
        <v/>
      </c>
      <c r="D37726">
        <f>IF(B37726=C37726, "YES", "WRONG")</f>
        <v/>
      </c>
    </row>
    <row r="37727">
      <c r="A37727" t="n">
        <v>37726</v>
      </c>
      <c r="B37727" t="inlineStr">
        <is>
          <t>x̄x̄x̄V̅MMDCCXXVI</t>
        </is>
      </c>
      <c r="C37727">
        <f>ROMAN(37726)</f>
        <v/>
      </c>
      <c r="D37727">
        <f>IF(B37727=C37727, "YES", "WRONG")</f>
        <v/>
      </c>
    </row>
    <row r="37728">
      <c r="A37728" t="n">
        <v>37727</v>
      </c>
      <c r="B37728" t="inlineStr">
        <is>
          <t>x̄x̄x̄V̅MMDCCXXVII</t>
        </is>
      </c>
      <c r="C37728">
        <f>ROMAN(37727)</f>
        <v/>
      </c>
      <c r="D37728">
        <f>IF(B37728=C37728, "YES", "WRONG")</f>
        <v/>
      </c>
    </row>
    <row r="37729">
      <c r="A37729" t="n">
        <v>37728</v>
      </c>
      <c r="B37729" t="inlineStr">
        <is>
          <t>x̄x̄x̄V̅MMDCCXXVIII</t>
        </is>
      </c>
      <c r="C37729">
        <f>ROMAN(37728)</f>
        <v/>
      </c>
      <c r="D37729">
        <f>IF(B37729=C37729, "YES", "WRONG")</f>
        <v/>
      </c>
    </row>
    <row r="37730">
      <c r="A37730" t="n">
        <v>37729</v>
      </c>
      <c r="B37730" t="inlineStr">
        <is>
          <t>x̄x̄x̄V̅MMDCCXXIX</t>
        </is>
      </c>
      <c r="C37730">
        <f>ROMAN(37729)</f>
        <v/>
      </c>
      <c r="D37730">
        <f>IF(B37730=C37730, "YES", "WRONG")</f>
        <v/>
      </c>
    </row>
    <row r="37731">
      <c r="A37731" t="n">
        <v>37730</v>
      </c>
      <c r="B37731" t="inlineStr">
        <is>
          <t>x̄x̄x̄V̅MMDCCXXX</t>
        </is>
      </c>
      <c r="C37731">
        <f>ROMAN(37730)</f>
        <v/>
      </c>
      <c r="D37731">
        <f>IF(B37731=C37731, "YES", "WRONG")</f>
        <v/>
      </c>
    </row>
    <row r="37732">
      <c r="A37732" t="n">
        <v>37731</v>
      </c>
      <c r="B37732" t="inlineStr">
        <is>
          <t>x̄x̄x̄V̅MMDCCXXXI</t>
        </is>
      </c>
      <c r="C37732">
        <f>ROMAN(37731)</f>
        <v/>
      </c>
      <c r="D37732">
        <f>IF(B37732=C37732, "YES", "WRONG")</f>
        <v/>
      </c>
    </row>
    <row r="37733">
      <c r="A37733" t="n">
        <v>37732</v>
      </c>
      <c r="B37733" t="inlineStr">
        <is>
          <t>x̄x̄x̄V̅MMDCCXXXII</t>
        </is>
      </c>
      <c r="C37733">
        <f>ROMAN(37732)</f>
        <v/>
      </c>
      <c r="D37733">
        <f>IF(B37733=C37733, "YES", "WRONG")</f>
        <v/>
      </c>
    </row>
    <row r="37734">
      <c r="A37734" t="n">
        <v>37733</v>
      </c>
      <c r="B37734" t="inlineStr">
        <is>
          <t>x̄x̄x̄V̅MMDCCXXXIII</t>
        </is>
      </c>
      <c r="C37734">
        <f>ROMAN(37733)</f>
        <v/>
      </c>
      <c r="D37734">
        <f>IF(B37734=C37734, "YES", "WRONG")</f>
        <v/>
      </c>
    </row>
    <row r="37735">
      <c r="A37735" t="n">
        <v>37734</v>
      </c>
      <c r="B37735" t="inlineStr">
        <is>
          <t>x̄x̄x̄V̅MMDCCXXXIV</t>
        </is>
      </c>
      <c r="C37735">
        <f>ROMAN(37734)</f>
        <v/>
      </c>
      <c r="D37735">
        <f>IF(B37735=C37735, "YES", "WRONG")</f>
        <v/>
      </c>
    </row>
    <row r="37736">
      <c r="A37736" t="n">
        <v>37735</v>
      </c>
      <c r="B37736" t="inlineStr">
        <is>
          <t>x̄x̄x̄V̅MMDCCXXXV</t>
        </is>
      </c>
      <c r="C37736">
        <f>ROMAN(37735)</f>
        <v/>
      </c>
      <c r="D37736">
        <f>IF(B37736=C37736, "YES", "WRONG")</f>
        <v/>
      </c>
    </row>
    <row r="37737">
      <c r="A37737" t="n">
        <v>37736</v>
      </c>
      <c r="B37737" t="inlineStr">
        <is>
          <t>x̄x̄x̄V̅MMDCCXXXVI</t>
        </is>
      </c>
      <c r="C37737">
        <f>ROMAN(37736)</f>
        <v/>
      </c>
      <c r="D37737">
        <f>IF(B37737=C37737, "YES", "WRONG")</f>
        <v/>
      </c>
    </row>
    <row r="37738">
      <c r="A37738" t="n">
        <v>37737</v>
      </c>
      <c r="B37738" t="inlineStr">
        <is>
          <t>x̄x̄x̄V̅MMDCCXXXVII</t>
        </is>
      </c>
      <c r="C37738">
        <f>ROMAN(37737)</f>
        <v/>
      </c>
      <c r="D37738">
        <f>IF(B37738=C37738, "YES", "WRONG")</f>
        <v/>
      </c>
    </row>
    <row r="37739">
      <c r="A37739" t="n">
        <v>37738</v>
      </c>
      <c r="B37739" t="inlineStr">
        <is>
          <t>x̄x̄x̄V̅MMDCCXXXVIII</t>
        </is>
      </c>
      <c r="C37739">
        <f>ROMAN(37738)</f>
        <v/>
      </c>
      <c r="D37739">
        <f>IF(B37739=C37739, "YES", "WRONG")</f>
        <v/>
      </c>
    </row>
    <row r="37740">
      <c r="A37740" t="n">
        <v>37739</v>
      </c>
      <c r="B37740" t="inlineStr">
        <is>
          <t>x̄x̄x̄V̅MMDCCXXXIX</t>
        </is>
      </c>
      <c r="C37740">
        <f>ROMAN(37739)</f>
        <v/>
      </c>
      <c r="D37740">
        <f>IF(B37740=C37740, "YES", "WRONG")</f>
        <v/>
      </c>
    </row>
    <row r="37741">
      <c r="A37741" t="n">
        <v>37740</v>
      </c>
      <c r="B37741" t="inlineStr">
        <is>
          <t>x̄x̄x̄V̅MMDCCXL</t>
        </is>
      </c>
      <c r="C37741">
        <f>ROMAN(37740)</f>
        <v/>
      </c>
      <c r="D37741">
        <f>IF(B37741=C37741, "YES", "WRONG")</f>
        <v/>
      </c>
    </row>
    <row r="37742">
      <c r="A37742" t="n">
        <v>37741</v>
      </c>
      <c r="B37742" t="inlineStr">
        <is>
          <t>x̄x̄x̄V̅MMDCCXLI</t>
        </is>
      </c>
      <c r="C37742">
        <f>ROMAN(37741)</f>
        <v/>
      </c>
      <c r="D37742">
        <f>IF(B37742=C37742, "YES", "WRONG")</f>
        <v/>
      </c>
    </row>
    <row r="37743">
      <c r="A37743" t="n">
        <v>37742</v>
      </c>
      <c r="B37743" t="inlineStr">
        <is>
          <t>x̄x̄x̄V̅MMDCCXLII</t>
        </is>
      </c>
      <c r="C37743">
        <f>ROMAN(37742)</f>
        <v/>
      </c>
      <c r="D37743">
        <f>IF(B37743=C37743, "YES", "WRONG")</f>
        <v/>
      </c>
    </row>
    <row r="37744">
      <c r="A37744" t="n">
        <v>37743</v>
      </c>
      <c r="B37744" t="inlineStr">
        <is>
          <t>x̄x̄x̄V̅MMDCCXLIII</t>
        </is>
      </c>
      <c r="C37744">
        <f>ROMAN(37743)</f>
        <v/>
      </c>
      <c r="D37744">
        <f>IF(B37744=C37744, "YES", "WRONG")</f>
        <v/>
      </c>
    </row>
    <row r="37745">
      <c r="A37745" t="n">
        <v>37744</v>
      </c>
      <c r="B37745" t="inlineStr">
        <is>
          <t>x̄x̄x̄V̅MMDCCXLIV</t>
        </is>
      </c>
      <c r="C37745">
        <f>ROMAN(37744)</f>
        <v/>
      </c>
      <c r="D37745">
        <f>IF(B37745=C37745, "YES", "WRONG")</f>
        <v/>
      </c>
    </row>
    <row r="37746">
      <c r="A37746" t="n">
        <v>37745</v>
      </c>
      <c r="B37746" t="inlineStr">
        <is>
          <t>x̄x̄x̄V̅MMDCCXLV</t>
        </is>
      </c>
      <c r="C37746">
        <f>ROMAN(37745)</f>
        <v/>
      </c>
      <c r="D37746">
        <f>IF(B37746=C37746, "YES", "WRONG")</f>
        <v/>
      </c>
    </row>
    <row r="37747">
      <c r="A37747" t="n">
        <v>37746</v>
      </c>
      <c r="B37747" t="inlineStr">
        <is>
          <t>x̄x̄x̄V̅MMDCCXLVI</t>
        </is>
      </c>
      <c r="C37747">
        <f>ROMAN(37746)</f>
        <v/>
      </c>
      <c r="D37747">
        <f>IF(B37747=C37747, "YES", "WRONG")</f>
        <v/>
      </c>
    </row>
    <row r="37748">
      <c r="A37748" t="n">
        <v>37747</v>
      </c>
      <c r="B37748" t="inlineStr">
        <is>
          <t>x̄x̄x̄V̅MMDCCXLVII</t>
        </is>
      </c>
      <c r="C37748">
        <f>ROMAN(37747)</f>
        <v/>
      </c>
      <c r="D37748">
        <f>IF(B37748=C37748, "YES", "WRONG")</f>
        <v/>
      </c>
    </row>
    <row r="37749">
      <c r="A37749" t="n">
        <v>37748</v>
      </c>
      <c r="B37749" t="inlineStr">
        <is>
          <t>x̄x̄x̄V̅MMDCCXLVIII</t>
        </is>
      </c>
      <c r="C37749">
        <f>ROMAN(37748)</f>
        <v/>
      </c>
      <c r="D37749">
        <f>IF(B37749=C37749, "YES", "WRONG")</f>
        <v/>
      </c>
    </row>
    <row r="37750">
      <c r="A37750" t="n">
        <v>37749</v>
      </c>
      <c r="B37750" t="inlineStr">
        <is>
          <t>x̄x̄x̄V̅MMDCCXLIX</t>
        </is>
      </c>
      <c r="C37750">
        <f>ROMAN(37749)</f>
        <v/>
      </c>
      <c r="D37750">
        <f>IF(B37750=C37750, "YES", "WRONG")</f>
        <v/>
      </c>
    </row>
    <row r="37751">
      <c r="A37751" t="n">
        <v>37750</v>
      </c>
      <c r="B37751" t="inlineStr">
        <is>
          <t>x̄x̄x̄V̅MMDCCL</t>
        </is>
      </c>
      <c r="C37751">
        <f>ROMAN(37750)</f>
        <v/>
      </c>
      <c r="D37751">
        <f>IF(B37751=C37751, "YES", "WRONG")</f>
        <v/>
      </c>
    </row>
    <row r="37752">
      <c r="A37752" t="n">
        <v>37751</v>
      </c>
      <c r="B37752" t="inlineStr">
        <is>
          <t>x̄x̄x̄V̅MMDCCLI</t>
        </is>
      </c>
      <c r="C37752">
        <f>ROMAN(37751)</f>
        <v/>
      </c>
      <c r="D37752">
        <f>IF(B37752=C37752, "YES", "WRONG")</f>
        <v/>
      </c>
    </row>
    <row r="37753">
      <c r="A37753" t="n">
        <v>37752</v>
      </c>
      <c r="B37753" t="inlineStr">
        <is>
          <t>x̄x̄x̄V̅MMDCCLII</t>
        </is>
      </c>
      <c r="C37753">
        <f>ROMAN(37752)</f>
        <v/>
      </c>
      <c r="D37753">
        <f>IF(B37753=C37753, "YES", "WRONG")</f>
        <v/>
      </c>
    </row>
    <row r="37754">
      <c r="A37754" t="n">
        <v>37753</v>
      </c>
      <c r="B37754" t="inlineStr">
        <is>
          <t>x̄x̄x̄V̅MMDCCLIII</t>
        </is>
      </c>
      <c r="C37754">
        <f>ROMAN(37753)</f>
        <v/>
      </c>
      <c r="D37754">
        <f>IF(B37754=C37754, "YES", "WRONG")</f>
        <v/>
      </c>
    </row>
    <row r="37755">
      <c r="A37755" t="n">
        <v>37754</v>
      </c>
      <c r="B37755" t="inlineStr">
        <is>
          <t>x̄x̄x̄V̅MMDCCLIV</t>
        </is>
      </c>
      <c r="C37755">
        <f>ROMAN(37754)</f>
        <v/>
      </c>
      <c r="D37755">
        <f>IF(B37755=C37755, "YES", "WRONG")</f>
        <v/>
      </c>
    </row>
    <row r="37756">
      <c r="A37756" t="n">
        <v>37755</v>
      </c>
      <c r="B37756" t="inlineStr">
        <is>
          <t>x̄x̄x̄V̅MMDCCLV</t>
        </is>
      </c>
      <c r="C37756">
        <f>ROMAN(37755)</f>
        <v/>
      </c>
      <c r="D37756">
        <f>IF(B37756=C37756, "YES", "WRONG")</f>
        <v/>
      </c>
    </row>
    <row r="37757">
      <c r="A37757" t="n">
        <v>37756</v>
      </c>
      <c r="B37757" t="inlineStr">
        <is>
          <t>x̄x̄x̄V̅MMDCCLVI</t>
        </is>
      </c>
      <c r="C37757">
        <f>ROMAN(37756)</f>
        <v/>
      </c>
      <c r="D37757">
        <f>IF(B37757=C37757, "YES", "WRONG")</f>
        <v/>
      </c>
    </row>
    <row r="37758">
      <c r="A37758" t="n">
        <v>37757</v>
      </c>
      <c r="B37758" t="inlineStr">
        <is>
          <t>x̄x̄x̄V̅MMDCCLVII</t>
        </is>
      </c>
      <c r="C37758">
        <f>ROMAN(37757)</f>
        <v/>
      </c>
      <c r="D37758">
        <f>IF(B37758=C37758, "YES", "WRONG")</f>
        <v/>
      </c>
    </row>
    <row r="37759">
      <c r="A37759" t="n">
        <v>37758</v>
      </c>
      <c r="B37759" t="inlineStr">
        <is>
          <t>x̄x̄x̄V̅MMDCCLVIII</t>
        </is>
      </c>
      <c r="C37759">
        <f>ROMAN(37758)</f>
        <v/>
      </c>
      <c r="D37759">
        <f>IF(B37759=C37759, "YES", "WRONG")</f>
        <v/>
      </c>
    </row>
    <row r="37760">
      <c r="A37760" t="n">
        <v>37759</v>
      </c>
      <c r="B37760" t="inlineStr">
        <is>
          <t>x̄x̄x̄V̅MMDCCLIX</t>
        </is>
      </c>
      <c r="C37760">
        <f>ROMAN(37759)</f>
        <v/>
      </c>
      <c r="D37760">
        <f>IF(B37760=C37760, "YES", "WRONG")</f>
        <v/>
      </c>
    </row>
    <row r="37761">
      <c r="A37761" t="n">
        <v>37760</v>
      </c>
      <c r="B37761" t="inlineStr">
        <is>
          <t>x̄x̄x̄V̅MMDCCLX</t>
        </is>
      </c>
      <c r="C37761">
        <f>ROMAN(37760)</f>
        <v/>
      </c>
      <c r="D37761">
        <f>IF(B37761=C37761, "YES", "WRONG")</f>
        <v/>
      </c>
    </row>
    <row r="37762">
      <c r="A37762" t="n">
        <v>37761</v>
      </c>
      <c r="B37762" t="inlineStr">
        <is>
          <t>x̄x̄x̄V̅MMDCCLXI</t>
        </is>
      </c>
      <c r="C37762">
        <f>ROMAN(37761)</f>
        <v/>
      </c>
      <c r="D37762">
        <f>IF(B37762=C37762, "YES", "WRONG")</f>
        <v/>
      </c>
    </row>
    <row r="37763">
      <c r="A37763" t="n">
        <v>37762</v>
      </c>
      <c r="B37763" t="inlineStr">
        <is>
          <t>x̄x̄x̄V̅MMDCCLXII</t>
        </is>
      </c>
      <c r="C37763">
        <f>ROMAN(37762)</f>
        <v/>
      </c>
      <c r="D37763">
        <f>IF(B37763=C37763, "YES", "WRONG")</f>
        <v/>
      </c>
    </row>
    <row r="37764">
      <c r="A37764" t="n">
        <v>37763</v>
      </c>
      <c r="B37764" t="inlineStr">
        <is>
          <t>x̄x̄x̄V̅MMDCCLXIII</t>
        </is>
      </c>
      <c r="C37764">
        <f>ROMAN(37763)</f>
        <v/>
      </c>
      <c r="D37764">
        <f>IF(B37764=C37764, "YES", "WRONG")</f>
        <v/>
      </c>
    </row>
    <row r="37765">
      <c r="A37765" t="n">
        <v>37764</v>
      </c>
      <c r="B37765" t="inlineStr">
        <is>
          <t>x̄x̄x̄V̅MMDCCLXIV</t>
        </is>
      </c>
      <c r="C37765">
        <f>ROMAN(37764)</f>
        <v/>
      </c>
      <c r="D37765">
        <f>IF(B37765=C37765, "YES", "WRONG")</f>
        <v/>
      </c>
    </row>
    <row r="37766">
      <c r="A37766" t="n">
        <v>37765</v>
      </c>
      <c r="B37766" t="inlineStr">
        <is>
          <t>x̄x̄x̄V̅MMDCCLXV</t>
        </is>
      </c>
      <c r="C37766">
        <f>ROMAN(37765)</f>
        <v/>
      </c>
      <c r="D37766">
        <f>IF(B37766=C37766, "YES", "WRONG")</f>
        <v/>
      </c>
    </row>
    <row r="37767">
      <c r="A37767" t="n">
        <v>37766</v>
      </c>
      <c r="B37767" t="inlineStr">
        <is>
          <t>x̄x̄x̄V̅MMDCCLXVI</t>
        </is>
      </c>
      <c r="C37767">
        <f>ROMAN(37766)</f>
        <v/>
      </c>
      <c r="D37767">
        <f>IF(B37767=C37767, "YES", "WRONG")</f>
        <v/>
      </c>
    </row>
    <row r="37768">
      <c r="A37768" t="n">
        <v>37767</v>
      </c>
      <c r="B37768" t="inlineStr">
        <is>
          <t>x̄x̄x̄V̅MMDCCLXVII</t>
        </is>
      </c>
      <c r="C37768">
        <f>ROMAN(37767)</f>
        <v/>
      </c>
      <c r="D37768">
        <f>IF(B37768=C37768, "YES", "WRONG")</f>
        <v/>
      </c>
    </row>
    <row r="37769">
      <c r="A37769" t="n">
        <v>37768</v>
      </c>
      <c r="B37769" t="inlineStr">
        <is>
          <t>x̄x̄x̄V̅MMDCCLXVIII</t>
        </is>
      </c>
      <c r="C37769">
        <f>ROMAN(37768)</f>
        <v/>
      </c>
      <c r="D37769">
        <f>IF(B37769=C37769, "YES", "WRONG")</f>
        <v/>
      </c>
    </row>
    <row r="37770">
      <c r="A37770" t="n">
        <v>37769</v>
      </c>
      <c r="B37770" t="inlineStr">
        <is>
          <t>x̄x̄x̄V̅MMDCCLXIX</t>
        </is>
      </c>
      <c r="C37770">
        <f>ROMAN(37769)</f>
        <v/>
      </c>
      <c r="D37770">
        <f>IF(B37770=C37770, "YES", "WRONG")</f>
        <v/>
      </c>
    </row>
    <row r="37771">
      <c r="A37771" t="n">
        <v>37770</v>
      </c>
      <c r="B37771" t="inlineStr">
        <is>
          <t>x̄x̄x̄V̅MMDCCLXX</t>
        </is>
      </c>
      <c r="C37771">
        <f>ROMAN(37770)</f>
        <v/>
      </c>
      <c r="D37771">
        <f>IF(B37771=C37771, "YES", "WRONG")</f>
        <v/>
      </c>
    </row>
    <row r="37772">
      <c r="A37772" t="n">
        <v>37771</v>
      </c>
      <c r="B37772" t="inlineStr">
        <is>
          <t>x̄x̄x̄V̅MMDCCLXXI</t>
        </is>
      </c>
      <c r="C37772">
        <f>ROMAN(37771)</f>
        <v/>
      </c>
      <c r="D37772">
        <f>IF(B37772=C37772, "YES", "WRONG")</f>
        <v/>
      </c>
    </row>
    <row r="37773">
      <c r="A37773" t="n">
        <v>37772</v>
      </c>
      <c r="B37773" t="inlineStr">
        <is>
          <t>x̄x̄x̄V̅MMDCCLXXII</t>
        </is>
      </c>
      <c r="C37773">
        <f>ROMAN(37772)</f>
        <v/>
      </c>
      <c r="D37773">
        <f>IF(B37773=C37773, "YES", "WRONG")</f>
        <v/>
      </c>
    </row>
    <row r="37774">
      <c r="A37774" t="n">
        <v>37773</v>
      </c>
      <c r="B37774" t="inlineStr">
        <is>
          <t>x̄x̄x̄V̅MMDCCLXXIII</t>
        </is>
      </c>
      <c r="C37774">
        <f>ROMAN(37773)</f>
        <v/>
      </c>
      <c r="D37774">
        <f>IF(B37774=C37774, "YES", "WRONG")</f>
        <v/>
      </c>
    </row>
    <row r="37775">
      <c r="A37775" t="n">
        <v>37774</v>
      </c>
      <c r="B37775" t="inlineStr">
        <is>
          <t>x̄x̄x̄V̅MMDCCLXXIV</t>
        </is>
      </c>
      <c r="C37775">
        <f>ROMAN(37774)</f>
        <v/>
      </c>
      <c r="D37775">
        <f>IF(B37775=C37775, "YES", "WRONG")</f>
        <v/>
      </c>
    </row>
    <row r="37776">
      <c r="A37776" t="n">
        <v>37775</v>
      </c>
      <c r="B37776" t="inlineStr">
        <is>
          <t>x̄x̄x̄V̅MMDCCLXXV</t>
        </is>
      </c>
      <c r="C37776">
        <f>ROMAN(37775)</f>
        <v/>
      </c>
      <c r="D37776">
        <f>IF(B37776=C37776, "YES", "WRONG")</f>
        <v/>
      </c>
    </row>
    <row r="37777">
      <c r="A37777" t="n">
        <v>37776</v>
      </c>
      <c r="B37777" t="inlineStr">
        <is>
          <t>x̄x̄x̄V̅MMDCCLXXVI</t>
        </is>
      </c>
      <c r="C37777">
        <f>ROMAN(37776)</f>
        <v/>
      </c>
      <c r="D37777">
        <f>IF(B37777=C37777, "YES", "WRONG")</f>
        <v/>
      </c>
    </row>
    <row r="37778">
      <c r="A37778" t="n">
        <v>37777</v>
      </c>
      <c r="B37778" t="inlineStr">
        <is>
          <t>x̄x̄x̄V̅MMDCCLXXVII</t>
        </is>
      </c>
      <c r="C37778">
        <f>ROMAN(37777)</f>
        <v/>
      </c>
      <c r="D37778">
        <f>IF(B37778=C37778, "YES", "WRONG")</f>
        <v/>
      </c>
    </row>
    <row r="37779">
      <c r="A37779" t="n">
        <v>37778</v>
      </c>
      <c r="B37779" t="inlineStr">
        <is>
          <t>x̄x̄x̄V̅MMDCCLXXVIII</t>
        </is>
      </c>
      <c r="C37779">
        <f>ROMAN(37778)</f>
        <v/>
      </c>
      <c r="D37779">
        <f>IF(B37779=C37779, "YES", "WRONG")</f>
        <v/>
      </c>
    </row>
    <row r="37780">
      <c r="A37780" t="n">
        <v>37779</v>
      </c>
      <c r="B37780" t="inlineStr">
        <is>
          <t>x̄x̄x̄V̅MMDCCLXXIX</t>
        </is>
      </c>
      <c r="C37780">
        <f>ROMAN(37779)</f>
        <v/>
      </c>
      <c r="D37780">
        <f>IF(B37780=C37780, "YES", "WRONG")</f>
        <v/>
      </c>
    </row>
    <row r="37781">
      <c r="A37781" t="n">
        <v>37780</v>
      </c>
      <c r="B37781" t="inlineStr">
        <is>
          <t>x̄x̄x̄V̅MMDCCLXXX</t>
        </is>
      </c>
      <c r="C37781">
        <f>ROMAN(37780)</f>
        <v/>
      </c>
      <c r="D37781">
        <f>IF(B37781=C37781, "YES", "WRONG")</f>
        <v/>
      </c>
    </row>
    <row r="37782">
      <c r="A37782" t="n">
        <v>37781</v>
      </c>
      <c r="B37782" t="inlineStr">
        <is>
          <t>x̄x̄x̄V̅MMDCCLXXXI</t>
        </is>
      </c>
      <c r="C37782">
        <f>ROMAN(37781)</f>
        <v/>
      </c>
      <c r="D37782">
        <f>IF(B37782=C37782, "YES", "WRONG")</f>
        <v/>
      </c>
    </row>
    <row r="37783">
      <c r="A37783" t="n">
        <v>37782</v>
      </c>
      <c r="B37783" t="inlineStr">
        <is>
          <t>x̄x̄x̄V̅MMDCCLXXXII</t>
        </is>
      </c>
      <c r="C37783">
        <f>ROMAN(37782)</f>
        <v/>
      </c>
      <c r="D37783">
        <f>IF(B37783=C37783, "YES", "WRONG")</f>
        <v/>
      </c>
    </row>
    <row r="37784">
      <c r="A37784" t="n">
        <v>37783</v>
      </c>
      <c r="B37784" t="inlineStr">
        <is>
          <t>x̄x̄x̄V̅MMDCCLXXXIII</t>
        </is>
      </c>
      <c r="C37784">
        <f>ROMAN(37783)</f>
        <v/>
      </c>
      <c r="D37784">
        <f>IF(B37784=C37784, "YES", "WRONG")</f>
        <v/>
      </c>
    </row>
    <row r="37785">
      <c r="A37785" t="n">
        <v>37784</v>
      </c>
      <c r="B37785" t="inlineStr">
        <is>
          <t>x̄x̄x̄V̅MMDCCLXXXIV</t>
        </is>
      </c>
      <c r="C37785">
        <f>ROMAN(37784)</f>
        <v/>
      </c>
      <c r="D37785">
        <f>IF(B37785=C37785, "YES", "WRONG")</f>
        <v/>
      </c>
    </row>
    <row r="37786">
      <c r="A37786" t="n">
        <v>37785</v>
      </c>
      <c r="B37786" t="inlineStr">
        <is>
          <t>x̄x̄x̄V̅MMDCCLXXXV</t>
        </is>
      </c>
      <c r="C37786">
        <f>ROMAN(37785)</f>
        <v/>
      </c>
      <c r="D37786">
        <f>IF(B37786=C37786, "YES", "WRONG")</f>
        <v/>
      </c>
    </row>
    <row r="37787">
      <c r="A37787" t="n">
        <v>37786</v>
      </c>
      <c r="B37787" t="inlineStr">
        <is>
          <t>x̄x̄x̄V̅MMDCCLXXXVI</t>
        </is>
      </c>
      <c r="C37787">
        <f>ROMAN(37786)</f>
        <v/>
      </c>
      <c r="D37787">
        <f>IF(B37787=C37787, "YES", "WRONG")</f>
        <v/>
      </c>
    </row>
    <row r="37788">
      <c r="A37788" t="n">
        <v>37787</v>
      </c>
      <c r="B37788" t="inlineStr">
        <is>
          <t>x̄x̄x̄V̅MMDCCLXXXVII</t>
        </is>
      </c>
      <c r="C37788">
        <f>ROMAN(37787)</f>
        <v/>
      </c>
      <c r="D37788">
        <f>IF(B37788=C37788, "YES", "WRONG")</f>
        <v/>
      </c>
    </row>
    <row r="37789">
      <c r="A37789" t="n">
        <v>37788</v>
      </c>
      <c r="B37789" t="inlineStr">
        <is>
          <t>x̄x̄x̄V̅MMDCCLXXXVIII</t>
        </is>
      </c>
      <c r="C37789">
        <f>ROMAN(37788)</f>
        <v/>
      </c>
      <c r="D37789">
        <f>IF(B37789=C37789, "YES", "WRONG")</f>
        <v/>
      </c>
    </row>
    <row r="37790">
      <c r="A37790" t="n">
        <v>37789</v>
      </c>
      <c r="B37790" t="inlineStr">
        <is>
          <t>x̄x̄x̄V̅MMDCCLXXXIX</t>
        </is>
      </c>
      <c r="C37790">
        <f>ROMAN(37789)</f>
        <v/>
      </c>
      <c r="D37790">
        <f>IF(B37790=C37790, "YES", "WRONG")</f>
        <v/>
      </c>
    </row>
    <row r="37791">
      <c r="A37791" t="n">
        <v>37790</v>
      </c>
      <c r="B37791" t="inlineStr">
        <is>
          <t>x̄x̄x̄V̅MMDCCXC</t>
        </is>
      </c>
      <c r="C37791">
        <f>ROMAN(37790)</f>
        <v/>
      </c>
      <c r="D37791">
        <f>IF(B37791=C37791, "YES", "WRONG")</f>
        <v/>
      </c>
    </row>
    <row r="37792">
      <c r="A37792" t="n">
        <v>37791</v>
      </c>
      <c r="B37792" t="inlineStr">
        <is>
          <t>x̄x̄x̄V̅MMDCCXCI</t>
        </is>
      </c>
      <c r="C37792">
        <f>ROMAN(37791)</f>
        <v/>
      </c>
      <c r="D37792">
        <f>IF(B37792=C37792, "YES", "WRONG")</f>
        <v/>
      </c>
    </row>
    <row r="37793">
      <c r="A37793" t="n">
        <v>37792</v>
      </c>
      <c r="B37793" t="inlineStr">
        <is>
          <t>x̄x̄x̄V̅MMDCCXCII</t>
        </is>
      </c>
      <c r="C37793">
        <f>ROMAN(37792)</f>
        <v/>
      </c>
      <c r="D37793">
        <f>IF(B37793=C37793, "YES", "WRONG")</f>
        <v/>
      </c>
    </row>
    <row r="37794">
      <c r="A37794" t="n">
        <v>37793</v>
      </c>
      <c r="B37794" t="inlineStr">
        <is>
          <t>x̄x̄x̄V̅MMDCCXCIII</t>
        </is>
      </c>
      <c r="C37794">
        <f>ROMAN(37793)</f>
        <v/>
      </c>
      <c r="D37794">
        <f>IF(B37794=C37794, "YES", "WRONG")</f>
        <v/>
      </c>
    </row>
    <row r="37795">
      <c r="A37795" t="n">
        <v>37794</v>
      </c>
      <c r="B37795" t="inlineStr">
        <is>
          <t>x̄x̄x̄V̅MMDCCXCIV</t>
        </is>
      </c>
      <c r="C37795">
        <f>ROMAN(37794)</f>
        <v/>
      </c>
      <c r="D37795">
        <f>IF(B37795=C37795, "YES", "WRONG")</f>
        <v/>
      </c>
    </row>
    <row r="37796">
      <c r="A37796" t="n">
        <v>37795</v>
      </c>
      <c r="B37796" t="inlineStr">
        <is>
          <t>x̄x̄x̄V̅MMDCCXCV</t>
        </is>
      </c>
      <c r="C37796">
        <f>ROMAN(37795)</f>
        <v/>
      </c>
      <c r="D37796">
        <f>IF(B37796=C37796, "YES", "WRONG")</f>
        <v/>
      </c>
    </row>
    <row r="37797">
      <c r="A37797" t="n">
        <v>37796</v>
      </c>
      <c r="B37797" t="inlineStr">
        <is>
          <t>x̄x̄x̄V̅MMDCCXCVI</t>
        </is>
      </c>
      <c r="C37797">
        <f>ROMAN(37796)</f>
        <v/>
      </c>
      <c r="D37797">
        <f>IF(B37797=C37797, "YES", "WRONG")</f>
        <v/>
      </c>
    </row>
    <row r="37798">
      <c r="A37798" t="n">
        <v>37797</v>
      </c>
      <c r="B37798" t="inlineStr">
        <is>
          <t>x̄x̄x̄V̅MMDCCXCVII</t>
        </is>
      </c>
      <c r="C37798">
        <f>ROMAN(37797)</f>
        <v/>
      </c>
      <c r="D37798">
        <f>IF(B37798=C37798, "YES", "WRONG")</f>
        <v/>
      </c>
    </row>
    <row r="37799">
      <c r="A37799" t="n">
        <v>37798</v>
      </c>
      <c r="B37799" t="inlineStr">
        <is>
          <t>x̄x̄x̄V̅MMDCCXCVIII</t>
        </is>
      </c>
      <c r="C37799">
        <f>ROMAN(37798)</f>
        <v/>
      </c>
      <c r="D37799">
        <f>IF(B37799=C37799, "YES", "WRONG")</f>
        <v/>
      </c>
    </row>
    <row r="37800">
      <c r="A37800" t="n">
        <v>37799</v>
      </c>
      <c r="B37800" t="inlineStr">
        <is>
          <t>x̄x̄x̄V̅MMDCCXCIX</t>
        </is>
      </c>
      <c r="C37800">
        <f>ROMAN(37799)</f>
        <v/>
      </c>
      <c r="D37800">
        <f>IF(B37800=C37800, "YES", "WRONG")</f>
        <v/>
      </c>
    </row>
    <row r="37801">
      <c r="A37801" t="n">
        <v>37800</v>
      </c>
      <c r="B37801" t="inlineStr">
        <is>
          <t>x̄x̄x̄V̅MMDCCC</t>
        </is>
      </c>
      <c r="C37801">
        <f>ROMAN(37800)</f>
        <v/>
      </c>
      <c r="D37801">
        <f>IF(B37801=C37801, "YES", "WRONG")</f>
        <v/>
      </c>
    </row>
    <row r="37802">
      <c r="A37802" t="n">
        <v>37801</v>
      </c>
      <c r="B37802" t="inlineStr">
        <is>
          <t>x̄x̄x̄V̅MMDCCCI</t>
        </is>
      </c>
      <c r="C37802">
        <f>ROMAN(37801)</f>
        <v/>
      </c>
      <c r="D37802">
        <f>IF(B37802=C37802, "YES", "WRONG")</f>
        <v/>
      </c>
    </row>
    <row r="37803">
      <c r="A37803" t="n">
        <v>37802</v>
      </c>
      <c r="B37803" t="inlineStr">
        <is>
          <t>x̄x̄x̄V̅MMDCCCII</t>
        </is>
      </c>
      <c r="C37803">
        <f>ROMAN(37802)</f>
        <v/>
      </c>
      <c r="D37803">
        <f>IF(B37803=C37803, "YES", "WRONG")</f>
        <v/>
      </c>
    </row>
    <row r="37804">
      <c r="A37804" t="n">
        <v>37803</v>
      </c>
      <c r="B37804" t="inlineStr">
        <is>
          <t>x̄x̄x̄V̅MMDCCCIII</t>
        </is>
      </c>
      <c r="C37804">
        <f>ROMAN(37803)</f>
        <v/>
      </c>
      <c r="D37804">
        <f>IF(B37804=C37804, "YES", "WRONG")</f>
        <v/>
      </c>
    </row>
    <row r="37805">
      <c r="A37805" t="n">
        <v>37804</v>
      </c>
      <c r="B37805" t="inlineStr">
        <is>
          <t>x̄x̄x̄V̅MMDCCCIV</t>
        </is>
      </c>
      <c r="C37805">
        <f>ROMAN(37804)</f>
        <v/>
      </c>
      <c r="D37805">
        <f>IF(B37805=C37805, "YES", "WRONG")</f>
        <v/>
      </c>
    </row>
    <row r="37806">
      <c r="A37806" t="n">
        <v>37805</v>
      </c>
      <c r="B37806" t="inlineStr">
        <is>
          <t>x̄x̄x̄V̅MMDCCCV</t>
        </is>
      </c>
      <c r="C37806">
        <f>ROMAN(37805)</f>
        <v/>
      </c>
      <c r="D37806">
        <f>IF(B37806=C37806, "YES", "WRONG")</f>
        <v/>
      </c>
    </row>
    <row r="37807">
      <c r="A37807" t="n">
        <v>37806</v>
      </c>
      <c r="B37807" t="inlineStr">
        <is>
          <t>x̄x̄x̄V̅MMDCCCVI</t>
        </is>
      </c>
      <c r="C37807">
        <f>ROMAN(37806)</f>
        <v/>
      </c>
      <c r="D37807">
        <f>IF(B37807=C37807, "YES", "WRONG")</f>
        <v/>
      </c>
    </row>
    <row r="37808">
      <c r="A37808" t="n">
        <v>37807</v>
      </c>
      <c r="B37808" t="inlineStr">
        <is>
          <t>x̄x̄x̄V̅MMDCCCVII</t>
        </is>
      </c>
      <c r="C37808">
        <f>ROMAN(37807)</f>
        <v/>
      </c>
      <c r="D37808">
        <f>IF(B37808=C37808, "YES", "WRONG")</f>
        <v/>
      </c>
    </row>
    <row r="37809">
      <c r="A37809" t="n">
        <v>37808</v>
      </c>
      <c r="B37809" t="inlineStr">
        <is>
          <t>x̄x̄x̄V̅MMDCCCVIII</t>
        </is>
      </c>
      <c r="C37809">
        <f>ROMAN(37808)</f>
        <v/>
      </c>
      <c r="D37809">
        <f>IF(B37809=C37809, "YES", "WRONG")</f>
        <v/>
      </c>
    </row>
    <row r="37810">
      <c r="A37810" t="n">
        <v>37809</v>
      </c>
      <c r="B37810" t="inlineStr">
        <is>
          <t>x̄x̄x̄V̅MMDCCCIX</t>
        </is>
      </c>
      <c r="C37810">
        <f>ROMAN(37809)</f>
        <v/>
      </c>
      <c r="D37810">
        <f>IF(B37810=C37810, "YES", "WRONG")</f>
        <v/>
      </c>
    </row>
    <row r="37811">
      <c r="A37811" t="n">
        <v>37810</v>
      </c>
      <c r="B37811" t="inlineStr">
        <is>
          <t>x̄x̄x̄V̅MMDCCCX</t>
        </is>
      </c>
      <c r="C37811">
        <f>ROMAN(37810)</f>
        <v/>
      </c>
      <c r="D37811">
        <f>IF(B37811=C37811, "YES", "WRONG")</f>
        <v/>
      </c>
    </row>
    <row r="37812">
      <c r="A37812" t="n">
        <v>37811</v>
      </c>
      <c r="B37812" t="inlineStr">
        <is>
          <t>x̄x̄x̄V̅MMDCCCXI</t>
        </is>
      </c>
      <c r="C37812">
        <f>ROMAN(37811)</f>
        <v/>
      </c>
      <c r="D37812">
        <f>IF(B37812=C37812, "YES", "WRONG")</f>
        <v/>
      </c>
    </row>
    <row r="37813">
      <c r="A37813" t="n">
        <v>37812</v>
      </c>
      <c r="B37813" t="inlineStr">
        <is>
          <t>x̄x̄x̄V̅MMDCCCXII</t>
        </is>
      </c>
      <c r="C37813">
        <f>ROMAN(37812)</f>
        <v/>
      </c>
      <c r="D37813">
        <f>IF(B37813=C37813, "YES", "WRONG")</f>
        <v/>
      </c>
    </row>
    <row r="37814">
      <c r="A37814" t="n">
        <v>37813</v>
      </c>
      <c r="B37814" t="inlineStr">
        <is>
          <t>x̄x̄x̄V̅MMDCCCXIII</t>
        </is>
      </c>
      <c r="C37814">
        <f>ROMAN(37813)</f>
        <v/>
      </c>
      <c r="D37814">
        <f>IF(B37814=C37814, "YES", "WRONG")</f>
        <v/>
      </c>
    </row>
    <row r="37815">
      <c r="A37815" t="n">
        <v>37814</v>
      </c>
      <c r="B37815" t="inlineStr">
        <is>
          <t>x̄x̄x̄V̅MMDCCCXIV</t>
        </is>
      </c>
      <c r="C37815">
        <f>ROMAN(37814)</f>
        <v/>
      </c>
      <c r="D37815">
        <f>IF(B37815=C37815, "YES", "WRONG")</f>
        <v/>
      </c>
    </row>
    <row r="37816">
      <c r="A37816" t="n">
        <v>37815</v>
      </c>
      <c r="B37816" t="inlineStr">
        <is>
          <t>x̄x̄x̄V̅MMDCCCXV</t>
        </is>
      </c>
      <c r="C37816">
        <f>ROMAN(37815)</f>
        <v/>
      </c>
      <c r="D37816">
        <f>IF(B37816=C37816, "YES", "WRONG")</f>
        <v/>
      </c>
    </row>
    <row r="37817">
      <c r="A37817" t="n">
        <v>37816</v>
      </c>
      <c r="B37817" t="inlineStr">
        <is>
          <t>x̄x̄x̄V̅MMDCCCXVI</t>
        </is>
      </c>
      <c r="C37817">
        <f>ROMAN(37816)</f>
        <v/>
      </c>
      <c r="D37817">
        <f>IF(B37817=C37817, "YES", "WRONG")</f>
        <v/>
      </c>
    </row>
    <row r="37818">
      <c r="A37818" t="n">
        <v>37817</v>
      </c>
      <c r="B37818" t="inlineStr">
        <is>
          <t>x̄x̄x̄V̅MMDCCCXVII</t>
        </is>
      </c>
      <c r="C37818">
        <f>ROMAN(37817)</f>
        <v/>
      </c>
      <c r="D37818">
        <f>IF(B37818=C37818, "YES", "WRONG")</f>
        <v/>
      </c>
    </row>
    <row r="37819">
      <c r="A37819" t="n">
        <v>37818</v>
      </c>
      <c r="B37819" t="inlineStr">
        <is>
          <t>x̄x̄x̄V̅MMDCCCXVIII</t>
        </is>
      </c>
      <c r="C37819">
        <f>ROMAN(37818)</f>
        <v/>
      </c>
      <c r="D37819">
        <f>IF(B37819=C37819, "YES", "WRONG")</f>
        <v/>
      </c>
    </row>
    <row r="37820">
      <c r="A37820" t="n">
        <v>37819</v>
      </c>
      <c r="B37820" t="inlineStr">
        <is>
          <t>x̄x̄x̄V̅MMDCCCXIX</t>
        </is>
      </c>
      <c r="C37820">
        <f>ROMAN(37819)</f>
        <v/>
      </c>
      <c r="D37820">
        <f>IF(B37820=C37820, "YES", "WRONG")</f>
        <v/>
      </c>
    </row>
    <row r="37821">
      <c r="A37821" t="n">
        <v>37820</v>
      </c>
      <c r="B37821" t="inlineStr">
        <is>
          <t>x̄x̄x̄V̅MMDCCCXX</t>
        </is>
      </c>
      <c r="C37821">
        <f>ROMAN(37820)</f>
        <v/>
      </c>
      <c r="D37821">
        <f>IF(B37821=C37821, "YES", "WRONG")</f>
        <v/>
      </c>
    </row>
    <row r="37822">
      <c r="A37822" t="n">
        <v>37821</v>
      </c>
      <c r="B37822" t="inlineStr">
        <is>
          <t>x̄x̄x̄V̅MMDCCCXXI</t>
        </is>
      </c>
      <c r="C37822">
        <f>ROMAN(37821)</f>
        <v/>
      </c>
      <c r="D37822">
        <f>IF(B37822=C37822, "YES", "WRONG")</f>
        <v/>
      </c>
    </row>
    <row r="37823">
      <c r="A37823" t="n">
        <v>37822</v>
      </c>
      <c r="B37823" t="inlineStr">
        <is>
          <t>x̄x̄x̄V̅MMDCCCXXII</t>
        </is>
      </c>
      <c r="C37823">
        <f>ROMAN(37822)</f>
        <v/>
      </c>
      <c r="D37823">
        <f>IF(B37823=C37823, "YES", "WRONG")</f>
        <v/>
      </c>
    </row>
    <row r="37824">
      <c r="A37824" t="n">
        <v>37823</v>
      </c>
      <c r="B37824" t="inlineStr">
        <is>
          <t>x̄x̄x̄V̅MMDCCCXXIII</t>
        </is>
      </c>
      <c r="C37824">
        <f>ROMAN(37823)</f>
        <v/>
      </c>
      <c r="D37824">
        <f>IF(B37824=C37824, "YES", "WRONG")</f>
        <v/>
      </c>
    </row>
    <row r="37825">
      <c r="A37825" t="n">
        <v>37824</v>
      </c>
      <c r="B37825" t="inlineStr">
        <is>
          <t>x̄x̄x̄V̅MMDCCCXXIV</t>
        </is>
      </c>
      <c r="C37825">
        <f>ROMAN(37824)</f>
        <v/>
      </c>
      <c r="D37825">
        <f>IF(B37825=C37825, "YES", "WRONG")</f>
        <v/>
      </c>
    </row>
    <row r="37826">
      <c r="A37826" t="n">
        <v>37825</v>
      </c>
      <c r="B37826" t="inlineStr">
        <is>
          <t>x̄x̄x̄V̅MMDCCCXXV</t>
        </is>
      </c>
      <c r="C37826">
        <f>ROMAN(37825)</f>
        <v/>
      </c>
      <c r="D37826">
        <f>IF(B37826=C37826, "YES", "WRONG")</f>
        <v/>
      </c>
    </row>
    <row r="37827">
      <c r="A37827" t="n">
        <v>37826</v>
      </c>
      <c r="B37827" t="inlineStr">
        <is>
          <t>x̄x̄x̄V̅MMDCCCXXVI</t>
        </is>
      </c>
      <c r="C37827">
        <f>ROMAN(37826)</f>
        <v/>
      </c>
      <c r="D37827">
        <f>IF(B37827=C37827, "YES", "WRONG")</f>
        <v/>
      </c>
    </row>
    <row r="37828">
      <c r="A37828" t="n">
        <v>37827</v>
      </c>
      <c r="B37828" t="inlineStr">
        <is>
          <t>x̄x̄x̄V̅MMDCCCXXVII</t>
        </is>
      </c>
      <c r="C37828">
        <f>ROMAN(37827)</f>
        <v/>
      </c>
      <c r="D37828">
        <f>IF(B37828=C37828, "YES", "WRONG")</f>
        <v/>
      </c>
    </row>
    <row r="37829">
      <c r="A37829" t="n">
        <v>37828</v>
      </c>
      <c r="B37829" t="inlineStr">
        <is>
          <t>x̄x̄x̄V̅MMDCCCXXVIII</t>
        </is>
      </c>
      <c r="C37829">
        <f>ROMAN(37828)</f>
        <v/>
      </c>
      <c r="D37829">
        <f>IF(B37829=C37829, "YES", "WRONG")</f>
        <v/>
      </c>
    </row>
    <row r="37830">
      <c r="A37830" t="n">
        <v>37829</v>
      </c>
      <c r="B37830" t="inlineStr">
        <is>
          <t>x̄x̄x̄V̅MMDCCCXXIX</t>
        </is>
      </c>
      <c r="C37830">
        <f>ROMAN(37829)</f>
        <v/>
      </c>
      <c r="D37830">
        <f>IF(B37830=C37830, "YES", "WRONG")</f>
        <v/>
      </c>
    </row>
    <row r="37831">
      <c r="A37831" t="n">
        <v>37830</v>
      </c>
      <c r="B37831" t="inlineStr">
        <is>
          <t>x̄x̄x̄V̅MMDCCCXXX</t>
        </is>
      </c>
      <c r="C37831">
        <f>ROMAN(37830)</f>
        <v/>
      </c>
      <c r="D37831">
        <f>IF(B37831=C37831, "YES", "WRONG")</f>
        <v/>
      </c>
    </row>
    <row r="37832">
      <c r="A37832" t="n">
        <v>37831</v>
      </c>
      <c r="B37832" t="inlineStr">
        <is>
          <t>x̄x̄x̄V̅MMDCCCXXXI</t>
        </is>
      </c>
      <c r="C37832">
        <f>ROMAN(37831)</f>
        <v/>
      </c>
      <c r="D37832">
        <f>IF(B37832=C37832, "YES", "WRONG")</f>
        <v/>
      </c>
    </row>
    <row r="37833">
      <c r="A37833" t="n">
        <v>37832</v>
      </c>
      <c r="B37833" t="inlineStr">
        <is>
          <t>x̄x̄x̄V̅MMDCCCXXXII</t>
        </is>
      </c>
      <c r="C37833">
        <f>ROMAN(37832)</f>
        <v/>
      </c>
      <c r="D37833">
        <f>IF(B37833=C37833, "YES", "WRONG")</f>
        <v/>
      </c>
    </row>
    <row r="37834">
      <c r="A37834" t="n">
        <v>37833</v>
      </c>
      <c r="B37834" t="inlineStr">
        <is>
          <t>x̄x̄x̄V̅MMDCCCXXXIII</t>
        </is>
      </c>
      <c r="C37834">
        <f>ROMAN(37833)</f>
        <v/>
      </c>
      <c r="D37834">
        <f>IF(B37834=C37834, "YES", "WRONG")</f>
        <v/>
      </c>
    </row>
    <row r="37835">
      <c r="A37835" t="n">
        <v>37834</v>
      </c>
      <c r="B37835" t="inlineStr">
        <is>
          <t>x̄x̄x̄V̅MMDCCCXXXIV</t>
        </is>
      </c>
      <c r="C37835">
        <f>ROMAN(37834)</f>
        <v/>
      </c>
      <c r="D37835">
        <f>IF(B37835=C37835, "YES", "WRONG")</f>
        <v/>
      </c>
    </row>
    <row r="37836">
      <c r="A37836" t="n">
        <v>37835</v>
      </c>
      <c r="B37836" t="inlineStr">
        <is>
          <t>x̄x̄x̄V̅MMDCCCXXXV</t>
        </is>
      </c>
      <c r="C37836">
        <f>ROMAN(37835)</f>
        <v/>
      </c>
      <c r="D37836">
        <f>IF(B37836=C37836, "YES", "WRONG")</f>
        <v/>
      </c>
    </row>
    <row r="37837">
      <c r="A37837" t="n">
        <v>37836</v>
      </c>
      <c r="B37837" t="inlineStr">
        <is>
          <t>x̄x̄x̄V̅MMDCCCXXXVI</t>
        </is>
      </c>
      <c r="C37837">
        <f>ROMAN(37836)</f>
        <v/>
      </c>
      <c r="D37837">
        <f>IF(B37837=C37837, "YES", "WRONG")</f>
        <v/>
      </c>
    </row>
    <row r="37838">
      <c r="A37838" t="n">
        <v>37837</v>
      </c>
      <c r="B37838" t="inlineStr">
        <is>
          <t>x̄x̄x̄V̅MMDCCCXXXVII</t>
        </is>
      </c>
      <c r="C37838">
        <f>ROMAN(37837)</f>
        <v/>
      </c>
      <c r="D37838">
        <f>IF(B37838=C37838, "YES", "WRONG")</f>
        <v/>
      </c>
    </row>
    <row r="37839">
      <c r="A37839" t="n">
        <v>37838</v>
      </c>
      <c r="B37839" t="inlineStr">
        <is>
          <t>x̄x̄x̄V̅MMDCCCXXXVIII</t>
        </is>
      </c>
      <c r="C37839">
        <f>ROMAN(37838)</f>
        <v/>
      </c>
      <c r="D37839">
        <f>IF(B37839=C37839, "YES", "WRONG")</f>
        <v/>
      </c>
    </row>
    <row r="37840">
      <c r="A37840" t="n">
        <v>37839</v>
      </c>
      <c r="B37840" t="inlineStr">
        <is>
          <t>x̄x̄x̄V̅MMDCCCXXXIX</t>
        </is>
      </c>
      <c r="C37840">
        <f>ROMAN(37839)</f>
        <v/>
      </c>
      <c r="D37840">
        <f>IF(B37840=C37840, "YES", "WRONG")</f>
        <v/>
      </c>
    </row>
    <row r="37841">
      <c r="A37841" t="n">
        <v>37840</v>
      </c>
      <c r="B37841" t="inlineStr">
        <is>
          <t>x̄x̄x̄V̅MMDCCCXL</t>
        </is>
      </c>
      <c r="C37841">
        <f>ROMAN(37840)</f>
        <v/>
      </c>
      <c r="D37841">
        <f>IF(B37841=C37841, "YES", "WRONG")</f>
        <v/>
      </c>
    </row>
    <row r="37842">
      <c r="A37842" t="n">
        <v>37841</v>
      </c>
      <c r="B37842" t="inlineStr">
        <is>
          <t>x̄x̄x̄V̅MMDCCCXLI</t>
        </is>
      </c>
      <c r="C37842">
        <f>ROMAN(37841)</f>
        <v/>
      </c>
      <c r="D37842">
        <f>IF(B37842=C37842, "YES", "WRONG")</f>
        <v/>
      </c>
    </row>
    <row r="37843">
      <c r="A37843" t="n">
        <v>37842</v>
      </c>
      <c r="B37843" t="inlineStr">
        <is>
          <t>x̄x̄x̄V̅MMDCCCXLII</t>
        </is>
      </c>
      <c r="C37843">
        <f>ROMAN(37842)</f>
        <v/>
      </c>
      <c r="D37843">
        <f>IF(B37843=C37843, "YES", "WRONG")</f>
        <v/>
      </c>
    </row>
    <row r="37844">
      <c r="A37844" t="n">
        <v>37843</v>
      </c>
      <c r="B37844" t="inlineStr">
        <is>
          <t>x̄x̄x̄V̅MMDCCCXLIII</t>
        </is>
      </c>
      <c r="C37844">
        <f>ROMAN(37843)</f>
        <v/>
      </c>
      <c r="D37844">
        <f>IF(B37844=C37844, "YES", "WRONG")</f>
        <v/>
      </c>
    </row>
    <row r="37845">
      <c r="A37845" t="n">
        <v>37844</v>
      </c>
      <c r="B37845" t="inlineStr">
        <is>
          <t>x̄x̄x̄V̅MMDCCCXLIV</t>
        </is>
      </c>
      <c r="C37845">
        <f>ROMAN(37844)</f>
        <v/>
      </c>
      <c r="D37845">
        <f>IF(B37845=C37845, "YES", "WRONG")</f>
        <v/>
      </c>
    </row>
    <row r="37846">
      <c r="A37846" t="n">
        <v>37845</v>
      </c>
      <c r="B37846" t="inlineStr">
        <is>
          <t>x̄x̄x̄V̅MMDCCCXLV</t>
        </is>
      </c>
      <c r="C37846">
        <f>ROMAN(37845)</f>
        <v/>
      </c>
      <c r="D37846">
        <f>IF(B37846=C37846, "YES", "WRONG")</f>
        <v/>
      </c>
    </row>
    <row r="37847">
      <c r="A37847" t="n">
        <v>37846</v>
      </c>
      <c r="B37847" t="inlineStr">
        <is>
          <t>x̄x̄x̄V̅MMDCCCXLVI</t>
        </is>
      </c>
      <c r="C37847">
        <f>ROMAN(37846)</f>
        <v/>
      </c>
      <c r="D37847">
        <f>IF(B37847=C37847, "YES", "WRONG")</f>
        <v/>
      </c>
    </row>
    <row r="37848">
      <c r="A37848" t="n">
        <v>37847</v>
      </c>
      <c r="B37848" t="inlineStr">
        <is>
          <t>x̄x̄x̄V̅MMDCCCXLVII</t>
        </is>
      </c>
      <c r="C37848">
        <f>ROMAN(37847)</f>
        <v/>
      </c>
      <c r="D37848">
        <f>IF(B37848=C37848, "YES", "WRONG")</f>
        <v/>
      </c>
    </row>
    <row r="37849">
      <c r="A37849" t="n">
        <v>37848</v>
      </c>
      <c r="B37849" t="inlineStr">
        <is>
          <t>x̄x̄x̄V̅MMDCCCXLVIII</t>
        </is>
      </c>
      <c r="C37849">
        <f>ROMAN(37848)</f>
        <v/>
      </c>
      <c r="D37849">
        <f>IF(B37849=C37849, "YES", "WRONG")</f>
        <v/>
      </c>
    </row>
    <row r="37850">
      <c r="A37850" t="n">
        <v>37849</v>
      </c>
      <c r="B37850" t="inlineStr">
        <is>
          <t>x̄x̄x̄V̅MMDCCCXLIX</t>
        </is>
      </c>
      <c r="C37850">
        <f>ROMAN(37849)</f>
        <v/>
      </c>
      <c r="D37850">
        <f>IF(B37850=C37850, "YES", "WRONG")</f>
        <v/>
      </c>
    </row>
    <row r="37851">
      <c r="A37851" t="n">
        <v>37850</v>
      </c>
      <c r="B37851" t="inlineStr">
        <is>
          <t>x̄x̄x̄V̅MMDCCCL</t>
        </is>
      </c>
      <c r="C37851">
        <f>ROMAN(37850)</f>
        <v/>
      </c>
      <c r="D37851">
        <f>IF(B37851=C37851, "YES", "WRONG")</f>
        <v/>
      </c>
    </row>
    <row r="37852">
      <c r="A37852" t="n">
        <v>37851</v>
      </c>
      <c r="B37852" t="inlineStr">
        <is>
          <t>x̄x̄x̄V̅MMDCCCLI</t>
        </is>
      </c>
      <c r="C37852">
        <f>ROMAN(37851)</f>
        <v/>
      </c>
      <c r="D37852">
        <f>IF(B37852=C37852, "YES", "WRONG")</f>
        <v/>
      </c>
    </row>
    <row r="37853">
      <c r="A37853" t="n">
        <v>37852</v>
      </c>
      <c r="B37853" t="inlineStr">
        <is>
          <t>x̄x̄x̄V̅MMDCCCLII</t>
        </is>
      </c>
      <c r="C37853">
        <f>ROMAN(37852)</f>
        <v/>
      </c>
      <c r="D37853">
        <f>IF(B37853=C37853, "YES", "WRONG")</f>
        <v/>
      </c>
    </row>
    <row r="37854">
      <c r="A37854" t="n">
        <v>37853</v>
      </c>
      <c r="B37854" t="inlineStr">
        <is>
          <t>x̄x̄x̄V̅MMDCCCLIII</t>
        </is>
      </c>
      <c r="C37854">
        <f>ROMAN(37853)</f>
        <v/>
      </c>
      <c r="D37854">
        <f>IF(B37854=C37854, "YES", "WRONG")</f>
        <v/>
      </c>
    </row>
    <row r="37855">
      <c r="A37855" t="n">
        <v>37854</v>
      </c>
      <c r="B37855" t="inlineStr">
        <is>
          <t>x̄x̄x̄V̅MMDCCCLIV</t>
        </is>
      </c>
      <c r="C37855">
        <f>ROMAN(37854)</f>
        <v/>
      </c>
      <c r="D37855">
        <f>IF(B37855=C37855, "YES", "WRONG")</f>
        <v/>
      </c>
    </row>
    <row r="37856">
      <c r="A37856" t="n">
        <v>37855</v>
      </c>
      <c r="B37856" t="inlineStr">
        <is>
          <t>x̄x̄x̄V̅MMDCCCLV</t>
        </is>
      </c>
      <c r="C37856">
        <f>ROMAN(37855)</f>
        <v/>
      </c>
      <c r="D37856">
        <f>IF(B37856=C37856, "YES", "WRONG")</f>
        <v/>
      </c>
    </row>
    <row r="37857">
      <c r="A37857" t="n">
        <v>37856</v>
      </c>
      <c r="B37857" t="inlineStr">
        <is>
          <t>x̄x̄x̄V̅MMDCCCLVI</t>
        </is>
      </c>
      <c r="C37857">
        <f>ROMAN(37856)</f>
        <v/>
      </c>
      <c r="D37857">
        <f>IF(B37857=C37857, "YES", "WRONG")</f>
        <v/>
      </c>
    </row>
    <row r="37858">
      <c r="A37858" t="n">
        <v>37857</v>
      </c>
      <c r="B37858" t="inlineStr">
        <is>
          <t>x̄x̄x̄V̅MMDCCCLVII</t>
        </is>
      </c>
      <c r="C37858">
        <f>ROMAN(37857)</f>
        <v/>
      </c>
      <c r="D37858">
        <f>IF(B37858=C37858, "YES", "WRONG")</f>
        <v/>
      </c>
    </row>
    <row r="37859">
      <c r="A37859" t="n">
        <v>37858</v>
      </c>
      <c r="B37859" t="inlineStr">
        <is>
          <t>x̄x̄x̄V̅MMDCCCLVIII</t>
        </is>
      </c>
      <c r="C37859">
        <f>ROMAN(37858)</f>
        <v/>
      </c>
      <c r="D37859">
        <f>IF(B37859=C37859, "YES", "WRONG")</f>
        <v/>
      </c>
    </row>
    <row r="37860">
      <c r="A37860" t="n">
        <v>37859</v>
      </c>
      <c r="B37860" t="inlineStr">
        <is>
          <t>x̄x̄x̄V̅MMDCCCLIX</t>
        </is>
      </c>
      <c r="C37860">
        <f>ROMAN(37859)</f>
        <v/>
      </c>
      <c r="D37860">
        <f>IF(B37860=C37860, "YES", "WRONG")</f>
        <v/>
      </c>
    </row>
    <row r="37861">
      <c r="A37861" t="n">
        <v>37860</v>
      </c>
      <c r="B37861" t="inlineStr">
        <is>
          <t>x̄x̄x̄V̅MMDCCCLX</t>
        </is>
      </c>
      <c r="C37861">
        <f>ROMAN(37860)</f>
        <v/>
      </c>
      <c r="D37861">
        <f>IF(B37861=C37861, "YES", "WRONG")</f>
        <v/>
      </c>
    </row>
    <row r="37862">
      <c r="A37862" t="n">
        <v>37861</v>
      </c>
      <c r="B37862" t="inlineStr">
        <is>
          <t>x̄x̄x̄V̅MMDCCCLXI</t>
        </is>
      </c>
      <c r="C37862">
        <f>ROMAN(37861)</f>
        <v/>
      </c>
      <c r="D37862">
        <f>IF(B37862=C37862, "YES", "WRONG")</f>
        <v/>
      </c>
    </row>
    <row r="37863">
      <c r="A37863" t="n">
        <v>37862</v>
      </c>
      <c r="B37863" t="inlineStr">
        <is>
          <t>x̄x̄x̄V̅MMDCCCLXII</t>
        </is>
      </c>
      <c r="C37863">
        <f>ROMAN(37862)</f>
        <v/>
      </c>
      <c r="D37863">
        <f>IF(B37863=C37863, "YES", "WRONG")</f>
        <v/>
      </c>
    </row>
    <row r="37864">
      <c r="A37864" t="n">
        <v>37863</v>
      </c>
      <c r="B37864" t="inlineStr">
        <is>
          <t>x̄x̄x̄V̅MMDCCCLXIII</t>
        </is>
      </c>
      <c r="C37864">
        <f>ROMAN(37863)</f>
        <v/>
      </c>
      <c r="D37864">
        <f>IF(B37864=C37864, "YES", "WRONG")</f>
        <v/>
      </c>
    </row>
    <row r="37865">
      <c r="A37865" t="n">
        <v>37864</v>
      </c>
      <c r="B37865" t="inlineStr">
        <is>
          <t>x̄x̄x̄V̅MMDCCCLXIV</t>
        </is>
      </c>
      <c r="C37865">
        <f>ROMAN(37864)</f>
        <v/>
      </c>
      <c r="D37865">
        <f>IF(B37865=C37865, "YES", "WRONG")</f>
        <v/>
      </c>
    </row>
    <row r="37866">
      <c r="A37866" t="n">
        <v>37865</v>
      </c>
      <c r="B37866" t="inlineStr">
        <is>
          <t>x̄x̄x̄V̅MMDCCCLXV</t>
        </is>
      </c>
      <c r="C37866">
        <f>ROMAN(37865)</f>
        <v/>
      </c>
      <c r="D37866">
        <f>IF(B37866=C37866, "YES", "WRONG")</f>
        <v/>
      </c>
    </row>
    <row r="37867">
      <c r="A37867" t="n">
        <v>37866</v>
      </c>
      <c r="B37867" t="inlineStr">
        <is>
          <t>x̄x̄x̄V̅MMDCCCLXVI</t>
        </is>
      </c>
      <c r="C37867">
        <f>ROMAN(37866)</f>
        <v/>
      </c>
      <c r="D37867">
        <f>IF(B37867=C37867, "YES", "WRONG")</f>
        <v/>
      </c>
    </row>
    <row r="37868">
      <c r="A37868" t="n">
        <v>37867</v>
      </c>
      <c r="B37868" t="inlineStr">
        <is>
          <t>x̄x̄x̄V̅MMDCCCLXVII</t>
        </is>
      </c>
      <c r="C37868">
        <f>ROMAN(37867)</f>
        <v/>
      </c>
      <c r="D37868">
        <f>IF(B37868=C37868, "YES", "WRONG")</f>
        <v/>
      </c>
    </row>
    <row r="37869">
      <c r="A37869" t="n">
        <v>37868</v>
      </c>
      <c r="B37869" t="inlineStr">
        <is>
          <t>x̄x̄x̄V̅MMDCCCLXVIII</t>
        </is>
      </c>
      <c r="C37869">
        <f>ROMAN(37868)</f>
        <v/>
      </c>
      <c r="D37869">
        <f>IF(B37869=C37869, "YES", "WRONG")</f>
        <v/>
      </c>
    </row>
    <row r="37870">
      <c r="A37870" t="n">
        <v>37869</v>
      </c>
      <c r="B37870" t="inlineStr">
        <is>
          <t>x̄x̄x̄V̅MMDCCCLXIX</t>
        </is>
      </c>
      <c r="C37870">
        <f>ROMAN(37869)</f>
        <v/>
      </c>
      <c r="D37870">
        <f>IF(B37870=C37870, "YES", "WRONG")</f>
        <v/>
      </c>
    </row>
    <row r="37871">
      <c r="A37871" t="n">
        <v>37870</v>
      </c>
      <c r="B37871" t="inlineStr">
        <is>
          <t>x̄x̄x̄V̅MMDCCCLXX</t>
        </is>
      </c>
      <c r="C37871">
        <f>ROMAN(37870)</f>
        <v/>
      </c>
      <c r="D37871">
        <f>IF(B37871=C37871, "YES", "WRONG")</f>
        <v/>
      </c>
    </row>
    <row r="37872">
      <c r="A37872" t="n">
        <v>37871</v>
      </c>
      <c r="B37872" t="inlineStr">
        <is>
          <t>x̄x̄x̄V̅MMDCCCLXXI</t>
        </is>
      </c>
      <c r="C37872">
        <f>ROMAN(37871)</f>
        <v/>
      </c>
      <c r="D37872">
        <f>IF(B37872=C37872, "YES", "WRONG")</f>
        <v/>
      </c>
    </row>
    <row r="37873">
      <c r="A37873" t="n">
        <v>37872</v>
      </c>
      <c r="B37873" t="inlineStr">
        <is>
          <t>x̄x̄x̄V̅MMDCCCLXXII</t>
        </is>
      </c>
      <c r="C37873">
        <f>ROMAN(37872)</f>
        <v/>
      </c>
      <c r="D37873">
        <f>IF(B37873=C37873, "YES", "WRONG")</f>
        <v/>
      </c>
    </row>
    <row r="37874">
      <c r="A37874" t="n">
        <v>37873</v>
      </c>
      <c r="B37874" t="inlineStr">
        <is>
          <t>x̄x̄x̄V̅MMDCCCLXXIII</t>
        </is>
      </c>
      <c r="C37874">
        <f>ROMAN(37873)</f>
        <v/>
      </c>
      <c r="D37874">
        <f>IF(B37874=C37874, "YES", "WRONG")</f>
        <v/>
      </c>
    </row>
    <row r="37875">
      <c r="A37875" t="n">
        <v>37874</v>
      </c>
      <c r="B37875" t="inlineStr">
        <is>
          <t>x̄x̄x̄V̅MMDCCCLXXIV</t>
        </is>
      </c>
      <c r="C37875">
        <f>ROMAN(37874)</f>
        <v/>
      </c>
      <c r="D37875">
        <f>IF(B37875=C37875, "YES", "WRONG")</f>
        <v/>
      </c>
    </row>
    <row r="37876">
      <c r="A37876" t="n">
        <v>37875</v>
      </c>
      <c r="B37876" t="inlineStr">
        <is>
          <t>x̄x̄x̄V̅MMDCCCLXXV</t>
        </is>
      </c>
      <c r="C37876">
        <f>ROMAN(37875)</f>
        <v/>
      </c>
      <c r="D37876">
        <f>IF(B37876=C37876, "YES", "WRONG")</f>
        <v/>
      </c>
    </row>
    <row r="37877">
      <c r="A37877" t="n">
        <v>37876</v>
      </c>
      <c r="B37877" t="inlineStr">
        <is>
          <t>x̄x̄x̄V̅MMDCCCLXXVI</t>
        </is>
      </c>
      <c r="C37877">
        <f>ROMAN(37876)</f>
        <v/>
      </c>
      <c r="D37877">
        <f>IF(B37877=C37877, "YES", "WRONG")</f>
        <v/>
      </c>
    </row>
    <row r="37878">
      <c r="A37878" t="n">
        <v>37877</v>
      </c>
      <c r="B37878" t="inlineStr">
        <is>
          <t>x̄x̄x̄V̅MMDCCCLXXVII</t>
        </is>
      </c>
      <c r="C37878">
        <f>ROMAN(37877)</f>
        <v/>
      </c>
      <c r="D37878">
        <f>IF(B37878=C37878, "YES", "WRONG")</f>
        <v/>
      </c>
    </row>
    <row r="37879">
      <c r="A37879" t="n">
        <v>37878</v>
      </c>
      <c r="B37879" t="inlineStr">
        <is>
          <t>x̄x̄x̄V̅MMDCCCLXXVIII</t>
        </is>
      </c>
      <c r="C37879">
        <f>ROMAN(37878)</f>
        <v/>
      </c>
      <c r="D37879">
        <f>IF(B37879=C37879, "YES", "WRONG")</f>
        <v/>
      </c>
    </row>
    <row r="37880">
      <c r="A37880" t="n">
        <v>37879</v>
      </c>
      <c r="B37880" t="inlineStr">
        <is>
          <t>x̄x̄x̄V̅MMDCCCLXXIX</t>
        </is>
      </c>
      <c r="C37880">
        <f>ROMAN(37879)</f>
        <v/>
      </c>
      <c r="D37880">
        <f>IF(B37880=C37880, "YES", "WRONG")</f>
        <v/>
      </c>
    </row>
    <row r="37881">
      <c r="A37881" t="n">
        <v>37880</v>
      </c>
      <c r="B37881" t="inlineStr">
        <is>
          <t>x̄x̄x̄V̅MMDCCCLXXX</t>
        </is>
      </c>
      <c r="C37881">
        <f>ROMAN(37880)</f>
        <v/>
      </c>
      <c r="D37881">
        <f>IF(B37881=C37881, "YES", "WRONG")</f>
        <v/>
      </c>
    </row>
    <row r="37882">
      <c r="A37882" t="n">
        <v>37881</v>
      </c>
      <c r="B37882" t="inlineStr">
        <is>
          <t>x̄x̄x̄V̅MMDCCCLXXXI</t>
        </is>
      </c>
      <c r="C37882">
        <f>ROMAN(37881)</f>
        <v/>
      </c>
      <c r="D37882">
        <f>IF(B37882=C37882, "YES", "WRONG")</f>
        <v/>
      </c>
    </row>
    <row r="37883">
      <c r="A37883" t="n">
        <v>37882</v>
      </c>
      <c r="B37883" t="inlineStr">
        <is>
          <t>x̄x̄x̄V̅MMDCCCLXXXII</t>
        </is>
      </c>
      <c r="C37883">
        <f>ROMAN(37882)</f>
        <v/>
      </c>
      <c r="D37883">
        <f>IF(B37883=C37883, "YES", "WRONG")</f>
        <v/>
      </c>
    </row>
    <row r="37884">
      <c r="A37884" t="n">
        <v>37883</v>
      </c>
      <c r="B37884" t="inlineStr">
        <is>
          <t>x̄x̄x̄V̅MMDCCCLXXXIII</t>
        </is>
      </c>
      <c r="C37884">
        <f>ROMAN(37883)</f>
        <v/>
      </c>
      <c r="D37884">
        <f>IF(B37884=C37884, "YES", "WRONG")</f>
        <v/>
      </c>
    </row>
    <row r="37885">
      <c r="A37885" t="n">
        <v>37884</v>
      </c>
      <c r="B37885" t="inlineStr">
        <is>
          <t>x̄x̄x̄V̅MMDCCCLXXXIV</t>
        </is>
      </c>
      <c r="C37885">
        <f>ROMAN(37884)</f>
        <v/>
      </c>
      <c r="D37885">
        <f>IF(B37885=C37885, "YES", "WRONG")</f>
        <v/>
      </c>
    </row>
    <row r="37886">
      <c r="A37886" t="n">
        <v>37885</v>
      </c>
      <c r="B37886" t="inlineStr">
        <is>
          <t>x̄x̄x̄V̅MMDCCCLXXXV</t>
        </is>
      </c>
      <c r="C37886">
        <f>ROMAN(37885)</f>
        <v/>
      </c>
      <c r="D37886">
        <f>IF(B37886=C37886, "YES", "WRONG")</f>
        <v/>
      </c>
    </row>
    <row r="37887">
      <c r="A37887" t="n">
        <v>37886</v>
      </c>
      <c r="B37887" t="inlineStr">
        <is>
          <t>x̄x̄x̄V̅MMDCCCLXXXVI</t>
        </is>
      </c>
      <c r="C37887">
        <f>ROMAN(37886)</f>
        <v/>
      </c>
      <c r="D37887">
        <f>IF(B37887=C37887, "YES", "WRONG")</f>
        <v/>
      </c>
    </row>
    <row r="37888">
      <c r="A37888" t="n">
        <v>37887</v>
      </c>
      <c r="B37888" t="inlineStr">
        <is>
          <t>x̄x̄x̄V̅MMDCCCLXXXVII</t>
        </is>
      </c>
      <c r="C37888">
        <f>ROMAN(37887)</f>
        <v/>
      </c>
      <c r="D37888">
        <f>IF(B37888=C37888, "YES", "WRONG")</f>
        <v/>
      </c>
    </row>
    <row r="37889">
      <c r="A37889" t="n">
        <v>37888</v>
      </c>
      <c r="B37889" t="inlineStr">
        <is>
          <t>x̄x̄x̄V̅MMDCCCLXXXVIII</t>
        </is>
      </c>
      <c r="C37889">
        <f>ROMAN(37888)</f>
        <v/>
      </c>
      <c r="D37889">
        <f>IF(B37889=C37889, "YES", "WRONG")</f>
        <v/>
      </c>
    </row>
    <row r="37890">
      <c r="A37890" t="n">
        <v>37889</v>
      </c>
      <c r="B37890" t="inlineStr">
        <is>
          <t>x̄x̄x̄V̅MMDCCCLXXXIX</t>
        </is>
      </c>
      <c r="C37890">
        <f>ROMAN(37889)</f>
        <v/>
      </c>
      <c r="D37890">
        <f>IF(B37890=C37890, "YES", "WRONG")</f>
        <v/>
      </c>
    </row>
    <row r="37891">
      <c r="A37891" t="n">
        <v>37890</v>
      </c>
      <c r="B37891" t="inlineStr">
        <is>
          <t>x̄x̄x̄V̅MMDCCCXC</t>
        </is>
      </c>
      <c r="C37891">
        <f>ROMAN(37890)</f>
        <v/>
      </c>
      <c r="D37891">
        <f>IF(B37891=C37891, "YES", "WRONG")</f>
        <v/>
      </c>
    </row>
    <row r="37892">
      <c r="A37892" t="n">
        <v>37891</v>
      </c>
      <c r="B37892" t="inlineStr">
        <is>
          <t>x̄x̄x̄V̅MMDCCCXCI</t>
        </is>
      </c>
      <c r="C37892">
        <f>ROMAN(37891)</f>
        <v/>
      </c>
      <c r="D37892">
        <f>IF(B37892=C37892, "YES", "WRONG")</f>
        <v/>
      </c>
    </row>
    <row r="37893">
      <c r="A37893" t="n">
        <v>37892</v>
      </c>
      <c r="B37893" t="inlineStr">
        <is>
          <t>x̄x̄x̄V̅MMDCCCXCII</t>
        </is>
      </c>
      <c r="C37893">
        <f>ROMAN(37892)</f>
        <v/>
      </c>
      <c r="D37893">
        <f>IF(B37893=C37893, "YES", "WRONG")</f>
        <v/>
      </c>
    </row>
    <row r="37894">
      <c r="A37894" t="n">
        <v>37893</v>
      </c>
      <c r="B37894" t="inlineStr">
        <is>
          <t>x̄x̄x̄V̅MMDCCCXCIII</t>
        </is>
      </c>
      <c r="C37894">
        <f>ROMAN(37893)</f>
        <v/>
      </c>
      <c r="D37894">
        <f>IF(B37894=C37894, "YES", "WRONG")</f>
        <v/>
      </c>
    </row>
    <row r="37895">
      <c r="A37895" t="n">
        <v>37894</v>
      </c>
      <c r="B37895" t="inlineStr">
        <is>
          <t>x̄x̄x̄V̅MMDCCCXCIV</t>
        </is>
      </c>
      <c r="C37895">
        <f>ROMAN(37894)</f>
        <v/>
      </c>
      <c r="D37895">
        <f>IF(B37895=C37895, "YES", "WRONG")</f>
        <v/>
      </c>
    </row>
    <row r="37896">
      <c r="A37896" t="n">
        <v>37895</v>
      </c>
      <c r="B37896" t="inlineStr">
        <is>
          <t>x̄x̄x̄V̅MMDCCCXCV</t>
        </is>
      </c>
      <c r="C37896">
        <f>ROMAN(37895)</f>
        <v/>
      </c>
      <c r="D37896">
        <f>IF(B37896=C37896, "YES", "WRONG")</f>
        <v/>
      </c>
    </row>
    <row r="37897">
      <c r="A37897" t="n">
        <v>37896</v>
      </c>
      <c r="B37897" t="inlineStr">
        <is>
          <t>x̄x̄x̄V̅MMDCCCXCVI</t>
        </is>
      </c>
      <c r="C37897">
        <f>ROMAN(37896)</f>
        <v/>
      </c>
      <c r="D37897">
        <f>IF(B37897=C37897, "YES", "WRONG")</f>
        <v/>
      </c>
    </row>
    <row r="37898">
      <c r="A37898" t="n">
        <v>37897</v>
      </c>
      <c r="B37898" t="inlineStr">
        <is>
          <t>x̄x̄x̄V̅MMDCCCXCVII</t>
        </is>
      </c>
      <c r="C37898">
        <f>ROMAN(37897)</f>
        <v/>
      </c>
      <c r="D37898">
        <f>IF(B37898=C37898, "YES", "WRONG")</f>
        <v/>
      </c>
    </row>
    <row r="37899">
      <c r="A37899" t="n">
        <v>37898</v>
      </c>
      <c r="B37899" t="inlineStr">
        <is>
          <t>x̄x̄x̄V̅MMDCCCXCVIII</t>
        </is>
      </c>
      <c r="C37899">
        <f>ROMAN(37898)</f>
        <v/>
      </c>
      <c r="D37899">
        <f>IF(B37899=C37899, "YES", "WRONG")</f>
        <v/>
      </c>
    </row>
    <row r="37900">
      <c r="A37900" t="n">
        <v>37899</v>
      </c>
      <c r="B37900" t="inlineStr">
        <is>
          <t>x̄x̄x̄V̅MMDCCCXCIX</t>
        </is>
      </c>
      <c r="C37900">
        <f>ROMAN(37899)</f>
        <v/>
      </c>
      <c r="D37900">
        <f>IF(B37900=C37900, "YES", "WRONG")</f>
        <v/>
      </c>
    </row>
    <row r="37901">
      <c r="A37901" t="n">
        <v>37900</v>
      </c>
      <c r="B37901" t="inlineStr">
        <is>
          <t>x̄x̄x̄V̅MMCM</t>
        </is>
      </c>
      <c r="C37901">
        <f>ROMAN(37900)</f>
        <v/>
      </c>
      <c r="D37901">
        <f>IF(B37901=C37901, "YES", "WRONG")</f>
        <v/>
      </c>
    </row>
    <row r="37902">
      <c r="A37902" t="n">
        <v>37901</v>
      </c>
      <c r="B37902" t="inlineStr">
        <is>
          <t>x̄x̄x̄V̅MMCMI</t>
        </is>
      </c>
      <c r="C37902">
        <f>ROMAN(37901)</f>
        <v/>
      </c>
      <c r="D37902">
        <f>IF(B37902=C37902, "YES", "WRONG")</f>
        <v/>
      </c>
    </row>
    <row r="37903">
      <c r="A37903" t="n">
        <v>37902</v>
      </c>
      <c r="B37903" t="inlineStr">
        <is>
          <t>x̄x̄x̄V̅MMCMII</t>
        </is>
      </c>
      <c r="C37903">
        <f>ROMAN(37902)</f>
        <v/>
      </c>
      <c r="D37903">
        <f>IF(B37903=C37903, "YES", "WRONG")</f>
        <v/>
      </c>
    </row>
    <row r="37904">
      <c r="A37904" t="n">
        <v>37903</v>
      </c>
      <c r="B37904" t="inlineStr">
        <is>
          <t>x̄x̄x̄V̅MMCMIII</t>
        </is>
      </c>
      <c r="C37904">
        <f>ROMAN(37903)</f>
        <v/>
      </c>
      <c r="D37904">
        <f>IF(B37904=C37904, "YES", "WRONG")</f>
        <v/>
      </c>
    </row>
    <row r="37905">
      <c r="A37905" t="n">
        <v>37904</v>
      </c>
      <c r="B37905" t="inlineStr">
        <is>
          <t>x̄x̄x̄V̅MMCMIV</t>
        </is>
      </c>
      <c r="C37905">
        <f>ROMAN(37904)</f>
        <v/>
      </c>
      <c r="D37905">
        <f>IF(B37905=C37905, "YES", "WRONG")</f>
        <v/>
      </c>
    </row>
    <row r="37906">
      <c r="A37906" t="n">
        <v>37905</v>
      </c>
      <c r="B37906" t="inlineStr">
        <is>
          <t>x̄x̄x̄V̅MMCMV</t>
        </is>
      </c>
      <c r="C37906">
        <f>ROMAN(37905)</f>
        <v/>
      </c>
      <c r="D37906">
        <f>IF(B37906=C37906, "YES", "WRONG")</f>
        <v/>
      </c>
    </row>
    <row r="37907">
      <c r="A37907" t="n">
        <v>37906</v>
      </c>
      <c r="B37907" t="inlineStr">
        <is>
          <t>x̄x̄x̄V̅MMCMVI</t>
        </is>
      </c>
      <c r="C37907">
        <f>ROMAN(37906)</f>
        <v/>
      </c>
      <c r="D37907">
        <f>IF(B37907=C37907, "YES", "WRONG")</f>
        <v/>
      </c>
    </row>
    <row r="37908">
      <c r="A37908" t="n">
        <v>37907</v>
      </c>
      <c r="B37908" t="inlineStr">
        <is>
          <t>x̄x̄x̄V̅MMCMVII</t>
        </is>
      </c>
      <c r="C37908">
        <f>ROMAN(37907)</f>
        <v/>
      </c>
      <c r="D37908">
        <f>IF(B37908=C37908, "YES", "WRONG")</f>
        <v/>
      </c>
    </row>
    <row r="37909">
      <c r="A37909" t="n">
        <v>37908</v>
      </c>
      <c r="B37909" t="inlineStr">
        <is>
          <t>x̄x̄x̄V̅MMCMVIII</t>
        </is>
      </c>
      <c r="C37909">
        <f>ROMAN(37908)</f>
        <v/>
      </c>
      <c r="D37909">
        <f>IF(B37909=C37909, "YES", "WRONG")</f>
        <v/>
      </c>
    </row>
    <row r="37910">
      <c r="A37910" t="n">
        <v>37909</v>
      </c>
      <c r="B37910" t="inlineStr">
        <is>
          <t>x̄x̄x̄V̅MMCMIX</t>
        </is>
      </c>
      <c r="C37910">
        <f>ROMAN(37909)</f>
        <v/>
      </c>
      <c r="D37910">
        <f>IF(B37910=C37910, "YES", "WRONG")</f>
        <v/>
      </c>
    </row>
    <row r="37911">
      <c r="A37911" t="n">
        <v>37910</v>
      </c>
      <c r="B37911" t="inlineStr">
        <is>
          <t>x̄x̄x̄V̅MMCMX</t>
        </is>
      </c>
      <c r="C37911">
        <f>ROMAN(37910)</f>
        <v/>
      </c>
      <c r="D37911">
        <f>IF(B37911=C37911, "YES", "WRONG")</f>
        <v/>
      </c>
    </row>
    <row r="37912">
      <c r="A37912" t="n">
        <v>37911</v>
      </c>
      <c r="B37912" t="inlineStr">
        <is>
          <t>x̄x̄x̄V̅MMCMXI</t>
        </is>
      </c>
      <c r="C37912">
        <f>ROMAN(37911)</f>
        <v/>
      </c>
      <c r="D37912">
        <f>IF(B37912=C37912, "YES", "WRONG")</f>
        <v/>
      </c>
    </row>
    <row r="37913">
      <c r="A37913" t="n">
        <v>37912</v>
      </c>
      <c r="B37913" t="inlineStr">
        <is>
          <t>x̄x̄x̄V̅MMCMXII</t>
        </is>
      </c>
      <c r="C37913">
        <f>ROMAN(37912)</f>
        <v/>
      </c>
      <c r="D37913">
        <f>IF(B37913=C37913, "YES", "WRONG")</f>
        <v/>
      </c>
    </row>
    <row r="37914">
      <c r="A37914" t="n">
        <v>37913</v>
      </c>
      <c r="B37914" t="inlineStr">
        <is>
          <t>x̄x̄x̄V̅MMCMXIII</t>
        </is>
      </c>
      <c r="C37914">
        <f>ROMAN(37913)</f>
        <v/>
      </c>
      <c r="D37914">
        <f>IF(B37914=C37914, "YES", "WRONG")</f>
        <v/>
      </c>
    </row>
    <row r="37915">
      <c r="A37915" t="n">
        <v>37914</v>
      </c>
      <c r="B37915" t="inlineStr">
        <is>
          <t>x̄x̄x̄V̅MMCMXIV</t>
        </is>
      </c>
      <c r="C37915">
        <f>ROMAN(37914)</f>
        <v/>
      </c>
      <c r="D37915">
        <f>IF(B37915=C37915, "YES", "WRONG")</f>
        <v/>
      </c>
    </row>
    <row r="37916">
      <c r="A37916" t="n">
        <v>37915</v>
      </c>
      <c r="B37916" t="inlineStr">
        <is>
          <t>x̄x̄x̄V̅MMCMXV</t>
        </is>
      </c>
      <c r="C37916">
        <f>ROMAN(37915)</f>
        <v/>
      </c>
      <c r="D37916">
        <f>IF(B37916=C37916, "YES", "WRONG")</f>
        <v/>
      </c>
    </row>
    <row r="37917">
      <c r="A37917" t="n">
        <v>37916</v>
      </c>
      <c r="B37917" t="inlineStr">
        <is>
          <t>x̄x̄x̄V̅MMCMXVI</t>
        </is>
      </c>
      <c r="C37917">
        <f>ROMAN(37916)</f>
        <v/>
      </c>
      <c r="D37917">
        <f>IF(B37917=C37917, "YES", "WRONG")</f>
        <v/>
      </c>
    </row>
    <row r="37918">
      <c r="A37918" t="n">
        <v>37917</v>
      </c>
      <c r="B37918" t="inlineStr">
        <is>
          <t>x̄x̄x̄V̅MMCMXVII</t>
        </is>
      </c>
      <c r="C37918">
        <f>ROMAN(37917)</f>
        <v/>
      </c>
      <c r="D37918">
        <f>IF(B37918=C37918, "YES", "WRONG")</f>
        <v/>
      </c>
    </row>
    <row r="37919">
      <c r="A37919" t="n">
        <v>37918</v>
      </c>
      <c r="B37919" t="inlineStr">
        <is>
          <t>x̄x̄x̄V̅MMCMXVIII</t>
        </is>
      </c>
      <c r="C37919">
        <f>ROMAN(37918)</f>
        <v/>
      </c>
      <c r="D37919">
        <f>IF(B37919=C37919, "YES", "WRONG")</f>
        <v/>
      </c>
    </row>
    <row r="37920">
      <c r="A37920" t="n">
        <v>37919</v>
      </c>
      <c r="B37920" t="inlineStr">
        <is>
          <t>x̄x̄x̄V̅MMCMXIX</t>
        </is>
      </c>
      <c r="C37920">
        <f>ROMAN(37919)</f>
        <v/>
      </c>
      <c r="D37920">
        <f>IF(B37920=C37920, "YES", "WRONG")</f>
        <v/>
      </c>
    </row>
    <row r="37921">
      <c r="A37921" t="n">
        <v>37920</v>
      </c>
      <c r="B37921" t="inlineStr">
        <is>
          <t>x̄x̄x̄V̅MMCMXX</t>
        </is>
      </c>
      <c r="C37921">
        <f>ROMAN(37920)</f>
        <v/>
      </c>
      <c r="D37921">
        <f>IF(B37921=C37921, "YES", "WRONG")</f>
        <v/>
      </c>
    </row>
    <row r="37922">
      <c r="A37922" t="n">
        <v>37921</v>
      </c>
      <c r="B37922" t="inlineStr">
        <is>
          <t>x̄x̄x̄V̅MMCMXXI</t>
        </is>
      </c>
      <c r="C37922">
        <f>ROMAN(37921)</f>
        <v/>
      </c>
      <c r="D37922">
        <f>IF(B37922=C37922, "YES", "WRONG")</f>
        <v/>
      </c>
    </row>
    <row r="37923">
      <c r="A37923" t="n">
        <v>37922</v>
      </c>
      <c r="B37923" t="inlineStr">
        <is>
          <t>x̄x̄x̄V̅MMCMXXII</t>
        </is>
      </c>
      <c r="C37923">
        <f>ROMAN(37922)</f>
        <v/>
      </c>
      <c r="D37923">
        <f>IF(B37923=C37923, "YES", "WRONG")</f>
        <v/>
      </c>
    </row>
    <row r="37924">
      <c r="A37924" t="n">
        <v>37923</v>
      </c>
      <c r="B37924" t="inlineStr">
        <is>
          <t>x̄x̄x̄V̅MMCMXXIII</t>
        </is>
      </c>
      <c r="C37924">
        <f>ROMAN(37923)</f>
        <v/>
      </c>
      <c r="D37924">
        <f>IF(B37924=C37924, "YES", "WRONG")</f>
        <v/>
      </c>
    </row>
    <row r="37925">
      <c r="A37925" t="n">
        <v>37924</v>
      </c>
      <c r="B37925" t="inlineStr">
        <is>
          <t>x̄x̄x̄V̅MMCMXXIV</t>
        </is>
      </c>
      <c r="C37925">
        <f>ROMAN(37924)</f>
        <v/>
      </c>
      <c r="D37925">
        <f>IF(B37925=C37925, "YES", "WRONG")</f>
        <v/>
      </c>
    </row>
    <row r="37926">
      <c r="A37926" t="n">
        <v>37925</v>
      </c>
      <c r="B37926" t="inlineStr">
        <is>
          <t>x̄x̄x̄V̅MMCMXXV</t>
        </is>
      </c>
      <c r="C37926">
        <f>ROMAN(37925)</f>
        <v/>
      </c>
      <c r="D37926">
        <f>IF(B37926=C37926, "YES", "WRONG")</f>
        <v/>
      </c>
    </row>
    <row r="37927">
      <c r="A37927" t="n">
        <v>37926</v>
      </c>
      <c r="B37927" t="inlineStr">
        <is>
          <t>x̄x̄x̄V̅MMCMXXVI</t>
        </is>
      </c>
      <c r="C37927">
        <f>ROMAN(37926)</f>
        <v/>
      </c>
      <c r="D37927">
        <f>IF(B37927=C37927, "YES", "WRONG")</f>
        <v/>
      </c>
    </row>
    <row r="37928">
      <c r="A37928" t="n">
        <v>37927</v>
      </c>
      <c r="B37928" t="inlineStr">
        <is>
          <t>x̄x̄x̄V̅MMCMXXVII</t>
        </is>
      </c>
      <c r="C37928">
        <f>ROMAN(37927)</f>
        <v/>
      </c>
      <c r="D37928">
        <f>IF(B37928=C37928, "YES", "WRONG")</f>
        <v/>
      </c>
    </row>
    <row r="37929">
      <c r="A37929" t="n">
        <v>37928</v>
      </c>
      <c r="B37929" t="inlineStr">
        <is>
          <t>x̄x̄x̄V̅MMCMXXVIII</t>
        </is>
      </c>
      <c r="C37929">
        <f>ROMAN(37928)</f>
        <v/>
      </c>
      <c r="D37929">
        <f>IF(B37929=C37929, "YES", "WRONG")</f>
        <v/>
      </c>
    </row>
    <row r="37930">
      <c r="A37930" t="n">
        <v>37929</v>
      </c>
      <c r="B37930" t="inlineStr">
        <is>
          <t>x̄x̄x̄V̅MMCMXXIX</t>
        </is>
      </c>
      <c r="C37930">
        <f>ROMAN(37929)</f>
        <v/>
      </c>
      <c r="D37930">
        <f>IF(B37930=C37930, "YES", "WRONG")</f>
        <v/>
      </c>
    </row>
    <row r="37931">
      <c r="A37931" t="n">
        <v>37930</v>
      </c>
      <c r="B37931" t="inlineStr">
        <is>
          <t>x̄x̄x̄V̅MMCMXXX</t>
        </is>
      </c>
      <c r="C37931">
        <f>ROMAN(37930)</f>
        <v/>
      </c>
      <c r="D37931">
        <f>IF(B37931=C37931, "YES", "WRONG")</f>
        <v/>
      </c>
    </row>
    <row r="37932">
      <c r="A37932" t="n">
        <v>37931</v>
      </c>
      <c r="B37932" t="inlineStr">
        <is>
          <t>x̄x̄x̄V̅MMCMXXXI</t>
        </is>
      </c>
      <c r="C37932">
        <f>ROMAN(37931)</f>
        <v/>
      </c>
      <c r="D37932">
        <f>IF(B37932=C37932, "YES", "WRONG")</f>
        <v/>
      </c>
    </row>
    <row r="37933">
      <c r="A37933" t="n">
        <v>37932</v>
      </c>
      <c r="B37933" t="inlineStr">
        <is>
          <t>x̄x̄x̄V̅MMCMXXXII</t>
        </is>
      </c>
      <c r="C37933">
        <f>ROMAN(37932)</f>
        <v/>
      </c>
      <c r="D37933">
        <f>IF(B37933=C37933, "YES", "WRONG")</f>
        <v/>
      </c>
    </row>
    <row r="37934">
      <c r="A37934" t="n">
        <v>37933</v>
      </c>
      <c r="B37934" t="inlineStr">
        <is>
          <t>x̄x̄x̄V̅MMCMXXXIII</t>
        </is>
      </c>
      <c r="C37934">
        <f>ROMAN(37933)</f>
        <v/>
      </c>
      <c r="D37934">
        <f>IF(B37934=C37934, "YES", "WRONG")</f>
        <v/>
      </c>
    </row>
    <row r="37935">
      <c r="A37935" t="n">
        <v>37934</v>
      </c>
      <c r="B37935" t="inlineStr">
        <is>
          <t>x̄x̄x̄V̅MMCMXXXIV</t>
        </is>
      </c>
      <c r="C37935">
        <f>ROMAN(37934)</f>
        <v/>
      </c>
      <c r="D37935">
        <f>IF(B37935=C37935, "YES", "WRONG")</f>
        <v/>
      </c>
    </row>
    <row r="37936">
      <c r="A37936" t="n">
        <v>37935</v>
      </c>
      <c r="B37936" t="inlineStr">
        <is>
          <t>x̄x̄x̄V̅MMCMXXXV</t>
        </is>
      </c>
      <c r="C37936">
        <f>ROMAN(37935)</f>
        <v/>
      </c>
      <c r="D37936">
        <f>IF(B37936=C37936, "YES", "WRONG")</f>
        <v/>
      </c>
    </row>
    <row r="37937">
      <c r="A37937" t="n">
        <v>37936</v>
      </c>
      <c r="B37937" t="inlineStr">
        <is>
          <t>x̄x̄x̄V̅MMCMXXXVI</t>
        </is>
      </c>
      <c r="C37937">
        <f>ROMAN(37936)</f>
        <v/>
      </c>
      <c r="D37937">
        <f>IF(B37937=C37937, "YES", "WRONG")</f>
        <v/>
      </c>
    </row>
    <row r="37938">
      <c r="A37938" t="n">
        <v>37937</v>
      </c>
      <c r="B37938" t="inlineStr">
        <is>
          <t>x̄x̄x̄V̅MMCMXXXVII</t>
        </is>
      </c>
      <c r="C37938">
        <f>ROMAN(37937)</f>
        <v/>
      </c>
      <c r="D37938">
        <f>IF(B37938=C37938, "YES", "WRONG")</f>
        <v/>
      </c>
    </row>
    <row r="37939">
      <c r="A37939" t="n">
        <v>37938</v>
      </c>
      <c r="B37939" t="inlineStr">
        <is>
          <t>x̄x̄x̄V̅MMCMXXXVIII</t>
        </is>
      </c>
      <c r="C37939">
        <f>ROMAN(37938)</f>
        <v/>
      </c>
      <c r="D37939">
        <f>IF(B37939=C37939, "YES", "WRONG")</f>
        <v/>
      </c>
    </row>
    <row r="37940">
      <c r="A37940" t="n">
        <v>37939</v>
      </c>
      <c r="B37940" t="inlineStr">
        <is>
          <t>x̄x̄x̄V̅MMCMXXXIX</t>
        </is>
      </c>
      <c r="C37940">
        <f>ROMAN(37939)</f>
        <v/>
      </c>
      <c r="D37940">
        <f>IF(B37940=C37940, "YES", "WRONG")</f>
        <v/>
      </c>
    </row>
    <row r="37941">
      <c r="A37941" t="n">
        <v>37940</v>
      </c>
      <c r="B37941" t="inlineStr">
        <is>
          <t>x̄x̄x̄V̅MMCMXL</t>
        </is>
      </c>
      <c r="C37941">
        <f>ROMAN(37940)</f>
        <v/>
      </c>
      <c r="D37941">
        <f>IF(B37941=C37941, "YES", "WRONG")</f>
        <v/>
      </c>
    </row>
    <row r="37942">
      <c r="A37942" t="n">
        <v>37941</v>
      </c>
      <c r="B37942" t="inlineStr">
        <is>
          <t>x̄x̄x̄V̅MMCMXLI</t>
        </is>
      </c>
      <c r="C37942">
        <f>ROMAN(37941)</f>
        <v/>
      </c>
      <c r="D37942">
        <f>IF(B37942=C37942, "YES", "WRONG")</f>
        <v/>
      </c>
    </row>
    <row r="37943">
      <c r="A37943" t="n">
        <v>37942</v>
      </c>
      <c r="B37943" t="inlineStr">
        <is>
          <t>x̄x̄x̄V̅MMCMXLII</t>
        </is>
      </c>
      <c r="C37943">
        <f>ROMAN(37942)</f>
        <v/>
      </c>
      <c r="D37943">
        <f>IF(B37943=C37943, "YES", "WRONG")</f>
        <v/>
      </c>
    </row>
    <row r="37944">
      <c r="A37944" t="n">
        <v>37943</v>
      </c>
      <c r="B37944" t="inlineStr">
        <is>
          <t>x̄x̄x̄V̅MMCMXLIII</t>
        </is>
      </c>
      <c r="C37944">
        <f>ROMAN(37943)</f>
        <v/>
      </c>
      <c r="D37944">
        <f>IF(B37944=C37944, "YES", "WRONG")</f>
        <v/>
      </c>
    </row>
    <row r="37945">
      <c r="A37945" t="n">
        <v>37944</v>
      </c>
      <c r="B37945" t="inlineStr">
        <is>
          <t>x̄x̄x̄V̅MMCMXLIV</t>
        </is>
      </c>
      <c r="C37945">
        <f>ROMAN(37944)</f>
        <v/>
      </c>
      <c r="D37945">
        <f>IF(B37945=C37945, "YES", "WRONG")</f>
        <v/>
      </c>
    </row>
    <row r="37946">
      <c r="A37946" t="n">
        <v>37945</v>
      </c>
      <c r="B37946" t="inlineStr">
        <is>
          <t>x̄x̄x̄V̅MMCMXLV</t>
        </is>
      </c>
      <c r="C37946">
        <f>ROMAN(37945)</f>
        <v/>
      </c>
      <c r="D37946">
        <f>IF(B37946=C37946, "YES", "WRONG")</f>
        <v/>
      </c>
    </row>
    <row r="37947">
      <c r="A37947" t="n">
        <v>37946</v>
      </c>
      <c r="B37947" t="inlineStr">
        <is>
          <t>x̄x̄x̄V̅MMCMXLVI</t>
        </is>
      </c>
      <c r="C37947">
        <f>ROMAN(37946)</f>
        <v/>
      </c>
      <c r="D37947">
        <f>IF(B37947=C37947, "YES", "WRONG")</f>
        <v/>
      </c>
    </row>
    <row r="37948">
      <c r="A37948" t="n">
        <v>37947</v>
      </c>
      <c r="B37948" t="inlineStr">
        <is>
          <t>x̄x̄x̄V̅MMCMXLVII</t>
        </is>
      </c>
      <c r="C37948">
        <f>ROMAN(37947)</f>
        <v/>
      </c>
      <c r="D37948">
        <f>IF(B37948=C37948, "YES", "WRONG")</f>
        <v/>
      </c>
    </row>
    <row r="37949">
      <c r="A37949" t="n">
        <v>37948</v>
      </c>
      <c r="B37949" t="inlineStr">
        <is>
          <t>x̄x̄x̄V̅MMCMXLVIII</t>
        </is>
      </c>
      <c r="C37949">
        <f>ROMAN(37948)</f>
        <v/>
      </c>
      <c r="D37949">
        <f>IF(B37949=C37949, "YES", "WRONG")</f>
        <v/>
      </c>
    </row>
    <row r="37950">
      <c r="A37950" t="n">
        <v>37949</v>
      </c>
      <c r="B37950" t="inlineStr">
        <is>
          <t>x̄x̄x̄V̅MMCMXLIX</t>
        </is>
      </c>
      <c r="C37950">
        <f>ROMAN(37949)</f>
        <v/>
      </c>
      <c r="D37950">
        <f>IF(B37950=C37950, "YES", "WRONG")</f>
        <v/>
      </c>
    </row>
    <row r="37951">
      <c r="A37951" t="n">
        <v>37950</v>
      </c>
      <c r="B37951" t="inlineStr">
        <is>
          <t>x̄x̄x̄V̅MMCML</t>
        </is>
      </c>
      <c r="C37951">
        <f>ROMAN(37950)</f>
        <v/>
      </c>
      <c r="D37951">
        <f>IF(B37951=C37951, "YES", "WRONG")</f>
        <v/>
      </c>
    </row>
    <row r="37952">
      <c r="A37952" t="n">
        <v>37951</v>
      </c>
      <c r="B37952" t="inlineStr">
        <is>
          <t>x̄x̄x̄V̅MMCMLI</t>
        </is>
      </c>
      <c r="C37952">
        <f>ROMAN(37951)</f>
        <v/>
      </c>
      <c r="D37952">
        <f>IF(B37952=C37952, "YES", "WRONG")</f>
        <v/>
      </c>
    </row>
    <row r="37953">
      <c r="A37953" t="n">
        <v>37952</v>
      </c>
      <c r="B37953" t="inlineStr">
        <is>
          <t>x̄x̄x̄V̅MMCMLII</t>
        </is>
      </c>
      <c r="C37953">
        <f>ROMAN(37952)</f>
        <v/>
      </c>
      <c r="D37953">
        <f>IF(B37953=C37953, "YES", "WRONG")</f>
        <v/>
      </c>
    </row>
    <row r="37954">
      <c r="A37954" t="n">
        <v>37953</v>
      </c>
      <c r="B37954" t="inlineStr">
        <is>
          <t>x̄x̄x̄V̅MMCMLIII</t>
        </is>
      </c>
      <c r="C37954">
        <f>ROMAN(37953)</f>
        <v/>
      </c>
      <c r="D37954">
        <f>IF(B37954=C37954, "YES", "WRONG")</f>
        <v/>
      </c>
    </row>
    <row r="37955">
      <c r="A37955" t="n">
        <v>37954</v>
      </c>
      <c r="B37955" t="inlineStr">
        <is>
          <t>x̄x̄x̄V̅MMCMLIV</t>
        </is>
      </c>
      <c r="C37955">
        <f>ROMAN(37954)</f>
        <v/>
      </c>
      <c r="D37955">
        <f>IF(B37955=C37955, "YES", "WRONG")</f>
        <v/>
      </c>
    </row>
    <row r="37956">
      <c r="A37956" t="n">
        <v>37955</v>
      </c>
      <c r="B37956" t="inlineStr">
        <is>
          <t>x̄x̄x̄V̅MMCMLV</t>
        </is>
      </c>
      <c r="C37956">
        <f>ROMAN(37955)</f>
        <v/>
      </c>
      <c r="D37956">
        <f>IF(B37956=C37956, "YES", "WRONG")</f>
        <v/>
      </c>
    </row>
    <row r="37957">
      <c r="A37957" t="n">
        <v>37956</v>
      </c>
      <c r="B37957" t="inlineStr">
        <is>
          <t>x̄x̄x̄V̅MMCMLVI</t>
        </is>
      </c>
      <c r="C37957">
        <f>ROMAN(37956)</f>
        <v/>
      </c>
      <c r="D37957">
        <f>IF(B37957=C37957, "YES", "WRONG")</f>
        <v/>
      </c>
    </row>
    <row r="37958">
      <c r="A37958" t="n">
        <v>37957</v>
      </c>
      <c r="B37958" t="inlineStr">
        <is>
          <t>x̄x̄x̄V̅MMCMLVII</t>
        </is>
      </c>
      <c r="C37958">
        <f>ROMAN(37957)</f>
        <v/>
      </c>
      <c r="D37958">
        <f>IF(B37958=C37958, "YES", "WRONG")</f>
        <v/>
      </c>
    </row>
    <row r="37959">
      <c r="A37959" t="n">
        <v>37958</v>
      </c>
      <c r="B37959" t="inlineStr">
        <is>
          <t>x̄x̄x̄V̅MMCMLVIII</t>
        </is>
      </c>
      <c r="C37959">
        <f>ROMAN(37958)</f>
        <v/>
      </c>
      <c r="D37959">
        <f>IF(B37959=C37959, "YES", "WRONG")</f>
        <v/>
      </c>
    </row>
    <row r="37960">
      <c r="A37960" t="n">
        <v>37959</v>
      </c>
      <c r="B37960" t="inlineStr">
        <is>
          <t>x̄x̄x̄V̅MMCMLIX</t>
        </is>
      </c>
      <c r="C37960">
        <f>ROMAN(37959)</f>
        <v/>
      </c>
      <c r="D37960">
        <f>IF(B37960=C37960, "YES", "WRONG")</f>
        <v/>
      </c>
    </row>
    <row r="37961">
      <c r="A37961" t="n">
        <v>37960</v>
      </c>
      <c r="B37961" t="inlineStr">
        <is>
          <t>x̄x̄x̄V̅MMCMLX</t>
        </is>
      </c>
      <c r="C37961">
        <f>ROMAN(37960)</f>
        <v/>
      </c>
      <c r="D37961">
        <f>IF(B37961=C37961, "YES", "WRONG")</f>
        <v/>
      </c>
    </row>
    <row r="37962">
      <c r="A37962" t="n">
        <v>37961</v>
      </c>
      <c r="B37962" t="inlineStr">
        <is>
          <t>x̄x̄x̄V̅MMCMLXI</t>
        </is>
      </c>
      <c r="C37962">
        <f>ROMAN(37961)</f>
        <v/>
      </c>
      <c r="D37962">
        <f>IF(B37962=C37962, "YES", "WRONG")</f>
        <v/>
      </c>
    </row>
    <row r="37963">
      <c r="A37963" t="n">
        <v>37962</v>
      </c>
      <c r="B37963" t="inlineStr">
        <is>
          <t>x̄x̄x̄V̅MMCMLXII</t>
        </is>
      </c>
      <c r="C37963">
        <f>ROMAN(37962)</f>
        <v/>
      </c>
      <c r="D37963">
        <f>IF(B37963=C37963, "YES", "WRONG")</f>
        <v/>
      </c>
    </row>
    <row r="37964">
      <c r="A37964" t="n">
        <v>37963</v>
      </c>
      <c r="B37964" t="inlineStr">
        <is>
          <t>x̄x̄x̄V̅MMCMLXIII</t>
        </is>
      </c>
      <c r="C37964">
        <f>ROMAN(37963)</f>
        <v/>
      </c>
      <c r="D37964">
        <f>IF(B37964=C37964, "YES", "WRONG")</f>
        <v/>
      </c>
    </row>
    <row r="37965">
      <c r="A37965" t="n">
        <v>37964</v>
      </c>
      <c r="B37965" t="inlineStr">
        <is>
          <t>x̄x̄x̄V̅MMCMLXIV</t>
        </is>
      </c>
      <c r="C37965">
        <f>ROMAN(37964)</f>
        <v/>
      </c>
      <c r="D37965">
        <f>IF(B37965=C37965, "YES", "WRONG")</f>
        <v/>
      </c>
    </row>
    <row r="37966">
      <c r="A37966" t="n">
        <v>37965</v>
      </c>
      <c r="B37966" t="inlineStr">
        <is>
          <t>x̄x̄x̄V̅MMCMLXV</t>
        </is>
      </c>
      <c r="C37966">
        <f>ROMAN(37965)</f>
        <v/>
      </c>
      <c r="D37966">
        <f>IF(B37966=C37966, "YES", "WRONG")</f>
        <v/>
      </c>
    </row>
    <row r="37967">
      <c r="A37967" t="n">
        <v>37966</v>
      </c>
      <c r="B37967" t="inlineStr">
        <is>
          <t>x̄x̄x̄V̅MMCMLXVI</t>
        </is>
      </c>
      <c r="C37967">
        <f>ROMAN(37966)</f>
        <v/>
      </c>
      <c r="D37967">
        <f>IF(B37967=C37967, "YES", "WRONG")</f>
        <v/>
      </c>
    </row>
    <row r="37968">
      <c r="A37968" t="n">
        <v>37967</v>
      </c>
      <c r="B37968" t="inlineStr">
        <is>
          <t>x̄x̄x̄V̅MMCMLXVII</t>
        </is>
      </c>
      <c r="C37968">
        <f>ROMAN(37967)</f>
        <v/>
      </c>
      <c r="D37968">
        <f>IF(B37968=C37968, "YES", "WRONG")</f>
        <v/>
      </c>
    </row>
    <row r="37969">
      <c r="A37969" t="n">
        <v>37968</v>
      </c>
      <c r="B37969" t="inlineStr">
        <is>
          <t>x̄x̄x̄V̅MMCMLXVIII</t>
        </is>
      </c>
      <c r="C37969">
        <f>ROMAN(37968)</f>
        <v/>
      </c>
      <c r="D37969">
        <f>IF(B37969=C37969, "YES", "WRONG")</f>
        <v/>
      </c>
    </row>
    <row r="37970">
      <c r="A37970" t="n">
        <v>37969</v>
      </c>
      <c r="B37970" t="inlineStr">
        <is>
          <t>x̄x̄x̄V̅MMCMLXIX</t>
        </is>
      </c>
      <c r="C37970">
        <f>ROMAN(37969)</f>
        <v/>
      </c>
      <c r="D37970">
        <f>IF(B37970=C37970, "YES", "WRONG")</f>
        <v/>
      </c>
    </row>
    <row r="37971">
      <c r="A37971" t="n">
        <v>37970</v>
      </c>
      <c r="B37971" t="inlineStr">
        <is>
          <t>x̄x̄x̄V̅MMCMLXX</t>
        </is>
      </c>
      <c r="C37971">
        <f>ROMAN(37970)</f>
        <v/>
      </c>
      <c r="D37971">
        <f>IF(B37971=C37971, "YES", "WRONG")</f>
        <v/>
      </c>
    </row>
    <row r="37972">
      <c r="A37972" t="n">
        <v>37971</v>
      </c>
      <c r="B37972" t="inlineStr">
        <is>
          <t>x̄x̄x̄V̅MMCMLXXI</t>
        </is>
      </c>
      <c r="C37972">
        <f>ROMAN(37971)</f>
        <v/>
      </c>
      <c r="D37972">
        <f>IF(B37972=C37972, "YES", "WRONG")</f>
        <v/>
      </c>
    </row>
    <row r="37973">
      <c r="A37973" t="n">
        <v>37972</v>
      </c>
      <c r="B37973" t="inlineStr">
        <is>
          <t>x̄x̄x̄V̅MMCMLXXII</t>
        </is>
      </c>
      <c r="C37973">
        <f>ROMAN(37972)</f>
        <v/>
      </c>
      <c r="D37973">
        <f>IF(B37973=C37973, "YES", "WRONG")</f>
        <v/>
      </c>
    </row>
    <row r="37974">
      <c r="A37974" t="n">
        <v>37973</v>
      </c>
      <c r="B37974" t="inlineStr">
        <is>
          <t>x̄x̄x̄V̅MMCMLXXIII</t>
        </is>
      </c>
      <c r="C37974">
        <f>ROMAN(37973)</f>
        <v/>
      </c>
      <c r="D37974">
        <f>IF(B37974=C37974, "YES", "WRONG")</f>
        <v/>
      </c>
    </row>
    <row r="37975">
      <c r="A37975" t="n">
        <v>37974</v>
      </c>
      <c r="B37975" t="inlineStr">
        <is>
          <t>x̄x̄x̄V̅MMCMLXXIV</t>
        </is>
      </c>
      <c r="C37975">
        <f>ROMAN(37974)</f>
        <v/>
      </c>
      <c r="D37975">
        <f>IF(B37975=C37975, "YES", "WRONG")</f>
        <v/>
      </c>
    </row>
    <row r="37976">
      <c r="A37976" t="n">
        <v>37975</v>
      </c>
      <c r="B37976" t="inlineStr">
        <is>
          <t>x̄x̄x̄V̅MMCMLXXV</t>
        </is>
      </c>
      <c r="C37976">
        <f>ROMAN(37975)</f>
        <v/>
      </c>
      <c r="D37976">
        <f>IF(B37976=C37976, "YES", "WRONG")</f>
        <v/>
      </c>
    </row>
    <row r="37977">
      <c r="A37977" t="n">
        <v>37976</v>
      </c>
      <c r="B37977" t="inlineStr">
        <is>
          <t>x̄x̄x̄V̅MMCMLXXVI</t>
        </is>
      </c>
      <c r="C37977">
        <f>ROMAN(37976)</f>
        <v/>
      </c>
      <c r="D37977">
        <f>IF(B37977=C37977, "YES", "WRONG")</f>
        <v/>
      </c>
    </row>
    <row r="37978">
      <c r="A37978" t="n">
        <v>37977</v>
      </c>
      <c r="B37978" t="inlineStr">
        <is>
          <t>x̄x̄x̄V̅MMCMLXXVII</t>
        </is>
      </c>
      <c r="C37978">
        <f>ROMAN(37977)</f>
        <v/>
      </c>
      <c r="D37978">
        <f>IF(B37978=C37978, "YES", "WRONG")</f>
        <v/>
      </c>
    </row>
    <row r="37979">
      <c r="A37979" t="n">
        <v>37978</v>
      </c>
      <c r="B37979" t="inlineStr">
        <is>
          <t>x̄x̄x̄V̅MMCMLXXVIII</t>
        </is>
      </c>
      <c r="C37979">
        <f>ROMAN(37978)</f>
        <v/>
      </c>
      <c r="D37979">
        <f>IF(B37979=C37979, "YES", "WRONG")</f>
        <v/>
      </c>
    </row>
    <row r="37980">
      <c r="A37980" t="n">
        <v>37979</v>
      </c>
      <c r="B37980" t="inlineStr">
        <is>
          <t>x̄x̄x̄V̅MMCMLXXIX</t>
        </is>
      </c>
      <c r="C37980">
        <f>ROMAN(37979)</f>
        <v/>
      </c>
      <c r="D37980">
        <f>IF(B37980=C37980, "YES", "WRONG")</f>
        <v/>
      </c>
    </row>
    <row r="37981">
      <c r="A37981" t="n">
        <v>37980</v>
      </c>
      <c r="B37981" t="inlineStr">
        <is>
          <t>x̄x̄x̄V̅MMCMLXXX</t>
        </is>
      </c>
      <c r="C37981">
        <f>ROMAN(37980)</f>
        <v/>
      </c>
      <c r="D37981">
        <f>IF(B37981=C37981, "YES", "WRONG")</f>
        <v/>
      </c>
    </row>
    <row r="37982">
      <c r="A37982" t="n">
        <v>37981</v>
      </c>
      <c r="B37982" t="inlineStr">
        <is>
          <t>x̄x̄x̄V̅MMCMLXXXI</t>
        </is>
      </c>
      <c r="C37982">
        <f>ROMAN(37981)</f>
        <v/>
      </c>
      <c r="D37982">
        <f>IF(B37982=C37982, "YES", "WRONG")</f>
        <v/>
      </c>
    </row>
    <row r="37983">
      <c r="A37983" t="n">
        <v>37982</v>
      </c>
      <c r="B37983" t="inlineStr">
        <is>
          <t>x̄x̄x̄V̅MMCMLXXXII</t>
        </is>
      </c>
      <c r="C37983">
        <f>ROMAN(37982)</f>
        <v/>
      </c>
      <c r="D37983">
        <f>IF(B37983=C37983, "YES", "WRONG")</f>
        <v/>
      </c>
    </row>
    <row r="37984">
      <c r="A37984" t="n">
        <v>37983</v>
      </c>
      <c r="B37984" t="inlineStr">
        <is>
          <t>x̄x̄x̄V̅MMCMLXXXIII</t>
        </is>
      </c>
      <c r="C37984">
        <f>ROMAN(37983)</f>
        <v/>
      </c>
      <c r="D37984">
        <f>IF(B37984=C37984, "YES", "WRONG")</f>
        <v/>
      </c>
    </row>
    <row r="37985">
      <c r="A37985" t="n">
        <v>37984</v>
      </c>
      <c r="B37985" t="inlineStr">
        <is>
          <t>x̄x̄x̄V̅MMCMLXXXIV</t>
        </is>
      </c>
      <c r="C37985">
        <f>ROMAN(37984)</f>
        <v/>
      </c>
      <c r="D37985">
        <f>IF(B37985=C37985, "YES", "WRONG")</f>
        <v/>
      </c>
    </row>
    <row r="37986">
      <c r="A37986" t="n">
        <v>37985</v>
      </c>
      <c r="B37986" t="inlineStr">
        <is>
          <t>x̄x̄x̄V̅MMCMLXXXV</t>
        </is>
      </c>
      <c r="C37986">
        <f>ROMAN(37985)</f>
        <v/>
      </c>
      <c r="D37986">
        <f>IF(B37986=C37986, "YES", "WRONG")</f>
        <v/>
      </c>
    </row>
    <row r="37987">
      <c r="A37987" t="n">
        <v>37986</v>
      </c>
      <c r="B37987" t="inlineStr">
        <is>
          <t>x̄x̄x̄V̅MMCMLXXXVI</t>
        </is>
      </c>
      <c r="C37987">
        <f>ROMAN(37986)</f>
        <v/>
      </c>
      <c r="D37987">
        <f>IF(B37987=C37987, "YES", "WRONG")</f>
        <v/>
      </c>
    </row>
    <row r="37988">
      <c r="A37988" t="n">
        <v>37987</v>
      </c>
      <c r="B37988" t="inlineStr">
        <is>
          <t>x̄x̄x̄V̅MMCMLXXXVII</t>
        </is>
      </c>
      <c r="C37988">
        <f>ROMAN(37987)</f>
        <v/>
      </c>
      <c r="D37988">
        <f>IF(B37988=C37988, "YES", "WRONG")</f>
        <v/>
      </c>
    </row>
    <row r="37989">
      <c r="A37989" t="n">
        <v>37988</v>
      </c>
      <c r="B37989" t="inlineStr">
        <is>
          <t>x̄x̄x̄V̅MMCMLXXXVIII</t>
        </is>
      </c>
      <c r="C37989">
        <f>ROMAN(37988)</f>
        <v/>
      </c>
      <c r="D37989">
        <f>IF(B37989=C37989, "YES", "WRONG")</f>
        <v/>
      </c>
    </row>
    <row r="37990">
      <c r="A37990" t="n">
        <v>37989</v>
      </c>
      <c r="B37990" t="inlineStr">
        <is>
          <t>x̄x̄x̄V̅MMCMLXXXIX</t>
        </is>
      </c>
      <c r="C37990">
        <f>ROMAN(37989)</f>
        <v/>
      </c>
      <c r="D37990">
        <f>IF(B37990=C37990, "YES", "WRONG")</f>
        <v/>
      </c>
    </row>
    <row r="37991">
      <c r="A37991" t="n">
        <v>37990</v>
      </c>
      <c r="B37991" t="inlineStr">
        <is>
          <t>x̄x̄x̄V̅MMCMXC</t>
        </is>
      </c>
      <c r="C37991">
        <f>ROMAN(37990)</f>
        <v/>
      </c>
      <c r="D37991">
        <f>IF(B37991=C37991, "YES", "WRONG")</f>
        <v/>
      </c>
    </row>
    <row r="37992">
      <c r="A37992" t="n">
        <v>37991</v>
      </c>
      <c r="B37992" t="inlineStr">
        <is>
          <t>x̄x̄x̄V̅MMCMXCI</t>
        </is>
      </c>
      <c r="C37992">
        <f>ROMAN(37991)</f>
        <v/>
      </c>
      <c r="D37992">
        <f>IF(B37992=C37992, "YES", "WRONG")</f>
        <v/>
      </c>
    </row>
    <row r="37993">
      <c r="A37993" t="n">
        <v>37992</v>
      </c>
      <c r="B37993" t="inlineStr">
        <is>
          <t>x̄x̄x̄V̅MMCMXCII</t>
        </is>
      </c>
      <c r="C37993">
        <f>ROMAN(37992)</f>
        <v/>
      </c>
      <c r="D37993">
        <f>IF(B37993=C37993, "YES", "WRONG")</f>
        <v/>
      </c>
    </row>
    <row r="37994">
      <c r="A37994" t="n">
        <v>37993</v>
      </c>
      <c r="B37994" t="inlineStr">
        <is>
          <t>x̄x̄x̄V̅MMCMXCIII</t>
        </is>
      </c>
      <c r="C37994">
        <f>ROMAN(37993)</f>
        <v/>
      </c>
      <c r="D37994">
        <f>IF(B37994=C37994, "YES", "WRONG")</f>
        <v/>
      </c>
    </row>
    <row r="37995">
      <c r="A37995" t="n">
        <v>37994</v>
      </c>
      <c r="B37995" t="inlineStr">
        <is>
          <t>x̄x̄x̄V̅MMCMXCIV</t>
        </is>
      </c>
      <c r="C37995">
        <f>ROMAN(37994)</f>
        <v/>
      </c>
      <c r="D37995">
        <f>IF(B37995=C37995, "YES", "WRONG")</f>
        <v/>
      </c>
    </row>
    <row r="37996">
      <c r="A37996" t="n">
        <v>37995</v>
      </c>
      <c r="B37996" t="inlineStr">
        <is>
          <t>x̄x̄x̄V̅MMCMXCV</t>
        </is>
      </c>
      <c r="C37996">
        <f>ROMAN(37995)</f>
        <v/>
      </c>
      <c r="D37996">
        <f>IF(B37996=C37996, "YES", "WRONG")</f>
        <v/>
      </c>
    </row>
    <row r="37997">
      <c r="A37997" t="n">
        <v>37996</v>
      </c>
      <c r="B37997" t="inlineStr">
        <is>
          <t>x̄x̄x̄V̅MMCMXCVI</t>
        </is>
      </c>
      <c r="C37997">
        <f>ROMAN(37996)</f>
        <v/>
      </c>
      <c r="D37997">
        <f>IF(B37997=C37997, "YES", "WRONG")</f>
        <v/>
      </c>
    </row>
    <row r="37998">
      <c r="A37998" t="n">
        <v>37997</v>
      </c>
      <c r="B37998" t="inlineStr">
        <is>
          <t>x̄x̄x̄V̅MMCMXCVII</t>
        </is>
      </c>
      <c r="C37998">
        <f>ROMAN(37997)</f>
        <v/>
      </c>
      <c r="D37998">
        <f>IF(B37998=C37998, "YES", "WRONG")</f>
        <v/>
      </c>
    </row>
    <row r="37999">
      <c r="A37999" t="n">
        <v>37998</v>
      </c>
      <c r="B37999" t="inlineStr">
        <is>
          <t>x̄x̄x̄V̅MMCMXCVIII</t>
        </is>
      </c>
      <c r="C37999">
        <f>ROMAN(37998)</f>
        <v/>
      </c>
      <c r="D37999">
        <f>IF(B37999=C37999, "YES", "WRONG")</f>
        <v/>
      </c>
    </row>
    <row r="38000">
      <c r="A38000" t="n">
        <v>37999</v>
      </c>
      <c r="B38000" t="inlineStr">
        <is>
          <t>x̄x̄x̄V̅MMCMXCIX</t>
        </is>
      </c>
      <c r="C38000">
        <f>ROMAN(37999)</f>
        <v/>
      </c>
      <c r="D38000">
        <f>IF(B38000=C38000, "YES", "WRONG")</f>
        <v/>
      </c>
    </row>
    <row r="38001">
      <c r="A38001" t="n">
        <v>38000</v>
      </c>
      <c r="B38001" t="inlineStr">
        <is>
          <t>x̄x̄x̄V̅MMM</t>
        </is>
      </c>
      <c r="C38001">
        <f>ROMAN(38000)</f>
        <v/>
      </c>
      <c r="D38001">
        <f>IF(B38001=C38001, "YES", "WRONG")</f>
        <v/>
      </c>
    </row>
    <row r="38002">
      <c r="A38002" t="n">
        <v>38001</v>
      </c>
      <c r="B38002" t="inlineStr">
        <is>
          <t>x̄x̄x̄V̅MMMI</t>
        </is>
      </c>
      <c r="C38002">
        <f>ROMAN(38001)</f>
        <v/>
      </c>
      <c r="D38002">
        <f>IF(B38002=C38002, "YES", "WRONG")</f>
        <v/>
      </c>
    </row>
    <row r="38003">
      <c r="A38003" t="n">
        <v>38002</v>
      </c>
      <c r="B38003" t="inlineStr">
        <is>
          <t>x̄x̄x̄V̅MMMII</t>
        </is>
      </c>
      <c r="C38003">
        <f>ROMAN(38002)</f>
        <v/>
      </c>
      <c r="D38003">
        <f>IF(B38003=C38003, "YES", "WRONG")</f>
        <v/>
      </c>
    </row>
    <row r="38004">
      <c r="A38004" t="n">
        <v>38003</v>
      </c>
      <c r="B38004" t="inlineStr">
        <is>
          <t>x̄x̄x̄V̅MMMIII</t>
        </is>
      </c>
      <c r="C38004">
        <f>ROMAN(38003)</f>
        <v/>
      </c>
      <c r="D38004">
        <f>IF(B38004=C38004, "YES", "WRONG")</f>
        <v/>
      </c>
    </row>
    <row r="38005">
      <c r="A38005" t="n">
        <v>38004</v>
      </c>
      <c r="B38005" t="inlineStr">
        <is>
          <t>x̄x̄x̄V̅MMMIV</t>
        </is>
      </c>
      <c r="C38005">
        <f>ROMAN(38004)</f>
        <v/>
      </c>
      <c r="D38005">
        <f>IF(B38005=C38005, "YES", "WRONG")</f>
        <v/>
      </c>
    </row>
    <row r="38006">
      <c r="A38006" t="n">
        <v>38005</v>
      </c>
      <c r="B38006" t="inlineStr">
        <is>
          <t>x̄x̄x̄V̅MMMV</t>
        </is>
      </c>
      <c r="C38006">
        <f>ROMAN(38005)</f>
        <v/>
      </c>
      <c r="D38006">
        <f>IF(B38006=C38006, "YES", "WRONG")</f>
        <v/>
      </c>
    </row>
    <row r="38007">
      <c r="A38007" t="n">
        <v>38006</v>
      </c>
      <c r="B38007" t="inlineStr">
        <is>
          <t>x̄x̄x̄V̅MMMVI</t>
        </is>
      </c>
      <c r="C38007">
        <f>ROMAN(38006)</f>
        <v/>
      </c>
      <c r="D38007">
        <f>IF(B38007=C38007, "YES", "WRONG")</f>
        <v/>
      </c>
    </row>
    <row r="38008">
      <c r="A38008" t="n">
        <v>38007</v>
      </c>
      <c r="B38008" t="inlineStr">
        <is>
          <t>x̄x̄x̄V̅MMMVII</t>
        </is>
      </c>
      <c r="C38008">
        <f>ROMAN(38007)</f>
        <v/>
      </c>
      <c r="D38008">
        <f>IF(B38008=C38008, "YES", "WRONG")</f>
        <v/>
      </c>
    </row>
    <row r="38009">
      <c r="A38009" t="n">
        <v>38008</v>
      </c>
      <c r="B38009" t="inlineStr">
        <is>
          <t>x̄x̄x̄V̅MMMVIII</t>
        </is>
      </c>
      <c r="C38009">
        <f>ROMAN(38008)</f>
        <v/>
      </c>
      <c r="D38009">
        <f>IF(B38009=C38009, "YES", "WRONG")</f>
        <v/>
      </c>
    </row>
    <row r="38010">
      <c r="A38010" t="n">
        <v>38009</v>
      </c>
      <c r="B38010" t="inlineStr">
        <is>
          <t>x̄x̄x̄V̅MMMIX</t>
        </is>
      </c>
      <c r="C38010">
        <f>ROMAN(38009)</f>
        <v/>
      </c>
      <c r="D38010">
        <f>IF(B38010=C38010, "YES", "WRONG")</f>
        <v/>
      </c>
    </row>
    <row r="38011">
      <c r="A38011" t="n">
        <v>38010</v>
      </c>
      <c r="B38011" t="inlineStr">
        <is>
          <t>x̄x̄x̄V̅MMMX</t>
        </is>
      </c>
      <c r="C38011">
        <f>ROMAN(38010)</f>
        <v/>
      </c>
      <c r="D38011">
        <f>IF(B38011=C38011, "YES", "WRONG")</f>
        <v/>
      </c>
    </row>
    <row r="38012">
      <c r="A38012" t="n">
        <v>38011</v>
      </c>
      <c r="B38012" t="inlineStr">
        <is>
          <t>x̄x̄x̄V̅MMMXI</t>
        </is>
      </c>
      <c r="C38012">
        <f>ROMAN(38011)</f>
        <v/>
      </c>
      <c r="D38012">
        <f>IF(B38012=C38012, "YES", "WRONG")</f>
        <v/>
      </c>
    </row>
    <row r="38013">
      <c r="A38013" t="n">
        <v>38012</v>
      </c>
      <c r="B38013" t="inlineStr">
        <is>
          <t>x̄x̄x̄V̅MMMXII</t>
        </is>
      </c>
      <c r="C38013">
        <f>ROMAN(38012)</f>
        <v/>
      </c>
      <c r="D38013">
        <f>IF(B38013=C38013, "YES", "WRONG")</f>
        <v/>
      </c>
    </row>
    <row r="38014">
      <c r="A38014" t="n">
        <v>38013</v>
      </c>
      <c r="B38014" t="inlineStr">
        <is>
          <t>x̄x̄x̄V̅MMMXIII</t>
        </is>
      </c>
      <c r="C38014">
        <f>ROMAN(38013)</f>
        <v/>
      </c>
      <c r="D38014">
        <f>IF(B38014=C38014, "YES", "WRONG")</f>
        <v/>
      </c>
    </row>
    <row r="38015">
      <c r="A38015" t="n">
        <v>38014</v>
      </c>
      <c r="B38015" t="inlineStr">
        <is>
          <t>x̄x̄x̄V̅MMMXIV</t>
        </is>
      </c>
      <c r="C38015">
        <f>ROMAN(38014)</f>
        <v/>
      </c>
      <c r="D38015">
        <f>IF(B38015=C38015, "YES", "WRONG")</f>
        <v/>
      </c>
    </row>
    <row r="38016">
      <c r="A38016" t="n">
        <v>38015</v>
      </c>
      <c r="B38016" t="inlineStr">
        <is>
          <t>x̄x̄x̄V̅MMMXV</t>
        </is>
      </c>
      <c r="C38016">
        <f>ROMAN(38015)</f>
        <v/>
      </c>
      <c r="D38016">
        <f>IF(B38016=C38016, "YES", "WRONG")</f>
        <v/>
      </c>
    </row>
    <row r="38017">
      <c r="A38017" t="n">
        <v>38016</v>
      </c>
      <c r="B38017" t="inlineStr">
        <is>
          <t>x̄x̄x̄V̅MMMXVI</t>
        </is>
      </c>
      <c r="C38017">
        <f>ROMAN(38016)</f>
        <v/>
      </c>
      <c r="D38017">
        <f>IF(B38017=C38017, "YES", "WRONG")</f>
        <v/>
      </c>
    </row>
    <row r="38018">
      <c r="A38018" t="n">
        <v>38017</v>
      </c>
      <c r="B38018" t="inlineStr">
        <is>
          <t>x̄x̄x̄V̅MMMXVII</t>
        </is>
      </c>
      <c r="C38018">
        <f>ROMAN(38017)</f>
        <v/>
      </c>
      <c r="D38018">
        <f>IF(B38018=C38018, "YES", "WRONG")</f>
        <v/>
      </c>
    </row>
    <row r="38019">
      <c r="A38019" t="n">
        <v>38018</v>
      </c>
      <c r="B38019" t="inlineStr">
        <is>
          <t>x̄x̄x̄V̅MMMXVIII</t>
        </is>
      </c>
      <c r="C38019">
        <f>ROMAN(38018)</f>
        <v/>
      </c>
      <c r="D38019">
        <f>IF(B38019=C38019, "YES", "WRONG")</f>
        <v/>
      </c>
    </row>
    <row r="38020">
      <c r="A38020" t="n">
        <v>38019</v>
      </c>
      <c r="B38020" t="inlineStr">
        <is>
          <t>x̄x̄x̄V̅MMMXIX</t>
        </is>
      </c>
      <c r="C38020">
        <f>ROMAN(38019)</f>
        <v/>
      </c>
      <c r="D38020">
        <f>IF(B38020=C38020, "YES", "WRONG")</f>
        <v/>
      </c>
    </row>
    <row r="38021">
      <c r="A38021" t="n">
        <v>38020</v>
      </c>
      <c r="B38021" t="inlineStr">
        <is>
          <t>x̄x̄x̄V̅MMMXX</t>
        </is>
      </c>
      <c r="C38021">
        <f>ROMAN(38020)</f>
        <v/>
      </c>
      <c r="D38021">
        <f>IF(B38021=C38021, "YES", "WRONG")</f>
        <v/>
      </c>
    </row>
    <row r="38022">
      <c r="A38022" t="n">
        <v>38021</v>
      </c>
      <c r="B38022" t="inlineStr">
        <is>
          <t>x̄x̄x̄V̅MMMXXI</t>
        </is>
      </c>
      <c r="C38022">
        <f>ROMAN(38021)</f>
        <v/>
      </c>
      <c r="D38022">
        <f>IF(B38022=C38022, "YES", "WRONG")</f>
        <v/>
      </c>
    </row>
    <row r="38023">
      <c r="A38023" t="n">
        <v>38022</v>
      </c>
      <c r="B38023" t="inlineStr">
        <is>
          <t>x̄x̄x̄V̅MMMXXII</t>
        </is>
      </c>
      <c r="C38023">
        <f>ROMAN(38022)</f>
        <v/>
      </c>
      <c r="D38023">
        <f>IF(B38023=C38023, "YES", "WRONG")</f>
        <v/>
      </c>
    </row>
    <row r="38024">
      <c r="A38024" t="n">
        <v>38023</v>
      </c>
      <c r="B38024" t="inlineStr">
        <is>
          <t>x̄x̄x̄V̅MMMXXIII</t>
        </is>
      </c>
      <c r="C38024">
        <f>ROMAN(38023)</f>
        <v/>
      </c>
      <c r="D38024">
        <f>IF(B38024=C38024, "YES", "WRONG")</f>
        <v/>
      </c>
    </row>
    <row r="38025">
      <c r="A38025" t="n">
        <v>38024</v>
      </c>
      <c r="B38025" t="inlineStr">
        <is>
          <t>x̄x̄x̄V̅MMMXXIV</t>
        </is>
      </c>
      <c r="C38025">
        <f>ROMAN(38024)</f>
        <v/>
      </c>
      <c r="D38025">
        <f>IF(B38025=C38025, "YES", "WRONG")</f>
        <v/>
      </c>
    </row>
    <row r="38026">
      <c r="A38026" t="n">
        <v>38025</v>
      </c>
      <c r="B38026" t="inlineStr">
        <is>
          <t>x̄x̄x̄V̅MMMXXV</t>
        </is>
      </c>
      <c r="C38026">
        <f>ROMAN(38025)</f>
        <v/>
      </c>
      <c r="D38026">
        <f>IF(B38026=C38026, "YES", "WRONG")</f>
        <v/>
      </c>
    </row>
    <row r="38027">
      <c r="A38027" t="n">
        <v>38026</v>
      </c>
      <c r="B38027" t="inlineStr">
        <is>
          <t>x̄x̄x̄V̅MMMXXVI</t>
        </is>
      </c>
      <c r="C38027">
        <f>ROMAN(38026)</f>
        <v/>
      </c>
      <c r="D38027">
        <f>IF(B38027=C38027, "YES", "WRONG")</f>
        <v/>
      </c>
    </row>
    <row r="38028">
      <c r="A38028" t="n">
        <v>38027</v>
      </c>
      <c r="B38028" t="inlineStr">
        <is>
          <t>x̄x̄x̄V̅MMMXXVII</t>
        </is>
      </c>
      <c r="C38028">
        <f>ROMAN(38027)</f>
        <v/>
      </c>
      <c r="D38028">
        <f>IF(B38028=C38028, "YES", "WRONG")</f>
        <v/>
      </c>
    </row>
    <row r="38029">
      <c r="A38029" t="n">
        <v>38028</v>
      </c>
      <c r="B38029" t="inlineStr">
        <is>
          <t>x̄x̄x̄V̅MMMXXVIII</t>
        </is>
      </c>
      <c r="C38029">
        <f>ROMAN(38028)</f>
        <v/>
      </c>
      <c r="D38029">
        <f>IF(B38029=C38029, "YES", "WRONG")</f>
        <v/>
      </c>
    </row>
    <row r="38030">
      <c r="A38030" t="n">
        <v>38029</v>
      </c>
      <c r="B38030" t="inlineStr">
        <is>
          <t>x̄x̄x̄V̅MMMXXIX</t>
        </is>
      </c>
      <c r="C38030">
        <f>ROMAN(38029)</f>
        <v/>
      </c>
      <c r="D38030">
        <f>IF(B38030=C38030, "YES", "WRONG")</f>
        <v/>
      </c>
    </row>
    <row r="38031">
      <c r="A38031" t="n">
        <v>38030</v>
      </c>
      <c r="B38031" t="inlineStr">
        <is>
          <t>x̄x̄x̄V̅MMMXXX</t>
        </is>
      </c>
      <c r="C38031">
        <f>ROMAN(38030)</f>
        <v/>
      </c>
      <c r="D38031">
        <f>IF(B38031=C38031, "YES", "WRONG")</f>
        <v/>
      </c>
    </row>
    <row r="38032">
      <c r="A38032" t="n">
        <v>38031</v>
      </c>
      <c r="B38032" t="inlineStr">
        <is>
          <t>x̄x̄x̄V̅MMMXXXI</t>
        </is>
      </c>
      <c r="C38032">
        <f>ROMAN(38031)</f>
        <v/>
      </c>
      <c r="D38032">
        <f>IF(B38032=C38032, "YES", "WRONG")</f>
        <v/>
      </c>
    </row>
    <row r="38033">
      <c r="A38033" t="n">
        <v>38032</v>
      </c>
      <c r="B38033" t="inlineStr">
        <is>
          <t>x̄x̄x̄V̅MMMXXXII</t>
        </is>
      </c>
      <c r="C38033">
        <f>ROMAN(38032)</f>
        <v/>
      </c>
      <c r="D38033">
        <f>IF(B38033=C38033, "YES", "WRONG")</f>
        <v/>
      </c>
    </row>
    <row r="38034">
      <c r="A38034" t="n">
        <v>38033</v>
      </c>
      <c r="B38034" t="inlineStr">
        <is>
          <t>x̄x̄x̄V̅MMMXXXIII</t>
        </is>
      </c>
      <c r="C38034">
        <f>ROMAN(38033)</f>
        <v/>
      </c>
      <c r="D38034">
        <f>IF(B38034=C38034, "YES", "WRONG")</f>
        <v/>
      </c>
    </row>
    <row r="38035">
      <c r="A38035" t="n">
        <v>38034</v>
      </c>
      <c r="B38035" t="inlineStr">
        <is>
          <t>x̄x̄x̄V̅MMMXXXIV</t>
        </is>
      </c>
      <c r="C38035">
        <f>ROMAN(38034)</f>
        <v/>
      </c>
      <c r="D38035">
        <f>IF(B38035=C38035, "YES", "WRONG")</f>
        <v/>
      </c>
    </row>
    <row r="38036">
      <c r="A38036" t="n">
        <v>38035</v>
      </c>
      <c r="B38036" t="inlineStr">
        <is>
          <t>x̄x̄x̄V̅MMMXXXV</t>
        </is>
      </c>
      <c r="C38036">
        <f>ROMAN(38035)</f>
        <v/>
      </c>
      <c r="D38036">
        <f>IF(B38036=C38036, "YES", "WRONG")</f>
        <v/>
      </c>
    </row>
    <row r="38037">
      <c r="A38037" t="n">
        <v>38036</v>
      </c>
      <c r="B38037" t="inlineStr">
        <is>
          <t>x̄x̄x̄V̅MMMXXXVI</t>
        </is>
      </c>
      <c r="C38037">
        <f>ROMAN(38036)</f>
        <v/>
      </c>
      <c r="D38037">
        <f>IF(B38037=C38037, "YES", "WRONG")</f>
        <v/>
      </c>
    </row>
    <row r="38038">
      <c r="A38038" t="n">
        <v>38037</v>
      </c>
      <c r="B38038" t="inlineStr">
        <is>
          <t>x̄x̄x̄V̅MMMXXXVII</t>
        </is>
      </c>
      <c r="C38038">
        <f>ROMAN(38037)</f>
        <v/>
      </c>
      <c r="D38038">
        <f>IF(B38038=C38038, "YES", "WRONG")</f>
        <v/>
      </c>
    </row>
    <row r="38039">
      <c r="A38039" t="n">
        <v>38038</v>
      </c>
      <c r="B38039" t="inlineStr">
        <is>
          <t>x̄x̄x̄V̅MMMXXXVIII</t>
        </is>
      </c>
      <c r="C38039">
        <f>ROMAN(38038)</f>
        <v/>
      </c>
      <c r="D38039">
        <f>IF(B38039=C38039, "YES", "WRONG")</f>
        <v/>
      </c>
    </row>
    <row r="38040">
      <c r="A38040" t="n">
        <v>38039</v>
      </c>
      <c r="B38040" t="inlineStr">
        <is>
          <t>x̄x̄x̄V̅MMMXXXIX</t>
        </is>
      </c>
      <c r="C38040">
        <f>ROMAN(38039)</f>
        <v/>
      </c>
      <c r="D38040">
        <f>IF(B38040=C38040, "YES", "WRONG")</f>
        <v/>
      </c>
    </row>
    <row r="38041">
      <c r="A38041" t="n">
        <v>38040</v>
      </c>
      <c r="B38041" t="inlineStr">
        <is>
          <t>x̄x̄x̄V̅MMMXL</t>
        </is>
      </c>
      <c r="C38041">
        <f>ROMAN(38040)</f>
        <v/>
      </c>
      <c r="D38041">
        <f>IF(B38041=C38041, "YES", "WRONG")</f>
        <v/>
      </c>
    </row>
    <row r="38042">
      <c r="A38042" t="n">
        <v>38041</v>
      </c>
      <c r="B38042" t="inlineStr">
        <is>
          <t>x̄x̄x̄V̅MMMXLI</t>
        </is>
      </c>
      <c r="C38042">
        <f>ROMAN(38041)</f>
        <v/>
      </c>
      <c r="D38042">
        <f>IF(B38042=C38042, "YES", "WRONG")</f>
        <v/>
      </c>
    </row>
    <row r="38043">
      <c r="A38043" t="n">
        <v>38042</v>
      </c>
      <c r="B38043" t="inlineStr">
        <is>
          <t>x̄x̄x̄V̅MMMXLII</t>
        </is>
      </c>
      <c r="C38043">
        <f>ROMAN(38042)</f>
        <v/>
      </c>
      <c r="D38043">
        <f>IF(B38043=C38043, "YES", "WRONG")</f>
        <v/>
      </c>
    </row>
    <row r="38044">
      <c r="A38044" t="n">
        <v>38043</v>
      </c>
      <c r="B38044" t="inlineStr">
        <is>
          <t>x̄x̄x̄V̅MMMXLIII</t>
        </is>
      </c>
      <c r="C38044">
        <f>ROMAN(38043)</f>
        <v/>
      </c>
      <c r="D38044">
        <f>IF(B38044=C38044, "YES", "WRONG")</f>
        <v/>
      </c>
    </row>
    <row r="38045">
      <c r="A38045" t="n">
        <v>38044</v>
      </c>
      <c r="B38045" t="inlineStr">
        <is>
          <t>x̄x̄x̄V̅MMMXLIV</t>
        </is>
      </c>
      <c r="C38045">
        <f>ROMAN(38044)</f>
        <v/>
      </c>
      <c r="D38045">
        <f>IF(B38045=C38045, "YES", "WRONG")</f>
        <v/>
      </c>
    </row>
    <row r="38046">
      <c r="A38046" t="n">
        <v>38045</v>
      </c>
      <c r="B38046" t="inlineStr">
        <is>
          <t>x̄x̄x̄V̅MMMXLV</t>
        </is>
      </c>
      <c r="C38046">
        <f>ROMAN(38045)</f>
        <v/>
      </c>
      <c r="D38046">
        <f>IF(B38046=C38046, "YES", "WRONG")</f>
        <v/>
      </c>
    </row>
    <row r="38047">
      <c r="A38047" t="n">
        <v>38046</v>
      </c>
      <c r="B38047" t="inlineStr">
        <is>
          <t>x̄x̄x̄V̅MMMXLVI</t>
        </is>
      </c>
      <c r="C38047">
        <f>ROMAN(38046)</f>
        <v/>
      </c>
      <c r="D38047">
        <f>IF(B38047=C38047, "YES", "WRONG")</f>
        <v/>
      </c>
    </row>
    <row r="38048">
      <c r="A38048" t="n">
        <v>38047</v>
      </c>
      <c r="B38048" t="inlineStr">
        <is>
          <t>x̄x̄x̄V̅MMMXLVII</t>
        </is>
      </c>
      <c r="C38048">
        <f>ROMAN(38047)</f>
        <v/>
      </c>
      <c r="D38048">
        <f>IF(B38048=C38048, "YES", "WRONG")</f>
        <v/>
      </c>
    </row>
    <row r="38049">
      <c r="A38049" t="n">
        <v>38048</v>
      </c>
      <c r="B38049" t="inlineStr">
        <is>
          <t>x̄x̄x̄V̅MMMXLVIII</t>
        </is>
      </c>
      <c r="C38049">
        <f>ROMAN(38048)</f>
        <v/>
      </c>
      <c r="D38049">
        <f>IF(B38049=C38049, "YES", "WRONG")</f>
        <v/>
      </c>
    </row>
    <row r="38050">
      <c r="A38050" t="n">
        <v>38049</v>
      </c>
      <c r="B38050" t="inlineStr">
        <is>
          <t>x̄x̄x̄V̅MMMXLIX</t>
        </is>
      </c>
      <c r="C38050">
        <f>ROMAN(38049)</f>
        <v/>
      </c>
      <c r="D38050">
        <f>IF(B38050=C38050, "YES", "WRONG")</f>
        <v/>
      </c>
    </row>
    <row r="38051">
      <c r="A38051" t="n">
        <v>38050</v>
      </c>
      <c r="B38051" t="inlineStr">
        <is>
          <t>x̄x̄x̄V̅MMML</t>
        </is>
      </c>
      <c r="C38051">
        <f>ROMAN(38050)</f>
        <v/>
      </c>
      <c r="D38051">
        <f>IF(B38051=C38051, "YES", "WRONG")</f>
        <v/>
      </c>
    </row>
    <row r="38052">
      <c r="A38052" t="n">
        <v>38051</v>
      </c>
      <c r="B38052" t="inlineStr">
        <is>
          <t>x̄x̄x̄V̅MMMLI</t>
        </is>
      </c>
      <c r="C38052">
        <f>ROMAN(38051)</f>
        <v/>
      </c>
      <c r="D38052">
        <f>IF(B38052=C38052, "YES", "WRONG")</f>
        <v/>
      </c>
    </row>
    <row r="38053">
      <c r="A38053" t="n">
        <v>38052</v>
      </c>
      <c r="B38053" t="inlineStr">
        <is>
          <t>x̄x̄x̄V̅MMMLII</t>
        </is>
      </c>
      <c r="C38053">
        <f>ROMAN(38052)</f>
        <v/>
      </c>
      <c r="D38053">
        <f>IF(B38053=C38053, "YES", "WRONG")</f>
        <v/>
      </c>
    </row>
    <row r="38054">
      <c r="A38054" t="n">
        <v>38053</v>
      </c>
      <c r="B38054" t="inlineStr">
        <is>
          <t>x̄x̄x̄V̅MMMLIII</t>
        </is>
      </c>
      <c r="C38054">
        <f>ROMAN(38053)</f>
        <v/>
      </c>
      <c r="D38054">
        <f>IF(B38054=C38054, "YES", "WRONG")</f>
        <v/>
      </c>
    </row>
    <row r="38055">
      <c r="A38055" t="n">
        <v>38054</v>
      </c>
      <c r="B38055" t="inlineStr">
        <is>
          <t>x̄x̄x̄V̅MMMLIV</t>
        </is>
      </c>
      <c r="C38055">
        <f>ROMAN(38054)</f>
        <v/>
      </c>
      <c r="D38055">
        <f>IF(B38055=C38055, "YES", "WRONG")</f>
        <v/>
      </c>
    </row>
    <row r="38056">
      <c r="A38056" t="n">
        <v>38055</v>
      </c>
      <c r="B38056" t="inlineStr">
        <is>
          <t>x̄x̄x̄V̅MMMLV</t>
        </is>
      </c>
      <c r="C38056">
        <f>ROMAN(38055)</f>
        <v/>
      </c>
      <c r="D38056">
        <f>IF(B38056=C38056, "YES", "WRONG")</f>
        <v/>
      </c>
    </row>
    <row r="38057">
      <c r="A38057" t="n">
        <v>38056</v>
      </c>
      <c r="B38057" t="inlineStr">
        <is>
          <t>x̄x̄x̄V̅MMMLVI</t>
        </is>
      </c>
      <c r="C38057">
        <f>ROMAN(38056)</f>
        <v/>
      </c>
      <c r="D38057">
        <f>IF(B38057=C38057, "YES", "WRONG")</f>
        <v/>
      </c>
    </row>
    <row r="38058">
      <c r="A38058" t="n">
        <v>38057</v>
      </c>
      <c r="B38058" t="inlineStr">
        <is>
          <t>x̄x̄x̄V̅MMMLVII</t>
        </is>
      </c>
      <c r="C38058">
        <f>ROMAN(38057)</f>
        <v/>
      </c>
      <c r="D38058">
        <f>IF(B38058=C38058, "YES", "WRONG")</f>
        <v/>
      </c>
    </row>
    <row r="38059">
      <c r="A38059" t="n">
        <v>38058</v>
      </c>
      <c r="B38059" t="inlineStr">
        <is>
          <t>x̄x̄x̄V̅MMMLVIII</t>
        </is>
      </c>
      <c r="C38059">
        <f>ROMAN(38058)</f>
        <v/>
      </c>
      <c r="D38059">
        <f>IF(B38059=C38059, "YES", "WRONG")</f>
        <v/>
      </c>
    </row>
    <row r="38060">
      <c r="A38060" t="n">
        <v>38059</v>
      </c>
      <c r="B38060" t="inlineStr">
        <is>
          <t>x̄x̄x̄V̅MMMLIX</t>
        </is>
      </c>
      <c r="C38060">
        <f>ROMAN(38059)</f>
        <v/>
      </c>
      <c r="D38060">
        <f>IF(B38060=C38060, "YES", "WRONG")</f>
        <v/>
      </c>
    </row>
    <row r="38061">
      <c r="A38061" t="n">
        <v>38060</v>
      </c>
      <c r="B38061" t="inlineStr">
        <is>
          <t>x̄x̄x̄V̅MMMLX</t>
        </is>
      </c>
      <c r="C38061">
        <f>ROMAN(38060)</f>
        <v/>
      </c>
      <c r="D38061">
        <f>IF(B38061=C38061, "YES", "WRONG")</f>
        <v/>
      </c>
    </row>
    <row r="38062">
      <c r="A38062" t="n">
        <v>38061</v>
      </c>
      <c r="B38062" t="inlineStr">
        <is>
          <t>x̄x̄x̄V̅MMMLXI</t>
        </is>
      </c>
      <c r="C38062">
        <f>ROMAN(38061)</f>
        <v/>
      </c>
      <c r="D38062">
        <f>IF(B38062=C38062, "YES", "WRONG")</f>
        <v/>
      </c>
    </row>
    <row r="38063">
      <c r="A38063" t="n">
        <v>38062</v>
      </c>
      <c r="B38063" t="inlineStr">
        <is>
          <t>x̄x̄x̄V̅MMMLXII</t>
        </is>
      </c>
      <c r="C38063">
        <f>ROMAN(38062)</f>
        <v/>
      </c>
      <c r="D38063">
        <f>IF(B38063=C38063, "YES", "WRONG")</f>
        <v/>
      </c>
    </row>
    <row r="38064">
      <c r="A38064" t="n">
        <v>38063</v>
      </c>
      <c r="B38064" t="inlineStr">
        <is>
          <t>x̄x̄x̄V̅MMMLXIII</t>
        </is>
      </c>
      <c r="C38064">
        <f>ROMAN(38063)</f>
        <v/>
      </c>
      <c r="D38064">
        <f>IF(B38064=C38064, "YES", "WRONG")</f>
        <v/>
      </c>
    </row>
    <row r="38065">
      <c r="A38065" t="n">
        <v>38064</v>
      </c>
      <c r="B38065" t="inlineStr">
        <is>
          <t>x̄x̄x̄V̅MMMLXIV</t>
        </is>
      </c>
      <c r="C38065">
        <f>ROMAN(38064)</f>
        <v/>
      </c>
      <c r="D38065">
        <f>IF(B38065=C38065, "YES", "WRONG")</f>
        <v/>
      </c>
    </row>
    <row r="38066">
      <c r="A38066" t="n">
        <v>38065</v>
      </c>
      <c r="B38066" t="inlineStr">
        <is>
          <t>x̄x̄x̄V̅MMMLXV</t>
        </is>
      </c>
      <c r="C38066">
        <f>ROMAN(38065)</f>
        <v/>
      </c>
      <c r="D38066">
        <f>IF(B38066=C38066, "YES", "WRONG")</f>
        <v/>
      </c>
    </row>
    <row r="38067">
      <c r="A38067" t="n">
        <v>38066</v>
      </c>
      <c r="B38067" t="inlineStr">
        <is>
          <t>x̄x̄x̄V̅MMMLXVI</t>
        </is>
      </c>
      <c r="C38067">
        <f>ROMAN(38066)</f>
        <v/>
      </c>
      <c r="D38067">
        <f>IF(B38067=C38067, "YES", "WRONG")</f>
        <v/>
      </c>
    </row>
    <row r="38068">
      <c r="A38068" t="n">
        <v>38067</v>
      </c>
      <c r="B38068" t="inlineStr">
        <is>
          <t>x̄x̄x̄V̅MMMLXVII</t>
        </is>
      </c>
      <c r="C38068">
        <f>ROMAN(38067)</f>
        <v/>
      </c>
      <c r="D38068">
        <f>IF(B38068=C38068, "YES", "WRONG")</f>
        <v/>
      </c>
    </row>
    <row r="38069">
      <c r="A38069" t="n">
        <v>38068</v>
      </c>
      <c r="B38069" t="inlineStr">
        <is>
          <t>x̄x̄x̄V̅MMMLXVIII</t>
        </is>
      </c>
      <c r="C38069">
        <f>ROMAN(38068)</f>
        <v/>
      </c>
      <c r="D38069">
        <f>IF(B38069=C38069, "YES", "WRONG")</f>
        <v/>
      </c>
    </row>
    <row r="38070">
      <c r="A38070" t="n">
        <v>38069</v>
      </c>
      <c r="B38070" t="inlineStr">
        <is>
          <t>x̄x̄x̄V̅MMMLXIX</t>
        </is>
      </c>
      <c r="C38070">
        <f>ROMAN(38069)</f>
        <v/>
      </c>
      <c r="D38070">
        <f>IF(B38070=C38070, "YES", "WRONG")</f>
        <v/>
      </c>
    </row>
    <row r="38071">
      <c r="A38071" t="n">
        <v>38070</v>
      </c>
      <c r="B38071" t="inlineStr">
        <is>
          <t>x̄x̄x̄V̅MMMLXX</t>
        </is>
      </c>
      <c r="C38071">
        <f>ROMAN(38070)</f>
        <v/>
      </c>
      <c r="D38071">
        <f>IF(B38071=C38071, "YES", "WRONG")</f>
        <v/>
      </c>
    </row>
    <row r="38072">
      <c r="A38072" t="n">
        <v>38071</v>
      </c>
      <c r="B38072" t="inlineStr">
        <is>
          <t>x̄x̄x̄V̅MMMLXXI</t>
        </is>
      </c>
      <c r="C38072">
        <f>ROMAN(38071)</f>
        <v/>
      </c>
      <c r="D38072">
        <f>IF(B38072=C38072, "YES", "WRONG")</f>
        <v/>
      </c>
    </row>
    <row r="38073">
      <c r="A38073" t="n">
        <v>38072</v>
      </c>
      <c r="B38073" t="inlineStr">
        <is>
          <t>x̄x̄x̄V̅MMMLXXII</t>
        </is>
      </c>
      <c r="C38073">
        <f>ROMAN(38072)</f>
        <v/>
      </c>
      <c r="D38073">
        <f>IF(B38073=C38073, "YES", "WRONG")</f>
        <v/>
      </c>
    </row>
    <row r="38074">
      <c r="A38074" t="n">
        <v>38073</v>
      </c>
      <c r="B38074" t="inlineStr">
        <is>
          <t>x̄x̄x̄V̅MMMLXXIII</t>
        </is>
      </c>
      <c r="C38074">
        <f>ROMAN(38073)</f>
        <v/>
      </c>
      <c r="D38074">
        <f>IF(B38074=C38074, "YES", "WRONG")</f>
        <v/>
      </c>
    </row>
    <row r="38075">
      <c r="A38075" t="n">
        <v>38074</v>
      </c>
      <c r="B38075" t="inlineStr">
        <is>
          <t>x̄x̄x̄V̅MMMLXXIV</t>
        </is>
      </c>
      <c r="C38075">
        <f>ROMAN(38074)</f>
        <v/>
      </c>
      <c r="D38075">
        <f>IF(B38075=C38075, "YES", "WRONG")</f>
        <v/>
      </c>
    </row>
    <row r="38076">
      <c r="A38076" t="n">
        <v>38075</v>
      </c>
      <c r="B38076" t="inlineStr">
        <is>
          <t>x̄x̄x̄V̅MMMLXXV</t>
        </is>
      </c>
      <c r="C38076">
        <f>ROMAN(38075)</f>
        <v/>
      </c>
      <c r="D38076">
        <f>IF(B38076=C38076, "YES", "WRONG")</f>
        <v/>
      </c>
    </row>
    <row r="38077">
      <c r="A38077" t="n">
        <v>38076</v>
      </c>
      <c r="B38077" t="inlineStr">
        <is>
          <t>x̄x̄x̄V̅MMMLXXVI</t>
        </is>
      </c>
      <c r="C38077">
        <f>ROMAN(38076)</f>
        <v/>
      </c>
      <c r="D38077">
        <f>IF(B38077=C38077, "YES", "WRONG")</f>
        <v/>
      </c>
    </row>
    <row r="38078">
      <c r="A38078" t="n">
        <v>38077</v>
      </c>
      <c r="B38078" t="inlineStr">
        <is>
          <t>x̄x̄x̄V̅MMMLXXVII</t>
        </is>
      </c>
      <c r="C38078">
        <f>ROMAN(38077)</f>
        <v/>
      </c>
      <c r="D38078">
        <f>IF(B38078=C38078, "YES", "WRONG")</f>
        <v/>
      </c>
    </row>
    <row r="38079">
      <c r="A38079" t="n">
        <v>38078</v>
      </c>
      <c r="B38079" t="inlineStr">
        <is>
          <t>x̄x̄x̄V̅MMMLXXVIII</t>
        </is>
      </c>
      <c r="C38079">
        <f>ROMAN(38078)</f>
        <v/>
      </c>
      <c r="D38079">
        <f>IF(B38079=C38079, "YES", "WRONG")</f>
        <v/>
      </c>
    </row>
    <row r="38080">
      <c r="A38080" t="n">
        <v>38079</v>
      </c>
      <c r="B38080" t="inlineStr">
        <is>
          <t>x̄x̄x̄V̅MMMLXXIX</t>
        </is>
      </c>
      <c r="C38080">
        <f>ROMAN(38079)</f>
        <v/>
      </c>
      <c r="D38080">
        <f>IF(B38080=C38080, "YES", "WRONG")</f>
        <v/>
      </c>
    </row>
    <row r="38081">
      <c r="A38081" t="n">
        <v>38080</v>
      </c>
      <c r="B38081" t="inlineStr">
        <is>
          <t>x̄x̄x̄V̅MMMLXXX</t>
        </is>
      </c>
      <c r="C38081">
        <f>ROMAN(38080)</f>
        <v/>
      </c>
      <c r="D38081">
        <f>IF(B38081=C38081, "YES", "WRONG")</f>
        <v/>
      </c>
    </row>
    <row r="38082">
      <c r="A38082" t="n">
        <v>38081</v>
      </c>
      <c r="B38082" t="inlineStr">
        <is>
          <t>x̄x̄x̄V̅MMMLXXXI</t>
        </is>
      </c>
      <c r="C38082">
        <f>ROMAN(38081)</f>
        <v/>
      </c>
      <c r="D38082">
        <f>IF(B38082=C38082, "YES", "WRONG")</f>
        <v/>
      </c>
    </row>
    <row r="38083">
      <c r="A38083" t="n">
        <v>38082</v>
      </c>
      <c r="B38083" t="inlineStr">
        <is>
          <t>x̄x̄x̄V̅MMMLXXXII</t>
        </is>
      </c>
      <c r="C38083">
        <f>ROMAN(38082)</f>
        <v/>
      </c>
      <c r="D38083">
        <f>IF(B38083=C38083, "YES", "WRONG")</f>
        <v/>
      </c>
    </row>
    <row r="38084">
      <c r="A38084" t="n">
        <v>38083</v>
      </c>
      <c r="B38084" t="inlineStr">
        <is>
          <t>x̄x̄x̄V̅MMMLXXXIII</t>
        </is>
      </c>
      <c r="C38084">
        <f>ROMAN(38083)</f>
        <v/>
      </c>
      <c r="D38084">
        <f>IF(B38084=C38084, "YES", "WRONG")</f>
        <v/>
      </c>
    </row>
    <row r="38085">
      <c r="A38085" t="n">
        <v>38084</v>
      </c>
      <c r="B38085" t="inlineStr">
        <is>
          <t>x̄x̄x̄V̅MMMLXXXIV</t>
        </is>
      </c>
      <c r="C38085">
        <f>ROMAN(38084)</f>
        <v/>
      </c>
      <c r="D38085">
        <f>IF(B38085=C38085, "YES", "WRONG")</f>
        <v/>
      </c>
    </row>
    <row r="38086">
      <c r="A38086" t="n">
        <v>38085</v>
      </c>
      <c r="B38086" t="inlineStr">
        <is>
          <t>x̄x̄x̄V̅MMMLXXXV</t>
        </is>
      </c>
      <c r="C38086">
        <f>ROMAN(38085)</f>
        <v/>
      </c>
      <c r="D38086">
        <f>IF(B38086=C38086, "YES", "WRONG")</f>
        <v/>
      </c>
    </row>
    <row r="38087">
      <c r="A38087" t="n">
        <v>38086</v>
      </c>
      <c r="B38087" t="inlineStr">
        <is>
          <t>x̄x̄x̄V̅MMMLXXXVI</t>
        </is>
      </c>
      <c r="C38087">
        <f>ROMAN(38086)</f>
        <v/>
      </c>
      <c r="D38087">
        <f>IF(B38087=C38087, "YES", "WRONG")</f>
        <v/>
      </c>
    </row>
    <row r="38088">
      <c r="A38088" t="n">
        <v>38087</v>
      </c>
      <c r="B38088" t="inlineStr">
        <is>
          <t>x̄x̄x̄V̅MMMLXXXVII</t>
        </is>
      </c>
      <c r="C38088">
        <f>ROMAN(38087)</f>
        <v/>
      </c>
      <c r="D38088">
        <f>IF(B38088=C38088, "YES", "WRONG")</f>
        <v/>
      </c>
    </row>
    <row r="38089">
      <c r="A38089" t="n">
        <v>38088</v>
      </c>
      <c r="B38089" t="inlineStr">
        <is>
          <t>x̄x̄x̄V̅MMMLXXXVIII</t>
        </is>
      </c>
      <c r="C38089">
        <f>ROMAN(38088)</f>
        <v/>
      </c>
      <c r="D38089">
        <f>IF(B38089=C38089, "YES", "WRONG")</f>
        <v/>
      </c>
    </row>
    <row r="38090">
      <c r="A38090" t="n">
        <v>38089</v>
      </c>
      <c r="B38090" t="inlineStr">
        <is>
          <t>x̄x̄x̄V̅MMMLXXXIX</t>
        </is>
      </c>
      <c r="C38090">
        <f>ROMAN(38089)</f>
        <v/>
      </c>
      <c r="D38090">
        <f>IF(B38090=C38090, "YES", "WRONG")</f>
        <v/>
      </c>
    </row>
    <row r="38091">
      <c r="A38091" t="n">
        <v>38090</v>
      </c>
      <c r="B38091" t="inlineStr">
        <is>
          <t>x̄x̄x̄V̅MMMXC</t>
        </is>
      </c>
      <c r="C38091">
        <f>ROMAN(38090)</f>
        <v/>
      </c>
      <c r="D38091">
        <f>IF(B38091=C38091, "YES", "WRONG")</f>
        <v/>
      </c>
    </row>
    <row r="38092">
      <c r="A38092" t="n">
        <v>38091</v>
      </c>
      <c r="B38092" t="inlineStr">
        <is>
          <t>x̄x̄x̄V̅MMMXCI</t>
        </is>
      </c>
      <c r="C38092">
        <f>ROMAN(38091)</f>
        <v/>
      </c>
      <c r="D38092">
        <f>IF(B38092=C38092, "YES", "WRONG")</f>
        <v/>
      </c>
    </row>
    <row r="38093">
      <c r="A38093" t="n">
        <v>38092</v>
      </c>
      <c r="B38093" t="inlineStr">
        <is>
          <t>x̄x̄x̄V̅MMMXCII</t>
        </is>
      </c>
      <c r="C38093">
        <f>ROMAN(38092)</f>
        <v/>
      </c>
      <c r="D38093">
        <f>IF(B38093=C38093, "YES", "WRONG")</f>
        <v/>
      </c>
    </row>
    <row r="38094">
      <c r="A38094" t="n">
        <v>38093</v>
      </c>
      <c r="B38094" t="inlineStr">
        <is>
          <t>x̄x̄x̄V̅MMMXCIII</t>
        </is>
      </c>
      <c r="C38094">
        <f>ROMAN(38093)</f>
        <v/>
      </c>
      <c r="D38094">
        <f>IF(B38094=C38094, "YES", "WRONG")</f>
        <v/>
      </c>
    </row>
    <row r="38095">
      <c r="A38095" t="n">
        <v>38094</v>
      </c>
      <c r="B38095" t="inlineStr">
        <is>
          <t>x̄x̄x̄V̅MMMXCIV</t>
        </is>
      </c>
      <c r="C38095">
        <f>ROMAN(38094)</f>
        <v/>
      </c>
      <c r="D38095">
        <f>IF(B38095=C38095, "YES", "WRONG")</f>
        <v/>
      </c>
    </row>
    <row r="38096">
      <c r="A38096" t="n">
        <v>38095</v>
      </c>
      <c r="B38096" t="inlineStr">
        <is>
          <t>x̄x̄x̄V̅MMMXCV</t>
        </is>
      </c>
      <c r="C38096">
        <f>ROMAN(38095)</f>
        <v/>
      </c>
      <c r="D38096">
        <f>IF(B38096=C38096, "YES", "WRONG")</f>
        <v/>
      </c>
    </row>
    <row r="38097">
      <c r="A38097" t="n">
        <v>38096</v>
      </c>
      <c r="B38097" t="inlineStr">
        <is>
          <t>x̄x̄x̄V̅MMMXCVI</t>
        </is>
      </c>
      <c r="C38097">
        <f>ROMAN(38096)</f>
        <v/>
      </c>
      <c r="D38097">
        <f>IF(B38097=C38097, "YES", "WRONG")</f>
        <v/>
      </c>
    </row>
    <row r="38098">
      <c r="A38098" t="n">
        <v>38097</v>
      </c>
      <c r="B38098" t="inlineStr">
        <is>
          <t>x̄x̄x̄V̅MMMXCVII</t>
        </is>
      </c>
      <c r="C38098">
        <f>ROMAN(38097)</f>
        <v/>
      </c>
      <c r="D38098">
        <f>IF(B38098=C38098, "YES", "WRONG")</f>
        <v/>
      </c>
    </row>
    <row r="38099">
      <c r="A38099" t="n">
        <v>38098</v>
      </c>
      <c r="B38099" t="inlineStr">
        <is>
          <t>x̄x̄x̄V̅MMMXCVIII</t>
        </is>
      </c>
      <c r="C38099">
        <f>ROMAN(38098)</f>
        <v/>
      </c>
      <c r="D38099">
        <f>IF(B38099=C38099, "YES", "WRONG")</f>
        <v/>
      </c>
    </row>
    <row r="38100">
      <c r="A38100" t="n">
        <v>38099</v>
      </c>
      <c r="B38100" t="inlineStr">
        <is>
          <t>x̄x̄x̄V̅MMMXCIX</t>
        </is>
      </c>
      <c r="C38100">
        <f>ROMAN(38099)</f>
        <v/>
      </c>
      <c r="D38100">
        <f>IF(B38100=C38100, "YES", "WRONG")</f>
        <v/>
      </c>
    </row>
    <row r="38101">
      <c r="A38101" t="n">
        <v>38100</v>
      </c>
      <c r="B38101" t="inlineStr">
        <is>
          <t>x̄x̄x̄V̅MMMC</t>
        </is>
      </c>
      <c r="C38101">
        <f>ROMAN(38100)</f>
        <v/>
      </c>
      <c r="D38101">
        <f>IF(B38101=C38101, "YES", "WRONG")</f>
        <v/>
      </c>
    </row>
    <row r="38102">
      <c r="A38102" t="n">
        <v>38101</v>
      </c>
      <c r="B38102" t="inlineStr">
        <is>
          <t>x̄x̄x̄V̅MMMCI</t>
        </is>
      </c>
      <c r="C38102">
        <f>ROMAN(38101)</f>
        <v/>
      </c>
      <c r="D38102">
        <f>IF(B38102=C38102, "YES", "WRONG")</f>
        <v/>
      </c>
    </row>
    <row r="38103">
      <c r="A38103" t="n">
        <v>38102</v>
      </c>
      <c r="B38103" t="inlineStr">
        <is>
          <t>x̄x̄x̄V̅MMMCII</t>
        </is>
      </c>
      <c r="C38103">
        <f>ROMAN(38102)</f>
        <v/>
      </c>
      <c r="D38103">
        <f>IF(B38103=C38103, "YES", "WRONG")</f>
        <v/>
      </c>
    </row>
    <row r="38104">
      <c r="A38104" t="n">
        <v>38103</v>
      </c>
      <c r="B38104" t="inlineStr">
        <is>
          <t>x̄x̄x̄V̅MMMCIII</t>
        </is>
      </c>
      <c r="C38104">
        <f>ROMAN(38103)</f>
        <v/>
      </c>
      <c r="D38104">
        <f>IF(B38104=C38104, "YES", "WRONG")</f>
        <v/>
      </c>
    </row>
    <row r="38105">
      <c r="A38105" t="n">
        <v>38104</v>
      </c>
      <c r="B38105" t="inlineStr">
        <is>
          <t>x̄x̄x̄V̅MMMCIV</t>
        </is>
      </c>
      <c r="C38105">
        <f>ROMAN(38104)</f>
        <v/>
      </c>
      <c r="D38105">
        <f>IF(B38105=C38105, "YES", "WRONG")</f>
        <v/>
      </c>
    </row>
    <row r="38106">
      <c r="A38106" t="n">
        <v>38105</v>
      </c>
      <c r="B38106" t="inlineStr">
        <is>
          <t>x̄x̄x̄V̅MMMCV</t>
        </is>
      </c>
      <c r="C38106">
        <f>ROMAN(38105)</f>
        <v/>
      </c>
      <c r="D38106">
        <f>IF(B38106=C38106, "YES", "WRONG")</f>
        <v/>
      </c>
    </row>
    <row r="38107">
      <c r="A38107" t="n">
        <v>38106</v>
      </c>
      <c r="B38107" t="inlineStr">
        <is>
          <t>x̄x̄x̄V̅MMMCVI</t>
        </is>
      </c>
      <c r="C38107">
        <f>ROMAN(38106)</f>
        <v/>
      </c>
      <c r="D38107">
        <f>IF(B38107=C38107, "YES", "WRONG")</f>
        <v/>
      </c>
    </row>
    <row r="38108">
      <c r="A38108" t="n">
        <v>38107</v>
      </c>
      <c r="B38108" t="inlineStr">
        <is>
          <t>x̄x̄x̄V̅MMMCVII</t>
        </is>
      </c>
      <c r="C38108">
        <f>ROMAN(38107)</f>
        <v/>
      </c>
      <c r="D38108">
        <f>IF(B38108=C38108, "YES", "WRONG")</f>
        <v/>
      </c>
    </row>
    <row r="38109">
      <c r="A38109" t="n">
        <v>38108</v>
      </c>
      <c r="B38109" t="inlineStr">
        <is>
          <t>x̄x̄x̄V̅MMMCVIII</t>
        </is>
      </c>
      <c r="C38109">
        <f>ROMAN(38108)</f>
        <v/>
      </c>
      <c r="D38109">
        <f>IF(B38109=C38109, "YES", "WRONG")</f>
        <v/>
      </c>
    </row>
    <row r="38110">
      <c r="A38110" t="n">
        <v>38109</v>
      </c>
      <c r="B38110" t="inlineStr">
        <is>
          <t>x̄x̄x̄V̅MMMCIX</t>
        </is>
      </c>
      <c r="C38110">
        <f>ROMAN(38109)</f>
        <v/>
      </c>
      <c r="D38110">
        <f>IF(B38110=C38110, "YES", "WRONG")</f>
        <v/>
      </c>
    </row>
    <row r="38111">
      <c r="A38111" t="n">
        <v>38110</v>
      </c>
      <c r="B38111" t="inlineStr">
        <is>
          <t>x̄x̄x̄V̅MMMCX</t>
        </is>
      </c>
      <c r="C38111">
        <f>ROMAN(38110)</f>
        <v/>
      </c>
      <c r="D38111">
        <f>IF(B38111=C38111, "YES", "WRONG")</f>
        <v/>
      </c>
    </row>
    <row r="38112">
      <c r="A38112" t="n">
        <v>38111</v>
      </c>
      <c r="B38112" t="inlineStr">
        <is>
          <t>x̄x̄x̄V̅MMMCXI</t>
        </is>
      </c>
      <c r="C38112">
        <f>ROMAN(38111)</f>
        <v/>
      </c>
      <c r="D38112">
        <f>IF(B38112=C38112, "YES", "WRONG")</f>
        <v/>
      </c>
    </row>
    <row r="38113">
      <c r="A38113" t="n">
        <v>38112</v>
      </c>
      <c r="B38113" t="inlineStr">
        <is>
          <t>x̄x̄x̄V̅MMMCXII</t>
        </is>
      </c>
      <c r="C38113">
        <f>ROMAN(38112)</f>
        <v/>
      </c>
      <c r="D38113">
        <f>IF(B38113=C38113, "YES", "WRONG")</f>
        <v/>
      </c>
    </row>
    <row r="38114">
      <c r="A38114" t="n">
        <v>38113</v>
      </c>
      <c r="B38114" t="inlineStr">
        <is>
          <t>x̄x̄x̄V̅MMMCXIII</t>
        </is>
      </c>
      <c r="C38114">
        <f>ROMAN(38113)</f>
        <v/>
      </c>
      <c r="D38114">
        <f>IF(B38114=C38114, "YES", "WRONG")</f>
        <v/>
      </c>
    </row>
    <row r="38115">
      <c r="A38115" t="n">
        <v>38114</v>
      </c>
      <c r="B38115" t="inlineStr">
        <is>
          <t>x̄x̄x̄V̅MMMCXIV</t>
        </is>
      </c>
      <c r="C38115">
        <f>ROMAN(38114)</f>
        <v/>
      </c>
      <c r="D38115">
        <f>IF(B38115=C38115, "YES", "WRONG")</f>
        <v/>
      </c>
    </row>
    <row r="38116">
      <c r="A38116" t="n">
        <v>38115</v>
      </c>
      <c r="B38116" t="inlineStr">
        <is>
          <t>x̄x̄x̄V̅MMMCXV</t>
        </is>
      </c>
      <c r="C38116">
        <f>ROMAN(38115)</f>
        <v/>
      </c>
      <c r="D38116">
        <f>IF(B38116=C38116, "YES", "WRONG")</f>
        <v/>
      </c>
    </row>
    <row r="38117">
      <c r="A38117" t="n">
        <v>38116</v>
      </c>
      <c r="B38117" t="inlineStr">
        <is>
          <t>x̄x̄x̄V̅MMMCXVI</t>
        </is>
      </c>
      <c r="C38117">
        <f>ROMAN(38116)</f>
        <v/>
      </c>
      <c r="D38117">
        <f>IF(B38117=C38117, "YES", "WRONG")</f>
        <v/>
      </c>
    </row>
    <row r="38118">
      <c r="A38118" t="n">
        <v>38117</v>
      </c>
      <c r="B38118" t="inlineStr">
        <is>
          <t>x̄x̄x̄V̅MMMCXVII</t>
        </is>
      </c>
      <c r="C38118">
        <f>ROMAN(38117)</f>
        <v/>
      </c>
      <c r="D38118">
        <f>IF(B38118=C38118, "YES", "WRONG")</f>
        <v/>
      </c>
    </row>
    <row r="38119">
      <c r="A38119" t="n">
        <v>38118</v>
      </c>
      <c r="B38119" t="inlineStr">
        <is>
          <t>x̄x̄x̄V̅MMMCXVIII</t>
        </is>
      </c>
      <c r="C38119">
        <f>ROMAN(38118)</f>
        <v/>
      </c>
      <c r="D38119">
        <f>IF(B38119=C38119, "YES", "WRONG")</f>
        <v/>
      </c>
    </row>
    <row r="38120">
      <c r="A38120" t="n">
        <v>38119</v>
      </c>
      <c r="B38120" t="inlineStr">
        <is>
          <t>x̄x̄x̄V̅MMMCXIX</t>
        </is>
      </c>
      <c r="C38120">
        <f>ROMAN(38119)</f>
        <v/>
      </c>
      <c r="D38120">
        <f>IF(B38120=C38120, "YES", "WRONG")</f>
        <v/>
      </c>
    </row>
    <row r="38121">
      <c r="A38121" t="n">
        <v>38120</v>
      </c>
      <c r="B38121" t="inlineStr">
        <is>
          <t>x̄x̄x̄V̅MMMCXX</t>
        </is>
      </c>
      <c r="C38121">
        <f>ROMAN(38120)</f>
        <v/>
      </c>
      <c r="D38121">
        <f>IF(B38121=C38121, "YES", "WRONG")</f>
        <v/>
      </c>
    </row>
    <row r="38122">
      <c r="A38122" t="n">
        <v>38121</v>
      </c>
      <c r="B38122" t="inlineStr">
        <is>
          <t>x̄x̄x̄V̅MMMCXXI</t>
        </is>
      </c>
      <c r="C38122">
        <f>ROMAN(38121)</f>
        <v/>
      </c>
      <c r="D38122">
        <f>IF(B38122=C38122, "YES", "WRONG")</f>
        <v/>
      </c>
    </row>
    <row r="38123">
      <c r="A38123" t="n">
        <v>38122</v>
      </c>
      <c r="B38123" t="inlineStr">
        <is>
          <t>x̄x̄x̄V̅MMMCXXII</t>
        </is>
      </c>
      <c r="C38123">
        <f>ROMAN(38122)</f>
        <v/>
      </c>
      <c r="D38123">
        <f>IF(B38123=C38123, "YES", "WRONG")</f>
        <v/>
      </c>
    </row>
    <row r="38124">
      <c r="A38124" t="n">
        <v>38123</v>
      </c>
      <c r="B38124" t="inlineStr">
        <is>
          <t>x̄x̄x̄V̅MMMCXXIII</t>
        </is>
      </c>
      <c r="C38124">
        <f>ROMAN(38123)</f>
        <v/>
      </c>
      <c r="D38124">
        <f>IF(B38124=C38124, "YES", "WRONG")</f>
        <v/>
      </c>
    </row>
    <row r="38125">
      <c r="A38125" t="n">
        <v>38124</v>
      </c>
      <c r="B38125" t="inlineStr">
        <is>
          <t>x̄x̄x̄V̅MMMCXXIV</t>
        </is>
      </c>
      <c r="C38125">
        <f>ROMAN(38124)</f>
        <v/>
      </c>
      <c r="D38125">
        <f>IF(B38125=C38125, "YES", "WRONG")</f>
        <v/>
      </c>
    </row>
    <row r="38126">
      <c r="A38126" t="n">
        <v>38125</v>
      </c>
      <c r="B38126" t="inlineStr">
        <is>
          <t>x̄x̄x̄V̅MMMCXXV</t>
        </is>
      </c>
      <c r="C38126">
        <f>ROMAN(38125)</f>
        <v/>
      </c>
      <c r="D38126">
        <f>IF(B38126=C38126, "YES", "WRONG")</f>
        <v/>
      </c>
    </row>
    <row r="38127">
      <c r="A38127" t="n">
        <v>38126</v>
      </c>
      <c r="B38127" t="inlineStr">
        <is>
          <t>x̄x̄x̄V̅MMMCXXVI</t>
        </is>
      </c>
      <c r="C38127">
        <f>ROMAN(38126)</f>
        <v/>
      </c>
      <c r="D38127">
        <f>IF(B38127=C38127, "YES", "WRONG")</f>
        <v/>
      </c>
    </row>
    <row r="38128">
      <c r="A38128" t="n">
        <v>38127</v>
      </c>
      <c r="B38128" t="inlineStr">
        <is>
          <t>x̄x̄x̄V̅MMMCXXVII</t>
        </is>
      </c>
      <c r="C38128">
        <f>ROMAN(38127)</f>
        <v/>
      </c>
      <c r="D38128">
        <f>IF(B38128=C38128, "YES", "WRONG")</f>
        <v/>
      </c>
    </row>
    <row r="38129">
      <c r="A38129" t="n">
        <v>38128</v>
      </c>
      <c r="B38129" t="inlineStr">
        <is>
          <t>x̄x̄x̄V̅MMMCXXVIII</t>
        </is>
      </c>
      <c r="C38129">
        <f>ROMAN(38128)</f>
        <v/>
      </c>
      <c r="D38129">
        <f>IF(B38129=C38129, "YES", "WRONG")</f>
        <v/>
      </c>
    </row>
    <row r="38130">
      <c r="A38130" t="n">
        <v>38129</v>
      </c>
      <c r="B38130" t="inlineStr">
        <is>
          <t>x̄x̄x̄V̅MMMCXXIX</t>
        </is>
      </c>
      <c r="C38130">
        <f>ROMAN(38129)</f>
        <v/>
      </c>
      <c r="D38130">
        <f>IF(B38130=C38130, "YES", "WRONG")</f>
        <v/>
      </c>
    </row>
    <row r="38131">
      <c r="A38131" t="n">
        <v>38130</v>
      </c>
      <c r="B38131" t="inlineStr">
        <is>
          <t>x̄x̄x̄V̅MMMCXXX</t>
        </is>
      </c>
      <c r="C38131">
        <f>ROMAN(38130)</f>
        <v/>
      </c>
      <c r="D38131">
        <f>IF(B38131=C38131, "YES", "WRONG")</f>
        <v/>
      </c>
    </row>
    <row r="38132">
      <c r="A38132" t="n">
        <v>38131</v>
      </c>
      <c r="B38132" t="inlineStr">
        <is>
          <t>x̄x̄x̄V̅MMMCXXXI</t>
        </is>
      </c>
      <c r="C38132">
        <f>ROMAN(38131)</f>
        <v/>
      </c>
      <c r="D38132">
        <f>IF(B38132=C38132, "YES", "WRONG")</f>
        <v/>
      </c>
    </row>
    <row r="38133">
      <c r="A38133" t="n">
        <v>38132</v>
      </c>
      <c r="B38133" t="inlineStr">
        <is>
          <t>x̄x̄x̄V̅MMMCXXXII</t>
        </is>
      </c>
      <c r="C38133">
        <f>ROMAN(38132)</f>
        <v/>
      </c>
      <c r="D38133">
        <f>IF(B38133=C38133, "YES", "WRONG")</f>
        <v/>
      </c>
    </row>
    <row r="38134">
      <c r="A38134" t="n">
        <v>38133</v>
      </c>
      <c r="B38134" t="inlineStr">
        <is>
          <t>x̄x̄x̄V̅MMMCXXXIII</t>
        </is>
      </c>
      <c r="C38134">
        <f>ROMAN(38133)</f>
        <v/>
      </c>
      <c r="D38134">
        <f>IF(B38134=C38134, "YES", "WRONG")</f>
        <v/>
      </c>
    </row>
    <row r="38135">
      <c r="A38135" t="n">
        <v>38134</v>
      </c>
      <c r="B38135" t="inlineStr">
        <is>
          <t>x̄x̄x̄V̅MMMCXXXIV</t>
        </is>
      </c>
      <c r="C38135">
        <f>ROMAN(38134)</f>
        <v/>
      </c>
      <c r="D38135">
        <f>IF(B38135=C38135, "YES", "WRONG")</f>
        <v/>
      </c>
    </row>
    <row r="38136">
      <c r="A38136" t="n">
        <v>38135</v>
      </c>
      <c r="B38136" t="inlineStr">
        <is>
          <t>x̄x̄x̄V̅MMMCXXXV</t>
        </is>
      </c>
      <c r="C38136">
        <f>ROMAN(38135)</f>
        <v/>
      </c>
      <c r="D38136">
        <f>IF(B38136=C38136, "YES", "WRONG")</f>
        <v/>
      </c>
    </row>
    <row r="38137">
      <c r="A38137" t="n">
        <v>38136</v>
      </c>
      <c r="B38137" t="inlineStr">
        <is>
          <t>x̄x̄x̄V̅MMMCXXXVI</t>
        </is>
      </c>
      <c r="C38137">
        <f>ROMAN(38136)</f>
        <v/>
      </c>
      <c r="D38137">
        <f>IF(B38137=C38137, "YES", "WRONG")</f>
        <v/>
      </c>
    </row>
    <row r="38138">
      <c r="A38138" t="n">
        <v>38137</v>
      </c>
      <c r="B38138" t="inlineStr">
        <is>
          <t>x̄x̄x̄V̅MMMCXXXVII</t>
        </is>
      </c>
      <c r="C38138">
        <f>ROMAN(38137)</f>
        <v/>
      </c>
      <c r="D38138">
        <f>IF(B38138=C38138, "YES", "WRONG")</f>
        <v/>
      </c>
    </row>
    <row r="38139">
      <c r="A38139" t="n">
        <v>38138</v>
      </c>
      <c r="B38139" t="inlineStr">
        <is>
          <t>x̄x̄x̄V̅MMMCXXXVIII</t>
        </is>
      </c>
      <c r="C38139">
        <f>ROMAN(38138)</f>
        <v/>
      </c>
      <c r="D38139">
        <f>IF(B38139=C38139, "YES", "WRONG")</f>
        <v/>
      </c>
    </row>
    <row r="38140">
      <c r="A38140" t="n">
        <v>38139</v>
      </c>
      <c r="B38140" t="inlineStr">
        <is>
          <t>x̄x̄x̄V̅MMMCXXXIX</t>
        </is>
      </c>
      <c r="C38140">
        <f>ROMAN(38139)</f>
        <v/>
      </c>
      <c r="D38140">
        <f>IF(B38140=C38140, "YES", "WRONG")</f>
        <v/>
      </c>
    </row>
    <row r="38141">
      <c r="A38141" t="n">
        <v>38140</v>
      </c>
      <c r="B38141" t="inlineStr">
        <is>
          <t>x̄x̄x̄V̅MMMCXL</t>
        </is>
      </c>
      <c r="C38141">
        <f>ROMAN(38140)</f>
        <v/>
      </c>
      <c r="D38141">
        <f>IF(B38141=C38141, "YES", "WRONG")</f>
        <v/>
      </c>
    </row>
    <row r="38142">
      <c r="A38142" t="n">
        <v>38141</v>
      </c>
      <c r="B38142" t="inlineStr">
        <is>
          <t>x̄x̄x̄V̅MMMCXLI</t>
        </is>
      </c>
      <c r="C38142">
        <f>ROMAN(38141)</f>
        <v/>
      </c>
      <c r="D38142">
        <f>IF(B38142=C38142, "YES", "WRONG")</f>
        <v/>
      </c>
    </row>
    <row r="38143">
      <c r="A38143" t="n">
        <v>38142</v>
      </c>
      <c r="B38143" t="inlineStr">
        <is>
          <t>x̄x̄x̄V̅MMMCXLII</t>
        </is>
      </c>
      <c r="C38143">
        <f>ROMAN(38142)</f>
        <v/>
      </c>
      <c r="D38143">
        <f>IF(B38143=C38143, "YES", "WRONG")</f>
        <v/>
      </c>
    </row>
    <row r="38144">
      <c r="A38144" t="n">
        <v>38143</v>
      </c>
      <c r="B38144" t="inlineStr">
        <is>
          <t>x̄x̄x̄V̅MMMCXLIII</t>
        </is>
      </c>
      <c r="C38144">
        <f>ROMAN(38143)</f>
        <v/>
      </c>
      <c r="D38144">
        <f>IF(B38144=C38144, "YES", "WRONG")</f>
        <v/>
      </c>
    </row>
    <row r="38145">
      <c r="A38145" t="n">
        <v>38144</v>
      </c>
      <c r="B38145" t="inlineStr">
        <is>
          <t>x̄x̄x̄V̅MMMCXLIV</t>
        </is>
      </c>
      <c r="C38145">
        <f>ROMAN(38144)</f>
        <v/>
      </c>
      <c r="D38145">
        <f>IF(B38145=C38145, "YES", "WRONG")</f>
        <v/>
      </c>
    </row>
    <row r="38146">
      <c r="A38146" t="n">
        <v>38145</v>
      </c>
      <c r="B38146" t="inlineStr">
        <is>
          <t>x̄x̄x̄V̅MMMCXLV</t>
        </is>
      </c>
      <c r="C38146">
        <f>ROMAN(38145)</f>
        <v/>
      </c>
      <c r="D38146">
        <f>IF(B38146=C38146, "YES", "WRONG")</f>
        <v/>
      </c>
    </row>
    <row r="38147">
      <c r="A38147" t="n">
        <v>38146</v>
      </c>
      <c r="B38147" t="inlineStr">
        <is>
          <t>x̄x̄x̄V̅MMMCXLVI</t>
        </is>
      </c>
      <c r="C38147">
        <f>ROMAN(38146)</f>
        <v/>
      </c>
      <c r="D38147">
        <f>IF(B38147=C38147, "YES", "WRONG")</f>
        <v/>
      </c>
    </row>
    <row r="38148">
      <c r="A38148" t="n">
        <v>38147</v>
      </c>
      <c r="B38148" t="inlineStr">
        <is>
          <t>x̄x̄x̄V̅MMMCXLVII</t>
        </is>
      </c>
      <c r="C38148">
        <f>ROMAN(38147)</f>
        <v/>
      </c>
      <c r="D38148">
        <f>IF(B38148=C38148, "YES", "WRONG")</f>
        <v/>
      </c>
    </row>
    <row r="38149">
      <c r="A38149" t="n">
        <v>38148</v>
      </c>
      <c r="B38149" t="inlineStr">
        <is>
          <t>x̄x̄x̄V̅MMMCXLVIII</t>
        </is>
      </c>
      <c r="C38149">
        <f>ROMAN(38148)</f>
        <v/>
      </c>
      <c r="D38149">
        <f>IF(B38149=C38149, "YES", "WRONG")</f>
        <v/>
      </c>
    </row>
    <row r="38150">
      <c r="A38150" t="n">
        <v>38149</v>
      </c>
      <c r="B38150" t="inlineStr">
        <is>
          <t>x̄x̄x̄V̅MMMCXLIX</t>
        </is>
      </c>
      <c r="C38150">
        <f>ROMAN(38149)</f>
        <v/>
      </c>
      <c r="D38150">
        <f>IF(B38150=C38150, "YES", "WRONG")</f>
        <v/>
      </c>
    </row>
    <row r="38151">
      <c r="A38151" t="n">
        <v>38150</v>
      </c>
      <c r="B38151" t="inlineStr">
        <is>
          <t>x̄x̄x̄V̅MMMCL</t>
        </is>
      </c>
      <c r="C38151">
        <f>ROMAN(38150)</f>
        <v/>
      </c>
      <c r="D38151">
        <f>IF(B38151=C38151, "YES", "WRONG")</f>
        <v/>
      </c>
    </row>
    <row r="38152">
      <c r="A38152" t="n">
        <v>38151</v>
      </c>
      <c r="B38152" t="inlineStr">
        <is>
          <t>x̄x̄x̄V̅MMMCLI</t>
        </is>
      </c>
      <c r="C38152">
        <f>ROMAN(38151)</f>
        <v/>
      </c>
      <c r="D38152">
        <f>IF(B38152=C38152, "YES", "WRONG")</f>
        <v/>
      </c>
    </row>
    <row r="38153">
      <c r="A38153" t="n">
        <v>38152</v>
      </c>
      <c r="B38153" t="inlineStr">
        <is>
          <t>x̄x̄x̄V̅MMMCLII</t>
        </is>
      </c>
      <c r="C38153">
        <f>ROMAN(38152)</f>
        <v/>
      </c>
      <c r="D38153">
        <f>IF(B38153=C38153, "YES", "WRONG")</f>
        <v/>
      </c>
    </row>
    <row r="38154">
      <c r="A38154" t="n">
        <v>38153</v>
      </c>
      <c r="B38154" t="inlineStr">
        <is>
          <t>x̄x̄x̄V̅MMMCLIII</t>
        </is>
      </c>
      <c r="C38154">
        <f>ROMAN(38153)</f>
        <v/>
      </c>
      <c r="D38154">
        <f>IF(B38154=C38154, "YES", "WRONG")</f>
        <v/>
      </c>
    </row>
    <row r="38155">
      <c r="A38155" t="n">
        <v>38154</v>
      </c>
      <c r="B38155" t="inlineStr">
        <is>
          <t>x̄x̄x̄V̅MMMCLIV</t>
        </is>
      </c>
      <c r="C38155">
        <f>ROMAN(38154)</f>
        <v/>
      </c>
      <c r="D38155">
        <f>IF(B38155=C38155, "YES", "WRONG")</f>
        <v/>
      </c>
    </row>
    <row r="38156">
      <c r="A38156" t="n">
        <v>38155</v>
      </c>
      <c r="B38156" t="inlineStr">
        <is>
          <t>x̄x̄x̄V̅MMMCLV</t>
        </is>
      </c>
      <c r="C38156">
        <f>ROMAN(38155)</f>
        <v/>
      </c>
      <c r="D38156">
        <f>IF(B38156=C38156, "YES", "WRONG")</f>
        <v/>
      </c>
    </row>
    <row r="38157">
      <c r="A38157" t="n">
        <v>38156</v>
      </c>
      <c r="B38157" t="inlineStr">
        <is>
          <t>x̄x̄x̄V̅MMMCLVI</t>
        </is>
      </c>
      <c r="C38157">
        <f>ROMAN(38156)</f>
        <v/>
      </c>
      <c r="D38157">
        <f>IF(B38157=C38157, "YES", "WRONG")</f>
        <v/>
      </c>
    </row>
    <row r="38158">
      <c r="A38158" t="n">
        <v>38157</v>
      </c>
      <c r="B38158" t="inlineStr">
        <is>
          <t>x̄x̄x̄V̅MMMCLVII</t>
        </is>
      </c>
      <c r="C38158">
        <f>ROMAN(38157)</f>
        <v/>
      </c>
      <c r="D38158">
        <f>IF(B38158=C38158, "YES", "WRONG")</f>
        <v/>
      </c>
    </row>
    <row r="38159">
      <c r="A38159" t="n">
        <v>38158</v>
      </c>
      <c r="B38159" t="inlineStr">
        <is>
          <t>x̄x̄x̄V̅MMMCLVIII</t>
        </is>
      </c>
      <c r="C38159">
        <f>ROMAN(38158)</f>
        <v/>
      </c>
      <c r="D38159">
        <f>IF(B38159=C38159, "YES", "WRONG")</f>
        <v/>
      </c>
    </row>
    <row r="38160">
      <c r="A38160" t="n">
        <v>38159</v>
      </c>
      <c r="B38160" t="inlineStr">
        <is>
          <t>x̄x̄x̄V̅MMMCLIX</t>
        </is>
      </c>
      <c r="C38160">
        <f>ROMAN(38159)</f>
        <v/>
      </c>
      <c r="D38160">
        <f>IF(B38160=C38160, "YES", "WRONG")</f>
        <v/>
      </c>
    </row>
    <row r="38161">
      <c r="A38161" t="n">
        <v>38160</v>
      </c>
      <c r="B38161" t="inlineStr">
        <is>
          <t>x̄x̄x̄V̅MMMCLX</t>
        </is>
      </c>
      <c r="C38161">
        <f>ROMAN(38160)</f>
        <v/>
      </c>
      <c r="D38161">
        <f>IF(B38161=C38161, "YES", "WRONG")</f>
        <v/>
      </c>
    </row>
    <row r="38162">
      <c r="A38162" t="n">
        <v>38161</v>
      </c>
      <c r="B38162" t="inlineStr">
        <is>
          <t>x̄x̄x̄V̅MMMCLXI</t>
        </is>
      </c>
      <c r="C38162">
        <f>ROMAN(38161)</f>
        <v/>
      </c>
      <c r="D38162">
        <f>IF(B38162=C38162, "YES", "WRONG")</f>
        <v/>
      </c>
    </row>
    <row r="38163">
      <c r="A38163" t="n">
        <v>38162</v>
      </c>
      <c r="B38163" t="inlineStr">
        <is>
          <t>x̄x̄x̄V̅MMMCLXII</t>
        </is>
      </c>
      <c r="C38163">
        <f>ROMAN(38162)</f>
        <v/>
      </c>
      <c r="D38163">
        <f>IF(B38163=C38163, "YES", "WRONG")</f>
        <v/>
      </c>
    </row>
    <row r="38164">
      <c r="A38164" t="n">
        <v>38163</v>
      </c>
      <c r="B38164" t="inlineStr">
        <is>
          <t>x̄x̄x̄V̅MMMCLXIII</t>
        </is>
      </c>
      <c r="C38164">
        <f>ROMAN(38163)</f>
        <v/>
      </c>
      <c r="D38164">
        <f>IF(B38164=C38164, "YES", "WRONG")</f>
        <v/>
      </c>
    </row>
    <row r="38165">
      <c r="A38165" t="n">
        <v>38164</v>
      </c>
      <c r="B38165" t="inlineStr">
        <is>
          <t>x̄x̄x̄V̅MMMCLXIV</t>
        </is>
      </c>
      <c r="C38165">
        <f>ROMAN(38164)</f>
        <v/>
      </c>
      <c r="D38165">
        <f>IF(B38165=C38165, "YES", "WRONG")</f>
        <v/>
      </c>
    </row>
    <row r="38166">
      <c r="A38166" t="n">
        <v>38165</v>
      </c>
      <c r="B38166" t="inlineStr">
        <is>
          <t>x̄x̄x̄V̅MMMCLXV</t>
        </is>
      </c>
      <c r="C38166">
        <f>ROMAN(38165)</f>
        <v/>
      </c>
      <c r="D38166">
        <f>IF(B38166=C38166, "YES", "WRONG")</f>
        <v/>
      </c>
    </row>
    <row r="38167">
      <c r="A38167" t="n">
        <v>38166</v>
      </c>
      <c r="B38167" t="inlineStr">
        <is>
          <t>x̄x̄x̄V̅MMMCLXVI</t>
        </is>
      </c>
      <c r="C38167">
        <f>ROMAN(38166)</f>
        <v/>
      </c>
      <c r="D38167">
        <f>IF(B38167=C38167, "YES", "WRONG")</f>
        <v/>
      </c>
    </row>
    <row r="38168">
      <c r="A38168" t="n">
        <v>38167</v>
      </c>
      <c r="B38168" t="inlineStr">
        <is>
          <t>x̄x̄x̄V̅MMMCLXVII</t>
        </is>
      </c>
      <c r="C38168">
        <f>ROMAN(38167)</f>
        <v/>
      </c>
      <c r="D38168">
        <f>IF(B38168=C38168, "YES", "WRONG")</f>
        <v/>
      </c>
    </row>
    <row r="38169">
      <c r="A38169" t="n">
        <v>38168</v>
      </c>
      <c r="B38169" t="inlineStr">
        <is>
          <t>x̄x̄x̄V̅MMMCLXVIII</t>
        </is>
      </c>
      <c r="C38169">
        <f>ROMAN(38168)</f>
        <v/>
      </c>
      <c r="D38169">
        <f>IF(B38169=C38169, "YES", "WRONG")</f>
        <v/>
      </c>
    </row>
    <row r="38170">
      <c r="A38170" t="n">
        <v>38169</v>
      </c>
      <c r="B38170" t="inlineStr">
        <is>
          <t>x̄x̄x̄V̅MMMCLXIX</t>
        </is>
      </c>
      <c r="C38170">
        <f>ROMAN(38169)</f>
        <v/>
      </c>
      <c r="D38170">
        <f>IF(B38170=C38170, "YES", "WRONG")</f>
        <v/>
      </c>
    </row>
    <row r="38171">
      <c r="A38171" t="n">
        <v>38170</v>
      </c>
      <c r="B38171" t="inlineStr">
        <is>
          <t>x̄x̄x̄V̅MMMCLXX</t>
        </is>
      </c>
      <c r="C38171">
        <f>ROMAN(38170)</f>
        <v/>
      </c>
      <c r="D38171">
        <f>IF(B38171=C38171, "YES", "WRONG")</f>
        <v/>
      </c>
    </row>
    <row r="38172">
      <c r="A38172" t="n">
        <v>38171</v>
      </c>
      <c r="B38172" t="inlineStr">
        <is>
          <t>x̄x̄x̄V̅MMMCLXXI</t>
        </is>
      </c>
      <c r="C38172">
        <f>ROMAN(38171)</f>
        <v/>
      </c>
      <c r="D38172">
        <f>IF(B38172=C38172, "YES", "WRONG")</f>
        <v/>
      </c>
    </row>
    <row r="38173">
      <c r="A38173" t="n">
        <v>38172</v>
      </c>
      <c r="B38173" t="inlineStr">
        <is>
          <t>x̄x̄x̄V̅MMMCLXXII</t>
        </is>
      </c>
      <c r="C38173">
        <f>ROMAN(38172)</f>
        <v/>
      </c>
      <c r="D38173">
        <f>IF(B38173=C38173, "YES", "WRONG")</f>
        <v/>
      </c>
    </row>
    <row r="38174">
      <c r="A38174" t="n">
        <v>38173</v>
      </c>
      <c r="B38174" t="inlineStr">
        <is>
          <t>x̄x̄x̄V̅MMMCLXXIII</t>
        </is>
      </c>
      <c r="C38174">
        <f>ROMAN(38173)</f>
        <v/>
      </c>
      <c r="D38174">
        <f>IF(B38174=C38174, "YES", "WRONG")</f>
        <v/>
      </c>
    </row>
    <row r="38175">
      <c r="A38175" t="n">
        <v>38174</v>
      </c>
      <c r="B38175" t="inlineStr">
        <is>
          <t>x̄x̄x̄V̅MMMCLXXIV</t>
        </is>
      </c>
      <c r="C38175">
        <f>ROMAN(38174)</f>
        <v/>
      </c>
      <c r="D38175">
        <f>IF(B38175=C38175, "YES", "WRONG")</f>
        <v/>
      </c>
    </row>
    <row r="38176">
      <c r="A38176" t="n">
        <v>38175</v>
      </c>
      <c r="B38176" t="inlineStr">
        <is>
          <t>x̄x̄x̄V̅MMMCLXXV</t>
        </is>
      </c>
      <c r="C38176">
        <f>ROMAN(38175)</f>
        <v/>
      </c>
      <c r="D38176">
        <f>IF(B38176=C38176, "YES", "WRONG")</f>
        <v/>
      </c>
    </row>
    <row r="38177">
      <c r="A38177" t="n">
        <v>38176</v>
      </c>
      <c r="B38177" t="inlineStr">
        <is>
          <t>x̄x̄x̄V̅MMMCLXXVI</t>
        </is>
      </c>
      <c r="C38177">
        <f>ROMAN(38176)</f>
        <v/>
      </c>
      <c r="D38177">
        <f>IF(B38177=C38177, "YES", "WRONG")</f>
        <v/>
      </c>
    </row>
    <row r="38178">
      <c r="A38178" t="n">
        <v>38177</v>
      </c>
      <c r="B38178" t="inlineStr">
        <is>
          <t>x̄x̄x̄V̅MMMCLXXVII</t>
        </is>
      </c>
      <c r="C38178">
        <f>ROMAN(38177)</f>
        <v/>
      </c>
      <c r="D38178">
        <f>IF(B38178=C38178, "YES", "WRONG")</f>
        <v/>
      </c>
    </row>
    <row r="38179">
      <c r="A38179" t="n">
        <v>38178</v>
      </c>
      <c r="B38179" t="inlineStr">
        <is>
          <t>x̄x̄x̄V̅MMMCLXXVIII</t>
        </is>
      </c>
      <c r="C38179">
        <f>ROMAN(38178)</f>
        <v/>
      </c>
      <c r="D38179">
        <f>IF(B38179=C38179, "YES", "WRONG")</f>
        <v/>
      </c>
    </row>
    <row r="38180">
      <c r="A38180" t="n">
        <v>38179</v>
      </c>
      <c r="B38180" t="inlineStr">
        <is>
          <t>x̄x̄x̄V̅MMMCLXXIX</t>
        </is>
      </c>
      <c r="C38180">
        <f>ROMAN(38179)</f>
        <v/>
      </c>
      <c r="D38180">
        <f>IF(B38180=C38180, "YES", "WRONG")</f>
        <v/>
      </c>
    </row>
    <row r="38181">
      <c r="A38181" t="n">
        <v>38180</v>
      </c>
      <c r="B38181" t="inlineStr">
        <is>
          <t>x̄x̄x̄V̅MMMCLXXX</t>
        </is>
      </c>
      <c r="C38181">
        <f>ROMAN(38180)</f>
        <v/>
      </c>
      <c r="D38181">
        <f>IF(B38181=C38181, "YES", "WRONG")</f>
        <v/>
      </c>
    </row>
    <row r="38182">
      <c r="A38182" t="n">
        <v>38181</v>
      </c>
      <c r="B38182" t="inlineStr">
        <is>
          <t>x̄x̄x̄V̅MMMCLXXXI</t>
        </is>
      </c>
      <c r="C38182">
        <f>ROMAN(38181)</f>
        <v/>
      </c>
      <c r="D38182">
        <f>IF(B38182=C38182, "YES", "WRONG")</f>
        <v/>
      </c>
    </row>
    <row r="38183">
      <c r="A38183" t="n">
        <v>38182</v>
      </c>
      <c r="B38183" t="inlineStr">
        <is>
          <t>x̄x̄x̄V̅MMMCLXXXII</t>
        </is>
      </c>
      <c r="C38183">
        <f>ROMAN(38182)</f>
        <v/>
      </c>
      <c r="D38183">
        <f>IF(B38183=C38183, "YES", "WRONG")</f>
        <v/>
      </c>
    </row>
    <row r="38184">
      <c r="A38184" t="n">
        <v>38183</v>
      </c>
      <c r="B38184" t="inlineStr">
        <is>
          <t>x̄x̄x̄V̅MMMCLXXXIII</t>
        </is>
      </c>
      <c r="C38184">
        <f>ROMAN(38183)</f>
        <v/>
      </c>
      <c r="D38184">
        <f>IF(B38184=C38184, "YES", "WRONG")</f>
        <v/>
      </c>
    </row>
    <row r="38185">
      <c r="A38185" t="n">
        <v>38184</v>
      </c>
      <c r="B38185" t="inlineStr">
        <is>
          <t>x̄x̄x̄V̅MMMCLXXXIV</t>
        </is>
      </c>
      <c r="C38185">
        <f>ROMAN(38184)</f>
        <v/>
      </c>
      <c r="D38185">
        <f>IF(B38185=C38185, "YES", "WRONG")</f>
        <v/>
      </c>
    </row>
    <row r="38186">
      <c r="A38186" t="n">
        <v>38185</v>
      </c>
      <c r="B38186" t="inlineStr">
        <is>
          <t>x̄x̄x̄V̅MMMCLXXXV</t>
        </is>
      </c>
      <c r="C38186">
        <f>ROMAN(38185)</f>
        <v/>
      </c>
      <c r="D38186">
        <f>IF(B38186=C38186, "YES", "WRONG")</f>
        <v/>
      </c>
    </row>
    <row r="38187">
      <c r="A38187" t="n">
        <v>38186</v>
      </c>
      <c r="B38187" t="inlineStr">
        <is>
          <t>x̄x̄x̄V̅MMMCLXXXVI</t>
        </is>
      </c>
      <c r="C38187">
        <f>ROMAN(38186)</f>
        <v/>
      </c>
      <c r="D38187">
        <f>IF(B38187=C38187, "YES", "WRONG")</f>
        <v/>
      </c>
    </row>
    <row r="38188">
      <c r="A38188" t="n">
        <v>38187</v>
      </c>
      <c r="B38188" t="inlineStr">
        <is>
          <t>x̄x̄x̄V̅MMMCLXXXVII</t>
        </is>
      </c>
      <c r="C38188">
        <f>ROMAN(38187)</f>
        <v/>
      </c>
      <c r="D38188">
        <f>IF(B38188=C38188, "YES", "WRONG")</f>
        <v/>
      </c>
    </row>
    <row r="38189">
      <c r="A38189" t="n">
        <v>38188</v>
      </c>
      <c r="B38189" t="inlineStr">
        <is>
          <t>x̄x̄x̄V̅MMMCLXXXVIII</t>
        </is>
      </c>
      <c r="C38189">
        <f>ROMAN(38188)</f>
        <v/>
      </c>
      <c r="D38189">
        <f>IF(B38189=C38189, "YES", "WRONG")</f>
        <v/>
      </c>
    </row>
    <row r="38190">
      <c r="A38190" t="n">
        <v>38189</v>
      </c>
      <c r="B38190" t="inlineStr">
        <is>
          <t>x̄x̄x̄V̅MMMCLXXXIX</t>
        </is>
      </c>
      <c r="C38190">
        <f>ROMAN(38189)</f>
        <v/>
      </c>
      <c r="D38190">
        <f>IF(B38190=C38190, "YES", "WRONG")</f>
        <v/>
      </c>
    </row>
    <row r="38191">
      <c r="A38191" t="n">
        <v>38190</v>
      </c>
      <c r="B38191" t="inlineStr">
        <is>
          <t>x̄x̄x̄V̅MMMCXC</t>
        </is>
      </c>
      <c r="C38191">
        <f>ROMAN(38190)</f>
        <v/>
      </c>
      <c r="D38191">
        <f>IF(B38191=C38191, "YES", "WRONG")</f>
        <v/>
      </c>
    </row>
    <row r="38192">
      <c r="A38192" t="n">
        <v>38191</v>
      </c>
      <c r="B38192" t="inlineStr">
        <is>
          <t>x̄x̄x̄V̅MMMCXCI</t>
        </is>
      </c>
      <c r="C38192">
        <f>ROMAN(38191)</f>
        <v/>
      </c>
      <c r="D38192">
        <f>IF(B38192=C38192, "YES", "WRONG")</f>
        <v/>
      </c>
    </row>
    <row r="38193">
      <c r="A38193" t="n">
        <v>38192</v>
      </c>
      <c r="B38193" t="inlineStr">
        <is>
          <t>x̄x̄x̄V̅MMMCXCII</t>
        </is>
      </c>
      <c r="C38193">
        <f>ROMAN(38192)</f>
        <v/>
      </c>
      <c r="D38193">
        <f>IF(B38193=C38193, "YES", "WRONG")</f>
        <v/>
      </c>
    </row>
    <row r="38194">
      <c r="A38194" t="n">
        <v>38193</v>
      </c>
      <c r="B38194" t="inlineStr">
        <is>
          <t>x̄x̄x̄V̅MMMCXCIII</t>
        </is>
      </c>
      <c r="C38194">
        <f>ROMAN(38193)</f>
        <v/>
      </c>
      <c r="D38194">
        <f>IF(B38194=C38194, "YES", "WRONG")</f>
        <v/>
      </c>
    </row>
    <row r="38195">
      <c r="A38195" t="n">
        <v>38194</v>
      </c>
      <c r="B38195" t="inlineStr">
        <is>
          <t>x̄x̄x̄V̅MMMCXCIV</t>
        </is>
      </c>
      <c r="C38195">
        <f>ROMAN(38194)</f>
        <v/>
      </c>
      <c r="D38195">
        <f>IF(B38195=C38195, "YES", "WRONG")</f>
        <v/>
      </c>
    </row>
    <row r="38196">
      <c r="A38196" t="n">
        <v>38195</v>
      </c>
      <c r="B38196" t="inlineStr">
        <is>
          <t>x̄x̄x̄V̅MMMCXCV</t>
        </is>
      </c>
      <c r="C38196">
        <f>ROMAN(38195)</f>
        <v/>
      </c>
      <c r="D38196">
        <f>IF(B38196=C38196, "YES", "WRONG")</f>
        <v/>
      </c>
    </row>
    <row r="38197">
      <c r="A38197" t="n">
        <v>38196</v>
      </c>
      <c r="B38197" t="inlineStr">
        <is>
          <t>x̄x̄x̄V̅MMMCXCVI</t>
        </is>
      </c>
      <c r="C38197">
        <f>ROMAN(38196)</f>
        <v/>
      </c>
      <c r="D38197">
        <f>IF(B38197=C38197, "YES", "WRONG")</f>
        <v/>
      </c>
    </row>
    <row r="38198">
      <c r="A38198" t="n">
        <v>38197</v>
      </c>
      <c r="B38198" t="inlineStr">
        <is>
          <t>x̄x̄x̄V̅MMMCXCVII</t>
        </is>
      </c>
      <c r="C38198">
        <f>ROMAN(38197)</f>
        <v/>
      </c>
      <c r="D38198">
        <f>IF(B38198=C38198, "YES", "WRONG")</f>
        <v/>
      </c>
    </row>
    <row r="38199">
      <c r="A38199" t="n">
        <v>38198</v>
      </c>
      <c r="B38199" t="inlineStr">
        <is>
          <t>x̄x̄x̄V̅MMMCXCVIII</t>
        </is>
      </c>
      <c r="C38199">
        <f>ROMAN(38198)</f>
        <v/>
      </c>
      <c r="D38199">
        <f>IF(B38199=C38199, "YES", "WRONG")</f>
        <v/>
      </c>
    </row>
    <row r="38200">
      <c r="A38200" t="n">
        <v>38199</v>
      </c>
      <c r="B38200" t="inlineStr">
        <is>
          <t>x̄x̄x̄V̅MMMCXCIX</t>
        </is>
      </c>
      <c r="C38200">
        <f>ROMAN(38199)</f>
        <v/>
      </c>
      <c r="D38200">
        <f>IF(B38200=C38200, "YES", "WRONG")</f>
        <v/>
      </c>
    </row>
    <row r="38201">
      <c r="A38201" t="n">
        <v>38200</v>
      </c>
      <c r="B38201" t="inlineStr">
        <is>
          <t>x̄x̄x̄V̅MMMCC</t>
        </is>
      </c>
      <c r="C38201">
        <f>ROMAN(38200)</f>
        <v/>
      </c>
      <c r="D38201">
        <f>IF(B38201=C38201, "YES", "WRONG")</f>
        <v/>
      </c>
    </row>
    <row r="38202">
      <c r="A38202" t="n">
        <v>38201</v>
      </c>
      <c r="B38202" t="inlineStr">
        <is>
          <t>x̄x̄x̄V̅MMMCCI</t>
        </is>
      </c>
      <c r="C38202">
        <f>ROMAN(38201)</f>
        <v/>
      </c>
      <c r="D38202">
        <f>IF(B38202=C38202, "YES", "WRONG")</f>
        <v/>
      </c>
    </row>
    <row r="38203">
      <c r="A38203" t="n">
        <v>38202</v>
      </c>
      <c r="B38203" t="inlineStr">
        <is>
          <t>x̄x̄x̄V̅MMMCCII</t>
        </is>
      </c>
      <c r="C38203">
        <f>ROMAN(38202)</f>
        <v/>
      </c>
      <c r="D38203">
        <f>IF(B38203=C38203, "YES", "WRONG")</f>
        <v/>
      </c>
    </row>
    <row r="38204">
      <c r="A38204" t="n">
        <v>38203</v>
      </c>
      <c r="B38204" t="inlineStr">
        <is>
          <t>x̄x̄x̄V̅MMMCCIII</t>
        </is>
      </c>
      <c r="C38204">
        <f>ROMAN(38203)</f>
        <v/>
      </c>
      <c r="D38204">
        <f>IF(B38204=C38204, "YES", "WRONG")</f>
        <v/>
      </c>
    </row>
    <row r="38205">
      <c r="A38205" t="n">
        <v>38204</v>
      </c>
      <c r="B38205" t="inlineStr">
        <is>
          <t>x̄x̄x̄V̅MMMCCIV</t>
        </is>
      </c>
      <c r="C38205">
        <f>ROMAN(38204)</f>
        <v/>
      </c>
      <c r="D38205">
        <f>IF(B38205=C38205, "YES", "WRONG")</f>
        <v/>
      </c>
    </row>
    <row r="38206">
      <c r="A38206" t="n">
        <v>38205</v>
      </c>
      <c r="B38206" t="inlineStr">
        <is>
          <t>x̄x̄x̄V̅MMMCCV</t>
        </is>
      </c>
      <c r="C38206">
        <f>ROMAN(38205)</f>
        <v/>
      </c>
      <c r="D38206">
        <f>IF(B38206=C38206, "YES", "WRONG")</f>
        <v/>
      </c>
    </row>
    <row r="38207">
      <c r="A38207" t="n">
        <v>38206</v>
      </c>
      <c r="B38207" t="inlineStr">
        <is>
          <t>x̄x̄x̄V̅MMMCCVI</t>
        </is>
      </c>
      <c r="C38207">
        <f>ROMAN(38206)</f>
        <v/>
      </c>
      <c r="D38207">
        <f>IF(B38207=C38207, "YES", "WRONG")</f>
        <v/>
      </c>
    </row>
    <row r="38208">
      <c r="A38208" t="n">
        <v>38207</v>
      </c>
      <c r="B38208" t="inlineStr">
        <is>
          <t>x̄x̄x̄V̅MMMCCVII</t>
        </is>
      </c>
      <c r="C38208">
        <f>ROMAN(38207)</f>
        <v/>
      </c>
      <c r="D38208">
        <f>IF(B38208=C38208, "YES", "WRONG")</f>
        <v/>
      </c>
    </row>
    <row r="38209">
      <c r="A38209" t="n">
        <v>38208</v>
      </c>
      <c r="B38209" t="inlineStr">
        <is>
          <t>x̄x̄x̄V̅MMMCCVIII</t>
        </is>
      </c>
      <c r="C38209">
        <f>ROMAN(38208)</f>
        <v/>
      </c>
      <c r="D38209">
        <f>IF(B38209=C38209, "YES", "WRONG")</f>
        <v/>
      </c>
    </row>
    <row r="38210">
      <c r="A38210" t="n">
        <v>38209</v>
      </c>
      <c r="B38210" t="inlineStr">
        <is>
          <t>x̄x̄x̄V̅MMMCCIX</t>
        </is>
      </c>
      <c r="C38210">
        <f>ROMAN(38209)</f>
        <v/>
      </c>
      <c r="D38210">
        <f>IF(B38210=C38210, "YES", "WRONG")</f>
        <v/>
      </c>
    </row>
    <row r="38211">
      <c r="A38211" t="n">
        <v>38210</v>
      </c>
      <c r="B38211" t="inlineStr">
        <is>
          <t>x̄x̄x̄V̅MMMCCX</t>
        </is>
      </c>
      <c r="C38211">
        <f>ROMAN(38210)</f>
        <v/>
      </c>
      <c r="D38211">
        <f>IF(B38211=C38211, "YES", "WRONG")</f>
        <v/>
      </c>
    </row>
    <row r="38212">
      <c r="A38212" t="n">
        <v>38211</v>
      </c>
      <c r="B38212" t="inlineStr">
        <is>
          <t>x̄x̄x̄V̅MMMCCXI</t>
        </is>
      </c>
      <c r="C38212">
        <f>ROMAN(38211)</f>
        <v/>
      </c>
      <c r="D38212">
        <f>IF(B38212=C38212, "YES", "WRONG")</f>
        <v/>
      </c>
    </row>
    <row r="38213">
      <c r="A38213" t="n">
        <v>38212</v>
      </c>
      <c r="B38213" t="inlineStr">
        <is>
          <t>x̄x̄x̄V̅MMMCCXII</t>
        </is>
      </c>
      <c r="C38213">
        <f>ROMAN(38212)</f>
        <v/>
      </c>
      <c r="D38213">
        <f>IF(B38213=C38213, "YES", "WRONG")</f>
        <v/>
      </c>
    </row>
    <row r="38214">
      <c r="A38214" t="n">
        <v>38213</v>
      </c>
      <c r="B38214" t="inlineStr">
        <is>
          <t>x̄x̄x̄V̅MMMCCXIII</t>
        </is>
      </c>
      <c r="C38214">
        <f>ROMAN(38213)</f>
        <v/>
      </c>
      <c r="D38214">
        <f>IF(B38214=C38214, "YES", "WRONG")</f>
        <v/>
      </c>
    </row>
    <row r="38215">
      <c r="A38215" t="n">
        <v>38214</v>
      </c>
      <c r="B38215" t="inlineStr">
        <is>
          <t>x̄x̄x̄V̅MMMCCXIV</t>
        </is>
      </c>
      <c r="C38215">
        <f>ROMAN(38214)</f>
        <v/>
      </c>
      <c r="D38215">
        <f>IF(B38215=C38215, "YES", "WRONG")</f>
        <v/>
      </c>
    </row>
    <row r="38216">
      <c r="A38216" t="n">
        <v>38215</v>
      </c>
      <c r="B38216" t="inlineStr">
        <is>
          <t>x̄x̄x̄V̅MMMCCXV</t>
        </is>
      </c>
      <c r="C38216">
        <f>ROMAN(38215)</f>
        <v/>
      </c>
      <c r="D38216">
        <f>IF(B38216=C38216, "YES", "WRONG")</f>
        <v/>
      </c>
    </row>
    <row r="38217">
      <c r="A38217" t="n">
        <v>38216</v>
      </c>
      <c r="B38217" t="inlineStr">
        <is>
          <t>x̄x̄x̄V̅MMMCCXVI</t>
        </is>
      </c>
      <c r="C38217">
        <f>ROMAN(38216)</f>
        <v/>
      </c>
      <c r="D38217">
        <f>IF(B38217=C38217, "YES", "WRONG")</f>
        <v/>
      </c>
    </row>
    <row r="38218">
      <c r="A38218" t="n">
        <v>38217</v>
      </c>
      <c r="B38218" t="inlineStr">
        <is>
          <t>x̄x̄x̄V̅MMMCCXVII</t>
        </is>
      </c>
      <c r="C38218">
        <f>ROMAN(38217)</f>
        <v/>
      </c>
      <c r="D38218">
        <f>IF(B38218=C38218, "YES", "WRONG")</f>
        <v/>
      </c>
    </row>
    <row r="38219">
      <c r="A38219" t="n">
        <v>38218</v>
      </c>
      <c r="B38219" t="inlineStr">
        <is>
          <t>x̄x̄x̄V̅MMMCCXVIII</t>
        </is>
      </c>
      <c r="C38219">
        <f>ROMAN(38218)</f>
        <v/>
      </c>
      <c r="D38219">
        <f>IF(B38219=C38219, "YES", "WRONG")</f>
        <v/>
      </c>
    </row>
    <row r="38220">
      <c r="A38220" t="n">
        <v>38219</v>
      </c>
      <c r="B38220" t="inlineStr">
        <is>
          <t>x̄x̄x̄V̅MMMCCXIX</t>
        </is>
      </c>
      <c r="C38220">
        <f>ROMAN(38219)</f>
        <v/>
      </c>
      <c r="D38220">
        <f>IF(B38220=C38220, "YES", "WRONG")</f>
        <v/>
      </c>
    </row>
    <row r="38221">
      <c r="A38221" t="n">
        <v>38220</v>
      </c>
      <c r="B38221" t="inlineStr">
        <is>
          <t>x̄x̄x̄V̅MMMCCXX</t>
        </is>
      </c>
      <c r="C38221">
        <f>ROMAN(38220)</f>
        <v/>
      </c>
      <c r="D38221">
        <f>IF(B38221=C38221, "YES", "WRONG")</f>
        <v/>
      </c>
    </row>
    <row r="38222">
      <c r="A38222" t="n">
        <v>38221</v>
      </c>
      <c r="B38222" t="inlineStr">
        <is>
          <t>x̄x̄x̄V̅MMMCCXXI</t>
        </is>
      </c>
      <c r="C38222">
        <f>ROMAN(38221)</f>
        <v/>
      </c>
      <c r="D38222">
        <f>IF(B38222=C38222, "YES", "WRONG")</f>
        <v/>
      </c>
    </row>
    <row r="38223">
      <c r="A38223" t="n">
        <v>38222</v>
      </c>
      <c r="B38223" t="inlineStr">
        <is>
          <t>x̄x̄x̄V̅MMMCCXXII</t>
        </is>
      </c>
      <c r="C38223">
        <f>ROMAN(38222)</f>
        <v/>
      </c>
      <c r="D38223">
        <f>IF(B38223=C38223, "YES", "WRONG")</f>
        <v/>
      </c>
    </row>
    <row r="38224">
      <c r="A38224" t="n">
        <v>38223</v>
      </c>
      <c r="B38224" t="inlineStr">
        <is>
          <t>x̄x̄x̄V̅MMMCCXXIII</t>
        </is>
      </c>
      <c r="C38224">
        <f>ROMAN(38223)</f>
        <v/>
      </c>
      <c r="D38224">
        <f>IF(B38224=C38224, "YES", "WRONG")</f>
        <v/>
      </c>
    </row>
    <row r="38225">
      <c r="A38225" t="n">
        <v>38224</v>
      </c>
      <c r="B38225" t="inlineStr">
        <is>
          <t>x̄x̄x̄V̅MMMCCXXIV</t>
        </is>
      </c>
      <c r="C38225">
        <f>ROMAN(38224)</f>
        <v/>
      </c>
      <c r="D38225">
        <f>IF(B38225=C38225, "YES", "WRONG")</f>
        <v/>
      </c>
    </row>
    <row r="38226">
      <c r="A38226" t="n">
        <v>38225</v>
      </c>
      <c r="B38226" t="inlineStr">
        <is>
          <t>x̄x̄x̄V̅MMMCCXXV</t>
        </is>
      </c>
      <c r="C38226">
        <f>ROMAN(38225)</f>
        <v/>
      </c>
      <c r="D38226">
        <f>IF(B38226=C38226, "YES", "WRONG")</f>
        <v/>
      </c>
    </row>
    <row r="38227">
      <c r="A38227" t="n">
        <v>38226</v>
      </c>
      <c r="B38227" t="inlineStr">
        <is>
          <t>x̄x̄x̄V̅MMMCCXXVI</t>
        </is>
      </c>
      <c r="C38227">
        <f>ROMAN(38226)</f>
        <v/>
      </c>
      <c r="D38227">
        <f>IF(B38227=C38227, "YES", "WRONG")</f>
        <v/>
      </c>
    </row>
    <row r="38228">
      <c r="A38228" t="n">
        <v>38227</v>
      </c>
      <c r="B38228" t="inlineStr">
        <is>
          <t>x̄x̄x̄V̅MMMCCXXVII</t>
        </is>
      </c>
      <c r="C38228">
        <f>ROMAN(38227)</f>
        <v/>
      </c>
      <c r="D38228">
        <f>IF(B38228=C38228, "YES", "WRONG")</f>
        <v/>
      </c>
    </row>
    <row r="38229">
      <c r="A38229" t="n">
        <v>38228</v>
      </c>
      <c r="B38229" t="inlineStr">
        <is>
          <t>x̄x̄x̄V̅MMMCCXXVIII</t>
        </is>
      </c>
      <c r="C38229">
        <f>ROMAN(38228)</f>
        <v/>
      </c>
      <c r="D38229">
        <f>IF(B38229=C38229, "YES", "WRONG")</f>
        <v/>
      </c>
    </row>
    <row r="38230">
      <c r="A38230" t="n">
        <v>38229</v>
      </c>
      <c r="B38230" t="inlineStr">
        <is>
          <t>x̄x̄x̄V̅MMMCCXXIX</t>
        </is>
      </c>
      <c r="C38230">
        <f>ROMAN(38229)</f>
        <v/>
      </c>
      <c r="D38230">
        <f>IF(B38230=C38230, "YES", "WRONG")</f>
        <v/>
      </c>
    </row>
    <row r="38231">
      <c r="A38231" t="n">
        <v>38230</v>
      </c>
      <c r="B38231" t="inlineStr">
        <is>
          <t>x̄x̄x̄V̅MMMCCXXX</t>
        </is>
      </c>
      <c r="C38231">
        <f>ROMAN(38230)</f>
        <v/>
      </c>
      <c r="D38231">
        <f>IF(B38231=C38231, "YES", "WRONG")</f>
        <v/>
      </c>
    </row>
    <row r="38232">
      <c r="A38232" t="n">
        <v>38231</v>
      </c>
      <c r="B38232" t="inlineStr">
        <is>
          <t>x̄x̄x̄V̅MMMCCXXXI</t>
        </is>
      </c>
      <c r="C38232">
        <f>ROMAN(38231)</f>
        <v/>
      </c>
      <c r="D38232">
        <f>IF(B38232=C38232, "YES", "WRONG")</f>
        <v/>
      </c>
    </row>
    <row r="38233">
      <c r="A38233" t="n">
        <v>38232</v>
      </c>
      <c r="B38233" t="inlineStr">
        <is>
          <t>x̄x̄x̄V̅MMMCCXXXII</t>
        </is>
      </c>
      <c r="C38233">
        <f>ROMAN(38232)</f>
        <v/>
      </c>
      <c r="D38233">
        <f>IF(B38233=C38233, "YES", "WRONG")</f>
        <v/>
      </c>
    </row>
    <row r="38234">
      <c r="A38234" t="n">
        <v>38233</v>
      </c>
      <c r="B38234" t="inlineStr">
        <is>
          <t>x̄x̄x̄V̅MMMCCXXXIII</t>
        </is>
      </c>
      <c r="C38234">
        <f>ROMAN(38233)</f>
        <v/>
      </c>
      <c r="D38234">
        <f>IF(B38234=C38234, "YES", "WRONG")</f>
        <v/>
      </c>
    </row>
    <row r="38235">
      <c r="A38235" t="n">
        <v>38234</v>
      </c>
      <c r="B38235" t="inlineStr">
        <is>
          <t>x̄x̄x̄V̅MMMCCXXXIV</t>
        </is>
      </c>
      <c r="C38235">
        <f>ROMAN(38234)</f>
        <v/>
      </c>
      <c r="D38235">
        <f>IF(B38235=C38235, "YES", "WRONG")</f>
        <v/>
      </c>
    </row>
    <row r="38236">
      <c r="A38236" t="n">
        <v>38235</v>
      </c>
      <c r="B38236" t="inlineStr">
        <is>
          <t>x̄x̄x̄V̅MMMCCXXXV</t>
        </is>
      </c>
      <c r="C38236">
        <f>ROMAN(38235)</f>
        <v/>
      </c>
      <c r="D38236">
        <f>IF(B38236=C38236, "YES", "WRONG")</f>
        <v/>
      </c>
    </row>
    <row r="38237">
      <c r="A38237" t="n">
        <v>38236</v>
      </c>
      <c r="B38237" t="inlineStr">
        <is>
          <t>x̄x̄x̄V̅MMMCCXXXVI</t>
        </is>
      </c>
      <c r="C38237">
        <f>ROMAN(38236)</f>
        <v/>
      </c>
      <c r="D38237">
        <f>IF(B38237=C38237, "YES", "WRONG")</f>
        <v/>
      </c>
    </row>
    <row r="38238">
      <c r="A38238" t="n">
        <v>38237</v>
      </c>
      <c r="B38238" t="inlineStr">
        <is>
          <t>x̄x̄x̄V̅MMMCCXXXVII</t>
        </is>
      </c>
      <c r="C38238">
        <f>ROMAN(38237)</f>
        <v/>
      </c>
      <c r="D38238">
        <f>IF(B38238=C38238, "YES", "WRONG")</f>
        <v/>
      </c>
    </row>
    <row r="38239">
      <c r="A38239" t="n">
        <v>38238</v>
      </c>
      <c r="B38239" t="inlineStr">
        <is>
          <t>x̄x̄x̄V̅MMMCCXXXVIII</t>
        </is>
      </c>
      <c r="C38239">
        <f>ROMAN(38238)</f>
        <v/>
      </c>
      <c r="D38239">
        <f>IF(B38239=C38239, "YES", "WRONG")</f>
        <v/>
      </c>
    </row>
    <row r="38240">
      <c r="A38240" t="n">
        <v>38239</v>
      </c>
      <c r="B38240" t="inlineStr">
        <is>
          <t>x̄x̄x̄V̅MMMCCXXXIX</t>
        </is>
      </c>
      <c r="C38240">
        <f>ROMAN(38239)</f>
        <v/>
      </c>
      <c r="D38240">
        <f>IF(B38240=C38240, "YES", "WRONG")</f>
        <v/>
      </c>
    </row>
    <row r="38241">
      <c r="A38241" t="n">
        <v>38240</v>
      </c>
      <c r="B38241" t="inlineStr">
        <is>
          <t>x̄x̄x̄V̅MMMCCXL</t>
        </is>
      </c>
      <c r="C38241">
        <f>ROMAN(38240)</f>
        <v/>
      </c>
      <c r="D38241">
        <f>IF(B38241=C38241, "YES", "WRONG")</f>
        <v/>
      </c>
    </row>
    <row r="38242">
      <c r="A38242" t="n">
        <v>38241</v>
      </c>
      <c r="B38242" t="inlineStr">
        <is>
          <t>x̄x̄x̄V̅MMMCCXLI</t>
        </is>
      </c>
      <c r="C38242">
        <f>ROMAN(38241)</f>
        <v/>
      </c>
      <c r="D38242">
        <f>IF(B38242=C38242, "YES", "WRONG")</f>
        <v/>
      </c>
    </row>
    <row r="38243">
      <c r="A38243" t="n">
        <v>38242</v>
      </c>
      <c r="B38243" t="inlineStr">
        <is>
          <t>x̄x̄x̄V̅MMMCCXLII</t>
        </is>
      </c>
      <c r="C38243">
        <f>ROMAN(38242)</f>
        <v/>
      </c>
      <c r="D38243">
        <f>IF(B38243=C38243, "YES", "WRONG")</f>
        <v/>
      </c>
    </row>
    <row r="38244">
      <c r="A38244" t="n">
        <v>38243</v>
      </c>
      <c r="B38244" t="inlineStr">
        <is>
          <t>x̄x̄x̄V̅MMMCCXLIII</t>
        </is>
      </c>
      <c r="C38244">
        <f>ROMAN(38243)</f>
        <v/>
      </c>
      <c r="D38244">
        <f>IF(B38244=C38244, "YES", "WRONG")</f>
        <v/>
      </c>
    </row>
    <row r="38245">
      <c r="A38245" t="n">
        <v>38244</v>
      </c>
      <c r="B38245" t="inlineStr">
        <is>
          <t>x̄x̄x̄V̅MMMCCXLIV</t>
        </is>
      </c>
      <c r="C38245">
        <f>ROMAN(38244)</f>
        <v/>
      </c>
      <c r="D38245">
        <f>IF(B38245=C38245, "YES", "WRONG")</f>
        <v/>
      </c>
    </row>
    <row r="38246">
      <c r="A38246" t="n">
        <v>38245</v>
      </c>
      <c r="B38246" t="inlineStr">
        <is>
          <t>x̄x̄x̄V̅MMMCCXLV</t>
        </is>
      </c>
      <c r="C38246">
        <f>ROMAN(38245)</f>
        <v/>
      </c>
      <c r="D38246">
        <f>IF(B38246=C38246, "YES", "WRONG")</f>
        <v/>
      </c>
    </row>
    <row r="38247">
      <c r="A38247" t="n">
        <v>38246</v>
      </c>
      <c r="B38247" t="inlineStr">
        <is>
          <t>x̄x̄x̄V̅MMMCCXLVI</t>
        </is>
      </c>
      <c r="C38247">
        <f>ROMAN(38246)</f>
        <v/>
      </c>
      <c r="D38247">
        <f>IF(B38247=C38247, "YES", "WRONG")</f>
        <v/>
      </c>
    </row>
    <row r="38248">
      <c r="A38248" t="n">
        <v>38247</v>
      </c>
      <c r="B38248" t="inlineStr">
        <is>
          <t>x̄x̄x̄V̅MMMCCXLVII</t>
        </is>
      </c>
      <c r="C38248">
        <f>ROMAN(38247)</f>
        <v/>
      </c>
      <c r="D38248">
        <f>IF(B38248=C38248, "YES", "WRONG")</f>
        <v/>
      </c>
    </row>
    <row r="38249">
      <c r="A38249" t="n">
        <v>38248</v>
      </c>
      <c r="B38249" t="inlineStr">
        <is>
          <t>x̄x̄x̄V̅MMMCCXLVIII</t>
        </is>
      </c>
      <c r="C38249">
        <f>ROMAN(38248)</f>
        <v/>
      </c>
      <c r="D38249">
        <f>IF(B38249=C38249, "YES", "WRONG")</f>
        <v/>
      </c>
    </row>
    <row r="38250">
      <c r="A38250" t="n">
        <v>38249</v>
      </c>
      <c r="B38250" t="inlineStr">
        <is>
          <t>x̄x̄x̄V̅MMMCCXLIX</t>
        </is>
      </c>
      <c r="C38250">
        <f>ROMAN(38249)</f>
        <v/>
      </c>
      <c r="D38250">
        <f>IF(B38250=C38250, "YES", "WRONG")</f>
        <v/>
      </c>
    </row>
    <row r="38251">
      <c r="A38251" t="n">
        <v>38250</v>
      </c>
      <c r="B38251" t="inlineStr">
        <is>
          <t>x̄x̄x̄V̅MMMCCL</t>
        </is>
      </c>
      <c r="C38251">
        <f>ROMAN(38250)</f>
        <v/>
      </c>
      <c r="D38251">
        <f>IF(B38251=C38251, "YES", "WRONG")</f>
        <v/>
      </c>
    </row>
    <row r="38252">
      <c r="A38252" t="n">
        <v>38251</v>
      </c>
      <c r="B38252" t="inlineStr">
        <is>
          <t>x̄x̄x̄V̅MMMCCLI</t>
        </is>
      </c>
      <c r="C38252">
        <f>ROMAN(38251)</f>
        <v/>
      </c>
      <c r="D38252">
        <f>IF(B38252=C38252, "YES", "WRONG")</f>
        <v/>
      </c>
    </row>
    <row r="38253">
      <c r="A38253" t="n">
        <v>38252</v>
      </c>
      <c r="B38253" t="inlineStr">
        <is>
          <t>x̄x̄x̄V̅MMMCCLII</t>
        </is>
      </c>
      <c r="C38253">
        <f>ROMAN(38252)</f>
        <v/>
      </c>
      <c r="D38253">
        <f>IF(B38253=C38253, "YES", "WRONG")</f>
        <v/>
      </c>
    </row>
    <row r="38254">
      <c r="A38254" t="n">
        <v>38253</v>
      </c>
      <c r="B38254" t="inlineStr">
        <is>
          <t>x̄x̄x̄V̅MMMCCLIII</t>
        </is>
      </c>
      <c r="C38254">
        <f>ROMAN(38253)</f>
        <v/>
      </c>
      <c r="D38254">
        <f>IF(B38254=C38254, "YES", "WRONG")</f>
        <v/>
      </c>
    </row>
    <row r="38255">
      <c r="A38255" t="n">
        <v>38254</v>
      </c>
      <c r="B38255" t="inlineStr">
        <is>
          <t>x̄x̄x̄V̅MMMCCLIV</t>
        </is>
      </c>
      <c r="C38255">
        <f>ROMAN(38254)</f>
        <v/>
      </c>
      <c r="D38255">
        <f>IF(B38255=C38255, "YES", "WRONG")</f>
        <v/>
      </c>
    </row>
    <row r="38256">
      <c r="A38256" t="n">
        <v>38255</v>
      </c>
      <c r="B38256" t="inlineStr">
        <is>
          <t>x̄x̄x̄V̅MMMCCLV</t>
        </is>
      </c>
      <c r="C38256">
        <f>ROMAN(38255)</f>
        <v/>
      </c>
      <c r="D38256">
        <f>IF(B38256=C38256, "YES", "WRONG")</f>
        <v/>
      </c>
    </row>
    <row r="38257">
      <c r="A38257" t="n">
        <v>38256</v>
      </c>
      <c r="B38257" t="inlineStr">
        <is>
          <t>x̄x̄x̄V̅MMMCCLVI</t>
        </is>
      </c>
      <c r="C38257">
        <f>ROMAN(38256)</f>
        <v/>
      </c>
      <c r="D38257">
        <f>IF(B38257=C38257, "YES", "WRONG")</f>
        <v/>
      </c>
    </row>
    <row r="38258">
      <c r="A38258" t="n">
        <v>38257</v>
      </c>
      <c r="B38258" t="inlineStr">
        <is>
          <t>x̄x̄x̄V̅MMMCCLVII</t>
        </is>
      </c>
      <c r="C38258">
        <f>ROMAN(38257)</f>
        <v/>
      </c>
      <c r="D38258">
        <f>IF(B38258=C38258, "YES", "WRONG")</f>
        <v/>
      </c>
    </row>
    <row r="38259">
      <c r="A38259" t="n">
        <v>38258</v>
      </c>
      <c r="B38259" t="inlineStr">
        <is>
          <t>x̄x̄x̄V̅MMMCCLVIII</t>
        </is>
      </c>
      <c r="C38259">
        <f>ROMAN(38258)</f>
        <v/>
      </c>
      <c r="D38259">
        <f>IF(B38259=C38259, "YES", "WRONG")</f>
        <v/>
      </c>
    </row>
    <row r="38260">
      <c r="A38260" t="n">
        <v>38259</v>
      </c>
      <c r="B38260" t="inlineStr">
        <is>
          <t>x̄x̄x̄V̅MMMCCLIX</t>
        </is>
      </c>
      <c r="C38260">
        <f>ROMAN(38259)</f>
        <v/>
      </c>
      <c r="D38260">
        <f>IF(B38260=C38260, "YES", "WRONG")</f>
        <v/>
      </c>
    </row>
    <row r="38261">
      <c r="A38261" t="n">
        <v>38260</v>
      </c>
      <c r="B38261" t="inlineStr">
        <is>
          <t>x̄x̄x̄V̅MMMCCLX</t>
        </is>
      </c>
      <c r="C38261">
        <f>ROMAN(38260)</f>
        <v/>
      </c>
      <c r="D38261">
        <f>IF(B38261=C38261, "YES", "WRONG")</f>
        <v/>
      </c>
    </row>
    <row r="38262">
      <c r="A38262" t="n">
        <v>38261</v>
      </c>
      <c r="B38262" t="inlineStr">
        <is>
          <t>x̄x̄x̄V̅MMMCCLXI</t>
        </is>
      </c>
      <c r="C38262">
        <f>ROMAN(38261)</f>
        <v/>
      </c>
      <c r="D38262">
        <f>IF(B38262=C38262, "YES", "WRONG")</f>
        <v/>
      </c>
    </row>
    <row r="38263">
      <c r="A38263" t="n">
        <v>38262</v>
      </c>
      <c r="B38263" t="inlineStr">
        <is>
          <t>x̄x̄x̄V̅MMMCCLXII</t>
        </is>
      </c>
      <c r="C38263">
        <f>ROMAN(38262)</f>
        <v/>
      </c>
      <c r="D38263">
        <f>IF(B38263=C38263, "YES", "WRONG")</f>
        <v/>
      </c>
    </row>
    <row r="38264">
      <c r="A38264" t="n">
        <v>38263</v>
      </c>
      <c r="B38264" t="inlineStr">
        <is>
          <t>x̄x̄x̄V̅MMMCCLXIII</t>
        </is>
      </c>
      <c r="C38264">
        <f>ROMAN(38263)</f>
        <v/>
      </c>
      <c r="D38264">
        <f>IF(B38264=C38264, "YES", "WRONG")</f>
        <v/>
      </c>
    </row>
    <row r="38265">
      <c r="A38265" t="n">
        <v>38264</v>
      </c>
      <c r="B38265" t="inlineStr">
        <is>
          <t>x̄x̄x̄V̅MMMCCLXIV</t>
        </is>
      </c>
      <c r="C38265">
        <f>ROMAN(38264)</f>
        <v/>
      </c>
      <c r="D38265">
        <f>IF(B38265=C38265, "YES", "WRONG")</f>
        <v/>
      </c>
    </row>
    <row r="38266">
      <c r="A38266" t="n">
        <v>38265</v>
      </c>
      <c r="B38266" t="inlineStr">
        <is>
          <t>x̄x̄x̄V̅MMMCCLXV</t>
        </is>
      </c>
      <c r="C38266">
        <f>ROMAN(38265)</f>
        <v/>
      </c>
      <c r="D38266">
        <f>IF(B38266=C38266, "YES", "WRONG")</f>
        <v/>
      </c>
    </row>
    <row r="38267">
      <c r="A38267" t="n">
        <v>38266</v>
      </c>
      <c r="B38267" t="inlineStr">
        <is>
          <t>x̄x̄x̄V̅MMMCCLXVI</t>
        </is>
      </c>
      <c r="C38267">
        <f>ROMAN(38266)</f>
        <v/>
      </c>
      <c r="D38267">
        <f>IF(B38267=C38267, "YES", "WRONG")</f>
        <v/>
      </c>
    </row>
    <row r="38268">
      <c r="A38268" t="n">
        <v>38267</v>
      </c>
      <c r="B38268" t="inlineStr">
        <is>
          <t>x̄x̄x̄V̅MMMCCLXVII</t>
        </is>
      </c>
      <c r="C38268">
        <f>ROMAN(38267)</f>
        <v/>
      </c>
      <c r="D38268">
        <f>IF(B38268=C38268, "YES", "WRONG")</f>
        <v/>
      </c>
    </row>
    <row r="38269">
      <c r="A38269" t="n">
        <v>38268</v>
      </c>
      <c r="B38269" t="inlineStr">
        <is>
          <t>x̄x̄x̄V̅MMMCCLXVIII</t>
        </is>
      </c>
      <c r="C38269">
        <f>ROMAN(38268)</f>
        <v/>
      </c>
      <c r="D38269">
        <f>IF(B38269=C38269, "YES", "WRONG")</f>
        <v/>
      </c>
    </row>
    <row r="38270">
      <c r="A38270" t="n">
        <v>38269</v>
      </c>
      <c r="B38270" t="inlineStr">
        <is>
          <t>x̄x̄x̄V̅MMMCCLXIX</t>
        </is>
      </c>
      <c r="C38270">
        <f>ROMAN(38269)</f>
        <v/>
      </c>
      <c r="D38270">
        <f>IF(B38270=C38270, "YES", "WRONG")</f>
        <v/>
      </c>
    </row>
    <row r="38271">
      <c r="A38271" t="n">
        <v>38270</v>
      </c>
      <c r="B38271" t="inlineStr">
        <is>
          <t>x̄x̄x̄V̅MMMCCLXX</t>
        </is>
      </c>
      <c r="C38271">
        <f>ROMAN(38270)</f>
        <v/>
      </c>
      <c r="D38271">
        <f>IF(B38271=C38271, "YES", "WRONG")</f>
        <v/>
      </c>
    </row>
    <row r="38272">
      <c r="A38272" t="n">
        <v>38271</v>
      </c>
      <c r="B38272" t="inlineStr">
        <is>
          <t>x̄x̄x̄V̅MMMCCLXXI</t>
        </is>
      </c>
      <c r="C38272">
        <f>ROMAN(38271)</f>
        <v/>
      </c>
      <c r="D38272">
        <f>IF(B38272=C38272, "YES", "WRONG")</f>
        <v/>
      </c>
    </row>
    <row r="38273">
      <c r="A38273" t="n">
        <v>38272</v>
      </c>
      <c r="B38273" t="inlineStr">
        <is>
          <t>x̄x̄x̄V̅MMMCCLXXII</t>
        </is>
      </c>
      <c r="C38273">
        <f>ROMAN(38272)</f>
        <v/>
      </c>
      <c r="D38273">
        <f>IF(B38273=C38273, "YES", "WRONG")</f>
        <v/>
      </c>
    </row>
    <row r="38274">
      <c r="A38274" t="n">
        <v>38273</v>
      </c>
      <c r="B38274" t="inlineStr">
        <is>
          <t>x̄x̄x̄V̅MMMCCLXXIII</t>
        </is>
      </c>
      <c r="C38274">
        <f>ROMAN(38273)</f>
        <v/>
      </c>
      <c r="D38274">
        <f>IF(B38274=C38274, "YES", "WRONG")</f>
        <v/>
      </c>
    </row>
    <row r="38275">
      <c r="A38275" t="n">
        <v>38274</v>
      </c>
      <c r="B38275" t="inlineStr">
        <is>
          <t>x̄x̄x̄V̅MMMCCLXXIV</t>
        </is>
      </c>
      <c r="C38275">
        <f>ROMAN(38274)</f>
        <v/>
      </c>
      <c r="D38275">
        <f>IF(B38275=C38275, "YES", "WRONG")</f>
        <v/>
      </c>
    </row>
    <row r="38276">
      <c r="A38276" t="n">
        <v>38275</v>
      </c>
      <c r="B38276" t="inlineStr">
        <is>
          <t>x̄x̄x̄V̅MMMCCLXXV</t>
        </is>
      </c>
      <c r="C38276">
        <f>ROMAN(38275)</f>
        <v/>
      </c>
      <c r="D38276">
        <f>IF(B38276=C38276, "YES", "WRONG")</f>
        <v/>
      </c>
    </row>
    <row r="38277">
      <c r="A38277" t="n">
        <v>38276</v>
      </c>
      <c r="B38277" t="inlineStr">
        <is>
          <t>x̄x̄x̄V̅MMMCCLXXVI</t>
        </is>
      </c>
      <c r="C38277">
        <f>ROMAN(38276)</f>
        <v/>
      </c>
      <c r="D38277">
        <f>IF(B38277=C38277, "YES", "WRONG")</f>
        <v/>
      </c>
    </row>
    <row r="38278">
      <c r="A38278" t="n">
        <v>38277</v>
      </c>
      <c r="B38278" t="inlineStr">
        <is>
          <t>x̄x̄x̄V̅MMMCCLXXVII</t>
        </is>
      </c>
      <c r="C38278">
        <f>ROMAN(38277)</f>
        <v/>
      </c>
      <c r="D38278">
        <f>IF(B38278=C38278, "YES", "WRONG")</f>
        <v/>
      </c>
    </row>
    <row r="38279">
      <c r="A38279" t="n">
        <v>38278</v>
      </c>
      <c r="B38279" t="inlineStr">
        <is>
          <t>x̄x̄x̄V̅MMMCCLXXVIII</t>
        </is>
      </c>
      <c r="C38279">
        <f>ROMAN(38278)</f>
        <v/>
      </c>
      <c r="D38279">
        <f>IF(B38279=C38279, "YES", "WRONG")</f>
        <v/>
      </c>
    </row>
    <row r="38280">
      <c r="A38280" t="n">
        <v>38279</v>
      </c>
      <c r="B38280" t="inlineStr">
        <is>
          <t>x̄x̄x̄V̅MMMCCLXXIX</t>
        </is>
      </c>
      <c r="C38280">
        <f>ROMAN(38279)</f>
        <v/>
      </c>
      <c r="D38280">
        <f>IF(B38280=C38280, "YES", "WRONG")</f>
        <v/>
      </c>
    </row>
    <row r="38281">
      <c r="A38281" t="n">
        <v>38280</v>
      </c>
      <c r="B38281" t="inlineStr">
        <is>
          <t>x̄x̄x̄V̅MMMCCLXXX</t>
        </is>
      </c>
      <c r="C38281">
        <f>ROMAN(38280)</f>
        <v/>
      </c>
      <c r="D38281">
        <f>IF(B38281=C38281, "YES", "WRONG")</f>
        <v/>
      </c>
    </row>
    <row r="38282">
      <c r="A38282" t="n">
        <v>38281</v>
      </c>
      <c r="B38282" t="inlineStr">
        <is>
          <t>x̄x̄x̄V̅MMMCCLXXXI</t>
        </is>
      </c>
      <c r="C38282">
        <f>ROMAN(38281)</f>
        <v/>
      </c>
      <c r="D38282">
        <f>IF(B38282=C38282, "YES", "WRONG")</f>
        <v/>
      </c>
    </row>
    <row r="38283">
      <c r="A38283" t="n">
        <v>38282</v>
      </c>
      <c r="B38283" t="inlineStr">
        <is>
          <t>x̄x̄x̄V̅MMMCCLXXXII</t>
        </is>
      </c>
      <c r="C38283">
        <f>ROMAN(38282)</f>
        <v/>
      </c>
      <c r="D38283">
        <f>IF(B38283=C38283, "YES", "WRONG")</f>
        <v/>
      </c>
    </row>
    <row r="38284">
      <c r="A38284" t="n">
        <v>38283</v>
      </c>
      <c r="B38284" t="inlineStr">
        <is>
          <t>x̄x̄x̄V̅MMMCCLXXXIII</t>
        </is>
      </c>
      <c r="C38284">
        <f>ROMAN(38283)</f>
        <v/>
      </c>
      <c r="D38284">
        <f>IF(B38284=C38284, "YES", "WRONG")</f>
        <v/>
      </c>
    </row>
    <row r="38285">
      <c r="A38285" t="n">
        <v>38284</v>
      </c>
      <c r="B38285" t="inlineStr">
        <is>
          <t>x̄x̄x̄V̅MMMCCLXXXIV</t>
        </is>
      </c>
      <c r="C38285">
        <f>ROMAN(38284)</f>
        <v/>
      </c>
      <c r="D38285">
        <f>IF(B38285=C38285, "YES", "WRONG")</f>
        <v/>
      </c>
    </row>
    <row r="38286">
      <c r="A38286" t="n">
        <v>38285</v>
      </c>
      <c r="B38286" t="inlineStr">
        <is>
          <t>x̄x̄x̄V̅MMMCCLXXXV</t>
        </is>
      </c>
      <c r="C38286">
        <f>ROMAN(38285)</f>
        <v/>
      </c>
      <c r="D38286">
        <f>IF(B38286=C38286, "YES", "WRONG")</f>
        <v/>
      </c>
    </row>
    <row r="38287">
      <c r="A38287" t="n">
        <v>38286</v>
      </c>
      <c r="B38287" t="inlineStr">
        <is>
          <t>x̄x̄x̄V̅MMMCCLXXXVI</t>
        </is>
      </c>
      <c r="C38287">
        <f>ROMAN(38286)</f>
        <v/>
      </c>
      <c r="D38287">
        <f>IF(B38287=C38287, "YES", "WRONG")</f>
        <v/>
      </c>
    </row>
    <row r="38288">
      <c r="A38288" t="n">
        <v>38287</v>
      </c>
      <c r="B38288" t="inlineStr">
        <is>
          <t>x̄x̄x̄V̅MMMCCLXXXVII</t>
        </is>
      </c>
      <c r="C38288">
        <f>ROMAN(38287)</f>
        <v/>
      </c>
      <c r="D38288">
        <f>IF(B38288=C38288, "YES", "WRONG")</f>
        <v/>
      </c>
    </row>
    <row r="38289">
      <c r="A38289" t="n">
        <v>38288</v>
      </c>
      <c r="B38289" t="inlineStr">
        <is>
          <t>x̄x̄x̄V̅MMMCCLXXXVIII</t>
        </is>
      </c>
      <c r="C38289">
        <f>ROMAN(38288)</f>
        <v/>
      </c>
      <c r="D38289">
        <f>IF(B38289=C38289, "YES", "WRONG")</f>
        <v/>
      </c>
    </row>
    <row r="38290">
      <c r="A38290" t="n">
        <v>38289</v>
      </c>
      <c r="B38290" t="inlineStr">
        <is>
          <t>x̄x̄x̄V̅MMMCCLXXXIX</t>
        </is>
      </c>
      <c r="C38290">
        <f>ROMAN(38289)</f>
        <v/>
      </c>
      <c r="D38290">
        <f>IF(B38290=C38290, "YES", "WRONG")</f>
        <v/>
      </c>
    </row>
    <row r="38291">
      <c r="A38291" t="n">
        <v>38290</v>
      </c>
      <c r="B38291" t="inlineStr">
        <is>
          <t>x̄x̄x̄V̅MMMCCXC</t>
        </is>
      </c>
      <c r="C38291">
        <f>ROMAN(38290)</f>
        <v/>
      </c>
      <c r="D38291">
        <f>IF(B38291=C38291, "YES", "WRONG")</f>
        <v/>
      </c>
    </row>
    <row r="38292">
      <c r="A38292" t="n">
        <v>38291</v>
      </c>
      <c r="B38292" t="inlineStr">
        <is>
          <t>x̄x̄x̄V̅MMMCCXCI</t>
        </is>
      </c>
      <c r="C38292">
        <f>ROMAN(38291)</f>
        <v/>
      </c>
      <c r="D38292">
        <f>IF(B38292=C38292, "YES", "WRONG")</f>
        <v/>
      </c>
    </row>
    <row r="38293">
      <c r="A38293" t="n">
        <v>38292</v>
      </c>
      <c r="B38293" t="inlineStr">
        <is>
          <t>x̄x̄x̄V̅MMMCCXCII</t>
        </is>
      </c>
      <c r="C38293">
        <f>ROMAN(38292)</f>
        <v/>
      </c>
      <c r="D38293">
        <f>IF(B38293=C38293, "YES", "WRONG")</f>
        <v/>
      </c>
    </row>
    <row r="38294">
      <c r="A38294" t="n">
        <v>38293</v>
      </c>
      <c r="B38294" t="inlineStr">
        <is>
          <t>x̄x̄x̄V̅MMMCCXCIII</t>
        </is>
      </c>
      <c r="C38294">
        <f>ROMAN(38293)</f>
        <v/>
      </c>
      <c r="D38294">
        <f>IF(B38294=C38294, "YES", "WRONG")</f>
        <v/>
      </c>
    </row>
    <row r="38295">
      <c r="A38295" t="n">
        <v>38294</v>
      </c>
      <c r="B38295" t="inlineStr">
        <is>
          <t>x̄x̄x̄V̅MMMCCXCIV</t>
        </is>
      </c>
      <c r="C38295">
        <f>ROMAN(38294)</f>
        <v/>
      </c>
      <c r="D38295">
        <f>IF(B38295=C38295, "YES", "WRONG")</f>
        <v/>
      </c>
    </row>
    <row r="38296">
      <c r="A38296" t="n">
        <v>38295</v>
      </c>
      <c r="B38296" t="inlineStr">
        <is>
          <t>x̄x̄x̄V̅MMMCCXCV</t>
        </is>
      </c>
      <c r="C38296">
        <f>ROMAN(38295)</f>
        <v/>
      </c>
      <c r="D38296">
        <f>IF(B38296=C38296, "YES", "WRONG")</f>
        <v/>
      </c>
    </row>
    <row r="38297">
      <c r="A38297" t="n">
        <v>38296</v>
      </c>
      <c r="B38297" t="inlineStr">
        <is>
          <t>x̄x̄x̄V̅MMMCCXCVI</t>
        </is>
      </c>
      <c r="C38297">
        <f>ROMAN(38296)</f>
        <v/>
      </c>
      <c r="D38297">
        <f>IF(B38297=C38297, "YES", "WRONG")</f>
        <v/>
      </c>
    </row>
    <row r="38298">
      <c r="A38298" t="n">
        <v>38297</v>
      </c>
      <c r="B38298" t="inlineStr">
        <is>
          <t>x̄x̄x̄V̅MMMCCXCVII</t>
        </is>
      </c>
      <c r="C38298">
        <f>ROMAN(38297)</f>
        <v/>
      </c>
      <c r="D38298">
        <f>IF(B38298=C38298, "YES", "WRONG")</f>
        <v/>
      </c>
    </row>
    <row r="38299">
      <c r="A38299" t="n">
        <v>38298</v>
      </c>
      <c r="B38299" t="inlineStr">
        <is>
          <t>x̄x̄x̄V̅MMMCCXCVIII</t>
        </is>
      </c>
      <c r="C38299">
        <f>ROMAN(38298)</f>
        <v/>
      </c>
      <c r="D38299">
        <f>IF(B38299=C38299, "YES", "WRONG")</f>
        <v/>
      </c>
    </row>
    <row r="38300">
      <c r="A38300" t="n">
        <v>38299</v>
      </c>
      <c r="B38300" t="inlineStr">
        <is>
          <t>x̄x̄x̄V̅MMMCCXCIX</t>
        </is>
      </c>
      <c r="C38300">
        <f>ROMAN(38299)</f>
        <v/>
      </c>
      <c r="D38300">
        <f>IF(B38300=C38300, "YES", "WRONG")</f>
        <v/>
      </c>
    </row>
    <row r="38301">
      <c r="A38301" t="n">
        <v>38300</v>
      </c>
      <c r="B38301" t="inlineStr">
        <is>
          <t>x̄x̄x̄V̅MMMCCC</t>
        </is>
      </c>
      <c r="C38301">
        <f>ROMAN(38300)</f>
        <v/>
      </c>
      <c r="D38301">
        <f>IF(B38301=C38301, "YES", "WRONG")</f>
        <v/>
      </c>
    </row>
    <row r="38302">
      <c r="A38302" t="n">
        <v>38301</v>
      </c>
      <c r="B38302" t="inlineStr">
        <is>
          <t>x̄x̄x̄V̅MMMCCCI</t>
        </is>
      </c>
      <c r="C38302">
        <f>ROMAN(38301)</f>
        <v/>
      </c>
      <c r="D38302">
        <f>IF(B38302=C38302, "YES", "WRONG")</f>
        <v/>
      </c>
    </row>
    <row r="38303">
      <c r="A38303" t="n">
        <v>38302</v>
      </c>
      <c r="B38303" t="inlineStr">
        <is>
          <t>x̄x̄x̄V̅MMMCCCII</t>
        </is>
      </c>
      <c r="C38303">
        <f>ROMAN(38302)</f>
        <v/>
      </c>
      <c r="D38303">
        <f>IF(B38303=C38303, "YES", "WRONG")</f>
        <v/>
      </c>
    </row>
    <row r="38304">
      <c r="A38304" t="n">
        <v>38303</v>
      </c>
      <c r="B38304" t="inlineStr">
        <is>
          <t>x̄x̄x̄V̅MMMCCCIII</t>
        </is>
      </c>
      <c r="C38304">
        <f>ROMAN(38303)</f>
        <v/>
      </c>
      <c r="D38304">
        <f>IF(B38304=C38304, "YES", "WRONG")</f>
        <v/>
      </c>
    </row>
    <row r="38305">
      <c r="A38305" t="n">
        <v>38304</v>
      </c>
      <c r="B38305" t="inlineStr">
        <is>
          <t>x̄x̄x̄V̅MMMCCCIV</t>
        </is>
      </c>
      <c r="C38305">
        <f>ROMAN(38304)</f>
        <v/>
      </c>
      <c r="D38305">
        <f>IF(B38305=C38305, "YES", "WRONG")</f>
        <v/>
      </c>
    </row>
    <row r="38306">
      <c r="A38306" t="n">
        <v>38305</v>
      </c>
      <c r="B38306" t="inlineStr">
        <is>
          <t>x̄x̄x̄V̅MMMCCCV</t>
        </is>
      </c>
      <c r="C38306">
        <f>ROMAN(38305)</f>
        <v/>
      </c>
      <c r="D38306">
        <f>IF(B38306=C38306, "YES", "WRONG")</f>
        <v/>
      </c>
    </row>
    <row r="38307">
      <c r="A38307" t="n">
        <v>38306</v>
      </c>
      <c r="B38307" t="inlineStr">
        <is>
          <t>x̄x̄x̄V̅MMMCCCVI</t>
        </is>
      </c>
      <c r="C38307">
        <f>ROMAN(38306)</f>
        <v/>
      </c>
      <c r="D38307">
        <f>IF(B38307=C38307, "YES", "WRONG")</f>
        <v/>
      </c>
    </row>
    <row r="38308">
      <c r="A38308" t="n">
        <v>38307</v>
      </c>
      <c r="B38308" t="inlineStr">
        <is>
          <t>x̄x̄x̄V̅MMMCCCVII</t>
        </is>
      </c>
      <c r="C38308">
        <f>ROMAN(38307)</f>
        <v/>
      </c>
      <c r="D38308">
        <f>IF(B38308=C38308, "YES", "WRONG")</f>
        <v/>
      </c>
    </row>
    <row r="38309">
      <c r="A38309" t="n">
        <v>38308</v>
      </c>
      <c r="B38309" t="inlineStr">
        <is>
          <t>x̄x̄x̄V̅MMMCCCVIII</t>
        </is>
      </c>
      <c r="C38309">
        <f>ROMAN(38308)</f>
        <v/>
      </c>
      <c r="D38309">
        <f>IF(B38309=C38309, "YES", "WRONG")</f>
        <v/>
      </c>
    </row>
    <row r="38310">
      <c r="A38310" t="n">
        <v>38309</v>
      </c>
      <c r="B38310" t="inlineStr">
        <is>
          <t>x̄x̄x̄V̅MMMCCCIX</t>
        </is>
      </c>
      <c r="C38310">
        <f>ROMAN(38309)</f>
        <v/>
      </c>
      <c r="D38310">
        <f>IF(B38310=C38310, "YES", "WRONG")</f>
        <v/>
      </c>
    </row>
    <row r="38311">
      <c r="A38311" t="n">
        <v>38310</v>
      </c>
      <c r="B38311" t="inlineStr">
        <is>
          <t>x̄x̄x̄V̅MMMCCCX</t>
        </is>
      </c>
      <c r="C38311">
        <f>ROMAN(38310)</f>
        <v/>
      </c>
      <c r="D38311">
        <f>IF(B38311=C38311, "YES", "WRONG")</f>
        <v/>
      </c>
    </row>
    <row r="38312">
      <c r="A38312" t="n">
        <v>38311</v>
      </c>
      <c r="B38312" t="inlineStr">
        <is>
          <t>x̄x̄x̄V̅MMMCCCXI</t>
        </is>
      </c>
      <c r="C38312">
        <f>ROMAN(38311)</f>
        <v/>
      </c>
      <c r="D38312">
        <f>IF(B38312=C38312, "YES", "WRONG")</f>
        <v/>
      </c>
    </row>
    <row r="38313">
      <c r="A38313" t="n">
        <v>38312</v>
      </c>
      <c r="B38313" t="inlineStr">
        <is>
          <t>x̄x̄x̄V̅MMMCCCXII</t>
        </is>
      </c>
      <c r="C38313">
        <f>ROMAN(38312)</f>
        <v/>
      </c>
      <c r="D38313">
        <f>IF(B38313=C38313, "YES", "WRONG")</f>
        <v/>
      </c>
    </row>
    <row r="38314">
      <c r="A38314" t="n">
        <v>38313</v>
      </c>
      <c r="B38314" t="inlineStr">
        <is>
          <t>x̄x̄x̄V̅MMMCCCXIII</t>
        </is>
      </c>
      <c r="C38314">
        <f>ROMAN(38313)</f>
        <v/>
      </c>
      <c r="D38314">
        <f>IF(B38314=C38314, "YES", "WRONG")</f>
        <v/>
      </c>
    </row>
    <row r="38315">
      <c r="A38315" t="n">
        <v>38314</v>
      </c>
      <c r="B38315" t="inlineStr">
        <is>
          <t>x̄x̄x̄V̅MMMCCCXIV</t>
        </is>
      </c>
      <c r="C38315">
        <f>ROMAN(38314)</f>
        <v/>
      </c>
      <c r="D38315">
        <f>IF(B38315=C38315, "YES", "WRONG")</f>
        <v/>
      </c>
    </row>
    <row r="38316">
      <c r="A38316" t="n">
        <v>38315</v>
      </c>
      <c r="B38316" t="inlineStr">
        <is>
          <t>x̄x̄x̄V̅MMMCCCXV</t>
        </is>
      </c>
      <c r="C38316">
        <f>ROMAN(38315)</f>
        <v/>
      </c>
      <c r="D38316">
        <f>IF(B38316=C38316, "YES", "WRONG")</f>
        <v/>
      </c>
    </row>
    <row r="38317">
      <c r="A38317" t="n">
        <v>38316</v>
      </c>
      <c r="B38317" t="inlineStr">
        <is>
          <t>x̄x̄x̄V̅MMMCCCXVI</t>
        </is>
      </c>
      <c r="C38317">
        <f>ROMAN(38316)</f>
        <v/>
      </c>
      <c r="D38317">
        <f>IF(B38317=C38317, "YES", "WRONG")</f>
        <v/>
      </c>
    </row>
    <row r="38318">
      <c r="A38318" t="n">
        <v>38317</v>
      </c>
      <c r="B38318" t="inlineStr">
        <is>
          <t>x̄x̄x̄V̅MMMCCCXVII</t>
        </is>
      </c>
      <c r="C38318">
        <f>ROMAN(38317)</f>
        <v/>
      </c>
      <c r="D38318">
        <f>IF(B38318=C38318, "YES", "WRONG")</f>
        <v/>
      </c>
    </row>
    <row r="38319">
      <c r="A38319" t="n">
        <v>38318</v>
      </c>
      <c r="B38319" t="inlineStr">
        <is>
          <t>x̄x̄x̄V̅MMMCCCXVIII</t>
        </is>
      </c>
      <c r="C38319">
        <f>ROMAN(38318)</f>
        <v/>
      </c>
      <c r="D38319">
        <f>IF(B38319=C38319, "YES", "WRONG")</f>
        <v/>
      </c>
    </row>
    <row r="38320">
      <c r="A38320" t="n">
        <v>38319</v>
      </c>
      <c r="B38320" t="inlineStr">
        <is>
          <t>x̄x̄x̄V̅MMMCCCXIX</t>
        </is>
      </c>
      <c r="C38320">
        <f>ROMAN(38319)</f>
        <v/>
      </c>
      <c r="D38320">
        <f>IF(B38320=C38320, "YES", "WRONG")</f>
        <v/>
      </c>
    </row>
    <row r="38321">
      <c r="A38321" t="n">
        <v>38320</v>
      </c>
      <c r="B38321" t="inlineStr">
        <is>
          <t>x̄x̄x̄V̅MMMCCCXX</t>
        </is>
      </c>
      <c r="C38321">
        <f>ROMAN(38320)</f>
        <v/>
      </c>
      <c r="D38321">
        <f>IF(B38321=C38321, "YES", "WRONG")</f>
        <v/>
      </c>
    </row>
    <row r="38322">
      <c r="A38322" t="n">
        <v>38321</v>
      </c>
      <c r="B38322" t="inlineStr">
        <is>
          <t>x̄x̄x̄V̅MMMCCCXXI</t>
        </is>
      </c>
      <c r="C38322">
        <f>ROMAN(38321)</f>
        <v/>
      </c>
      <c r="D38322">
        <f>IF(B38322=C38322, "YES", "WRONG")</f>
        <v/>
      </c>
    </row>
    <row r="38323">
      <c r="A38323" t="n">
        <v>38322</v>
      </c>
      <c r="B38323" t="inlineStr">
        <is>
          <t>x̄x̄x̄V̅MMMCCCXXII</t>
        </is>
      </c>
      <c r="C38323">
        <f>ROMAN(38322)</f>
        <v/>
      </c>
      <c r="D38323">
        <f>IF(B38323=C38323, "YES", "WRONG")</f>
        <v/>
      </c>
    </row>
    <row r="38324">
      <c r="A38324" t="n">
        <v>38323</v>
      </c>
      <c r="B38324" t="inlineStr">
        <is>
          <t>x̄x̄x̄V̅MMMCCCXXIII</t>
        </is>
      </c>
      <c r="C38324">
        <f>ROMAN(38323)</f>
        <v/>
      </c>
      <c r="D38324">
        <f>IF(B38324=C38324, "YES", "WRONG")</f>
        <v/>
      </c>
    </row>
    <row r="38325">
      <c r="A38325" t="n">
        <v>38324</v>
      </c>
      <c r="B38325" t="inlineStr">
        <is>
          <t>x̄x̄x̄V̅MMMCCCXXIV</t>
        </is>
      </c>
      <c r="C38325">
        <f>ROMAN(38324)</f>
        <v/>
      </c>
      <c r="D38325">
        <f>IF(B38325=C38325, "YES", "WRONG")</f>
        <v/>
      </c>
    </row>
    <row r="38326">
      <c r="A38326" t="n">
        <v>38325</v>
      </c>
      <c r="B38326" t="inlineStr">
        <is>
          <t>x̄x̄x̄V̅MMMCCCXXV</t>
        </is>
      </c>
      <c r="C38326">
        <f>ROMAN(38325)</f>
        <v/>
      </c>
      <c r="D38326">
        <f>IF(B38326=C38326, "YES", "WRONG")</f>
        <v/>
      </c>
    </row>
    <row r="38327">
      <c r="A38327" t="n">
        <v>38326</v>
      </c>
      <c r="B38327" t="inlineStr">
        <is>
          <t>x̄x̄x̄V̅MMMCCCXXVI</t>
        </is>
      </c>
      <c r="C38327">
        <f>ROMAN(38326)</f>
        <v/>
      </c>
      <c r="D38327">
        <f>IF(B38327=C38327, "YES", "WRONG")</f>
        <v/>
      </c>
    </row>
    <row r="38328">
      <c r="A38328" t="n">
        <v>38327</v>
      </c>
      <c r="B38328" t="inlineStr">
        <is>
          <t>x̄x̄x̄V̅MMMCCCXXVII</t>
        </is>
      </c>
      <c r="C38328">
        <f>ROMAN(38327)</f>
        <v/>
      </c>
      <c r="D38328">
        <f>IF(B38328=C38328, "YES", "WRONG")</f>
        <v/>
      </c>
    </row>
    <row r="38329">
      <c r="A38329" t="n">
        <v>38328</v>
      </c>
      <c r="B38329" t="inlineStr">
        <is>
          <t>x̄x̄x̄V̅MMMCCCXXVIII</t>
        </is>
      </c>
      <c r="C38329">
        <f>ROMAN(38328)</f>
        <v/>
      </c>
      <c r="D38329">
        <f>IF(B38329=C38329, "YES", "WRONG")</f>
        <v/>
      </c>
    </row>
    <row r="38330">
      <c r="A38330" t="n">
        <v>38329</v>
      </c>
      <c r="B38330" t="inlineStr">
        <is>
          <t>x̄x̄x̄V̅MMMCCCXXIX</t>
        </is>
      </c>
      <c r="C38330">
        <f>ROMAN(38329)</f>
        <v/>
      </c>
      <c r="D38330">
        <f>IF(B38330=C38330, "YES", "WRONG")</f>
        <v/>
      </c>
    </row>
    <row r="38331">
      <c r="A38331" t="n">
        <v>38330</v>
      </c>
      <c r="B38331" t="inlineStr">
        <is>
          <t>x̄x̄x̄V̅MMMCCCXXX</t>
        </is>
      </c>
      <c r="C38331">
        <f>ROMAN(38330)</f>
        <v/>
      </c>
      <c r="D38331">
        <f>IF(B38331=C38331, "YES", "WRONG")</f>
        <v/>
      </c>
    </row>
    <row r="38332">
      <c r="A38332" t="n">
        <v>38331</v>
      </c>
      <c r="B38332" t="inlineStr">
        <is>
          <t>x̄x̄x̄V̅MMMCCCXXXI</t>
        </is>
      </c>
      <c r="C38332">
        <f>ROMAN(38331)</f>
        <v/>
      </c>
      <c r="D38332">
        <f>IF(B38332=C38332, "YES", "WRONG")</f>
        <v/>
      </c>
    </row>
    <row r="38333">
      <c r="A38333" t="n">
        <v>38332</v>
      </c>
      <c r="B38333" t="inlineStr">
        <is>
          <t>x̄x̄x̄V̅MMMCCCXXXII</t>
        </is>
      </c>
      <c r="C38333">
        <f>ROMAN(38332)</f>
        <v/>
      </c>
      <c r="D38333">
        <f>IF(B38333=C38333, "YES", "WRONG")</f>
        <v/>
      </c>
    </row>
    <row r="38334">
      <c r="A38334" t="n">
        <v>38333</v>
      </c>
      <c r="B38334" t="inlineStr">
        <is>
          <t>x̄x̄x̄V̅MMMCCCXXXIII</t>
        </is>
      </c>
      <c r="C38334">
        <f>ROMAN(38333)</f>
        <v/>
      </c>
      <c r="D38334">
        <f>IF(B38334=C38334, "YES", "WRONG")</f>
        <v/>
      </c>
    </row>
    <row r="38335">
      <c r="A38335" t="n">
        <v>38334</v>
      </c>
      <c r="B38335" t="inlineStr">
        <is>
          <t>x̄x̄x̄V̅MMMCCCXXXIV</t>
        </is>
      </c>
      <c r="C38335">
        <f>ROMAN(38334)</f>
        <v/>
      </c>
      <c r="D38335">
        <f>IF(B38335=C38335, "YES", "WRONG")</f>
        <v/>
      </c>
    </row>
    <row r="38336">
      <c r="A38336" t="n">
        <v>38335</v>
      </c>
      <c r="B38336" t="inlineStr">
        <is>
          <t>x̄x̄x̄V̅MMMCCCXXXV</t>
        </is>
      </c>
      <c r="C38336">
        <f>ROMAN(38335)</f>
        <v/>
      </c>
      <c r="D38336">
        <f>IF(B38336=C38336, "YES", "WRONG")</f>
        <v/>
      </c>
    </row>
    <row r="38337">
      <c r="A38337" t="n">
        <v>38336</v>
      </c>
      <c r="B38337" t="inlineStr">
        <is>
          <t>x̄x̄x̄V̅MMMCCCXXXVI</t>
        </is>
      </c>
      <c r="C38337">
        <f>ROMAN(38336)</f>
        <v/>
      </c>
      <c r="D38337">
        <f>IF(B38337=C38337, "YES", "WRONG")</f>
        <v/>
      </c>
    </row>
    <row r="38338">
      <c r="A38338" t="n">
        <v>38337</v>
      </c>
      <c r="B38338" t="inlineStr">
        <is>
          <t>x̄x̄x̄V̅MMMCCCXXXVII</t>
        </is>
      </c>
      <c r="C38338">
        <f>ROMAN(38337)</f>
        <v/>
      </c>
      <c r="D38338">
        <f>IF(B38338=C38338, "YES", "WRONG")</f>
        <v/>
      </c>
    </row>
    <row r="38339">
      <c r="A38339" t="n">
        <v>38338</v>
      </c>
      <c r="B38339" t="inlineStr">
        <is>
          <t>x̄x̄x̄V̅MMMCCCXXXVIII</t>
        </is>
      </c>
      <c r="C38339">
        <f>ROMAN(38338)</f>
        <v/>
      </c>
      <c r="D38339">
        <f>IF(B38339=C38339, "YES", "WRONG")</f>
        <v/>
      </c>
    </row>
    <row r="38340">
      <c r="A38340" t="n">
        <v>38339</v>
      </c>
      <c r="B38340" t="inlineStr">
        <is>
          <t>x̄x̄x̄V̅MMMCCCXXXIX</t>
        </is>
      </c>
      <c r="C38340">
        <f>ROMAN(38339)</f>
        <v/>
      </c>
      <c r="D38340">
        <f>IF(B38340=C38340, "YES", "WRONG")</f>
        <v/>
      </c>
    </row>
    <row r="38341">
      <c r="A38341" t="n">
        <v>38340</v>
      </c>
      <c r="B38341" t="inlineStr">
        <is>
          <t>x̄x̄x̄V̅MMMCCCXL</t>
        </is>
      </c>
      <c r="C38341">
        <f>ROMAN(38340)</f>
        <v/>
      </c>
      <c r="D38341">
        <f>IF(B38341=C38341, "YES", "WRONG")</f>
        <v/>
      </c>
    </row>
    <row r="38342">
      <c r="A38342" t="n">
        <v>38341</v>
      </c>
      <c r="B38342" t="inlineStr">
        <is>
          <t>x̄x̄x̄V̅MMMCCCXLI</t>
        </is>
      </c>
      <c r="C38342">
        <f>ROMAN(38341)</f>
        <v/>
      </c>
      <c r="D38342">
        <f>IF(B38342=C38342, "YES", "WRONG")</f>
        <v/>
      </c>
    </row>
    <row r="38343">
      <c r="A38343" t="n">
        <v>38342</v>
      </c>
      <c r="B38343" t="inlineStr">
        <is>
          <t>x̄x̄x̄V̅MMMCCCXLII</t>
        </is>
      </c>
      <c r="C38343">
        <f>ROMAN(38342)</f>
        <v/>
      </c>
      <c r="D38343">
        <f>IF(B38343=C38343, "YES", "WRONG")</f>
        <v/>
      </c>
    </row>
    <row r="38344">
      <c r="A38344" t="n">
        <v>38343</v>
      </c>
      <c r="B38344" t="inlineStr">
        <is>
          <t>x̄x̄x̄V̅MMMCCCXLIII</t>
        </is>
      </c>
      <c r="C38344">
        <f>ROMAN(38343)</f>
        <v/>
      </c>
      <c r="D38344">
        <f>IF(B38344=C38344, "YES", "WRONG")</f>
        <v/>
      </c>
    </row>
    <row r="38345">
      <c r="A38345" t="n">
        <v>38344</v>
      </c>
      <c r="B38345" t="inlineStr">
        <is>
          <t>x̄x̄x̄V̅MMMCCCXLIV</t>
        </is>
      </c>
      <c r="C38345">
        <f>ROMAN(38344)</f>
        <v/>
      </c>
      <c r="D38345">
        <f>IF(B38345=C38345, "YES", "WRONG")</f>
        <v/>
      </c>
    </row>
    <row r="38346">
      <c r="A38346" t="n">
        <v>38345</v>
      </c>
      <c r="B38346" t="inlineStr">
        <is>
          <t>x̄x̄x̄V̅MMMCCCXLV</t>
        </is>
      </c>
      <c r="C38346">
        <f>ROMAN(38345)</f>
        <v/>
      </c>
      <c r="D38346">
        <f>IF(B38346=C38346, "YES", "WRONG")</f>
        <v/>
      </c>
    </row>
    <row r="38347">
      <c r="A38347" t="n">
        <v>38346</v>
      </c>
      <c r="B38347" t="inlineStr">
        <is>
          <t>x̄x̄x̄V̅MMMCCCXLVI</t>
        </is>
      </c>
      <c r="C38347">
        <f>ROMAN(38346)</f>
        <v/>
      </c>
      <c r="D38347">
        <f>IF(B38347=C38347, "YES", "WRONG")</f>
        <v/>
      </c>
    </row>
    <row r="38348">
      <c r="A38348" t="n">
        <v>38347</v>
      </c>
      <c r="B38348" t="inlineStr">
        <is>
          <t>x̄x̄x̄V̅MMMCCCXLVII</t>
        </is>
      </c>
      <c r="C38348">
        <f>ROMAN(38347)</f>
        <v/>
      </c>
      <c r="D38348">
        <f>IF(B38348=C38348, "YES", "WRONG")</f>
        <v/>
      </c>
    </row>
    <row r="38349">
      <c r="A38349" t="n">
        <v>38348</v>
      </c>
      <c r="B38349" t="inlineStr">
        <is>
          <t>x̄x̄x̄V̅MMMCCCXLVIII</t>
        </is>
      </c>
      <c r="C38349">
        <f>ROMAN(38348)</f>
        <v/>
      </c>
      <c r="D38349">
        <f>IF(B38349=C38349, "YES", "WRONG")</f>
        <v/>
      </c>
    </row>
    <row r="38350">
      <c r="A38350" t="n">
        <v>38349</v>
      </c>
      <c r="B38350" t="inlineStr">
        <is>
          <t>x̄x̄x̄V̅MMMCCCXLIX</t>
        </is>
      </c>
      <c r="C38350">
        <f>ROMAN(38349)</f>
        <v/>
      </c>
      <c r="D38350">
        <f>IF(B38350=C38350, "YES", "WRONG")</f>
        <v/>
      </c>
    </row>
    <row r="38351">
      <c r="A38351" t="n">
        <v>38350</v>
      </c>
      <c r="B38351" t="inlineStr">
        <is>
          <t>x̄x̄x̄V̅MMMCCCL</t>
        </is>
      </c>
      <c r="C38351">
        <f>ROMAN(38350)</f>
        <v/>
      </c>
      <c r="D38351">
        <f>IF(B38351=C38351, "YES", "WRONG")</f>
        <v/>
      </c>
    </row>
    <row r="38352">
      <c r="A38352" t="n">
        <v>38351</v>
      </c>
      <c r="B38352" t="inlineStr">
        <is>
          <t>x̄x̄x̄V̅MMMCCCLI</t>
        </is>
      </c>
      <c r="C38352">
        <f>ROMAN(38351)</f>
        <v/>
      </c>
      <c r="D38352">
        <f>IF(B38352=C38352, "YES", "WRONG")</f>
        <v/>
      </c>
    </row>
    <row r="38353">
      <c r="A38353" t="n">
        <v>38352</v>
      </c>
      <c r="B38353" t="inlineStr">
        <is>
          <t>x̄x̄x̄V̅MMMCCCLII</t>
        </is>
      </c>
      <c r="C38353">
        <f>ROMAN(38352)</f>
        <v/>
      </c>
      <c r="D38353">
        <f>IF(B38353=C38353, "YES", "WRONG")</f>
        <v/>
      </c>
    </row>
    <row r="38354">
      <c r="A38354" t="n">
        <v>38353</v>
      </c>
      <c r="B38354" t="inlineStr">
        <is>
          <t>x̄x̄x̄V̅MMMCCCLIII</t>
        </is>
      </c>
      <c r="C38354">
        <f>ROMAN(38353)</f>
        <v/>
      </c>
      <c r="D38354">
        <f>IF(B38354=C38354, "YES", "WRONG")</f>
        <v/>
      </c>
    </row>
    <row r="38355">
      <c r="A38355" t="n">
        <v>38354</v>
      </c>
      <c r="B38355" t="inlineStr">
        <is>
          <t>x̄x̄x̄V̅MMMCCCLIV</t>
        </is>
      </c>
      <c r="C38355">
        <f>ROMAN(38354)</f>
        <v/>
      </c>
      <c r="D38355">
        <f>IF(B38355=C38355, "YES", "WRONG")</f>
        <v/>
      </c>
    </row>
    <row r="38356">
      <c r="A38356" t="n">
        <v>38355</v>
      </c>
      <c r="B38356" t="inlineStr">
        <is>
          <t>x̄x̄x̄V̅MMMCCCLV</t>
        </is>
      </c>
      <c r="C38356">
        <f>ROMAN(38355)</f>
        <v/>
      </c>
      <c r="D38356">
        <f>IF(B38356=C38356, "YES", "WRONG")</f>
        <v/>
      </c>
    </row>
    <row r="38357">
      <c r="A38357" t="n">
        <v>38356</v>
      </c>
      <c r="B38357" t="inlineStr">
        <is>
          <t>x̄x̄x̄V̅MMMCCCLVI</t>
        </is>
      </c>
      <c r="C38357">
        <f>ROMAN(38356)</f>
        <v/>
      </c>
      <c r="D38357">
        <f>IF(B38357=C38357, "YES", "WRONG")</f>
        <v/>
      </c>
    </row>
    <row r="38358">
      <c r="A38358" t="n">
        <v>38357</v>
      </c>
      <c r="B38358" t="inlineStr">
        <is>
          <t>x̄x̄x̄V̅MMMCCCLVII</t>
        </is>
      </c>
      <c r="C38358">
        <f>ROMAN(38357)</f>
        <v/>
      </c>
      <c r="D38358">
        <f>IF(B38358=C38358, "YES", "WRONG")</f>
        <v/>
      </c>
    </row>
    <row r="38359">
      <c r="A38359" t="n">
        <v>38358</v>
      </c>
      <c r="B38359" t="inlineStr">
        <is>
          <t>x̄x̄x̄V̅MMMCCCLVIII</t>
        </is>
      </c>
      <c r="C38359">
        <f>ROMAN(38358)</f>
        <v/>
      </c>
      <c r="D38359">
        <f>IF(B38359=C38359, "YES", "WRONG")</f>
        <v/>
      </c>
    </row>
    <row r="38360">
      <c r="A38360" t="n">
        <v>38359</v>
      </c>
      <c r="B38360" t="inlineStr">
        <is>
          <t>x̄x̄x̄V̅MMMCCCLIX</t>
        </is>
      </c>
      <c r="C38360">
        <f>ROMAN(38359)</f>
        <v/>
      </c>
      <c r="D38360">
        <f>IF(B38360=C38360, "YES", "WRONG")</f>
        <v/>
      </c>
    </row>
    <row r="38361">
      <c r="A38361" t="n">
        <v>38360</v>
      </c>
      <c r="B38361" t="inlineStr">
        <is>
          <t>x̄x̄x̄V̅MMMCCCLX</t>
        </is>
      </c>
      <c r="C38361">
        <f>ROMAN(38360)</f>
        <v/>
      </c>
      <c r="D38361">
        <f>IF(B38361=C38361, "YES", "WRONG")</f>
        <v/>
      </c>
    </row>
    <row r="38362">
      <c r="A38362" t="n">
        <v>38361</v>
      </c>
      <c r="B38362" t="inlineStr">
        <is>
          <t>x̄x̄x̄V̅MMMCCCLXI</t>
        </is>
      </c>
      <c r="C38362">
        <f>ROMAN(38361)</f>
        <v/>
      </c>
      <c r="D38362">
        <f>IF(B38362=C38362, "YES", "WRONG")</f>
        <v/>
      </c>
    </row>
    <row r="38363">
      <c r="A38363" t="n">
        <v>38362</v>
      </c>
      <c r="B38363" t="inlineStr">
        <is>
          <t>x̄x̄x̄V̅MMMCCCLXII</t>
        </is>
      </c>
      <c r="C38363">
        <f>ROMAN(38362)</f>
        <v/>
      </c>
      <c r="D38363">
        <f>IF(B38363=C38363, "YES", "WRONG")</f>
        <v/>
      </c>
    </row>
    <row r="38364">
      <c r="A38364" t="n">
        <v>38363</v>
      </c>
      <c r="B38364" t="inlineStr">
        <is>
          <t>x̄x̄x̄V̅MMMCCCLXIII</t>
        </is>
      </c>
      <c r="C38364">
        <f>ROMAN(38363)</f>
        <v/>
      </c>
      <c r="D38364">
        <f>IF(B38364=C38364, "YES", "WRONG")</f>
        <v/>
      </c>
    </row>
    <row r="38365">
      <c r="A38365" t="n">
        <v>38364</v>
      </c>
      <c r="B38365" t="inlineStr">
        <is>
          <t>x̄x̄x̄V̅MMMCCCLXIV</t>
        </is>
      </c>
      <c r="C38365">
        <f>ROMAN(38364)</f>
        <v/>
      </c>
      <c r="D38365">
        <f>IF(B38365=C38365, "YES", "WRONG")</f>
        <v/>
      </c>
    </row>
    <row r="38366">
      <c r="A38366" t="n">
        <v>38365</v>
      </c>
      <c r="B38366" t="inlineStr">
        <is>
          <t>x̄x̄x̄V̅MMMCCCLXV</t>
        </is>
      </c>
      <c r="C38366">
        <f>ROMAN(38365)</f>
        <v/>
      </c>
      <c r="D38366">
        <f>IF(B38366=C38366, "YES", "WRONG")</f>
        <v/>
      </c>
    </row>
    <row r="38367">
      <c r="A38367" t="n">
        <v>38366</v>
      </c>
      <c r="B38367" t="inlineStr">
        <is>
          <t>x̄x̄x̄V̅MMMCCCLXVI</t>
        </is>
      </c>
      <c r="C38367">
        <f>ROMAN(38366)</f>
        <v/>
      </c>
      <c r="D38367">
        <f>IF(B38367=C38367, "YES", "WRONG")</f>
        <v/>
      </c>
    </row>
    <row r="38368">
      <c r="A38368" t="n">
        <v>38367</v>
      </c>
      <c r="B38368" t="inlineStr">
        <is>
          <t>x̄x̄x̄V̅MMMCCCLXVII</t>
        </is>
      </c>
      <c r="C38368">
        <f>ROMAN(38367)</f>
        <v/>
      </c>
      <c r="D38368">
        <f>IF(B38368=C38368, "YES", "WRONG")</f>
        <v/>
      </c>
    </row>
    <row r="38369">
      <c r="A38369" t="n">
        <v>38368</v>
      </c>
      <c r="B38369" t="inlineStr">
        <is>
          <t>x̄x̄x̄V̅MMMCCCLXVIII</t>
        </is>
      </c>
      <c r="C38369">
        <f>ROMAN(38368)</f>
        <v/>
      </c>
      <c r="D38369">
        <f>IF(B38369=C38369, "YES", "WRONG")</f>
        <v/>
      </c>
    </row>
    <row r="38370">
      <c r="A38370" t="n">
        <v>38369</v>
      </c>
      <c r="B38370" t="inlineStr">
        <is>
          <t>x̄x̄x̄V̅MMMCCCLXIX</t>
        </is>
      </c>
      <c r="C38370">
        <f>ROMAN(38369)</f>
        <v/>
      </c>
      <c r="D38370">
        <f>IF(B38370=C38370, "YES", "WRONG")</f>
        <v/>
      </c>
    </row>
    <row r="38371">
      <c r="A38371" t="n">
        <v>38370</v>
      </c>
      <c r="B38371" t="inlineStr">
        <is>
          <t>x̄x̄x̄V̅MMMCCCLXX</t>
        </is>
      </c>
      <c r="C38371">
        <f>ROMAN(38370)</f>
        <v/>
      </c>
      <c r="D38371">
        <f>IF(B38371=C38371, "YES", "WRONG")</f>
        <v/>
      </c>
    </row>
    <row r="38372">
      <c r="A38372" t="n">
        <v>38371</v>
      </c>
      <c r="B38372" t="inlineStr">
        <is>
          <t>x̄x̄x̄V̅MMMCCCLXXI</t>
        </is>
      </c>
      <c r="C38372">
        <f>ROMAN(38371)</f>
        <v/>
      </c>
      <c r="D38372">
        <f>IF(B38372=C38372, "YES", "WRONG")</f>
        <v/>
      </c>
    </row>
    <row r="38373">
      <c r="A38373" t="n">
        <v>38372</v>
      </c>
      <c r="B38373" t="inlineStr">
        <is>
          <t>x̄x̄x̄V̅MMMCCCLXXII</t>
        </is>
      </c>
      <c r="C38373">
        <f>ROMAN(38372)</f>
        <v/>
      </c>
      <c r="D38373">
        <f>IF(B38373=C38373, "YES", "WRONG")</f>
        <v/>
      </c>
    </row>
    <row r="38374">
      <c r="A38374" t="n">
        <v>38373</v>
      </c>
      <c r="B38374" t="inlineStr">
        <is>
          <t>x̄x̄x̄V̅MMMCCCLXXIII</t>
        </is>
      </c>
      <c r="C38374">
        <f>ROMAN(38373)</f>
        <v/>
      </c>
      <c r="D38374">
        <f>IF(B38374=C38374, "YES", "WRONG")</f>
        <v/>
      </c>
    </row>
    <row r="38375">
      <c r="A38375" t="n">
        <v>38374</v>
      </c>
      <c r="B38375" t="inlineStr">
        <is>
          <t>x̄x̄x̄V̅MMMCCCLXXIV</t>
        </is>
      </c>
      <c r="C38375">
        <f>ROMAN(38374)</f>
        <v/>
      </c>
      <c r="D38375">
        <f>IF(B38375=C38375, "YES", "WRONG")</f>
        <v/>
      </c>
    </row>
    <row r="38376">
      <c r="A38376" t="n">
        <v>38375</v>
      </c>
      <c r="B38376" t="inlineStr">
        <is>
          <t>x̄x̄x̄V̅MMMCCCLXXV</t>
        </is>
      </c>
      <c r="C38376">
        <f>ROMAN(38375)</f>
        <v/>
      </c>
      <c r="D38376">
        <f>IF(B38376=C38376, "YES", "WRONG")</f>
        <v/>
      </c>
    </row>
    <row r="38377">
      <c r="A38377" t="n">
        <v>38376</v>
      </c>
      <c r="B38377" t="inlineStr">
        <is>
          <t>x̄x̄x̄V̅MMMCCCLXXVI</t>
        </is>
      </c>
      <c r="C38377">
        <f>ROMAN(38376)</f>
        <v/>
      </c>
      <c r="D38377">
        <f>IF(B38377=C38377, "YES", "WRONG")</f>
        <v/>
      </c>
    </row>
    <row r="38378">
      <c r="A38378" t="n">
        <v>38377</v>
      </c>
      <c r="B38378" t="inlineStr">
        <is>
          <t>x̄x̄x̄V̅MMMCCCLXXVII</t>
        </is>
      </c>
      <c r="C38378">
        <f>ROMAN(38377)</f>
        <v/>
      </c>
      <c r="D38378">
        <f>IF(B38378=C38378, "YES", "WRONG")</f>
        <v/>
      </c>
    </row>
    <row r="38379">
      <c r="A38379" t="n">
        <v>38378</v>
      </c>
      <c r="B38379" t="inlineStr">
        <is>
          <t>x̄x̄x̄V̅MMMCCCLXXVIII</t>
        </is>
      </c>
      <c r="C38379">
        <f>ROMAN(38378)</f>
        <v/>
      </c>
      <c r="D38379">
        <f>IF(B38379=C38379, "YES", "WRONG")</f>
        <v/>
      </c>
    </row>
    <row r="38380">
      <c r="A38380" t="n">
        <v>38379</v>
      </c>
      <c r="B38380" t="inlineStr">
        <is>
          <t>x̄x̄x̄V̅MMMCCCLXXIX</t>
        </is>
      </c>
      <c r="C38380">
        <f>ROMAN(38379)</f>
        <v/>
      </c>
      <c r="D38380">
        <f>IF(B38380=C38380, "YES", "WRONG")</f>
        <v/>
      </c>
    </row>
    <row r="38381">
      <c r="A38381" t="n">
        <v>38380</v>
      </c>
      <c r="B38381" t="inlineStr">
        <is>
          <t>x̄x̄x̄V̅MMMCCCLXXX</t>
        </is>
      </c>
      <c r="C38381">
        <f>ROMAN(38380)</f>
        <v/>
      </c>
      <c r="D38381">
        <f>IF(B38381=C38381, "YES", "WRONG")</f>
        <v/>
      </c>
    </row>
    <row r="38382">
      <c r="A38382" t="n">
        <v>38381</v>
      </c>
      <c r="B38382" t="inlineStr">
        <is>
          <t>x̄x̄x̄V̅MMMCCCLXXXI</t>
        </is>
      </c>
      <c r="C38382">
        <f>ROMAN(38381)</f>
        <v/>
      </c>
      <c r="D38382">
        <f>IF(B38382=C38382, "YES", "WRONG")</f>
        <v/>
      </c>
    </row>
    <row r="38383">
      <c r="A38383" t="n">
        <v>38382</v>
      </c>
      <c r="B38383" t="inlineStr">
        <is>
          <t>x̄x̄x̄V̅MMMCCCLXXXII</t>
        </is>
      </c>
      <c r="C38383">
        <f>ROMAN(38382)</f>
        <v/>
      </c>
      <c r="D38383">
        <f>IF(B38383=C38383, "YES", "WRONG")</f>
        <v/>
      </c>
    </row>
    <row r="38384">
      <c r="A38384" t="n">
        <v>38383</v>
      </c>
      <c r="B38384" t="inlineStr">
        <is>
          <t>x̄x̄x̄V̅MMMCCCLXXXIII</t>
        </is>
      </c>
      <c r="C38384">
        <f>ROMAN(38383)</f>
        <v/>
      </c>
      <c r="D38384">
        <f>IF(B38384=C38384, "YES", "WRONG")</f>
        <v/>
      </c>
    </row>
    <row r="38385">
      <c r="A38385" t="n">
        <v>38384</v>
      </c>
      <c r="B38385" t="inlineStr">
        <is>
          <t>x̄x̄x̄V̅MMMCCCLXXXIV</t>
        </is>
      </c>
      <c r="C38385">
        <f>ROMAN(38384)</f>
        <v/>
      </c>
      <c r="D38385">
        <f>IF(B38385=C38385, "YES", "WRONG")</f>
        <v/>
      </c>
    </row>
    <row r="38386">
      <c r="A38386" t="n">
        <v>38385</v>
      </c>
      <c r="B38386" t="inlineStr">
        <is>
          <t>x̄x̄x̄V̅MMMCCCLXXXV</t>
        </is>
      </c>
      <c r="C38386">
        <f>ROMAN(38385)</f>
        <v/>
      </c>
      <c r="D38386">
        <f>IF(B38386=C38386, "YES", "WRONG")</f>
        <v/>
      </c>
    </row>
    <row r="38387">
      <c r="A38387" t="n">
        <v>38386</v>
      </c>
      <c r="B38387" t="inlineStr">
        <is>
          <t>x̄x̄x̄V̅MMMCCCLXXXVI</t>
        </is>
      </c>
      <c r="C38387">
        <f>ROMAN(38386)</f>
        <v/>
      </c>
      <c r="D38387">
        <f>IF(B38387=C38387, "YES", "WRONG")</f>
        <v/>
      </c>
    </row>
    <row r="38388">
      <c r="A38388" t="n">
        <v>38387</v>
      </c>
      <c r="B38388" t="inlineStr">
        <is>
          <t>x̄x̄x̄V̅MMMCCCLXXXVII</t>
        </is>
      </c>
      <c r="C38388">
        <f>ROMAN(38387)</f>
        <v/>
      </c>
      <c r="D38388">
        <f>IF(B38388=C38388, "YES", "WRONG")</f>
        <v/>
      </c>
    </row>
    <row r="38389">
      <c r="A38389" t="n">
        <v>38388</v>
      </c>
      <c r="B38389" t="inlineStr">
        <is>
          <t>x̄x̄x̄V̅MMMCCCLXXXVIII</t>
        </is>
      </c>
      <c r="C38389">
        <f>ROMAN(38388)</f>
        <v/>
      </c>
      <c r="D38389">
        <f>IF(B38389=C38389, "YES", "WRONG")</f>
        <v/>
      </c>
    </row>
    <row r="38390">
      <c r="A38390" t="n">
        <v>38389</v>
      </c>
      <c r="B38390" t="inlineStr">
        <is>
          <t>x̄x̄x̄V̅MMMCCCLXXXIX</t>
        </is>
      </c>
      <c r="C38390">
        <f>ROMAN(38389)</f>
        <v/>
      </c>
      <c r="D38390">
        <f>IF(B38390=C38390, "YES", "WRONG")</f>
        <v/>
      </c>
    </row>
    <row r="38391">
      <c r="A38391" t="n">
        <v>38390</v>
      </c>
      <c r="B38391" t="inlineStr">
        <is>
          <t>x̄x̄x̄V̅MMMCCCXC</t>
        </is>
      </c>
      <c r="C38391">
        <f>ROMAN(38390)</f>
        <v/>
      </c>
      <c r="D38391">
        <f>IF(B38391=C38391, "YES", "WRONG")</f>
        <v/>
      </c>
    </row>
    <row r="38392">
      <c r="A38392" t="n">
        <v>38391</v>
      </c>
      <c r="B38392" t="inlineStr">
        <is>
          <t>x̄x̄x̄V̅MMMCCCXCI</t>
        </is>
      </c>
      <c r="C38392">
        <f>ROMAN(38391)</f>
        <v/>
      </c>
      <c r="D38392">
        <f>IF(B38392=C38392, "YES", "WRONG")</f>
        <v/>
      </c>
    </row>
    <row r="38393">
      <c r="A38393" t="n">
        <v>38392</v>
      </c>
      <c r="B38393" t="inlineStr">
        <is>
          <t>x̄x̄x̄V̅MMMCCCXCII</t>
        </is>
      </c>
      <c r="C38393">
        <f>ROMAN(38392)</f>
        <v/>
      </c>
      <c r="D38393">
        <f>IF(B38393=C38393, "YES", "WRONG")</f>
        <v/>
      </c>
    </row>
    <row r="38394">
      <c r="A38394" t="n">
        <v>38393</v>
      </c>
      <c r="B38394" t="inlineStr">
        <is>
          <t>x̄x̄x̄V̅MMMCCCXCIII</t>
        </is>
      </c>
      <c r="C38394">
        <f>ROMAN(38393)</f>
        <v/>
      </c>
      <c r="D38394">
        <f>IF(B38394=C38394, "YES", "WRONG")</f>
        <v/>
      </c>
    </row>
    <row r="38395">
      <c r="A38395" t="n">
        <v>38394</v>
      </c>
      <c r="B38395" t="inlineStr">
        <is>
          <t>x̄x̄x̄V̅MMMCCCXCIV</t>
        </is>
      </c>
      <c r="C38395">
        <f>ROMAN(38394)</f>
        <v/>
      </c>
      <c r="D38395">
        <f>IF(B38395=C38395, "YES", "WRONG")</f>
        <v/>
      </c>
    </row>
    <row r="38396">
      <c r="A38396" t="n">
        <v>38395</v>
      </c>
      <c r="B38396" t="inlineStr">
        <is>
          <t>x̄x̄x̄V̅MMMCCCXCV</t>
        </is>
      </c>
      <c r="C38396">
        <f>ROMAN(38395)</f>
        <v/>
      </c>
      <c r="D38396">
        <f>IF(B38396=C38396, "YES", "WRONG")</f>
        <v/>
      </c>
    </row>
    <row r="38397">
      <c r="A38397" t="n">
        <v>38396</v>
      </c>
      <c r="B38397" t="inlineStr">
        <is>
          <t>x̄x̄x̄V̅MMMCCCXCVI</t>
        </is>
      </c>
      <c r="C38397">
        <f>ROMAN(38396)</f>
        <v/>
      </c>
      <c r="D38397">
        <f>IF(B38397=C38397, "YES", "WRONG")</f>
        <v/>
      </c>
    </row>
    <row r="38398">
      <c r="A38398" t="n">
        <v>38397</v>
      </c>
      <c r="B38398" t="inlineStr">
        <is>
          <t>x̄x̄x̄V̅MMMCCCXCVII</t>
        </is>
      </c>
      <c r="C38398">
        <f>ROMAN(38397)</f>
        <v/>
      </c>
      <c r="D38398">
        <f>IF(B38398=C38398, "YES", "WRONG")</f>
        <v/>
      </c>
    </row>
    <row r="38399">
      <c r="A38399" t="n">
        <v>38398</v>
      </c>
      <c r="B38399" t="inlineStr">
        <is>
          <t>x̄x̄x̄V̅MMMCCCXCVIII</t>
        </is>
      </c>
      <c r="C38399">
        <f>ROMAN(38398)</f>
        <v/>
      </c>
      <c r="D38399">
        <f>IF(B38399=C38399, "YES", "WRONG")</f>
        <v/>
      </c>
    </row>
    <row r="38400">
      <c r="A38400" t="n">
        <v>38399</v>
      </c>
      <c r="B38400" t="inlineStr">
        <is>
          <t>x̄x̄x̄V̅MMMCCCXCIX</t>
        </is>
      </c>
      <c r="C38400">
        <f>ROMAN(38399)</f>
        <v/>
      </c>
      <c r="D38400">
        <f>IF(B38400=C38400, "YES", "WRONG")</f>
        <v/>
      </c>
    </row>
    <row r="38401">
      <c r="A38401" t="n">
        <v>38400</v>
      </c>
      <c r="B38401" t="inlineStr">
        <is>
          <t>x̄x̄x̄V̅MMMCD</t>
        </is>
      </c>
      <c r="C38401">
        <f>ROMAN(38400)</f>
        <v/>
      </c>
      <c r="D38401">
        <f>IF(B38401=C38401, "YES", "WRONG")</f>
        <v/>
      </c>
    </row>
    <row r="38402">
      <c r="A38402" t="n">
        <v>38401</v>
      </c>
      <c r="B38402" t="inlineStr">
        <is>
          <t>x̄x̄x̄V̅MMMCDI</t>
        </is>
      </c>
      <c r="C38402">
        <f>ROMAN(38401)</f>
        <v/>
      </c>
      <c r="D38402">
        <f>IF(B38402=C38402, "YES", "WRONG")</f>
        <v/>
      </c>
    </row>
    <row r="38403">
      <c r="A38403" t="n">
        <v>38402</v>
      </c>
      <c r="B38403" t="inlineStr">
        <is>
          <t>x̄x̄x̄V̅MMMCDII</t>
        </is>
      </c>
      <c r="C38403">
        <f>ROMAN(38402)</f>
        <v/>
      </c>
      <c r="D38403">
        <f>IF(B38403=C38403, "YES", "WRONG")</f>
        <v/>
      </c>
    </row>
    <row r="38404">
      <c r="A38404" t="n">
        <v>38403</v>
      </c>
      <c r="B38404" t="inlineStr">
        <is>
          <t>x̄x̄x̄V̅MMMCDIII</t>
        </is>
      </c>
      <c r="C38404">
        <f>ROMAN(38403)</f>
        <v/>
      </c>
      <c r="D38404">
        <f>IF(B38404=C38404, "YES", "WRONG")</f>
        <v/>
      </c>
    </row>
    <row r="38405">
      <c r="A38405" t="n">
        <v>38404</v>
      </c>
      <c r="B38405" t="inlineStr">
        <is>
          <t>x̄x̄x̄V̅MMMCDIV</t>
        </is>
      </c>
      <c r="C38405">
        <f>ROMAN(38404)</f>
        <v/>
      </c>
      <c r="D38405">
        <f>IF(B38405=C38405, "YES", "WRONG")</f>
        <v/>
      </c>
    </row>
    <row r="38406">
      <c r="A38406" t="n">
        <v>38405</v>
      </c>
      <c r="B38406" t="inlineStr">
        <is>
          <t>x̄x̄x̄V̅MMMCDV</t>
        </is>
      </c>
      <c r="C38406">
        <f>ROMAN(38405)</f>
        <v/>
      </c>
      <c r="D38406">
        <f>IF(B38406=C38406, "YES", "WRONG")</f>
        <v/>
      </c>
    </row>
    <row r="38407">
      <c r="A38407" t="n">
        <v>38406</v>
      </c>
      <c r="B38407" t="inlineStr">
        <is>
          <t>x̄x̄x̄V̅MMMCDVI</t>
        </is>
      </c>
      <c r="C38407">
        <f>ROMAN(38406)</f>
        <v/>
      </c>
      <c r="D38407">
        <f>IF(B38407=C38407, "YES", "WRONG")</f>
        <v/>
      </c>
    </row>
    <row r="38408">
      <c r="A38408" t="n">
        <v>38407</v>
      </c>
      <c r="B38408" t="inlineStr">
        <is>
          <t>x̄x̄x̄V̅MMMCDVII</t>
        </is>
      </c>
      <c r="C38408">
        <f>ROMAN(38407)</f>
        <v/>
      </c>
      <c r="D38408">
        <f>IF(B38408=C38408, "YES", "WRONG")</f>
        <v/>
      </c>
    </row>
    <row r="38409">
      <c r="A38409" t="n">
        <v>38408</v>
      </c>
      <c r="B38409" t="inlineStr">
        <is>
          <t>x̄x̄x̄V̅MMMCDVIII</t>
        </is>
      </c>
      <c r="C38409">
        <f>ROMAN(38408)</f>
        <v/>
      </c>
      <c r="D38409">
        <f>IF(B38409=C38409, "YES", "WRONG")</f>
        <v/>
      </c>
    </row>
    <row r="38410">
      <c r="A38410" t="n">
        <v>38409</v>
      </c>
      <c r="B38410" t="inlineStr">
        <is>
          <t>x̄x̄x̄V̅MMMCDIX</t>
        </is>
      </c>
      <c r="C38410">
        <f>ROMAN(38409)</f>
        <v/>
      </c>
      <c r="D38410">
        <f>IF(B38410=C38410, "YES", "WRONG")</f>
        <v/>
      </c>
    </row>
    <row r="38411">
      <c r="A38411" t="n">
        <v>38410</v>
      </c>
      <c r="B38411" t="inlineStr">
        <is>
          <t>x̄x̄x̄V̅MMMCDX</t>
        </is>
      </c>
      <c r="C38411">
        <f>ROMAN(38410)</f>
        <v/>
      </c>
      <c r="D38411">
        <f>IF(B38411=C38411, "YES", "WRONG")</f>
        <v/>
      </c>
    </row>
    <row r="38412">
      <c r="A38412" t="n">
        <v>38411</v>
      </c>
      <c r="B38412" t="inlineStr">
        <is>
          <t>x̄x̄x̄V̅MMMCDXI</t>
        </is>
      </c>
      <c r="C38412">
        <f>ROMAN(38411)</f>
        <v/>
      </c>
      <c r="D38412">
        <f>IF(B38412=C38412, "YES", "WRONG")</f>
        <v/>
      </c>
    </row>
    <row r="38413">
      <c r="A38413" t="n">
        <v>38412</v>
      </c>
      <c r="B38413" t="inlineStr">
        <is>
          <t>x̄x̄x̄V̅MMMCDXII</t>
        </is>
      </c>
      <c r="C38413">
        <f>ROMAN(38412)</f>
        <v/>
      </c>
      <c r="D38413">
        <f>IF(B38413=C38413, "YES", "WRONG")</f>
        <v/>
      </c>
    </row>
    <row r="38414">
      <c r="A38414" t="n">
        <v>38413</v>
      </c>
      <c r="B38414" t="inlineStr">
        <is>
          <t>x̄x̄x̄V̅MMMCDXIII</t>
        </is>
      </c>
      <c r="C38414">
        <f>ROMAN(38413)</f>
        <v/>
      </c>
      <c r="D38414">
        <f>IF(B38414=C38414, "YES", "WRONG")</f>
        <v/>
      </c>
    </row>
    <row r="38415">
      <c r="A38415" t="n">
        <v>38414</v>
      </c>
      <c r="B38415" t="inlineStr">
        <is>
          <t>x̄x̄x̄V̅MMMCDXIV</t>
        </is>
      </c>
      <c r="C38415">
        <f>ROMAN(38414)</f>
        <v/>
      </c>
      <c r="D38415">
        <f>IF(B38415=C38415, "YES", "WRONG")</f>
        <v/>
      </c>
    </row>
    <row r="38416">
      <c r="A38416" t="n">
        <v>38415</v>
      </c>
      <c r="B38416" t="inlineStr">
        <is>
          <t>x̄x̄x̄V̅MMMCDXV</t>
        </is>
      </c>
      <c r="C38416">
        <f>ROMAN(38415)</f>
        <v/>
      </c>
      <c r="D38416">
        <f>IF(B38416=C38416, "YES", "WRONG")</f>
        <v/>
      </c>
    </row>
    <row r="38417">
      <c r="A38417" t="n">
        <v>38416</v>
      </c>
      <c r="B38417" t="inlineStr">
        <is>
          <t>x̄x̄x̄V̅MMMCDXVI</t>
        </is>
      </c>
      <c r="C38417">
        <f>ROMAN(38416)</f>
        <v/>
      </c>
      <c r="D38417">
        <f>IF(B38417=C38417, "YES", "WRONG")</f>
        <v/>
      </c>
    </row>
    <row r="38418">
      <c r="A38418" t="n">
        <v>38417</v>
      </c>
      <c r="B38418" t="inlineStr">
        <is>
          <t>x̄x̄x̄V̅MMMCDXVII</t>
        </is>
      </c>
      <c r="C38418">
        <f>ROMAN(38417)</f>
        <v/>
      </c>
      <c r="D38418">
        <f>IF(B38418=C38418, "YES", "WRONG")</f>
        <v/>
      </c>
    </row>
    <row r="38419">
      <c r="A38419" t="n">
        <v>38418</v>
      </c>
      <c r="B38419" t="inlineStr">
        <is>
          <t>x̄x̄x̄V̅MMMCDXVIII</t>
        </is>
      </c>
      <c r="C38419">
        <f>ROMAN(38418)</f>
        <v/>
      </c>
      <c r="D38419">
        <f>IF(B38419=C38419, "YES", "WRONG")</f>
        <v/>
      </c>
    </row>
    <row r="38420">
      <c r="A38420" t="n">
        <v>38419</v>
      </c>
      <c r="B38420" t="inlineStr">
        <is>
          <t>x̄x̄x̄V̅MMMCDXIX</t>
        </is>
      </c>
      <c r="C38420">
        <f>ROMAN(38419)</f>
        <v/>
      </c>
      <c r="D38420">
        <f>IF(B38420=C38420, "YES", "WRONG")</f>
        <v/>
      </c>
    </row>
    <row r="38421">
      <c r="A38421" t="n">
        <v>38420</v>
      </c>
      <c r="B38421" t="inlineStr">
        <is>
          <t>x̄x̄x̄V̅MMMCDXX</t>
        </is>
      </c>
      <c r="C38421">
        <f>ROMAN(38420)</f>
        <v/>
      </c>
      <c r="D38421">
        <f>IF(B38421=C38421, "YES", "WRONG")</f>
        <v/>
      </c>
    </row>
    <row r="38422">
      <c r="A38422" t="n">
        <v>38421</v>
      </c>
      <c r="B38422" t="inlineStr">
        <is>
          <t>x̄x̄x̄V̅MMMCDXXI</t>
        </is>
      </c>
      <c r="C38422">
        <f>ROMAN(38421)</f>
        <v/>
      </c>
      <c r="D38422">
        <f>IF(B38422=C38422, "YES", "WRONG")</f>
        <v/>
      </c>
    </row>
    <row r="38423">
      <c r="A38423" t="n">
        <v>38422</v>
      </c>
      <c r="B38423" t="inlineStr">
        <is>
          <t>x̄x̄x̄V̅MMMCDXXII</t>
        </is>
      </c>
      <c r="C38423">
        <f>ROMAN(38422)</f>
        <v/>
      </c>
      <c r="D38423">
        <f>IF(B38423=C38423, "YES", "WRONG")</f>
        <v/>
      </c>
    </row>
    <row r="38424">
      <c r="A38424" t="n">
        <v>38423</v>
      </c>
      <c r="B38424" t="inlineStr">
        <is>
          <t>x̄x̄x̄V̅MMMCDXXIII</t>
        </is>
      </c>
      <c r="C38424">
        <f>ROMAN(38423)</f>
        <v/>
      </c>
      <c r="D38424">
        <f>IF(B38424=C38424, "YES", "WRONG")</f>
        <v/>
      </c>
    </row>
    <row r="38425">
      <c r="A38425" t="n">
        <v>38424</v>
      </c>
      <c r="B38425" t="inlineStr">
        <is>
          <t>x̄x̄x̄V̅MMMCDXXIV</t>
        </is>
      </c>
      <c r="C38425">
        <f>ROMAN(38424)</f>
        <v/>
      </c>
      <c r="D38425">
        <f>IF(B38425=C38425, "YES", "WRONG")</f>
        <v/>
      </c>
    </row>
    <row r="38426">
      <c r="A38426" t="n">
        <v>38425</v>
      </c>
      <c r="B38426" t="inlineStr">
        <is>
          <t>x̄x̄x̄V̅MMMCDXXV</t>
        </is>
      </c>
      <c r="C38426">
        <f>ROMAN(38425)</f>
        <v/>
      </c>
      <c r="D38426">
        <f>IF(B38426=C38426, "YES", "WRONG")</f>
        <v/>
      </c>
    </row>
    <row r="38427">
      <c r="A38427" t="n">
        <v>38426</v>
      </c>
      <c r="B38427" t="inlineStr">
        <is>
          <t>x̄x̄x̄V̅MMMCDXXVI</t>
        </is>
      </c>
      <c r="C38427">
        <f>ROMAN(38426)</f>
        <v/>
      </c>
      <c r="D38427">
        <f>IF(B38427=C38427, "YES", "WRONG")</f>
        <v/>
      </c>
    </row>
    <row r="38428">
      <c r="A38428" t="n">
        <v>38427</v>
      </c>
      <c r="B38428" t="inlineStr">
        <is>
          <t>x̄x̄x̄V̅MMMCDXXVII</t>
        </is>
      </c>
      <c r="C38428">
        <f>ROMAN(38427)</f>
        <v/>
      </c>
      <c r="D38428">
        <f>IF(B38428=C38428, "YES", "WRONG")</f>
        <v/>
      </c>
    </row>
    <row r="38429">
      <c r="A38429" t="n">
        <v>38428</v>
      </c>
      <c r="B38429" t="inlineStr">
        <is>
          <t>x̄x̄x̄V̅MMMCDXXVIII</t>
        </is>
      </c>
      <c r="C38429">
        <f>ROMAN(38428)</f>
        <v/>
      </c>
      <c r="D38429">
        <f>IF(B38429=C38429, "YES", "WRONG")</f>
        <v/>
      </c>
    </row>
    <row r="38430">
      <c r="A38430" t="n">
        <v>38429</v>
      </c>
      <c r="B38430" t="inlineStr">
        <is>
          <t>x̄x̄x̄V̅MMMCDXXIX</t>
        </is>
      </c>
      <c r="C38430">
        <f>ROMAN(38429)</f>
        <v/>
      </c>
      <c r="D38430">
        <f>IF(B38430=C38430, "YES", "WRONG")</f>
        <v/>
      </c>
    </row>
    <row r="38431">
      <c r="A38431" t="n">
        <v>38430</v>
      </c>
      <c r="B38431" t="inlineStr">
        <is>
          <t>x̄x̄x̄V̅MMMCDXXX</t>
        </is>
      </c>
      <c r="C38431">
        <f>ROMAN(38430)</f>
        <v/>
      </c>
      <c r="D38431">
        <f>IF(B38431=C38431, "YES", "WRONG")</f>
        <v/>
      </c>
    </row>
    <row r="38432">
      <c r="A38432" t="n">
        <v>38431</v>
      </c>
      <c r="B38432" t="inlineStr">
        <is>
          <t>x̄x̄x̄V̅MMMCDXXXI</t>
        </is>
      </c>
      <c r="C38432">
        <f>ROMAN(38431)</f>
        <v/>
      </c>
      <c r="D38432">
        <f>IF(B38432=C38432, "YES", "WRONG")</f>
        <v/>
      </c>
    </row>
    <row r="38433">
      <c r="A38433" t="n">
        <v>38432</v>
      </c>
      <c r="B38433" t="inlineStr">
        <is>
          <t>x̄x̄x̄V̅MMMCDXXXII</t>
        </is>
      </c>
      <c r="C38433">
        <f>ROMAN(38432)</f>
        <v/>
      </c>
      <c r="D38433">
        <f>IF(B38433=C38433, "YES", "WRONG")</f>
        <v/>
      </c>
    </row>
    <row r="38434">
      <c r="A38434" t="n">
        <v>38433</v>
      </c>
      <c r="B38434" t="inlineStr">
        <is>
          <t>x̄x̄x̄V̅MMMCDXXXIII</t>
        </is>
      </c>
      <c r="C38434">
        <f>ROMAN(38433)</f>
        <v/>
      </c>
      <c r="D38434">
        <f>IF(B38434=C38434, "YES", "WRONG")</f>
        <v/>
      </c>
    </row>
    <row r="38435">
      <c r="A38435" t="n">
        <v>38434</v>
      </c>
      <c r="B38435" t="inlineStr">
        <is>
          <t>x̄x̄x̄V̅MMMCDXXXIV</t>
        </is>
      </c>
      <c r="C38435">
        <f>ROMAN(38434)</f>
        <v/>
      </c>
      <c r="D38435">
        <f>IF(B38435=C38435, "YES", "WRONG")</f>
        <v/>
      </c>
    </row>
    <row r="38436">
      <c r="A38436" t="n">
        <v>38435</v>
      </c>
      <c r="B38436" t="inlineStr">
        <is>
          <t>x̄x̄x̄V̅MMMCDXXXV</t>
        </is>
      </c>
      <c r="C38436">
        <f>ROMAN(38435)</f>
        <v/>
      </c>
      <c r="D38436">
        <f>IF(B38436=C38436, "YES", "WRONG")</f>
        <v/>
      </c>
    </row>
    <row r="38437">
      <c r="A38437" t="n">
        <v>38436</v>
      </c>
      <c r="B38437" t="inlineStr">
        <is>
          <t>x̄x̄x̄V̅MMMCDXXXVI</t>
        </is>
      </c>
      <c r="C38437">
        <f>ROMAN(38436)</f>
        <v/>
      </c>
      <c r="D38437">
        <f>IF(B38437=C38437, "YES", "WRONG")</f>
        <v/>
      </c>
    </row>
    <row r="38438">
      <c r="A38438" t="n">
        <v>38437</v>
      </c>
      <c r="B38438" t="inlineStr">
        <is>
          <t>x̄x̄x̄V̅MMMCDXXXVII</t>
        </is>
      </c>
      <c r="C38438">
        <f>ROMAN(38437)</f>
        <v/>
      </c>
      <c r="D38438">
        <f>IF(B38438=C38438, "YES", "WRONG")</f>
        <v/>
      </c>
    </row>
    <row r="38439">
      <c r="A38439" t="n">
        <v>38438</v>
      </c>
      <c r="B38439" t="inlineStr">
        <is>
          <t>x̄x̄x̄V̅MMMCDXXXVIII</t>
        </is>
      </c>
      <c r="C38439">
        <f>ROMAN(38438)</f>
        <v/>
      </c>
      <c r="D38439">
        <f>IF(B38439=C38439, "YES", "WRONG")</f>
        <v/>
      </c>
    </row>
    <row r="38440">
      <c r="A38440" t="n">
        <v>38439</v>
      </c>
      <c r="B38440" t="inlineStr">
        <is>
          <t>x̄x̄x̄V̅MMMCDXXXIX</t>
        </is>
      </c>
      <c r="C38440">
        <f>ROMAN(38439)</f>
        <v/>
      </c>
      <c r="D38440">
        <f>IF(B38440=C38440, "YES", "WRONG")</f>
        <v/>
      </c>
    </row>
    <row r="38441">
      <c r="A38441" t="n">
        <v>38440</v>
      </c>
      <c r="B38441" t="inlineStr">
        <is>
          <t>x̄x̄x̄V̅MMMCDXL</t>
        </is>
      </c>
      <c r="C38441">
        <f>ROMAN(38440)</f>
        <v/>
      </c>
      <c r="D38441">
        <f>IF(B38441=C38441, "YES", "WRONG")</f>
        <v/>
      </c>
    </row>
    <row r="38442">
      <c r="A38442" t="n">
        <v>38441</v>
      </c>
      <c r="B38442" t="inlineStr">
        <is>
          <t>x̄x̄x̄V̅MMMCDXLI</t>
        </is>
      </c>
      <c r="C38442">
        <f>ROMAN(38441)</f>
        <v/>
      </c>
      <c r="D38442">
        <f>IF(B38442=C38442, "YES", "WRONG")</f>
        <v/>
      </c>
    </row>
    <row r="38443">
      <c r="A38443" t="n">
        <v>38442</v>
      </c>
      <c r="B38443" t="inlineStr">
        <is>
          <t>x̄x̄x̄V̅MMMCDXLII</t>
        </is>
      </c>
      <c r="C38443">
        <f>ROMAN(38442)</f>
        <v/>
      </c>
      <c r="D38443">
        <f>IF(B38443=C38443, "YES", "WRONG")</f>
        <v/>
      </c>
    </row>
    <row r="38444">
      <c r="A38444" t="n">
        <v>38443</v>
      </c>
      <c r="B38444" t="inlineStr">
        <is>
          <t>x̄x̄x̄V̅MMMCDXLIII</t>
        </is>
      </c>
      <c r="C38444">
        <f>ROMAN(38443)</f>
        <v/>
      </c>
      <c r="D38444">
        <f>IF(B38444=C38444, "YES", "WRONG")</f>
        <v/>
      </c>
    </row>
    <row r="38445">
      <c r="A38445" t="n">
        <v>38444</v>
      </c>
      <c r="B38445" t="inlineStr">
        <is>
          <t>x̄x̄x̄V̅MMMCDXLIV</t>
        </is>
      </c>
      <c r="C38445">
        <f>ROMAN(38444)</f>
        <v/>
      </c>
      <c r="D38445">
        <f>IF(B38445=C38445, "YES", "WRONG")</f>
        <v/>
      </c>
    </row>
    <row r="38446">
      <c r="A38446" t="n">
        <v>38445</v>
      </c>
      <c r="B38446" t="inlineStr">
        <is>
          <t>x̄x̄x̄V̅MMMCDXLV</t>
        </is>
      </c>
      <c r="C38446">
        <f>ROMAN(38445)</f>
        <v/>
      </c>
      <c r="D38446">
        <f>IF(B38446=C38446, "YES", "WRONG")</f>
        <v/>
      </c>
    </row>
    <row r="38447">
      <c r="A38447" t="n">
        <v>38446</v>
      </c>
      <c r="B38447" t="inlineStr">
        <is>
          <t>x̄x̄x̄V̅MMMCDXLVI</t>
        </is>
      </c>
      <c r="C38447">
        <f>ROMAN(38446)</f>
        <v/>
      </c>
      <c r="D38447">
        <f>IF(B38447=C38447, "YES", "WRONG")</f>
        <v/>
      </c>
    </row>
    <row r="38448">
      <c r="A38448" t="n">
        <v>38447</v>
      </c>
      <c r="B38448" t="inlineStr">
        <is>
          <t>x̄x̄x̄V̅MMMCDXLVII</t>
        </is>
      </c>
      <c r="C38448">
        <f>ROMAN(38447)</f>
        <v/>
      </c>
      <c r="D38448">
        <f>IF(B38448=C38448, "YES", "WRONG")</f>
        <v/>
      </c>
    </row>
    <row r="38449">
      <c r="A38449" t="n">
        <v>38448</v>
      </c>
      <c r="B38449" t="inlineStr">
        <is>
          <t>x̄x̄x̄V̅MMMCDXLVIII</t>
        </is>
      </c>
      <c r="C38449">
        <f>ROMAN(38448)</f>
        <v/>
      </c>
      <c r="D38449">
        <f>IF(B38449=C38449, "YES", "WRONG")</f>
        <v/>
      </c>
    </row>
    <row r="38450">
      <c r="A38450" t="n">
        <v>38449</v>
      </c>
      <c r="B38450" t="inlineStr">
        <is>
          <t>x̄x̄x̄V̅MMMCDXLIX</t>
        </is>
      </c>
      <c r="C38450">
        <f>ROMAN(38449)</f>
        <v/>
      </c>
      <c r="D38450">
        <f>IF(B38450=C38450, "YES", "WRONG")</f>
        <v/>
      </c>
    </row>
    <row r="38451">
      <c r="A38451" t="n">
        <v>38450</v>
      </c>
      <c r="B38451" t="inlineStr">
        <is>
          <t>x̄x̄x̄V̅MMMCDL</t>
        </is>
      </c>
      <c r="C38451">
        <f>ROMAN(38450)</f>
        <v/>
      </c>
      <c r="D38451">
        <f>IF(B38451=C38451, "YES", "WRONG")</f>
        <v/>
      </c>
    </row>
    <row r="38452">
      <c r="A38452" t="n">
        <v>38451</v>
      </c>
      <c r="B38452" t="inlineStr">
        <is>
          <t>x̄x̄x̄V̅MMMCDLI</t>
        </is>
      </c>
      <c r="C38452">
        <f>ROMAN(38451)</f>
        <v/>
      </c>
      <c r="D38452">
        <f>IF(B38452=C38452, "YES", "WRONG")</f>
        <v/>
      </c>
    </row>
    <row r="38453">
      <c r="A38453" t="n">
        <v>38452</v>
      </c>
      <c r="B38453" t="inlineStr">
        <is>
          <t>x̄x̄x̄V̅MMMCDLII</t>
        </is>
      </c>
      <c r="C38453">
        <f>ROMAN(38452)</f>
        <v/>
      </c>
      <c r="D38453">
        <f>IF(B38453=C38453, "YES", "WRONG")</f>
        <v/>
      </c>
    </row>
    <row r="38454">
      <c r="A38454" t="n">
        <v>38453</v>
      </c>
      <c r="B38454" t="inlineStr">
        <is>
          <t>x̄x̄x̄V̅MMMCDLIII</t>
        </is>
      </c>
      <c r="C38454">
        <f>ROMAN(38453)</f>
        <v/>
      </c>
      <c r="D38454">
        <f>IF(B38454=C38454, "YES", "WRONG")</f>
        <v/>
      </c>
    </row>
    <row r="38455">
      <c r="A38455" t="n">
        <v>38454</v>
      </c>
      <c r="B38455" t="inlineStr">
        <is>
          <t>x̄x̄x̄V̅MMMCDLIV</t>
        </is>
      </c>
      <c r="C38455">
        <f>ROMAN(38454)</f>
        <v/>
      </c>
      <c r="D38455">
        <f>IF(B38455=C38455, "YES", "WRONG")</f>
        <v/>
      </c>
    </row>
    <row r="38456">
      <c r="A38456" t="n">
        <v>38455</v>
      </c>
      <c r="B38456" t="inlineStr">
        <is>
          <t>x̄x̄x̄V̅MMMCDLV</t>
        </is>
      </c>
      <c r="C38456">
        <f>ROMAN(38455)</f>
        <v/>
      </c>
      <c r="D38456">
        <f>IF(B38456=C38456, "YES", "WRONG")</f>
        <v/>
      </c>
    </row>
    <row r="38457">
      <c r="A38457" t="n">
        <v>38456</v>
      </c>
      <c r="B38457" t="inlineStr">
        <is>
          <t>x̄x̄x̄V̅MMMCDLVI</t>
        </is>
      </c>
      <c r="C38457">
        <f>ROMAN(38456)</f>
        <v/>
      </c>
      <c r="D38457">
        <f>IF(B38457=C38457, "YES", "WRONG")</f>
        <v/>
      </c>
    </row>
    <row r="38458">
      <c r="A38458" t="n">
        <v>38457</v>
      </c>
      <c r="B38458" t="inlineStr">
        <is>
          <t>x̄x̄x̄V̅MMMCDLVII</t>
        </is>
      </c>
      <c r="C38458">
        <f>ROMAN(38457)</f>
        <v/>
      </c>
      <c r="D38458">
        <f>IF(B38458=C38458, "YES", "WRONG")</f>
        <v/>
      </c>
    </row>
    <row r="38459">
      <c r="A38459" t="n">
        <v>38458</v>
      </c>
      <c r="B38459" t="inlineStr">
        <is>
          <t>x̄x̄x̄V̅MMMCDLVIII</t>
        </is>
      </c>
      <c r="C38459">
        <f>ROMAN(38458)</f>
        <v/>
      </c>
      <c r="D38459">
        <f>IF(B38459=C38459, "YES", "WRONG")</f>
        <v/>
      </c>
    </row>
    <row r="38460">
      <c r="A38460" t="n">
        <v>38459</v>
      </c>
      <c r="B38460" t="inlineStr">
        <is>
          <t>x̄x̄x̄V̅MMMCDLIX</t>
        </is>
      </c>
      <c r="C38460">
        <f>ROMAN(38459)</f>
        <v/>
      </c>
      <c r="D38460">
        <f>IF(B38460=C38460, "YES", "WRONG")</f>
        <v/>
      </c>
    </row>
    <row r="38461">
      <c r="A38461" t="n">
        <v>38460</v>
      </c>
      <c r="B38461" t="inlineStr">
        <is>
          <t>x̄x̄x̄V̅MMMCDLX</t>
        </is>
      </c>
      <c r="C38461">
        <f>ROMAN(38460)</f>
        <v/>
      </c>
      <c r="D38461">
        <f>IF(B38461=C38461, "YES", "WRONG")</f>
        <v/>
      </c>
    </row>
    <row r="38462">
      <c r="A38462" t="n">
        <v>38461</v>
      </c>
      <c r="B38462" t="inlineStr">
        <is>
          <t>x̄x̄x̄V̅MMMCDLXI</t>
        </is>
      </c>
      <c r="C38462">
        <f>ROMAN(38461)</f>
        <v/>
      </c>
      <c r="D38462">
        <f>IF(B38462=C38462, "YES", "WRONG")</f>
        <v/>
      </c>
    </row>
    <row r="38463">
      <c r="A38463" t="n">
        <v>38462</v>
      </c>
      <c r="B38463" t="inlineStr">
        <is>
          <t>x̄x̄x̄V̅MMMCDLXII</t>
        </is>
      </c>
      <c r="C38463">
        <f>ROMAN(38462)</f>
        <v/>
      </c>
      <c r="D38463">
        <f>IF(B38463=C38463, "YES", "WRONG")</f>
        <v/>
      </c>
    </row>
    <row r="38464">
      <c r="A38464" t="n">
        <v>38463</v>
      </c>
      <c r="B38464" t="inlineStr">
        <is>
          <t>x̄x̄x̄V̅MMMCDLXIII</t>
        </is>
      </c>
      <c r="C38464">
        <f>ROMAN(38463)</f>
        <v/>
      </c>
      <c r="D38464">
        <f>IF(B38464=C38464, "YES", "WRONG")</f>
        <v/>
      </c>
    </row>
    <row r="38465">
      <c r="A38465" t="n">
        <v>38464</v>
      </c>
      <c r="B38465" t="inlineStr">
        <is>
          <t>x̄x̄x̄V̅MMMCDLXIV</t>
        </is>
      </c>
      <c r="C38465">
        <f>ROMAN(38464)</f>
        <v/>
      </c>
      <c r="D38465">
        <f>IF(B38465=C38465, "YES", "WRONG")</f>
        <v/>
      </c>
    </row>
    <row r="38466">
      <c r="A38466" t="n">
        <v>38465</v>
      </c>
      <c r="B38466" t="inlineStr">
        <is>
          <t>x̄x̄x̄V̅MMMCDLXV</t>
        </is>
      </c>
      <c r="C38466">
        <f>ROMAN(38465)</f>
        <v/>
      </c>
      <c r="D38466">
        <f>IF(B38466=C38466, "YES", "WRONG")</f>
        <v/>
      </c>
    </row>
    <row r="38467">
      <c r="A38467" t="n">
        <v>38466</v>
      </c>
      <c r="B38467" t="inlineStr">
        <is>
          <t>x̄x̄x̄V̅MMMCDLXVI</t>
        </is>
      </c>
      <c r="C38467">
        <f>ROMAN(38466)</f>
        <v/>
      </c>
      <c r="D38467">
        <f>IF(B38467=C38467, "YES", "WRONG")</f>
        <v/>
      </c>
    </row>
    <row r="38468">
      <c r="A38468" t="n">
        <v>38467</v>
      </c>
      <c r="B38468" t="inlineStr">
        <is>
          <t>x̄x̄x̄V̅MMMCDLXVII</t>
        </is>
      </c>
      <c r="C38468">
        <f>ROMAN(38467)</f>
        <v/>
      </c>
      <c r="D38468">
        <f>IF(B38468=C38468, "YES", "WRONG")</f>
        <v/>
      </c>
    </row>
    <row r="38469">
      <c r="A38469" t="n">
        <v>38468</v>
      </c>
      <c r="B38469" t="inlineStr">
        <is>
          <t>x̄x̄x̄V̅MMMCDLXVIII</t>
        </is>
      </c>
      <c r="C38469">
        <f>ROMAN(38468)</f>
        <v/>
      </c>
      <c r="D38469">
        <f>IF(B38469=C38469, "YES", "WRONG")</f>
        <v/>
      </c>
    </row>
    <row r="38470">
      <c r="A38470" t="n">
        <v>38469</v>
      </c>
      <c r="B38470" t="inlineStr">
        <is>
          <t>x̄x̄x̄V̅MMMCDLXIX</t>
        </is>
      </c>
      <c r="C38470">
        <f>ROMAN(38469)</f>
        <v/>
      </c>
      <c r="D38470">
        <f>IF(B38470=C38470, "YES", "WRONG")</f>
        <v/>
      </c>
    </row>
    <row r="38471">
      <c r="A38471" t="n">
        <v>38470</v>
      </c>
      <c r="B38471" t="inlineStr">
        <is>
          <t>x̄x̄x̄V̅MMMCDLXX</t>
        </is>
      </c>
      <c r="C38471">
        <f>ROMAN(38470)</f>
        <v/>
      </c>
      <c r="D38471">
        <f>IF(B38471=C38471, "YES", "WRONG")</f>
        <v/>
      </c>
    </row>
    <row r="38472">
      <c r="A38472" t="n">
        <v>38471</v>
      </c>
      <c r="B38472" t="inlineStr">
        <is>
          <t>x̄x̄x̄V̅MMMCDLXXI</t>
        </is>
      </c>
      <c r="C38472">
        <f>ROMAN(38471)</f>
        <v/>
      </c>
      <c r="D38472">
        <f>IF(B38472=C38472, "YES", "WRONG")</f>
        <v/>
      </c>
    </row>
    <row r="38473">
      <c r="A38473" t="n">
        <v>38472</v>
      </c>
      <c r="B38473" t="inlineStr">
        <is>
          <t>x̄x̄x̄V̅MMMCDLXXII</t>
        </is>
      </c>
      <c r="C38473">
        <f>ROMAN(38472)</f>
        <v/>
      </c>
      <c r="D38473">
        <f>IF(B38473=C38473, "YES", "WRONG")</f>
        <v/>
      </c>
    </row>
    <row r="38474">
      <c r="A38474" t="n">
        <v>38473</v>
      </c>
      <c r="B38474" t="inlineStr">
        <is>
          <t>x̄x̄x̄V̅MMMCDLXXIII</t>
        </is>
      </c>
      <c r="C38474">
        <f>ROMAN(38473)</f>
        <v/>
      </c>
      <c r="D38474">
        <f>IF(B38474=C38474, "YES", "WRONG")</f>
        <v/>
      </c>
    </row>
    <row r="38475">
      <c r="A38475" t="n">
        <v>38474</v>
      </c>
      <c r="B38475" t="inlineStr">
        <is>
          <t>x̄x̄x̄V̅MMMCDLXXIV</t>
        </is>
      </c>
      <c r="C38475">
        <f>ROMAN(38474)</f>
        <v/>
      </c>
      <c r="D38475">
        <f>IF(B38475=C38475, "YES", "WRONG")</f>
        <v/>
      </c>
    </row>
    <row r="38476">
      <c r="A38476" t="n">
        <v>38475</v>
      </c>
      <c r="B38476" t="inlineStr">
        <is>
          <t>x̄x̄x̄V̅MMMCDLXXV</t>
        </is>
      </c>
      <c r="C38476">
        <f>ROMAN(38475)</f>
        <v/>
      </c>
      <c r="D38476">
        <f>IF(B38476=C38476, "YES", "WRONG")</f>
        <v/>
      </c>
    </row>
    <row r="38477">
      <c r="A38477" t="n">
        <v>38476</v>
      </c>
      <c r="B38477" t="inlineStr">
        <is>
          <t>x̄x̄x̄V̅MMMCDLXXVI</t>
        </is>
      </c>
      <c r="C38477">
        <f>ROMAN(38476)</f>
        <v/>
      </c>
      <c r="D38477">
        <f>IF(B38477=C38477, "YES", "WRONG")</f>
        <v/>
      </c>
    </row>
    <row r="38478">
      <c r="A38478" t="n">
        <v>38477</v>
      </c>
      <c r="B38478" t="inlineStr">
        <is>
          <t>x̄x̄x̄V̅MMMCDLXXVII</t>
        </is>
      </c>
      <c r="C38478">
        <f>ROMAN(38477)</f>
        <v/>
      </c>
      <c r="D38478">
        <f>IF(B38478=C38478, "YES", "WRONG")</f>
        <v/>
      </c>
    </row>
    <row r="38479">
      <c r="A38479" t="n">
        <v>38478</v>
      </c>
      <c r="B38479" t="inlineStr">
        <is>
          <t>x̄x̄x̄V̅MMMCDLXXVIII</t>
        </is>
      </c>
      <c r="C38479">
        <f>ROMAN(38478)</f>
        <v/>
      </c>
      <c r="D38479">
        <f>IF(B38479=C38479, "YES", "WRONG")</f>
        <v/>
      </c>
    </row>
    <row r="38480">
      <c r="A38480" t="n">
        <v>38479</v>
      </c>
      <c r="B38480" t="inlineStr">
        <is>
          <t>x̄x̄x̄V̅MMMCDLXXIX</t>
        </is>
      </c>
      <c r="C38480">
        <f>ROMAN(38479)</f>
        <v/>
      </c>
      <c r="D38480">
        <f>IF(B38480=C38480, "YES", "WRONG")</f>
        <v/>
      </c>
    </row>
    <row r="38481">
      <c r="A38481" t="n">
        <v>38480</v>
      </c>
      <c r="B38481" t="inlineStr">
        <is>
          <t>x̄x̄x̄V̅MMMCDLXXX</t>
        </is>
      </c>
      <c r="C38481">
        <f>ROMAN(38480)</f>
        <v/>
      </c>
      <c r="D38481">
        <f>IF(B38481=C38481, "YES", "WRONG")</f>
        <v/>
      </c>
    </row>
    <row r="38482">
      <c r="A38482" t="n">
        <v>38481</v>
      </c>
      <c r="B38482" t="inlineStr">
        <is>
          <t>x̄x̄x̄V̅MMMCDLXXXI</t>
        </is>
      </c>
      <c r="C38482">
        <f>ROMAN(38481)</f>
        <v/>
      </c>
      <c r="D38482">
        <f>IF(B38482=C38482, "YES", "WRONG")</f>
        <v/>
      </c>
    </row>
    <row r="38483">
      <c r="A38483" t="n">
        <v>38482</v>
      </c>
      <c r="B38483" t="inlineStr">
        <is>
          <t>x̄x̄x̄V̅MMMCDLXXXII</t>
        </is>
      </c>
      <c r="C38483">
        <f>ROMAN(38482)</f>
        <v/>
      </c>
      <c r="D38483">
        <f>IF(B38483=C38483, "YES", "WRONG")</f>
        <v/>
      </c>
    </row>
    <row r="38484">
      <c r="A38484" t="n">
        <v>38483</v>
      </c>
      <c r="B38484" t="inlineStr">
        <is>
          <t>x̄x̄x̄V̅MMMCDLXXXIII</t>
        </is>
      </c>
      <c r="C38484">
        <f>ROMAN(38483)</f>
        <v/>
      </c>
      <c r="D38484">
        <f>IF(B38484=C38484, "YES", "WRONG")</f>
        <v/>
      </c>
    </row>
    <row r="38485">
      <c r="A38485" t="n">
        <v>38484</v>
      </c>
      <c r="B38485" t="inlineStr">
        <is>
          <t>x̄x̄x̄V̅MMMCDLXXXIV</t>
        </is>
      </c>
      <c r="C38485">
        <f>ROMAN(38484)</f>
        <v/>
      </c>
      <c r="D38485">
        <f>IF(B38485=C38485, "YES", "WRONG")</f>
        <v/>
      </c>
    </row>
    <row r="38486">
      <c r="A38486" t="n">
        <v>38485</v>
      </c>
      <c r="B38486" t="inlineStr">
        <is>
          <t>x̄x̄x̄V̅MMMCDLXXXV</t>
        </is>
      </c>
      <c r="C38486">
        <f>ROMAN(38485)</f>
        <v/>
      </c>
      <c r="D38486">
        <f>IF(B38486=C38486, "YES", "WRONG")</f>
        <v/>
      </c>
    </row>
    <row r="38487">
      <c r="A38487" t="n">
        <v>38486</v>
      </c>
      <c r="B38487" t="inlineStr">
        <is>
          <t>x̄x̄x̄V̅MMMCDLXXXVI</t>
        </is>
      </c>
      <c r="C38487">
        <f>ROMAN(38486)</f>
        <v/>
      </c>
      <c r="D38487">
        <f>IF(B38487=C38487, "YES", "WRONG")</f>
        <v/>
      </c>
    </row>
    <row r="38488">
      <c r="A38488" t="n">
        <v>38487</v>
      </c>
      <c r="B38488" t="inlineStr">
        <is>
          <t>x̄x̄x̄V̅MMMCDLXXXVII</t>
        </is>
      </c>
      <c r="C38488">
        <f>ROMAN(38487)</f>
        <v/>
      </c>
      <c r="D38488">
        <f>IF(B38488=C38488, "YES", "WRONG")</f>
        <v/>
      </c>
    </row>
    <row r="38489">
      <c r="A38489" t="n">
        <v>38488</v>
      </c>
      <c r="B38489" t="inlineStr">
        <is>
          <t>x̄x̄x̄V̅MMMCDLXXXVIII</t>
        </is>
      </c>
      <c r="C38489">
        <f>ROMAN(38488)</f>
        <v/>
      </c>
      <c r="D38489">
        <f>IF(B38489=C38489, "YES", "WRONG")</f>
        <v/>
      </c>
    </row>
    <row r="38490">
      <c r="A38490" t="n">
        <v>38489</v>
      </c>
      <c r="B38490" t="inlineStr">
        <is>
          <t>x̄x̄x̄V̅MMMCDLXXXIX</t>
        </is>
      </c>
      <c r="C38490">
        <f>ROMAN(38489)</f>
        <v/>
      </c>
      <c r="D38490">
        <f>IF(B38490=C38490, "YES", "WRONG")</f>
        <v/>
      </c>
    </row>
    <row r="38491">
      <c r="A38491" t="n">
        <v>38490</v>
      </c>
      <c r="B38491" t="inlineStr">
        <is>
          <t>x̄x̄x̄V̅MMMCDXC</t>
        </is>
      </c>
      <c r="C38491">
        <f>ROMAN(38490)</f>
        <v/>
      </c>
      <c r="D38491">
        <f>IF(B38491=C38491, "YES", "WRONG")</f>
        <v/>
      </c>
    </row>
    <row r="38492">
      <c r="A38492" t="n">
        <v>38491</v>
      </c>
      <c r="B38492" t="inlineStr">
        <is>
          <t>x̄x̄x̄V̅MMMCDXCI</t>
        </is>
      </c>
      <c r="C38492">
        <f>ROMAN(38491)</f>
        <v/>
      </c>
      <c r="D38492">
        <f>IF(B38492=C38492, "YES", "WRONG")</f>
        <v/>
      </c>
    </row>
    <row r="38493">
      <c r="A38493" t="n">
        <v>38492</v>
      </c>
      <c r="B38493" t="inlineStr">
        <is>
          <t>x̄x̄x̄V̅MMMCDXCII</t>
        </is>
      </c>
      <c r="C38493">
        <f>ROMAN(38492)</f>
        <v/>
      </c>
      <c r="D38493">
        <f>IF(B38493=C38493, "YES", "WRONG")</f>
        <v/>
      </c>
    </row>
    <row r="38494">
      <c r="A38494" t="n">
        <v>38493</v>
      </c>
      <c r="B38494" t="inlineStr">
        <is>
          <t>x̄x̄x̄V̅MMMCDXCIII</t>
        </is>
      </c>
      <c r="C38494">
        <f>ROMAN(38493)</f>
        <v/>
      </c>
      <c r="D38494">
        <f>IF(B38494=C38494, "YES", "WRONG")</f>
        <v/>
      </c>
    </row>
    <row r="38495">
      <c r="A38495" t="n">
        <v>38494</v>
      </c>
      <c r="B38495" t="inlineStr">
        <is>
          <t>x̄x̄x̄V̅MMMCDXCIV</t>
        </is>
      </c>
      <c r="C38495">
        <f>ROMAN(38494)</f>
        <v/>
      </c>
      <c r="D38495">
        <f>IF(B38495=C38495, "YES", "WRONG")</f>
        <v/>
      </c>
    </row>
    <row r="38496">
      <c r="A38496" t="n">
        <v>38495</v>
      </c>
      <c r="B38496" t="inlineStr">
        <is>
          <t>x̄x̄x̄V̅MMMCDXCV</t>
        </is>
      </c>
      <c r="C38496">
        <f>ROMAN(38495)</f>
        <v/>
      </c>
      <c r="D38496">
        <f>IF(B38496=C38496, "YES", "WRONG")</f>
        <v/>
      </c>
    </row>
    <row r="38497">
      <c r="A38497" t="n">
        <v>38496</v>
      </c>
      <c r="B38497" t="inlineStr">
        <is>
          <t>x̄x̄x̄V̅MMMCDXCVI</t>
        </is>
      </c>
      <c r="C38497">
        <f>ROMAN(38496)</f>
        <v/>
      </c>
      <c r="D38497">
        <f>IF(B38497=C38497, "YES", "WRONG")</f>
        <v/>
      </c>
    </row>
    <row r="38498">
      <c r="A38498" t="n">
        <v>38497</v>
      </c>
      <c r="B38498" t="inlineStr">
        <is>
          <t>x̄x̄x̄V̅MMMCDXCVII</t>
        </is>
      </c>
      <c r="C38498">
        <f>ROMAN(38497)</f>
        <v/>
      </c>
      <c r="D38498">
        <f>IF(B38498=C38498, "YES", "WRONG")</f>
        <v/>
      </c>
    </row>
    <row r="38499">
      <c r="A38499" t="n">
        <v>38498</v>
      </c>
      <c r="B38499" t="inlineStr">
        <is>
          <t>x̄x̄x̄V̅MMMCDXCVIII</t>
        </is>
      </c>
      <c r="C38499">
        <f>ROMAN(38498)</f>
        <v/>
      </c>
      <c r="D38499">
        <f>IF(B38499=C38499, "YES", "WRONG")</f>
        <v/>
      </c>
    </row>
    <row r="38500">
      <c r="A38500" t="n">
        <v>38499</v>
      </c>
      <c r="B38500" t="inlineStr">
        <is>
          <t>x̄x̄x̄V̅MMMCDXCIX</t>
        </is>
      </c>
      <c r="C38500">
        <f>ROMAN(38499)</f>
        <v/>
      </c>
      <c r="D38500">
        <f>IF(B38500=C38500, "YES", "WRONG")</f>
        <v/>
      </c>
    </row>
    <row r="38501">
      <c r="A38501" t="n">
        <v>38500</v>
      </c>
      <c r="B38501" t="inlineStr">
        <is>
          <t>x̄x̄x̄V̅MMMD</t>
        </is>
      </c>
      <c r="C38501">
        <f>ROMAN(38500)</f>
        <v/>
      </c>
      <c r="D38501">
        <f>IF(B38501=C38501, "YES", "WRONG")</f>
        <v/>
      </c>
    </row>
    <row r="38502">
      <c r="A38502" t="n">
        <v>38501</v>
      </c>
      <c r="B38502" t="inlineStr">
        <is>
          <t>x̄x̄x̄V̅MMMDI</t>
        </is>
      </c>
      <c r="C38502">
        <f>ROMAN(38501)</f>
        <v/>
      </c>
      <c r="D38502">
        <f>IF(B38502=C38502, "YES", "WRONG")</f>
        <v/>
      </c>
    </row>
    <row r="38503">
      <c r="A38503" t="n">
        <v>38502</v>
      </c>
      <c r="B38503" t="inlineStr">
        <is>
          <t>x̄x̄x̄V̅MMMDII</t>
        </is>
      </c>
      <c r="C38503">
        <f>ROMAN(38502)</f>
        <v/>
      </c>
      <c r="D38503">
        <f>IF(B38503=C38503, "YES", "WRONG")</f>
        <v/>
      </c>
    </row>
    <row r="38504">
      <c r="A38504" t="n">
        <v>38503</v>
      </c>
      <c r="B38504" t="inlineStr">
        <is>
          <t>x̄x̄x̄V̅MMMDIII</t>
        </is>
      </c>
      <c r="C38504">
        <f>ROMAN(38503)</f>
        <v/>
      </c>
      <c r="D38504">
        <f>IF(B38504=C38504, "YES", "WRONG")</f>
        <v/>
      </c>
    </row>
    <row r="38505">
      <c r="A38505" t="n">
        <v>38504</v>
      </c>
      <c r="B38505" t="inlineStr">
        <is>
          <t>x̄x̄x̄V̅MMMDIV</t>
        </is>
      </c>
      <c r="C38505">
        <f>ROMAN(38504)</f>
        <v/>
      </c>
      <c r="D38505">
        <f>IF(B38505=C38505, "YES", "WRONG")</f>
        <v/>
      </c>
    </row>
    <row r="38506">
      <c r="A38506" t="n">
        <v>38505</v>
      </c>
      <c r="B38506" t="inlineStr">
        <is>
          <t>x̄x̄x̄V̅MMMDV</t>
        </is>
      </c>
      <c r="C38506">
        <f>ROMAN(38505)</f>
        <v/>
      </c>
      <c r="D38506">
        <f>IF(B38506=C38506, "YES", "WRONG")</f>
        <v/>
      </c>
    </row>
    <row r="38507">
      <c r="A38507" t="n">
        <v>38506</v>
      </c>
      <c r="B38507" t="inlineStr">
        <is>
          <t>x̄x̄x̄V̅MMMDVI</t>
        </is>
      </c>
      <c r="C38507">
        <f>ROMAN(38506)</f>
        <v/>
      </c>
      <c r="D38507">
        <f>IF(B38507=C38507, "YES", "WRONG")</f>
        <v/>
      </c>
    </row>
    <row r="38508">
      <c r="A38508" t="n">
        <v>38507</v>
      </c>
      <c r="B38508" t="inlineStr">
        <is>
          <t>x̄x̄x̄V̅MMMDVII</t>
        </is>
      </c>
      <c r="C38508">
        <f>ROMAN(38507)</f>
        <v/>
      </c>
      <c r="D38508">
        <f>IF(B38508=C38508, "YES", "WRONG")</f>
        <v/>
      </c>
    </row>
    <row r="38509">
      <c r="A38509" t="n">
        <v>38508</v>
      </c>
      <c r="B38509" t="inlineStr">
        <is>
          <t>x̄x̄x̄V̅MMMDVIII</t>
        </is>
      </c>
      <c r="C38509">
        <f>ROMAN(38508)</f>
        <v/>
      </c>
      <c r="D38509">
        <f>IF(B38509=C38509, "YES", "WRONG")</f>
        <v/>
      </c>
    </row>
    <row r="38510">
      <c r="A38510" t="n">
        <v>38509</v>
      </c>
      <c r="B38510" t="inlineStr">
        <is>
          <t>x̄x̄x̄V̅MMMDIX</t>
        </is>
      </c>
      <c r="C38510">
        <f>ROMAN(38509)</f>
        <v/>
      </c>
      <c r="D38510">
        <f>IF(B38510=C38510, "YES", "WRONG")</f>
        <v/>
      </c>
    </row>
    <row r="38511">
      <c r="A38511" t="n">
        <v>38510</v>
      </c>
      <c r="B38511" t="inlineStr">
        <is>
          <t>x̄x̄x̄V̅MMMDX</t>
        </is>
      </c>
      <c r="C38511">
        <f>ROMAN(38510)</f>
        <v/>
      </c>
      <c r="D38511">
        <f>IF(B38511=C38511, "YES", "WRONG")</f>
        <v/>
      </c>
    </row>
    <row r="38512">
      <c r="A38512" t="n">
        <v>38511</v>
      </c>
      <c r="B38512" t="inlineStr">
        <is>
          <t>x̄x̄x̄V̅MMMDXI</t>
        </is>
      </c>
      <c r="C38512">
        <f>ROMAN(38511)</f>
        <v/>
      </c>
      <c r="D38512">
        <f>IF(B38512=C38512, "YES", "WRONG")</f>
        <v/>
      </c>
    </row>
    <row r="38513">
      <c r="A38513" t="n">
        <v>38512</v>
      </c>
      <c r="B38513" t="inlineStr">
        <is>
          <t>x̄x̄x̄V̅MMMDXII</t>
        </is>
      </c>
      <c r="C38513">
        <f>ROMAN(38512)</f>
        <v/>
      </c>
      <c r="D38513">
        <f>IF(B38513=C38513, "YES", "WRONG")</f>
        <v/>
      </c>
    </row>
    <row r="38514">
      <c r="A38514" t="n">
        <v>38513</v>
      </c>
      <c r="B38514" t="inlineStr">
        <is>
          <t>x̄x̄x̄V̅MMMDXIII</t>
        </is>
      </c>
      <c r="C38514">
        <f>ROMAN(38513)</f>
        <v/>
      </c>
      <c r="D38514">
        <f>IF(B38514=C38514, "YES", "WRONG")</f>
        <v/>
      </c>
    </row>
    <row r="38515">
      <c r="A38515" t="n">
        <v>38514</v>
      </c>
      <c r="B38515" t="inlineStr">
        <is>
          <t>x̄x̄x̄V̅MMMDXIV</t>
        </is>
      </c>
      <c r="C38515">
        <f>ROMAN(38514)</f>
        <v/>
      </c>
      <c r="D38515">
        <f>IF(B38515=C38515, "YES", "WRONG")</f>
        <v/>
      </c>
    </row>
    <row r="38516">
      <c r="A38516" t="n">
        <v>38515</v>
      </c>
      <c r="B38516" t="inlineStr">
        <is>
          <t>x̄x̄x̄V̅MMMDXV</t>
        </is>
      </c>
      <c r="C38516">
        <f>ROMAN(38515)</f>
        <v/>
      </c>
      <c r="D38516">
        <f>IF(B38516=C38516, "YES", "WRONG")</f>
        <v/>
      </c>
    </row>
    <row r="38517">
      <c r="A38517" t="n">
        <v>38516</v>
      </c>
      <c r="B38517" t="inlineStr">
        <is>
          <t>x̄x̄x̄V̅MMMDXVI</t>
        </is>
      </c>
      <c r="C38517">
        <f>ROMAN(38516)</f>
        <v/>
      </c>
      <c r="D38517">
        <f>IF(B38517=C38517, "YES", "WRONG")</f>
        <v/>
      </c>
    </row>
    <row r="38518">
      <c r="A38518" t="n">
        <v>38517</v>
      </c>
      <c r="B38518" t="inlineStr">
        <is>
          <t>x̄x̄x̄V̅MMMDXVII</t>
        </is>
      </c>
      <c r="C38518">
        <f>ROMAN(38517)</f>
        <v/>
      </c>
      <c r="D38518">
        <f>IF(B38518=C38518, "YES", "WRONG")</f>
        <v/>
      </c>
    </row>
    <row r="38519">
      <c r="A38519" t="n">
        <v>38518</v>
      </c>
      <c r="B38519" t="inlineStr">
        <is>
          <t>x̄x̄x̄V̅MMMDXVIII</t>
        </is>
      </c>
      <c r="C38519">
        <f>ROMAN(38518)</f>
        <v/>
      </c>
      <c r="D38519">
        <f>IF(B38519=C38519, "YES", "WRONG")</f>
        <v/>
      </c>
    </row>
    <row r="38520">
      <c r="A38520" t="n">
        <v>38519</v>
      </c>
      <c r="B38520" t="inlineStr">
        <is>
          <t>x̄x̄x̄V̅MMMDXIX</t>
        </is>
      </c>
      <c r="C38520">
        <f>ROMAN(38519)</f>
        <v/>
      </c>
      <c r="D38520">
        <f>IF(B38520=C38520, "YES", "WRONG")</f>
        <v/>
      </c>
    </row>
    <row r="38521">
      <c r="A38521" t="n">
        <v>38520</v>
      </c>
      <c r="B38521" t="inlineStr">
        <is>
          <t>x̄x̄x̄V̅MMMDXX</t>
        </is>
      </c>
      <c r="C38521">
        <f>ROMAN(38520)</f>
        <v/>
      </c>
      <c r="D38521">
        <f>IF(B38521=C38521, "YES", "WRONG")</f>
        <v/>
      </c>
    </row>
    <row r="38522">
      <c r="A38522" t="n">
        <v>38521</v>
      </c>
      <c r="B38522" t="inlineStr">
        <is>
          <t>x̄x̄x̄V̅MMMDXXI</t>
        </is>
      </c>
      <c r="C38522">
        <f>ROMAN(38521)</f>
        <v/>
      </c>
      <c r="D38522">
        <f>IF(B38522=C38522, "YES", "WRONG")</f>
        <v/>
      </c>
    </row>
    <row r="38523">
      <c r="A38523" t="n">
        <v>38522</v>
      </c>
      <c r="B38523" t="inlineStr">
        <is>
          <t>x̄x̄x̄V̅MMMDXXII</t>
        </is>
      </c>
      <c r="C38523">
        <f>ROMAN(38522)</f>
        <v/>
      </c>
      <c r="D38523">
        <f>IF(B38523=C38523, "YES", "WRONG")</f>
        <v/>
      </c>
    </row>
    <row r="38524">
      <c r="A38524" t="n">
        <v>38523</v>
      </c>
      <c r="B38524" t="inlineStr">
        <is>
          <t>x̄x̄x̄V̅MMMDXXIII</t>
        </is>
      </c>
      <c r="C38524">
        <f>ROMAN(38523)</f>
        <v/>
      </c>
      <c r="D38524">
        <f>IF(B38524=C38524, "YES", "WRONG")</f>
        <v/>
      </c>
    </row>
    <row r="38525">
      <c r="A38525" t="n">
        <v>38524</v>
      </c>
      <c r="B38525" t="inlineStr">
        <is>
          <t>x̄x̄x̄V̅MMMDXXIV</t>
        </is>
      </c>
      <c r="C38525">
        <f>ROMAN(38524)</f>
        <v/>
      </c>
      <c r="D38525">
        <f>IF(B38525=C38525, "YES", "WRONG")</f>
        <v/>
      </c>
    </row>
    <row r="38526">
      <c r="A38526" t="n">
        <v>38525</v>
      </c>
      <c r="B38526" t="inlineStr">
        <is>
          <t>x̄x̄x̄V̅MMMDXXV</t>
        </is>
      </c>
      <c r="C38526">
        <f>ROMAN(38525)</f>
        <v/>
      </c>
      <c r="D38526">
        <f>IF(B38526=C38526, "YES", "WRONG")</f>
        <v/>
      </c>
    </row>
    <row r="38527">
      <c r="A38527" t="n">
        <v>38526</v>
      </c>
      <c r="B38527" t="inlineStr">
        <is>
          <t>x̄x̄x̄V̅MMMDXXVI</t>
        </is>
      </c>
      <c r="C38527">
        <f>ROMAN(38526)</f>
        <v/>
      </c>
      <c r="D38527">
        <f>IF(B38527=C38527, "YES", "WRONG")</f>
        <v/>
      </c>
    </row>
    <row r="38528">
      <c r="A38528" t="n">
        <v>38527</v>
      </c>
      <c r="B38528" t="inlineStr">
        <is>
          <t>x̄x̄x̄V̅MMMDXXVII</t>
        </is>
      </c>
      <c r="C38528">
        <f>ROMAN(38527)</f>
        <v/>
      </c>
      <c r="D38528">
        <f>IF(B38528=C38528, "YES", "WRONG")</f>
        <v/>
      </c>
    </row>
    <row r="38529">
      <c r="A38529" t="n">
        <v>38528</v>
      </c>
      <c r="B38529" t="inlineStr">
        <is>
          <t>x̄x̄x̄V̅MMMDXXVIII</t>
        </is>
      </c>
      <c r="C38529">
        <f>ROMAN(38528)</f>
        <v/>
      </c>
      <c r="D38529">
        <f>IF(B38529=C38529, "YES", "WRONG")</f>
        <v/>
      </c>
    </row>
    <row r="38530">
      <c r="A38530" t="n">
        <v>38529</v>
      </c>
      <c r="B38530" t="inlineStr">
        <is>
          <t>x̄x̄x̄V̅MMMDXXIX</t>
        </is>
      </c>
      <c r="C38530">
        <f>ROMAN(38529)</f>
        <v/>
      </c>
      <c r="D38530">
        <f>IF(B38530=C38530, "YES", "WRONG")</f>
        <v/>
      </c>
    </row>
    <row r="38531">
      <c r="A38531" t="n">
        <v>38530</v>
      </c>
      <c r="B38531" t="inlineStr">
        <is>
          <t>x̄x̄x̄V̅MMMDXXX</t>
        </is>
      </c>
      <c r="C38531">
        <f>ROMAN(38530)</f>
        <v/>
      </c>
      <c r="D38531">
        <f>IF(B38531=C38531, "YES", "WRONG")</f>
        <v/>
      </c>
    </row>
    <row r="38532">
      <c r="A38532" t="n">
        <v>38531</v>
      </c>
      <c r="B38532" t="inlineStr">
        <is>
          <t>x̄x̄x̄V̅MMMDXXXI</t>
        </is>
      </c>
      <c r="C38532">
        <f>ROMAN(38531)</f>
        <v/>
      </c>
      <c r="D38532">
        <f>IF(B38532=C38532, "YES", "WRONG")</f>
        <v/>
      </c>
    </row>
    <row r="38533">
      <c r="A38533" t="n">
        <v>38532</v>
      </c>
      <c r="B38533" t="inlineStr">
        <is>
          <t>x̄x̄x̄V̅MMMDXXXII</t>
        </is>
      </c>
      <c r="C38533">
        <f>ROMAN(38532)</f>
        <v/>
      </c>
      <c r="D38533">
        <f>IF(B38533=C38533, "YES", "WRONG")</f>
        <v/>
      </c>
    </row>
    <row r="38534">
      <c r="A38534" t="n">
        <v>38533</v>
      </c>
      <c r="B38534" t="inlineStr">
        <is>
          <t>x̄x̄x̄V̅MMMDXXXIII</t>
        </is>
      </c>
      <c r="C38534">
        <f>ROMAN(38533)</f>
        <v/>
      </c>
      <c r="D38534">
        <f>IF(B38534=C38534, "YES", "WRONG")</f>
        <v/>
      </c>
    </row>
    <row r="38535">
      <c r="A38535" t="n">
        <v>38534</v>
      </c>
      <c r="B38535" t="inlineStr">
        <is>
          <t>x̄x̄x̄V̅MMMDXXXIV</t>
        </is>
      </c>
      <c r="C38535">
        <f>ROMAN(38534)</f>
        <v/>
      </c>
      <c r="D38535">
        <f>IF(B38535=C38535, "YES", "WRONG")</f>
        <v/>
      </c>
    </row>
    <row r="38536">
      <c r="A38536" t="n">
        <v>38535</v>
      </c>
      <c r="B38536" t="inlineStr">
        <is>
          <t>x̄x̄x̄V̅MMMDXXXV</t>
        </is>
      </c>
      <c r="C38536">
        <f>ROMAN(38535)</f>
        <v/>
      </c>
      <c r="D38536">
        <f>IF(B38536=C38536, "YES", "WRONG")</f>
        <v/>
      </c>
    </row>
    <row r="38537">
      <c r="A38537" t="n">
        <v>38536</v>
      </c>
      <c r="B38537" t="inlineStr">
        <is>
          <t>x̄x̄x̄V̅MMMDXXXVI</t>
        </is>
      </c>
      <c r="C38537">
        <f>ROMAN(38536)</f>
        <v/>
      </c>
      <c r="D38537">
        <f>IF(B38537=C38537, "YES", "WRONG")</f>
        <v/>
      </c>
    </row>
    <row r="38538">
      <c r="A38538" t="n">
        <v>38537</v>
      </c>
      <c r="B38538" t="inlineStr">
        <is>
          <t>x̄x̄x̄V̅MMMDXXXVII</t>
        </is>
      </c>
      <c r="C38538">
        <f>ROMAN(38537)</f>
        <v/>
      </c>
      <c r="D38538">
        <f>IF(B38538=C38538, "YES", "WRONG")</f>
        <v/>
      </c>
    </row>
    <row r="38539">
      <c r="A38539" t="n">
        <v>38538</v>
      </c>
      <c r="B38539" t="inlineStr">
        <is>
          <t>x̄x̄x̄V̅MMMDXXXVIII</t>
        </is>
      </c>
      <c r="C38539">
        <f>ROMAN(38538)</f>
        <v/>
      </c>
      <c r="D38539">
        <f>IF(B38539=C38539, "YES", "WRONG")</f>
        <v/>
      </c>
    </row>
    <row r="38540">
      <c r="A38540" t="n">
        <v>38539</v>
      </c>
      <c r="B38540" t="inlineStr">
        <is>
          <t>x̄x̄x̄V̅MMMDXXXIX</t>
        </is>
      </c>
      <c r="C38540">
        <f>ROMAN(38539)</f>
        <v/>
      </c>
      <c r="D38540">
        <f>IF(B38540=C38540, "YES", "WRONG")</f>
        <v/>
      </c>
    </row>
    <row r="38541">
      <c r="A38541" t="n">
        <v>38540</v>
      </c>
      <c r="B38541" t="inlineStr">
        <is>
          <t>x̄x̄x̄V̅MMMDXL</t>
        </is>
      </c>
      <c r="C38541">
        <f>ROMAN(38540)</f>
        <v/>
      </c>
      <c r="D38541">
        <f>IF(B38541=C38541, "YES", "WRONG")</f>
        <v/>
      </c>
    </row>
    <row r="38542">
      <c r="A38542" t="n">
        <v>38541</v>
      </c>
      <c r="B38542" t="inlineStr">
        <is>
          <t>x̄x̄x̄V̅MMMDXLI</t>
        </is>
      </c>
      <c r="C38542">
        <f>ROMAN(38541)</f>
        <v/>
      </c>
      <c r="D38542">
        <f>IF(B38542=C38542, "YES", "WRONG")</f>
        <v/>
      </c>
    </row>
    <row r="38543">
      <c r="A38543" t="n">
        <v>38542</v>
      </c>
      <c r="B38543" t="inlineStr">
        <is>
          <t>x̄x̄x̄V̅MMMDXLII</t>
        </is>
      </c>
      <c r="C38543">
        <f>ROMAN(38542)</f>
        <v/>
      </c>
      <c r="D38543">
        <f>IF(B38543=C38543, "YES", "WRONG")</f>
        <v/>
      </c>
    </row>
    <row r="38544">
      <c r="A38544" t="n">
        <v>38543</v>
      </c>
      <c r="B38544" t="inlineStr">
        <is>
          <t>x̄x̄x̄V̅MMMDXLIII</t>
        </is>
      </c>
      <c r="C38544">
        <f>ROMAN(38543)</f>
        <v/>
      </c>
      <c r="D38544">
        <f>IF(B38544=C38544, "YES", "WRONG")</f>
        <v/>
      </c>
    </row>
    <row r="38545">
      <c r="A38545" t="n">
        <v>38544</v>
      </c>
      <c r="B38545" t="inlineStr">
        <is>
          <t>x̄x̄x̄V̅MMMDXLIV</t>
        </is>
      </c>
      <c r="C38545">
        <f>ROMAN(38544)</f>
        <v/>
      </c>
      <c r="D38545">
        <f>IF(B38545=C38545, "YES", "WRONG")</f>
        <v/>
      </c>
    </row>
    <row r="38546">
      <c r="A38546" t="n">
        <v>38545</v>
      </c>
      <c r="B38546" t="inlineStr">
        <is>
          <t>x̄x̄x̄V̅MMMDXLV</t>
        </is>
      </c>
      <c r="C38546">
        <f>ROMAN(38545)</f>
        <v/>
      </c>
      <c r="D38546">
        <f>IF(B38546=C38546, "YES", "WRONG")</f>
        <v/>
      </c>
    </row>
    <row r="38547">
      <c r="A38547" t="n">
        <v>38546</v>
      </c>
      <c r="B38547" t="inlineStr">
        <is>
          <t>x̄x̄x̄V̅MMMDXLVI</t>
        </is>
      </c>
      <c r="C38547">
        <f>ROMAN(38546)</f>
        <v/>
      </c>
      <c r="D38547">
        <f>IF(B38547=C38547, "YES", "WRONG")</f>
        <v/>
      </c>
    </row>
    <row r="38548">
      <c r="A38548" t="n">
        <v>38547</v>
      </c>
      <c r="B38548" t="inlineStr">
        <is>
          <t>x̄x̄x̄V̅MMMDXLVII</t>
        </is>
      </c>
      <c r="C38548">
        <f>ROMAN(38547)</f>
        <v/>
      </c>
      <c r="D38548">
        <f>IF(B38548=C38548, "YES", "WRONG")</f>
        <v/>
      </c>
    </row>
    <row r="38549">
      <c r="A38549" t="n">
        <v>38548</v>
      </c>
      <c r="B38549" t="inlineStr">
        <is>
          <t>x̄x̄x̄V̅MMMDXLVIII</t>
        </is>
      </c>
      <c r="C38549">
        <f>ROMAN(38548)</f>
        <v/>
      </c>
      <c r="D38549">
        <f>IF(B38549=C38549, "YES", "WRONG")</f>
        <v/>
      </c>
    </row>
    <row r="38550">
      <c r="A38550" t="n">
        <v>38549</v>
      </c>
      <c r="B38550" t="inlineStr">
        <is>
          <t>x̄x̄x̄V̅MMMDXLIX</t>
        </is>
      </c>
      <c r="C38550">
        <f>ROMAN(38549)</f>
        <v/>
      </c>
      <c r="D38550">
        <f>IF(B38550=C38550, "YES", "WRONG")</f>
        <v/>
      </c>
    </row>
    <row r="38551">
      <c r="A38551" t="n">
        <v>38550</v>
      </c>
      <c r="B38551" t="inlineStr">
        <is>
          <t>x̄x̄x̄V̅MMMDL</t>
        </is>
      </c>
      <c r="C38551">
        <f>ROMAN(38550)</f>
        <v/>
      </c>
      <c r="D38551">
        <f>IF(B38551=C38551, "YES", "WRONG")</f>
        <v/>
      </c>
    </row>
    <row r="38552">
      <c r="A38552" t="n">
        <v>38551</v>
      </c>
      <c r="B38552" t="inlineStr">
        <is>
          <t>x̄x̄x̄V̅MMMDLI</t>
        </is>
      </c>
      <c r="C38552">
        <f>ROMAN(38551)</f>
        <v/>
      </c>
      <c r="D38552">
        <f>IF(B38552=C38552, "YES", "WRONG")</f>
        <v/>
      </c>
    </row>
    <row r="38553">
      <c r="A38553" t="n">
        <v>38552</v>
      </c>
      <c r="B38553" t="inlineStr">
        <is>
          <t>x̄x̄x̄V̅MMMDLII</t>
        </is>
      </c>
      <c r="C38553">
        <f>ROMAN(38552)</f>
        <v/>
      </c>
      <c r="D38553">
        <f>IF(B38553=C38553, "YES", "WRONG")</f>
        <v/>
      </c>
    </row>
    <row r="38554">
      <c r="A38554" t="n">
        <v>38553</v>
      </c>
      <c r="B38554" t="inlineStr">
        <is>
          <t>x̄x̄x̄V̅MMMDLIII</t>
        </is>
      </c>
      <c r="C38554">
        <f>ROMAN(38553)</f>
        <v/>
      </c>
      <c r="D38554">
        <f>IF(B38554=C38554, "YES", "WRONG")</f>
        <v/>
      </c>
    </row>
    <row r="38555">
      <c r="A38555" t="n">
        <v>38554</v>
      </c>
      <c r="B38555" t="inlineStr">
        <is>
          <t>x̄x̄x̄V̅MMMDLIV</t>
        </is>
      </c>
      <c r="C38555">
        <f>ROMAN(38554)</f>
        <v/>
      </c>
      <c r="D38555">
        <f>IF(B38555=C38555, "YES", "WRONG")</f>
        <v/>
      </c>
    </row>
    <row r="38556">
      <c r="A38556" t="n">
        <v>38555</v>
      </c>
      <c r="B38556" t="inlineStr">
        <is>
          <t>x̄x̄x̄V̅MMMDLV</t>
        </is>
      </c>
      <c r="C38556">
        <f>ROMAN(38555)</f>
        <v/>
      </c>
      <c r="D38556">
        <f>IF(B38556=C38556, "YES", "WRONG")</f>
        <v/>
      </c>
    </row>
    <row r="38557">
      <c r="A38557" t="n">
        <v>38556</v>
      </c>
      <c r="B38557" t="inlineStr">
        <is>
          <t>x̄x̄x̄V̅MMMDLVI</t>
        </is>
      </c>
      <c r="C38557">
        <f>ROMAN(38556)</f>
        <v/>
      </c>
      <c r="D38557">
        <f>IF(B38557=C38557, "YES", "WRONG")</f>
        <v/>
      </c>
    </row>
    <row r="38558">
      <c r="A38558" t="n">
        <v>38557</v>
      </c>
      <c r="B38558" t="inlineStr">
        <is>
          <t>x̄x̄x̄V̅MMMDLVII</t>
        </is>
      </c>
      <c r="C38558">
        <f>ROMAN(38557)</f>
        <v/>
      </c>
      <c r="D38558">
        <f>IF(B38558=C38558, "YES", "WRONG")</f>
        <v/>
      </c>
    </row>
    <row r="38559">
      <c r="A38559" t="n">
        <v>38558</v>
      </c>
      <c r="B38559" t="inlineStr">
        <is>
          <t>x̄x̄x̄V̅MMMDLVIII</t>
        </is>
      </c>
      <c r="C38559">
        <f>ROMAN(38558)</f>
        <v/>
      </c>
      <c r="D38559">
        <f>IF(B38559=C38559, "YES", "WRONG")</f>
        <v/>
      </c>
    </row>
    <row r="38560">
      <c r="A38560" t="n">
        <v>38559</v>
      </c>
      <c r="B38560" t="inlineStr">
        <is>
          <t>x̄x̄x̄V̅MMMDLIX</t>
        </is>
      </c>
      <c r="C38560">
        <f>ROMAN(38559)</f>
        <v/>
      </c>
      <c r="D38560">
        <f>IF(B38560=C38560, "YES", "WRONG")</f>
        <v/>
      </c>
    </row>
    <row r="38561">
      <c r="A38561" t="n">
        <v>38560</v>
      </c>
      <c r="B38561" t="inlineStr">
        <is>
          <t>x̄x̄x̄V̅MMMDLX</t>
        </is>
      </c>
      <c r="C38561">
        <f>ROMAN(38560)</f>
        <v/>
      </c>
      <c r="D38561">
        <f>IF(B38561=C38561, "YES", "WRONG")</f>
        <v/>
      </c>
    </row>
    <row r="38562">
      <c r="A38562" t="n">
        <v>38561</v>
      </c>
      <c r="B38562" t="inlineStr">
        <is>
          <t>x̄x̄x̄V̅MMMDLXI</t>
        </is>
      </c>
      <c r="C38562">
        <f>ROMAN(38561)</f>
        <v/>
      </c>
      <c r="D38562">
        <f>IF(B38562=C38562, "YES", "WRONG")</f>
        <v/>
      </c>
    </row>
    <row r="38563">
      <c r="A38563" t="n">
        <v>38562</v>
      </c>
      <c r="B38563" t="inlineStr">
        <is>
          <t>x̄x̄x̄V̅MMMDLXII</t>
        </is>
      </c>
      <c r="C38563">
        <f>ROMAN(38562)</f>
        <v/>
      </c>
      <c r="D38563">
        <f>IF(B38563=C38563, "YES", "WRONG")</f>
        <v/>
      </c>
    </row>
    <row r="38564">
      <c r="A38564" t="n">
        <v>38563</v>
      </c>
      <c r="B38564" t="inlineStr">
        <is>
          <t>x̄x̄x̄V̅MMMDLXIII</t>
        </is>
      </c>
      <c r="C38564">
        <f>ROMAN(38563)</f>
        <v/>
      </c>
      <c r="D38564">
        <f>IF(B38564=C38564, "YES", "WRONG")</f>
        <v/>
      </c>
    </row>
    <row r="38565">
      <c r="A38565" t="n">
        <v>38564</v>
      </c>
      <c r="B38565" t="inlineStr">
        <is>
          <t>x̄x̄x̄V̅MMMDLXIV</t>
        </is>
      </c>
      <c r="C38565">
        <f>ROMAN(38564)</f>
        <v/>
      </c>
      <c r="D38565">
        <f>IF(B38565=C38565, "YES", "WRONG")</f>
        <v/>
      </c>
    </row>
    <row r="38566">
      <c r="A38566" t="n">
        <v>38565</v>
      </c>
      <c r="B38566" t="inlineStr">
        <is>
          <t>x̄x̄x̄V̅MMMDLXV</t>
        </is>
      </c>
      <c r="C38566">
        <f>ROMAN(38565)</f>
        <v/>
      </c>
      <c r="D38566">
        <f>IF(B38566=C38566, "YES", "WRONG")</f>
        <v/>
      </c>
    </row>
    <row r="38567">
      <c r="A38567" t="n">
        <v>38566</v>
      </c>
      <c r="B38567" t="inlineStr">
        <is>
          <t>x̄x̄x̄V̅MMMDLXVI</t>
        </is>
      </c>
      <c r="C38567">
        <f>ROMAN(38566)</f>
        <v/>
      </c>
      <c r="D38567">
        <f>IF(B38567=C38567, "YES", "WRONG")</f>
        <v/>
      </c>
    </row>
    <row r="38568">
      <c r="A38568" t="n">
        <v>38567</v>
      </c>
      <c r="B38568" t="inlineStr">
        <is>
          <t>x̄x̄x̄V̅MMMDLXVII</t>
        </is>
      </c>
      <c r="C38568">
        <f>ROMAN(38567)</f>
        <v/>
      </c>
      <c r="D38568">
        <f>IF(B38568=C38568, "YES", "WRONG")</f>
        <v/>
      </c>
    </row>
    <row r="38569">
      <c r="A38569" t="n">
        <v>38568</v>
      </c>
      <c r="B38569" t="inlineStr">
        <is>
          <t>x̄x̄x̄V̅MMMDLXVIII</t>
        </is>
      </c>
      <c r="C38569">
        <f>ROMAN(38568)</f>
        <v/>
      </c>
      <c r="D38569">
        <f>IF(B38569=C38569, "YES", "WRONG")</f>
        <v/>
      </c>
    </row>
    <row r="38570">
      <c r="A38570" t="n">
        <v>38569</v>
      </c>
      <c r="B38570" t="inlineStr">
        <is>
          <t>x̄x̄x̄V̅MMMDLXIX</t>
        </is>
      </c>
      <c r="C38570">
        <f>ROMAN(38569)</f>
        <v/>
      </c>
      <c r="D38570">
        <f>IF(B38570=C38570, "YES", "WRONG")</f>
        <v/>
      </c>
    </row>
    <row r="38571">
      <c r="A38571" t="n">
        <v>38570</v>
      </c>
      <c r="B38571" t="inlineStr">
        <is>
          <t>x̄x̄x̄V̅MMMDLXX</t>
        </is>
      </c>
      <c r="C38571">
        <f>ROMAN(38570)</f>
        <v/>
      </c>
      <c r="D38571">
        <f>IF(B38571=C38571, "YES", "WRONG")</f>
        <v/>
      </c>
    </row>
    <row r="38572">
      <c r="A38572" t="n">
        <v>38571</v>
      </c>
      <c r="B38572" t="inlineStr">
        <is>
          <t>x̄x̄x̄V̅MMMDLXXI</t>
        </is>
      </c>
      <c r="C38572">
        <f>ROMAN(38571)</f>
        <v/>
      </c>
      <c r="D38572">
        <f>IF(B38572=C38572, "YES", "WRONG")</f>
        <v/>
      </c>
    </row>
    <row r="38573">
      <c r="A38573" t="n">
        <v>38572</v>
      </c>
      <c r="B38573" t="inlineStr">
        <is>
          <t>x̄x̄x̄V̅MMMDLXXII</t>
        </is>
      </c>
      <c r="C38573">
        <f>ROMAN(38572)</f>
        <v/>
      </c>
      <c r="D38573">
        <f>IF(B38573=C38573, "YES", "WRONG")</f>
        <v/>
      </c>
    </row>
    <row r="38574">
      <c r="A38574" t="n">
        <v>38573</v>
      </c>
      <c r="B38574" t="inlineStr">
        <is>
          <t>x̄x̄x̄V̅MMMDLXXIII</t>
        </is>
      </c>
      <c r="C38574">
        <f>ROMAN(38573)</f>
        <v/>
      </c>
      <c r="D38574">
        <f>IF(B38574=C38574, "YES", "WRONG")</f>
        <v/>
      </c>
    </row>
    <row r="38575">
      <c r="A38575" t="n">
        <v>38574</v>
      </c>
      <c r="B38575" t="inlineStr">
        <is>
          <t>x̄x̄x̄V̅MMMDLXXIV</t>
        </is>
      </c>
      <c r="C38575">
        <f>ROMAN(38574)</f>
        <v/>
      </c>
      <c r="D38575">
        <f>IF(B38575=C38575, "YES", "WRONG")</f>
        <v/>
      </c>
    </row>
    <row r="38576">
      <c r="A38576" t="n">
        <v>38575</v>
      </c>
      <c r="B38576" t="inlineStr">
        <is>
          <t>x̄x̄x̄V̅MMMDLXXV</t>
        </is>
      </c>
      <c r="C38576">
        <f>ROMAN(38575)</f>
        <v/>
      </c>
      <c r="D38576">
        <f>IF(B38576=C38576, "YES", "WRONG")</f>
        <v/>
      </c>
    </row>
    <row r="38577">
      <c r="A38577" t="n">
        <v>38576</v>
      </c>
      <c r="B38577" t="inlineStr">
        <is>
          <t>x̄x̄x̄V̅MMMDLXXVI</t>
        </is>
      </c>
      <c r="C38577">
        <f>ROMAN(38576)</f>
        <v/>
      </c>
      <c r="D38577">
        <f>IF(B38577=C38577, "YES", "WRONG")</f>
        <v/>
      </c>
    </row>
    <row r="38578">
      <c r="A38578" t="n">
        <v>38577</v>
      </c>
      <c r="B38578" t="inlineStr">
        <is>
          <t>x̄x̄x̄V̅MMMDLXXVII</t>
        </is>
      </c>
      <c r="C38578">
        <f>ROMAN(38577)</f>
        <v/>
      </c>
      <c r="D38578">
        <f>IF(B38578=C38578, "YES", "WRONG")</f>
        <v/>
      </c>
    </row>
    <row r="38579">
      <c r="A38579" t="n">
        <v>38578</v>
      </c>
      <c r="B38579" t="inlineStr">
        <is>
          <t>x̄x̄x̄V̅MMMDLXXVIII</t>
        </is>
      </c>
      <c r="C38579">
        <f>ROMAN(38578)</f>
        <v/>
      </c>
      <c r="D38579">
        <f>IF(B38579=C38579, "YES", "WRONG")</f>
        <v/>
      </c>
    </row>
    <row r="38580">
      <c r="A38580" t="n">
        <v>38579</v>
      </c>
      <c r="B38580" t="inlineStr">
        <is>
          <t>x̄x̄x̄V̅MMMDLXXIX</t>
        </is>
      </c>
      <c r="C38580">
        <f>ROMAN(38579)</f>
        <v/>
      </c>
      <c r="D38580">
        <f>IF(B38580=C38580, "YES", "WRONG")</f>
        <v/>
      </c>
    </row>
    <row r="38581">
      <c r="A38581" t="n">
        <v>38580</v>
      </c>
      <c r="B38581" t="inlineStr">
        <is>
          <t>x̄x̄x̄V̅MMMDLXXX</t>
        </is>
      </c>
      <c r="C38581">
        <f>ROMAN(38580)</f>
        <v/>
      </c>
      <c r="D38581">
        <f>IF(B38581=C38581, "YES", "WRONG")</f>
        <v/>
      </c>
    </row>
    <row r="38582">
      <c r="A38582" t="n">
        <v>38581</v>
      </c>
      <c r="B38582" t="inlineStr">
        <is>
          <t>x̄x̄x̄V̅MMMDLXXXI</t>
        </is>
      </c>
      <c r="C38582">
        <f>ROMAN(38581)</f>
        <v/>
      </c>
      <c r="D38582">
        <f>IF(B38582=C38582, "YES", "WRONG")</f>
        <v/>
      </c>
    </row>
    <row r="38583">
      <c r="A38583" t="n">
        <v>38582</v>
      </c>
      <c r="B38583" t="inlineStr">
        <is>
          <t>x̄x̄x̄V̅MMMDLXXXII</t>
        </is>
      </c>
      <c r="C38583">
        <f>ROMAN(38582)</f>
        <v/>
      </c>
      <c r="D38583">
        <f>IF(B38583=C38583, "YES", "WRONG")</f>
        <v/>
      </c>
    </row>
    <row r="38584">
      <c r="A38584" t="n">
        <v>38583</v>
      </c>
      <c r="B38584" t="inlineStr">
        <is>
          <t>x̄x̄x̄V̅MMMDLXXXIII</t>
        </is>
      </c>
      <c r="C38584">
        <f>ROMAN(38583)</f>
        <v/>
      </c>
      <c r="D38584">
        <f>IF(B38584=C38584, "YES", "WRONG")</f>
        <v/>
      </c>
    </row>
    <row r="38585">
      <c r="A38585" t="n">
        <v>38584</v>
      </c>
      <c r="B38585" t="inlineStr">
        <is>
          <t>x̄x̄x̄V̅MMMDLXXXIV</t>
        </is>
      </c>
      <c r="C38585">
        <f>ROMAN(38584)</f>
        <v/>
      </c>
      <c r="D38585">
        <f>IF(B38585=C38585, "YES", "WRONG")</f>
        <v/>
      </c>
    </row>
    <row r="38586">
      <c r="A38586" t="n">
        <v>38585</v>
      </c>
      <c r="B38586" t="inlineStr">
        <is>
          <t>x̄x̄x̄V̅MMMDLXXXV</t>
        </is>
      </c>
      <c r="C38586">
        <f>ROMAN(38585)</f>
        <v/>
      </c>
      <c r="D38586">
        <f>IF(B38586=C38586, "YES", "WRONG")</f>
        <v/>
      </c>
    </row>
    <row r="38587">
      <c r="A38587" t="n">
        <v>38586</v>
      </c>
      <c r="B38587" t="inlineStr">
        <is>
          <t>x̄x̄x̄V̅MMMDLXXXVI</t>
        </is>
      </c>
      <c r="C38587">
        <f>ROMAN(38586)</f>
        <v/>
      </c>
      <c r="D38587">
        <f>IF(B38587=C38587, "YES", "WRONG")</f>
        <v/>
      </c>
    </row>
    <row r="38588">
      <c r="A38588" t="n">
        <v>38587</v>
      </c>
      <c r="B38588" t="inlineStr">
        <is>
          <t>x̄x̄x̄V̅MMMDLXXXVII</t>
        </is>
      </c>
      <c r="C38588">
        <f>ROMAN(38587)</f>
        <v/>
      </c>
      <c r="D38588">
        <f>IF(B38588=C38588, "YES", "WRONG")</f>
        <v/>
      </c>
    </row>
    <row r="38589">
      <c r="A38589" t="n">
        <v>38588</v>
      </c>
      <c r="B38589" t="inlineStr">
        <is>
          <t>x̄x̄x̄V̅MMMDLXXXVIII</t>
        </is>
      </c>
      <c r="C38589">
        <f>ROMAN(38588)</f>
        <v/>
      </c>
      <c r="D38589">
        <f>IF(B38589=C38589, "YES", "WRONG")</f>
        <v/>
      </c>
    </row>
    <row r="38590">
      <c r="A38590" t="n">
        <v>38589</v>
      </c>
      <c r="B38590" t="inlineStr">
        <is>
          <t>x̄x̄x̄V̅MMMDLXXXIX</t>
        </is>
      </c>
      <c r="C38590">
        <f>ROMAN(38589)</f>
        <v/>
      </c>
      <c r="D38590">
        <f>IF(B38590=C38590, "YES", "WRONG")</f>
        <v/>
      </c>
    </row>
    <row r="38591">
      <c r="A38591" t="n">
        <v>38590</v>
      </c>
      <c r="B38591" t="inlineStr">
        <is>
          <t>x̄x̄x̄V̅MMMDXC</t>
        </is>
      </c>
      <c r="C38591">
        <f>ROMAN(38590)</f>
        <v/>
      </c>
      <c r="D38591">
        <f>IF(B38591=C38591, "YES", "WRONG")</f>
        <v/>
      </c>
    </row>
    <row r="38592">
      <c r="A38592" t="n">
        <v>38591</v>
      </c>
      <c r="B38592" t="inlineStr">
        <is>
          <t>x̄x̄x̄V̅MMMDXCI</t>
        </is>
      </c>
      <c r="C38592">
        <f>ROMAN(38591)</f>
        <v/>
      </c>
      <c r="D38592">
        <f>IF(B38592=C38592, "YES", "WRONG")</f>
        <v/>
      </c>
    </row>
    <row r="38593">
      <c r="A38593" t="n">
        <v>38592</v>
      </c>
      <c r="B38593" t="inlineStr">
        <is>
          <t>x̄x̄x̄V̅MMMDXCII</t>
        </is>
      </c>
      <c r="C38593">
        <f>ROMAN(38592)</f>
        <v/>
      </c>
      <c r="D38593">
        <f>IF(B38593=C38593, "YES", "WRONG")</f>
        <v/>
      </c>
    </row>
    <row r="38594">
      <c r="A38594" t="n">
        <v>38593</v>
      </c>
      <c r="B38594" t="inlineStr">
        <is>
          <t>x̄x̄x̄V̅MMMDXCIII</t>
        </is>
      </c>
      <c r="C38594">
        <f>ROMAN(38593)</f>
        <v/>
      </c>
      <c r="D38594">
        <f>IF(B38594=C38594, "YES", "WRONG")</f>
        <v/>
      </c>
    </row>
    <row r="38595">
      <c r="A38595" t="n">
        <v>38594</v>
      </c>
      <c r="B38595" t="inlineStr">
        <is>
          <t>x̄x̄x̄V̅MMMDXCIV</t>
        </is>
      </c>
      <c r="C38595">
        <f>ROMAN(38594)</f>
        <v/>
      </c>
      <c r="D38595">
        <f>IF(B38595=C38595, "YES", "WRONG")</f>
        <v/>
      </c>
    </row>
    <row r="38596">
      <c r="A38596" t="n">
        <v>38595</v>
      </c>
      <c r="B38596" t="inlineStr">
        <is>
          <t>x̄x̄x̄V̅MMMDXCV</t>
        </is>
      </c>
      <c r="C38596">
        <f>ROMAN(38595)</f>
        <v/>
      </c>
      <c r="D38596">
        <f>IF(B38596=C38596, "YES", "WRONG")</f>
        <v/>
      </c>
    </row>
    <row r="38597">
      <c r="A38597" t="n">
        <v>38596</v>
      </c>
      <c r="B38597" t="inlineStr">
        <is>
          <t>x̄x̄x̄V̅MMMDXCVI</t>
        </is>
      </c>
      <c r="C38597">
        <f>ROMAN(38596)</f>
        <v/>
      </c>
      <c r="D38597">
        <f>IF(B38597=C38597, "YES", "WRONG")</f>
        <v/>
      </c>
    </row>
    <row r="38598">
      <c r="A38598" t="n">
        <v>38597</v>
      </c>
      <c r="B38598" t="inlineStr">
        <is>
          <t>x̄x̄x̄V̅MMMDXCVII</t>
        </is>
      </c>
      <c r="C38598">
        <f>ROMAN(38597)</f>
        <v/>
      </c>
      <c r="D38598">
        <f>IF(B38598=C38598, "YES", "WRONG")</f>
        <v/>
      </c>
    </row>
    <row r="38599">
      <c r="A38599" t="n">
        <v>38598</v>
      </c>
      <c r="B38599" t="inlineStr">
        <is>
          <t>x̄x̄x̄V̅MMMDXCVIII</t>
        </is>
      </c>
      <c r="C38599">
        <f>ROMAN(38598)</f>
        <v/>
      </c>
      <c r="D38599">
        <f>IF(B38599=C38599, "YES", "WRONG")</f>
        <v/>
      </c>
    </row>
    <row r="38600">
      <c r="A38600" t="n">
        <v>38599</v>
      </c>
      <c r="B38600" t="inlineStr">
        <is>
          <t>x̄x̄x̄V̅MMMDXCIX</t>
        </is>
      </c>
      <c r="C38600">
        <f>ROMAN(38599)</f>
        <v/>
      </c>
      <c r="D38600">
        <f>IF(B38600=C38600, "YES", "WRONG")</f>
        <v/>
      </c>
    </row>
    <row r="38601">
      <c r="A38601" t="n">
        <v>38600</v>
      </c>
      <c r="B38601" t="inlineStr">
        <is>
          <t>x̄x̄x̄V̅MMMDC</t>
        </is>
      </c>
      <c r="C38601">
        <f>ROMAN(38600)</f>
        <v/>
      </c>
      <c r="D38601">
        <f>IF(B38601=C38601, "YES", "WRONG")</f>
        <v/>
      </c>
    </row>
    <row r="38602">
      <c r="A38602" t="n">
        <v>38601</v>
      </c>
      <c r="B38602" t="inlineStr">
        <is>
          <t>x̄x̄x̄V̅MMMDCI</t>
        </is>
      </c>
      <c r="C38602">
        <f>ROMAN(38601)</f>
        <v/>
      </c>
      <c r="D38602">
        <f>IF(B38602=C38602, "YES", "WRONG")</f>
        <v/>
      </c>
    </row>
    <row r="38603">
      <c r="A38603" t="n">
        <v>38602</v>
      </c>
      <c r="B38603" t="inlineStr">
        <is>
          <t>x̄x̄x̄V̅MMMDCII</t>
        </is>
      </c>
      <c r="C38603">
        <f>ROMAN(38602)</f>
        <v/>
      </c>
      <c r="D38603">
        <f>IF(B38603=C38603, "YES", "WRONG")</f>
        <v/>
      </c>
    </row>
    <row r="38604">
      <c r="A38604" t="n">
        <v>38603</v>
      </c>
      <c r="B38604" t="inlineStr">
        <is>
          <t>x̄x̄x̄V̅MMMDCIII</t>
        </is>
      </c>
      <c r="C38604">
        <f>ROMAN(38603)</f>
        <v/>
      </c>
      <c r="D38604">
        <f>IF(B38604=C38604, "YES", "WRONG")</f>
        <v/>
      </c>
    </row>
    <row r="38605">
      <c r="A38605" t="n">
        <v>38604</v>
      </c>
      <c r="B38605" t="inlineStr">
        <is>
          <t>x̄x̄x̄V̅MMMDCIV</t>
        </is>
      </c>
      <c r="C38605">
        <f>ROMAN(38604)</f>
        <v/>
      </c>
      <c r="D38605">
        <f>IF(B38605=C38605, "YES", "WRONG")</f>
        <v/>
      </c>
    </row>
    <row r="38606">
      <c r="A38606" t="n">
        <v>38605</v>
      </c>
      <c r="B38606" t="inlineStr">
        <is>
          <t>x̄x̄x̄V̅MMMDCV</t>
        </is>
      </c>
      <c r="C38606">
        <f>ROMAN(38605)</f>
        <v/>
      </c>
      <c r="D38606">
        <f>IF(B38606=C38606, "YES", "WRONG")</f>
        <v/>
      </c>
    </row>
    <row r="38607">
      <c r="A38607" t="n">
        <v>38606</v>
      </c>
      <c r="B38607" t="inlineStr">
        <is>
          <t>x̄x̄x̄V̅MMMDCVI</t>
        </is>
      </c>
      <c r="C38607">
        <f>ROMAN(38606)</f>
        <v/>
      </c>
      <c r="D38607">
        <f>IF(B38607=C38607, "YES", "WRONG")</f>
        <v/>
      </c>
    </row>
    <row r="38608">
      <c r="A38608" t="n">
        <v>38607</v>
      </c>
      <c r="B38608" t="inlineStr">
        <is>
          <t>x̄x̄x̄V̅MMMDCVII</t>
        </is>
      </c>
      <c r="C38608">
        <f>ROMAN(38607)</f>
        <v/>
      </c>
      <c r="D38608">
        <f>IF(B38608=C38608, "YES", "WRONG")</f>
        <v/>
      </c>
    </row>
    <row r="38609">
      <c r="A38609" t="n">
        <v>38608</v>
      </c>
      <c r="B38609" t="inlineStr">
        <is>
          <t>x̄x̄x̄V̅MMMDCVIII</t>
        </is>
      </c>
      <c r="C38609">
        <f>ROMAN(38608)</f>
        <v/>
      </c>
      <c r="D38609">
        <f>IF(B38609=C38609, "YES", "WRONG")</f>
        <v/>
      </c>
    </row>
    <row r="38610">
      <c r="A38610" t="n">
        <v>38609</v>
      </c>
      <c r="B38610" t="inlineStr">
        <is>
          <t>x̄x̄x̄V̅MMMDCIX</t>
        </is>
      </c>
      <c r="C38610">
        <f>ROMAN(38609)</f>
        <v/>
      </c>
      <c r="D38610">
        <f>IF(B38610=C38610, "YES", "WRONG")</f>
        <v/>
      </c>
    </row>
    <row r="38611">
      <c r="A38611" t="n">
        <v>38610</v>
      </c>
      <c r="B38611" t="inlineStr">
        <is>
          <t>x̄x̄x̄V̅MMMDCX</t>
        </is>
      </c>
      <c r="C38611">
        <f>ROMAN(38610)</f>
        <v/>
      </c>
      <c r="D38611">
        <f>IF(B38611=C38611, "YES", "WRONG")</f>
        <v/>
      </c>
    </row>
    <row r="38612">
      <c r="A38612" t="n">
        <v>38611</v>
      </c>
      <c r="B38612" t="inlineStr">
        <is>
          <t>x̄x̄x̄V̅MMMDCXI</t>
        </is>
      </c>
      <c r="C38612">
        <f>ROMAN(38611)</f>
        <v/>
      </c>
      <c r="D38612">
        <f>IF(B38612=C38612, "YES", "WRONG")</f>
        <v/>
      </c>
    </row>
    <row r="38613">
      <c r="A38613" t="n">
        <v>38612</v>
      </c>
      <c r="B38613" t="inlineStr">
        <is>
          <t>x̄x̄x̄V̅MMMDCXII</t>
        </is>
      </c>
      <c r="C38613">
        <f>ROMAN(38612)</f>
        <v/>
      </c>
      <c r="D38613">
        <f>IF(B38613=C38613, "YES", "WRONG")</f>
        <v/>
      </c>
    </row>
    <row r="38614">
      <c r="A38614" t="n">
        <v>38613</v>
      </c>
      <c r="B38614" t="inlineStr">
        <is>
          <t>x̄x̄x̄V̅MMMDCXIII</t>
        </is>
      </c>
      <c r="C38614">
        <f>ROMAN(38613)</f>
        <v/>
      </c>
      <c r="D38614">
        <f>IF(B38614=C38614, "YES", "WRONG")</f>
        <v/>
      </c>
    </row>
    <row r="38615">
      <c r="A38615" t="n">
        <v>38614</v>
      </c>
      <c r="B38615" t="inlineStr">
        <is>
          <t>x̄x̄x̄V̅MMMDCXIV</t>
        </is>
      </c>
      <c r="C38615">
        <f>ROMAN(38614)</f>
        <v/>
      </c>
      <c r="D38615">
        <f>IF(B38615=C38615, "YES", "WRONG")</f>
        <v/>
      </c>
    </row>
    <row r="38616">
      <c r="A38616" t="n">
        <v>38615</v>
      </c>
      <c r="B38616" t="inlineStr">
        <is>
          <t>x̄x̄x̄V̅MMMDCXV</t>
        </is>
      </c>
      <c r="C38616">
        <f>ROMAN(38615)</f>
        <v/>
      </c>
      <c r="D38616">
        <f>IF(B38616=C38616, "YES", "WRONG")</f>
        <v/>
      </c>
    </row>
    <row r="38617">
      <c r="A38617" t="n">
        <v>38616</v>
      </c>
      <c r="B38617" t="inlineStr">
        <is>
          <t>x̄x̄x̄V̅MMMDCXVI</t>
        </is>
      </c>
      <c r="C38617">
        <f>ROMAN(38616)</f>
        <v/>
      </c>
      <c r="D38617">
        <f>IF(B38617=C38617, "YES", "WRONG")</f>
        <v/>
      </c>
    </row>
    <row r="38618">
      <c r="A38618" t="n">
        <v>38617</v>
      </c>
      <c r="B38618" t="inlineStr">
        <is>
          <t>x̄x̄x̄V̅MMMDCXVII</t>
        </is>
      </c>
      <c r="C38618">
        <f>ROMAN(38617)</f>
        <v/>
      </c>
      <c r="D38618">
        <f>IF(B38618=C38618, "YES", "WRONG")</f>
        <v/>
      </c>
    </row>
    <row r="38619">
      <c r="A38619" t="n">
        <v>38618</v>
      </c>
      <c r="B38619" t="inlineStr">
        <is>
          <t>x̄x̄x̄V̅MMMDCXVIII</t>
        </is>
      </c>
      <c r="C38619">
        <f>ROMAN(38618)</f>
        <v/>
      </c>
      <c r="D38619">
        <f>IF(B38619=C38619, "YES", "WRONG")</f>
        <v/>
      </c>
    </row>
    <row r="38620">
      <c r="A38620" t="n">
        <v>38619</v>
      </c>
      <c r="B38620" t="inlineStr">
        <is>
          <t>x̄x̄x̄V̅MMMDCXIX</t>
        </is>
      </c>
      <c r="C38620">
        <f>ROMAN(38619)</f>
        <v/>
      </c>
      <c r="D38620">
        <f>IF(B38620=C38620, "YES", "WRONG")</f>
        <v/>
      </c>
    </row>
    <row r="38621">
      <c r="A38621" t="n">
        <v>38620</v>
      </c>
      <c r="B38621" t="inlineStr">
        <is>
          <t>x̄x̄x̄V̅MMMDCXX</t>
        </is>
      </c>
      <c r="C38621">
        <f>ROMAN(38620)</f>
        <v/>
      </c>
      <c r="D38621">
        <f>IF(B38621=C38621, "YES", "WRONG")</f>
        <v/>
      </c>
    </row>
    <row r="38622">
      <c r="A38622" t="n">
        <v>38621</v>
      </c>
      <c r="B38622" t="inlineStr">
        <is>
          <t>x̄x̄x̄V̅MMMDCXXI</t>
        </is>
      </c>
      <c r="C38622">
        <f>ROMAN(38621)</f>
        <v/>
      </c>
      <c r="D38622">
        <f>IF(B38622=C38622, "YES", "WRONG")</f>
        <v/>
      </c>
    </row>
    <row r="38623">
      <c r="A38623" t="n">
        <v>38622</v>
      </c>
      <c r="B38623" t="inlineStr">
        <is>
          <t>x̄x̄x̄V̅MMMDCXXII</t>
        </is>
      </c>
      <c r="C38623">
        <f>ROMAN(38622)</f>
        <v/>
      </c>
      <c r="D38623">
        <f>IF(B38623=C38623, "YES", "WRONG")</f>
        <v/>
      </c>
    </row>
    <row r="38624">
      <c r="A38624" t="n">
        <v>38623</v>
      </c>
      <c r="B38624" t="inlineStr">
        <is>
          <t>x̄x̄x̄V̅MMMDCXXIII</t>
        </is>
      </c>
      <c r="C38624">
        <f>ROMAN(38623)</f>
        <v/>
      </c>
      <c r="D38624">
        <f>IF(B38624=C38624, "YES", "WRONG")</f>
        <v/>
      </c>
    </row>
    <row r="38625">
      <c r="A38625" t="n">
        <v>38624</v>
      </c>
      <c r="B38625" t="inlineStr">
        <is>
          <t>x̄x̄x̄V̅MMMDCXXIV</t>
        </is>
      </c>
      <c r="C38625">
        <f>ROMAN(38624)</f>
        <v/>
      </c>
      <c r="D38625">
        <f>IF(B38625=C38625, "YES", "WRONG")</f>
        <v/>
      </c>
    </row>
    <row r="38626">
      <c r="A38626" t="n">
        <v>38625</v>
      </c>
      <c r="B38626" t="inlineStr">
        <is>
          <t>x̄x̄x̄V̅MMMDCXXV</t>
        </is>
      </c>
      <c r="C38626">
        <f>ROMAN(38625)</f>
        <v/>
      </c>
      <c r="D38626">
        <f>IF(B38626=C38626, "YES", "WRONG")</f>
        <v/>
      </c>
    </row>
    <row r="38627">
      <c r="A38627" t="n">
        <v>38626</v>
      </c>
      <c r="B38627" t="inlineStr">
        <is>
          <t>x̄x̄x̄V̅MMMDCXXVI</t>
        </is>
      </c>
      <c r="C38627">
        <f>ROMAN(38626)</f>
        <v/>
      </c>
      <c r="D38627">
        <f>IF(B38627=C38627, "YES", "WRONG")</f>
        <v/>
      </c>
    </row>
    <row r="38628">
      <c r="A38628" t="n">
        <v>38627</v>
      </c>
      <c r="B38628" t="inlineStr">
        <is>
          <t>x̄x̄x̄V̅MMMDCXXVII</t>
        </is>
      </c>
      <c r="C38628">
        <f>ROMAN(38627)</f>
        <v/>
      </c>
      <c r="D38628">
        <f>IF(B38628=C38628, "YES", "WRONG")</f>
        <v/>
      </c>
    </row>
    <row r="38629">
      <c r="A38629" t="n">
        <v>38628</v>
      </c>
      <c r="B38629" t="inlineStr">
        <is>
          <t>x̄x̄x̄V̅MMMDCXXVIII</t>
        </is>
      </c>
      <c r="C38629">
        <f>ROMAN(38628)</f>
        <v/>
      </c>
      <c r="D38629">
        <f>IF(B38629=C38629, "YES", "WRONG")</f>
        <v/>
      </c>
    </row>
    <row r="38630">
      <c r="A38630" t="n">
        <v>38629</v>
      </c>
      <c r="B38630" t="inlineStr">
        <is>
          <t>x̄x̄x̄V̅MMMDCXXIX</t>
        </is>
      </c>
      <c r="C38630">
        <f>ROMAN(38629)</f>
        <v/>
      </c>
      <c r="D38630">
        <f>IF(B38630=C38630, "YES", "WRONG")</f>
        <v/>
      </c>
    </row>
    <row r="38631">
      <c r="A38631" t="n">
        <v>38630</v>
      </c>
      <c r="B38631" t="inlineStr">
        <is>
          <t>x̄x̄x̄V̅MMMDCXXX</t>
        </is>
      </c>
      <c r="C38631">
        <f>ROMAN(38630)</f>
        <v/>
      </c>
      <c r="D38631">
        <f>IF(B38631=C38631, "YES", "WRONG")</f>
        <v/>
      </c>
    </row>
    <row r="38632">
      <c r="A38632" t="n">
        <v>38631</v>
      </c>
      <c r="B38632" t="inlineStr">
        <is>
          <t>x̄x̄x̄V̅MMMDCXXXI</t>
        </is>
      </c>
      <c r="C38632">
        <f>ROMAN(38631)</f>
        <v/>
      </c>
      <c r="D38632">
        <f>IF(B38632=C38632, "YES", "WRONG")</f>
        <v/>
      </c>
    </row>
    <row r="38633">
      <c r="A38633" t="n">
        <v>38632</v>
      </c>
      <c r="B38633" t="inlineStr">
        <is>
          <t>x̄x̄x̄V̅MMMDCXXXII</t>
        </is>
      </c>
      <c r="C38633">
        <f>ROMAN(38632)</f>
        <v/>
      </c>
      <c r="D38633">
        <f>IF(B38633=C38633, "YES", "WRONG")</f>
        <v/>
      </c>
    </row>
    <row r="38634">
      <c r="A38634" t="n">
        <v>38633</v>
      </c>
      <c r="B38634" t="inlineStr">
        <is>
          <t>x̄x̄x̄V̅MMMDCXXXIII</t>
        </is>
      </c>
      <c r="C38634">
        <f>ROMAN(38633)</f>
        <v/>
      </c>
      <c r="D38634">
        <f>IF(B38634=C38634, "YES", "WRONG")</f>
        <v/>
      </c>
    </row>
    <row r="38635">
      <c r="A38635" t="n">
        <v>38634</v>
      </c>
      <c r="B38635" t="inlineStr">
        <is>
          <t>x̄x̄x̄V̅MMMDCXXXIV</t>
        </is>
      </c>
      <c r="C38635">
        <f>ROMAN(38634)</f>
        <v/>
      </c>
      <c r="D38635">
        <f>IF(B38635=C38635, "YES", "WRONG")</f>
        <v/>
      </c>
    </row>
    <row r="38636">
      <c r="A38636" t="n">
        <v>38635</v>
      </c>
      <c r="B38636" t="inlineStr">
        <is>
          <t>x̄x̄x̄V̅MMMDCXXXV</t>
        </is>
      </c>
      <c r="C38636">
        <f>ROMAN(38635)</f>
        <v/>
      </c>
      <c r="D38636">
        <f>IF(B38636=C38636, "YES", "WRONG")</f>
        <v/>
      </c>
    </row>
    <row r="38637">
      <c r="A38637" t="n">
        <v>38636</v>
      </c>
      <c r="B38637" t="inlineStr">
        <is>
          <t>x̄x̄x̄V̅MMMDCXXXVI</t>
        </is>
      </c>
      <c r="C38637">
        <f>ROMAN(38636)</f>
        <v/>
      </c>
      <c r="D38637">
        <f>IF(B38637=C38637, "YES", "WRONG")</f>
        <v/>
      </c>
    </row>
    <row r="38638">
      <c r="A38638" t="n">
        <v>38637</v>
      </c>
      <c r="B38638" t="inlineStr">
        <is>
          <t>x̄x̄x̄V̅MMMDCXXXVII</t>
        </is>
      </c>
      <c r="C38638">
        <f>ROMAN(38637)</f>
        <v/>
      </c>
      <c r="D38638">
        <f>IF(B38638=C38638, "YES", "WRONG")</f>
        <v/>
      </c>
    </row>
    <row r="38639">
      <c r="A38639" t="n">
        <v>38638</v>
      </c>
      <c r="B38639" t="inlineStr">
        <is>
          <t>x̄x̄x̄V̅MMMDCXXXVIII</t>
        </is>
      </c>
      <c r="C38639">
        <f>ROMAN(38638)</f>
        <v/>
      </c>
      <c r="D38639">
        <f>IF(B38639=C38639, "YES", "WRONG")</f>
        <v/>
      </c>
    </row>
    <row r="38640">
      <c r="A38640" t="n">
        <v>38639</v>
      </c>
      <c r="B38640" t="inlineStr">
        <is>
          <t>x̄x̄x̄V̅MMMDCXXXIX</t>
        </is>
      </c>
      <c r="C38640">
        <f>ROMAN(38639)</f>
        <v/>
      </c>
      <c r="D38640">
        <f>IF(B38640=C38640, "YES", "WRONG")</f>
        <v/>
      </c>
    </row>
    <row r="38641">
      <c r="A38641" t="n">
        <v>38640</v>
      </c>
      <c r="B38641" t="inlineStr">
        <is>
          <t>x̄x̄x̄V̅MMMDCXL</t>
        </is>
      </c>
      <c r="C38641">
        <f>ROMAN(38640)</f>
        <v/>
      </c>
      <c r="D38641">
        <f>IF(B38641=C38641, "YES", "WRONG")</f>
        <v/>
      </c>
    </row>
    <row r="38642">
      <c r="A38642" t="n">
        <v>38641</v>
      </c>
      <c r="B38642" t="inlineStr">
        <is>
          <t>x̄x̄x̄V̅MMMDCXLI</t>
        </is>
      </c>
      <c r="C38642">
        <f>ROMAN(38641)</f>
        <v/>
      </c>
      <c r="D38642">
        <f>IF(B38642=C38642, "YES", "WRONG")</f>
        <v/>
      </c>
    </row>
    <row r="38643">
      <c r="A38643" t="n">
        <v>38642</v>
      </c>
      <c r="B38643" t="inlineStr">
        <is>
          <t>x̄x̄x̄V̅MMMDCXLII</t>
        </is>
      </c>
      <c r="C38643">
        <f>ROMAN(38642)</f>
        <v/>
      </c>
      <c r="D38643">
        <f>IF(B38643=C38643, "YES", "WRONG")</f>
        <v/>
      </c>
    </row>
    <row r="38644">
      <c r="A38644" t="n">
        <v>38643</v>
      </c>
      <c r="B38644" t="inlineStr">
        <is>
          <t>x̄x̄x̄V̅MMMDCXLIII</t>
        </is>
      </c>
      <c r="C38644">
        <f>ROMAN(38643)</f>
        <v/>
      </c>
      <c r="D38644">
        <f>IF(B38644=C38644, "YES", "WRONG")</f>
        <v/>
      </c>
    </row>
    <row r="38645">
      <c r="A38645" t="n">
        <v>38644</v>
      </c>
      <c r="B38645" t="inlineStr">
        <is>
          <t>x̄x̄x̄V̅MMMDCXLIV</t>
        </is>
      </c>
      <c r="C38645">
        <f>ROMAN(38644)</f>
        <v/>
      </c>
      <c r="D38645">
        <f>IF(B38645=C38645, "YES", "WRONG")</f>
        <v/>
      </c>
    </row>
    <row r="38646">
      <c r="A38646" t="n">
        <v>38645</v>
      </c>
      <c r="B38646" t="inlineStr">
        <is>
          <t>x̄x̄x̄V̅MMMDCXLV</t>
        </is>
      </c>
      <c r="C38646">
        <f>ROMAN(38645)</f>
        <v/>
      </c>
      <c r="D38646">
        <f>IF(B38646=C38646, "YES", "WRONG")</f>
        <v/>
      </c>
    </row>
    <row r="38647">
      <c r="A38647" t="n">
        <v>38646</v>
      </c>
      <c r="B38647" t="inlineStr">
        <is>
          <t>x̄x̄x̄V̅MMMDCXLVI</t>
        </is>
      </c>
      <c r="C38647">
        <f>ROMAN(38646)</f>
        <v/>
      </c>
      <c r="D38647">
        <f>IF(B38647=C38647, "YES", "WRONG")</f>
        <v/>
      </c>
    </row>
    <row r="38648">
      <c r="A38648" t="n">
        <v>38647</v>
      </c>
      <c r="B38648" t="inlineStr">
        <is>
          <t>x̄x̄x̄V̅MMMDCXLVII</t>
        </is>
      </c>
      <c r="C38648">
        <f>ROMAN(38647)</f>
        <v/>
      </c>
      <c r="D38648">
        <f>IF(B38648=C38648, "YES", "WRONG")</f>
        <v/>
      </c>
    </row>
    <row r="38649">
      <c r="A38649" t="n">
        <v>38648</v>
      </c>
      <c r="B38649" t="inlineStr">
        <is>
          <t>x̄x̄x̄V̅MMMDCXLVIII</t>
        </is>
      </c>
      <c r="C38649">
        <f>ROMAN(38648)</f>
        <v/>
      </c>
      <c r="D38649">
        <f>IF(B38649=C38649, "YES", "WRONG")</f>
        <v/>
      </c>
    </row>
    <row r="38650">
      <c r="A38650" t="n">
        <v>38649</v>
      </c>
      <c r="B38650" t="inlineStr">
        <is>
          <t>x̄x̄x̄V̅MMMDCXLIX</t>
        </is>
      </c>
      <c r="C38650">
        <f>ROMAN(38649)</f>
        <v/>
      </c>
      <c r="D38650">
        <f>IF(B38650=C38650, "YES", "WRONG")</f>
        <v/>
      </c>
    </row>
    <row r="38651">
      <c r="A38651" t="n">
        <v>38650</v>
      </c>
      <c r="B38651" t="inlineStr">
        <is>
          <t>x̄x̄x̄V̅MMMDCL</t>
        </is>
      </c>
      <c r="C38651">
        <f>ROMAN(38650)</f>
        <v/>
      </c>
      <c r="D38651">
        <f>IF(B38651=C38651, "YES", "WRONG")</f>
        <v/>
      </c>
    </row>
    <row r="38652">
      <c r="A38652" t="n">
        <v>38651</v>
      </c>
      <c r="B38652" t="inlineStr">
        <is>
          <t>x̄x̄x̄V̅MMMDCLI</t>
        </is>
      </c>
      <c r="C38652">
        <f>ROMAN(38651)</f>
        <v/>
      </c>
      <c r="D38652">
        <f>IF(B38652=C38652, "YES", "WRONG")</f>
        <v/>
      </c>
    </row>
    <row r="38653">
      <c r="A38653" t="n">
        <v>38652</v>
      </c>
      <c r="B38653" t="inlineStr">
        <is>
          <t>x̄x̄x̄V̅MMMDCLII</t>
        </is>
      </c>
      <c r="C38653">
        <f>ROMAN(38652)</f>
        <v/>
      </c>
      <c r="D38653">
        <f>IF(B38653=C38653, "YES", "WRONG")</f>
        <v/>
      </c>
    </row>
    <row r="38654">
      <c r="A38654" t="n">
        <v>38653</v>
      </c>
      <c r="B38654" t="inlineStr">
        <is>
          <t>x̄x̄x̄V̅MMMDCLIII</t>
        </is>
      </c>
      <c r="C38654">
        <f>ROMAN(38653)</f>
        <v/>
      </c>
      <c r="D38654">
        <f>IF(B38654=C38654, "YES", "WRONG")</f>
        <v/>
      </c>
    </row>
    <row r="38655">
      <c r="A38655" t="n">
        <v>38654</v>
      </c>
      <c r="B38655" t="inlineStr">
        <is>
          <t>x̄x̄x̄V̅MMMDCLIV</t>
        </is>
      </c>
      <c r="C38655">
        <f>ROMAN(38654)</f>
        <v/>
      </c>
      <c r="D38655">
        <f>IF(B38655=C38655, "YES", "WRONG")</f>
        <v/>
      </c>
    </row>
    <row r="38656">
      <c r="A38656" t="n">
        <v>38655</v>
      </c>
      <c r="B38656" t="inlineStr">
        <is>
          <t>x̄x̄x̄V̅MMMDCLV</t>
        </is>
      </c>
      <c r="C38656">
        <f>ROMAN(38655)</f>
        <v/>
      </c>
      <c r="D38656">
        <f>IF(B38656=C38656, "YES", "WRONG")</f>
        <v/>
      </c>
    </row>
    <row r="38657">
      <c r="A38657" t="n">
        <v>38656</v>
      </c>
      <c r="B38657" t="inlineStr">
        <is>
          <t>x̄x̄x̄V̅MMMDCLVI</t>
        </is>
      </c>
      <c r="C38657">
        <f>ROMAN(38656)</f>
        <v/>
      </c>
      <c r="D38657">
        <f>IF(B38657=C38657, "YES", "WRONG")</f>
        <v/>
      </c>
    </row>
    <row r="38658">
      <c r="A38658" t="n">
        <v>38657</v>
      </c>
      <c r="B38658" t="inlineStr">
        <is>
          <t>x̄x̄x̄V̅MMMDCLVII</t>
        </is>
      </c>
      <c r="C38658">
        <f>ROMAN(38657)</f>
        <v/>
      </c>
      <c r="D38658">
        <f>IF(B38658=C38658, "YES", "WRONG")</f>
        <v/>
      </c>
    </row>
    <row r="38659">
      <c r="A38659" t="n">
        <v>38658</v>
      </c>
      <c r="B38659" t="inlineStr">
        <is>
          <t>x̄x̄x̄V̅MMMDCLVIII</t>
        </is>
      </c>
      <c r="C38659">
        <f>ROMAN(38658)</f>
        <v/>
      </c>
      <c r="D38659">
        <f>IF(B38659=C38659, "YES", "WRONG")</f>
        <v/>
      </c>
    </row>
    <row r="38660">
      <c r="A38660" t="n">
        <v>38659</v>
      </c>
      <c r="B38660" t="inlineStr">
        <is>
          <t>x̄x̄x̄V̅MMMDCLIX</t>
        </is>
      </c>
      <c r="C38660">
        <f>ROMAN(38659)</f>
        <v/>
      </c>
      <c r="D38660">
        <f>IF(B38660=C38660, "YES", "WRONG")</f>
        <v/>
      </c>
    </row>
    <row r="38661">
      <c r="A38661" t="n">
        <v>38660</v>
      </c>
      <c r="B38661" t="inlineStr">
        <is>
          <t>x̄x̄x̄V̅MMMDCLX</t>
        </is>
      </c>
      <c r="C38661">
        <f>ROMAN(38660)</f>
        <v/>
      </c>
      <c r="D38661">
        <f>IF(B38661=C38661, "YES", "WRONG")</f>
        <v/>
      </c>
    </row>
    <row r="38662">
      <c r="A38662" t="n">
        <v>38661</v>
      </c>
      <c r="B38662" t="inlineStr">
        <is>
          <t>x̄x̄x̄V̅MMMDCLXI</t>
        </is>
      </c>
      <c r="C38662">
        <f>ROMAN(38661)</f>
        <v/>
      </c>
      <c r="D38662">
        <f>IF(B38662=C38662, "YES", "WRONG")</f>
        <v/>
      </c>
    </row>
    <row r="38663">
      <c r="A38663" t="n">
        <v>38662</v>
      </c>
      <c r="B38663" t="inlineStr">
        <is>
          <t>x̄x̄x̄V̅MMMDCLXII</t>
        </is>
      </c>
      <c r="C38663">
        <f>ROMAN(38662)</f>
        <v/>
      </c>
      <c r="D38663">
        <f>IF(B38663=C38663, "YES", "WRONG")</f>
        <v/>
      </c>
    </row>
    <row r="38664">
      <c r="A38664" t="n">
        <v>38663</v>
      </c>
      <c r="B38664" t="inlineStr">
        <is>
          <t>x̄x̄x̄V̅MMMDCLXIII</t>
        </is>
      </c>
      <c r="C38664">
        <f>ROMAN(38663)</f>
        <v/>
      </c>
      <c r="D38664">
        <f>IF(B38664=C38664, "YES", "WRONG")</f>
        <v/>
      </c>
    </row>
    <row r="38665">
      <c r="A38665" t="n">
        <v>38664</v>
      </c>
      <c r="B38665" t="inlineStr">
        <is>
          <t>x̄x̄x̄V̅MMMDCLXIV</t>
        </is>
      </c>
      <c r="C38665">
        <f>ROMAN(38664)</f>
        <v/>
      </c>
      <c r="D38665">
        <f>IF(B38665=C38665, "YES", "WRONG")</f>
        <v/>
      </c>
    </row>
    <row r="38666">
      <c r="A38666" t="n">
        <v>38665</v>
      </c>
      <c r="B38666" t="inlineStr">
        <is>
          <t>x̄x̄x̄V̅MMMDCLXV</t>
        </is>
      </c>
      <c r="C38666">
        <f>ROMAN(38665)</f>
        <v/>
      </c>
      <c r="D38666">
        <f>IF(B38666=C38666, "YES", "WRONG")</f>
        <v/>
      </c>
    </row>
    <row r="38667">
      <c r="A38667" t="n">
        <v>38666</v>
      </c>
      <c r="B38667" t="inlineStr">
        <is>
          <t>x̄x̄x̄V̅MMMDCLXVI</t>
        </is>
      </c>
      <c r="C38667">
        <f>ROMAN(38666)</f>
        <v/>
      </c>
      <c r="D38667">
        <f>IF(B38667=C38667, "YES", "WRONG")</f>
        <v/>
      </c>
    </row>
    <row r="38668">
      <c r="A38668" t="n">
        <v>38667</v>
      </c>
      <c r="B38668" t="inlineStr">
        <is>
          <t>x̄x̄x̄V̅MMMDCLXVII</t>
        </is>
      </c>
      <c r="C38668">
        <f>ROMAN(38667)</f>
        <v/>
      </c>
      <c r="D38668">
        <f>IF(B38668=C38668, "YES", "WRONG")</f>
        <v/>
      </c>
    </row>
    <row r="38669">
      <c r="A38669" t="n">
        <v>38668</v>
      </c>
      <c r="B38669" t="inlineStr">
        <is>
          <t>x̄x̄x̄V̅MMMDCLXVIII</t>
        </is>
      </c>
      <c r="C38669">
        <f>ROMAN(38668)</f>
        <v/>
      </c>
      <c r="D38669">
        <f>IF(B38669=C38669, "YES", "WRONG")</f>
        <v/>
      </c>
    </row>
    <row r="38670">
      <c r="A38670" t="n">
        <v>38669</v>
      </c>
      <c r="B38670" t="inlineStr">
        <is>
          <t>x̄x̄x̄V̅MMMDCLXIX</t>
        </is>
      </c>
      <c r="C38670">
        <f>ROMAN(38669)</f>
        <v/>
      </c>
      <c r="D38670">
        <f>IF(B38670=C38670, "YES", "WRONG")</f>
        <v/>
      </c>
    </row>
    <row r="38671">
      <c r="A38671" t="n">
        <v>38670</v>
      </c>
      <c r="B38671" t="inlineStr">
        <is>
          <t>x̄x̄x̄V̅MMMDCLXX</t>
        </is>
      </c>
      <c r="C38671">
        <f>ROMAN(38670)</f>
        <v/>
      </c>
      <c r="D38671">
        <f>IF(B38671=C38671, "YES", "WRONG")</f>
        <v/>
      </c>
    </row>
    <row r="38672">
      <c r="A38672" t="n">
        <v>38671</v>
      </c>
      <c r="B38672" t="inlineStr">
        <is>
          <t>x̄x̄x̄V̅MMMDCLXXI</t>
        </is>
      </c>
      <c r="C38672">
        <f>ROMAN(38671)</f>
        <v/>
      </c>
      <c r="D38672">
        <f>IF(B38672=C38672, "YES", "WRONG")</f>
        <v/>
      </c>
    </row>
    <row r="38673">
      <c r="A38673" t="n">
        <v>38672</v>
      </c>
      <c r="B38673" t="inlineStr">
        <is>
          <t>x̄x̄x̄V̅MMMDCLXXII</t>
        </is>
      </c>
      <c r="C38673">
        <f>ROMAN(38672)</f>
        <v/>
      </c>
      <c r="D38673">
        <f>IF(B38673=C38673, "YES", "WRONG")</f>
        <v/>
      </c>
    </row>
    <row r="38674">
      <c r="A38674" t="n">
        <v>38673</v>
      </c>
      <c r="B38674" t="inlineStr">
        <is>
          <t>x̄x̄x̄V̅MMMDCLXXIII</t>
        </is>
      </c>
      <c r="C38674">
        <f>ROMAN(38673)</f>
        <v/>
      </c>
      <c r="D38674">
        <f>IF(B38674=C38674, "YES", "WRONG")</f>
        <v/>
      </c>
    </row>
    <row r="38675">
      <c r="A38675" t="n">
        <v>38674</v>
      </c>
      <c r="B38675" t="inlineStr">
        <is>
          <t>x̄x̄x̄V̅MMMDCLXXIV</t>
        </is>
      </c>
      <c r="C38675">
        <f>ROMAN(38674)</f>
        <v/>
      </c>
      <c r="D38675">
        <f>IF(B38675=C38675, "YES", "WRONG")</f>
        <v/>
      </c>
    </row>
    <row r="38676">
      <c r="A38676" t="n">
        <v>38675</v>
      </c>
      <c r="B38676" t="inlineStr">
        <is>
          <t>x̄x̄x̄V̅MMMDCLXXV</t>
        </is>
      </c>
      <c r="C38676">
        <f>ROMAN(38675)</f>
        <v/>
      </c>
      <c r="D38676">
        <f>IF(B38676=C38676, "YES", "WRONG")</f>
        <v/>
      </c>
    </row>
    <row r="38677">
      <c r="A38677" t="n">
        <v>38676</v>
      </c>
      <c r="B38677" t="inlineStr">
        <is>
          <t>x̄x̄x̄V̅MMMDCLXXVI</t>
        </is>
      </c>
      <c r="C38677">
        <f>ROMAN(38676)</f>
        <v/>
      </c>
      <c r="D38677">
        <f>IF(B38677=C38677, "YES", "WRONG")</f>
        <v/>
      </c>
    </row>
    <row r="38678">
      <c r="A38678" t="n">
        <v>38677</v>
      </c>
      <c r="B38678" t="inlineStr">
        <is>
          <t>x̄x̄x̄V̅MMMDCLXXVII</t>
        </is>
      </c>
      <c r="C38678">
        <f>ROMAN(38677)</f>
        <v/>
      </c>
      <c r="D38678">
        <f>IF(B38678=C38678, "YES", "WRONG")</f>
        <v/>
      </c>
    </row>
    <row r="38679">
      <c r="A38679" t="n">
        <v>38678</v>
      </c>
      <c r="B38679" t="inlineStr">
        <is>
          <t>x̄x̄x̄V̅MMMDCLXXVIII</t>
        </is>
      </c>
      <c r="C38679">
        <f>ROMAN(38678)</f>
        <v/>
      </c>
      <c r="D38679">
        <f>IF(B38679=C38679, "YES", "WRONG")</f>
        <v/>
      </c>
    </row>
    <row r="38680">
      <c r="A38680" t="n">
        <v>38679</v>
      </c>
      <c r="B38680" t="inlineStr">
        <is>
          <t>x̄x̄x̄V̅MMMDCLXXIX</t>
        </is>
      </c>
      <c r="C38680">
        <f>ROMAN(38679)</f>
        <v/>
      </c>
      <c r="D38680">
        <f>IF(B38680=C38680, "YES", "WRONG")</f>
        <v/>
      </c>
    </row>
    <row r="38681">
      <c r="A38681" t="n">
        <v>38680</v>
      </c>
      <c r="B38681" t="inlineStr">
        <is>
          <t>x̄x̄x̄V̅MMMDCLXXX</t>
        </is>
      </c>
      <c r="C38681">
        <f>ROMAN(38680)</f>
        <v/>
      </c>
      <c r="D38681">
        <f>IF(B38681=C38681, "YES", "WRONG")</f>
        <v/>
      </c>
    </row>
    <row r="38682">
      <c r="A38682" t="n">
        <v>38681</v>
      </c>
      <c r="B38682" t="inlineStr">
        <is>
          <t>x̄x̄x̄V̅MMMDCLXXXI</t>
        </is>
      </c>
      <c r="C38682">
        <f>ROMAN(38681)</f>
        <v/>
      </c>
      <c r="D38682">
        <f>IF(B38682=C38682, "YES", "WRONG")</f>
        <v/>
      </c>
    </row>
    <row r="38683">
      <c r="A38683" t="n">
        <v>38682</v>
      </c>
      <c r="B38683" t="inlineStr">
        <is>
          <t>x̄x̄x̄V̅MMMDCLXXXII</t>
        </is>
      </c>
      <c r="C38683">
        <f>ROMAN(38682)</f>
        <v/>
      </c>
      <c r="D38683">
        <f>IF(B38683=C38683, "YES", "WRONG")</f>
        <v/>
      </c>
    </row>
    <row r="38684">
      <c r="A38684" t="n">
        <v>38683</v>
      </c>
      <c r="B38684" t="inlineStr">
        <is>
          <t>x̄x̄x̄V̅MMMDCLXXXIII</t>
        </is>
      </c>
      <c r="C38684">
        <f>ROMAN(38683)</f>
        <v/>
      </c>
      <c r="D38684">
        <f>IF(B38684=C38684, "YES", "WRONG")</f>
        <v/>
      </c>
    </row>
    <row r="38685">
      <c r="A38685" t="n">
        <v>38684</v>
      </c>
      <c r="B38685" t="inlineStr">
        <is>
          <t>x̄x̄x̄V̅MMMDCLXXXIV</t>
        </is>
      </c>
      <c r="C38685">
        <f>ROMAN(38684)</f>
        <v/>
      </c>
      <c r="D38685">
        <f>IF(B38685=C38685, "YES", "WRONG")</f>
        <v/>
      </c>
    </row>
    <row r="38686">
      <c r="A38686" t="n">
        <v>38685</v>
      </c>
      <c r="B38686" t="inlineStr">
        <is>
          <t>x̄x̄x̄V̅MMMDCLXXXV</t>
        </is>
      </c>
      <c r="C38686">
        <f>ROMAN(38685)</f>
        <v/>
      </c>
      <c r="D38686">
        <f>IF(B38686=C38686, "YES", "WRONG")</f>
        <v/>
      </c>
    </row>
    <row r="38687">
      <c r="A38687" t="n">
        <v>38686</v>
      </c>
      <c r="B38687" t="inlineStr">
        <is>
          <t>x̄x̄x̄V̅MMMDCLXXXVI</t>
        </is>
      </c>
      <c r="C38687">
        <f>ROMAN(38686)</f>
        <v/>
      </c>
      <c r="D38687">
        <f>IF(B38687=C38687, "YES", "WRONG")</f>
        <v/>
      </c>
    </row>
    <row r="38688">
      <c r="A38688" t="n">
        <v>38687</v>
      </c>
      <c r="B38688" t="inlineStr">
        <is>
          <t>x̄x̄x̄V̅MMMDCLXXXVII</t>
        </is>
      </c>
      <c r="C38688">
        <f>ROMAN(38687)</f>
        <v/>
      </c>
      <c r="D38688">
        <f>IF(B38688=C38688, "YES", "WRONG")</f>
        <v/>
      </c>
    </row>
    <row r="38689">
      <c r="A38689" t="n">
        <v>38688</v>
      </c>
      <c r="B38689" t="inlineStr">
        <is>
          <t>x̄x̄x̄V̅MMMDCLXXXVIII</t>
        </is>
      </c>
      <c r="C38689">
        <f>ROMAN(38688)</f>
        <v/>
      </c>
      <c r="D38689">
        <f>IF(B38689=C38689, "YES", "WRONG")</f>
        <v/>
      </c>
    </row>
    <row r="38690">
      <c r="A38690" t="n">
        <v>38689</v>
      </c>
      <c r="B38690" t="inlineStr">
        <is>
          <t>x̄x̄x̄V̅MMMDCLXXXIX</t>
        </is>
      </c>
      <c r="C38690">
        <f>ROMAN(38689)</f>
        <v/>
      </c>
      <c r="D38690">
        <f>IF(B38690=C38690, "YES", "WRONG")</f>
        <v/>
      </c>
    </row>
    <row r="38691">
      <c r="A38691" t="n">
        <v>38690</v>
      </c>
      <c r="B38691" t="inlineStr">
        <is>
          <t>x̄x̄x̄V̅MMMDCXC</t>
        </is>
      </c>
      <c r="C38691">
        <f>ROMAN(38690)</f>
        <v/>
      </c>
      <c r="D38691">
        <f>IF(B38691=C38691, "YES", "WRONG")</f>
        <v/>
      </c>
    </row>
    <row r="38692">
      <c r="A38692" t="n">
        <v>38691</v>
      </c>
      <c r="B38692" t="inlineStr">
        <is>
          <t>x̄x̄x̄V̅MMMDCXCI</t>
        </is>
      </c>
      <c r="C38692">
        <f>ROMAN(38691)</f>
        <v/>
      </c>
      <c r="D38692">
        <f>IF(B38692=C38692, "YES", "WRONG")</f>
        <v/>
      </c>
    </row>
    <row r="38693">
      <c r="A38693" t="n">
        <v>38692</v>
      </c>
      <c r="B38693" t="inlineStr">
        <is>
          <t>x̄x̄x̄V̅MMMDCXCII</t>
        </is>
      </c>
      <c r="C38693">
        <f>ROMAN(38692)</f>
        <v/>
      </c>
      <c r="D38693">
        <f>IF(B38693=C38693, "YES", "WRONG")</f>
        <v/>
      </c>
    </row>
    <row r="38694">
      <c r="A38694" t="n">
        <v>38693</v>
      </c>
      <c r="B38694" t="inlineStr">
        <is>
          <t>x̄x̄x̄V̅MMMDCXCIII</t>
        </is>
      </c>
      <c r="C38694">
        <f>ROMAN(38693)</f>
        <v/>
      </c>
      <c r="D38694">
        <f>IF(B38694=C38694, "YES", "WRONG")</f>
        <v/>
      </c>
    </row>
    <row r="38695">
      <c r="A38695" t="n">
        <v>38694</v>
      </c>
      <c r="B38695" t="inlineStr">
        <is>
          <t>x̄x̄x̄V̅MMMDCXCIV</t>
        </is>
      </c>
      <c r="C38695">
        <f>ROMAN(38694)</f>
        <v/>
      </c>
      <c r="D38695">
        <f>IF(B38695=C38695, "YES", "WRONG")</f>
        <v/>
      </c>
    </row>
    <row r="38696">
      <c r="A38696" t="n">
        <v>38695</v>
      </c>
      <c r="B38696" t="inlineStr">
        <is>
          <t>x̄x̄x̄V̅MMMDCXCV</t>
        </is>
      </c>
      <c r="C38696">
        <f>ROMAN(38695)</f>
        <v/>
      </c>
      <c r="D38696">
        <f>IF(B38696=C38696, "YES", "WRONG")</f>
        <v/>
      </c>
    </row>
    <row r="38697">
      <c r="A38697" t="n">
        <v>38696</v>
      </c>
      <c r="B38697" t="inlineStr">
        <is>
          <t>x̄x̄x̄V̅MMMDCXCVI</t>
        </is>
      </c>
      <c r="C38697">
        <f>ROMAN(38696)</f>
        <v/>
      </c>
      <c r="D38697">
        <f>IF(B38697=C38697, "YES", "WRONG")</f>
        <v/>
      </c>
    </row>
    <row r="38698">
      <c r="A38698" t="n">
        <v>38697</v>
      </c>
      <c r="B38698" t="inlineStr">
        <is>
          <t>x̄x̄x̄V̅MMMDCXCVII</t>
        </is>
      </c>
      <c r="C38698">
        <f>ROMAN(38697)</f>
        <v/>
      </c>
      <c r="D38698">
        <f>IF(B38698=C38698, "YES", "WRONG")</f>
        <v/>
      </c>
    </row>
    <row r="38699">
      <c r="A38699" t="n">
        <v>38698</v>
      </c>
      <c r="B38699" t="inlineStr">
        <is>
          <t>x̄x̄x̄V̅MMMDCXCVIII</t>
        </is>
      </c>
      <c r="C38699">
        <f>ROMAN(38698)</f>
        <v/>
      </c>
      <c r="D38699">
        <f>IF(B38699=C38699, "YES", "WRONG")</f>
        <v/>
      </c>
    </row>
    <row r="38700">
      <c r="A38700" t="n">
        <v>38699</v>
      </c>
      <c r="B38700" t="inlineStr">
        <is>
          <t>x̄x̄x̄V̅MMMDCXCIX</t>
        </is>
      </c>
      <c r="C38700">
        <f>ROMAN(38699)</f>
        <v/>
      </c>
      <c r="D38700">
        <f>IF(B38700=C38700, "YES", "WRONG")</f>
        <v/>
      </c>
    </row>
    <row r="38701">
      <c r="A38701" t="n">
        <v>38700</v>
      </c>
      <c r="B38701" t="inlineStr">
        <is>
          <t>x̄x̄x̄V̅MMMDCC</t>
        </is>
      </c>
      <c r="C38701">
        <f>ROMAN(38700)</f>
        <v/>
      </c>
      <c r="D38701">
        <f>IF(B38701=C38701, "YES", "WRONG")</f>
        <v/>
      </c>
    </row>
    <row r="38702">
      <c r="A38702" t="n">
        <v>38701</v>
      </c>
      <c r="B38702" t="inlineStr">
        <is>
          <t>x̄x̄x̄V̅MMMDCCI</t>
        </is>
      </c>
      <c r="C38702">
        <f>ROMAN(38701)</f>
        <v/>
      </c>
      <c r="D38702">
        <f>IF(B38702=C38702, "YES", "WRONG")</f>
        <v/>
      </c>
    </row>
    <row r="38703">
      <c r="A38703" t="n">
        <v>38702</v>
      </c>
      <c r="B38703" t="inlineStr">
        <is>
          <t>x̄x̄x̄V̅MMMDCCII</t>
        </is>
      </c>
      <c r="C38703">
        <f>ROMAN(38702)</f>
        <v/>
      </c>
      <c r="D38703">
        <f>IF(B38703=C38703, "YES", "WRONG")</f>
        <v/>
      </c>
    </row>
    <row r="38704">
      <c r="A38704" t="n">
        <v>38703</v>
      </c>
      <c r="B38704" t="inlineStr">
        <is>
          <t>x̄x̄x̄V̅MMMDCCIII</t>
        </is>
      </c>
      <c r="C38704">
        <f>ROMAN(38703)</f>
        <v/>
      </c>
      <c r="D38704">
        <f>IF(B38704=C38704, "YES", "WRONG")</f>
        <v/>
      </c>
    </row>
    <row r="38705">
      <c r="A38705" t="n">
        <v>38704</v>
      </c>
      <c r="B38705" t="inlineStr">
        <is>
          <t>x̄x̄x̄V̅MMMDCCIV</t>
        </is>
      </c>
      <c r="C38705">
        <f>ROMAN(38704)</f>
        <v/>
      </c>
      <c r="D38705">
        <f>IF(B38705=C38705, "YES", "WRONG")</f>
        <v/>
      </c>
    </row>
    <row r="38706">
      <c r="A38706" t="n">
        <v>38705</v>
      </c>
      <c r="B38706" t="inlineStr">
        <is>
          <t>x̄x̄x̄V̅MMMDCCV</t>
        </is>
      </c>
      <c r="C38706">
        <f>ROMAN(38705)</f>
        <v/>
      </c>
      <c r="D38706">
        <f>IF(B38706=C38706, "YES", "WRONG")</f>
        <v/>
      </c>
    </row>
    <row r="38707">
      <c r="A38707" t="n">
        <v>38706</v>
      </c>
      <c r="B38707" t="inlineStr">
        <is>
          <t>x̄x̄x̄V̅MMMDCCVI</t>
        </is>
      </c>
      <c r="C38707">
        <f>ROMAN(38706)</f>
        <v/>
      </c>
      <c r="D38707">
        <f>IF(B38707=C38707, "YES", "WRONG")</f>
        <v/>
      </c>
    </row>
    <row r="38708">
      <c r="A38708" t="n">
        <v>38707</v>
      </c>
      <c r="B38708" t="inlineStr">
        <is>
          <t>x̄x̄x̄V̅MMMDCCVII</t>
        </is>
      </c>
      <c r="C38708">
        <f>ROMAN(38707)</f>
        <v/>
      </c>
      <c r="D38708">
        <f>IF(B38708=C38708, "YES", "WRONG")</f>
        <v/>
      </c>
    </row>
    <row r="38709">
      <c r="A38709" t="n">
        <v>38708</v>
      </c>
      <c r="B38709" t="inlineStr">
        <is>
          <t>x̄x̄x̄V̅MMMDCCVIII</t>
        </is>
      </c>
      <c r="C38709">
        <f>ROMAN(38708)</f>
        <v/>
      </c>
      <c r="D38709">
        <f>IF(B38709=C38709, "YES", "WRONG")</f>
        <v/>
      </c>
    </row>
    <row r="38710">
      <c r="A38710" t="n">
        <v>38709</v>
      </c>
      <c r="B38710" t="inlineStr">
        <is>
          <t>x̄x̄x̄V̅MMMDCCIX</t>
        </is>
      </c>
      <c r="C38710">
        <f>ROMAN(38709)</f>
        <v/>
      </c>
      <c r="D38710">
        <f>IF(B38710=C38710, "YES", "WRONG")</f>
        <v/>
      </c>
    </row>
    <row r="38711">
      <c r="A38711" t="n">
        <v>38710</v>
      </c>
      <c r="B38711" t="inlineStr">
        <is>
          <t>x̄x̄x̄V̅MMMDCCX</t>
        </is>
      </c>
      <c r="C38711">
        <f>ROMAN(38710)</f>
        <v/>
      </c>
      <c r="D38711">
        <f>IF(B38711=C38711, "YES", "WRONG")</f>
        <v/>
      </c>
    </row>
    <row r="38712">
      <c r="A38712" t="n">
        <v>38711</v>
      </c>
      <c r="B38712" t="inlineStr">
        <is>
          <t>x̄x̄x̄V̅MMMDCCXI</t>
        </is>
      </c>
      <c r="C38712">
        <f>ROMAN(38711)</f>
        <v/>
      </c>
      <c r="D38712">
        <f>IF(B38712=C38712, "YES", "WRONG")</f>
        <v/>
      </c>
    </row>
    <row r="38713">
      <c r="A38713" t="n">
        <v>38712</v>
      </c>
      <c r="B38713" t="inlineStr">
        <is>
          <t>x̄x̄x̄V̅MMMDCCXII</t>
        </is>
      </c>
      <c r="C38713">
        <f>ROMAN(38712)</f>
        <v/>
      </c>
      <c r="D38713">
        <f>IF(B38713=C38713, "YES", "WRONG")</f>
        <v/>
      </c>
    </row>
    <row r="38714">
      <c r="A38714" t="n">
        <v>38713</v>
      </c>
      <c r="B38714" t="inlineStr">
        <is>
          <t>x̄x̄x̄V̅MMMDCCXIII</t>
        </is>
      </c>
      <c r="C38714">
        <f>ROMAN(38713)</f>
        <v/>
      </c>
      <c r="D38714">
        <f>IF(B38714=C38714, "YES", "WRONG")</f>
        <v/>
      </c>
    </row>
    <row r="38715">
      <c r="A38715" t="n">
        <v>38714</v>
      </c>
      <c r="B38715" t="inlineStr">
        <is>
          <t>x̄x̄x̄V̅MMMDCCXIV</t>
        </is>
      </c>
      <c r="C38715">
        <f>ROMAN(38714)</f>
        <v/>
      </c>
      <c r="D38715">
        <f>IF(B38715=C38715, "YES", "WRONG")</f>
        <v/>
      </c>
    </row>
    <row r="38716">
      <c r="A38716" t="n">
        <v>38715</v>
      </c>
      <c r="B38716" t="inlineStr">
        <is>
          <t>x̄x̄x̄V̅MMMDCCXV</t>
        </is>
      </c>
      <c r="C38716">
        <f>ROMAN(38715)</f>
        <v/>
      </c>
      <c r="D38716">
        <f>IF(B38716=C38716, "YES", "WRONG")</f>
        <v/>
      </c>
    </row>
    <row r="38717">
      <c r="A38717" t="n">
        <v>38716</v>
      </c>
      <c r="B38717" t="inlineStr">
        <is>
          <t>x̄x̄x̄V̅MMMDCCXVI</t>
        </is>
      </c>
      <c r="C38717">
        <f>ROMAN(38716)</f>
        <v/>
      </c>
      <c r="D38717">
        <f>IF(B38717=C38717, "YES", "WRONG")</f>
        <v/>
      </c>
    </row>
    <row r="38718">
      <c r="A38718" t="n">
        <v>38717</v>
      </c>
      <c r="B38718" t="inlineStr">
        <is>
          <t>x̄x̄x̄V̅MMMDCCXVII</t>
        </is>
      </c>
      <c r="C38718">
        <f>ROMAN(38717)</f>
        <v/>
      </c>
      <c r="D38718">
        <f>IF(B38718=C38718, "YES", "WRONG")</f>
        <v/>
      </c>
    </row>
    <row r="38719">
      <c r="A38719" t="n">
        <v>38718</v>
      </c>
      <c r="B38719" t="inlineStr">
        <is>
          <t>x̄x̄x̄V̅MMMDCCXVIII</t>
        </is>
      </c>
      <c r="C38719">
        <f>ROMAN(38718)</f>
        <v/>
      </c>
      <c r="D38719">
        <f>IF(B38719=C38719, "YES", "WRONG")</f>
        <v/>
      </c>
    </row>
    <row r="38720">
      <c r="A38720" t="n">
        <v>38719</v>
      </c>
      <c r="B38720" t="inlineStr">
        <is>
          <t>x̄x̄x̄V̅MMMDCCXIX</t>
        </is>
      </c>
      <c r="C38720">
        <f>ROMAN(38719)</f>
        <v/>
      </c>
      <c r="D38720">
        <f>IF(B38720=C38720, "YES", "WRONG")</f>
        <v/>
      </c>
    </row>
    <row r="38721">
      <c r="A38721" t="n">
        <v>38720</v>
      </c>
      <c r="B38721" t="inlineStr">
        <is>
          <t>x̄x̄x̄V̅MMMDCCXX</t>
        </is>
      </c>
      <c r="C38721">
        <f>ROMAN(38720)</f>
        <v/>
      </c>
      <c r="D38721">
        <f>IF(B38721=C38721, "YES", "WRONG")</f>
        <v/>
      </c>
    </row>
    <row r="38722">
      <c r="A38722" t="n">
        <v>38721</v>
      </c>
      <c r="B38722" t="inlineStr">
        <is>
          <t>x̄x̄x̄V̅MMMDCCXXI</t>
        </is>
      </c>
      <c r="C38722">
        <f>ROMAN(38721)</f>
        <v/>
      </c>
      <c r="D38722">
        <f>IF(B38722=C38722, "YES", "WRONG")</f>
        <v/>
      </c>
    </row>
    <row r="38723">
      <c r="A38723" t="n">
        <v>38722</v>
      </c>
      <c r="B38723" t="inlineStr">
        <is>
          <t>x̄x̄x̄V̅MMMDCCXXII</t>
        </is>
      </c>
      <c r="C38723">
        <f>ROMAN(38722)</f>
        <v/>
      </c>
      <c r="D38723">
        <f>IF(B38723=C38723, "YES", "WRONG")</f>
        <v/>
      </c>
    </row>
    <row r="38724">
      <c r="A38724" t="n">
        <v>38723</v>
      </c>
      <c r="B38724" t="inlineStr">
        <is>
          <t>x̄x̄x̄V̅MMMDCCXXIII</t>
        </is>
      </c>
      <c r="C38724">
        <f>ROMAN(38723)</f>
        <v/>
      </c>
      <c r="D38724">
        <f>IF(B38724=C38724, "YES", "WRONG")</f>
        <v/>
      </c>
    </row>
    <row r="38725">
      <c r="A38725" t="n">
        <v>38724</v>
      </c>
      <c r="B38725" t="inlineStr">
        <is>
          <t>x̄x̄x̄V̅MMMDCCXXIV</t>
        </is>
      </c>
      <c r="C38725">
        <f>ROMAN(38724)</f>
        <v/>
      </c>
      <c r="D38725">
        <f>IF(B38725=C38725, "YES", "WRONG")</f>
        <v/>
      </c>
    </row>
    <row r="38726">
      <c r="A38726" t="n">
        <v>38725</v>
      </c>
      <c r="B38726" t="inlineStr">
        <is>
          <t>x̄x̄x̄V̅MMMDCCXXV</t>
        </is>
      </c>
      <c r="C38726">
        <f>ROMAN(38725)</f>
        <v/>
      </c>
      <c r="D38726">
        <f>IF(B38726=C38726, "YES", "WRONG")</f>
        <v/>
      </c>
    </row>
    <row r="38727">
      <c r="A38727" t="n">
        <v>38726</v>
      </c>
      <c r="B38727" t="inlineStr">
        <is>
          <t>x̄x̄x̄V̅MMMDCCXXVI</t>
        </is>
      </c>
      <c r="C38727">
        <f>ROMAN(38726)</f>
        <v/>
      </c>
      <c r="D38727">
        <f>IF(B38727=C38727, "YES", "WRONG")</f>
        <v/>
      </c>
    </row>
    <row r="38728">
      <c r="A38728" t="n">
        <v>38727</v>
      </c>
      <c r="B38728" t="inlineStr">
        <is>
          <t>x̄x̄x̄V̅MMMDCCXXVII</t>
        </is>
      </c>
      <c r="C38728">
        <f>ROMAN(38727)</f>
        <v/>
      </c>
      <c r="D38728">
        <f>IF(B38728=C38728, "YES", "WRONG")</f>
        <v/>
      </c>
    </row>
    <row r="38729">
      <c r="A38729" t="n">
        <v>38728</v>
      </c>
      <c r="B38729" t="inlineStr">
        <is>
          <t>x̄x̄x̄V̅MMMDCCXXVIII</t>
        </is>
      </c>
      <c r="C38729">
        <f>ROMAN(38728)</f>
        <v/>
      </c>
      <c r="D38729">
        <f>IF(B38729=C38729, "YES", "WRONG")</f>
        <v/>
      </c>
    </row>
    <row r="38730">
      <c r="A38730" t="n">
        <v>38729</v>
      </c>
      <c r="B38730" t="inlineStr">
        <is>
          <t>x̄x̄x̄V̅MMMDCCXXIX</t>
        </is>
      </c>
      <c r="C38730">
        <f>ROMAN(38729)</f>
        <v/>
      </c>
      <c r="D38730">
        <f>IF(B38730=C38730, "YES", "WRONG")</f>
        <v/>
      </c>
    </row>
    <row r="38731">
      <c r="A38731" t="n">
        <v>38730</v>
      </c>
      <c r="B38731" t="inlineStr">
        <is>
          <t>x̄x̄x̄V̅MMMDCCXXX</t>
        </is>
      </c>
      <c r="C38731">
        <f>ROMAN(38730)</f>
        <v/>
      </c>
      <c r="D38731">
        <f>IF(B38731=C38731, "YES", "WRONG")</f>
        <v/>
      </c>
    </row>
    <row r="38732">
      <c r="A38732" t="n">
        <v>38731</v>
      </c>
      <c r="B38732" t="inlineStr">
        <is>
          <t>x̄x̄x̄V̅MMMDCCXXXI</t>
        </is>
      </c>
      <c r="C38732">
        <f>ROMAN(38731)</f>
        <v/>
      </c>
      <c r="D38732">
        <f>IF(B38732=C38732, "YES", "WRONG")</f>
        <v/>
      </c>
    </row>
    <row r="38733">
      <c r="A38733" t="n">
        <v>38732</v>
      </c>
      <c r="B38733" t="inlineStr">
        <is>
          <t>x̄x̄x̄V̅MMMDCCXXXII</t>
        </is>
      </c>
      <c r="C38733">
        <f>ROMAN(38732)</f>
        <v/>
      </c>
      <c r="D38733">
        <f>IF(B38733=C38733, "YES", "WRONG")</f>
        <v/>
      </c>
    </row>
    <row r="38734">
      <c r="A38734" t="n">
        <v>38733</v>
      </c>
      <c r="B38734" t="inlineStr">
        <is>
          <t>x̄x̄x̄V̅MMMDCCXXXIII</t>
        </is>
      </c>
      <c r="C38734">
        <f>ROMAN(38733)</f>
        <v/>
      </c>
      <c r="D38734">
        <f>IF(B38734=C38734, "YES", "WRONG")</f>
        <v/>
      </c>
    </row>
    <row r="38735">
      <c r="A38735" t="n">
        <v>38734</v>
      </c>
      <c r="B38735" t="inlineStr">
        <is>
          <t>x̄x̄x̄V̅MMMDCCXXXIV</t>
        </is>
      </c>
      <c r="C38735">
        <f>ROMAN(38734)</f>
        <v/>
      </c>
      <c r="D38735">
        <f>IF(B38735=C38735, "YES", "WRONG")</f>
        <v/>
      </c>
    </row>
    <row r="38736">
      <c r="A38736" t="n">
        <v>38735</v>
      </c>
      <c r="B38736" t="inlineStr">
        <is>
          <t>x̄x̄x̄V̅MMMDCCXXXV</t>
        </is>
      </c>
      <c r="C38736">
        <f>ROMAN(38735)</f>
        <v/>
      </c>
      <c r="D38736">
        <f>IF(B38736=C38736, "YES", "WRONG")</f>
        <v/>
      </c>
    </row>
    <row r="38737">
      <c r="A38737" t="n">
        <v>38736</v>
      </c>
      <c r="B38737" t="inlineStr">
        <is>
          <t>x̄x̄x̄V̅MMMDCCXXXVI</t>
        </is>
      </c>
      <c r="C38737">
        <f>ROMAN(38736)</f>
        <v/>
      </c>
      <c r="D38737">
        <f>IF(B38737=C38737, "YES", "WRONG")</f>
        <v/>
      </c>
    </row>
    <row r="38738">
      <c r="A38738" t="n">
        <v>38737</v>
      </c>
      <c r="B38738" t="inlineStr">
        <is>
          <t>x̄x̄x̄V̅MMMDCCXXXVII</t>
        </is>
      </c>
      <c r="C38738">
        <f>ROMAN(38737)</f>
        <v/>
      </c>
      <c r="D38738">
        <f>IF(B38738=C38738, "YES", "WRONG")</f>
        <v/>
      </c>
    </row>
    <row r="38739">
      <c r="A38739" t="n">
        <v>38738</v>
      </c>
      <c r="B38739" t="inlineStr">
        <is>
          <t>x̄x̄x̄V̅MMMDCCXXXVIII</t>
        </is>
      </c>
      <c r="C38739">
        <f>ROMAN(38738)</f>
        <v/>
      </c>
      <c r="D38739">
        <f>IF(B38739=C38739, "YES", "WRONG")</f>
        <v/>
      </c>
    </row>
    <row r="38740">
      <c r="A38740" t="n">
        <v>38739</v>
      </c>
      <c r="B38740" t="inlineStr">
        <is>
          <t>x̄x̄x̄V̅MMMDCCXXXIX</t>
        </is>
      </c>
      <c r="C38740">
        <f>ROMAN(38739)</f>
        <v/>
      </c>
      <c r="D38740">
        <f>IF(B38740=C38740, "YES", "WRONG")</f>
        <v/>
      </c>
    </row>
    <row r="38741">
      <c r="A38741" t="n">
        <v>38740</v>
      </c>
      <c r="B38741" t="inlineStr">
        <is>
          <t>x̄x̄x̄V̅MMMDCCXL</t>
        </is>
      </c>
      <c r="C38741">
        <f>ROMAN(38740)</f>
        <v/>
      </c>
      <c r="D38741">
        <f>IF(B38741=C38741, "YES", "WRONG")</f>
        <v/>
      </c>
    </row>
    <row r="38742">
      <c r="A38742" t="n">
        <v>38741</v>
      </c>
      <c r="B38742" t="inlineStr">
        <is>
          <t>x̄x̄x̄V̅MMMDCCXLI</t>
        </is>
      </c>
      <c r="C38742">
        <f>ROMAN(38741)</f>
        <v/>
      </c>
      <c r="D38742">
        <f>IF(B38742=C38742, "YES", "WRONG")</f>
        <v/>
      </c>
    </row>
    <row r="38743">
      <c r="A38743" t="n">
        <v>38742</v>
      </c>
      <c r="B38743" t="inlineStr">
        <is>
          <t>x̄x̄x̄V̅MMMDCCXLII</t>
        </is>
      </c>
      <c r="C38743">
        <f>ROMAN(38742)</f>
        <v/>
      </c>
      <c r="D38743">
        <f>IF(B38743=C38743, "YES", "WRONG")</f>
        <v/>
      </c>
    </row>
    <row r="38744">
      <c r="A38744" t="n">
        <v>38743</v>
      </c>
      <c r="B38744" t="inlineStr">
        <is>
          <t>x̄x̄x̄V̅MMMDCCXLIII</t>
        </is>
      </c>
      <c r="C38744">
        <f>ROMAN(38743)</f>
        <v/>
      </c>
      <c r="D38744">
        <f>IF(B38744=C38744, "YES", "WRONG")</f>
        <v/>
      </c>
    </row>
    <row r="38745">
      <c r="A38745" t="n">
        <v>38744</v>
      </c>
      <c r="B38745" t="inlineStr">
        <is>
          <t>x̄x̄x̄V̅MMMDCCXLIV</t>
        </is>
      </c>
      <c r="C38745">
        <f>ROMAN(38744)</f>
        <v/>
      </c>
      <c r="D38745">
        <f>IF(B38745=C38745, "YES", "WRONG")</f>
        <v/>
      </c>
    </row>
    <row r="38746">
      <c r="A38746" t="n">
        <v>38745</v>
      </c>
      <c r="B38746" t="inlineStr">
        <is>
          <t>x̄x̄x̄V̅MMMDCCXLV</t>
        </is>
      </c>
      <c r="C38746">
        <f>ROMAN(38745)</f>
        <v/>
      </c>
      <c r="D38746">
        <f>IF(B38746=C38746, "YES", "WRONG")</f>
        <v/>
      </c>
    </row>
    <row r="38747">
      <c r="A38747" t="n">
        <v>38746</v>
      </c>
      <c r="B38747" t="inlineStr">
        <is>
          <t>x̄x̄x̄V̅MMMDCCXLVI</t>
        </is>
      </c>
      <c r="C38747">
        <f>ROMAN(38746)</f>
        <v/>
      </c>
      <c r="D38747">
        <f>IF(B38747=C38747, "YES", "WRONG")</f>
        <v/>
      </c>
    </row>
    <row r="38748">
      <c r="A38748" t="n">
        <v>38747</v>
      </c>
      <c r="B38748" t="inlineStr">
        <is>
          <t>x̄x̄x̄V̅MMMDCCXLVII</t>
        </is>
      </c>
      <c r="C38748">
        <f>ROMAN(38747)</f>
        <v/>
      </c>
      <c r="D38748">
        <f>IF(B38748=C38748, "YES", "WRONG")</f>
        <v/>
      </c>
    </row>
    <row r="38749">
      <c r="A38749" t="n">
        <v>38748</v>
      </c>
      <c r="B38749" t="inlineStr">
        <is>
          <t>x̄x̄x̄V̅MMMDCCXLVIII</t>
        </is>
      </c>
      <c r="C38749">
        <f>ROMAN(38748)</f>
        <v/>
      </c>
      <c r="D38749">
        <f>IF(B38749=C38749, "YES", "WRONG")</f>
        <v/>
      </c>
    </row>
    <row r="38750">
      <c r="A38750" t="n">
        <v>38749</v>
      </c>
      <c r="B38750" t="inlineStr">
        <is>
          <t>x̄x̄x̄V̅MMMDCCXLIX</t>
        </is>
      </c>
      <c r="C38750">
        <f>ROMAN(38749)</f>
        <v/>
      </c>
      <c r="D38750">
        <f>IF(B38750=C38750, "YES", "WRONG")</f>
        <v/>
      </c>
    </row>
    <row r="38751">
      <c r="A38751" t="n">
        <v>38750</v>
      </c>
      <c r="B38751" t="inlineStr">
        <is>
          <t>x̄x̄x̄V̅MMMDCCL</t>
        </is>
      </c>
      <c r="C38751">
        <f>ROMAN(38750)</f>
        <v/>
      </c>
      <c r="D38751">
        <f>IF(B38751=C38751, "YES", "WRONG")</f>
        <v/>
      </c>
    </row>
    <row r="38752">
      <c r="A38752" t="n">
        <v>38751</v>
      </c>
      <c r="B38752" t="inlineStr">
        <is>
          <t>x̄x̄x̄V̅MMMDCCLI</t>
        </is>
      </c>
      <c r="C38752">
        <f>ROMAN(38751)</f>
        <v/>
      </c>
      <c r="D38752">
        <f>IF(B38752=C38752, "YES", "WRONG")</f>
        <v/>
      </c>
    </row>
    <row r="38753">
      <c r="A38753" t="n">
        <v>38752</v>
      </c>
      <c r="B38753" t="inlineStr">
        <is>
          <t>x̄x̄x̄V̅MMMDCCLII</t>
        </is>
      </c>
      <c r="C38753">
        <f>ROMAN(38752)</f>
        <v/>
      </c>
      <c r="D38753">
        <f>IF(B38753=C38753, "YES", "WRONG")</f>
        <v/>
      </c>
    </row>
    <row r="38754">
      <c r="A38754" t="n">
        <v>38753</v>
      </c>
      <c r="B38754" t="inlineStr">
        <is>
          <t>x̄x̄x̄V̅MMMDCCLIII</t>
        </is>
      </c>
      <c r="C38754">
        <f>ROMAN(38753)</f>
        <v/>
      </c>
      <c r="D38754">
        <f>IF(B38754=C38754, "YES", "WRONG")</f>
        <v/>
      </c>
    </row>
    <row r="38755">
      <c r="A38755" t="n">
        <v>38754</v>
      </c>
      <c r="B38755" t="inlineStr">
        <is>
          <t>x̄x̄x̄V̅MMMDCCLIV</t>
        </is>
      </c>
      <c r="C38755">
        <f>ROMAN(38754)</f>
        <v/>
      </c>
      <c r="D38755">
        <f>IF(B38755=C38755, "YES", "WRONG")</f>
        <v/>
      </c>
    </row>
    <row r="38756">
      <c r="A38756" t="n">
        <v>38755</v>
      </c>
      <c r="B38756" t="inlineStr">
        <is>
          <t>x̄x̄x̄V̅MMMDCCLV</t>
        </is>
      </c>
      <c r="C38756">
        <f>ROMAN(38755)</f>
        <v/>
      </c>
      <c r="D38756">
        <f>IF(B38756=C38756, "YES", "WRONG")</f>
        <v/>
      </c>
    </row>
    <row r="38757">
      <c r="A38757" t="n">
        <v>38756</v>
      </c>
      <c r="B38757" t="inlineStr">
        <is>
          <t>x̄x̄x̄V̅MMMDCCLVI</t>
        </is>
      </c>
      <c r="C38757">
        <f>ROMAN(38756)</f>
        <v/>
      </c>
      <c r="D38757">
        <f>IF(B38757=C38757, "YES", "WRONG")</f>
        <v/>
      </c>
    </row>
    <row r="38758">
      <c r="A38758" t="n">
        <v>38757</v>
      </c>
      <c r="B38758" t="inlineStr">
        <is>
          <t>x̄x̄x̄V̅MMMDCCLVII</t>
        </is>
      </c>
      <c r="C38758">
        <f>ROMAN(38757)</f>
        <v/>
      </c>
      <c r="D38758">
        <f>IF(B38758=C38758, "YES", "WRONG")</f>
        <v/>
      </c>
    </row>
    <row r="38759">
      <c r="A38759" t="n">
        <v>38758</v>
      </c>
      <c r="B38759" t="inlineStr">
        <is>
          <t>x̄x̄x̄V̅MMMDCCLVIII</t>
        </is>
      </c>
      <c r="C38759">
        <f>ROMAN(38758)</f>
        <v/>
      </c>
      <c r="D38759">
        <f>IF(B38759=C38759, "YES", "WRONG")</f>
        <v/>
      </c>
    </row>
    <row r="38760">
      <c r="A38760" t="n">
        <v>38759</v>
      </c>
      <c r="B38760" t="inlineStr">
        <is>
          <t>x̄x̄x̄V̅MMMDCCLIX</t>
        </is>
      </c>
      <c r="C38760">
        <f>ROMAN(38759)</f>
        <v/>
      </c>
      <c r="D38760">
        <f>IF(B38760=C38760, "YES", "WRONG")</f>
        <v/>
      </c>
    </row>
    <row r="38761">
      <c r="A38761" t="n">
        <v>38760</v>
      </c>
      <c r="B38761" t="inlineStr">
        <is>
          <t>x̄x̄x̄V̅MMMDCCLX</t>
        </is>
      </c>
      <c r="C38761">
        <f>ROMAN(38760)</f>
        <v/>
      </c>
      <c r="D38761">
        <f>IF(B38761=C38761, "YES", "WRONG")</f>
        <v/>
      </c>
    </row>
    <row r="38762">
      <c r="A38762" t="n">
        <v>38761</v>
      </c>
      <c r="B38762" t="inlineStr">
        <is>
          <t>x̄x̄x̄V̅MMMDCCLXI</t>
        </is>
      </c>
      <c r="C38762">
        <f>ROMAN(38761)</f>
        <v/>
      </c>
      <c r="D38762">
        <f>IF(B38762=C38762, "YES", "WRONG")</f>
        <v/>
      </c>
    </row>
    <row r="38763">
      <c r="A38763" t="n">
        <v>38762</v>
      </c>
      <c r="B38763" t="inlineStr">
        <is>
          <t>x̄x̄x̄V̅MMMDCCLXII</t>
        </is>
      </c>
      <c r="C38763">
        <f>ROMAN(38762)</f>
        <v/>
      </c>
      <c r="D38763">
        <f>IF(B38763=C38763, "YES", "WRONG")</f>
        <v/>
      </c>
    </row>
    <row r="38764">
      <c r="A38764" t="n">
        <v>38763</v>
      </c>
      <c r="B38764" t="inlineStr">
        <is>
          <t>x̄x̄x̄V̅MMMDCCLXIII</t>
        </is>
      </c>
      <c r="C38764">
        <f>ROMAN(38763)</f>
        <v/>
      </c>
      <c r="D38764">
        <f>IF(B38764=C38764, "YES", "WRONG")</f>
        <v/>
      </c>
    </row>
    <row r="38765">
      <c r="A38765" t="n">
        <v>38764</v>
      </c>
      <c r="B38765" t="inlineStr">
        <is>
          <t>x̄x̄x̄V̅MMMDCCLXIV</t>
        </is>
      </c>
      <c r="C38765">
        <f>ROMAN(38764)</f>
        <v/>
      </c>
      <c r="D38765">
        <f>IF(B38765=C38765, "YES", "WRONG")</f>
        <v/>
      </c>
    </row>
    <row r="38766">
      <c r="A38766" t="n">
        <v>38765</v>
      </c>
      <c r="B38766" t="inlineStr">
        <is>
          <t>x̄x̄x̄V̅MMMDCCLXV</t>
        </is>
      </c>
      <c r="C38766">
        <f>ROMAN(38765)</f>
        <v/>
      </c>
      <c r="D38766">
        <f>IF(B38766=C38766, "YES", "WRONG")</f>
        <v/>
      </c>
    </row>
    <row r="38767">
      <c r="A38767" t="n">
        <v>38766</v>
      </c>
      <c r="B38767" t="inlineStr">
        <is>
          <t>x̄x̄x̄V̅MMMDCCLXVI</t>
        </is>
      </c>
      <c r="C38767">
        <f>ROMAN(38766)</f>
        <v/>
      </c>
      <c r="D38767">
        <f>IF(B38767=C38767, "YES", "WRONG")</f>
        <v/>
      </c>
    </row>
    <row r="38768">
      <c r="A38768" t="n">
        <v>38767</v>
      </c>
      <c r="B38768" t="inlineStr">
        <is>
          <t>x̄x̄x̄V̅MMMDCCLXVII</t>
        </is>
      </c>
      <c r="C38768">
        <f>ROMAN(38767)</f>
        <v/>
      </c>
      <c r="D38768">
        <f>IF(B38768=C38768, "YES", "WRONG")</f>
        <v/>
      </c>
    </row>
    <row r="38769">
      <c r="A38769" t="n">
        <v>38768</v>
      </c>
      <c r="B38769" t="inlineStr">
        <is>
          <t>x̄x̄x̄V̅MMMDCCLXVIII</t>
        </is>
      </c>
      <c r="C38769">
        <f>ROMAN(38768)</f>
        <v/>
      </c>
      <c r="D38769">
        <f>IF(B38769=C38769, "YES", "WRONG")</f>
        <v/>
      </c>
    </row>
    <row r="38770">
      <c r="A38770" t="n">
        <v>38769</v>
      </c>
      <c r="B38770" t="inlineStr">
        <is>
          <t>x̄x̄x̄V̅MMMDCCLXIX</t>
        </is>
      </c>
      <c r="C38770">
        <f>ROMAN(38769)</f>
        <v/>
      </c>
      <c r="D38770">
        <f>IF(B38770=C38770, "YES", "WRONG")</f>
        <v/>
      </c>
    </row>
    <row r="38771">
      <c r="A38771" t="n">
        <v>38770</v>
      </c>
      <c r="B38771" t="inlineStr">
        <is>
          <t>x̄x̄x̄V̅MMMDCCLXX</t>
        </is>
      </c>
      <c r="C38771">
        <f>ROMAN(38770)</f>
        <v/>
      </c>
      <c r="D38771">
        <f>IF(B38771=C38771, "YES", "WRONG")</f>
        <v/>
      </c>
    </row>
    <row r="38772">
      <c r="A38772" t="n">
        <v>38771</v>
      </c>
      <c r="B38772" t="inlineStr">
        <is>
          <t>x̄x̄x̄V̅MMMDCCLXXI</t>
        </is>
      </c>
      <c r="C38772">
        <f>ROMAN(38771)</f>
        <v/>
      </c>
      <c r="D38772">
        <f>IF(B38772=C38772, "YES", "WRONG")</f>
        <v/>
      </c>
    </row>
    <row r="38773">
      <c r="A38773" t="n">
        <v>38772</v>
      </c>
      <c r="B38773" t="inlineStr">
        <is>
          <t>x̄x̄x̄V̅MMMDCCLXXII</t>
        </is>
      </c>
      <c r="C38773">
        <f>ROMAN(38772)</f>
        <v/>
      </c>
      <c r="D38773">
        <f>IF(B38773=C38773, "YES", "WRONG")</f>
        <v/>
      </c>
    </row>
    <row r="38774">
      <c r="A38774" t="n">
        <v>38773</v>
      </c>
      <c r="B38774" t="inlineStr">
        <is>
          <t>x̄x̄x̄V̅MMMDCCLXXIII</t>
        </is>
      </c>
      <c r="C38774">
        <f>ROMAN(38773)</f>
        <v/>
      </c>
      <c r="D38774">
        <f>IF(B38774=C38774, "YES", "WRONG")</f>
        <v/>
      </c>
    </row>
    <row r="38775">
      <c r="A38775" t="n">
        <v>38774</v>
      </c>
      <c r="B38775" t="inlineStr">
        <is>
          <t>x̄x̄x̄V̅MMMDCCLXXIV</t>
        </is>
      </c>
      <c r="C38775">
        <f>ROMAN(38774)</f>
        <v/>
      </c>
      <c r="D38775">
        <f>IF(B38775=C38775, "YES", "WRONG")</f>
        <v/>
      </c>
    </row>
    <row r="38776">
      <c r="A38776" t="n">
        <v>38775</v>
      </c>
      <c r="B38776" t="inlineStr">
        <is>
          <t>x̄x̄x̄V̅MMMDCCLXXV</t>
        </is>
      </c>
      <c r="C38776">
        <f>ROMAN(38775)</f>
        <v/>
      </c>
      <c r="D38776">
        <f>IF(B38776=C38776, "YES", "WRONG")</f>
        <v/>
      </c>
    </row>
    <row r="38777">
      <c r="A38777" t="n">
        <v>38776</v>
      </c>
      <c r="B38777" t="inlineStr">
        <is>
          <t>x̄x̄x̄V̅MMMDCCLXXVI</t>
        </is>
      </c>
      <c r="C38777">
        <f>ROMAN(38776)</f>
        <v/>
      </c>
      <c r="D38777">
        <f>IF(B38777=C38777, "YES", "WRONG")</f>
        <v/>
      </c>
    </row>
    <row r="38778">
      <c r="A38778" t="n">
        <v>38777</v>
      </c>
      <c r="B38778" t="inlineStr">
        <is>
          <t>x̄x̄x̄V̅MMMDCCLXXVII</t>
        </is>
      </c>
      <c r="C38778">
        <f>ROMAN(38777)</f>
        <v/>
      </c>
      <c r="D38778">
        <f>IF(B38778=C38778, "YES", "WRONG")</f>
        <v/>
      </c>
    </row>
    <row r="38779">
      <c r="A38779" t="n">
        <v>38778</v>
      </c>
      <c r="B38779" t="inlineStr">
        <is>
          <t>x̄x̄x̄V̅MMMDCCLXXVIII</t>
        </is>
      </c>
      <c r="C38779">
        <f>ROMAN(38778)</f>
        <v/>
      </c>
      <c r="D38779">
        <f>IF(B38779=C38779, "YES", "WRONG")</f>
        <v/>
      </c>
    </row>
    <row r="38780">
      <c r="A38780" t="n">
        <v>38779</v>
      </c>
      <c r="B38780" t="inlineStr">
        <is>
          <t>x̄x̄x̄V̅MMMDCCLXXIX</t>
        </is>
      </c>
      <c r="C38780">
        <f>ROMAN(38779)</f>
        <v/>
      </c>
      <c r="D38780">
        <f>IF(B38780=C38780, "YES", "WRONG")</f>
        <v/>
      </c>
    </row>
    <row r="38781">
      <c r="A38781" t="n">
        <v>38780</v>
      </c>
      <c r="B38781" t="inlineStr">
        <is>
          <t>x̄x̄x̄V̅MMMDCCLXXX</t>
        </is>
      </c>
      <c r="C38781">
        <f>ROMAN(38780)</f>
        <v/>
      </c>
      <c r="D38781">
        <f>IF(B38781=C38781, "YES", "WRONG")</f>
        <v/>
      </c>
    </row>
    <row r="38782">
      <c r="A38782" t="n">
        <v>38781</v>
      </c>
      <c r="B38782" t="inlineStr">
        <is>
          <t>x̄x̄x̄V̅MMMDCCLXXXI</t>
        </is>
      </c>
      <c r="C38782">
        <f>ROMAN(38781)</f>
        <v/>
      </c>
      <c r="D38782">
        <f>IF(B38782=C38782, "YES", "WRONG")</f>
        <v/>
      </c>
    </row>
    <row r="38783">
      <c r="A38783" t="n">
        <v>38782</v>
      </c>
      <c r="B38783" t="inlineStr">
        <is>
          <t>x̄x̄x̄V̅MMMDCCLXXXII</t>
        </is>
      </c>
      <c r="C38783">
        <f>ROMAN(38782)</f>
        <v/>
      </c>
      <c r="D38783">
        <f>IF(B38783=C38783, "YES", "WRONG")</f>
        <v/>
      </c>
    </row>
    <row r="38784">
      <c r="A38784" t="n">
        <v>38783</v>
      </c>
      <c r="B38784" t="inlineStr">
        <is>
          <t>x̄x̄x̄V̅MMMDCCLXXXIII</t>
        </is>
      </c>
      <c r="C38784">
        <f>ROMAN(38783)</f>
        <v/>
      </c>
      <c r="D38784">
        <f>IF(B38784=C38784, "YES", "WRONG")</f>
        <v/>
      </c>
    </row>
    <row r="38785">
      <c r="A38785" t="n">
        <v>38784</v>
      </c>
      <c r="B38785" t="inlineStr">
        <is>
          <t>x̄x̄x̄V̅MMMDCCLXXXIV</t>
        </is>
      </c>
      <c r="C38785">
        <f>ROMAN(38784)</f>
        <v/>
      </c>
      <c r="D38785">
        <f>IF(B38785=C38785, "YES", "WRONG")</f>
        <v/>
      </c>
    </row>
    <row r="38786">
      <c r="A38786" t="n">
        <v>38785</v>
      </c>
      <c r="B38786" t="inlineStr">
        <is>
          <t>x̄x̄x̄V̅MMMDCCLXXXV</t>
        </is>
      </c>
      <c r="C38786">
        <f>ROMAN(38785)</f>
        <v/>
      </c>
      <c r="D38786">
        <f>IF(B38786=C38786, "YES", "WRONG")</f>
        <v/>
      </c>
    </row>
    <row r="38787">
      <c r="A38787" t="n">
        <v>38786</v>
      </c>
      <c r="B38787" t="inlineStr">
        <is>
          <t>x̄x̄x̄V̅MMMDCCLXXXVI</t>
        </is>
      </c>
      <c r="C38787">
        <f>ROMAN(38786)</f>
        <v/>
      </c>
      <c r="D38787">
        <f>IF(B38787=C38787, "YES", "WRONG")</f>
        <v/>
      </c>
    </row>
    <row r="38788">
      <c r="A38788" t="n">
        <v>38787</v>
      </c>
      <c r="B38788" t="inlineStr">
        <is>
          <t>x̄x̄x̄V̅MMMDCCLXXXVII</t>
        </is>
      </c>
      <c r="C38788">
        <f>ROMAN(38787)</f>
        <v/>
      </c>
      <c r="D38788">
        <f>IF(B38788=C38788, "YES", "WRONG")</f>
        <v/>
      </c>
    </row>
    <row r="38789">
      <c r="A38789" t="n">
        <v>38788</v>
      </c>
      <c r="B38789" t="inlineStr">
        <is>
          <t>x̄x̄x̄V̅MMMDCCLXXXVIII</t>
        </is>
      </c>
      <c r="C38789">
        <f>ROMAN(38788)</f>
        <v/>
      </c>
      <c r="D38789">
        <f>IF(B38789=C38789, "YES", "WRONG")</f>
        <v/>
      </c>
    </row>
    <row r="38790">
      <c r="A38790" t="n">
        <v>38789</v>
      </c>
      <c r="B38790" t="inlineStr">
        <is>
          <t>x̄x̄x̄V̅MMMDCCLXXXIX</t>
        </is>
      </c>
      <c r="C38790">
        <f>ROMAN(38789)</f>
        <v/>
      </c>
      <c r="D38790">
        <f>IF(B38790=C38790, "YES", "WRONG")</f>
        <v/>
      </c>
    </row>
    <row r="38791">
      <c r="A38791" t="n">
        <v>38790</v>
      </c>
      <c r="B38791" t="inlineStr">
        <is>
          <t>x̄x̄x̄V̅MMMDCCXC</t>
        </is>
      </c>
      <c r="C38791">
        <f>ROMAN(38790)</f>
        <v/>
      </c>
      <c r="D38791">
        <f>IF(B38791=C38791, "YES", "WRONG")</f>
        <v/>
      </c>
    </row>
    <row r="38792">
      <c r="A38792" t="n">
        <v>38791</v>
      </c>
      <c r="B38792" t="inlineStr">
        <is>
          <t>x̄x̄x̄V̅MMMDCCXCI</t>
        </is>
      </c>
      <c r="C38792">
        <f>ROMAN(38791)</f>
        <v/>
      </c>
      <c r="D38792">
        <f>IF(B38792=C38792, "YES", "WRONG")</f>
        <v/>
      </c>
    </row>
    <row r="38793">
      <c r="A38793" t="n">
        <v>38792</v>
      </c>
      <c r="B38793" t="inlineStr">
        <is>
          <t>x̄x̄x̄V̅MMMDCCXCII</t>
        </is>
      </c>
      <c r="C38793">
        <f>ROMAN(38792)</f>
        <v/>
      </c>
      <c r="D38793">
        <f>IF(B38793=C38793, "YES", "WRONG")</f>
        <v/>
      </c>
    </row>
    <row r="38794">
      <c r="A38794" t="n">
        <v>38793</v>
      </c>
      <c r="B38794" t="inlineStr">
        <is>
          <t>x̄x̄x̄V̅MMMDCCXCIII</t>
        </is>
      </c>
      <c r="C38794">
        <f>ROMAN(38793)</f>
        <v/>
      </c>
      <c r="D38794">
        <f>IF(B38794=C38794, "YES", "WRONG")</f>
        <v/>
      </c>
    </row>
    <row r="38795">
      <c r="A38795" t="n">
        <v>38794</v>
      </c>
      <c r="B38795" t="inlineStr">
        <is>
          <t>x̄x̄x̄V̅MMMDCCXCIV</t>
        </is>
      </c>
      <c r="C38795">
        <f>ROMAN(38794)</f>
        <v/>
      </c>
      <c r="D38795">
        <f>IF(B38795=C38795, "YES", "WRONG")</f>
        <v/>
      </c>
    </row>
    <row r="38796">
      <c r="A38796" t="n">
        <v>38795</v>
      </c>
      <c r="B38796" t="inlineStr">
        <is>
          <t>x̄x̄x̄V̅MMMDCCXCV</t>
        </is>
      </c>
      <c r="C38796">
        <f>ROMAN(38795)</f>
        <v/>
      </c>
      <c r="D38796">
        <f>IF(B38796=C38796, "YES", "WRONG")</f>
        <v/>
      </c>
    </row>
    <row r="38797">
      <c r="A38797" t="n">
        <v>38796</v>
      </c>
      <c r="B38797" t="inlineStr">
        <is>
          <t>x̄x̄x̄V̅MMMDCCXCVI</t>
        </is>
      </c>
      <c r="C38797">
        <f>ROMAN(38796)</f>
        <v/>
      </c>
      <c r="D38797">
        <f>IF(B38797=C38797, "YES", "WRONG")</f>
        <v/>
      </c>
    </row>
    <row r="38798">
      <c r="A38798" t="n">
        <v>38797</v>
      </c>
      <c r="B38798" t="inlineStr">
        <is>
          <t>x̄x̄x̄V̅MMMDCCXCVII</t>
        </is>
      </c>
      <c r="C38798">
        <f>ROMAN(38797)</f>
        <v/>
      </c>
      <c r="D38798">
        <f>IF(B38798=C38798, "YES", "WRONG")</f>
        <v/>
      </c>
    </row>
    <row r="38799">
      <c r="A38799" t="n">
        <v>38798</v>
      </c>
      <c r="B38799" t="inlineStr">
        <is>
          <t>x̄x̄x̄V̅MMMDCCXCVIII</t>
        </is>
      </c>
      <c r="C38799">
        <f>ROMAN(38798)</f>
        <v/>
      </c>
      <c r="D38799">
        <f>IF(B38799=C38799, "YES", "WRONG")</f>
        <v/>
      </c>
    </row>
    <row r="38800">
      <c r="A38800" t="n">
        <v>38799</v>
      </c>
      <c r="B38800" t="inlineStr">
        <is>
          <t>x̄x̄x̄V̅MMMDCCXCIX</t>
        </is>
      </c>
      <c r="C38800">
        <f>ROMAN(38799)</f>
        <v/>
      </c>
      <c r="D38800">
        <f>IF(B38800=C38800, "YES", "WRONG")</f>
        <v/>
      </c>
    </row>
    <row r="38801">
      <c r="A38801" t="n">
        <v>38800</v>
      </c>
      <c r="B38801" t="inlineStr">
        <is>
          <t>x̄x̄x̄V̅MMMDCCC</t>
        </is>
      </c>
      <c r="C38801">
        <f>ROMAN(38800)</f>
        <v/>
      </c>
      <c r="D38801">
        <f>IF(B38801=C38801, "YES", "WRONG")</f>
        <v/>
      </c>
    </row>
    <row r="38802">
      <c r="A38802" t="n">
        <v>38801</v>
      </c>
      <c r="B38802" t="inlineStr">
        <is>
          <t>x̄x̄x̄V̅MMMDCCCI</t>
        </is>
      </c>
      <c r="C38802">
        <f>ROMAN(38801)</f>
        <v/>
      </c>
      <c r="D38802">
        <f>IF(B38802=C38802, "YES", "WRONG")</f>
        <v/>
      </c>
    </row>
    <row r="38803">
      <c r="A38803" t="n">
        <v>38802</v>
      </c>
      <c r="B38803" t="inlineStr">
        <is>
          <t>x̄x̄x̄V̅MMMDCCCII</t>
        </is>
      </c>
      <c r="C38803">
        <f>ROMAN(38802)</f>
        <v/>
      </c>
      <c r="D38803">
        <f>IF(B38803=C38803, "YES", "WRONG")</f>
        <v/>
      </c>
    </row>
    <row r="38804">
      <c r="A38804" t="n">
        <v>38803</v>
      </c>
      <c r="B38804" t="inlineStr">
        <is>
          <t>x̄x̄x̄V̅MMMDCCCIII</t>
        </is>
      </c>
      <c r="C38804">
        <f>ROMAN(38803)</f>
        <v/>
      </c>
      <c r="D38804">
        <f>IF(B38804=C38804, "YES", "WRONG")</f>
        <v/>
      </c>
    </row>
    <row r="38805">
      <c r="A38805" t="n">
        <v>38804</v>
      </c>
      <c r="B38805" t="inlineStr">
        <is>
          <t>x̄x̄x̄V̅MMMDCCCIV</t>
        </is>
      </c>
      <c r="C38805">
        <f>ROMAN(38804)</f>
        <v/>
      </c>
      <c r="D38805">
        <f>IF(B38805=C38805, "YES", "WRONG")</f>
        <v/>
      </c>
    </row>
    <row r="38806">
      <c r="A38806" t="n">
        <v>38805</v>
      </c>
      <c r="B38806" t="inlineStr">
        <is>
          <t>x̄x̄x̄V̅MMMDCCCV</t>
        </is>
      </c>
      <c r="C38806">
        <f>ROMAN(38805)</f>
        <v/>
      </c>
      <c r="D38806">
        <f>IF(B38806=C38806, "YES", "WRONG")</f>
        <v/>
      </c>
    </row>
    <row r="38807">
      <c r="A38807" t="n">
        <v>38806</v>
      </c>
      <c r="B38807" t="inlineStr">
        <is>
          <t>x̄x̄x̄V̅MMMDCCCVI</t>
        </is>
      </c>
      <c r="C38807">
        <f>ROMAN(38806)</f>
        <v/>
      </c>
      <c r="D38807">
        <f>IF(B38807=C38807, "YES", "WRONG")</f>
        <v/>
      </c>
    </row>
    <row r="38808">
      <c r="A38808" t="n">
        <v>38807</v>
      </c>
      <c r="B38808" t="inlineStr">
        <is>
          <t>x̄x̄x̄V̅MMMDCCCVII</t>
        </is>
      </c>
      <c r="C38808">
        <f>ROMAN(38807)</f>
        <v/>
      </c>
      <c r="D38808">
        <f>IF(B38808=C38808, "YES", "WRONG")</f>
        <v/>
      </c>
    </row>
    <row r="38809">
      <c r="A38809" t="n">
        <v>38808</v>
      </c>
      <c r="B38809" t="inlineStr">
        <is>
          <t>x̄x̄x̄V̅MMMDCCCVIII</t>
        </is>
      </c>
      <c r="C38809">
        <f>ROMAN(38808)</f>
        <v/>
      </c>
      <c r="D38809">
        <f>IF(B38809=C38809, "YES", "WRONG")</f>
        <v/>
      </c>
    </row>
    <row r="38810">
      <c r="A38810" t="n">
        <v>38809</v>
      </c>
      <c r="B38810" t="inlineStr">
        <is>
          <t>x̄x̄x̄V̅MMMDCCCIX</t>
        </is>
      </c>
      <c r="C38810">
        <f>ROMAN(38809)</f>
        <v/>
      </c>
      <c r="D38810">
        <f>IF(B38810=C38810, "YES", "WRONG")</f>
        <v/>
      </c>
    </row>
    <row r="38811">
      <c r="A38811" t="n">
        <v>38810</v>
      </c>
      <c r="B38811" t="inlineStr">
        <is>
          <t>x̄x̄x̄V̅MMMDCCCX</t>
        </is>
      </c>
      <c r="C38811">
        <f>ROMAN(38810)</f>
        <v/>
      </c>
      <c r="D38811">
        <f>IF(B38811=C38811, "YES", "WRONG")</f>
        <v/>
      </c>
    </row>
    <row r="38812">
      <c r="A38812" t="n">
        <v>38811</v>
      </c>
      <c r="B38812" t="inlineStr">
        <is>
          <t>x̄x̄x̄V̅MMMDCCCXI</t>
        </is>
      </c>
      <c r="C38812">
        <f>ROMAN(38811)</f>
        <v/>
      </c>
      <c r="D38812">
        <f>IF(B38812=C38812, "YES", "WRONG")</f>
        <v/>
      </c>
    </row>
    <row r="38813">
      <c r="A38813" t="n">
        <v>38812</v>
      </c>
      <c r="B38813" t="inlineStr">
        <is>
          <t>x̄x̄x̄V̅MMMDCCCXII</t>
        </is>
      </c>
      <c r="C38813">
        <f>ROMAN(38812)</f>
        <v/>
      </c>
      <c r="D38813">
        <f>IF(B38813=C38813, "YES", "WRONG")</f>
        <v/>
      </c>
    </row>
    <row r="38814">
      <c r="A38814" t="n">
        <v>38813</v>
      </c>
      <c r="B38814" t="inlineStr">
        <is>
          <t>x̄x̄x̄V̅MMMDCCCXIII</t>
        </is>
      </c>
      <c r="C38814">
        <f>ROMAN(38813)</f>
        <v/>
      </c>
      <c r="D38814">
        <f>IF(B38814=C38814, "YES", "WRONG")</f>
        <v/>
      </c>
    </row>
    <row r="38815">
      <c r="A38815" t="n">
        <v>38814</v>
      </c>
      <c r="B38815" t="inlineStr">
        <is>
          <t>x̄x̄x̄V̅MMMDCCCXIV</t>
        </is>
      </c>
      <c r="C38815">
        <f>ROMAN(38814)</f>
        <v/>
      </c>
      <c r="D38815">
        <f>IF(B38815=C38815, "YES", "WRONG")</f>
        <v/>
      </c>
    </row>
    <row r="38816">
      <c r="A38816" t="n">
        <v>38815</v>
      </c>
      <c r="B38816" t="inlineStr">
        <is>
          <t>x̄x̄x̄V̅MMMDCCCXV</t>
        </is>
      </c>
      <c r="C38816">
        <f>ROMAN(38815)</f>
        <v/>
      </c>
      <c r="D38816">
        <f>IF(B38816=C38816, "YES", "WRONG")</f>
        <v/>
      </c>
    </row>
    <row r="38817">
      <c r="A38817" t="n">
        <v>38816</v>
      </c>
      <c r="B38817" t="inlineStr">
        <is>
          <t>x̄x̄x̄V̅MMMDCCCXVI</t>
        </is>
      </c>
      <c r="C38817">
        <f>ROMAN(38816)</f>
        <v/>
      </c>
      <c r="D38817">
        <f>IF(B38817=C38817, "YES", "WRONG")</f>
        <v/>
      </c>
    </row>
    <row r="38818">
      <c r="A38818" t="n">
        <v>38817</v>
      </c>
      <c r="B38818" t="inlineStr">
        <is>
          <t>x̄x̄x̄V̅MMMDCCCXVII</t>
        </is>
      </c>
      <c r="C38818">
        <f>ROMAN(38817)</f>
        <v/>
      </c>
      <c r="D38818">
        <f>IF(B38818=C38818, "YES", "WRONG")</f>
        <v/>
      </c>
    </row>
    <row r="38819">
      <c r="A38819" t="n">
        <v>38818</v>
      </c>
      <c r="B38819" t="inlineStr">
        <is>
          <t>x̄x̄x̄V̅MMMDCCCXVIII</t>
        </is>
      </c>
      <c r="C38819">
        <f>ROMAN(38818)</f>
        <v/>
      </c>
      <c r="D38819">
        <f>IF(B38819=C38819, "YES", "WRONG")</f>
        <v/>
      </c>
    </row>
    <row r="38820">
      <c r="A38820" t="n">
        <v>38819</v>
      </c>
      <c r="B38820" t="inlineStr">
        <is>
          <t>x̄x̄x̄V̅MMMDCCCXIX</t>
        </is>
      </c>
      <c r="C38820">
        <f>ROMAN(38819)</f>
        <v/>
      </c>
      <c r="D38820">
        <f>IF(B38820=C38820, "YES", "WRONG")</f>
        <v/>
      </c>
    </row>
    <row r="38821">
      <c r="A38821" t="n">
        <v>38820</v>
      </c>
      <c r="B38821" t="inlineStr">
        <is>
          <t>x̄x̄x̄V̅MMMDCCCXX</t>
        </is>
      </c>
      <c r="C38821">
        <f>ROMAN(38820)</f>
        <v/>
      </c>
      <c r="D38821">
        <f>IF(B38821=C38821, "YES", "WRONG")</f>
        <v/>
      </c>
    </row>
    <row r="38822">
      <c r="A38822" t="n">
        <v>38821</v>
      </c>
      <c r="B38822" t="inlineStr">
        <is>
          <t>x̄x̄x̄V̅MMMDCCCXXI</t>
        </is>
      </c>
      <c r="C38822">
        <f>ROMAN(38821)</f>
        <v/>
      </c>
      <c r="D38822">
        <f>IF(B38822=C38822, "YES", "WRONG")</f>
        <v/>
      </c>
    </row>
    <row r="38823">
      <c r="A38823" t="n">
        <v>38822</v>
      </c>
      <c r="B38823" t="inlineStr">
        <is>
          <t>x̄x̄x̄V̅MMMDCCCXXII</t>
        </is>
      </c>
      <c r="C38823">
        <f>ROMAN(38822)</f>
        <v/>
      </c>
      <c r="D38823">
        <f>IF(B38823=C38823, "YES", "WRONG")</f>
        <v/>
      </c>
    </row>
    <row r="38824">
      <c r="A38824" t="n">
        <v>38823</v>
      </c>
      <c r="B38824" t="inlineStr">
        <is>
          <t>x̄x̄x̄V̅MMMDCCCXXIII</t>
        </is>
      </c>
      <c r="C38824">
        <f>ROMAN(38823)</f>
        <v/>
      </c>
      <c r="D38824">
        <f>IF(B38824=C38824, "YES", "WRONG")</f>
        <v/>
      </c>
    </row>
    <row r="38825">
      <c r="A38825" t="n">
        <v>38824</v>
      </c>
      <c r="B38825" t="inlineStr">
        <is>
          <t>x̄x̄x̄V̅MMMDCCCXXIV</t>
        </is>
      </c>
      <c r="C38825">
        <f>ROMAN(38824)</f>
        <v/>
      </c>
      <c r="D38825">
        <f>IF(B38825=C38825, "YES", "WRONG")</f>
        <v/>
      </c>
    </row>
    <row r="38826">
      <c r="A38826" t="n">
        <v>38825</v>
      </c>
      <c r="B38826" t="inlineStr">
        <is>
          <t>x̄x̄x̄V̅MMMDCCCXXV</t>
        </is>
      </c>
      <c r="C38826">
        <f>ROMAN(38825)</f>
        <v/>
      </c>
      <c r="D38826">
        <f>IF(B38826=C38826, "YES", "WRONG")</f>
        <v/>
      </c>
    </row>
    <row r="38827">
      <c r="A38827" t="n">
        <v>38826</v>
      </c>
      <c r="B38827" t="inlineStr">
        <is>
          <t>x̄x̄x̄V̅MMMDCCCXXVI</t>
        </is>
      </c>
      <c r="C38827">
        <f>ROMAN(38826)</f>
        <v/>
      </c>
      <c r="D38827">
        <f>IF(B38827=C38827, "YES", "WRONG")</f>
        <v/>
      </c>
    </row>
    <row r="38828">
      <c r="A38828" t="n">
        <v>38827</v>
      </c>
      <c r="B38828" t="inlineStr">
        <is>
          <t>x̄x̄x̄V̅MMMDCCCXXVII</t>
        </is>
      </c>
      <c r="C38828">
        <f>ROMAN(38827)</f>
        <v/>
      </c>
      <c r="D38828">
        <f>IF(B38828=C38828, "YES", "WRONG")</f>
        <v/>
      </c>
    </row>
    <row r="38829">
      <c r="A38829" t="n">
        <v>38828</v>
      </c>
      <c r="B38829" t="inlineStr">
        <is>
          <t>x̄x̄x̄V̅MMMDCCCXXVIII</t>
        </is>
      </c>
      <c r="C38829">
        <f>ROMAN(38828)</f>
        <v/>
      </c>
      <c r="D38829">
        <f>IF(B38829=C38829, "YES", "WRONG")</f>
        <v/>
      </c>
    </row>
    <row r="38830">
      <c r="A38830" t="n">
        <v>38829</v>
      </c>
      <c r="B38830" t="inlineStr">
        <is>
          <t>x̄x̄x̄V̅MMMDCCCXXIX</t>
        </is>
      </c>
      <c r="C38830">
        <f>ROMAN(38829)</f>
        <v/>
      </c>
      <c r="D38830">
        <f>IF(B38830=C38830, "YES", "WRONG")</f>
        <v/>
      </c>
    </row>
    <row r="38831">
      <c r="A38831" t="n">
        <v>38830</v>
      </c>
      <c r="B38831" t="inlineStr">
        <is>
          <t>x̄x̄x̄V̅MMMDCCCXXX</t>
        </is>
      </c>
      <c r="C38831">
        <f>ROMAN(38830)</f>
        <v/>
      </c>
      <c r="D38831">
        <f>IF(B38831=C38831, "YES", "WRONG")</f>
        <v/>
      </c>
    </row>
    <row r="38832">
      <c r="A38832" t="n">
        <v>38831</v>
      </c>
      <c r="B38832" t="inlineStr">
        <is>
          <t>x̄x̄x̄V̅MMMDCCCXXXI</t>
        </is>
      </c>
      <c r="C38832">
        <f>ROMAN(38831)</f>
        <v/>
      </c>
      <c r="D38832">
        <f>IF(B38832=C38832, "YES", "WRONG")</f>
        <v/>
      </c>
    </row>
    <row r="38833">
      <c r="A38833" t="n">
        <v>38832</v>
      </c>
      <c r="B38833" t="inlineStr">
        <is>
          <t>x̄x̄x̄V̅MMMDCCCXXXII</t>
        </is>
      </c>
      <c r="C38833">
        <f>ROMAN(38832)</f>
        <v/>
      </c>
      <c r="D38833">
        <f>IF(B38833=C38833, "YES", "WRONG")</f>
        <v/>
      </c>
    </row>
    <row r="38834">
      <c r="A38834" t="n">
        <v>38833</v>
      </c>
      <c r="B38834" t="inlineStr">
        <is>
          <t>x̄x̄x̄V̅MMMDCCCXXXIII</t>
        </is>
      </c>
      <c r="C38834">
        <f>ROMAN(38833)</f>
        <v/>
      </c>
      <c r="D38834">
        <f>IF(B38834=C38834, "YES", "WRONG")</f>
        <v/>
      </c>
    </row>
    <row r="38835">
      <c r="A38835" t="n">
        <v>38834</v>
      </c>
      <c r="B38835" t="inlineStr">
        <is>
          <t>x̄x̄x̄V̅MMMDCCCXXXIV</t>
        </is>
      </c>
      <c r="C38835">
        <f>ROMAN(38834)</f>
        <v/>
      </c>
      <c r="D38835">
        <f>IF(B38835=C38835, "YES", "WRONG")</f>
        <v/>
      </c>
    </row>
    <row r="38836">
      <c r="A38836" t="n">
        <v>38835</v>
      </c>
      <c r="B38836" t="inlineStr">
        <is>
          <t>x̄x̄x̄V̅MMMDCCCXXXV</t>
        </is>
      </c>
      <c r="C38836">
        <f>ROMAN(38835)</f>
        <v/>
      </c>
      <c r="D38836">
        <f>IF(B38836=C38836, "YES", "WRONG")</f>
        <v/>
      </c>
    </row>
    <row r="38837">
      <c r="A38837" t="n">
        <v>38836</v>
      </c>
      <c r="B38837" t="inlineStr">
        <is>
          <t>x̄x̄x̄V̅MMMDCCCXXXVI</t>
        </is>
      </c>
      <c r="C38837">
        <f>ROMAN(38836)</f>
        <v/>
      </c>
      <c r="D38837">
        <f>IF(B38837=C38837, "YES", "WRONG")</f>
        <v/>
      </c>
    </row>
    <row r="38838">
      <c r="A38838" t="n">
        <v>38837</v>
      </c>
      <c r="B38838" t="inlineStr">
        <is>
          <t>x̄x̄x̄V̅MMMDCCCXXXVII</t>
        </is>
      </c>
      <c r="C38838">
        <f>ROMAN(38837)</f>
        <v/>
      </c>
      <c r="D38838">
        <f>IF(B38838=C38838, "YES", "WRONG")</f>
        <v/>
      </c>
    </row>
    <row r="38839">
      <c r="A38839" t="n">
        <v>38838</v>
      </c>
      <c r="B38839" t="inlineStr">
        <is>
          <t>x̄x̄x̄V̅MMMDCCCXXXVIII</t>
        </is>
      </c>
      <c r="C38839">
        <f>ROMAN(38838)</f>
        <v/>
      </c>
      <c r="D38839">
        <f>IF(B38839=C38839, "YES", "WRONG")</f>
        <v/>
      </c>
    </row>
    <row r="38840">
      <c r="A38840" t="n">
        <v>38839</v>
      </c>
      <c r="B38840" t="inlineStr">
        <is>
          <t>x̄x̄x̄V̅MMMDCCCXXXIX</t>
        </is>
      </c>
      <c r="C38840">
        <f>ROMAN(38839)</f>
        <v/>
      </c>
      <c r="D38840">
        <f>IF(B38840=C38840, "YES", "WRONG")</f>
        <v/>
      </c>
    </row>
    <row r="38841">
      <c r="A38841" t="n">
        <v>38840</v>
      </c>
      <c r="B38841" t="inlineStr">
        <is>
          <t>x̄x̄x̄V̅MMMDCCCXL</t>
        </is>
      </c>
      <c r="C38841">
        <f>ROMAN(38840)</f>
        <v/>
      </c>
      <c r="D38841">
        <f>IF(B38841=C38841, "YES", "WRONG")</f>
        <v/>
      </c>
    </row>
    <row r="38842">
      <c r="A38842" t="n">
        <v>38841</v>
      </c>
      <c r="B38842" t="inlineStr">
        <is>
          <t>x̄x̄x̄V̅MMMDCCCXLI</t>
        </is>
      </c>
      <c r="C38842">
        <f>ROMAN(38841)</f>
        <v/>
      </c>
      <c r="D38842">
        <f>IF(B38842=C38842, "YES", "WRONG")</f>
        <v/>
      </c>
    </row>
    <row r="38843">
      <c r="A38843" t="n">
        <v>38842</v>
      </c>
      <c r="B38843" t="inlineStr">
        <is>
          <t>x̄x̄x̄V̅MMMDCCCXLII</t>
        </is>
      </c>
      <c r="C38843">
        <f>ROMAN(38842)</f>
        <v/>
      </c>
      <c r="D38843">
        <f>IF(B38843=C38843, "YES", "WRONG")</f>
        <v/>
      </c>
    </row>
    <row r="38844">
      <c r="A38844" t="n">
        <v>38843</v>
      </c>
      <c r="B38844" t="inlineStr">
        <is>
          <t>x̄x̄x̄V̅MMMDCCCXLIII</t>
        </is>
      </c>
      <c r="C38844">
        <f>ROMAN(38843)</f>
        <v/>
      </c>
      <c r="D38844">
        <f>IF(B38844=C38844, "YES", "WRONG")</f>
        <v/>
      </c>
    </row>
    <row r="38845">
      <c r="A38845" t="n">
        <v>38844</v>
      </c>
      <c r="B38845" t="inlineStr">
        <is>
          <t>x̄x̄x̄V̅MMMDCCCXLIV</t>
        </is>
      </c>
      <c r="C38845">
        <f>ROMAN(38844)</f>
        <v/>
      </c>
      <c r="D38845">
        <f>IF(B38845=C38845, "YES", "WRONG")</f>
        <v/>
      </c>
    </row>
    <row r="38846">
      <c r="A38846" t="n">
        <v>38845</v>
      </c>
      <c r="B38846" t="inlineStr">
        <is>
          <t>x̄x̄x̄V̅MMMDCCCXLV</t>
        </is>
      </c>
      <c r="C38846">
        <f>ROMAN(38845)</f>
        <v/>
      </c>
      <c r="D38846">
        <f>IF(B38846=C38846, "YES", "WRONG")</f>
        <v/>
      </c>
    </row>
    <row r="38847">
      <c r="A38847" t="n">
        <v>38846</v>
      </c>
      <c r="B38847" t="inlineStr">
        <is>
          <t>x̄x̄x̄V̅MMMDCCCXLVI</t>
        </is>
      </c>
      <c r="C38847">
        <f>ROMAN(38846)</f>
        <v/>
      </c>
      <c r="D38847">
        <f>IF(B38847=C38847, "YES", "WRONG")</f>
        <v/>
      </c>
    </row>
    <row r="38848">
      <c r="A38848" t="n">
        <v>38847</v>
      </c>
      <c r="B38848" t="inlineStr">
        <is>
          <t>x̄x̄x̄V̅MMMDCCCXLVII</t>
        </is>
      </c>
      <c r="C38848">
        <f>ROMAN(38847)</f>
        <v/>
      </c>
      <c r="D38848">
        <f>IF(B38848=C38848, "YES", "WRONG")</f>
        <v/>
      </c>
    </row>
    <row r="38849">
      <c r="A38849" t="n">
        <v>38848</v>
      </c>
      <c r="B38849" t="inlineStr">
        <is>
          <t>x̄x̄x̄V̅MMMDCCCXLVIII</t>
        </is>
      </c>
      <c r="C38849">
        <f>ROMAN(38848)</f>
        <v/>
      </c>
      <c r="D38849">
        <f>IF(B38849=C38849, "YES", "WRONG")</f>
        <v/>
      </c>
    </row>
    <row r="38850">
      <c r="A38850" t="n">
        <v>38849</v>
      </c>
      <c r="B38850" t="inlineStr">
        <is>
          <t>x̄x̄x̄V̅MMMDCCCXLIX</t>
        </is>
      </c>
      <c r="C38850">
        <f>ROMAN(38849)</f>
        <v/>
      </c>
      <c r="D38850">
        <f>IF(B38850=C38850, "YES", "WRONG")</f>
        <v/>
      </c>
    </row>
    <row r="38851">
      <c r="A38851" t="n">
        <v>38850</v>
      </c>
      <c r="B38851" t="inlineStr">
        <is>
          <t>x̄x̄x̄V̅MMMDCCCL</t>
        </is>
      </c>
      <c r="C38851">
        <f>ROMAN(38850)</f>
        <v/>
      </c>
      <c r="D38851">
        <f>IF(B38851=C38851, "YES", "WRONG")</f>
        <v/>
      </c>
    </row>
    <row r="38852">
      <c r="A38852" t="n">
        <v>38851</v>
      </c>
      <c r="B38852" t="inlineStr">
        <is>
          <t>x̄x̄x̄V̅MMMDCCCLI</t>
        </is>
      </c>
      <c r="C38852">
        <f>ROMAN(38851)</f>
        <v/>
      </c>
      <c r="D38852">
        <f>IF(B38852=C38852, "YES", "WRONG")</f>
        <v/>
      </c>
    </row>
    <row r="38853">
      <c r="A38853" t="n">
        <v>38852</v>
      </c>
      <c r="B38853" t="inlineStr">
        <is>
          <t>x̄x̄x̄V̅MMMDCCCLII</t>
        </is>
      </c>
      <c r="C38853">
        <f>ROMAN(38852)</f>
        <v/>
      </c>
      <c r="D38853">
        <f>IF(B38853=C38853, "YES", "WRONG")</f>
        <v/>
      </c>
    </row>
    <row r="38854">
      <c r="A38854" t="n">
        <v>38853</v>
      </c>
      <c r="B38854" t="inlineStr">
        <is>
          <t>x̄x̄x̄V̅MMMDCCCLIII</t>
        </is>
      </c>
      <c r="C38854">
        <f>ROMAN(38853)</f>
        <v/>
      </c>
      <c r="D38854">
        <f>IF(B38854=C38854, "YES", "WRONG")</f>
        <v/>
      </c>
    </row>
    <row r="38855">
      <c r="A38855" t="n">
        <v>38854</v>
      </c>
      <c r="B38855" t="inlineStr">
        <is>
          <t>x̄x̄x̄V̅MMMDCCCLIV</t>
        </is>
      </c>
      <c r="C38855">
        <f>ROMAN(38854)</f>
        <v/>
      </c>
      <c r="D38855">
        <f>IF(B38855=C38855, "YES", "WRONG")</f>
        <v/>
      </c>
    </row>
    <row r="38856">
      <c r="A38856" t="n">
        <v>38855</v>
      </c>
      <c r="B38856" t="inlineStr">
        <is>
          <t>x̄x̄x̄V̅MMMDCCCLV</t>
        </is>
      </c>
      <c r="C38856">
        <f>ROMAN(38855)</f>
        <v/>
      </c>
      <c r="D38856">
        <f>IF(B38856=C38856, "YES", "WRONG")</f>
        <v/>
      </c>
    </row>
    <row r="38857">
      <c r="A38857" t="n">
        <v>38856</v>
      </c>
      <c r="B38857" t="inlineStr">
        <is>
          <t>x̄x̄x̄V̅MMMDCCCLVI</t>
        </is>
      </c>
      <c r="C38857">
        <f>ROMAN(38856)</f>
        <v/>
      </c>
      <c r="D38857">
        <f>IF(B38857=C38857, "YES", "WRONG")</f>
        <v/>
      </c>
    </row>
    <row r="38858">
      <c r="A38858" t="n">
        <v>38857</v>
      </c>
      <c r="B38858" t="inlineStr">
        <is>
          <t>x̄x̄x̄V̅MMMDCCCLVII</t>
        </is>
      </c>
      <c r="C38858">
        <f>ROMAN(38857)</f>
        <v/>
      </c>
      <c r="D38858">
        <f>IF(B38858=C38858, "YES", "WRONG")</f>
        <v/>
      </c>
    </row>
    <row r="38859">
      <c r="A38859" t="n">
        <v>38858</v>
      </c>
      <c r="B38859" t="inlineStr">
        <is>
          <t>x̄x̄x̄V̅MMMDCCCLVIII</t>
        </is>
      </c>
      <c r="C38859">
        <f>ROMAN(38858)</f>
        <v/>
      </c>
      <c r="D38859">
        <f>IF(B38859=C38859, "YES", "WRONG")</f>
        <v/>
      </c>
    </row>
    <row r="38860">
      <c r="A38860" t="n">
        <v>38859</v>
      </c>
      <c r="B38860" t="inlineStr">
        <is>
          <t>x̄x̄x̄V̅MMMDCCCLIX</t>
        </is>
      </c>
      <c r="C38860">
        <f>ROMAN(38859)</f>
        <v/>
      </c>
      <c r="D38860">
        <f>IF(B38860=C38860, "YES", "WRONG")</f>
        <v/>
      </c>
    </row>
    <row r="38861">
      <c r="A38861" t="n">
        <v>38860</v>
      </c>
      <c r="B38861" t="inlineStr">
        <is>
          <t>x̄x̄x̄V̅MMMDCCCLX</t>
        </is>
      </c>
      <c r="C38861">
        <f>ROMAN(38860)</f>
        <v/>
      </c>
      <c r="D38861">
        <f>IF(B38861=C38861, "YES", "WRONG")</f>
        <v/>
      </c>
    </row>
    <row r="38862">
      <c r="A38862" t="n">
        <v>38861</v>
      </c>
      <c r="B38862" t="inlineStr">
        <is>
          <t>x̄x̄x̄V̅MMMDCCCLXI</t>
        </is>
      </c>
      <c r="C38862">
        <f>ROMAN(38861)</f>
        <v/>
      </c>
      <c r="D38862">
        <f>IF(B38862=C38862, "YES", "WRONG")</f>
        <v/>
      </c>
    </row>
    <row r="38863">
      <c r="A38863" t="n">
        <v>38862</v>
      </c>
      <c r="B38863" t="inlineStr">
        <is>
          <t>x̄x̄x̄V̅MMMDCCCLXII</t>
        </is>
      </c>
      <c r="C38863">
        <f>ROMAN(38862)</f>
        <v/>
      </c>
      <c r="D38863">
        <f>IF(B38863=C38863, "YES", "WRONG")</f>
        <v/>
      </c>
    </row>
    <row r="38864">
      <c r="A38864" t="n">
        <v>38863</v>
      </c>
      <c r="B38864" t="inlineStr">
        <is>
          <t>x̄x̄x̄V̅MMMDCCCLXIII</t>
        </is>
      </c>
      <c r="C38864">
        <f>ROMAN(38863)</f>
        <v/>
      </c>
      <c r="D38864">
        <f>IF(B38864=C38864, "YES", "WRONG")</f>
        <v/>
      </c>
    </row>
    <row r="38865">
      <c r="A38865" t="n">
        <v>38864</v>
      </c>
      <c r="B38865" t="inlineStr">
        <is>
          <t>x̄x̄x̄V̅MMMDCCCLXIV</t>
        </is>
      </c>
      <c r="C38865">
        <f>ROMAN(38864)</f>
        <v/>
      </c>
      <c r="D38865">
        <f>IF(B38865=C38865, "YES", "WRONG")</f>
        <v/>
      </c>
    </row>
    <row r="38866">
      <c r="A38866" t="n">
        <v>38865</v>
      </c>
      <c r="B38866" t="inlineStr">
        <is>
          <t>x̄x̄x̄V̅MMMDCCCLXV</t>
        </is>
      </c>
      <c r="C38866">
        <f>ROMAN(38865)</f>
        <v/>
      </c>
      <c r="D38866">
        <f>IF(B38866=C38866, "YES", "WRONG")</f>
        <v/>
      </c>
    </row>
    <row r="38867">
      <c r="A38867" t="n">
        <v>38866</v>
      </c>
      <c r="B38867" t="inlineStr">
        <is>
          <t>x̄x̄x̄V̅MMMDCCCLXVI</t>
        </is>
      </c>
      <c r="C38867">
        <f>ROMAN(38866)</f>
        <v/>
      </c>
      <c r="D38867">
        <f>IF(B38867=C38867, "YES", "WRONG")</f>
        <v/>
      </c>
    </row>
    <row r="38868">
      <c r="A38868" t="n">
        <v>38867</v>
      </c>
      <c r="B38868" t="inlineStr">
        <is>
          <t>x̄x̄x̄V̅MMMDCCCLXVII</t>
        </is>
      </c>
      <c r="C38868">
        <f>ROMAN(38867)</f>
        <v/>
      </c>
      <c r="D38868">
        <f>IF(B38868=C38868, "YES", "WRONG")</f>
        <v/>
      </c>
    </row>
    <row r="38869">
      <c r="A38869" t="n">
        <v>38868</v>
      </c>
      <c r="B38869" t="inlineStr">
        <is>
          <t>x̄x̄x̄V̅MMMDCCCLXVIII</t>
        </is>
      </c>
      <c r="C38869">
        <f>ROMAN(38868)</f>
        <v/>
      </c>
      <c r="D38869">
        <f>IF(B38869=C38869, "YES", "WRONG")</f>
        <v/>
      </c>
    </row>
    <row r="38870">
      <c r="A38870" t="n">
        <v>38869</v>
      </c>
      <c r="B38870" t="inlineStr">
        <is>
          <t>x̄x̄x̄V̅MMMDCCCLXIX</t>
        </is>
      </c>
      <c r="C38870">
        <f>ROMAN(38869)</f>
        <v/>
      </c>
      <c r="D38870">
        <f>IF(B38870=C38870, "YES", "WRONG")</f>
        <v/>
      </c>
    </row>
    <row r="38871">
      <c r="A38871" t="n">
        <v>38870</v>
      </c>
      <c r="B38871" t="inlineStr">
        <is>
          <t>x̄x̄x̄V̅MMMDCCCLXX</t>
        </is>
      </c>
      <c r="C38871">
        <f>ROMAN(38870)</f>
        <v/>
      </c>
      <c r="D38871">
        <f>IF(B38871=C38871, "YES", "WRONG")</f>
        <v/>
      </c>
    </row>
    <row r="38872">
      <c r="A38872" t="n">
        <v>38871</v>
      </c>
      <c r="B38872" t="inlineStr">
        <is>
          <t>x̄x̄x̄V̅MMMDCCCLXXI</t>
        </is>
      </c>
      <c r="C38872">
        <f>ROMAN(38871)</f>
        <v/>
      </c>
      <c r="D38872">
        <f>IF(B38872=C38872, "YES", "WRONG")</f>
        <v/>
      </c>
    </row>
    <row r="38873">
      <c r="A38873" t="n">
        <v>38872</v>
      </c>
      <c r="B38873" t="inlineStr">
        <is>
          <t>x̄x̄x̄V̅MMMDCCCLXXII</t>
        </is>
      </c>
      <c r="C38873">
        <f>ROMAN(38872)</f>
        <v/>
      </c>
      <c r="D38873">
        <f>IF(B38873=C38873, "YES", "WRONG")</f>
        <v/>
      </c>
    </row>
    <row r="38874">
      <c r="A38874" t="n">
        <v>38873</v>
      </c>
      <c r="B38874" t="inlineStr">
        <is>
          <t>x̄x̄x̄V̅MMMDCCCLXXIII</t>
        </is>
      </c>
      <c r="C38874">
        <f>ROMAN(38873)</f>
        <v/>
      </c>
      <c r="D38874">
        <f>IF(B38874=C38874, "YES", "WRONG")</f>
        <v/>
      </c>
    </row>
    <row r="38875">
      <c r="A38875" t="n">
        <v>38874</v>
      </c>
      <c r="B38875" t="inlineStr">
        <is>
          <t>x̄x̄x̄V̅MMMDCCCLXXIV</t>
        </is>
      </c>
      <c r="C38875">
        <f>ROMAN(38874)</f>
        <v/>
      </c>
      <c r="D38875">
        <f>IF(B38875=C38875, "YES", "WRONG")</f>
        <v/>
      </c>
    </row>
    <row r="38876">
      <c r="A38876" t="n">
        <v>38875</v>
      </c>
      <c r="B38876" t="inlineStr">
        <is>
          <t>x̄x̄x̄V̅MMMDCCCLXXV</t>
        </is>
      </c>
      <c r="C38876">
        <f>ROMAN(38875)</f>
        <v/>
      </c>
      <c r="D38876">
        <f>IF(B38876=C38876, "YES", "WRONG")</f>
        <v/>
      </c>
    </row>
    <row r="38877">
      <c r="A38877" t="n">
        <v>38876</v>
      </c>
      <c r="B38877" t="inlineStr">
        <is>
          <t>x̄x̄x̄V̅MMMDCCCLXXVI</t>
        </is>
      </c>
      <c r="C38877">
        <f>ROMAN(38876)</f>
        <v/>
      </c>
      <c r="D38877">
        <f>IF(B38877=C38877, "YES", "WRONG")</f>
        <v/>
      </c>
    </row>
    <row r="38878">
      <c r="A38878" t="n">
        <v>38877</v>
      </c>
      <c r="B38878" t="inlineStr">
        <is>
          <t>x̄x̄x̄V̅MMMDCCCLXXVII</t>
        </is>
      </c>
      <c r="C38878">
        <f>ROMAN(38877)</f>
        <v/>
      </c>
      <c r="D38878">
        <f>IF(B38878=C38878, "YES", "WRONG")</f>
        <v/>
      </c>
    </row>
    <row r="38879">
      <c r="A38879" t="n">
        <v>38878</v>
      </c>
      <c r="B38879" t="inlineStr">
        <is>
          <t>x̄x̄x̄V̅MMMDCCCLXXVIII</t>
        </is>
      </c>
      <c r="C38879">
        <f>ROMAN(38878)</f>
        <v/>
      </c>
      <c r="D38879">
        <f>IF(B38879=C38879, "YES", "WRONG")</f>
        <v/>
      </c>
    </row>
    <row r="38880">
      <c r="A38880" t="n">
        <v>38879</v>
      </c>
      <c r="B38880" t="inlineStr">
        <is>
          <t>x̄x̄x̄V̅MMMDCCCLXXIX</t>
        </is>
      </c>
      <c r="C38880">
        <f>ROMAN(38879)</f>
        <v/>
      </c>
      <c r="D38880">
        <f>IF(B38880=C38880, "YES", "WRONG")</f>
        <v/>
      </c>
    </row>
    <row r="38881">
      <c r="A38881" t="n">
        <v>38880</v>
      </c>
      <c r="B38881" t="inlineStr">
        <is>
          <t>x̄x̄x̄V̅MMMDCCCLXXX</t>
        </is>
      </c>
      <c r="C38881">
        <f>ROMAN(38880)</f>
        <v/>
      </c>
      <c r="D38881">
        <f>IF(B38881=C38881, "YES", "WRONG")</f>
        <v/>
      </c>
    </row>
    <row r="38882">
      <c r="A38882" t="n">
        <v>38881</v>
      </c>
      <c r="B38882" t="inlineStr">
        <is>
          <t>x̄x̄x̄V̅MMMDCCCLXXXI</t>
        </is>
      </c>
      <c r="C38882">
        <f>ROMAN(38881)</f>
        <v/>
      </c>
      <c r="D38882">
        <f>IF(B38882=C38882, "YES", "WRONG")</f>
        <v/>
      </c>
    </row>
    <row r="38883">
      <c r="A38883" t="n">
        <v>38882</v>
      </c>
      <c r="B38883" t="inlineStr">
        <is>
          <t>x̄x̄x̄V̅MMMDCCCLXXXII</t>
        </is>
      </c>
      <c r="C38883">
        <f>ROMAN(38882)</f>
        <v/>
      </c>
      <c r="D38883">
        <f>IF(B38883=C38883, "YES", "WRONG")</f>
        <v/>
      </c>
    </row>
    <row r="38884">
      <c r="A38884" t="n">
        <v>38883</v>
      </c>
      <c r="B38884" t="inlineStr">
        <is>
          <t>x̄x̄x̄V̅MMMDCCCLXXXIII</t>
        </is>
      </c>
      <c r="C38884">
        <f>ROMAN(38883)</f>
        <v/>
      </c>
      <c r="D38884">
        <f>IF(B38884=C38884, "YES", "WRONG")</f>
        <v/>
      </c>
    </row>
    <row r="38885">
      <c r="A38885" t="n">
        <v>38884</v>
      </c>
      <c r="B38885" t="inlineStr">
        <is>
          <t>x̄x̄x̄V̅MMMDCCCLXXXIV</t>
        </is>
      </c>
      <c r="C38885">
        <f>ROMAN(38884)</f>
        <v/>
      </c>
      <c r="D38885">
        <f>IF(B38885=C38885, "YES", "WRONG")</f>
        <v/>
      </c>
    </row>
    <row r="38886">
      <c r="A38886" t="n">
        <v>38885</v>
      </c>
      <c r="B38886" t="inlineStr">
        <is>
          <t>x̄x̄x̄V̅MMMDCCCLXXXV</t>
        </is>
      </c>
      <c r="C38886">
        <f>ROMAN(38885)</f>
        <v/>
      </c>
      <c r="D38886">
        <f>IF(B38886=C38886, "YES", "WRONG")</f>
        <v/>
      </c>
    </row>
    <row r="38887">
      <c r="A38887" t="n">
        <v>38886</v>
      </c>
      <c r="B38887" t="inlineStr">
        <is>
          <t>x̄x̄x̄V̅MMMDCCCLXXXVI</t>
        </is>
      </c>
      <c r="C38887">
        <f>ROMAN(38886)</f>
        <v/>
      </c>
      <c r="D38887">
        <f>IF(B38887=C38887, "YES", "WRONG")</f>
        <v/>
      </c>
    </row>
    <row r="38888">
      <c r="A38888" t="n">
        <v>38887</v>
      </c>
      <c r="B38888" t="inlineStr">
        <is>
          <t>x̄x̄x̄V̅MMMDCCCLXXXVII</t>
        </is>
      </c>
      <c r="C38888">
        <f>ROMAN(38887)</f>
        <v/>
      </c>
      <c r="D38888">
        <f>IF(B38888=C38888, "YES", "WRONG")</f>
        <v/>
      </c>
    </row>
    <row r="38889">
      <c r="A38889" t="n">
        <v>38888</v>
      </c>
      <c r="B38889" t="inlineStr">
        <is>
          <t>x̄x̄x̄V̅MMMDCCCLXXXVIII</t>
        </is>
      </c>
      <c r="C38889">
        <f>ROMAN(38888)</f>
        <v/>
      </c>
      <c r="D38889">
        <f>IF(B38889=C38889, "YES", "WRONG")</f>
        <v/>
      </c>
    </row>
    <row r="38890">
      <c r="A38890" t="n">
        <v>38889</v>
      </c>
      <c r="B38890" t="inlineStr">
        <is>
          <t>x̄x̄x̄V̅MMMDCCCLXXXIX</t>
        </is>
      </c>
      <c r="C38890">
        <f>ROMAN(38889)</f>
        <v/>
      </c>
      <c r="D38890">
        <f>IF(B38890=C38890, "YES", "WRONG")</f>
        <v/>
      </c>
    </row>
    <row r="38891">
      <c r="A38891" t="n">
        <v>38890</v>
      </c>
      <c r="B38891" t="inlineStr">
        <is>
          <t>x̄x̄x̄V̅MMMDCCCXC</t>
        </is>
      </c>
      <c r="C38891">
        <f>ROMAN(38890)</f>
        <v/>
      </c>
      <c r="D38891">
        <f>IF(B38891=C38891, "YES", "WRONG")</f>
        <v/>
      </c>
    </row>
    <row r="38892">
      <c r="A38892" t="n">
        <v>38891</v>
      </c>
      <c r="B38892" t="inlineStr">
        <is>
          <t>x̄x̄x̄V̅MMMDCCCXCI</t>
        </is>
      </c>
      <c r="C38892">
        <f>ROMAN(38891)</f>
        <v/>
      </c>
      <c r="D38892">
        <f>IF(B38892=C38892, "YES", "WRONG")</f>
        <v/>
      </c>
    </row>
    <row r="38893">
      <c r="A38893" t="n">
        <v>38892</v>
      </c>
      <c r="B38893" t="inlineStr">
        <is>
          <t>x̄x̄x̄V̅MMMDCCCXCII</t>
        </is>
      </c>
      <c r="C38893">
        <f>ROMAN(38892)</f>
        <v/>
      </c>
      <c r="D38893">
        <f>IF(B38893=C38893, "YES", "WRONG")</f>
        <v/>
      </c>
    </row>
    <row r="38894">
      <c r="A38894" t="n">
        <v>38893</v>
      </c>
      <c r="B38894" t="inlineStr">
        <is>
          <t>x̄x̄x̄V̅MMMDCCCXCIII</t>
        </is>
      </c>
      <c r="C38894">
        <f>ROMAN(38893)</f>
        <v/>
      </c>
      <c r="D38894">
        <f>IF(B38894=C38894, "YES", "WRONG")</f>
        <v/>
      </c>
    </row>
    <row r="38895">
      <c r="A38895" t="n">
        <v>38894</v>
      </c>
      <c r="B38895" t="inlineStr">
        <is>
          <t>x̄x̄x̄V̅MMMDCCCXCIV</t>
        </is>
      </c>
      <c r="C38895">
        <f>ROMAN(38894)</f>
        <v/>
      </c>
      <c r="D38895">
        <f>IF(B38895=C38895, "YES", "WRONG")</f>
        <v/>
      </c>
    </row>
    <row r="38896">
      <c r="A38896" t="n">
        <v>38895</v>
      </c>
      <c r="B38896" t="inlineStr">
        <is>
          <t>x̄x̄x̄V̅MMMDCCCXCV</t>
        </is>
      </c>
      <c r="C38896">
        <f>ROMAN(38895)</f>
        <v/>
      </c>
      <c r="D38896">
        <f>IF(B38896=C38896, "YES", "WRONG")</f>
        <v/>
      </c>
    </row>
    <row r="38897">
      <c r="A38897" t="n">
        <v>38896</v>
      </c>
      <c r="B38897" t="inlineStr">
        <is>
          <t>x̄x̄x̄V̅MMMDCCCXCVI</t>
        </is>
      </c>
      <c r="C38897">
        <f>ROMAN(38896)</f>
        <v/>
      </c>
      <c r="D38897">
        <f>IF(B38897=C38897, "YES", "WRONG")</f>
        <v/>
      </c>
    </row>
    <row r="38898">
      <c r="A38898" t="n">
        <v>38897</v>
      </c>
      <c r="B38898" t="inlineStr">
        <is>
          <t>x̄x̄x̄V̅MMMDCCCXCVII</t>
        </is>
      </c>
      <c r="C38898">
        <f>ROMAN(38897)</f>
        <v/>
      </c>
      <c r="D38898">
        <f>IF(B38898=C38898, "YES", "WRONG")</f>
        <v/>
      </c>
    </row>
    <row r="38899">
      <c r="A38899" t="n">
        <v>38898</v>
      </c>
      <c r="B38899" t="inlineStr">
        <is>
          <t>x̄x̄x̄V̅MMMDCCCXCVIII</t>
        </is>
      </c>
      <c r="C38899">
        <f>ROMAN(38898)</f>
        <v/>
      </c>
      <c r="D38899">
        <f>IF(B38899=C38899, "YES", "WRONG")</f>
        <v/>
      </c>
    </row>
    <row r="38900">
      <c r="A38900" t="n">
        <v>38899</v>
      </c>
      <c r="B38900" t="inlineStr">
        <is>
          <t>x̄x̄x̄V̅MMMDCCCXCIX</t>
        </is>
      </c>
      <c r="C38900">
        <f>ROMAN(38899)</f>
        <v/>
      </c>
      <c r="D38900">
        <f>IF(B38900=C38900, "YES", "WRONG")</f>
        <v/>
      </c>
    </row>
    <row r="38901">
      <c r="A38901" t="n">
        <v>38900</v>
      </c>
      <c r="B38901" t="inlineStr">
        <is>
          <t>x̄x̄x̄V̅MMMCM</t>
        </is>
      </c>
      <c r="C38901">
        <f>ROMAN(38900)</f>
        <v/>
      </c>
      <c r="D38901">
        <f>IF(B38901=C38901, "YES", "WRONG")</f>
        <v/>
      </c>
    </row>
    <row r="38902">
      <c r="A38902" t="n">
        <v>38901</v>
      </c>
      <c r="B38902" t="inlineStr">
        <is>
          <t>x̄x̄x̄V̅MMMCMI</t>
        </is>
      </c>
      <c r="C38902">
        <f>ROMAN(38901)</f>
        <v/>
      </c>
      <c r="D38902">
        <f>IF(B38902=C38902, "YES", "WRONG")</f>
        <v/>
      </c>
    </row>
    <row r="38903">
      <c r="A38903" t="n">
        <v>38902</v>
      </c>
      <c r="B38903" t="inlineStr">
        <is>
          <t>x̄x̄x̄V̅MMMCMII</t>
        </is>
      </c>
      <c r="C38903">
        <f>ROMAN(38902)</f>
        <v/>
      </c>
      <c r="D38903">
        <f>IF(B38903=C38903, "YES", "WRONG")</f>
        <v/>
      </c>
    </row>
    <row r="38904">
      <c r="A38904" t="n">
        <v>38903</v>
      </c>
      <c r="B38904" t="inlineStr">
        <is>
          <t>x̄x̄x̄V̅MMMCMIII</t>
        </is>
      </c>
      <c r="C38904">
        <f>ROMAN(38903)</f>
        <v/>
      </c>
      <c r="D38904">
        <f>IF(B38904=C38904, "YES", "WRONG")</f>
        <v/>
      </c>
    </row>
    <row r="38905">
      <c r="A38905" t="n">
        <v>38904</v>
      </c>
      <c r="B38905" t="inlineStr">
        <is>
          <t>x̄x̄x̄V̅MMMCMIV</t>
        </is>
      </c>
      <c r="C38905">
        <f>ROMAN(38904)</f>
        <v/>
      </c>
      <c r="D38905">
        <f>IF(B38905=C38905, "YES", "WRONG")</f>
        <v/>
      </c>
    </row>
    <row r="38906">
      <c r="A38906" t="n">
        <v>38905</v>
      </c>
      <c r="B38906" t="inlineStr">
        <is>
          <t>x̄x̄x̄V̅MMMCMV</t>
        </is>
      </c>
      <c r="C38906">
        <f>ROMAN(38905)</f>
        <v/>
      </c>
      <c r="D38906">
        <f>IF(B38906=C38906, "YES", "WRONG")</f>
        <v/>
      </c>
    </row>
    <row r="38907">
      <c r="A38907" t="n">
        <v>38906</v>
      </c>
      <c r="B38907" t="inlineStr">
        <is>
          <t>x̄x̄x̄V̅MMMCMVI</t>
        </is>
      </c>
      <c r="C38907">
        <f>ROMAN(38906)</f>
        <v/>
      </c>
      <c r="D38907">
        <f>IF(B38907=C38907, "YES", "WRONG")</f>
        <v/>
      </c>
    </row>
    <row r="38908">
      <c r="A38908" t="n">
        <v>38907</v>
      </c>
      <c r="B38908" t="inlineStr">
        <is>
          <t>x̄x̄x̄V̅MMMCMVII</t>
        </is>
      </c>
      <c r="C38908">
        <f>ROMAN(38907)</f>
        <v/>
      </c>
      <c r="D38908">
        <f>IF(B38908=C38908, "YES", "WRONG")</f>
        <v/>
      </c>
    </row>
    <row r="38909">
      <c r="A38909" t="n">
        <v>38908</v>
      </c>
      <c r="B38909" t="inlineStr">
        <is>
          <t>x̄x̄x̄V̅MMMCMVIII</t>
        </is>
      </c>
      <c r="C38909">
        <f>ROMAN(38908)</f>
        <v/>
      </c>
      <c r="D38909">
        <f>IF(B38909=C38909, "YES", "WRONG")</f>
        <v/>
      </c>
    </row>
    <row r="38910">
      <c r="A38910" t="n">
        <v>38909</v>
      </c>
      <c r="B38910" t="inlineStr">
        <is>
          <t>x̄x̄x̄V̅MMMCMIX</t>
        </is>
      </c>
      <c r="C38910">
        <f>ROMAN(38909)</f>
        <v/>
      </c>
      <c r="D38910">
        <f>IF(B38910=C38910, "YES", "WRONG")</f>
        <v/>
      </c>
    </row>
    <row r="38911">
      <c r="A38911" t="n">
        <v>38910</v>
      </c>
      <c r="B38911" t="inlineStr">
        <is>
          <t>x̄x̄x̄V̅MMMCMX</t>
        </is>
      </c>
      <c r="C38911">
        <f>ROMAN(38910)</f>
        <v/>
      </c>
      <c r="D38911">
        <f>IF(B38911=C38911, "YES", "WRONG")</f>
        <v/>
      </c>
    </row>
    <row r="38912">
      <c r="A38912" t="n">
        <v>38911</v>
      </c>
      <c r="B38912" t="inlineStr">
        <is>
          <t>x̄x̄x̄V̅MMMCMXI</t>
        </is>
      </c>
      <c r="C38912">
        <f>ROMAN(38911)</f>
        <v/>
      </c>
      <c r="D38912">
        <f>IF(B38912=C38912, "YES", "WRONG")</f>
        <v/>
      </c>
    </row>
    <row r="38913">
      <c r="A38913" t="n">
        <v>38912</v>
      </c>
      <c r="B38913" t="inlineStr">
        <is>
          <t>x̄x̄x̄V̅MMMCMXII</t>
        </is>
      </c>
      <c r="C38913">
        <f>ROMAN(38912)</f>
        <v/>
      </c>
      <c r="D38913">
        <f>IF(B38913=C38913, "YES", "WRONG")</f>
        <v/>
      </c>
    </row>
    <row r="38914">
      <c r="A38914" t="n">
        <v>38913</v>
      </c>
      <c r="B38914" t="inlineStr">
        <is>
          <t>x̄x̄x̄V̅MMMCMXIII</t>
        </is>
      </c>
      <c r="C38914">
        <f>ROMAN(38913)</f>
        <v/>
      </c>
      <c r="D38914">
        <f>IF(B38914=C38914, "YES", "WRONG")</f>
        <v/>
      </c>
    </row>
    <row r="38915">
      <c r="A38915" t="n">
        <v>38914</v>
      </c>
      <c r="B38915" t="inlineStr">
        <is>
          <t>x̄x̄x̄V̅MMMCMXIV</t>
        </is>
      </c>
      <c r="C38915">
        <f>ROMAN(38914)</f>
        <v/>
      </c>
      <c r="D38915">
        <f>IF(B38915=C38915, "YES", "WRONG")</f>
        <v/>
      </c>
    </row>
    <row r="38916">
      <c r="A38916" t="n">
        <v>38915</v>
      </c>
      <c r="B38916" t="inlineStr">
        <is>
          <t>x̄x̄x̄V̅MMMCMXV</t>
        </is>
      </c>
      <c r="C38916">
        <f>ROMAN(38915)</f>
        <v/>
      </c>
      <c r="D38916">
        <f>IF(B38916=C38916, "YES", "WRONG")</f>
        <v/>
      </c>
    </row>
    <row r="38917">
      <c r="A38917" t="n">
        <v>38916</v>
      </c>
      <c r="B38917" t="inlineStr">
        <is>
          <t>x̄x̄x̄V̅MMMCMXVI</t>
        </is>
      </c>
      <c r="C38917">
        <f>ROMAN(38916)</f>
        <v/>
      </c>
      <c r="D38917">
        <f>IF(B38917=C38917, "YES", "WRONG")</f>
        <v/>
      </c>
    </row>
    <row r="38918">
      <c r="A38918" t="n">
        <v>38917</v>
      </c>
      <c r="B38918" t="inlineStr">
        <is>
          <t>x̄x̄x̄V̅MMMCMXVII</t>
        </is>
      </c>
      <c r="C38918">
        <f>ROMAN(38917)</f>
        <v/>
      </c>
      <c r="D38918">
        <f>IF(B38918=C38918, "YES", "WRONG")</f>
        <v/>
      </c>
    </row>
    <row r="38919">
      <c r="A38919" t="n">
        <v>38918</v>
      </c>
      <c r="B38919" t="inlineStr">
        <is>
          <t>x̄x̄x̄V̅MMMCMXVIII</t>
        </is>
      </c>
      <c r="C38919">
        <f>ROMAN(38918)</f>
        <v/>
      </c>
      <c r="D38919">
        <f>IF(B38919=C38919, "YES", "WRONG")</f>
        <v/>
      </c>
    </row>
    <row r="38920">
      <c r="A38920" t="n">
        <v>38919</v>
      </c>
      <c r="B38920" t="inlineStr">
        <is>
          <t>x̄x̄x̄V̅MMMCMXIX</t>
        </is>
      </c>
      <c r="C38920">
        <f>ROMAN(38919)</f>
        <v/>
      </c>
      <c r="D38920">
        <f>IF(B38920=C38920, "YES", "WRONG")</f>
        <v/>
      </c>
    </row>
    <row r="38921">
      <c r="A38921" t="n">
        <v>38920</v>
      </c>
      <c r="B38921" t="inlineStr">
        <is>
          <t>x̄x̄x̄V̅MMMCMXX</t>
        </is>
      </c>
      <c r="C38921">
        <f>ROMAN(38920)</f>
        <v/>
      </c>
      <c r="D38921">
        <f>IF(B38921=C38921, "YES", "WRONG")</f>
        <v/>
      </c>
    </row>
    <row r="38922">
      <c r="A38922" t="n">
        <v>38921</v>
      </c>
      <c r="B38922" t="inlineStr">
        <is>
          <t>x̄x̄x̄V̅MMMCMXXI</t>
        </is>
      </c>
      <c r="C38922">
        <f>ROMAN(38921)</f>
        <v/>
      </c>
      <c r="D38922">
        <f>IF(B38922=C38922, "YES", "WRONG")</f>
        <v/>
      </c>
    </row>
    <row r="38923">
      <c r="A38923" t="n">
        <v>38922</v>
      </c>
      <c r="B38923" t="inlineStr">
        <is>
          <t>x̄x̄x̄V̅MMMCMXXII</t>
        </is>
      </c>
      <c r="C38923">
        <f>ROMAN(38922)</f>
        <v/>
      </c>
      <c r="D38923">
        <f>IF(B38923=C38923, "YES", "WRONG")</f>
        <v/>
      </c>
    </row>
    <row r="38924">
      <c r="A38924" t="n">
        <v>38923</v>
      </c>
      <c r="B38924" t="inlineStr">
        <is>
          <t>x̄x̄x̄V̅MMMCMXXIII</t>
        </is>
      </c>
      <c r="C38924">
        <f>ROMAN(38923)</f>
        <v/>
      </c>
      <c r="D38924">
        <f>IF(B38924=C38924, "YES", "WRONG")</f>
        <v/>
      </c>
    </row>
    <row r="38925">
      <c r="A38925" t="n">
        <v>38924</v>
      </c>
      <c r="B38925" t="inlineStr">
        <is>
          <t>x̄x̄x̄V̅MMMCMXXIV</t>
        </is>
      </c>
      <c r="C38925">
        <f>ROMAN(38924)</f>
        <v/>
      </c>
      <c r="D38925">
        <f>IF(B38925=C38925, "YES", "WRONG")</f>
        <v/>
      </c>
    </row>
    <row r="38926">
      <c r="A38926" t="n">
        <v>38925</v>
      </c>
      <c r="B38926" t="inlineStr">
        <is>
          <t>x̄x̄x̄V̅MMMCMXXV</t>
        </is>
      </c>
      <c r="C38926">
        <f>ROMAN(38925)</f>
        <v/>
      </c>
      <c r="D38926">
        <f>IF(B38926=C38926, "YES", "WRONG")</f>
        <v/>
      </c>
    </row>
    <row r="38927">
      <c r="A38927" t="n">
        <v>38926</v>
      </c>
      <c r="B38927" t="inlineStr">
        <is>
          <t>x̄x̄x̄V̅MMMCMXXVI</t>
        </is>
      </c>
      <c r="C38927">
        <f>ROMAN(38926)</f>
        <v/>
      </c>
      <c r="D38927">
        <f>IF(B38927=C38927, "YES", "WRONG")</f>
        <v/>
      </c>
    </row>
    <row r="38928">
      <c r="A38928" t="n">
        <v>38927</v>
      </c>
      <c r="B38928" t="inlineStr">
        <is>
          <t>x̄x̄x̄V̅MMMCMXXVII</t>
        </is>
      </c>
      <c r="C38928">
        <f>ROMAN(38927)</f>
        <v/>
      </c>
      <c r="D38928">
        <f>IF(B38928=C38928, "YES", "WRONG")</f>
        <v/>
      </c>
    </row>
    <row r="38929">
      <c r="A38929" t="n">
        <v>38928</v>
      </c>
      <c r="B38929" t="inlineStr">
        <is>
          <t>x̄x̄x̄V̅MMMCMXXVIII</t>
        </is>
      </c>
      <c r="C38929">
        <f>ROMAN(38928)</f>
        <v/>
      </c>
      <c r="D38929">
        <f>IF(B38929=C38929, "YES", "WRONG")</f>
        <v/>
      </c>
    </row>
    <row r="38930">
      <c r="A38930" t="n">
        <v>38929</v>
      </c>
      <c r="B38930" t="inlineStr">
        <is>
          <t>x̄x̄x̄V̅MMMCMXXIX</t>
        </is>
      </c>
      <c r="C38930">
        <f>ROMAN(38929)</f>
        <v/>
      </c>
      <c r="D38930">
        <f>IF(B38930=C38930, "YES", "WRONG")</f>
        <v/>
      </c>
    </row>
    <row r="38931">
      <c r="A38931" t="n">
        <v>38930</v>
      </c>
      <c r="B38931" t="inlineStr">
        <is>
          <t>x̄x̄x̄V̅MMMCMXXX</t>
        </is>
      </c>
      <c r="C38931">
        <f>ROMAN(38930)</f>
        <v/>
      </c>
      <c r="D38931">
        <f>IF(B38931=C38931, "YES", "WRONG")</f>
        <v/>
      </c>
    </row>
    <row r="38932">
      <c r="A38932" t="n">
        <v>38931</v>
      </c>
      <c r="B38932" t="inlineStr">
        <is>
          <t>x̄x̄x̄V̅MMMCMXXXI</t>
        </is>
      </c>
      <c r="C38932">
        <f>ROMAN(38931)</f>
        <v/>
      </c>
      <c r="D38932">
        <f>IF(B38932=C38932, "YES", "WRONG")</f>
        <v/>
      </c>
    </row>
    <row r="38933">
      <c r="A38933" t="n">
        <v>38932</v>
      </c>
      <c r="B38933" t="inlineStr">
        <is>
          <t>x̄x̄x̄V̅MMMCMXXXII</t>
        </is>
      </c>
      <c r="C38933">
        <f>ROMAN(38932)</f>
        <v/>
      </c>
      <c r="D38933">
        <f>IF(B38933=C38933, "YES", "WRONG")</f>
        <v/>
      </c>
    </row>
    <row r="38934">
      <c r="A38934" t="n">
        <v>38933</v>
      </c>
      <c r="B38934" t="inlineStr">
        <is>
          <t>x̄x̄x̄V̅MMMCMXXXIII</t>
        </is>
      </c>
      <c r="C38934">
        <f>ROMAN(38933)</f>
        <v/>
      </c>
      <c r="D38934">
        <f>IF(B38934=C38934, "YES", "WRONG")</f>
        <v/>
      </c>
    </row>
    <row r="38935">
      <c r="A38935" t="n">
        <v>38934</v>
      </c>
      <c r="B38935" t="inlineStr">
        <is>
          <t>x̄x̄x̄V̅MMMCMXXXIV</t>
        </is>
      </c>
      <c r="C38935">
        <f>ROMAN(38934)</f>
        <v/>
      </c>
      <c r="D38935">
        <f>IF(B38935=C38935, "YES", "WRONG")</f>
        <v/>
      </c>
    </row>
    <row r="38936">
      <c r="A38936" t="n">
        <v>38935</v>
      </c>
      <c r="B38936" t="inlineStr">
        <is>
          <t>x̄x̄x̄V̅MMMCMXXXV</t>
        </is>
      </c>
      <c r="C38936">
        <f>ROMAN(38935)</f>
        <v/>
      </c>
      <c r="D38936">
        <f>IF(B38936=C38936, "YES", "WRONG")</f>
        <v/>
      </c>
    </row>
    <row r="38937">
      <c r="A38937" t="n">
        <v>38936</v>
      </c>
      <c r="B38937" t="inlineStr">
        <is>
          <t>x̄x̄x̄V̅MMMCMXXXVI</t>
        </is>
      </c>
      <c r="C38937">
        <f>ROMAN(38936)</f>
        <v/>
      </c>
      <c r="D38937">
        <f>IF(B38937=C38937, "YES", "WRONG")</f>
        <v/>
      </c>
    </row>
    <row r="38938">
      <c r="A38938" t="n">
        <v>38937</v>
      </c>
      <c r="B38938" t="inlineStr">
        <is>
          <t>x̄x̄x̄V̅MMMCMXXXVII</t>
        </is>
      </c>
      <c r="C38938">
        <f>ROMAN(38937)</f>
        <v/>
      </c>
      <c r="D38938">
        <f>IF(B38938=C38938, "YES", "WRONG")</f>
        <v/>
      </c>
    </row>
    <row r="38939">
      <c r="A38939" t="n">
        <v>38938</v>
      </c>
      <c r="B38939" t="inlineStr">
        <is>
          <t>x̄x̄x̄V̅MMMCMXXXVIII</t>
        </is>
      </c>
      <c r="C38939">
        <f>ROMAN(38938)</f>
        <v/>
      </c>
      <c r="D38939">
        <f>IF(B38939=C38939, "YES", "WRONG")</f>
        <v/>
      </c>
    </row>
    <row r="38940">
      <c r="A38940" t="n">
        <v>38939</v>
      </c>
      <c r="B38940" t="inlineStr">
        <is>
          <t>x̄x̄x̄V̅MMMCMXXXIX</t>
        </is>
      </c>
      <c r="C38940">
        <f>ROMAN(38939)</f>
        <v/>
      </c>
      <c r="D38940">
        <f>IF(B38940=C38940, "YES", "WRONG")</f>
        <v/>
      </c>
    </row>
    <row r="38941">
      <c r="A38941" t="n">
        <v>38940</v>
      </c>
      <c r="B38941" t="inlineStr">
        <is>
          <t>x̄x̄x̄V̅MMMCMXL</t>
        </is>
      </c>
      <c r="C38941">
        <f>ROMAN(38940)</f>
        <v/>
      </c>
      <c r="D38941">
        <f>IF(B38941=C38941, "YES", "WRONG")</f>
        <v/>
      </c>
    </row>
    <row r="38942">
      <c r="A38942" t="n">
        <v>38941</v>
      </c>
      <c r="B38942" t="inlineStr">
        <is>
          <t>x̄x̄x̄V̅MMMCMXLI</t>
        </is>
      </c>
      <c r="C38942">
        <f>ROMAN(38941)</f>
        <v/>
      </c>
      <c r="D38942">
        <f>IF(B38942=C38942, "YES", "WRONG")</f>
        <v/>
      </c>
    </row>
    <row r="38943">
      <c r="A38943" t="n">
        <v>38942</v>
      </c>
      <c r="B38943" t="inlineStr">
        <is>
          <t>x̄x̄x̄V̅MMMCMXLII</t>
        </is>
      </c>
      <c r="C38943">
        <f>ROMAN(38942)</f>
        <v/>
      </c>
      <c r="D38943">
        <f>IF(B38943=C38943, "YES", "WRONG")</f>
        <v/>
      </c>
    </row>
    <row r="38944">
      <c r="A38944" t="n">
        <v>38943</v>
      </c>
      <c r="B38944" t="inlineStr">
        <is>
          <t>x̄x̄x̄V̅MMMCMXLIII</t>
        </is>
      </c>
      <c r="C38944">
        <f>ROMAN(38943)</f>
        <v/>
      </c>
      <c r="D38944">
        <f>IF(B38944=C38944, "YES", "WRONG")</f>
        <v/>
      </c>
    </row>
    <row r="38945">
      <c r="A38945" t="n">
        <v>38944</v>
      </c>
      <c r="B38945" t="inlineStr">
        <is>
          <t>x̄x̄x̄V̅MMMCMXLIV</t>
        </is>
      </c>
      <c r="C38945">
        <f>ROMAN(38944)</f>
        <v/>
      </c>
      <c r="D38945">
        <f>IF(B38945=C38945, "YES", "WRONG")</f>
        <v/>
      </c>
    </row>
    <row r="38946">
      <c r="A38946" t="n">
        <v>38945</v>
      </c>
      <c r="B38946" t="inlineStr">
        <is>
          <t>x̄x̄x̄V̅MMMCMXLV</t>
        </is>
      </c>
      <c r="C38946">
        <f>ROMAN(38945)</f>
        <v/>
      </c>
      <c r="D38946">
        <f>IF(B38946=C38946, "YES", "WRONG")</f>
        <v/>
      </c>
    </row>
    <row r="38947">
      <c r="A38947" t="n">
        <v>38946</v>
      </c>
      <c r="B38947" t="inlineStr">
        <is>
          <t>x̄x̄x̄V̅MMMCMXLVI</t>
        </is>
      </c>
      <c r="C38947">
        <f>ROMAN(38946)</f>
        <v/>
      </c>
      <c r="D38947">
        <f>IF(B38947=C38947, "YES", "WRONG")</f>
        <v/>
      </c>
    </row>
    <row r="38948">
      <c r="A38948" t="n">
        <v>38947</v>
      </c>
      <c r="B38948" t="inlineStr">
        <is>
          <t>x̄x̄x̄V̅MMMCMXLVII</t>
        </is>
      </c>
      <c r="C38948">
        <f>ROMAN(38947)</f>
        <v/>
      </c>
      <c r="D38948">
        <f>IF(B38948=C38948, "YES", "WRONG")</f>
        <v/>
      </c>
    </row>
    <row r="38949">
      <c r="A38949" t="n">
        <v>38948</v>
      </c>
      <c r="B38949" t="inlineStr">
        <is>
          <t>x̄x̄x̄V̅MMMCMXLVIII</t>
        </is>
      </c>
      <c r="C38949">
        <f>ROMAN(38948)</f>
        <v/>
      </c>
      <c r="D38949">
        <f>IF(B38949=C38949, "YES", "WRONG")</f>
        <v/>
      </c>
    </row>
    <row r="38950">
      <c r="A38950" t="n">
        <v>38949</v>
      </c>
      <c r="B38950" t="inlineStr">
        <is>
          <t>x̄x̄x̄V̅MMMCMXLIX</t>
        </is>
      </c>
      <c r="C38950">
        <f>ROMAN(38949)</f>
        <v/>
      </c>
      <c r="D38950">
        <f>IF(B38950=C38950, "YES", "WRONG")</f>
        <v/>
      </c>
    </row>
    <row r="38951">
      <c r="A38951" t="n">
        <v>38950</v>
      </c>
      <c r="B38951" t="inlineStr">
        <is>
          <t>x̄x̄x̄V̅MMMCML</t>
        </is>
      </c>
      <c r="C38951">
        <f>ROMAN(38950)</f>
        <v/>
      </c>
      <c r="D38951">
        <f>IF(B38951=C38951, "YES", "WRONG")</f>
        <v/>
      </c>
    </row>
    <row r="38952">
      <c r="A38952" t="n">
        <v>38951</v>
      </c>
      <c r="B38952" t="inlineStr">
        <is>
          <t>x̄x̄x̄V̅MMMCMLI</t>
        </is>
      </c>
      <c r="C38952">
        <f>ROMAN(38951)</f>
        <v/>
      </c>
      <c r="D38952">
        <f>IF(B38952=C38952, "YES", "WRONG")</f>
        <v/>
      </c>
    </row>
    <row r="38953">
      <c r="A38953" t="n">
        <v>38952</v>
      </c>
      <c r="B38953" t="inlineStr">
        <is>
          <t>x̄x̄x̄V̅MMMCMLII</t>
        </is>
      </c>
      <c r="C38953">
        <f>ROMAN(38952)</f>
        <v/>
      </c>
      <c r="D38953">
        <f>IF(B38953=C38953, "YES", "WRONG")</f>
        <v/>
      </c>
    </row>
    <row r="38954">
      <c r="A38954" t="n">
        <v>38953</v>
      </c>
      <c r="B38954" t="inlineStr">
        <is>
          <t>x̄x̄x̄V̅MMMCMLIII</t>
        </is>
      </c>
      <c r="C38954">
        <f>ROMAN(38953)</f>
        <v/>
      </c>
      <c r="D38954">
        <f>IF(B38954=C38954, "YES", "WRONG")</f>
        <v/>
      </c>
    </row>
    <row r="38955">
      <c r="A38955" t="n">
        <v>38954</v>
      </c>
      <c r="B38955" t="inlineStr">
        <is>
          <t>x̄x̄x̄V̅MMMCMLIV</t>
        </is>
      </c>
      <c r="C38955">
        <f>ROMAN(38954)</f>
        <v/>
      </c>
      <c r="D38955">
        <f>IF(B38955=C38955, "YES", "WRONG")</f>
        <v/>
      </c>
    </row>
    <row r="38956">
      <c r="A38956" t="n">
        <v>38955</v>
      </c>
      <c r="B38956" t="inlineStr">
        <is>
          <t>x̄x̄x̄V̅MMMCMLV</t>
        </is>
      </c>
      <c r="C38956">
        <f>ROMAN(38955)</f>
        <v/>
      </c>
      <c r="D38956">
        <f>IF(B38956=C38956, "YES", "WRONG")</f>
        <v/>
      </c>
    </row>
    <row r="38957">
      <c r="A38957" t="n">
        <v>38956</v>
      </c>
      <c r="B38957" t="inlineStr">
        <is>
          <t>x̄x̄x̄V̅MMMCMLVI</t>
        </is>
      </c>
      <c r="C38957">
        <f>ROMAN(38956)</f>
        <v/>
      </c>
      <c r="D38957">
        <f>IF(B38957=C38957, "YES", "WRONG")</f>
        <v/>
      </c>
    </row>
    <row r="38958">
      <c r="A38958" t="n">
        <v>38957</v>
      </c>
      <c r="B38958" t="inlineStr">
        <is>
          <t>x̄x̄x̄V̅MMMCMLVII</t>
        </is>
      </c>
      <c r="C38958">
        <f>ROMAN(38957)</f>
        <v/>
      </c>
      <c r="D38958">
        <f>IF(B38958=C38958, "YES", "WRONG")</f>
        <v/>
      </c>
    </row>
    <row r="38959">
      <c r="A38959" t="n">
        <v>38958</v>
      </c>
      <c r="B38959" t="inlineStr">
        <is>
          <t>x̄x̄x̄V̅MMMCMLVIII</t>
        </is>
      </c>
      <c r="C38959">
        <f>ROMAN(38958)</f>
        <v/>
      </c>
      <c r="D38959">
        <f>IF(B38959=C38959, "YES", "WRONG")</f>
        <v/>
      </c>
    </row>
    <row r="38960">
      <c r="A38960" t="n">
        <v>38959</v>
      </c>
      <c r="B38960" t="inlineStr">
        <is>
          <t>x̄x̄x̄V̅MMMCMLIX</t>
        </is>
      </c>
      <c r="C38960">
        <f>ROMAN(38959)</f>
        <v/>
      </c>
      <c r="D38960">
        <f>IF(B38960=C38960, "YES", "WRONG")</f>
        <v/>
      </c>
    </row>
    <row r="38961">
      <c r="A38961" t="n">
        <v>38960</v>
      </c>
      <c r="B38961" t="inlineStr">
        <is>
          <t>x̄x̄x̄V̅MMMCMLX</t>
        </is>
      </c>
      <c r="C38961">
        <f>ROMAN(38960)</f>
        <v/>
      </c>
      <c r="D38961">
        <f>IF(B38961=C38961, "YES", "WRONG")</f>
        <v/>
      </c>
    </row>
    <row r="38962">
      <c r="A38962" t="n">
        <v>38961</v>
      </c>
      <c r="B38962" t="inlineStr">
        <is>
          <t>x̄x̄x̄V̅MMMCMLXI</t>
        </is>
      </c>
      <c r="C38962">
        <f>ROMAN(38961)</f>
        <v/>
      </c>
      <c r="D38962">
        <f>IF(B38962=C38962, "YES", "WRONG")</f>
        <v/>
      </c>
    </row>
    <row r="38963">
      <c r="A38963" t="n">
        <v>38962</v>
      </c>
      <c r="B38963" t="inlineStr">
        <is>
          <t>x̄x̄x̄V̅MMMCMLXII</t>
        </is>
      </c>
      <c r="C38963">
        <f>ROMAN(38962)</f>
        <v/>
      </c>
      <c r="D38963">
        <f>IF(B38963=C38963, "YES", "WRONG")</f>
        <v/>
      </c>
    </row>
    <row r="38964">
      <c r="A38964" t="n">
        <v>38963</v>
      </c>
      <c r="B38964" t="inlineStr">
        <is>
          <t>x̄x̄x̄V̅MMMCMLXIII</t>
        </is>
      </c>
      <c r="C38964">
        <f>ROMAN(38963)</f>
        <v/>
      </c>
      <c r="D38964">
        <f>IF(B38964=C38964, "YES", "WRONG")</f>
        <v/>
      </c>
    </row>
    <row r="38965">
      <c r="A38965" t="n">
        <v>38964</v>
      </c>
      <c r="B38965" t="inlineStr">
        <is>
          <t>x̄x̄x̄V̅MMMCMLXIV</t>
        </is>
      </c>
      <c r="C38965">
        <f>ROMAN(38964)</f>
        <v/>
      </c>
      <c r="D38965">
        <f>IF(B38965=C38965, "YES", "WRONG")</f>
        <v/>
      </c>
    </row>
    <row r="38966">
      <c r="A38966" t="n">
        <v>38965</v>
      </c>
      <c r="B38966" t="inlineStr">
        <is>
          <t>x̄x̄x̄V̅MMMCMLXV</t>
        </is>
      </c>
      <c r="C38966">
        <f>ROMAN(38965)</f>
        <v/>
      </c>
      <c r="D38966">
        <f>IF(B38966=C38966, "YES", "WRONG")</f>
        <v/>
      </c>
    </row>
    <row r="38967">
      <c r="A38967" t="n">
        <v>38966</v>
      </c>
      <c r="B38967" t="inlineStr">
        <is>
          <t>x̄x̄x̄V̅MMMCMLXVI</t>
        </is>
      </c>
      <c r="C38967">
        <f>ROMAN(38966)</f>
        <v/>
      </c>
      <c r="D38967">
        <f>IF(B38967=C38967, "YES", "WRONG")</f>
        <v/>
      </c>
    </row>
    <row r="38968">
      <c r="A38968" t="n">
        <v>38967</v>
      </c>
      <c r="B38968" t="inlineStr">
        <is>
          <t>x̄x̄x̄V̅MMMCMLXVII</t>
        </is>
      </c>
      <c r="C38968">
        <f>ROMAN(38967)</f>
        <v/>
      </c>
      <c r="D38968">
        <f>IF(B38968=C38968, "YES", "WRONG")</f>
        <v/>
      </c>
    </row>
    <row r="38969">
      <c r="A38969" t="n">
        <v>38968</v>
      </c>
      <c r="B38969" t="inlineStr">
        <is>
          <t>x̄x̄x̄V̅MMMCMLXVIII</t>
        </is>
      </c>
      <c r="C38969">
        <f>ROMAN(38968)</f>
        <v/>
      </c>
      <c r="D38969">
        <f>IF(B38969=C38969, "YES", "WRONG")</f>
        <v/>
      </c>
    </row>
    <row r="38970">
      <c r="A38970" t="n">
        <v>38969</v>
      </c>
      <c r="B38970" t="inlineStr">
        <is>
          <t>x̄x̄x̄V̅MMMCMLXIX</t>
        </is>
      </c>
      <c r="C38970">
        <f>ROMAN(38969)</f>
        <v/>
      </c>
      <c r="D38970">
        <f>IF(B38970=C38970, "YES", "WRONG")</f>
        <v/>
      </c>
    </row>
    <row r="38971">
      <c r="A38971" t="n">
        <v>38970</v>
      </c>
      <c r="B38971" t="inlineStr">
        <is>
          <t>x̄x̄x̄V̅MMMCMLXX</t>
        </is>
      </c>
      <c r="C38971">
        <f>ROMAN(38970)</f>
        <v/>
      </c>
      <c r="D38971">
        <f>IF(B38971=C38971, "YES", "WRONG")</f>
        <v/>
      </c>
    </row>
    <row r="38972">
      <c r="A38972" t="n">
        <v>38971</v>
      </c>
      <c r="B38972" t="inlineStr">
        <is>
          <t>x̄x̄x̄V̅MMMCMLXXI</t>
        </is>
      </c>
      <c r="C38972">
        <f>ROMAN(38971)</f>
        <v/>
      </c>
      <c r="D38972">
        <f>IF(B38972=C38972, "YES", "WRONG")</f>
        <v/>
      </c>
    </row>
    <row r="38973">
      <c r="A38973" t="n">
        <v>38972</v>
      </c>
      <c r="B38973" t="inlineStr">
        <is>
          <t>x̄x̄x̄V̅MMMCMLXXII</t>
        </is>
      </c>
      <c r="C38973">
        <f>ROMAN(38972)</f>
        <v/>
      </c>
      <c r="D38973">
        <f>IF(B38973=C38973, "YES", "WRONG")</f>
        <v/>
      </c>
    </row>
    <row r="38974">
      <c r="A38974" t="n">
        <v>38973</v>
      </c>
      <c r="B38974" t="inlineStr">
        <is>
          <t>x̄x̄x̄V̅MMMCMLXXIII</t>
        </is>
      </c>
      <c r="C38974">
        <f>ROMAN(38973)</f>
        <v/>
      </c>
      <c r="D38974">
        <f>IF(B38974=C38974, "YES", "WRONG")</f>
        <v/>
      </c>
    </row>
    <row r="38975">
      <c r="A38975" t="n">
        <v>38974</v>
      </c>
      <c r="B38975" t="inlineStr">
        <is>
          <t>x̄x̄x̄V̅MMMCMLXXIV</t>
        </is>
      </c>
      <c r="C38975">
        <f>ROMAN(38974)</f>
        <v/>
      </c>
      <c r="D38975">
        <f>IF(B38975=C38975, "YES", "WRONG")</f>
        <v/>
      </c>
    </row>
    <row r="38976">
      <c r="A38976" t="n">
        <v>38975</v>
      </c>
      <c r="B38976" t="inlineStr">
        <is>
          <t>x̄x̄x̄V̅MMMCMLXXV</t>
        </is>
      </c>
      <c r="C38976">
        <f>ROMAN(38975)</f>
        <v/>
      </c>
      <c r="D38976">
        <f>IF(B38976=C38976, "YES", "WRONG")</f>
        <v/>
      </c>
    </row>
    <row r="38977">
      <c r="A38977" t="n">
        <v>38976</v>
      </c>
      <c r="B38977" t="inlineStr">
        <is>
          <t>x̄x̄x̄V̅MMMCMLXXVI</t>
        </is>
      </c>
      <c r="C38977">
        <f>ROMAN(38976)</f>
        <v/>
      </c>
      <c r="D38977">
        <f>IF(B38977=C38977, "YES", "WRONG")</f>
        <v/>
      </c>
    </row>
    <row r="38978">
      <c r="A38978" t="n">
        <v>38977</v>
      </c>
      <c r="B38978" t="inlineStr">
        <is>
          <t>x̄x̄x̄V̅MMMCMLXXVII</t>
        </is>
      </c>
      <c r="C38978">
        <f>ROMAN(38977)</f>
        <v/>
      </c>
      <c r="D38978">
        <f>IF(B38978=C38978, "YES", "WRONG")</f>
        <v/>
      </c>
    </row>
    <row r="38979">
      <c r="A38979" t="n">
        <v>38978</v>
      </c>
      <c r="B38979" t="inlineStr">
        <is>
          <t>x̄x̄x̄V̅MMMCMLXXVIII</t>
        </is>
      </c>
      <c r="C38979">
        <f>ROMAN(38978)</f>
        <v/>
      </c>
      <c r="D38979">
        <f>IF(B38979=C38979, "YES", "WRONG")</f>
        <v/>
      </c>
    </row>
    <row r="38980">
      <c r="A38980" t="n">
        <v>38979</v>
      </c>
      <c r="B38980" t="inlineStr">
        <is>
          <t>x̄x̄x̄V̅MMMCMLXXIX</t>
        </is>
      </c>
      <c r="C38980">
        <f>ROMAN(38979)</f>
        <v/>
      </c>
      <c r="D38980">
        <f>IF(B38980=C38980, "YES", "WRONG")</f>
        <v/>
      </c>
    </row>
    <row r="38981">
      <c r="A38981" t="n">
        <v>38980</v>
      </c>
      <c r="B38981" t="inlineStr">
        <is>
          <t>x̄x̄x̄V̅MMMCMLXXX</t>
        </is>
      </c>
      <c r="C38981">
        <f>ROMAN(38980)</f>
        <v/>
      </c>
      <c r="D38981">
        <f>IF(B38981=C38981, "YES", "WRONG")</f>
        <v/>
      </c>
    </row>
    <row r="38982">
      <c r="A38982" t="n">
        <v>38981</v>
      </c>
      <c r="B38982" t="inlineStr">
        <is>
          <t>x̄x̄x̄V̅MMMCMLXXXI</t>
        </is>
      </c>
      <c r="C38982">
        <f>ROMAN(38981)</f>
        <v/>
      </c>
      <c r="D38982">
        <f>IF(B38982=C38982, "YES", "WRONG")</f>
        <v/>
      </c>
    </row>
    <row r="38983">
      <c r="A38983" t="n">
        <v>38982</v>
      </c>
      <c r="B38983" t="inlineStr">
        <is>
          <t>x̄x̄x̄V̅MMMCMLXXXII</t>
        </is>
      </c>
      <c r="C38983">
        <f>ROMAN(38982)</f>
        <v/>
      </c>
      <c r="D38983">
        <f>IF(B38983=C38983, "YES", "WRONG")</f>
        <v/>
      </c>
    </row>
    <row r="38984">
      <c r="A38984" t="n">
        <v>38983</v>
      </c>
      <c r="B38984" t="inlineStr">
        <is>
          <t>x̄x̄x̄V̅MMMCMLXXXIII</t>
        </is>
      </c>
      <c r="C38984">
        <f>ROMAN(38983)</f>
        <v/>
      </c>
      <c r="D38984">
        <f>IF(B38984=C38984, "YES", "WRONG")</f>
        <v/>
      </c>
    </row>
    <row r="38985">
      <c r="A38985" t="n">
        <v>38984</v>
      </c>
      <c r="B38985" t="inlineStr">
        <is>
          <t>x̄x̄x̄V̅MMMCMLXXXIV</t>
        </is>
      </c>
      <c r="C38985">
        <f>ROMAN(38984)</f>
        <v/>
      </c>
      <c r="D38985">
        <f>IF(B38985=C38985, "YES", "WRONG")</f>
        <v/>
      </c>
    </row>
    <row r="38986">
      <c r="A38986" t="n">
        <v>38985</v>
      </c>
      <c r="B38986" t="inlineStr">
        <is>
          <t>x̄x̄x̄V̅MMMCMLXXXV</t>
        </is>
      </c>
      <c r="C38986">
        <f>ROMAN(38985)</f>
        <v/>
      </c>
      <c r="D38986">
        <f>IF(B38986=C38986, "YES", "WRONG")</f>
        <v/>
      </c>
    </row>
    <row r="38987">
      <c r="A38987" t="n">
        <v>38986</v>
      </c>
      <c r="B38987" t="inlineStr">
        <is>
          <t>x̄x̄x̄V̅MMMCMLXXXVI</t>
        </is>
      </c>
      <c r="C38987">
        <f>ROMAN(38986)</f>
        <v/>
      </c>
      <c r="D38987">
        <f>IF(B38987=C38987, "YES", "WRONG")</f>
        <v/>
      </c>
    </row>
    <row r="38988">
      <c r="A38988" t="n">
        <v>38987</v>
      </c>
      <c r="B38988" t="inlineStr">
        <is>
          <t>x̄x̄x̄V̅MMMCMLXXXVII</t>
        </is>
      </c>
      <c r="C38988">
        <f>ROMAN(38987)</f>
        <v/>
      </c>
      <c r="D38988">
        <f>IF(B38988=C38988, "YES", "WRONG")</f>
        <v/>
      </c>
    </row>
    <row r="38989">
      <c r="A38989" t="n">
        <v>38988</v>
      </c>
      <c r="B38989" t="inlineStr">
        <is>
          <t>x̄x̄x̄V̅MMMCMLXXXVIII</t>
        </is>
      </c>
      <c r="C38989">
        <f>ROMAN(38988)</f>
        <v/>
      </c>
      <c r="D38989">
        <f>IF(B38989=C38989, "YES", "WRONG")</f>
        <v/>
      </c>
    </row>
    <row r="38990">
      <c r="A38990" t="n">
        <v>38989</v>
      </c>
      <c r="B38990" t="inlineStr">
        <is>
          <t>x̄x̄x̄V̅MMMCMLXXXIX</t>
        </is>
      </c>
      <c r="C38990">
        <f>ROMAN(38989)</f>
        <v/>
      </c>
      <c r="D38990">
        <f>IF(B38990=C38990, "YES", "WRONG")</f>
        <v/>
      </c>
    </row>
    <row r="38991">
      <c r="A38991" t="n">
        <v>38990</v>
      </c>
      <c r="B38991" t="inlineStr">
        <is>
          <t>x̄x̄x̄V̅MMMCMXC</t>
        </is>
      </c>
      <c r="C38991">
        <f>ROMAN(38990)</f>
        <v/>
      </c>
      <c r="D38991">
        <f>IF(B38991=C38991, "YES", "WRONG")</f>
        <v/>
      </c>
    </row>
    <row r="38992">
      <c r="A38992" t="n">
        <v>38991</v>
      </c>
      <c r="B38992" t="inlineStr">
        <is>
          <t>x̄x̄x̄V̅MMMCMXCI</t>
        </is>
      </c>
      <c r="C38992">
        <f>ROMAN(38991)</f>
        <v/>
      </c>
      <c r="D38992">
        <f>IF(B38992=C38992, "YES", "WRONG")</f>
        <v/>
      </c>
    </row>
    <row r="38993">
      <c r="A38993" t="n">
        <v>38992</v>
      </c>
      <c r="B38993" t="inlineStr">
        <is>
          <t>x̄x̄x̄V̅MMMCMXCII</t>
        </is>
      </c>
      <c r="C38993">
        <f>ROMAN(38992)</f>
        <v/>
      </c>
      <c r="D38993">
        <f>IF(B38993=C38993, "YES", "WRONG")</f>
        <v/>
      </c>
    </row>
    <row r="38994">
      <c r="A38994" t="n">
        <v>38993</v>
      </c>
      <c r="B38994" t="inlineStr">
        <is>
          <t>x̄x̄x̄V̅MMMCMXCIII</t>
        </is>
      </c>
      <c r="C38994">
        <f>ROMAN(38993)</f>
        <v/>
      </c>
      <c r="D38994">
        <f>IF(B38994=C38994, "YES", "WRONG")</f>
        <v/>
      </c>
    </row>
    <row r="38995">
      <c r="A38995" t="n">
        <v>38994</v>
      </c>
      <c r="B38995" t="inlineStr">
        <is>
          <t>x̄x̄x̄V̅MMMCMXCIV</t>
        </is>
      </c>
      <c r="C38995">
        <f>ROMAN(38994)</f>
        <v/>
      </c>
      <c r="D38995">
        <f>IF(B38995=C38995, "YES", "WRONG")</f>
        <v/>
      </c>
    </row>
    <row r="38996">
      <c r="A38996" t="n">
        <v>38995</v>
      </c>
      <c r="B38996" t="inlineStr">
        <is>
          <t>x̄x̄x̄V̅MMMCMXCV</t>
        </is>
      </c>
      <c r="C38996">
        <f>ROMAN(38995)</f>
        <v/>
      </c>
      <c r="D38996">
        <f>IF(B38996=C38996, "YES", "WRONG")</f>
        <v/>
      </c>
    </row>
    <row r="38997">
      <c r="A38997" t="n">
        <v>38996</v>
      </c>
      <c r="B38997" t="inlineStr">
        <is>
          <t>x̄x̄x̄V̅MMMCMXCVI</t>
        </is>
      </c>
      <c r="C38997">
        <f>ROMAN(38996)</f>
        <v/>
      </c>
      <c r="D38997">
        <f>IF(B38997=C38997, "YES", "WRONG")</f>
        <v/>
      </c>
    </row>
    <row r="38998">
      <c r="A38998" t="n">
        <v>38997</v>
      </c>
      <c r="B38998" t="inlineStr">
        <is>
          <t>x̄x̄x̄V̅MMMCMXCVII</t>
        </is>
      </c>
      <c r="C38998">
        <f>ROMAN(38997)</f>
        <v/>
      </c>
      <c r="D38998">
        <f>IF(B38998=C38998, "YES", "WRONG")</f>
        <v/>
      </c>
    </row>
    <row r="38999">
      <c r="A38999" t="n">
        <v>38998</v>
      </c>
      <c r="B38999" t="inlineStr">
        <is>
          <t>x̄x̄x̄V̅MMMCMXCVIII</t>
        </is>
      </c>
      <c r="C38999">
        <f>ROMAN(38998)</f>
        <v/>
      </c>
      <c r="D38999">
        <f>IF(B38999=C38999, "YES", "WRONG")</f>
        <v/>
      </c>
    </row>
    <row r="39000">
      <c r="A39000" t="n">
        <v>38999</v>
      </c>
      <c r="B39000" t="inlineStr">
        <is>
          <t>x̄x̄x̄V̅MMMCMXCIX</t>
        </is>
      </c>
      <c r="C39000">
        <f>ROMAN(38999)</f>
        <v/>
      </c>
      <c r="D39000">
        <f>IF(B39000=C39000, "YES", "WRONG")</f>
        <v/>
      </c>
    </row>
    <row r="39001">
      <c r="A39001" t="n">
        <v>39000</v>
      </c>
      <c r="B39001" t="inlineStr">
        <is>
          <t>x̄x̄x̄Mx̄</t>
        </is>
      </c>
      <c r="C39001">
        <f>ROMAN(39000)</f>
        <v/>
      </c>
      <c r="D39001">
        <f>IF(B39001=C39001, "YES", "WRONG")</f>
        <v/>
      </c>
    </row>
    <row r="39002">
      <c r="A39002" t="n">
        <v>39001</v>
      </c>
      <c r="B39002" t="inlineStr">
        <is>
          <t>x̄x̄x̄Mx̄I</t>
        </is>
      </c>
      <c r="C39002">
        <f>ROMAN(39001)</f>
        <v/>
      </c>
      <c r="D39002">
        <f>IF(B39002=C39002, "YES", "WRONG")</f>
        <v/>
      </c>
    </row>
    <row r="39003">
      <c r="A39003" t="n">
        <v>39002</v>
      </c>
      <c r="B39003" t="inlineStr">
        <is>
          <t>x̄x̄x̄Mx̄II</t>
        </is>
      </c>
      <c r="C39003">
        <f>ROMAN(39002)</f>
        <v/>
      </c>
      <c r="D39003">
        <f>IF(B39003=C39003, "YES", "WRONG")</f>
        <v/>
      </c>
    </row>
    <row r="39004">
      <c r="A39004" t="n">
        <v>39003</v>
      </c>
      <c r="B39004" t="inlineStr">
        <is>
          <t>x̄x̄x̄Mx̄III</t>
        </is>
      </c>
      <c r="C39004">
        <f>ROMAN(39003)</f>
        <v/>
      </c>
      <c r="D39004">
        <f>IF(B39004=C39004, "YES", "WRONG")</f>
        <v/>
      </c>
    </row>
    <row r="39005">
      <c r="A39005" t="n">
        <v>39004</v>
      </c>
      <c r="B39005" t="inlineStr">
        <is>
          <t>x̄x̄x̄Mx̄IV</t>
        </is>
      </c>
      <c r="C39005">
        <f>ROMAN(39004)</f>
        <v/>
      </c>
      <c r="D39005">
        <f>IF(B39005=C39005, "YES", "WRONG")</f>
        <v/>
      </c>
    </row>
    <row r="39006">
      <c r="A39006" t="n">
        <v>39005</v>
      </c>
      <c r="B39006" t="inlineStr">
        <is>
          <t>x̄x̄x̄Mx̄V</t>
        </is>
      </c>
      <c r="C39006">
        <f>ROMAN(39005)</f>
        <v/>
      </c>
      <c r="D39006">
        <f>IF(B39006=C39006, "YES", "WRONG")</f>
        <v/>
      </c>
    </row>
    <row r="39007">
      <c r="A39007" t="n">
        <v>39006</v>
      </c>
      <c r="B39007" t="inlineStr">
        <is>
          <t>x̄x̄x̄Mx̄VI</t>
        </is>
      </c>
      <c r="C39007">
        <f>ROMAN(39006)</f>
        <v/>
      </c>
      <c r="D39007">
        <f>IF(B39007=C39007, "YES", "WRONG")</f>
        <v/>
      </c>
    </row>
    <row r="39008">
      <c r="A39008" t="n">
        <v>39007</v>
      </c>
      <c r="B39008" t="inlineStr">
        <is>
          <t>x̄x̄x̄Mx̄VII</t>
        </is>
      </c>
      <c r="C39008">
        <f>ROMAN(39007)</f>
        <v/>
      </c>
      <c r="D39008">
        <f>IF(B39008=C39008, "YES", "WRONG")</f>
        <v/>
      </c>
    </row>
    <row r="39009">
      <c r="A39009" t="n">
        <v>39008</v>
      </c>
      <c r="B39009" t="inlineStr">
        <is>
          <t>x̄x̄x̄Mx̄VIII</t>
        </is>
      </c>
      <c r="C39009">
        <f>ROMAN(39008)</f>
        <v/>
      </c>
      <c r="D39009">
        <f>IF(B39009=C39009, "YES", "WRONG")</f>
        <v/>
      </c>
    </row>
    <row r="39010">
      <c r="A39010" t="n">
        <v>39009</v>
      </c>
      <c r="B39010" t="inlineStr">
        <is>
          <t>x̄x̄x̄Mx̄IX</t>
        </is>
      </c>
      <c r="C39010">
        <f>ROMAN(39009)</f>
        <v/>
      </c>
      <c r="D39010">
        <f>IF(B39010=C39010, "YES", "WRONG")</f>
        <v/>
      </c>
    </row>
    <row r="39011">
      <c r="A39011" t="n">
        <v>39010</v>
      </c>
      <c r="B39011" t="inlineStr">
        <is>
          <t>x̄x̄x̄Mx̄X</t>
        </is>
      </c>
      <c r="C39011">
        <f>ROMAN(39010)</f>
        <v/>
      </c>
      <c r="D39011">
        <f>IF(B39011=C39011, "YES", "WRONG")</f>
        <v/>
      </c>
    </row>
    <row r="39012">
      <c r="A39012" t="n">
        <v>39011</v>
      </c>
      <c r="B39012" t="inlineStr">
        <is>
          <t>x̄x̄x̄Mx̄XI</t>
        </is>
      </c>
      <c r="C39012">
        <f>ROMAN(39011)</f>
        <v/>
      </c>
      <c r="D39012">
        <f>IF(B39012=C39012, "YES", "WRONG")</f>
        <v/>
      </c>
    </row>
    <row r="39013">
      <c r="A39013" t="n">
        <v>39012</v>
      </c>
      <c r="B39013" t="inlineStr">
        <is>
          <t>x̄x̄x̄Mx̄XII</t>
        </is>
      </c>
      <c r="C39013">
        <f>ROMAN(39012)</f>
        <v/>
      </c>
      <c r="D39013">
        <f>IF(B39013=C39013, "YES", "WRONG")</f>
        <v/>
      </c>
    </row>
    <row r="39014">
      <c r="A39014" t="n">
        <v>39013</v>
      </c>
      <c r="B39014" t="inlineStr">
        <is>
          <t>x̄x̄x̄Mx̄XIII</t>
        </is>
      </c>
      <c r="C39014">
        <f>ROMAN(39013)</f>
        <v/>
      </c>
      <c r="D39014">
        <f>IF(B39014=C39014, "YES", "WRONG")</f>
        <v/>
      </c>
    </row>
    <row r="39015">
      <c r="A39015" t="n">
        <v>39014</v>
      </c>
      <c r="B39015" t="inlineStr">
        <is>
          <t>x̄x̄x̄Mx̄XIV</t>
        </is>
      </c>
      <c r="C39015">
        <f>ROMAN(39014)</f>
        <v/>
      </c>
      <c r="D39015">
        <f>IF(B39015=C39015, "YES", "WRONG")</f>
        <v/>
      </c>
    </row>
    <row r="39016">
      <c r="A39016" t="n">
        <v>39015</v>
      </c>
      <c r="B39016" t="inlineStr">
        <is>
          <t>x̄x̄x̄Mx̄XV</t>
        </is>
      </c>
      <c r="C39016">
        <f>ROMAN(39015)</f>
        <v/>
      </c>
      <c r="D39016">
        <f>IF(B39016=C39016, "YES", "WRONG")</f>
        <v/>
      </c>
    </row>
    <row r="39017">
      <c r="A39017" t="n">
        <v>39016</v>
      </c>
      <c r="B39017" t="inlineStr">
        <is>
          <t>x̄x̄x̄Mx̄XVI</t>
        </is>
      </c>
      <c r="C39017">
        <f>ROMAN(39016)</f>
        <v/>
      </c>
      <c r="D39017">
        <f>IF(B39017=C39017, "YES", "WRONG")</f>
        <v/>
      </c>
    </row>
    <row r="39018">
      <c r="A39018" t="n">
        <v>39017</v>
      </c>
      <c r="B39018" t="inlineStr">
        <is>
          <t>x̄x̄x̄Mx̄XVII</t>
        </is>
      </c>
      <c r="C39018">
        <f>ROMAN(39017)</f>
        <v/>
      </c>
      <c r="D39018">
        <f>IF(B39018=C39018, "YES", "WRONG")</f>
        <v/>
      </c>
    </row>
    <row r="39019">
      <c r="A39019" t="n">
        <v>39018</v>
      </c>
      <c r="B39019" t="inlineStr">
        <is>
          <t>x̄x̄x̄Mx̄XVIII</t>
        </is>
      </c>
      <c r="C39019">
        <f>ROMAN(39018)</f>
        <v/>
      </c>
      <c r="D39019">
        <f>IF(B39019=C39019, "YES", "WRONG")</f>
        <v/>
      </c>
    </row>
    <row r="39020">
      <c r="A39020" t="n">
        <v>39019</v>
      </c>
      <c r="B39020" t="inlineStr">
        <is>
          <t>x̄x̄x̄Mx̄XIX</t>
        </is>
      </c>
      <c r="C39020">
        <f>ROMAN(39019)</f>
        <v/>
      </c>
      <c r="D39020">
        <f>IF(B39020=C39020, "YES", "WRONG")</f>
        <v/>
      </c>
    </row>
    <row r="39021">
      <c r="A39021" t="n">
        <v>39020</v>
      </c>
      <c r="B39021" t="inlineStr">
        <is>
          <t>x̄x̄x̄Mx̄XX</t>
        </is>
      </c>
      <c r="C39021">
        <f>ROMAN(39020)</f>
        <v/>
      </c>
      <c r="D39021">
        <f>IF(B39021=C39021, "YES", "WRONG")</f>
        <v/>
      </c>
    </row>
    <row r="39022">
      <c r="A39022" t="n">
        <v>39021</v>
      </c>
      <c r="B39022" t="inlineStr">
        <is>
          <t>x̄x̄x̄Mx̄XXI</t>
        </is>
      </c>
      <c r="C39022">
        <f>ROMAN(39021)</f>
        <v/>
      </c>
      <c r="D39022">
        <f>IF(B39022=C39022, "YES", "WRONG")</f>
        <v/>
      </c>
    </row>
    <row r="39023">
      <c r="A39023" t="n">
        <v>39022</v>
      </c>
      <c r="B39023" t="inlineStr">
        <is>
          <t>x̄x̄x̄Mx̄XXII</t>
        </is>
      </c>
      <c r="C39023">
        <f>ROMAN(39022)</f>
        <v/>
      </c>
      <c r="D39023">
        <f>IF(B39023=C39023, "YES", "WRONG")</f>
        <v/>
      </c>
    </row>
    <row r="39024">
      <c r="A39024" t="n">
        <v>39023</v>
      </c>
      <c r="B39024" t="inlineStr">
        <is>
          <t>x̄x̄x̄Mx̄XXIII</t>
        </is>
      </c>
      <c r="C39024">
        <f>ROMAN(39023)</f>
        <v/>
      </c>
      <c r="D39024">
        <f>IF(B39024=C39024, "YES", "WRONG")</f>
        <v/>
      </c>
    </row>
    <row r="39025">
      <c r="A39025" t="n">
        <v>39024</v>
      </c>
      <c r="B39025" t="inlineStr">
        <is>
          <t>x̄x̄x̄Mx̄XXIV</t>
        </is>
      </c>
      <c r="C39025">
        <f>ROMAN(39024)</f>
        <v/>
      </c>
      <c r="D39025">
        <f>IF(B39025=C39025, "YES", "WRONG")</f>
        <v/>
      </c>
    </row>
    <row r="39026">
      <c r="A39026" t="n">
        <v>39025</v>
      </c>
      <c r="B39026" t="inlineStr">
        <is>
          <t>x̄x̄x̄Mx̄XXV</t>
        </is>
      </c>
      <c r="C39026">
        <f>ROMAN(39025)</f>
        <v/>
      </c>
      <c r="D39026">
        <f>IF(B39026=C39026, "YES", "WRONG")</f>
        <v/>
      </c>
    </row>
    <row r="39027">
      <c r="A39027" t="n">
        <v>39026</v>
      </c>
      <c r="B39027" t="inlineStr">
        <is>
          <t>x̄x̄x̄Mx̄XXVI</t>
        </is>
      </c>
      <c r="C39027">
        <f>ROMAN(39026)</f>
        <v/>
      </c>
      <c r="D39027">
        <f>IF(B39027=C39027, "YES", "WRONG")</f>
        <v/>
      </c>
    </row>
    <row r="39028">
      <c r="A39028" t="n">
        <v>39027</v>
      </c>
      <c r="B39028" t="inlineStr">
        <is>
          <t>x̄x̄x̄Mx̄XXVII</t>
        </is>
      </c>
      <c r="C39028">
        <f>ROMAN(39027)</f>
        <v/>
      </c>
      <c r="D39028">
        <f>IF(B39028=C39028, "YES", "WRONG")</f>
        <v/>
      </c>
    </row>
    <row r="39029">
      <c r="A39029" t="n">
        <v>39028</v>
      </c>
      <c r="B39029" t="inlineStr">
        <is>
          <t>x̄x̄x̄Mx̄XXVIII</t>
        </is>
      </c>
      <c r="C39029">
        <f>ROMAN(39028)</f>
        <v/>
      </c>
      <c r="D39029">
        <f>IF(B39029=C39029, "YES", "WRONG")</f>
        <v/>
      </c>
    </row>
    <row r="39030">
      <c r="A39030" t="n">
        <v>39029</v>
      </c>
      <c r="B39030" t="inlineStr">
        <is>
          <t>x̄x̄x̄Mx̄XXIX</t>
        </is>
      </c>
      <c r="C39030">
        <f>ROMAN(39029)</f>
        <v/>
      </c>
      <c r="D39030">
        <f>IF(B39030=C39030, "YES", "WRONG")</f>
        <v/>
      </c>
    </row>
    <row r="39031">
      <c r="A39031" t="n">
        <v>39030</v>
      </c>
      <c r="B39031" t="inlineStr">
        <is>
          <t>x̄x̄x̄Mx̄XXX</t>
        </is>
      </c>
      <c r="C39031">
        <f>ROMAN(39030)</f>
        <v/>
      </c>
      <c r="D39031">
        <f>IF(B39031=C39031, "YES", "WRONG")</f>
        <v/>
      </c>
    </row>
    <row r="39032">
      <c r="A39032" t="n">
        <v>39031</v>
      </c>
      <c r="B39032" t="inlineStr">
        <is>
          <t>x̄x̄x̄Mx̄XXXI</t>
        </is>
      </c>
      <c r="C39032">
        <f>ROMAN(39031)</f>
        <v/>
      </c>
      <c r="D39032">
        <f>IF(B39032=C39032, "YES", "WRONG")</f>
        <v/>
      </c>
    </row>
    <row r="39033">
      <c r="A39033" t="n">
        <v>39032</v>
      </c>
      <c r="B39033" t="inlineStr">
        <is>
          <t>x̄x̄x̄Mx̄XXXII</t>
        </is>
      </c>
      <c r="C39033">
        <f>ROMAN(39032)</f>
        <v/>
      </c>
      <c r="D39033">
        <f>IF(B39033=C39033, "YES", "WRONG")</f>
        <v/>
      </c>
    </row>
    <row r="39034">
      <c r="A39034" t="n">
        <v>39033</v>
      </c>
      <c r="B39034" t="inlineStr">
        <is>
          <t>x̄x̄x̄Mx̄XXXIII</t>
        </is>
      </c>
      <c r="C39034">
        <f>ROMAN(39033)</f>
        <v/>
      </c>
      <c r="D39034">
        <f>IF(B39034=C39034, "YES", "WRONG")</f>
        <v/>
      </c>
    </row>
    <row r="39035">
      <c r="A39035" t="n">
        <v>39034</v>
      </c>
      <c r="B39035" t="inlineStr">
        <is>
          <t>x̄x̄x̄Mx̄XXXIV</t>
        </is>
      </c>
      <c r="C39035">
        <f>ROMAN(39034)</f>
        <v/>
      </c>
      <c r="D39035">
        <f>IF(B39035=C39035, "YES", "WRONG")</f>
        <v/>
      </c>
    </row>
    <row r="39036">
      <c r="A39036" t="n">
        <v>39035</v>
      </c>
      <c r="B39036" t="inlineStr">
        <is>
          <t>x̄x̄x̄Mx̄XXXV</t>
        </is>
      </c>
      <c r="C39036">
        <f>ROMAN(39035)</f>
        <v/>
      </c>
      <c r="D39036">
        <f>IF(B39036=C39036, "YES", "WRONG")</f>
        <v/>
      </c>
    </row>
    <row r="39037">
      <c r="A39037" t="n">
        <v>39036</v>
      </c>
      <c r="B39037" t="inlineStr">
        <is>
          <t>x̄x̄x̄Mx̄XXXVI</t>
        </is>
      </c>
      <c r="C39037">
        <f>ROMAN(39036)</f>
        <v/>
      </c>
      <c r="D39037">
        <f>IF(B39037=C39037, "YES", "WRONG")</f>
        <v/>
      </c>
    </row>
    <row r="39038">
      <c r="A39038" t="n">
        <v>39037</v>
      </c>
      <c r="B39038" t="inlineStr">
        <is>
          <t>x̄x̄x̄Mx̄XXXVII</t>
        </is>
      </c>
      <c r="C39038">
        <f>ROMAN(39037)</f>
        <v/>
      </c>
      <c r="D39038">
        <f>IF(B39038=C39038, "YES", "WRONG")</f>
        <v/>
      </c>
    </row>
    <row r="39039">
      <c r="A39039" t="n">
        <v>39038</v>
      </c>
      <c r="B39039" t="inlineStr">
        <is>
          <t>x̄x̄x̄Mx̄XXXVIII</t>
        </is>
      </c>
      <c r="C39039">
        <f>ROMAN(39038)</f>
        <v/>
      </c>
      <c r="D39039">
        <f>IF(B39039=C39039, "YES", "WRONG")</f>
        <v/>
      </c>
    </row>
    <row r="39040">
      <c r="A39040" t="n">
        <v>39039</v>
      </c>
      <c r="B39040" t="inlineStr">
        <is>
          <t>x̄x̄x̄Mx̄XXXIX</t>
        </is>
      </c>
      <c r="C39040">
        <f>ROMAN(39039)</f>
        <v/>
      </c>
      <c r="D39040">
        <f>IF(B39040=C39040, "YES", "WRONG")</f>
        <v/>
      </c>
    </row>
    <row r="39041">
      <c r="A39041" t="n">
        <v>39040</v>
      </c>
      <c r="B39041" t="inlineStr">
        <is>
          <t>x̄x̄x̄Mx̄XL</t>
        </is>
      </c>
      <c r="C39041">
        <f>ROMAN(39040)</f>
        <v/>
      </c>
      <c r="D39041">
        <f>IF(B39041=C39041, "YES", "WRONG")</f>
        <v/>
      </c>
    </row>
    <row r="39042">
      <c r="A39042" t="n">
        <v>39041</v>
      </c>
      <c r="B39042" t="inlineStr">
        <is>
          <t>x̄x̄x̄Mx̄XLI</t>
        </is>
      </c>
      <c r="C39042">
        <f>ROMAN(39041)</f>
        <v/>
      </c>
      <c r="D39042">
        <f>IF(B39042=C39042, "YES", "WRONG")</f>
        <v/>
      </c>
    </row>
    <row r="39043">
      <c r="A39043" t="n">
        <v>39042</v>
      </c>
      <c r="B39043" t="inlineStr">
        <is>
          <t>x̄x̄x̄Mx̄XLII</t>
        </is>
      </c>
      <c r="C39043">
        <f>ROMAN(39042)</f>
        <v/>
      </c>
      <c r="D39043">
        <f>IF(B39043=C39043, "YES", "WRONG")</f>
        <v/>
      </c>
    </row>
    <row r="39044">
      <c r="A39044" t="n">
        <v>39043</v>
      </c>
      <c r="B39044" t="inlineStr">
        <is>
          <t>x̄x̄x̄Mx̄XLIII</t>
        </is>
      </c>
      <c r="C39044">
        <f>ROMAN(39043)</f>
        <v/>
      </c>
      <c r="D39044">
        <f>IF(B39044=C39044, "YES", "WRONG")</f>
        <v/>
      </c>
    </row>
    <row r="39045">
      <c r="A39045" t="n">
        <v>39044</v>
      </c>
      <c r="B39045" t="inlineStr">
        <is>
          <t>x̄x̄x̄Mx̄XLIV</t>
        </is>
      </c>
      <c r="C39045">
        <f>ROMAN(39044)</f>
        <v/>
      </c>
      <c r="D39045">
        <f>IF(B39045=C39045, "YES", "WRONG")</f>
        <v/>
      </c>
    </row>
    <row r="39046">
      <c r="A39046" t="n">
        <v>39045</v>
      </c>
      <c r="B39046" t="inlineStr">
        <is>
          <t>x̄x̄x̄Mx̄XLV</t>
        </is>
      </c>
      <c r="C39046">
        <f>ROMAN(39045)</f>
        <v/>
      </c>
      <c r="D39046">
        <f>IF(B39046=C39046, "YES", "WRONG")</f>
        <v/>
      </c>
    </row>
    <row r="39047">
      <c r="A39047" t="n">
        <v>39046</v>
      </c>
      <c r="B39047" t="inlineStr">
        <is>
          <t>x̄x̄x̄Mx̄XLVI</t>
        </is>
      </c>
      <c r="C39047">
        <f>ROMAN(39046)</f>
        <v/>
      </c>
      <c r="D39047">
        <f>IF(B39047=C39047, "YES", "WRONG")</f>
        <v/>
      </c>
    </row>
    <row r="39048">
      <c r="A39048" t="n">
        <v>39047</v>
      </c>
      <c r="B39048" t="inlineStr">
        <is>
          <t>x̄x̄x̄Mx̄XLVII</t>
        </is>
      </c>
      <c r="C39048">
        <f>ROMAN(39047)</f>
        <v/>
      </c>
      <c r="D39048">
        <f>IF(B39048=C39048, "YES", "WRONG")</f>
        <v/>
      </c>
    </row>
    <row r="39049">
      <c r="A39049" t="n">
        <v>39048</v>
      </c>
      <c r="B39049" t="inlineStr">
        <is>
          <t>x̄x̄x̄Mx̄XLVIII</t>
        </is>
      </c>
      <c r="C39049">
        <f>ROMAN(39048)</f>
        <v/>
      </c>
      <c r="D39049">
        <f>IF(B39049=C39049, "YES", "WRONG")</f>
        <v/>
      </c>
    </row>
    <row r="39050">
      <c r="A39050" t="n">
        <v>39049</v>
      </c>
      <c r="B39050" t="inlineStr">
        <is>
          <t>x̄x̄x̄Mx̄XLIX</t>
        </is>
      </c>
      <c r="C39050">
        <f>ROMAN(39049)</f>
        <v/>
      </c>
      <c r="D39050">
        <f>IF(B39050=C39050, "YES", "WRONG")</f>
        <v/>
      </c>
    </row>
    <row r="39051">
      <c r="A39051" t="n">
        <v>39050</v>
      </c>
      <c r="B39051" t="inlineStr">
        <is>
          <t>x̄x̄x̄Mx̄L</t>
        </is>
      </c>
      <c r="C39051">
        <f>ROMAN(39050)</f>
        <v/>
      </c>
      <c r="D39051">
        <f>IF(B39051=C39051, "YES", "WRONG")</f>
        <v/>
      </c>
    </row>
    <row r="39052">
      <c r="A39052" t="n">
        <v>39051</v>
      </c>
      <c r="B39052" t="inlineStr">
        <is>
          <t>x̄x̄x̄Mx̄LI</t>
        </is>
      </c>
      <c r="C39052">
        <f>ROMAN(39051)</f>
        <v/>
      </c>
      <c r="D39052">
        <f>IF(B39052=C39052, "YES", "WRONG")</f>
        <v/>
      </c>
    </row>
    <row r="39053">
      <c r="A39053" t="n">
        <v>39052</v>
      </c>
      <c r="B39053" t="inlineStr">
        <is>
          <t>x̄x̄x̄Mx̄LII</t>
        </is>
      </c>
      <c r="C39053">
        <f>ROMAN(39052)</f>
        <v/>
      </c>
      <c r="D39053">
        <f>IF(B39053=C39053, "YES", "WRONG")</f>
        <v/>
      </c>
    </row>
    <row r="39054">
      <c r="A39054" t="n">
        <v>39053</v>
      </c>
      <c r="B39054" t="inlineStr">
        <is>
          <t>x̄x̄x̄Mx̄LIII</t>
        </is>
      </c>
      <c r="C39054">
        <f>ROMAN(39053)</f>
        <v/>
      </c>
      <c r="D39054">
        <f>IF(B39054=C39054, "YES", "WRONG")</f>
        <v/>
      </c>
    </row>
    <row r="39055">
      <c r="A39055" t="n">
        <v>39054</v>
      </c>
      <c r="B39055" t="inlineStr">
        <is>
          <t>x̄x̄x̄Mx̄LIV</t>
        </is>
      </c>
      <c r="C39055">
        <f>ROMAN(39054)</f>
        <v/>
      </c>
      <c r="D39055">
        <f>IF(B39055=C39055, "YES", "WRONG")</f>
        <v/>
      </c>
    </row>
    <row r="39056">
      <c r="A39056" t="n">
        <v>39055</v>
      </c>
      <c r="B39056" t="inlineStr">
        <is>
          <t>x̄x̄x̄Mx̄LV</t>
        </is>
      </c>
      <c r="C39056">
        <f>ROMAN(39055)</f>
        <v/>
      </c>
      <c r="D39056">
        <f>IF(B39056=C39056, "YES", "WRONG")</f>
        <v/>
      </c>
    </row>
    <row r="39057">
      <c r="A39057" t="n">
        <v>39056</v>
      </c>
      <c r="B39057" t="inlineStr">
        <is>
          <t>x̄x̄x̄Mx̄LVI</t>
        </is>
      </c>
      <c r="C39057">
        <f>ROMAN(39056)</f>
        <v/>
      </c>
      <c r="D39057">
        <f>IF(B39057=C39057, "YES", "WRONG")</f>
        <v/>
      </c>
    </row>
    <row r="39058">
      <c r="A39058" t="n">
        <v>39057</v>
      </c>
      <c r="B39058" t="inlineStr">
        <is>
          <t>x̄x̄x̄Mx̄LVII</t>
        </is>
      </c>
      <c r="C39058">
        <f>ROMAN(39057)</f>
        <v/>
      </c>
      <c r="D39058">
        <f>IF(B39058=C39058, "YES", "WRONG")</f>
        <v/>
      </c>
    </row>
    <row r="39059">
      <c r="A39059" t="n">
        <v>39058</v>
      </c>
      <c r="B39059" t="inlineStr">
        <is>
          <t>x̄x̄x̄Mx̄LVIII</t>
        </is>
      </c>
      <c r="C39059">
        <f>ROMAN(39058)</f>
        <v/>
      </c>
      <c r="D39059">
        <f>IF(B39059=C39059, "YES", "WRONG")</f>
        <v/>
      </c>
    </row>
    <row r="39060">
      <c r="A39060" t="n">
        <v>39059</v>
      </c>
      <c r="B39060" t="inlineStr">
        <is>
          <t>x̄x̄x̄Mx̄LIX</t>
        </is>
      </c>
      <c r="C39060">
        <f>ROMAN(39059)</f>
        <v/>
      </c>
      <c r="D39060">
        <f>IF(B39060=C39060, "YES", "WRONG")</f>
        <v/>
      </c>
    </row>
    <row r="39061">
      <c r="A39061" t="n">
        <v>39060</v>
      </c>
      <c r="B39061" t="inlineStr">
        <is>
          <t>x̄x̄x̄Mx̄LX</t>
        </is>
      </c>
      <c r="C39061">
        <f>ROMAN(39060)</f>
        <v/>
      </c>
      <c r="D39061">
        <f>IF(B39061=C39061, "YES", "WRONG")</f>
        <v/>
      </c>
    </row>
    <row r="39062">
      <c r="A39062" t="n">
        <v>39061</v>
      </c>
      <c r="B39062" t="inlineStr">
        <is>
          <t>x̄x̄x̄Mx̄LXI</t>
        </is>
      </c>
      <c r="C39062">
        <f>ROMAN(39061)</f>
        <v/>
      </c>
      <c r="D39062">
        <f>IF(B39062=C39062, "YES", "WRONG")</f>
        <v/>
      </c>
    </row>
    <row r="39063">
      <c r="A39063" t="n">
        <v>39062</v>
      </c>
      <c r="B39063" t="inlineStr">
        <is>
          <t>x̄x̄x̄Mx̄LXII</t>
        </is>
      </c>
      <c r="C39063">
        <f>ROMAN(39062)</f>
        <v/>
      </c>
      <c r="D39063">
        <f>IF(B39063=C39063, "YES", "WRONG")</f>
        <v/>
      </c>
    </row>
    <row r="39064">
      <c r="A39064" t="n">
        <v>39063</v>
      </c>
      <c r="B39064" t="inlineStr">
        <is>
          <t>x̄x̄x̄Mx̄LXIII</t>
        </is>
      </c>
      <c r="C39064">
        <f>ROMAN(39063)</f>
        <v/>
      </c>
      <c r="D39064">
        <f>IF(B39064=C39064, "YES", "WRONG")</f>
        <v/>
      </c>
    </row>
    <row r="39065">
      <c r="A39065" t="n">
        <v>39064</v>
      </c>
      <c r="B39065" t="inlineStr">
        <is>
          <t>x̄x̄x̄Mx̄LXIV</t>
        </is>
      </c>
      <c r="C39065">
        <f>ROMAN(39064)</f>
        <v/>
      </c>
      <c r="D39065">
        <f>IF(B39065=C39065, "YES", "WRONG")</f>
        <v/>
      </c>
    </row>
    <row r="39066">
      <c r="A39066" t="n">
        <v>39065</v>
      </c>
      <c r="B39066" t="inlineStr">
        <is>
          <t>x̄x̄x̄Mx̄LXV</t>
        </is>
      </c>
      <c r="C39066">
        <f>ROMAN(39065)</f>
        <v/>
      </c>
      <c r="D39066">
        <f>IF(B39066=C39066, "YES", "WRONG")</f>
        <v/>
      </c>
    </row>
    <row r="39067">
      <c r="A39067" t="n">
        <v>39066</v>
      </c>
      <c r="B39067" t="inlineStr">
        <is>
          <t>x̄x̄x̄Mx̄LXVI</t>
        </is>
      </c>
      <c r="C39067">
        <f>ROMAN(39066)</f>
        <v/>
      </c>
      <c r="D39067">
        <f>IF(B39067=C39067, "YES", "WRONG")</f>
        <v/>
      </c>
    </row>
    <row r="39068">
      <c r="A39068" t="n">
        <v>39067</v>
      </c>
      <c r="B39068" t="inlineStr">
        <is>
          <t>x̄x̄x̄Mx̄LXVII</t>
        </is>
      </c>
      <c r="C39068">
        <f>ROMAN(39067)</f>
        <v/>
      </c>
      <c r="D39068">
        <f>IF(B39068=C39068, "YES", "WRONG")</f>
        <v/>
      </c>
    </row>
    <row r="39069">
      <c r="A39069" t="n">
        <v>39068</v>
      </c>
      <c r="B39069" t="inlineStr">
        <is>
          <t>x̄x̄x̄Mx̄LXVIII</t>
        </is>
      </c>
      <c r="C39069">
        <f>ROMAN(39068)</f>
        <v/>
      </c>
      <c r="D39069">
        <f>IF(B39069=C39069, "YES", "WRONG")</f>
        <v/>
      </c>
    </row>
    <row r="39070">
      <c r="A39070" t="n">
        <v>39069</v>
      </c>
      <c r="B39070" t="inlineStr">
        <is>
          <t>x̄x̄x̄Mx̄LXIX</t>
        </is>
      </c>
      <c r="C39070">
        <f>ROMAN(39069)</f>
        <v/>
      </c>
      <c r="D39070">
        <f>IF(B39070=C39070, "YES", "WRONG")</f>
        <v/>
      </c>
    </row>
    <row r="39071">
      <c r="A39071" t="n">
        <v>39070</v>
      </c>
      <c r="B39071" t="inlineStr">
        <is>
          <t>x̄x̄x̄Mx̄LXX</t>
        </is>
      </c>
      <c r="C39071">
        <f>ROMAN(39070)</f>
        <v/>
      </c>
      <c r="D39071">
        <f>IF(B39071=C39071, "YES", "WRONG")</f>
        <v/>
      </c>
    </row>
    <row r="39072">
      <c r="A39072" t="n">
        <v>39071</v>
      </c>
      <c r="B39072" t="inlineStr">
        <is>
          <t>x̄x̄x̄Mx̄LXXI</t>
        </is>
      </c>
      <c r="C39072">
        <f>ROMAN(39071)</f>
        <v/>
      </c>
      <c r="D39072">
        <f>IF(B39072=C39072, "YES", "WRONG")</f>
        <v/>
      </c>
    </row>
    <row r="39073">
      <c r="A39073" t="n">
        <v>39072</v>
      </c>
      <c r="B39073" t="inlineStr">
        <is>
          <t>x̄x̄x̄Mx̄LXXII</t>
        </is>
      </c>
      <c r="C39073">
        <f>ROMAN(39072)</f>
        <v/>
      </c>
      <c r="D39073">
        <f>IF(B39073=C39073, "YES", "WRONG")</f>
        <v/>
      </c>
    </row>
    <row r="39074">
      <c r="A39074" t="n">
        <v>39073</v>
      </c>
      <c r="B39074" t="inlineStr">
        <is>
          <t>x̄x̄x̄Mx̄LXXIII</t>
        </is>
      </c>
      <c r="C39074">
        <f>ROMAN(39073)</f>
        <v/>
      </c>
      <c r="D39074">
        <f>IF(B39074=C39074, "YES", "WRONG")</f>
        <v/>
      </c>
    </row>
    <row r="39075">
      <c r="A39075" t="n">
        <v>39074</v>
      </c>
      <c r="B39075" t="inlineStr">
        <is>
          <t>x̄x̄x̄Mx̄LXXIV</t>
        </is>
      </c>
      <c r="C39075">
        <f>ROMAN(39074)</f>
        <v/>
      </c>
      <c r="D39075">
        <f>IF(B39075=C39075, "YES", "WRONG")</f>
        <v/>
      </c>
    </row>
    <row r="39076">
      <c r="A39076" t="n">
        <v>39075</v>
      </c>
      <c r="B39076" t="inlineStr">
        <is>
          <t>x̄x̄x̄Mx̄LXXV</t>
        </is>
      </c>
      <c r="C39076">
        <f>ROMAN(39075)</f>
        <v/>
      </c>
      <c r="D39076">
        <f>IF(B39076=C39076, "YES", "WRONG")</f>
        <v/>
      </c>
    </row>
    <row r="39077">
      <c r="A39077" t="n">
        <v>39076</v>
      </c>
      <c r="B39077" t="inlineStr">
        <is>
          <t>x̄x̄x̄Mx̄LXXVI</t>
        </is>
      </c>
      <c r="C39077">
        <f>ROMAN(39076)</f>
        <v/>
      </c>
      <c r="D39077">
        <f>IF(B39077=C39077, "YES", "WRONG")</f>
        <v/>
      </c>
    </row>
    <row r="39078">
      <c r="A39078" t="n">
        <v>39077</v>
      </c>
      <c r="B39078" t="inlineStr">
        <is>
          <t>x̄x̄x̄Mx̄LXXVII</t>
        </is>
      </c>
      <c r="C39078">
        <f>ROMAN(39077)</f>
        <v/>
      </c>
      <c r="D39078">
        <f>IF(B39078=C39078, "YES", "WRONG")</f>
        <v/>
      </c>
    </row>
    <row r="39079">
      <c r="A39079" t="n">
        <v>39078</v>
      </c>
      <c r="B39079" t="inlineStr">
        <is>
          <t>x̄x̄x̄Mx̄LXXVIII</t>
        </is>
      </c>
      <c r="C39079">
        <f>ROMAN(39078)</f>
        <v/>
      </c>
      <c r="D39079">
        <f>IF(B39079=C39079, "YES", "WRONG")</f>
        <v/>
      </c>
    </row>
    <row r="39080">
      <c r="A39080" t="n">
        <v>39079</v>
      </c>
      <c r="B39080" t="inlineStr">
        <is>
          <t>x̄x̄x̄Mx̄LXXIX</t>
        </is>
      </c>
      <c r="C39080">
        <f>ROMAN(39079)</f>
        <v/>
      </c>
      <c r="D39080">
        <f>IF(B39080=C39080, "YES", "WRONG")</f>
        <v/>
      </c>
    </row>
    <row r="39081">
      <c r="A39081" t="n">
        <v>39080</v>
      </c>
      <c r="B39081" t="inlineStr">
        <is>
          <t>x̄x̄x̄Mx̄LXXX</t>
        </is>
      </c>
      <c r="C39081">
        <f>ROMAN(39080)</f>
        <v/>
      </c>
      <c r="D39081">
        <f>IF(B39081=C39081, "YES", "WRONG")</f>
        <v/>
      </c>
    </row>
    <row r="39082">
      <c r="A39082" t="n">
        <v>39081</v>
      </c>
      <c r="B39082" t="inlineStr">
        <is>
          <t>x̄x̄x̄Mx̄LXXXI</t>
        </is>
      </c>
      <c r="C39082">
        <f>ROMAN(39081)</f>
        <v/>
      </c>
      <c r="D39082">
        <f>IF(B39082=C39082, "YES", "WRONG")</f>
        <v/>
      </c>
    </row>
    <row r="39083">
      <c r="A39083" t="n">
        <v>39082</v>
      </c>
      <c r="B39083" t="inlineStr">
        <is>
          <t>x̄x̄x̄Mx̄LXXXII</t>
        </is>
      </c>
      <c r="C39083">
        <f>ROMAN(39082)</f>
        <v/>
      </c>
      <c r="D39083">
        <f>IF(B39083=C39083, "YES", "WRONG")</f>
        <v/>
      </c>
    </row>
    <row r="39084">
      <c r="A39084" t="n">
        <v>39083</v>
      </c>
      <c r="B39084" t="inlineStr">
        <is>
          <t>x̄x̄x̄Mx̄LXXXIII</t>
        </is>
      </c>
      <c r="C39084">
        <f>ROMAN(39083)</f>
        <v/>
      </c>
      <c r="D39084">
        <f>IF(B39084=C39084, "YES", "WRONG")</f>
        <v/>
      </c>
    </row>
    <row r="39085">
      <c r="A39085" t="n">
        <v>39084</v>
      </c>
      <c r="B39085" t="inlineStr">
        <is>
          <t>x̄x̄x̄Mx̄LXXXIV</t>
        </is>
      </c>
      <c r="C39085">
        <f>ROMAN(39084)</f>
        <v/>
      </c>
      <c r="D39085">
        <f>IF(B39085=C39085, "YES", "WRONG")</f>
        <v/>
      </c>
    </row>
    <row r="39086">
      <c r="A39086" t="n">
        <v>39085</v>
      </c>
      <c r="B39086" t="inlineStr">
        <is>
          <t>x̄x̄x̄Mx̄LXXXV</t>
        </is>
      </c>
      <c r="C39086">
        <f>ROMAN(39085)</f>
        <v/>
      </c>
      <c r="D39086">
        <f>IF(B39086=C39086, "YES", "WRONG")</f>
        <v/>
      </c>
    </row>
    <row r="39087">
      <c r="A39087" t="n">
        <v>39086</v>
      </c>
      <c r="B39087" t="inlineStr">
        <is>
          <t>x̄x̄x̄Mx̄LXXXVI</t>
        </is>
      </c>
      <c r="C39087">
        <f>ROMAN(39086)</f>
        <v/>
      </c>
      <c r="D39087">
        <f>IF(B39087=C39087, "YES", "WRONG")</f>
        <v/>
      </c>
    </row>
    <row r="39088">
      <c r="A39088" t="n">
        <v>39087</v>
      </c>
      <c r="B39088" t="inlineStr">
        <is>
          <t>x̄x̄x̄Mx̄LXXXVII</t>
        </is>
      </c>
      <c r="C39088">
        <f>ROMAN(39087)</f>
        <v/>
      </c>
      <c r="D39088">
        <f>IF(B39088=C39088, "YES", "WRONG")</f>
        <v/>
      </c>
    </row>
    <row r="39089">
      <c r="A39089" t="n">
        <v>39088</v>
      </c>
      <c r="B39089" t="inlineStr">
        <is>
          <t>x̄x̄x̄Mx̄LXXXVIII</t>
        </is>
      </c>
      <c r="C39089">
        <f>ROMAN(39088)</f>
        <v/>
      </c>
      <c r="D39089">
        <f>IF(B39089=C39089, "YES", "WRONG")</f>
        <v/>
      </c>
    </row>
    <row r="39090">
      <c r="A39090" t="n">
        <v>39089</v>
      </c>
      <c r="B39090" t="inlineStr">
        <is>
          <t>x̄x̄x̄Mx̄LXXXIX</t>
        </is>
      </c>
      <c r="C39090">
        <f>ROMAN(39089)</f>
        <v/>
      </c>
      <c r="D39090">
        <f>IF(B39090=C39090, "YES", "WRONG")</f>
        <v/>
      </c>
    </row>
    <row r="39091">
      <c r="A39091" t="n">
        <v>39090</v>
      </c>
      <c r="B39091" t="inlineStr">
        <is>
          <t>x̄x̄x̄Mx̄XC</t>
        </is>
      </c>
      <c r="C39091">
        <f>ROMAN(39090)</f>
        <v/>
      </c>
      <c r="D39091">
        <f>IF(B39091=C39091, "YES", "WRONG")</f>
        <v/>
      </c>
    </row>
    <row r="39092">
      <c r="A39092" t="n">
        <v>39091</v>
      </c>
      <c r="B39092" t="inlineStr">
        <is>
          <t>x̄x̄x̄Mx̄XCI</t>
        </is>
      </c>
      <c r="C39092">
        <f>ROMAN(39091)</f>
        <v/>
      </c>
      <c r="D39092">
        <f>IF(B39092=C39092, "YES", "WRONG")</f>
        <v/>
      </c>
    </row>
    <row r="39093">
      <c r="A39093" t="n">
        <v>39092</v>
      </c>
      <c r="B39093" t="inlineStr">
        <is>
          <t>x̄x̄x̄Mx̄XCII</t>
        </is>
      </c>
      <c r="C39093">
        <f>ROMAN(39092)</f>
        <v/>
      </c>
      <c r="D39093">
        <f>IF(B39093=C39093, "YES", "WRONG")</f>
        <v/>
      </c>
    </row>
    <row r="39094">
      <c r="A39094" t="n">
        <v>39093</v>
      </c>
      <c r="B39094" t="inlineStr">
        <is>
          <t>x̄x̄x̄Mx̄XCIII</t>
        </is>
      </c>
      <c r="C39094">
        <f>ROMAN(39093)</f>
        <v/>
      </c>
      <c r="D39094">
        <f>IF(B39094=C39094, "YES", "WRONG")</f>
        <v/>
      </c>
    </row>
    <row r="39095">
      <c r="A39095" t="n">
        <v>39094</v>
      </c>
      <c r="B39095" t="inlineStr">
        <is>
          <t>x̄x̄x̄Mx̄XCIV</t>
        </is>
      </c>
      <c r="C39095">
        <f>ROMAN(39094)</f>
        <v/>
      </c>
      <c r="D39095">
        <f>IF(B39095=C39095, "YES", "WRONG")</f>
        <v/>
      </c>
    </row>
    <row r="39096">
      <c r="A39096" t="n">
        <v>39095</v>
      </c>
      <c r="B39096" t="inlineStr">
        <is>
          <t>x̄x̄x̄Mx̄XCV</t>
        </is>
      </c>
      <c r="C39096">
        <f>ROMAN(39095)</f>
        <v/>
      </c>
      <c r="D39096">
        <f>IF(B39096=C39096, "YES", "WRONG")</f>
        <v/>
      </c>
    </row>
    <row r="39097">
      <c r="A39097" t="n">
        <v>39096</v>
      </c>
      <c r="B39097" t="inlineStr">
        <is>
          <t>x̄x̄x̄Mx̄XCVI</t>
        </is>
      </c>
      <c r="C39097">
        <f>ROMAN(39096)</f>
        <v/>
      </c>
      <c r="D39097">
        <f>IF(B39097=C39097, "YES", "WRONG")</f>
        <v/>
      </c>
    </row>
    <row r="39098">
      <c r="A39098" t="n">
        <v>39097</v>
      </c>
      <c r="B39098" t="inlineStr">
        <is>
          <t>x̄x̄x̄Mx̄XCVII</t>
        </is>
      </c>
      <c r="C39098">
        <f>ROMAN(39097)</f>
        <v/>
      </c>
      <c r="D39098">
        <f>IF(B39098=C39098, "YES", "WRONG")</f>
        <v/>
      </c>
    </row>
    <row r="39099">
      <c r="A39099" t="n">
        <v>39098</v>
      </c>
      <c r="B39099" t="inlineStr">
        <is>
          <t>x̄x̄x̄Mx̄XCVIII</t>
        </is>
      </c>
      <c r="C39099">
        <f>ROMAN(39098)</f>
        <v/>
      </c>
      <c r="D39099">
        <f>IF(B39099=C39099, "YES", "WRONG")</f>
        <v/>
      </c>
    </row>
    <row r="39100">
      <c r="A39100" t="n">
        <v>39099</v>
      </c>
      <c r="B39100" t="inlineStr">
        <is>
          <t>x̄x̄x̄Mx̄XCIX</t>
        </is>
      </c>
      <c r="C39100">
        <f>ROMAN(39099)</f>
        <v/>
      </c>
      <c r="D39100">
        <f>IF(B39100=C39100, "YES", "WRONG")</f>
        <v/>
      </c>
    </row>
    <row r="39101">
      <c r="A39101" t="n">
        <v>39100</v>
      </c>
      <c r="B39101" t="inlineStr">
        <is>
          <t>x̄x̄x̄Mx̄C</t>
        </is>
      </c>
      <c r="C39101">
        <f>ROMAN(39100)</f>
        <v/>
      </c>
      <c r="D39101">
        <f>IF(B39101=C39101, "YES", "WRONG")</f>
        <v/>
      </c>
    </row>
    <row r="39102">
      <c r="A39102" t="n">
        <v>39101</v>
      </c>
      <c r="B39102" t="inlineStr">
        <is>
          <t>x̄x̄x̄Mx̄CI</t>
        </is>
      </c>
      <c r="C39102">
        <f>ROMAN(39101)</f>
        <v/>
      </c>
      <c r="D39102">
        <f>IF(B39102=C39102, "YES", "WRONG")</f>
        <v/>
      </c>
    </row>
    <row r="39103">
      <c r="A39103" t="n">
        <v>39102</v>
      </c>
      <c r="B39103" t="inlineStr">
        <is>
          <t>x̄x̄x̄Mx̄CII</t>
        </is>
      </c>
      <c r="C39103">
        <f>ROMAN(39102)</f>
        <v/>
      </c>
      <c r="D39103">
        <f>IF(B39103=C39103, "YES", "WRONG")</f>
        <v/>
      </c>
    </row>
    <row r="39104">
      <c r="A39104" t="n">
        <v>39103</v>
      </c>
      <c r="B39104" t="inlineStr">
        <is>
          <t>x̄x̄x̄Mx̄CIII</t>
        </is>
      </c>
      <c r="C39104">
        <f>ROMAN(39103)</f>
        <v/>
      </c>
      <c r="D39104">
        <f>IF(B39104=C39104, "YES", "WRONG")</f>
        <v/>
      </c>
    </row>
    <row r="39105">
      <c r="A39105" t="n">
        <v>39104</v>
      </c>
      <c r="B39105" t="inlineStr">
        <is>
          <t>x̄x̄x̄Mx̄CIV</t>
        </is>
      </c>
      <c r="C39105">
        <f>ROMAN(39104)</f>
        <v/>
      </c>
      <c r="D39105">
        <f>IF(B39105=C39105, "YES", "WRONG")</f>
        <v/>
      </c>
    </row>
    <row r="39106">
      <c r="A39106" t="n">
        <v>39105</v>
      </c>
      <c r="B39106" t="inlineStr">
        <is>
          <t>x̄x̄x̄Mx̄CV</t>
        </is>
      </c>
      <c r="C39106">
        <f>ROMAN(39105)</f>
        <v/>
      </c>
      <c r="D39106">
        <f>IF(B39106=C39106, "YES", "WRONG")</f>
        <v/>
      </c>
    </row>
    <row r="39107">
      <c r="A39107" t="n">
        <v>39106</v>
      </c>
      <c r="B39107" t="inlineStr">
        <is>
          <t>x̄x̄x̄Mx̄CVI</t>
        </is>
      </c>
      <c r="C39107">
        <f>ROMAN(39106)</f>
        <v/>
      </c>
      <c r="D39107">
        <f>IF(B39107=C39107, "YES", "WRONG")</f>
        <v/>
      </c>
    </row>
    <row r="39108">
      <c r="A39108" t="n">
        <v>39107</v>
      </c>
      <c r="B39108" t="inlineStr">
        <is>
          <t>x̄x̄x̄Mx̄CVII</t>
        </is>
      </c>
      <c r="C39108">
        <f>ROMAN(39107)</f>
        <v/>
      </c>
      <c r="D39108">
        <f>IF(B39108=C39108, "YES", "WRONG")</f>
        <v/>
      </c>
    </row>
    <row r="39109">
      <c r="A39109" t="n">
        <v>39108</v>
      </c>
      <c r="B39109" t="inlineStr">
        <is>
          <t>x̄x̄x̄Mx̄CVIII</t>
        </is>
      </c>
      <c r="C39109">
        <f>ROMAN(39108)</f>
        <v/>
      </c>
      <c r="D39109">
        <f>IF(B39109=C39109, "YES", "WRONG")</f>
        <v/>
      </c>
    </row>
    <row r="39110">
      <c r="A39110" t="n">
        <v>39109</v>
      </c>
      <c r="B39110" t="inlineStr">
        <is>
          <t>x̄x̄x̄Mx̄CIX</t>
        </is>
      </c>
      <c r="C39110">
        <f>ROMAN(39109)</f>
        <v/>
      </c>
      <c r="D39110">
        <f>IF(B39110=C39110, "YES", "WRONG")</f>
        <v/>
      </c>
    </row>
    <row r="39111">
      <c r="A39111" t="n">
        <v>39110</v>
      </c>
      <c r="B39111" t="inlineStr">
        <is>
          <t>x̄x̄x̄Mx̄CX</t>
        </is>
      </c>
      <c r="C39111">
        <f>ROMAN(39110)</f>
        <v/>
      </c>
      <c r="D39111">
        <f>IF(B39111=C39111, "YES", "WRONG")</f>
        <v/>
      </c>
    </row>
    <row r="39112">
      <c r="A39112" t="n">
        <v>39111</v>
      </c>
      <c r="B39112" t="inlineStr">
        <is>
          <t>x̄x̄x̄Mx̄CXI</t>
        </is>
      </c>
      <c r="C39112">
        <f>ROMAN(39111)</f>
        <v/>
      </c>
      <c r="D39112">
        <f>IF(B39112=C39112, "YES", "WRONG")</f>
        <v/>
      </c>
    </row>
    <row r="39113">
      <c r="A39113" t="n">
        <v>39112</v>
      </c>
      <c r="B39113" t="inlineStr">
        <is>
          <t>x̄x̄x̄Mx̄CXII</t>
        </is>
      </c>
      <c r="C39113">
        <f>ROMAN(39112)</f>
        <v/>
      </c>
      <c r="D39113">
        <f>IF(B39113=C39113, "YES", "WRONG")</f>
        <v/>
      </c>
    </row>
    <row r="39114">
      <c r="A39114" t="n">
        <v>39113</v>
      </c>
      <c r="B39114" t="inlineStr">
        <is>
          <t>x̄x̄x̄Mx̄CXIII</t>
        </is>
      </c>
      <c r="C39114">
        <f>ROMAN(39113)</f>
        <v/>
      </c>
      <c r="D39114">
        <f>IF(B39114=C39114, "YES", "WRONG")</f>
        <v/>
      </c>
    </row>
    <row r="39115">
      <c r="A39115" t="n">
        <v>39114</v>
      </c>
      <c r="B39115" t="inlineStr">
        <is>
          <t>x̄x̄x̄Mx̄CXIV</t>
        </is>
      </c>
      <c r="C39115">
        <f>ROMAN(39114)</f>
        <v/>
      </c>
      <c r="D39115">
        <f>IF(B39115=C39115, "YES", "WRONG")</f>
        <v/>
      </c>
    </row>
    <row r="39116">
      <c r="A39116" t="n">
        <v>39115</v>
      </c>
      <c r="B39116" t="inlineStr">
        <is>
          <t>x̄x̄x̄Mx̄CXV</t>
        </is>
      </c>
      <c r="C39116">
        <f>ROMAN(39115)</f>
        <v/>
      </c>
      <c r="D39116">
        <f>IF(B39116=C39116, "YES", "WRONG")</f>
        <v/>
      </c>
    </row>
    <row r="39117">
      <c r="A39117" t="n">
        <v>39116</v>
      </c>
      <c r="B39117" t="inlineStr">
        <is>
          <t>x̄x̄x̄Mx̄CXVI</t>
        </is>
      </c>
      <c r="C39117">
        <f>ROMAN(39116)</f>
        <v/>
      </c>
      <c r="D39117">
        <f>IF(B39117=C39117, "YES", "WRONG")</f>
        <v/>
      </c>
    </row>
    <row r="39118">
      <c r="A39118" t="n">
        <v>39117</v>
      </c>
      <c r="B39118" t="inlineStr">
        <is>
          <t>x̄x̄x̄Mx̄CXVII</t>
        </is>
      </c>
      <c r="C39118">
        <f>ROMAN(39117)</f>
        <v/>
      </c>
      <c r="D39118">
        <f>IF(B39118=C39118, "YES", "WRONG")</f>
        <v/>
      </c>
    </row>
    <row r="39119">
      <c r="A39119" t="n">
        <v>39118</v>
      </c>
      <c r="B39119" t="inlineStr">
        <is>
          <t>x̄x̄x̄Mx̄CXVIII</t>
        </is>
      </c>
      <c r="C39119">
        <f>ROMAN(39118)</f>
        <v/>
      </c>
      <c r="D39119">
        <f>IF(B39119=C39119, "YES", "WRONG")</f>
        <v/>
      </c>
    </row>
    <row r="39120">
      <c r="A39120" t="n">
        <v>39119</v>
      </c>
      <c r="B39120" t="inlineStr">
        <is>
          <t>x̄x̄x̄Mx̄CXIX</t>
        </is>
      </c>
      <c r="C39120">
        <f>ROMAN(39119)</f>
        <v/>
      </c>
      <c r="D39120">
        <f>IF(B39120=C39120, "YES", "WRONG")</f>
        <v/>
      </c>
    </row>
    <row r="39121">
      <c r="A39121" t="n">
        <v>39120</v>
      </c>
      <c r="B39121" t="inlineStr">
        <is>
          <t>x̄x̄x̄Mx̄CXX</t>
        </is>
      </c>
      <c r="C39121">
        <f>ROMAN(39120)</f>
        <v/>
      </c>
      <c r="D39121">
        <f>IF(B39121=C39121, "YES", "WRONG")</f>
        <v/>
      </c>
    </row>
    <row r="39122">
      <c r="A39122" t="n">
        <v>39121</v>
      </c>
      <c r="B39122" t="inlineStr">
        <is>
          <t>x̄x̄x̄Mx̄CXXI</t>
        </is>
      </c>
      <c r="C39122">
        <f>ROMAN(39121)</f>
        <v/>
      </c>
      <c r="D39122">
        <f>IF(B39122=C39122, "YES", "WRONG")</f>
        <v/>
      </c>
    </row>
    <row r="39123">
      <c r="A39123" t="n">
        <v>39122</v>
      </c>
      <c r="B39123" t="inlineStr">
        <is>
          <t>x̄x̄x̄Mx̄CXXII</t>
        </is>
      </c>
      <c r="C39123">
        <f>ROMAN(39122)</f>
        <v/>
      </c>
      <c r="D39123">
        <f>IF(B39123=C39123, "YES", "WRONG")</f>
        <v/>
      </c>
    </row>
    <row r="39124">
      <c r="A39124" t="n">
        <v>39123</v>
      </c>
      <c r="B39124" t="inlineStr">
        <is>
          <t>x̄x̄x̄Mx̄CXXIII</t>
        </is>
      </c>
      <c r="C39124">
        <f>ROMAN(39123)</f>
        <v/>
      </c>
      <c r="D39124">
        <f>IF(B39124=C39124, "YES", "WRONG")</f>
        <v/>
      </c>
    </row>
    <row r="39125">
      <c r="A39125" t="n">
        <v>39124</v>
      </c>
      <c r="B39125" t="inlineStr">
        <is>
          <t>x̄x̄x̄Mx̄CXXIV</t>
        </is>
      </c>
      <c r="C39125">
        <f>ROMAN(39124)</f>
        <v/>
      </c>
      <c r="D39125">
        <f>IF(B39125=C39125, "YES", "WRONG")</f>
        <v/>
      </c>
    </row>
    <row r="39126">
      <c r="A39126" t="n">
        <v>39125</v>
      </c>
      <c r="B39126" t="inlineStr">
        <is>
          <t>x̄x̄x̄Mx̄CXXV</t>
        </is>
      </c>
      <c r="C39126">
        <f>ROMAN(39125)</f>
        <v/>
      </c>
      <c r="D39126">
        <f>IF(B39126=C39126, "YES", "WRONG")</f>
        <v/>
      </c>
    </row>
    <row r="39127">
      <c r="A39127" t="n">
        <v>39126</v>
      </c>
      <c r="B39127" t="inlineStr">
        <is>
          <t>x̄x̄x̄Mx̄CXXVI</t>
        </is>
      </c>
      <c r="C39127">
        <f>ROMAN(39126)</f>
        <v/>
      </c>
      <c r="D39127">
        <f>IF(B39127=C39127, "YES", "WRONG")</f>
        <v/>
      </c>
    </row>
    <row r="39128">
      <c r="A39128" t="n">
        <v>39127</v>
      </c>
      <c r="B39128" t="inlineStr">
        <is>
          <t>x̄x̄x̄Mx̄CXXVII</t>
        </is>
      </c>
      <c r="C39128">
        <f>ROMAN(39127)</f>
        <v/>
      </c>
      <c r="D39128">
        <f>IF(B39128=C39128, "YES", "WRONG")</f>
        <v/>
      </c>
    </row>
    <row r="39129">
      <c r="A39129" t="n">
        <v>39128</v>
      </c>
      <c r="B39129" t="inlineStr">
        <is>
          <t>x̄x̄x̄Mx̄CXXVIII</t>
        </is>
      </c>
      <c r="C39129">
        <f>ROMAN(39128)</f>
        <v/>
      </c>
      <c r="D39129">
        <f>IF(B39129=C39129, "YES", "WRONG")</f>
        <v/>
      </c>
    </row>
    <row r="39130">
      <c r="A39130" t="n">
        <v>39129</v>
      </c>
      <c r="B39130" t="inlineStr">
        <is>
          <t>x̄x̄x̄Mx̄CXXIX</t>
        </is>
      </c>
      <c r="C39130">
        <f>ROMAN(39129)</f>
        <v/>
      </c>
      <c r="D39130">
        <f>IF(B39130=C39130, "YES", "WRONG")</f>
        <v/>
      </c>
    </row>
    <row r="39131">
      <c r="A39131" t="n">
        <v>39130</v>
      </c>
      <c r="B39131" t="inlineStr">
        <is>
          <t>x̄x̄x̄Mx̄CXXX</t>
        </is>
      </c>
      <c r="C39131">
        <f>ROMAN(39130)</f>
        <v/>
      </c>
      <c r="D39131">
        <f>IF(B39131=C39131, "YES", "WRONG")</f>
        <v/>
      </c>
    </row>
    <row r="39132">
      <c r="A39132" t="n">
        <v>39131</v>
      </c>
      <c r="B39132" t="inlineStr">
        <is>
          <t>x̄x̄x̄Mx̄CXXXI</t>
        </is>
      </c>
      <c r="C39132">
        <f>ROMAN(39131)</f>
        <v/>
      </c>
      <c r="D39132">
        <f>IF(B39132=C39132, "YES", "WRONG")</f>
        <v/>
      </c>
    </row>
    <row r="39133">
      <c r="A39133" t="n">
        <v>39132</v>
      </c>
      <c r="B39133" t="inlineStr">
        <is>
          <t>x̄x̄x̄Mx̄CXXXII</t>
        </is>
      </c>
      <c r="C39133">
        <f>ROMAN(39132)</f>
        <v/>
      </c>
      <c r="D39133">
        <f>IF(B39133=C39133, "YES", "WRONG")</f>
        <v/>
      </c>
    </row>
    <row r="39134">
      <c r="A39134" t="n">
        <v>39133</v>
      </c>
      <c r="B39134" t="inlineStr">
        <is>
          <t>x̄x̄x̄Mx̄CXXXIII</t>
        </is>
      </c>
      <c r="C39134">
        <f>ROMAN(39133)</f>
        <v/>
      </c>
      <c r="D39134">
        <f>IF(B39134=C39134, "YES", "WRONG")</f>
        <v/>
      </c>
    </row>
    <row r="39135">
      <c r="A39135" t="n">
        <v>39134</v>
      </c>
      <c r="B39135" t="inlineStr">
        <is>
          <t>x̄x̄x̄Mx̄CXXXIV</t>
        </is>
      </c>
      <c r="C39135">
        <f>ROMAN(39134)</f>
        <v/>
      </c>
      <c r="D39135">
        <f>IF(B39135=C39135, "YES", "WRONG")</f>
        <v/>
      </c>
    </row>
    <row r="39136">
      <c r="A39136" t="n">
        <v>39135</v>
      </c>
      <c r="B39136" t="inlineStr">
        <is>
          <t>x̄x̄x̄Mx̄CXXXV</t>
        </is>
      </c>
      <c r="C39136">
        <f>ROMAN(39135)</f>
        <v/>
      </c>
      <c r="D39136">
        <f>IF(B39136=C39136, "YES", "WRONG")</f>
        <v/>
      </c>
    </row>
    <row r="39137">
      <c r="A39137" t="n">
        <v>39136</v>
      </c>
      <c r="B39137" t="inlineStr">
        <is>
          <t>x̄x̄x̄Mx̄CXXXVI</t>
        </is>
      </c>
      <c r="C39137">
        <f>ROMAN(39136)</f>
        <v/>
      </c>
      <c r="D39137">
        <f>IF(B39137=C39137, "YES", "WRONG")</f>
        <v/>
      </c>
    </row>
    <row r="39138">
      <c r="A39138" t="n">
        <v>39137</v>
      </c>
      <c r="B39138" t="inlineStr">
        <is>
          <t>x̄x̄x̄Mx̄CXXXVII</t>
        </is>
      </c>
      <c r="C39138">
        <f>ROMAN(39137)</f>
        <v/>
      </c>
      <c r="D39138">
        <f>IF(B39138=C39138, "YES", "WRONG")</f>
        <v/>
      </c>
    </row>
    <row r="39139">
      <c r="A39139" t="n">
        <v>39138</v>
      </c>
      <c r="B39139" t="inlineStr">
        <is>
          <t>x̄x̄x̄Mx̄CXXXVIII</t>
        </is>
      </c>
      <c r="C39139">
        <f>ROMAN(39138)</f>
        <v/>
      </c>
      <c r="D39139">
        <f>IF(B39139=C39139, "YES", "WRONG")</f>
        <v/>
      </c>
    </row>
    <row r="39140">
      <c r="A39140" t="n">
        <v>39139</v>
      </c>
      <c r="B39140" t="inlineStr">
        <is>
          <t>x̄x̄x̄Mx̄CXXXIX</t>
        </is>
      </c>
      <c r="C39140">
        <f>ROMAN(39139)</f>
        <v/>
      </c>
      <c r="D39140">
        <f>IF(B39140=C39140, "YES", "WRONG")</f>
        <v/>
      </c>
    </row>
    <row r="39141">
      <c r="A39141" t="n">
        <v>39140</v>
      </c>
      <c r="B39141" t="inlineStr">
        <is>
          <t>x̄x̄x̄Mx̄CXL</t>
        </is>
      </c>
      <c r="C39141">
        <f>ROMAN(39140)</f>
        <v/>
      </c>
      <c r="D39141">
        <f>IF(B39141=C39141, "YES", "WRONG")</f>
        <v/>
      </c>
    </row>
    <row r="39142">
      <c r="A39142" t="n">
        <v>39141</v>
      </c>
      <c r="B39142" t="inlineStr">
        <is>
          <t>x̄x̄x̄Mx̄CXLI</t>
        </is>
      </c>
      <c r="C39142">
        <f>ROMAN(39141)</f>
        <v/>
      </c>
      <c r="D39142">
        <f>IF(B39142=C39142, "YES", "WRONG")</f>
        <v/>
      </c>
    </row>
    <row r="39143">
      <c r="A39143" t="n">
        <v>39142</v>
      </c>
      <c r="B39143" t="inlineStr">
        <is>
          <t>x̄x̄x̄Mx̄CXLII</t>
        </is>
      </c>
      <c r="C39143">
        <f>ROMAN(39142)</f>
        <v/>
      </c>
      <c r="D39143">
        <f>IF(B39143=C39143, "YES", "WRONG")</f>
        <v/>
      </c>
    </row>
    <row r="39144">
      <c r="A39144" t="n">
        <v>39143</v>
      </c>
      <c r="B39144" t="inlineStr">
        <is>
          <t>x̄x̄x̄Mx̄CXLIII</t>
        </is>
      </c>
      <c r="C39144">
        <f>ROMAN(39143)</f>
        <v/>
      </c>
      <c r="D39144">
        <f>IF(B39144=C39144, "YES", "WRONG")</f>
        <v/>
      </c>
    </row>
    <row r="39145">
      <c r="A39145" t="n">
        <v>39144</v>
      </c>
      <c r="B39145" t="inlineStr">
        <is>
          <t>x̄x̄x̄Mx̄CXLIV</t>
        </is>
      </c>
      <c r="C39145">
        <f>ROMAN(39144)</f>
        <v/>
      </c>
      <c r="D39145">
        <f>IF(B39145=C39145, "YES", "WRONG")</f>
        <v/>
      </c>
    </row>
    <row r="39146">
      <c r="A39146" t="n">
        <v>39145</v>
      </c>
      <c r="B39146" t="inlineStr">
        <is>
          <t>x̄x̄x̄Mx̄CXLV</t>
        </is>
      </c>
      <c r="C39146">
        <f>ROMAN(39145)</f>
        <v/>
      </c>
      <c r="D39146">
        <f>IF(B39146=C39146, "YES", "WRONG")</f>
        <v/>
      </c>
    </row>
    <row r="39147">
      <c r="A39147" t="n">
        <v>39146</v>
      </c>
      <c r="B39147" t="inlineStr">
        <is>
          <t>x̄x̄x̄Mx̄CXLVI</t>
        </is>
      </c>
      <c r="C39147">
        <f>ROMAN(39146)</f>
        <v/>
      </c>
      <c r="D39147">
        <f>IF(B39147=C39147, "YES", "WRONG")</f>
        <v/>
      </c>
    </row>
    <row r="39148">
      <c r="A39148" t="n">
        <v>39147</v>
      </c>
      <c r="B39148" t="inlineStr">
        <is>
          <t>x̄x̄x̄Mx̄CXLVII</t>
        </is>
      </c>
      <c r="C39148">
        <f>ROMAN(39147)</f>
        <v/>
      </c>
      <c r="D39148">
        <f>IF(B39148=C39148, "YES", "WRONG")</f>
        <v/>
      </c>
    </row>
    <row r="39149">
      <c r="A39149" t="n">
        <v>39148</v>
      </c>
      <c r="B39149" t="inlineStr">
        <is>
          <t>x̄x̄x̄Mx̄CXLVIII</t>
        </is>
      </c>
      <c r="C39149">
        <f>ROMAN(39148)</f>
        <v/>
      </c>
      <c r="D39149">
        <f>IF(B39149=C39149, "YES", "WRONG")</f>
        <v/>
      </c>
    </row>
    <row r="39150">
      <c r="A39150" t="n">
        <v>39149</v>
      </c>
      <c r="B39150" t="inlineStr">
        <is>
          <t>x̄x̄x̄Mx̄CXLIX</t>
        </is>
      </c>
      <c r="C39150">
        <f>ROMAN(39149)</f>
        <v/>
      </c>
      <c r="D39150">
        <f>IF(B39150=C39150, "YES", "WRONG")</f>
        <v/>
      </c>
    </row>
    <row r="39151">
      <c r="A39151" t="n">
        <v>39150</v>
      </c>
      <c r="B39151" t="inlineStr">
        <is>
          <t>x̄x̄x̄Mx̄CL</t>
        </is>
      </c>
      <c r="C39151">
        <f>ROMAN(39150)</f>
        <v/>
      </c>
      <c r="D39151">
        <f>IF(B39151=C39151, "YES", "WRONG")</f>
        <v/>
      </c>
    </row>
    <row r="39152">
      <c r="A39152" t="n">
        <v>39151</v>
      </c>
      <c r="B39152" t="inlineStr">
        <is>
          <t>x̄x̄x̄Mx̄CLI</t>
        </is>
      </c>
      <c r="C39152">
        <f>ROMAN(39151)</f>
        <v/>
      </c>
      <c r="D39152">
        <f>IF(B39152=C39152, "YES", "WRONG")</f>
        <v/>
      </c>
    </row>
    <row r="39153">
      <c r="A39153" t="n">
        <v>39152</v>
      </c>
      <c r="B39153" t="inlineStr">
        <is>
          <t>x̄x̄x̄Mx̄CLII</t>
        </is>
      </c>
      <c r="C39153">
        <f>ROMAN(39152)</f>
        <v/>
      </c>
      <c r="D39153">
        <f>IF(B39153=C39153, "YES", "WRONG")</f>
        <v/>
      </c>
    </row>
    <row r="39154">
      <c r="A39154" t="n">
        <v>39153</v>
      </c>
      <c r="B39154" t="inlineStr">
        <is>
          <t>x̄x̄x̄Mx̄CLIII</t>
        </is>
      </c>
      <c r="C39154">
        <f>ROMAN(39153)</f>
        <v/>
      </c>
      <c r="D39154">
        <f>IF(B39154=C39154, "YES", "WRONG")</f>
        <v/>
      </c>
    </row>
    <row r="39155">
      <c r="A39155" t="n">
        <v>39154</v>
      </c>
      <c r="B39155" t="inlineStr">
        <is>
          <t>x̄x̄x̄Mx̄CLIV</t>
        </is>
      </c>
      <c r="C39155">
        <f>ROMAN(39154)</f>
        <v/>
      </c>
      <c r="D39155">
        <f>IF(B39155=C39155, "YES", "WRONG")</f>
        <v/>
      </c>
    </row>
    <row r="39156">
      <c r="A39156" t="n">
        <v>39155</v>
      </c>
      <c r="B39156" t="inlineStr">
        <is>
          <t>x̄x̄x̄Mx̄CLV</t>
        </is>
      </c>
      <c r="C39156">
        <f>ROMAN(39155)</f>
        <v/>
      </c>
      <c r="D39156">
        <f>IF(B39156=C39156, "YES", "WRONG")</f>
        <v/>
      </c>
    </row>
    <row r="39157">
      <c r="A39157" t="n">
        <v>39156</v>
      </c>
      <c r="B39157" t="inlineStr">
        <is>
          <t>x̄x̄x̄Mx̄CLVI</t>
        </is>
      </c>
      <c r="C39157">
        <f>ROMAN(39156)</f>
        <v/>
      </c>
      <c r="D39157">
        <f>IF(B39157=C39157, "YES", "WRONG")</f>
        <v/>
      </c>
    </row>
    <row r="39158">
      <c r="A39158" t="n">
        <v>39157</v>
      </c>
      <c r="B39158" t="inlineStr">
        <is>
          <t>x̄x̄x̄Mx̄CLVII</t>
        </is>
      </c>
      <c r="C39158">
        <f>ROMAN(39157)</f>
        <v/>
      </c>
      <c r="D39158">
        <f>IF(B39158=C39158, "YES", "WRONG")</f>
        <v/>
      </c>
    </row>
    <row r="39159">
      <c r="A39159" t="n">
        <v>39158</v>
      </c>
      <c r="B39159" t="inlineStr">
        <is>
          <t>x̄x̄x̄Mx̄CLVIII</t>
        </is>
      </c>
      <c r="C39159">
        <f>ROMAN(39158)</f>
        <v/>
      </c>
      <c r="D39159">
        <f>IF(B39159=C39159, "YES", "WRONG")</f>
        <v/>
      </c>
    </row>
    <row r="39160">
      <c r="A39160" t="n">
        <v>39159</v>
      </c>
      <c r="B39160" t="inlineStr">
        <is>
          <t>x̄x̄x̄Mx̄CLIX</t>
        </is>
      </c>
      <c r="C39160">
        <f>ROMAN(39159)</f>
        <v/>
      </c>
      <c r="D39160">
        <f>IF(B39160=C39160, "YES", "WRONG")</f>
        <v/>
      </c>
    </row>
    <row r="39161">
      <c r="A39161" t="n">
        <v>39160</v>
      </c>
      <c r="B39161" t="inlineStr">
        <is>
          <t>x̄x̄x̄Mx̄CLX</t>
        </is>
      </c>
      <c r="C39161">
        <f>ROMAN(39160)</f>
        <v/>
      </c>
      <c r="D39161">
        <f>IF(B39161=C39161, "YES", "WRONG")</f>
        <v/>
      </c>
    </row>
    <row r="39162">
      <c r="A39162" t="n">
        <v>39161</v>
      </c>
      <c r="B39162" t="inlineStr">
        <is>
          <t>x̄x̄x̄Mx̄CLXI</t>
        </is>
      </c>
      <c r="C39162">
        <f>ROMAN(39161)</f>
        <v/>
      </c>
      <c r="D39162">
        <f>IF(B39162=C39162, "YES", "WRONG")</f>
        <v/>
      </c>
    </row>
    <row r="39163">
      <c r="A39163" t="n">
        <v>39162</v>
      </c>
      <c r="B39163" t="inlineStr">
        <is>
          <t>x̄x̄x̄Mx̄CLXII</t>
        </is>
      </c>
      <c r="C39163">
        <f>ROMAN(39162)</f>
        <v/>
      </c>
      <c r="D39163">
        <f>IF(B39163=C39163, "YES", "WRONG")</f>
        <v/>
      </c>
    </row>
    <row r="39164">
      <c r="A39164" t="n">
        <v>39163</v>
      </c>
      <c r="B39164" t="inlineStr">
        <is>
          <t>x̄x̄x̄Mx̄CLXIII</t>
        </is>
      </c>
      <c r="C39164">
        <f>ROMAN(39163)</f>
        <v/>
      </c>
      <c r="D39164">
        <f>IF(B39164=C39164, "YES", "WRONG")</f>
        <v/>
      </c>
    </row>
    <row r="39165">
      <c r="A39165" t="n">
        <v>39164</v>
      </c>
      <c r="B39165" t="inlineStr">
        <is>
          <t>x̄x̄x̄Mx̄CLXIV</t>
        </is>
      </c>
      <c r="C39165">
        <f>ROMAN(39164)</f>
        <v/>
      </c>
      <c r="D39165">
        <f>IF(B39165=C39165, "YES", "WRONG")</f>
        <v/>
      </c>
    </row>
    <row r="39166">
      <c r="A39166" t="n">
        <v>39165</v>
      </c>
      <c r="B39166" t="inlineStr">
        <is>
          <t>x̄x̄x̄Mx̄CLXV</t>
        </is>
      </c>
      <c r="C39166">
        <f>ROMAN(39165)</f>
        <v/>
      </c>
      <c r="D39166">
        <f>IF(B39166=C39166, "YES", "WRONG")</f>
        <v/>
      </c>
    </row>
    <row r="39167">
      <c r="A39167" t="n">
        <v>39166</v>
      </c>
      <c r="B39167" t="inlineStr">
        <is>
          <t>x̄x̄x̄Mx̄CLXVI</t>
        </is>
      </c>
      <c r="C39167">
        <f>ROMAN(39166)</f>
        <v/>
      </c>
      <c r="D39167">
        <f>IF(B39167=C39167, "YES", "WRONG")</f>
        <v/>
      </c>
    </row>
    <row r="39168">
      <c r="A39168" t="n">
        <v>39167</v>
      </c>
      <c r="B39168" t="inlineStr">
        <is>
          <t>x̄x̄x̄Mx̄CLXVII</t>
        </is>
      </c>
      <c r="C39168">
        <f>ROMAN(39167)</f>
        <v/>
      </c>
      <c r="D39168">
        <f>IF(B39168=C39168, "YES", "WRONG")</f>
        <v/>
      </c>
    </row>
    <row r="39169">
      <c r="A39169" t="n">
        <v>39168</v>
      </c>
      <c r="B39169" t="inlineStr">
        <is>
          <t>x̄x̄x̄Mx̄CLXVIII</t>
        </is>
      </c>
      <c r="C39169">
        <f>ROMAN(39168)</f>
        <v/>
      </c>
      <c r="D39169">
        <f>IF(B39169=C39169, "YES", "WRONG")</f>
        <v/>
      </c>
    </row>
    <row r="39170">
      <c r="A39170" t="n">
        <v>39169</v>
      </c>
      <c r="B39170" t="inlineStr">
        <is>
          <t>x̄x̄x̄Mx̄CLXIX</t>
        </is>
      </c>
      <c r="C39170">
        <f>ROMAN(39169)</f>
        <v/>
      </c>
      <c r="D39170">
        <f>IF(B39170=C39170, "YES", "WRONG")</f>
        <v/>
      </c>
    </row>
    <row r="39171">
      <c r="A39171" t="n">
        <v>39170</v>
      </c>
      <c r="B39171" t="inlineStr">
        <is>
          <t>x̄x̄x̄Mx̄CLXX</t>
        </is>
      </c>
      <c r="C39171">
        <f>ROMAN(39170)</f>
        <v/>
      </c>
      <c r="D39171">
        <f>IF(B39171=C39171, "YES", "WRONG")</f>
        <v/>
      </c>
    </row>
    <row r="39172">
      <c r="A39172" t="n">
        <v>39171</v>
      </c>
      <c r="B39172" t="inlineStr">
        <is>
          <t>x̄x̄x̄Mx̄CLXXI</t>
        </is>
      </c>
      <c r="C39172">
        <f>ROMAN(39171)</f>
        <v/>
      </c>
      <c r="D39172">
        <f>IF(B39172=C39172, "YES", "WRONG")</f>
        <v/>
      </c>
    </row>
    <row r="39173">
      <c r="A39173" t="n">
        <v>39172</v>
      </c>
      <c r="B39173" t="inlineStr">
        <is>
          <t>x̄x̄x̄Mx̄CLXXII</t>
        </is>
      </c>
      <c r="C39173">
        <f>ROMAN(39172)</f>
        <v/>
      </c>
      <c r="D39173">
        <f>IF(B39173=C39173, "YES", "WRONG")</f>
        <v/>
      </c>
    </row>
    <row r="39174">
      <c r="A39174" t="n">
        <v>39173</v>
      </c>
      <c r="B39174" t="inlineStr">
        <is>
          <t>x̄x̄x̄Mx̄CLXXIII</t>
        </is>
      </c>
      <c r="C39174">
        <f>ROMAN(39173)</f>
        <v/>
      </c>
      <c r="D39174">
        <f>IF(B39174=C39174, "YES", "WRONG")</f>
        <v/>
      </c>
    </row>
    <row r="39175">
      <c r="A39175" t="n">
        <v>39174</v>
      </c>
      <c r="B39175" t="inlineStr">
        <is>
          <t>x̄x̄x̄Mx̄CLXXIV</t>
        </is>
      </c>
      <c r="C39175">
        <f>ROMAN(39174)</f>
        <v/>
      </c>
      <c r="D39175">
        <f>IF(B39175=C39175, "YES", "WRONG")</f>
        <v/>
      </c>
    </row>
    <row r="39176">
      <c r="A39176" t="n">
        <v>39175</v>
      </c>
      <c r="B39176" t="inlineStr">
        <is>
          <t>x̄x̄x̄Mx̄CLXXV</t>
        </is>
      </c>
      <c r="C39176">
        <f>ROMAN(39175)</f>
        <v/>
      </c>
      <c r="D39176">
        <f>IF(B39176=C39176, "YES", "WRONG")</f>
        <v/>
      </c>
    </row>
    <row r="39177">
      <c r="A39177" t="n">
        <v>39176</v>
      </c>
      <c r="B39177" t="inlineStr">
        <is>
          <t>x̄x̄x̄Mx̄CLXXVI</t>
        </is>
      </c>
      <c r="C39177">
        <f>ROMAN(39176)</f>
        <v/>
      </c>
      <c r="D39177">
        <f>IF(B39177=C39177, "YES", "WRONG")</f>
        <v/>
      </c>
    </row>
    <row r="39178">
      <c r="A39178" t="n">
        <v>39177</v>
      </c>
      <c r="B39178" t="inlineStr">
        <is>
          <t>x̄x̄x̄Mx̄CLXXVII</t>
        </is>
      </c>
      <c r="C39178">
        <f>ROMAN(39177)</f>
        <v/>
      </c>
      <c r="D39178">
        <f>IF(B39178=C39178, "YES", "WRONG")</f>
        <v/>
      </c>
    </row>
    <row r="39179">
      <c r="A39179" t="n">
        <v>39178</v>
      </c>
      <c r="B39179" t="inlineStr">
        <is>
          <t>x̄x̄x̄Mx̄CLXXVIII</t>
        </is>
      </c>
      <c r="C39179">
        <f>ROMAN(39178)</f>
        <v/>
      </c>
      <c r="D39179">
        <f>IF(B39179=C39179, "YES", "WRONG")</f>
        <v/>
      </c>
    </row>
    <row r="39180">
      <c r="A39180" t="n">
        <v>39179</v>
      </c>
      <c r="B39180" t="inlineStr">
        <is>
          <t>x̄x̄x̄Mx̄CLXXIX</t>
        </is>
      </c>
      <c r="C39180">
        <f>ROMAN(39179)</f>
        <v/>
      </c>
      <c r="D39180">
        <f>IF(B39180=C39180, "YES", "WRONG")</f>
        <v/>
      </c>
    </row>
    <row r="39181">
      <c r="A39181" t="n">
        <v>39180</v>
      </c>
      <c r="B39181" t="inlineStr">
        <is>
          <t>x̄x̄x̄Mx̄CLXXX</t>
        </is>
      </c>
      <c r="C39181">
        <f>ROMAN(39180)</f>
        <v/>
      </c>
      <c r="D39181">
        <f>IF(B39181=C39181, "YES", "WRONG")</f>
        <v/>
      </c>
    </row>
    <row r="39182">
      <c r="A39182" t="n">
        <v>39181</v>
      </c>
      <c r="B39182" t="inlineStr">
        <is>
          <t>x̄x̄x̄Mx̄CLXXXI</t>
        </is>
      </c>
      <c r="C39182">
        <f>ROMAN(39181)</f>
        <v/>
      </c>
      <c r="D39182">
        <f>IF(B39182=C39182, "YES", "WRONG")</f>
        <v/>
      </c>
    </row>
    <row r="39183">
      <c r="A39183" t="n">
        <v>39182</v>
      </c>
      <c r="B39183" t="inlineStr">
        <is>
          <t>x̄x̄x̄Mx̄CLXXXII</t>
        </is>
      </c>
      <c r="C39183">
        <f>ROMAN(39182)</f>
        <v/>
      </c>
      <c r="D39183">
        <f>IF(B39183=C39183, "YES", "WRONG")</f>
        <v/>
      </c>
    </row>
    <row r="39184">
      <c r="A39184" t="n">
        <v>39183</v>
      </c>
      <c r="B39184" t="inlineStr">
        <is>
          <t>x̄x̄x̄Mx̄CLXXXIII</t>
        </is>
      </c>
      <c r="C39184">
        <f>ROMAN(39183)</f>
        <v/>
      </c>
      <c r="D39184">
        <f>IF(B39184=C39184, "YES", "WRONG")</f>
        <v/>
      </c>
    </row>
    <row r="39185">
      <c r="A39185" t="n">
        <v>39184</v>
      </c>
      <c r="B39185" t="inlineStr">
        <is>
          <t>x̄x̄x̄Mx̄CLXXXIV</t>
        </is>
      </c>
      <c r="C39185">
        <f>ROMAN(39184)</f>
        <v/>
      </c>
      <c r="D39185">
        <f>IF(B39185=C39185, "YES", "WRONG")</f>
        <v/>
      </c>
    </row>
    <row r="39186">
      <c r="A39186" t="n">
        <v>39185</v>
      </c>
      <c r="B39186" t="inlineStr">
        <is>
          <t>x̄x̄x̄Mx̄CLXXXV</t>
        </is>
      </c>
      <c r="C39186">
        <f>ROMAN(39185)</f>
        <v/>
      </c>
      <c r="D39186">
        <f>IF(B39186=C39186, "YES", "WRONG")</f>
        <v/>
      </c>
    </row>
    <row r="39187">
      <c r="A39187" t="n">
        <v>39186</v>
      </c>
      <c r="B39187" t="inlineStr">
        <is>
          <t>x̄x̄x̄Mx̄CLXXXVI</t>
        </is>
      </c>
      <c r="C39187">
        <f>ROMAN(39186)</f>
        <v/>
      </c>
      <c r="D39187">
        <f>IF(B39187=C39187, "YES", "WRONG")</f>
        <v/>
      </c>
    </row>
    <row r="39188">
      <c r="A39188" t="n">
        <v>39187</v>
      </c>
      <c r="B39188" t="inlineStr">
        <is>
          <t>x̄x̄x̄Mx̄CLXXXVII</t>
        </is>
      </c>
      <c r="C39188">
        <f>ROMAN(39187)</f>
        <v/>
      </c>
      <c r="D39188">
        <f>IF(B39188=C39188, "YES", "WRONG")</f>
        <v/>
      </c>
    </row>
    <row r="39189">
      <c r="A39189" t="n">
        <v>39188</v>
      </c>
      <c r="B39189" t="inlineStr">
        <is>
          <t>x̄x̄x̄Mx̄CLXXXVIII</t>
        </is>
      </c>
      <c r="C39189">
        <f>ROMAN(39188)</f>
        <v/>
      </c>
      <c r="D39189">
        <f>IF(B39189=C39189, "YES", "WRONG")</f>
        <v/>
      </c>
    </row>
    <row r="39190">
      <c r="A39190" t="n">
        <v>39189</v>
      </c>
      <c r="B39190" t="inlineStr">
        <is>
          <t>x̄x̄x̄Mx̄CLXXXIX</t>
        </is>
      </c>
      <c r="C39190">
        <f>ROMAN(39189)</f>
        <v/>
      </c>
      <c r="D39190">
        <f>IF(B39190=C39190, "YES", "WRONG")</f>
        <v/>
      </c>
    </row>
    <row r="39191">
      <c r="A39191" t="n">
        <v>39190</v>
      </c>
      <c r="B39191" t="inlineStr">
        <is>
          <t>x̄x̄x̄Mx̄CXC</t>
        </is>
      </c>
      <c r="C39191">
        <f>ROMAN(39190)</f>
        <v/>
      </c>
      <c r="D39191">
        <f>IF(B39191=C39191, "YES", "WRONG")</f>
        <v/>
      </c>
    </row>
    <row r="39192">
      <c r="A39192" t="n">
        <v>39191</v>
      </c>
      <c r="B39192" t="inlineStr">
        <is>
          <t>x̄x̄x̄Mx̄CXCI</t>
        </is>
      </c>
      <c r="C39192">
        <f>ROMAN(39191)</f>
        <v/>
      </c>
      <c r="D39192">
        <f>IF(B39192=C39192, "YES", "WRONG")</f>
        <v/>
      </c>
    </row>
    <row r="39193">
      <c r="A39193" t="n">
        <v>39192</v>
      </c>
      <c r="B39193" t="inlineStr">
        <is>
          <t>x̄x̄x̄Mx̄CXCII</t>
        </is>
      </c>
      <c r="C39193">
        <f>ROMAN(39192)</f>
        <v/>
      </c>
      <c r="D39193">
        <f>IF(B39193=C39193, "YES", "WRONG")</f>
        <v/>
      </c>
    </row>
    <row r="39194">
      <c r="A39194" t="n">
        <v>39193</v>
      </c>
      <c r="B39194" t="inlineStr">
        <is>
          <t>x̄x̄x̄Mx̄CXCIII</t>
        </is>
      </c>
      <c r="C39194">
        <f>ROMAN(39193)</f>
        <v/>
      </c>
      <c r="D39194">
        <f>IF(B39194=C39194, "YES", "WRONG")</f>
        <v/>
      </c>
    </row>
    <row r="39195">
      <c r="A39195" t="n">
        <v>39194</v>
      </c>
      <c r="B39195" t="inlineStr">
        <is>
          <t>x̄x̄x̄Mx̄CXCIV</t>
        </is>
      </c>
      <c r="C39195">
        <f>ROMAN(39194)</f>
        <v/>
      </c>
      <c r="D39195">
        <f>IF(B39195=C39195, "YES", "WRONG")</f>
        <v/>
      </c>
    </row>
    <row r="39196">
      <c r="A39196" t="n">
        <v>39195</v>
      </c>
      <c r="B39196" t="inlineStr">
        <is>
          <t>x̄x̄x̄Mx̄CXCV</t>
        </is>
      </c>
      <c r="C39196">
        <f>ROMAN(39195)</f>
        <v/>
      </c>
      <c r="D39196">
        <f>IF(B39196=C39196, "YES", "WRONG")</f>
        <v/>
      </c>
    </row>
    <row r="39197">
      <c r="A39197" t="n">
        <v>39196</v>
      </c>
      <c r="B39197" t="inlineStr">
        <is>
          <t>x̄x̄x̄Mx̄CXCVI</t>
        </is>
      </c>
      <c r="C39197">
        <f>ROMAN(39196)</f>
        <v/>
      </c>
      <c r="D39197">
        <f>IF(B39197=C39197, "YES", "WRONG")</f>
        <v/>
      </c>
    </row>
    <row r="39198">
      <c r="A39198" t="n">
        <v>39197</v>
      </c>
      <c r="B39198" t="inlineStr">
        <is>
          <t>x̄x̄x̄Mx̄CXCVII</t>
        </is>
      </c>
      <c r="C39198">
        <f>ROMAN(39197)</f>
        <v/>
      </c>
      <c r="D39198">
        <f>IF(B39198=C39198, "YES", "WRONG")</f>
        <v/>
      </c>
    </row>
    <row r="39199">
      <c r="A39199" t="n">
        <v>39198</v>
      </c>
      <c r="B39199" t="inlineStr">
        <is>
          <t>x̄x̄x̄Mx̄CXCVIII</t>
        </is>
      </c>
      <c r="C39199">
        <f>ROMAN(39198)</f>
        <v/>
      </c>
      <c r="D39199">
        <f>IF(B39199=C39199, "YES", "WRONG")</f>
        <v/>
      </c>
    </row>
    <row r="39200">
      <c r="A39200" t="n">
        <v>39199</v>
      </c>
      <c r="B39200" t="inlineStr">
        <is>
          <t>x̄x̄x̄Mx̄CXCIX</t>
        </is>
      </c>
      <c r="C39200">
        <f>ROMAN(39199)</f>
        <v/>
      </c>
      <c r="D39200">
        <f>IF(B39200=C39200, "YES", "WRONG")</f>
        <v/>
      </c>
    </row>
    <row r="39201">
      <c r="A39201" t="n">
        <v>39200</v>
      </c>
      <c r="B39201" t="inlineStr">
        <is>
          <t>x̄x̄x̄Mx̄CC</t>
        </is>
      </c>
      <c r="C39201">
        <f>ROMAN(39200)</f>
        <v/>
      </c>
      <c r="D39201">
        <f>IF(B39201=C39201, "YES", "WRONG")</f>
        <v/>
      </c>
    </row>
    <row r="39202">
      <c r="A39202" t="n">
        <v>39201</v>
      </c>
      <c r="B39202" t="inlineStr">
        <is>
          <t>x̄x̄x̄Mx̄CCI</t>
        </is>
      </c>
      <c r="C39202">
        <f>ROMAN(39201)</f>
        <v/>
      </c>
      <c r="D39202">
        <f>IF(B39202=C39202, "YES", "WRONG")</f>
        <v/>
      </c>
    </row>
    <row r="39203">
      <c r="A39203" t="n">
        <v>39202</v>
      </c>
      <c r="B39203" t="inlineStr">
        <is>
          <t>x̄x̄x̄Mx̄CCII</t>
        </is>
      </c>
      <c r="C39203">
        <f>ROMAN(39202)</f>
        <v/>
      </c>
      <c r="D39203">
        <f>IF(B39203=C39203, "YES", "WRONG")</f>
        <v/>
      </c>
    </row>
    <row r="39204">
      <c r="A39204" t="n">
        <v>39203</v>
      </c>
      <c r="B39204" t="inlineStr">
        <is>
          <t>x̄x̄x̄Mx̄CCIII</t>
        </is>
      </c>
      <c r="C39204">
        <f>ROMAN(39203)</f>
        <v/>
      </c>
      <c r="D39204">
        <f>IF(B39204=C39204, "YES", "WRONG")</f>
        <v/>
      </c>
    </row>
    <row r="39205">
      <c r="A39205" t="n">
        <v>39204</v>
      </c>
      <c r="B39205" t="inlineStr">
        <is>
          <t>x̄x̄x̄Mx̄CCIV</t>
        </is>
      </c>
      <c r="C39205">
        <f>ROMAN(39204)</f>
        <v/>
      </c>
      <c r="D39205">
        <f>IF(B39205=C39205, "YES", "WRONG")</f>
        <v/>
      </c>
    </row>
    <row r="39206">
      <c r="A39206" t="n">
        <v>39205</v>
      </c>
      <c r="B39206" t="inlineStr">
        <is>
          <t>x̄x̄x̄Mx̄CCV</t>
        </is>
      </c>
      <c r="C39206">
        <f>ROMAN(39205)</f>
        <v/>
      </c>
      <c r="D39206">
        <f>IF(B39206=C39206, "YES", "WRONG")</f>
        <v/>
      </c>
    </row>
    <row r="39207">
      <c r="A39207" t="n">
        <v>39206</v>
      </c>
      <c r="B39207" t="inlineStr">
        <is>
          <t>x̄x̄x̄Mx̄CCVI</t>
        </is>
      </c>
      <c r="C39207">
        <f>ROMAN(39206)</f>
        <v/>
      </c>
      <c r="D39207">
        <f>IF(B39207=C39207, "YES", "WRONG")</f>
        <v/>
      </c>
    </row>
    <row r="39208">
      <c r="A39208" t="n">
        <v>39207</v>
      </c>
      <c r="B39208" t="inlineStr">
        <is>
          <t>x̄x̄x̄Mx̄CCVII</t>
        </is>
      </c>
      <c r="C39208">
        <f>ROMAN(39207)</f>
        <v/>
      </c>
      <c r="D39208">
        <f>IF(B39208=C39208, "YES", "WRONG")</f>
        <v/>
      </c>
    </row>
    <row r="39209">
      <c r="A39209" t="n">
        <v>39208</v>
      </c>
      <c r="B39209" t="inlineStr">
        <is>
          <t>x̄x̄x̄Mx̄CCVIII</t>
        </is>
      </c>
      <c r="C39209">
        <f>ROMAN(39208)</f>
        <v/>
      </c>
      <c r="D39209">
        <f>IF(B39209=C39209, "YES", "WRONG")</f>
        <v/>
      </c>
    </row>
    <row r="39210">
      <c r="A39210" t="n">
        <v>39209</v>
      </c>
      <c r="B39210" t="inlineStr">
        <is>
          <t>x̄x̄x̄Mx̄CCIX</t>
        </is>
      </c>
      <c r="C39210">
        <f>ROMAN(39209)</f>
        <v/>
      </c>
      <c r="D39210">
        <f>IF(B39210=C39210, "YES", "WRONG")</f>
        <v/>
      </c>
    </row>
    <row r="39211">
      <c r="A39211" t="n">
        <v>39210</v>
      </c>
      <c r="B39211" t="inlineStr">
        <is>
          <t>x̄x̄x̄Mx̄CCX</t>
        </is>
      </c>
      <c r="C39211">
        <f>ROMAN(39210)</f>
        <v/>
      </c>
      <c r="D39211">
        <f>IF(B39211=C39211, "YES", "WRONG")</f>
        <v/>
      </c>
    </row>
    <row r="39212">
      <c r="A39212" t="n">
        <v>39211</v>
      </c>
      <c r="B39212" t="inlineStr">
        <is>
          <t>x̄x̄x̄Mx̄CCXI</t>
        </is>
      </c>
      <c r="C39212">
        <f>ROMAN(39211)</f>
        <v/>
      </c>
      <c r="D39212">
        <f>IF(B39212=C39212, "YES", "WRONG")</f>
        <v/>
      </c>
    </row>
    <row r="39213">
      <c r="A39213" t="n">
        <v>39212</v>
      </c>
      <c r="B39213" t="inlineStr">
        <is>
          <t>x̄x̄x̄Mx̄CCXII</t>
        </is>
      </c>
      <c r="C39213">
        <f>ROMAN(39212)</f>
        <v/>
      </c>
      <c r="D39213">
        <f>IF(B39213=C39213, "YES", "WRONG")</f>
        <v/>
      </c>
    </row>
    <row r="39214">
      <c r="A39214" t="n">
        <v>39213</v>
      </c>
      <c r="B39214" t="inlineStr">
        <is>
          <t>x̄x̄x̄Mx̄CCXIII</t>
        </is>
      </c>
      <c r="C39214">
        <f>ROMAN(39213)</f>
        <v/>
      </c>
      <c r="D39214">
        <f>IF(B39214=C39214, "YES", "WRONG")</f>
        <v/>
      </c>
    </row>
    <row r="39215">
      <c r="A39215" t="n">
        <v>39214</v>
      </c>
      <c r="B39215" t="inlineStr">
        <is>
          <t>x̄x̄x̄Mx̄CCXIV</t>
        </is>
      </c>
      <c r="C39215">
        <f>ROMAN(39214)</f>
        <v/>
      </c>
      <c r="D39215">
        <f>IF(B39215=C39215, "YES", "WRONG")</f>
        <v/>
      </c>
    </row>
    <row r="39216">
      <c r="A39216" t="n">
        <v>39215</v>
      </c>
      <c r="B39216" t="inlineStr">
        <is>
          <t>x̄x̄x̄Mx̄CCXV</t>
        </is>
      </c>
      <c r="C39216">
        <f>ROMAN(39215)</f>
        <v/>
      </c>
      <c r="D39216">
        <f>IF(B39216=C39216, "YES", "WRONG")</f>
        <v/>
      </c>
    </row>
    <row r="39217">
      <c r="A39217" t="n">
        <v>39216</v>
      </c>
      <c r="B39217" t="inlineStr">
        <is>
          <t>x̄x̄x̄Mx̄CCXVI</t>
        </is>
      </c>
      <c r="C39217">
        <f>ROMAN(39216)</f>
        <v/>
      </c>
      <c r="D39217">
        <f>IF(B39217=C39217, "YES", "WRONG")</f>
        <v/>
      </c>
    </row>
    <row r="39218">
      <c r="A39218" t="n">
        <v>39217</v>
      </c>
      <c r="B39218" t="inlineStr">
        <is>
          <t>x̄x̄x̄Mx̄CCXVII</t>
        </is>
      </c>
      <c r="C39218">
        <f>ROMAN(39217)</f>
        <v/>
      </c>
      <c r="D39218">
        <f>IF(B39218=C39218, "YES", "WRONG")</f>
        <v/>
      </c>
    </row>
    <row r="39219">
      <c r="A39219" t="n">
        <v>39218</v>
      </c>
      <c r="B39219" t="inlineStr">
        <is>
          <t>x̄x̄x̄Mx̄CCXVIII</t>
        </is>
      </c>
      <c r="C39219">
        <f>ROMAN(39218)</f>
        <v/>
      </c>
      <c r="D39219">
        <f>IF(B39219=C39219, "YES", "WRONG")</f>
        <v/>
      </c>
    </row>
    <row r="39220">
      <c r="A39220" t="n">
        <v>39219</v>
      </c>
      <c r="B39220" t="inlineStr">
        <is>
          <t>x̄x̄x̄Mx̄CCXIX</t>
        </is>
      </c>
      <c r="C39220">
        <f>ROMAN(39219)</f>
        <v/>
      </c>
      <c r="D39220">
        <f>IF(B39220=C39220, "YES", "WRONG")</f>
        <v/>
      </c>
    </row>
    <row r="39221">
      <c r="A39221" t="n">
        <v>39220</v>
      </c>
      <c r="B39221" t="inlineStr">
        <is>
          <t>x̄x̄x̄Mx̄CCXX</t>
        </is>
      </c>
      <c r="C39221">
        <f>ROMAN(39220)</f>
        <v/>
      </c>
      <c r="D39221">
        <f>IF(B39221=C39221, "YES", "WRONG")</f>
        <v/>
      </c>
    </row>
    <row r="39222">
      <c r="A39222" t="n">
        <v>39221</v>
      </c>
      <c r="B39222" t="inlineStr">
        <is>
          <t>x̄x̄x̄Mx̄CCXXI</t>
        </is>
      </c>
      <c r="C39222">
        <f>ROMAN(39221)</f>
        <v/>
      </c>
      <c r="D39222">
        <f>IF(B39222=C39222, "YES", "WRONG")</f>
        <v/>
      </c>
    </row>
    <row r="39223">
      <c r="A39223" t="n">
        <v>39222</v>
      </c>
      <c r="B39223" t="inlineStr">
        <is>
          <t>x̄x̄x̄Mx̄CCXXII</t>
        </is>
      </c>
      <c r="C39223">
        <f>ROMAN(39222)</f>
        <v/>
      </c>
      <c r="D39223">
        <f>IF(B39223=C39223, "YES", "WRONG")</f>
        <v/>
      </c>
    </row>
    <row r="39224">
      <c r="A39224" t="n">
        <v>39223</v>
      </c>
      <c r="B39224" t="inlineStr">
        <is>
          <t>x̄x̄x̄Mx̄CCXXIII</t>
        </is>
      </c>
      <c r="C39224">
        <f>ROMAN(39223)</f>
        <v/>
      </c>
      <c r="D39224">
        <f>IF(B39224=C39224, "YES", "WRONG")</f>
        <v/>
      </c>
    </row>
    <row r="39225">
      <c r="A39225" t="n">
        <v>39224</v>
      </c>
      <c r="B39225" t="inlineStr">
        <is>
          <t>x̄x̄x̄Mx̄CCXXIV</t>
        </is>
      </c>
      <c r="C39225">
        <f>ROMAN(39224)</f>
        <v/>
      </c>
      <c r="D39225">
        <f>IF(B39225=C39225, "YES", "WRONG")</f>
        <v/>
      </c>
    </row>
    <row r="39226">
      <c r="A39226" t="n">
        <v>39225</v>
      </c>
      <c r="B39226" t="inlineStr">
        <is>
          <t>x̄x̄x̄Mx̄CCXXV</t>
        </is>
      </c>
      <c r="C39226">
        <f>ROMAN(39225)</f>
        <v/>
      </c>
      <c r="D39226">
        <f>IF(B39226=C39226, "YES", "WRONG")</f>
        <v/>
      </c>
    </row>
    <row r="39227">
      <c r="A39227" t="n">
        <v>39226</v>
      </c>
      <c r="B39227" t="inlineStr">
        <is>
          <t>x̄x̄x̄Mx̄CCXXVI</t>
        </is>
      </c>
      <c r="C39227">
        <f>ROMAN(39226)</f>
        <v/>
      </c>
      <c r="D39227">
        <f>IF(B39227=C39227, "YES", "WRONG")</f>
        <v/>
      </c>
    </row>
    <row r="39228">
      <c r="A39228" t="n">
        <v>39227</v>
      </c>
      <c r="B39228" t="inlineStr">
        <is>
          <t>x̄x̄x̄Mx̄CCXXVII</t>
        </is>
      </c>
      <c r="C39228">
        <f>ROMAN(39227)</f>
        <v/>
      </c>
      <c r="D39228">
        <f>IF(B39228=C39228, "YES", "WRONG")</f>
        <v/>
      </c>
    </row>
    <row r="39229">
      <c r="A39229" t="n">
        <v>39228</v>
      </c>
      <c r="B39229" t="inlineStr">
        <is>
          <t>x̄x̄x̄Mx̄CCXXVIII</t>
        </is>
      </c>
      <c r="C39229">
        <f>ROMAN(39228)</f>
        <v/>
      </c>
      <c r="D39229">
        <f>IF(B39229=C39229, "YES", "WRONG")</f>
        <v/>
      </c>
    </row>
    <row r="39230">
      <c r="A39230" t="n">
        <v>39229</v>
      </c>
      <c r="B39230" t="inlineStr">
        <is>
          <t>x̄x̄x̄Mx̄CCXXIX</t>
        </is>
      </c>
      <c r="C39230">
        <f>ROMAN(39229)</f>
        <v/>
      </c>
      <c r="D39230">
        <f>IF(B39230=C39230, "YES", "WRONG")</f>
        <v/>
      </c>
    </row>
    <row r="39231">
      <c r="A39231" t="n">
        <v>39230</v>
      </c>
      <c r="B39231" t="inlineStr">
        <is>
          <t>x̄x̄x̄Mx̄CCXXX</t>
        </is>
      </c>
      <c r="C39231">
        <f>ROMAN(39230)</f>
        <v/>
      </c>
      <c r="D39231">
        <f>IF(B39231=C39231, "YES", "WRONG")</f>
        <v/>
      </c>
    </row>
    <row r="39232">
      <c r="A39232" t="n">
        <v>39231</v>
      </c>
      <c r="B39232" t="inlineStr">
        <is>
          <t>x̄x̄x̄Mx̄CCXXXI</t>
        </is>
      </c>
      <c r="C39232">
        <f>ROMAN(39231)</f>
        <v/>
      </c>
      <c r="D39232">
        <f>IF(B39232=C39232, "YES", "WRONG")</f>
        <v/>
      </c>
    </row>
    <row r="39233">
      <c r="A39233" t="n">
        <v>39232</v>
      </c>
      <c r="B39233" t="inlineStr">
        <is>
          <t>x̄x̄x̄Mx̄CCXXXII</t>
        </is>
      </c>
      <c r="C39233">
        <f>ROMAN(39232)</f>
        <v/>
      </c>
      <c r="D39233">
        <f>IF(B39233=C39233, "YES", "WRONG")</f>
        <v/>
      </c>
    </row>
    <row r="39234">
      <c r="A39234" t="n">
        <v>39233</v>
      </c>
      <c r="B39234" t="inlineStr">
        <is>
          <t>x̄x̄x̄Mx̄CCXXXIII</t>
        </is>
      </c>
      <c r="C39234">
        <f>ROMAN(39233)</f>
        <v/>
      </c>
      <c r="D39234">
        <f>IF(B39234=C39234, "YES", "WRONG")</f>
        <v/>
      </c>
    </row>
    <row r="39235">
      <c r="A39235" t="n">
        <v>39234</v>
      </c>
      <c r="B39235" t="inlineStr">
        <is>
          <t>x̄x̄x̄Mx̄CCXXXIV</t>
        </is>
      </c>
      <c r="C39235">
        <f>ROMAN(39234)</f>
        <v/>
      </c>
      <c r="D39235">
        <f>IF(B39235=C39235, "YES", "WRONG")</f>
        <v/>
      </c>
    </row>
    <row r="39236">
      <c r="A39236" t="n">
        <v>39235</v>
      </c>
      <c r="B39236" t="inlineStr">
        <is>
          <t>x̄x̄x̄Mx̄CCXXXV</t>
        </is>
      </c>
      <c r="C39236">
        <f>ROMAN(39235)</f>
        <v/>
      </c>
      <c r="D39236">
        <f>IF(B39236=C39236, "YES", "WRONG")</f>
        <v/>
      </c>
    </row>
    <row r="39237">
      <c r="A39237" t="n">
        <v>39236</v>
      </c>
      <c r="B39237" t="inlineStr">
        <is>
          <t>x̄x̄x̄Mx̄CCXXXVI</t>
        </is>
      </c>
      <c r="C39237">
        <f>ROMAN(39236)</f>
        <v/>
      </c>
      <c r="D39237">
        <f>IF(B39237=C39237, "YES", "WRONG")</f>
        <v/>
      </c>
    </row>
    <row r="39238">
      <c r="A39238" t="n">
        <v>39237</v>
      </c>
      <c r="B39238" t="inlineStr">
        <is>
          <t>x̄x̄x̄Mx̄CCXXXVII</t>
        </is>
      </c>
      <c r="C39238">
        <f>ROMAN(39237)</f>
        <v/>
      </c>
      <c r="D39238">
        <f>IF(B39238=C39238, "YES", "WRONG")</f>
        <v/>
      </c>
    </row>
    <row r="39239">
      <c r="A39239" t="n">
        <v>39238</v>
      </c>
      <c r="B39239" t="inlineStr">
        <is>
          <t>x̄x̄x̄Mx̄CCXXXVIII</t>
        </is>
      </c>
      <c r="C39239">
        <f>ROMAN(39238)</f>
        <v/>
      </c>
      <c r="D39239">
        <f>IF(B39239=C39239, "YES", "WRONG")</f>
        <v/>
      </c>
    </row>
    <row r="39240">
      <c r="A39240" t="n">
        <v>39239</v>
      </c>
      <c r="B39240" t="inlineStr">
        <is>
          <t>x̄x̄x̄Mx̄CCXXXIX</t>
        </is>
      </c>
      <c r="C39240">
        <f>ROMAN(39239)</f>
        <v/>
      </c>
      <c r="D39240">
        <f>IF(B39240=C39240, "YES", "WRONG")</f>
        <v/>
      </c>
    </row>
    <row r="39241">
      <c r="A39241" t="n">
        <v>39240</v>
      </c>
      <c r="B39241" t="inlineStr">
        <is>
          <t>x̄x̄x̄Mx̄CCXL</t>
        </is>
      </c>
      <c r="C39241">
        <f>ROMAN(39240)</f>
        <v/>
      </c>
      <c r="D39241">
        <f>IF(B39241=C39241, "YES", "WRONG")</f>
        <v/>
      </c>
    </row>
    <row r="39242">
      <c r="A39242" t="n">
        <v>39241</v>
      </c>
      <c r="B39242" t="inlineStr">
        <is>
          <t>x̄x̄x̄Mx̄CCXLI</t>
        </is>
      </c>
      <c r="C39242">
        <f>ROMAN(39241)</f>
        <v/>
      </c>
      <c r="D39242">
        <f>IF(B39242=C39242, "YES", "WRONG")</f>
        <v/>
      </c>
    </row>
    <row r="39243">
      <c r="A39243" t="n">
        <v>39242</v>
      </c>
      <c r="B39243" t="inlineStr">
        <is>
          <t>x̄x̄x̄Mx̄CCXLII</t>
        </is>
      </c>
      <c r="C39243">
        <f>ROMAN(39242)</f>
        <v/>
      </c>
      <c r="D39243">
        <f>IF(B39243=C39243, "YES", "WRONG")</f>
        <v/>
      </c>
    </row>
    <row r="39244">
      <c r="A39244" t="n">
        <v>39243</v>
      </c>
      <c r="B39244" t="inlineStr">
        <is>
          <t>x̄x̄x̄Mx̄CCXLIII</t>
        </is>
      </c>
      <c r="C39244">
        <f>ROMAN(39243)</f>
        <v/>
      </c>
      <c r="D39244">
        <f>IF(B39244=C39244, "YES", "WRONG")</f>
        <v/>
      </c>
    </row>
    <row r="39245">
      <c r="A39245" t="n">
        <v>39244</v>
      </c>
      <c r="B39245" t="inlineStr">
        <is>
          <t>x̄x̄x̄Mx̄CCXLIV</t>
        </is>
      </c>
      <c r="C39245">
        <f>ROMAN(39244)</f>
        <v/>
      </c>
      <c r="D39245">
        <f>IF(B39245=C39245, "YES", "WRONG")</f>
        <v/>
      </c>
    </row>
    <row r="39246">
      <c r="A39246" t="n">
        <v>39245</v>
      </c>
      <c r="B39246" t="inlineStr">
        <is>
          <t>x̄x̄x̄Mx̄CCXLV</t>
        </is>
      </c>
      <c r="C39246">
        <f>ROMAN(39245)</f>
        <v/>
      </c>
      <c r="D39246">
        <f>IF(B39246=C39246, "YES", "WRONG")</f>
        <v/>
      </c>
    </row>
    <row r="39247">
      <c r="A39247" t="n">
        <v>39246</v>
      </c>
      <c r="B39247" t="inlineStr">
        <is>
          <t>x̄x̄x̄Mx̄CCXLVI</t>
        </is>
      </c>
      <c r="C39247">
        <f>ROMAN(39246)</f>
        <v/>
      </c>
      <c r="D39247">
        <f>IF(B39247=C39247, "YES", "WRONG")</f>
        <v/>
      </c>
    </row>
    <row r="39248">
      <c r="A39248" t="n">
        <v>39247</v>
      </c>
      <c r="B39248" t="inlineStr">
        <is>
          <t>x̄x̄x̄Mx̄CCXLVII</t>
        </is>
      </c>
      <c r="C39248">
        <f>ROMAN(39247)</f>
        <v/>
      </c>
      <c r="D39248">
        <f>IF(B39248=C39248, "YES", "WRONG")</f>
        <v/>
      </c>
    </row>
    <row r="39249">
      <c r="A39249" t="n">
        <v>39248</v>
      </c>
      <c r="B39249" t="inlineStr">
        <is>
          <t>x̄x̄x̄Mx̄CCXLVIII</t>
        </is>
      </c>
      <c r="C39249">
        <f>ROMAN(39248)</f>
        <v/>
      </c>
      <c r="D39249">
        <f>IF(B39249=C39249, "YES", "WRONG")</f>
        <v/>
      </c>
    </row>
    <row r="39250">
      <c r="A39250" t="n">
        <v>39249</v>
      </c>
      <c r="B39250" t="inlineStr">
        <is>
          <t>x̄x̄x̄Mx̄CCXLIX</t>
        </is>
      </c>
      <c r="C39250">
        <f>ROMAN(39249)</f>
        <v/>
      </c>
      <c r="D39250">
        <f>IF(B39250=C39250, "YES", "WRONG")</f>
        <v/>
      </c>
    </row>
    <row r="39251">
      <c r="A39251" t="n">
        <v>39250</v>
      </c>
      <c r="B39251" t="inlineStr">
        <is>
          <t>x̄x̄x̄Mx̄CCL</t>
        </is>
      </c>
      <c r="C39251">
        <f>ROMAN(39250)</f>
        <v/>
      </c>
      <c r="D39251">
        <f>IF(B39251=C39251, "YES", "WRONG")</f>
        <v/>
      </c>
    </row>
    <row r="39252">
      <c r="A39252" t="n">
        <v>39251</v>
      </c>
      <c r="B39252" t="inlineStr">
        <is>
          <t>x̄x̄x̄Mx̄CCLI</t>
        </is>
      </c>
      <c r="C39252">
        <f>ROMAN(39251)</f>
        <v/>
      </c>
      <c r="D39252">
        <f>IF(B39252=C39252, "YES", "WRONG")</f>
        <v/>
      </c>
    </row>
    <row r="39253">
      <c r="A39253" t="n">
        <v>39252</v>
      </c>
      <c r="B39253" t="inlineStr">
        <is>
          <t>x̄x̄x̄Mx̄CCLII</t>
        </is>
      </c>
      <c r="C39253">
        <f>ROMAN(39252)</f>
        <v/>
      </c>
      <c r="D39253">
        <f>IF(B39253=C39253, "YES", "WRONG")</f>
        <v/>
      </c>
    </row>
    <row r="39254">
      <c r="A39254" t="n">
        <v>39253</v>
      </c>
      <c r="B39254" t="inlineStr">
        <is>
          <t>x̄x̄x̄Mx̄CCLIII</t>
        </is>
      </c>
      <c r="C39254">
        <f>ROMAN(39253)</f>
        <v/>
      </c>
      <c r="D39254">
        <f>IF(B39254=C39254, "YES", "WRONG")</f>
        <v/>
      </c>
    </row>
    <row r="39255">
      <c r="A39255" t="n">
        <v>39254</v>
      </c>
      <c r="B39255" t="inlineStr">
        <is>
          <t>x̄x̄x̄Mx̄CCLIV</t>
        </is>
      </c>
      <c r="C39255">
        <f>ROMAN(39254)</f>
        <v/>
      </c>
      <c r="D39255">
        <f>IF(B39255=C39255, "YES", "WRONG")</f>
        <v/>
      </c>
    </row>
    <row r="39256">
      <c r="A39256" t="n">
        <v>39255</v>
      </c>
      <c r="B39256" t="inlineStr">
        <is>
          <t>x̄x̄x̄Mx̄CCLV</t>
        </is>
      </c>
      <c r="C39256">
        <f>ROMAN(39255)</f>
        <v/>
      </c>
      <c r="D39256">
        <f>IF(B39256=C39256, "YES", "WRONG")</f>
        <v/>
      </c>
    </row>
    <row r="39257">
      <c r="A39257" t="n">
        <v>39256</v>
      </c>
      <c r="B39257" t="inlineStr">
        <is>
          <t>x̄x̄x̄Mx̄CCLVI</t>
        </is>
      </c>
      <c r="C39257">
        <f>ROMAN(39256)</f>
        <v/>
      </c>
      <c r="D39257">
        <f>IF(B39257=C39257, "YES", "WRONG")</f>
        <v/>
      </c>
    </row>
    <row r="39258">
      <c r="A39258" t="n">
        <v>39257</v>
      </c>
      <c r="B39258" t="inlineStr">
        <is>
          <t>x̄x̄x̄Mx̄CCLVII</t>
        </is>
      </c>
      <c r="C39258">
        <f>ROMAN(39257)</f>
        <v/>
      </c>
      <c r="D39258">
        <f>IF(B39258=C39258, "YES", "WRONG")</f>
        <v/>
      </c>
    </row>
    <row r="39259">
      <c r="A39259" t="n">
        <v>39258</v>
      </c>
      <c r="B39259" t="inlineStr">
        <is>
          <t>x̄x̄x̄Mx̄CCLVIII</t>
        </is>
      </c>
      <c r="C39259">
        <f>ROMAN(39258)</f>
        <v/>
      </c>
      <c r="D39259">
        <f>IF(B39259=C39259, "YES", "WRONG")</f>
        <v/>
      </c>
    </row>
    <row r="39260">
      <c r="A39260" t="n">
        <v>39259</v>
      </c>
      <c r="B39260" t="inlineStr">
        <is>
          <t>x̄x̄x̄Mx̄CCLIX</t>
        </is>
      </c>
      <c r="C39260">
        <f>ROMAN(39259)</f>
        <v/>
      </c>
      <c r="D39260">
        <f>IF(B39260=C39260, "YES", "WRONG")</f>
        <v/>
      </c>
    </row>
    <row r="39261">
      <c r="A39261" t="n">
        <v>39260</v>
      </c>
      <c r="B39261" t="inlineStr">
        <is>
          <t>x̄x̄x̄Mx̄CCLX</t>
        </is>
      </c>
      <c r="C39261">
        <f>ROMAN(39260)</f>
        <v/>
      </c>
      <c r="D39261">
        <f>IF(B39261=C39261, "YES", "WRONG")</f>
        <v/>
      </c>
    </row>
    <row r="39262">
      <c r="A39262" t="n">
        <v>39261</v>
      </c>
      <c r="B39262" t="inlineStr">
        <is>
          <t>x̄x̄x̄Mx̄CCLXI</t>
        </is>
      </c>
      <c r="C39262">
        <f>ROMAN(39261)</f>
        <v/>
      </c>
      <c r="D39262">
        <f>IF(B39262=C39262, "YES", "WRONG")</f>
        <v/>
      </c>
    </row>
    <row r="39263">
      <c r="A39263" t="n">
        <v>39262</v>
      </c>
      <c r="B39263" t="inlineStr">
        <is>
          <t>x̄x̄x̄Mx̄CCLXII</t>
        </is>
      </c>
      <c r="C39263">
        <f>ROMAN(39262)</f>
        <v/>
      </c>
      <c r="D39263">
        <f>IF(B39263=C39263, "YES", "WRONG")</f>
        <v/>
      </c>
    </row>
    <row r="39264">
      <c r="A39264" t="n">
        <v>39263</v>
      </c>
      <c r="B39264" t="inlineStr">
        <is>
          <t>x̄x̄x̄Mx̄CCLXIII</t>
        </is>
      </c>
      <c r="C39264">
        <f>ROMAN(39263)</f>
        <v/>
      </c>
      <c r="D39264">
        <f>IF(B39264=C39264, "YES", "WRONG")</f>
        <v/>
      </c>
    </row>
    <row r="39265">
      <c r="A39265" t="n">
        <v>39264</v>
      </c>
      <c r="B39265" t="inlineStr">
        <is>
          <t>x̄x̄x̄Mx̄CCLXIV</t>
        </is>
      </c>
      <c r="C39265">
        <f>ROMAN(39264)</f>
        <v/>
      </c>
      <c r="D39265">
        <f>IF(B39265=C39265, "YES", "WRONG")</f>
        <v/>
      </c>
    </row>
    <row r="39266">
      <c r="A39266" t="n">
        <v>39265</v>
      </c>
      <c r="B39266" t="inlineStr">
        <is>
          <t>x̄x̄x̄Mx̄CCLXV</t>
        </is>
      </c>
      <c r="C39266">
        <f>ROMAN(39265)</f>
        <v/>
      </c>
      <c r="D39266">
        <f>IF(B39266=C39266, "YES", "WRONG")</f>
        <v/>
      </c>
    </row>
    <row r="39267">
      <c r="A39267" t="n">
        <v>39266</v>
      </c>
      <c r="B39267" t="inlineStr">
        <is>
          <t>x̄x̄x̄Mx̄CCLXVI</t>
        </is>
      </c>
      <c r="C39267">
        <f>ROMAN(39266)</f>
        <v/>
      </c>
      <c r="D39267">
        <f>IF(B39267=C39267, "YES", "WRONG")</f>
        <v/>
      </c>
    </row>
    <row r="39268">
      <c r="A39268" t="n">
        <v>39267</v>
      </c>
      <c r="B39268" t="inlineStr">
        <is>
          <t>x̄x̄x̄Mx̄CCLXVII</t>
        </is>
      </c>
      <c r="C39268">
        <f>ROMAN(39267)</f>
        <v/>
      </c>
      <c r="D39268">
        <f>IF(B39268=C39268, "YES", "WRONG")</f>
        <v/>
      </c>
    </row>
    <row r="39269">
      <c r="A39269" t="n">
        <v>39268</v>
      </c>
      <c r="B39269" t="inlineStr">
        <is>
          <t>x̄x̄x̄Mx̄CCLXVIII</t>
        </is>
      </c>
      <c r="C39269">
        <f>ROMAN(39268)</f>
        <v/>
      </c>
      <c r="D39269">
        <f>IF(B39269=C39269, "YES", "WRONG")</f>
        <v/>
      </c>
    </row>
    <row r="39270">
      <c r="A39270" t="n">
        <v>39269</v>
      </c>
      <c r="B39270" t="inlineStr">
        <is>
          <t>x̄x̄x̄Mx̄CCLXIX</t>
        </is>
      </c>
      <c r="C39270">
        <f>ROMAN(39269)</f>
        <v/>
      </c>
      <c r="D39270">
        <f>IF(B39270=C39270, "YES", "WRONG")</f>
        <v/>
      </c>
    </row>
    <row r="39271">
      <c r="A39271" t="n">
        <v>39270</v>
      </c>
      <c r="B39271" t="inlineStr">
        <is>
          <t>x̄x̄x̄Mx̄CCLXX</t>
        </is>
      </c>
      <c r="C39271">
        <f>ROMAN(39270)</f>
        <v/>
      </c>
      <c r="D39271">
        <f>IF(B39271=C39271, "YES", "WRONG")</f>
        <v/>
      </c>
    </row>
    <row r="39272">
      <c r="A39272" t="n">
        <v>39271</v>
      </c>
      <c r="B39272" t="inlineStr">
        <is>
          <t>x̄x̄x̄Mx̄CCLXXI</t>
        </is>
      </c>
      <c r="C39272">
        <f>ROMAN(39271)</f>
        <v/>
      </c>
      <c r="D39272">
        <f>IF(B39272=C39272, "YES", "WRONG")</f>
        <v/>
      </c>
    </row>
    <row r="39273">
      <c r="A39273" t="n">
        <v>39272</v>
      </c>
      <c r="B39273" t="inlineStr">
        <is>
          <t>x̄x̄x̄Mx̄CCLXXII</t>
        </is>
      </c>
      <c r="C39273">
        <f>ROMAN(39272)</f>
        <v/>
      </c>
      <c r="D39273">
        <f>IF(B39273=C39273, "YES", "WRONG")</f>
        <v/>
      </c>
    </row>
    <row r="39274">
      <c r="A39274" t="n">
        <v>39273</v>
      </c>
      <c r="B39274" t="inlineStr">
        <is>
          <t>x̄x̄x̄Mx̄CCLXXIII</t>
        </is>
      </c>
      <c r="C39274">
        <f>ROMAN(39273)</f>
        <v/>
      </c>
      <c r="D39274">
        <f>IF(B39274=C39274, "YES", "WRONG")</f>
        <v/>
      </c>
    </row>
    <row r="39275">
      <c r="A39275" t="n">
        <v>39274</v>
      </c>
      <c r="B39275" t="inlineStr">
        <is>
          <t>x̄x̄x̄Mx̄CCLXXIV</t>
        </is>
      </c>
      <c r="C39275">
        <f>ROMAN(39274)</f>
        <v/>
      </c>
      <c r="D39275">
        <f>IF(B39275=C39275, "YES", "WRONG")</f>
        <v/>
      </c>
    </row>
    <row r="39276">
      <c r="A39276" t="n">
        <v>39275</v>
      </c>
      <c r="B39276" t="inlineStr">
        <is>
          <t>x̄x̄x̄Mx̄CCLXXV</t>
        </is>
      </c>
      <c r="C39276">
        <f>ROMAN(39275)</f>
        <v/>
      </c>
      <c r="D39276">
        <f>IF(B39276=C39276, "YES", "WRONG")</f>
        <v/>
      </c>
    </row>
    <row r="39277">
      <c r="A39277" t="n">
        <v>39276</v>
      </c>
      <c r="B39277" t="inlineStr">
        <is>
          <t>x̄x̄x̄Mx̄CCLXXVI</t>
        </is>
      </c>
      <c r="C39277">
        <f>ROMAN(39276)</f>
        <v/>
      </c>
      <c r="D39277">
        <f>IF(B39277=C39277, "YES", "WRONG")</f>
        <v/>
      </c>
    </row>
    <row r="39278">
      <c r="A39278" t="n">
        <v>39277</v>
      </c>
      <c r="B39278" t="inlineStr">
        <is>
          <t>x̄x̄x̄Mx̄CCLXXVII</t>
        </is>
      </c>
      <c r="C39278">
        <f>ROMAN(39277)</f>
        <v/>
      </c>
      <c r="D39278">
        <f>IF(B39278=C39278, "YES", "WRONG")</f>
        <v/>
      </c>
    </row>
    <row r="39279">
      <c r="A39279" t="n">
        <v>39278</v>
      </c>
      <c r="B39279" t="inlineStr">
        <is>
          <t>x̄x̄x̄Mx̄CCLXXVIII</t>
        </is>
      </c>
      <c r="C39279">
        <f>ROMAN(39278)</f>
        <v/>
      </c>
      <c r="D39279">
        <f>IF(B39279=C39279, "YES", "WRONG")</f>
        <v/>
      </c>
    </row>
    <row r="39280">
      <c r="A39280" t="n">
        <v>39279</v>
      </c>
      <c r="B39280" t="inlineStr">
        <is>
          <t>x̄x̄x̄Mx̄CCLXXIX</t>
        </is>
      </c>
      <c r="C39280">
        <f>ROMAN(39279)</f>
        <v/>
      </c>
      <c r="D39280">
        <f>IF(B39280=C39280, "YES", "WRONG")</f>
        <v/>
      </c>
    </row>
    <row r="39281">
      <c r="A39281" t="n">
        <v>39280</v>
      </c>
      <c r="B39281" t="inlineStr">
        <is>
          <t>x̄x̄x̄Mx̄CCLXXX</t>
        </is>
      </c>
      <c r="C39281">
        <f>ROMAN(39280)</f>
        <v/>
      </c>
      <c r="D39281">
        <f>IF(B39281=C39281, "YES", "WRONG")</f>
        <v/>
      </c>
    </row>
    <row r="39282">
      <c r="A39282" t="n">
        <v>39281</v>
      </c>
      <c r="B39282" t="inlineStr">
        <is>
          <t>x̄x̄x̄Mx̄CCLXXXI</t>
        </is>
      </c>
      <c r="C39282">
        <f>ROMAN(39281)</f>
        <v/>
      </c>
      <c r="D39282">
        <f>IF(B39282=C39282, "YES", "WRONG")</f>
        <v/>
      </c>
    </row>
    <row r="39283">
      <c r="A39283" t="n">
        <v>39282</v>
      </c>
      <c r="B39283" t="inlineStr">
        <is>
          <t>x̄x̄x̄Mx̄CCLXXXII</t>
        </is>
      </c>
      <c r="C39283">
        <f>ROMAN(39282)</f>
        <v/>
      </c>
      <c r="D39283">
        <f>IF(B39283=C39283, "YES", "WRONG")</f>
        <v/>
      </c>
    </row>
    <row r="39284">
      <c r="A39284" t="n">
        <v>39283</v>
      </c>
      <c r="B39284" t="inlineStr">
        <is>
          <t>x̄x̄x̄Mx̄CCLXXXIII</t>
        </is>
      </c>
      <c r="C39284">
        <f>ROMAN(39283)</f>
        <v/>
      </c>
      <c r="D39284">
        <f>IF(B39284=C39284, "YES", "WRONG")</f>
        <v/>
      </c>
    </row>
    <row r="39285">
      <c r="A39285" t="n">
        <v>39284</v>
      </c>
      <c r="B39285" t="inlineStr">
        <is>
          <t>x̄x̄x̄Mx̄CCLXXXIV</t>
        </is>
      </c>
      <c r="C39285">
        <f>ROMAN(39284)</f>
        <v/>
      </c>
      <c r="D39285">
        <f>IF(B39285=C39285, "YES", "WRONG")</f>
        <v/>
      </c>
    </row>
    <row r="39286">
      <c r="A39286" t="n">
        <v>39285</v>
      </c>
      <c r="B39286" t="inlineStr">
        <is>
          <t>x̄x̄x̄Mx̄CCLXXXV</t>
        </is>
      </c>
      <c r="C39286">
        <f>ROMAN(39285)</f>
        <v/>
      </c>
      <c r="D39286">
        <f>IF(B39286=C39286, "YES", "WRONG")</f>
        <v/>
      </c>
    </row>
    <row r="39287">
      <c r="A39287" t="n">
        <v>39286</v>
      </c>
      <c r="B39287" t="inlineStr">
        <is>
          <t>x̄x̄x̄Mx̄CCLXXXVI</t>
        </is>
      </c>
      <c r="C39287">
        <f>ROMAN(39286)</f>
        <v/>
      </c>
      <c r="D39287">
        <f>IF(B39287=C39287, "YES", "WRONG")</f>
        <v/>
      </c>
    </row>
    <row r="39288">
      <c r="A39288" t="n">
        <v>39287</v>
      </c>
      <c r="B39288" t="inlineStr">
        <is>
          <t>x̄x̄x̄Mx̄CCLXXXVII</t>
        </is>
      </c>
      <c r="C39288">
        <f>ROMAN(39287)</f>
        <v/>
      </c>
      <c r="D39288">
        <f>IF(B39288=C39288, "YES", "WRONG")</f>
        <v/>
      </c>
    </row>
    <row r="39289">
      <c r="A39289" t="n">
        <v>39288</v>
      </c>
      <c r="B39289" t="inlineStr">
        <is>
          <t>x̄x̄x̄Mx̄CCLXXXVIII</t>
        </is>
      </c>
      <c r="C39289">
        <f>ROMAN(39288)</f>
        <v/>
      </c>
      <c r="D39289">
        <f>IF(B39289=C39289, "YES", "WRONG")</f>
        <v/>
      </c>
    </row>
    <row r="39290">
      <c r="A39290" t="n">
        <v>39289</v>
      </c>
      <c r="B39290" t="inlineStr">
        <is>
          <t>x̄x̄x̄Mx̄CCLXXXIX</t>
        </is>
      </c>
      <c r="C39290">
        <f>ROMAN(39289)</f>
        <v/>
      </c>
      <c r="D39290">
        <f>IF(B39290=C39290, "YES", "WRONG")</f>
        <v/>
      </c>
    </row>
    <row r="39291">
      <c r="A39291" t="n">
        <v>39290</v>
      </c>
      <c r="B39291" t="inlineStr">
        <is>
          <t>x̄x̄x̄Mx̄CCXC</t>
        </is>
      </c>
      <c r="C39291">
        <f>ROMAN(39290)</f>
        <v/>
      </c>
      <c r="D39291">
        <f>IF(B39291=C39291, "YES", "WRONG")</f>
        <v/>
      </c>
    </row>
    <row r="39292">
      <c r="A39292" t="n">
        <v>39291</v>
      </c>
      <c r="B39292" t="inlineStr">
        <is>
          <t>x̄x̄x̄Mx̄CCXCI</t>
        </is>
      </c>
      <c r="C39292">
        <f>ROMAN(39291)</f>
        <v/>
      </c>
      <c r="D39292">
        <f>IF(B39292=C39292, "YES", "WRONG")</f>
        <v/>
      </c>
    </row>
    <row r="39293">
      <c r="A39293" t="n">
        <v>39292</v>
      </c>
      <c r="B39293" t="inlineStr">
        <is>
          <t>x̄x̄x̄Mx̄CCXCII</t>
        </is>
      </c>
      <c r="C39293">
        <f>ROMAN(39292)</f>
        <v/>
      </c>
      <c r="D39293">
        <f>IF(B39293=C39293, "YES", "WRONG")</f>
        <v/>
      </c>
    </row>
    <row r="39294">
      <c r="A39294" t="n">
        <v>39293</v>
      </c>
      <c r="B39294" t="inlineStr">
        <is>
          <t>x̄x̄x̄Mx̄CCXCIII</t>
        </is>
      </c>
      <c r="C39294">
        <f>ROMAN(39293)</f>
        <v/>
      </c>
      <c r="D39294">
        <f>IF(B39294=C39294, "YES", "WRONG")</f>
        <v/>
      </c>
    </row>
    <row r="39295">
      <c r="A39295" t="n">
        <v>39294</v>
      </c>
      <c r="B39295" t="inlineStr">
        <is>
          <t>x̄x̄x̄Mx̄CCXCIV</t>
        </is>
      </c>
      <c r="C39295">
        <f>ROMAN(39294)</f>
        <v/>
      </c>
      <c r="D39295">
        <f>IF(B39295=C39295, "YES", "WRONG")</f>
        <v/>
      </c>
    </row>
    <row r="39296">
      <c r="A39296" t="n">
        <v>39295</v>
      </c>
      <c r="B39296" t="inlineStr">
        <is>
          <t>x̄x̄x̄Mx̄CCXCV</t>
        </is>
      </c>
      <c r="C39296">
        <f>ROMAN(39295)</f>
        <v/>
      </c>
      <c r="D39296">
        <f>IF(B39296=C39296, "YES", "WRONG")</f>
        <v/>
      </c>
    </row>
    <row r="39297">
      <c r="A39297" t="n">
        <v>39296</v>
      </c>
      <c r="B39297" t="inlineStr">
        <is>
          <t>x̄x̄x̄Mx̄CCXCVI</t>
        </is>
      </c>
      <c r="C39297">
        <f>ROMAN(39296)</f>
        <v/>
      </c>
      <c r="D39297">
        <f>IF(B39297=C39297, "YES", "WRONG")</f>
        <v/>
      </c>
    </row>
    <row r="39298">
      <c r="A39298" t="n">
        <v>39297</v>
      </c>
      <c r="B39298" t="inlineStr">
        <is>
          <t>x̄x̄x̄Mx̄CCXCVII</t>
        </is>
      </c>
      <c r="C39298">
        <f>ROMAN(39297)</f>
        <v/>
      </c>
      <c r="D39298">
        <f>IF(B39298=C39298, "YES", "WRONG")</f>
        <v/>
      </c>
    </row>
    <row r="39299">
      <c r="A39299" t="n">
        <v>39298</v>
      </c>
      <c r="B39299" t="inlineStr">
        <is>
          <t>x̄x̄x̄Mx̄CCXCVIII</t>
        </is>
      </c>
      <c r="C39299">
        <f>ROMAN(39298)</f>
        <v/>
      </c>
      <c r="D39299">
        <f>IF(B39299=C39299, "YES", "WRONG")</f>
        <v/>
      </c>
    </row>
    <row r="39300">
      <c r="A39300" t="n">
        <v>39299</v>
      </c>
      <c r="B39300" t="inlineStr">
        <is>
          <t>x̄x̄x̄Mx̄CCXCIX</t>
        </is>
      </c>
      <c r="C39300">
        <f>ROMAN(39299)</f>
        <v/>
      </c>
      <c r="D39300">
        <f>IF(B39300=C39300, "YES", "WRONG")</f>
        <v/>
      </c>
    </row>
    <row r="39301">
      <c r="A39301" t="n">
        <v>39300</v>
      </c>
      <c r="B39301" t="inlineStr">
        <is>
          <t>x̄x̄x̄Mx̄CCC</t>
        </is>
      </c>
      <c r="C39301">
        <f>ROMAN(39300)</f>
        <v/>
      </c>
      <c r="D39301">
        <f>IF(B39301=C39301, "YES", "WRONG")</f>
        <v/>
      </c>
    </row>
    <row r="39302">
      <c r="A39302" t="n">
        <v>39301</v>
      </c>
      <c r="B39302" t="inlineStr">
        <is>
          <t>x̄x̄x̄Mx̄CCCI</t>
        </is>
      </c>
      <c r="C39302">
        <f>ROMAN(39301)</f>
        <v/>
      </c>
      <c r="D39302">
        <f>IF(B39302=C39302, "YES", "WRONG")</f>
        <v/>
      </c>
    </row>
    <row r="39303">
      <c r="A39303" t="n">
        <v>39302</v>
      </c>
      <c r="B39303" t="inlineStr">
        <is>
          <t>x̄x̄x̄Mx̄CCCII</t>
        </is>
      </c>
      <c r="C39303">
        <f>ROMAN(39302)</f>
        <v/>
      </c>
      <c r="D39303">
        <f>IF(B39303=C39303, "YES", "WRONG")</f>
        <v/>
      </c>
    </row>
    <row r="39304">
      <c r="A39304" t="n">
        <v>39303</v>
      </c>
      <c r="B39304" t="inlineStr">
        <is>
          <t>x̄x̄x̄Mx̄CCCIII</t>
        </is>
      </c>
      <c r="C39304">
        <f>ROMAN(39303)</f>
        <v/>
      </c>
      <c r="D39304">
        <f>IF(B39304=C39304, "YES", "WRONG")</f>
        <v/>
      </c>
    </row>
    <row r="39305">
      <c r="A39305" t="n">
        <v>39304</v>
      </c>
      <c r="B39305" t="inlineStr">
        <is>
          <t>x̄x̄x̄Mx̄CCCIV</t>
        </is>
      </c>
      <c r="C39305">
        <f>ROMAN(39304)</f>
        <v/>
      </c>
      <c r="D39305">
        <f>IF(B39305=C39305, "YES", "WRONG")</f>
        <v/>
      </c>
    </row>
    <row r="39306">
      <c r="A39306" t="n">
        <v>39305</v>
      </c>
      <c r="B39306" t="inlineStr">
        <is>
          <t>x̄x̄x̄Mx̄CCCV</t>
        </is>
      </c>
      <c r="C39306">
        <f>ROMAN(39305)</f>
        <v/>
      </c>
      <c r="D39306">
        <f>IF(B39306=C39306, "YES", "WRONG")</f>
        <v/>
      </c>
    </row>
    <row r="39307">
      <c r="A39307" t="n">
        <v>39306</v>
      </c>
      <c r="B39307" t="inlineStr">
        <is>
          <t>x̄x̄x̄Mx̄CCCVI</t>
        </is>
      </c>
      <c r="C39307">
        <f>ROMAN(39306)</f>
        <v/>
      </c>
      <c r="D39307">
        <f>IF(B39307=C39307, "YES", "WRONG")</f>
        <v/>
      </c>
    </row>
    <row r="39308">
      <c r="A39308" t="n">
        <v>39307</v>
      </c>
      <c r="B39308" t="inlineStr">
        <is>
          <t>x̄x̄x̄Mx̄CCCVII</t>
        </is>
      </c>
      <c r="C39308">
        <f>ROMAN(39307)</f>
        <v/>
      </c>
      <c r="D39308">
        <f>IF(B39308=C39308, "YES", "WRONG")</f>
        <v/>
      </c>
    </row>
    <row r="39309">
      <c r="A39309" t="n">
        <v>39308</v>
      </c>
      <c r="B39309" t="inlineStr">
        <is>
          <t>x̄x̄x̄Mx̄CCCVIII</t>
        </is>
      </c>
      <c r="C39309">
        <f>ROMAN(39308)</f>
        <v/>
      </c>
      <c r="D39309">
        <f>IF(B39309=C39309, "YES", "WRONG")</f>
        <v/>
      </c>
    </row>
    <row r="39310">
      <c r="A39310" t="n">
        <v>39309</v>
      </c>
      <c r="B39310" t="inlineStr">
        <is>
          <t>x̄x̄x̄Mx̄CCCIX</t>
        </is>
      </c>
      <c r="C39310">
        <f>ROMAN(39309)</f>
        <v/>
      </c>
      <c r="D39310">
        <f>IF(B39310=C39310, "YES", "WRONG")</f>
        <v/>
      </c>
    </row>
    <row r="39311">
      <c r="A39311" t="n">
        <v>39310</v>
      </c>
      <c r="B39311" t="inlineStr">
        <is>
          <t>x̄x̄x̄Mx̄CCCX</t>
        </is>
      </c>
      <c r="C39311">
        <f>ROMAN(39310)</f>
        <v/>
      </c>
      <c r="D39311">
        <f>IF(B39311=C39311, "YES", "WRONG")</f>
        <v/>
      </c>
    </row>
    <row r="39312">
      <c r="A39312" t="n">
        <v>39311</v>
      </c>
      <c r="B39312" t="inlineStr">
        <is>
          <t>x̄x̄x̄Mx̄CCCXI</t>
        </is>
      </c>
      <c r="C39312">
        <f>ROMAN(39311)</f>
        <v/>
      </c>
      <c r="D39312">
        <f>IF(B39312=C39312, "YES", "WRONG")</f>
        <v/>
      </c>
    </row>
    <row r="39313">
      <c r="A39313" t="n">
        <v>39312</v>
      </c>
      <c r="B39313" t="inlineStr">
        <is>
          <t>x̄x̄x̄Mx̄CCCXII</t>
        </is>
      </c>
      <c r="C39313">
        <f>ROMAN(39312)</f>
        <v/>
      </c>
      <c r="D39313">
        <f>IF(B39313=C39313, "YES", "WRONG")</f>
        <v/>
      </c>
    </row>
    <row r="39314">
      <c r="A39314" t="n">
        <v>39313</v>
      </c>
      <c r="B39314" t="inlineStr">
        <is>
          <t>x̄x̄x̄Mx̄CCCXIII</t>
        </is>
      </c>
      <c r="C39314">
        <f>ROMAN(39313)</f>
        <v/>
      </c>
      <c r="D39314">
        <f>IF(B39314=C39314, "YES", "WRONG")</f>
        <v/>
      </c>
    </row>
    <row r="39315">
      <c r="A39315" t="n">
        <v>39314</v>
      </c>
      <c r="B39315" t="inlineStr">
        <is>
          <t>x̄x̄x̄Mx̄CCCXIV</t>
        </is>
      </c>
      <c r="C39315">
        <f>ROMAN(39314)</f>
        <v/>
      </c>
      <c r="D39315">
        <f>IF(B39315=C39315, "YES", "WRONG")</f>
        <v/>
      </c>
    </row>
    <row r="39316">
      <c r="A39316" t="n">
        <v>39315</v>
      </c>
      <c r="B39316" t="inlineStr">
        <is>
          <t>x̄x̄x̄Mx̄CCCXV</t>
        </is>
      </c>
      <c r="C39316">
        <f>ROMAN(39315)</f>
        <v/>
      </c>
      <c r="D39316">
        <f>IF(B39316=C39316, "YES", "WRONG")</f>
        <v/>
      </c>
    </row>
    <row r="39317">
      <c r="A39317" t="n">
        <v>39316</v>
      </c>
      <c r="B39317" t="inlineStr">
        <is>
          <t>x̄x̄x̄Mx̄CCCXVI</t>
        </is>
      </c>
      <c r="C39317">
        <f>ROMAN(39316)</f>
        <v/>
      </c>
      <c r="D39317">
        <f>IF(B39317=C39317, "YES", "WRONG")</f>
        <v/>
      </c>
    </row>
    <row r="39318">
      <c r="A39318" t="n">
        <v>39317</v>
      </c>
      <c r="B39318" t="inlineStr">
        <is>
          <t>x̄x̄x̄Mx̄CCCXVII</t>
        </is>
      </c>
      <c r="C39318">
        <f>ROMAN(39317)</f>
        <v/>
      </c>
      <c r="D39318">
        <f>IF(B39318=C39318, "YES", "WRONG")</f>
        <v/>
      </c>
    </row>
    <row r="39319">
      <c r="A39319" t="n">
        <v>39318</v>
      </c>
      <c r="B39319" t="inlineStr">
        <is>
          <t>x̄x̄x̄Mx̄CCCXVIII</t>
        </is>
      </c>
      <c r="C39319">
        <f>ROMAN(39318)</f>
        <v/>
      </c>
      <c r="D39319">
        <f>IF(B39319=C39319, "YES", "WRONG")</f>
        <v/>
      </c>
    </row>
    <row r="39320">
      <c r="A39320" t="n">
        <v>39319</v>
      </c>
      <c r="B39320" t="inlineStr">
        <is>
          <t>x̄x̄x̄Mx̄CCCXIX</t>
        </is>
      </c>
      <c r="C39320">
        <f>ROMAN(39319)</f>
        <v/>
      </c>
      <c r="D39320">
        <f>IF(B39320=C39320, "YES", "WRONG")</f>
        <v/>
      </c>
    </row>
    <row r="39321">
      <c r="A39321" t="n">
        <v>39320</v>
      </c>
      <c r="B39321" t="inlineStr">
        <is>
          <t>x̄x̄x̄Mx̄CCCXX</t>
        </is>
      </c>
      <c r="C39321">
        <f>ROMAN(39320)</f>
        <v/>
      </c>
      <c r="D39321">
        <f>IF(B39321=C39321, "YES", "WRONG")</f>
        <v/>
      </c>
    </row>
    <row r="39322">
      <c r="A39322" t="n">
        <v>39321</v>
      </c>
      <c r="B39322" t="inlineStr">
        <is>
          <t>x̄x̄x̄Mx̄CCCXXI</t>
        </is>
      </c>
      <c r="C39322">
        <f>ROMAN(39321)</f>
        <v/>
      </c>
      <c r="D39322">
        <f>IF(B39322=C39322, "YES", "WRONG")</f>
        <v/>
      </c>
    </row>
    <row r="39323">
      <c r="A39323" t="n">
        <v>39322</v>
      </c>
      <c r="B39323" t="inlineStr">
        <is>
          <t>x̄x̄x̄Mx̄CCCXXII</t>
        </is>
      </c>
      <c r="C39323">
        <f>ROMAN(39322)</f>
        <v/>
      </c>
      <c r="D39323">
        <f>IF(B39323=C39323, "YES", "WRONG")</f>
        <v/>
      </c>
    </row>
    <row r="39324">
      <c r="A39324" t="n">
        <v>39323</v>
      </c>
      <c r="B39324" t="inlineStr">
        <is>
          <t>x̄x̄x̄Mx̄CCCXXIII</t>
        </is>
      </c>
      <c r="C39324">
        <f>ROMAN(39323)</f>
        <v/>
      </c>
      <c r="D39324">
        <f>IF(B39324=C39324, "YES", "WRONG")</f>
        <v/>
      </c>
    </row>
    <row r="39325">
      <c r="A39325" t="n">
        <v>39324</v>
      </c>
      <c r="B39325" t="inlineStr">
        <is>
          <t>x̄x̄x̄Mx̄CCCXXIV</t>
        </is>
      </c>
      <c r="C39325">
        <f>ROMAN(39324)</f>
        <v/>
      </c>
      <c r="D39325">
        <f>IF(B39325=C39325, "YES", "WRONG")</f>
        <v/>
      </c>
    </row>
    <row r="39326">
      <c r="A39326" t="n">
        <v>39325</v>
      </c>
      <c r="B39326" t="inlineStr">
        <is>
          <t>x̄x̄x̄Mx̄CCCXXV</t>
        </is>
      </c>
      <c r="C39326">
        <f>ROMAN(39325)</f>
        <v/>
      </c>
      <c r="D39326">
        <f>IF(B39326=C39326, "YES", "WRONG")</f>
        <v/>
      </c>
    </row>
    <row r="39327">
      <c r="A39327" t="n">
        <v>39326</v>
      </c>
      <c r="B39327" t="inlineStr">
        <is>
          <t>x̄x̄x̄Mx̄CCCXXVI</t>
        </is>
      </c>
      <c r="C39327">
        <f>ROMAN(39326)</f>
        <v/>
      </c>
      <c r="D39327">
        <f>IF(B39327=C39327, "YES", "WRONG")</f>
        <v/>
      </c>
    </row>
    <row r="39328">
      <c r="A39328" t="n">
        <v>39327</v>
      </c>
      <c r="B39328" t="inlineStr">
        <is>
          <t>x̄x̄x̄Mx̄CCCXXVII</t>
        </is>
      </c>
      <c r="C39328">
        <f>ROMAN(39327)</f>
        <v/>
      </c>
      <c r="D39328">
        <f>IF(B39328=C39328, "YES", "WRONG")</f>
        <v/>
      </c>
    </row>
    <row r="39329">
      <c r="A39329" t="n">
        <v>39328</v>
      </c>
      <c r="B39329" t="inlineStr">
        <is>
          <t>x̄x̄x̄Mx̄CCCXXVIII</t>
        </is>
      </c>
      <c r="C39329">
        <f>ROMAN(39328)</f>
        <v/>
      </c>
      <c r="D39329">
        <f>IF(B39329=C39329, "YES", "WRONG")</f>
        <v/>
      </c>
    </row>
    <row r="39330">
      <c r="A39330" t="n">
        <v>39329</v>
      </c>
      <c r="B39330" t="inlineStr">
        <is>
          <t>x̄x̄x̄Mx̄CCCXXIX</t>
        </is>
      </c>
      <c r="C39330">
        <f>ROMAN(39329)</f>
        <v/>
      </c>
      <c r="D39330">
        <f>IF(B39330=C39330, "YES", "WRONG")</f>
        <v/>
      </c>
    </row>
    <row r="39331">
      <c r="A39331" t="n">
        <v>39330</v>
      </c>
      <c r="B39331" t="inlineStr">
        <is>
          <t>x̄x̄x̄Mx̄CCCXXX</t>
        </is>
      </c>
      <c r="C39331">
        <f>ROMAN(39330)</f>
        <v/>
      </c>
      <c r="D39331">
        <f>IF(B39331=C39331, "YES", "WRONG")</f>
        <v/>
      </c>
    </row>
    <row r="39332">
      <c r="A39332" t="n">
        <v>39331</v>
      </c>
      <c r="B39332" t="inlineStr">
        <is>
          <t>x̄x̄x̄Mx̄CCCXXXI</t>
        </is>
      </c>
      <c r="C39332">
        <f>ROMAN(39331)</f>
        <v/>
      </c>
      <c r="D39332">
        <f>IF(B39332=C39332, "YES", "WRONG")</f>
        <v/>
      </c>
    </row>
    <row r="39333">
      <c r="A39333" t="n">
        <v>39332</v>
      </c>
      <c r="B39333" t="inlineStr">
        <is>
          <t>x̄x̄x̄Mx̄CCCXXXII</t>
        </is>
      </c>
      <c r="C39333">
        <f>ROMAN(39332)</f>
        <v/>
      </c>
      <c r="D39333">
        <f>IF(B39333=C39333, "YES", "WRONG")</f>
        <v/>
      </c>
    </row>
    <row r="39334">
      <c r="A39334" t="n">
        <v>39333</v>
      </c>
      <c r="B39334" t="inlineStr">
        <is>
          <t>x̄x̄x̄Mx̄CCCXXXIII</t>
        </is>
      </c>
      <c r="C39334">
        <f>ROMAN(39333)</f>
        <v/>
      </c>
      <c r="D39334">
        <f>IF(B39334=C39334, "YES", "WRONG")</f>
        <v/>
      </c>
    </row>
    <row r="39335">
      <c r="A39335" t="n">
        <v>39334</v>
      </c>
      <c r="B39335" t="inlineStr">
        <is>
          <t>x̄x̄x̄Mx̄CCCXXXIV</t>
        </is>
      </c>
      <c r="C39335">
        <f>ROMAN(39334)</f>
        <v/>
      </c>
      <c r="D39335">
        <f>IF(B39335=C39335, "YES", "WRONG")</f>
        <v/>
      </c>
    </row>
    <row r="39336">
      <c r="A39336" t="n">
        <v>39335</v>
      </c>
      <c r="B39336" t="inlineStr">
        <is>
          <t>x̄x̄x̄Mx̄CCCXXXV</t>
        </is>
      </c>
      <c r="C39336">
        <f>ROMAN(39335)</f>
        <v/>
      </c>
      <c r="D39336">
        <f>IF(B39336=C39336, "YES", "WRONG")</f>
        <v/>
      </c>
    </row>
    <row r="39337">
      <c r="A39337" t="n">
        <v>39336</v>
      </c>
      <c r="B39337" t="inlineStr">
        <is>
          <t>x̄x̄x̄Mx̄CCCXXXVI</t>
        </is>
      </c>
      <c r="C39337">
        <f>ROMAN(39336)</f>
        <v/>
      </c>
      <c r="D39337">
        <f>IF(B39337=C39337, "YES", "WRONG")</f>
        <v/>
      </c>
    </row>
    <row r="39338">
      <c r="A39338" t="n">
        <v>39337</v>
      </c>
      <c r="B39338" t="inlineStr">
        <is>
          <t>x̄x̄x̄Mx̄CCCXXXVII</t>
        </is>
      </c>
      <c r="C39338">
        <f>ROMAN(39337)</f>
        <v/>
      </c>
      <c r="D39338">
        <f>IF(B39338=C39338, "YES", "WRONG")</f>
        <v/>
      </c>
    </row>
    <row r="39339">
      <c r="A39339" t="n">
        <v>39338</v>
      </c>
      <c r="B39339" t="inlineStr">
        <is>
          <t>x̄x̄x̄Mx̄CCCXXXVIII</t>
        </is>
      </c>
      <c r="C39339">
        <f>ROMAN(39338)</f>
        <v/>
      </c>
      <c r="D39339">
        <f>IF(B39339=C39339, "YES", "WRONG")</f>
        <v/>
      </c>
    </row>
    <row r="39340">
      <c r="A39340" t="n">
        <v>39339</v>
      </c>
      <c r="B39340" t="inlineStr">
        <is>
          <t>x̄x̄x̄Mx̄CCCXXXIX</t>
        </is>
      </c>
      <c r="C39340">
        <f>ROMAN(39339)</f>
        <v/>
      </c>
      <c r="D39340">
        <f>IF(B39340=C39340, "YES", "WRONG")</f>
        <v/>
      </c>
    </row>
    <row r="39341">
      <c r="A39341" t="n">
        <v>39340</v>
      </c>
      <c r="B39341" t="inlineStr">
        <is>
          <t>x̄x̄x̄Mx̄CCCXL</t>
        </is>
      </c>
      <c r="C39341">
        <f>ROMAN(39340)</f>
        <v/>
      </c>
      <c r="D39341">
        <f>IF(B39341=C39341, "YES", "WRONG")</f>
        <v/>
      </c>
    </row>
    <row r="39342">
      <c r="A39342" t="n">
        <v>39341</v>
      </c>
      <c r="B39342" t="inlineStr">
        <is>
          <t>x̄x̄x̄Mx̄CCCXLI</t>
        </is>
      </c>
      <c r="C39342">
        <f>ROMAN(39341)</f>
        <v/>
      </c>
      <c r="D39342">
        <f>IF(B39342=C39342, "YES", "WRONG")</f>
        <v/>
      </c>
    </row>
    <row r="39343">
      <c r="A39343" t="n">
        <v>39342</v>
      </c>
      <c r="B39343" t="inlineStr">
        <is>
          <t>x̄x̄x̄Mx̄CCCXLII</t>
        </is>
      </c>
      <c r="C39343">
        <f>ROMAN(39342)</f>
        <v/>
      </c>
      <c r="D39343">
        <f>IF(B39343=C39343, "YES", "WRONG")</f>
        <v/>
      </c>
    </row>
    <row r="39344">
      <c r="A39344" t="n">
        <v>39343</v>
      </c>
      <c r="B39344" t="inlineStr">
        <is>
          <t>x̄x̄x̄Mx̄CCCXLIII</t>
        </is>
      </c>
      <c r="C39344">
        <f>ROMAN(39343)</f>
        <v/>
      </c>
      <c r="D39344">
        <f>IF(B39344=C39344, "YES", "WRONG")</f>
        <v/>
      </c>
    </row>
    <row r="39345">
      <c r="A39345" t="n">
        <v>39344</v>
      </c>
      <c r="B39345" t="inlineStr">
        <is>
          <t>x̄x̄x̄Mx̄CCCXLIV</t>
        </is>
      </c>
      <c r="C39345">
        <f>ROMAN(39344)</f>
        <v/>
      </c>
      <c r="D39345">
        <f>IF(B39345=C39345, "YES", "WRONG")</f>
        <v/>
      </c>
    </row>
    <row r="39346">
      <c r="A39346" t="n">
        <v>39345</v>
      </c>
      <c r="B39346" t="inlineStr">
        <is>
          <t>x̄x̄x̄Mx̄CCCXLV</t>
        </is>
      </c>
      <c r="C39346">
        <f>ROMAN(39345)</f>
        <v/>
      </c>
      <c r="D39346">
        <f>IF(B39346=C39346, "YES", "WRONG")</f>
        <v/>
      </c>
    </row>
    <row r="39347">
      <c r="A39347" t="n">
        <v>39346</v>
      </c>
      <c r="B39347" t="inlineStr">
        <is>
          <t>x̄x̄x̄Mx̄CCCXLVI</t>
        </is>
      </c>
      <c r="C39347">
        <f>ROMAN(39346)</f>
        <v/>
      </c>
      <c r="D39347">
        <f>IF(B39347=C39347, "YES", "WRONG")</f>
        <v/>
      </c>
    </row>
    <row r="39348">
      <c r="A39348" t="n">
        <v>39347</v>
      </c>
      <c r="B39348" t="inlineStr">
        <is>
          <t>x̄x̄x̄Mx̄CCCXLVII</t>
        </is>
      </c>
      <c r="C39348">
        <f>ROMAN(39347)</f>
        <v/>
      </c>
      <c r="D39348">
        <f>IF(B39348=C39348, "YES", "WRONG")</f>
        <v/>
      </c>
    </row>
    <row r="39349">
      <c r="A39349" t="n">
        <v>39348</v>
      </c>
      <c r="B39349" t="inlineStr">
        <is>
          <t>x̄x̄x̄Mx̄CCCXLVIII</t>
        </is>
      </c>
      <c r="C39349">
        <f>ROMAN(39348)</f>
        <v/>
      </c>
      <c r="D39349">
        <f>IF(B39349=C39349, "YES", "WRONG")</f>
        <v/>
      </c>
    </row>
    <row r="39350">
      <c r="A39350" t="n">
        <v>39349</v>
      </c>
      <c r="B39350" t="inlineStr">
        <is>
          <t>x̄x̄x̄Mx̄CCCXLIX</t>
        </is>
      </c>
      <c r="C39350">
        <f>ROMAN(39349)</f>
        <v/>
      </c>
      <c r="D39350">
        <f>IF(B39350=C39350, "YES", "WRONG")</f>
        <v/>
      </c>
    </row>
    <row r="39351">
      <c r="A39351" t="n">
        <v>39350</v>
      </c>
      <c r="B39351" t="inlineStr">
        <is>
          <t>x̄x̄x̄Mx̄CCCL</t>
        </is>
      </c>
      <c r="C39351">
        <f>ROMAN(39350)</f>
        <v/>
      </c>
      <c r="D39351">
        <f>IF(B39351=C39351, "YES", "WRONG")</f>
        <v/>
      </c>
    </row>
    <row r="39352">
      <c r="A39352" t="n">
        <v>39351</v>
      </c>
      <c r="B39352" t="inlineStr">
        <is>
          <t>x̄x̄x̄Mx̄CCCLI</t>
        </is>
      </c>
      <c r="C39352">
        <f>ROMAN(39351)</f>
        <v/>
      </c>
      <c r="D39352">
        <f>IF(B39352=C39352, "YES", "WRONG")</f>
        <v/>
      </c>
    </row>
    <row r="39353">
      <c r="A39353" t="n">
        <v>39352</v>
      </c>
      <c r="B39353" t="inlineStr">
        <is>
          <t>x̄x̄x̄Mx̄CCCLII</t>
        </is>
      </c>
      <c r="C39353">
        <f>ROMAN(39352)</f>
        <v/>
      </c>
      <c r="D39353">
        <f>IF(B39353=C39353, "YES", "WRONG")</f>
        <v/>
      </c>
    </row>
    <row r="39354">
      <c r="A39354" t="n">
        <v>39353</v>
      </c>
      <c r="B39354" t="inlineStr">
        <is>
          <t>x̄x̄x̄Mx̄CCCLIII</t>
        </is>
      </c>
      <c r="C39354">
        <f>ROMAN(39353)</f>
        <v/>
      </c>
      <c r="D39354">
        <f>IF(B39354=C39354, "YES", "WRONG")</f>
        <v/>
      </c>
    </row>
    <row r="39355">
      <c r="A39355" t="n">
        <v>39354</v>
      </c>
      <c r="B39355" t="inlineStr">
        <is>
          <t>x̄x̄x̄Mx̄CCCLIV</t>
        </is>
      </c>
      <c r="C39355">
        <f>ROMAN(39354)</f>
        <v/>
      </c>
      <c r="D39355">
        <f>IF(B39355=C39355, "YES", "WRONG")</f>
        <v/>
      </c>
    </row>
    <row r="39356">
      <c r="A39356" t="n">
        <v>39355</v>
      </c>
      <c r="B39356" t="inlineStr">
        <is>
          <t>x̄x̄x̄Mx̄CCCLV</t>
        </is>
      </c>
      <c r="C39356">
        <f>ROMAN(39355)</f>
        <v/>
      </c>
      <c r="D39356">
        <f>IF(B39356=C39356, "YES", "WRONG")</f>
        <v/>
      </c>
    </row>
    <row r="39357">
      <c r="A39357" t="n">
        <v>39356</v>
      </c>
      <c r="B39357" t="inlineStr">
        <is>
          <t>x̄x̄x̄Mx̄CCCLVI</t>
        </is>
      </c>
      <c r="C39357">
        <f>ROMAN(39356)</f>
        <v/>
      </c>
      <c r="D39357">
        <f>IF(B39357=C39357, "YES", "WRONG")</f>
        <v/>
      </c>
    </row>
    <row r="39358">
      <c r="A39358" t="n">
        <v>39357</v>
      </c>
      <c r="B39358" t="inlineStr">
        <is>
          <t>x̄x̄x̄Mx̄CCCLVII</t>
        </is>
      </c>
      <c r="C39358">
        <f>ROMAN(39357)</f>
        <v/>
      </c>
      <c r="D39358">
        <f>IF(B39358=C39358, "YES", "WRONG")</f>
        <v/>
      </c>
    </row>
    <row r="39359">
      <c r="A39359" t="n">
        <v>39358</v>
      </c>
      <c r="B39359" t="inlineStr">
        <is>
          <t>x̄x̄x̄Mx̄CCCLVIII</t>
        </is>
      </c>
      <c r="C39359">
        <f>ROMAN(39358)</f>
        <v/>
      </c>
      <c r="D39359">
        <f>IF(B39359=C39359, "YES", "WRONG")</f>
        <v/>
      </c>
    </row>
    <row r="39360">
      <c r="A39360" t="n">
        <v>39359</v>
      </c>
      <c r="B39360" t="inlineStr">
        <is>
          <t>x̄x̄x̄Mx̄CCCLIX</t>
        </is>
      </c>
      <c r="C39360">
        <f>ROMAN(39359)</f>
        <v/>
      </c>
      <c r="D39360">
        <f>IF(B39360=C39360, "YES", "WRONG")</f>
        <v/>
      </c>
    </row>
    <row r="39361">
      <c r="A39361" t="n">
        <v>39360</v>
      </c>
      <c r="B39361" t="inlineStr">
        <is>
          <t>x̄x̄x̄Mx̄CCCLX</t>
        </is>
      </c>
      <c r="C39361">
        <f>ROMAN(39360)</f>
        <v/>
      </c>
      <c r="D39361">
        <f>IF(B39361=C39361, "YES", "WRONG")</f>
        <v/>
      </c>
    </row>
    <row r="39362">
      <c r="A39362" t="n">
        <v>39361</v>
      </c>
      <c r="B39362" t="inlineStr">
        <is>
          <t>x̄x̄x̄Mx̄CCCLXI</t>
        </is>
      </c>
      <c r="C39362">
        <f>ROMAN(39361)</f>
        <v/>
      </c>
      <c r="D39362">
        <f>IF(B39362=C39362, "YES", "WRONG")</f>
        <v/>
      </c>
    </row>
    <row r="39363">
      <c r="A39363" t="n">
        <v>39362</v>
      </c>
      <c r="B39363" t="inlineStr">
        <is>
          <t>x̄x̄x̄Mx̄CCCLXII</t>
        </is>
      </c>
      <c r="C39363">
        <f>ROMAN(39362)</f>
        <v/>
      </c>
      <c r="D39363">
        <f>IF(B39363=C39363, "YES", "WRONG")</f>
        <v/>
      </c>
    </row>
    <row r="39364">
      <c r="A39364" t="n">
        <v>39363</v>
      </c>
      <c r="B39364" t="inlineStr">
        <is>
          <t>x̄x̄x̄Mx̄CCCLXIII</t>
        </is>
      </c>
      <c r="C39364">
        <f>ROMAN(39363)</f>
        <v/>
      </c>
      <c r="D39364">
        <f>IF(B39364=C39364, "YES", "WRONG")</f>
        <v/>
      </c>
    </row>
    <row r="39365">
      <c r="A39365" t="n">
        <v>39364</v>
      </c>
      <c r="B39365" t="inlineStr">
        <is>
          <t>x̄x̄x̄Mx̄CCCLXIV</t>
        </is>
      </c>
      <c r="C39365">
        <f>ROMAN(39364)</f>
        <v/>
      </c>
      <c r="D39365">
        <f>IF(B39365=C39365, "YES", "WRONG")</f>
        <v/>
      </c>
    </row>
    <row r="39366">
      <c r="A39366" t="n">
        <v>39365</v>
      </c>
      <c r="B39366" t="inlineStr">
        <is>
          <t>x̄x̄x̄Mx̄CCCLXV</t>
        </is>
      </c>
      <c r="C39366">
        <f>ROMAN(39365)</f>
        <v/>
      </c>
      <c r="D39366">
        <f>IF(B39366=C39366, "YES", "WRONG")</f>
        <v/>
      </c>
    </row>
    <row r="39367">
      <c r="A39367" t="n">
        <v>39366</v>
      </c>
      <c r="B39367" t="inlineStr">
        <is>
          <t>x̄x̄x̄Mx̄CCCLXVI</t>
        </is>
      </c>
      <c r="C39367">
        <f>ROMAN(39366)</f>
        <v/>
      </c>
      <c r="D39367">
        <f>IF(B39367=C39367, "YES", "WRONG")</f>
        <v/>
      </c>
    </row>
    <row r="39368">
      <c r="A39368" t="n">
        <v>39367</v>
      </c>
      <c r="B39368" t="inlineStr">
        <is>
          <t>x̄x̄x̄Mx̄CCCLXVII</t>
        </is>
      </c>
      <c r="C39368">
        <f>ROMAN(39367)</f>
        <v/>
      </c>
      <c r="D39368">
        <f>IF(B39368=C39368, "YES", "WRONG")</f>
        <v/>
      </c>
    </row>
    <row r="39369">
      <c r="A39369" t="n">
        <v>39368</v>
      </c>
      <c r="B39369" t="inlineStr">
        <is>
          <t>x̄x̄x̄Mx̄CCCLXVIII</t>
        </is>
      </c>
      <c r="C39369">
        <f>ROMAN(39368)</f>
        <v/>
      </c>
      <c r="D39369">
        <f>IF(B39369=C39369, "YES", "WRONG")</f>
        <v/>
      </c>
    </row>
    <row r="39370">
      <c r="A39370" t="n">
        <v>39369</v>
      </c>
      <c r="B39370" t="inlineStr">
        <is>
          <t>x̄x̄x̄Mx̄CCCLXIX</t>
        </is>
      </c>
      <c r="C39370">
        <f>ROMAN(39369)</f>
        <v/>
      </c>
      <c r="D39370">
        <f>IF(B39370=C39370, "YES", "WRONG")</f>
        <v/>
      </c>
    </row>
    <row r="39371">
      <c r="A39371" t="n">
        <v>39370</v>
      </c>
      <c r="B39371" t="inlineStr">
        <is>
          <t>x̄x̄x̄Mx̄CCCLXX</t>
        </is>
      </c>
      <c r="C39371">
        <f>ROMAN(39370)</f>
        <v/>
      </c>
      <c r="D39371">
        <f>IF(B39371=C39371, "YES", "WRONG")</f>
        <v/>
      </c>
    </row>
    <row r="39372">
      <c r="A39372" t="n">
        <v>39371</v>
      </c>
      <c r="B39372" t="inlineStr">
        <is>
          <t>x̄x̄x̄Mx̄CCCLXXI</t>
        </is>
      </c>
      <c r="C39372">
        <f>ROMAN(39371)</f>
        <v/>
      </c>
      <c r="D39372">
        <f>IF(B39372=C39372, "YES", "WRONG")</f>
        <v/>
      </c>
    </row>
    <row r="39373">
      <c r="A39373" t="n">
        <v>39372</v>
      </c>
      <c r="B39373" t="inlineStr">
        <is>
          <t>x̄x̄x̄Mx̄CCCLXXII</t>
        </is>
      </c>
      <c r="C39373">
        <f>ROMAN(39372)</f>
        <v/>
      </c>
      <c r="D39373">
        <f>IF(B39373=C39373, "YES", "WRONG")</f>
        <v/>
      </c>
    </row>
    <row r="39374">
      <c r="A39374" t="n">
        <v>39373</v>
      </c>
      <c r="B39374" t="inlineStr">
        <is>
          <t>x̄x̄x̄Mx̄CCCLXXIII</t>
        </is>
      </c>
      <c r="C39374">
        <f>ROMAN(39373)</f>
        <v/>
      </c>
      <c r="D39374">
        <f>IF(B39374=C39374, "YES", "WRONG")</f>
        <v/>
      </c>
    </row>
    <row r="39375">
      <c r="A39375" t="n">
        <v>39374</v>
      </c>
      <c r="B39375" t="inlineStr">
        <is>
          <t>x̄x̄x̄Mx̄CCCLXXIV</t>
        </is>
      </c>
      <c r="C39375">
        <f>ROMAN(39374)</f>
        <v/>
      </c>
      <c r="D39375">
        <f>IF(B39375=C39375, "YES", "WRONG")</f>
        <v/>
      </c>
    </row>
    <row r="39376">
      <c r="A39376" t="n">
        <v>39375</v>
      </c>
      <c r="B39376" t="inlineStr">
        <is>
          <t>x̄x̄x̄Mx̄CCCLXXV</t>
        </is>
      </c>
      <c r="C39376">
        <f>ROMAN(39375)</f>
        <v/>
      </c>
      <c r="D39376">
        <f>IF(B39376=C39376, "YES", "WRONG")</f>
        <v/>
      </c>
    </row>
    <row r="39377">
      <c r="A39377" t="n">
        <v>39376</v>
      </c>
      <c r="B39377" t="inlineStr">
        <is>
          <t>x̄x̄x̄Mx̄CCCLXXVI</t>
        </is>
      </c>
      <c r="C39377">
        <f>ROMAN(39376)</f>
        <v/>
      </c>
      <c r="D39377">
        <f>IF(B39377=C39377, "YES", "WRONG")</f>
        <v/>
      </c>
    </row>
    <row r="39378">
      <c r="A39378" t="n">
        <v>39377</v>
      </c>
      <c r="B39378" t="inlineStr">
        <is>
          <t>x̄x̄x̄Mx̄CCCLXXVII</t>
        </is>
      </c>
      <c r="C39378">
        <f>ROMAN(39377)</f>
        <v/>
      </c>
      <c r="D39378">
        <f>IF(B39378=C39378, "YES", "WRONG")</f>
        <v/>
      </c>
    </row>
    <row r="39379">
      <c r="A39379" t="n">
        <v>39378</v>
      </c>
      <c r="B39379" t="inlineStr">
        <is>
          <t>x̄x̄x̄Mx̄CCCLXXVIII</t>
        </is>
      </c>
      <c r="C39379">
        <f>ROMAN(39378)</f>
        <v/>
      </c>
      <c r="D39379">
        <f>IF(B39379=C39379, "YES", "WRONG")</f>
        <v/>
      </c>
    </row>
    <row r="39380">
      <c r="A39380" t="n">
        <v>39379</v>
      </c>
      <c r="B39380" t="inlineStr">
        <is>
          <t>x̄x̄x̄Mx̄CCCLXXIX</t>
        </is>
      </c>
      <c r="C39380">
        <f>ROMAN(39379)</f>
        <v/>
      </c>
      <c r="D39380">
        <f>IF(B39380=C39380, "YES", "WRONG")</f>
        <v/>
      </c>
    </row>
    <row r="39381">
      <c r="A39381" t="n">
        <v>39380</v>
      </c>
      <c r="B39381" t="inlineStr">
        <is>
          <t>x̄x̄x̄Mx̄CCCLXXX</t>
        </is>
      </c>
      <c r="C39381">
        <f>ROMAN(39380)</f>
        <v/>
      </c>
      <c r="D39381">
        <f>IF(B39381=C39381, "YES", "WRONG")</f>
        <v/>
      </c>
    </row>
    <row r="39382">
      <c r="A39382" t="n">
        <v>39381</v>
      </c>
      <c r="B39382" t="inlineStr">
        <is>
          <t>x̄x̄x̄Mx̄CCCLXXXI</t>
        </is>
      </c>
      <c r="C39382">
        <f>ROMAN(39381)</f>
        <v/>
      </c>
      <c r="D39382">
        <f>IF(B39382=C39382, "YES", "WRONG")</f>
        <v/>
      </c>
    </row>
    <row r="39383">
      <c r="A39383" t="n">
        <v>39382</v>
      </c>
      <c r="B39383" t="inlineStr">
        <is>
          <t>x̄x̄x̄Mx̄CCCLXXXII</t>
        </is>
      </c>
      <c r="C39383">
        <f>ROMAN(39382)</f>
        <v/>
      </c>
      <c r="D39383">
        <f>IF(B39383=C39383, "YES", "WRONG")</f>
        <v/>
      </c>
    </row>
    <row r="39384">
      <c r="A39384" t="n">
        <v>39383</v>
      </c>
      <c r="B39384" t="inlineStr">
        <is>
          <t>x̄x̄x̄Mx̄CCCLXXXIII</t>
        </is>
      </c>
      <c r="C39384">
        <f>ROMAN(39383)</f>
        <v/>
      </c>
      <c r="D39384">
        <f>IF(B39384=C39384, "YES", "WRONG")</f>
        <v/>
      </c>
    </row>
    <row r="39385">
      <c r="A39385" t="n">
        <v>39384</v>
      </c>
      <c r="B39385" t="inlineStr">
        <is>
          <t>x̄x̄x̄Mx̄CCCLXXXIV</t>
        </is>
      </c>
      <c r="C39385">
        <f>ROMAN(39384)</f>
        <v/>
      </c>
      <c r="D39385">
        <f>IF(B39385=C39385, "YES", "WRONG")</f>
        <v/>
      </c>
    </row>
    <row r="39386">
      <c r="A39386" t="n">
        <v>39385</v>
      </c>
      <c r="B39386" t="inlineStr">
        <is>
          <t>x̄x̄x̄Mx̄CCCLXXXV</t>
        </is>
      </c>
      <c r="C39386">
        <f>ROMAN(39385)</f>
        <v/>
      </c>
      <c r="D39386">
        <f>IF(B39386=C39386, "YES", "WRONG")</f>
        <v/>
      </c>
    </row>
    <row r="39387">
      <c r="A39387" t="n">
        <v>39386</v>
      </c>
      <c r="B39387" t="inlineStr">
        <is>
          <t>x̄x̄x̄Mx̄CCCLXXXVI</t>
        </is>
      </c>
      <c r="C39387">
        <f>ROMAN(39386)</f>
        <v/>
      </c>
      <c r="D39387">
        <f>IF(B39387=C39387, "YES", "WRONG")</f>
        <v/>
      </c>
    </row>
    <row r="39388">
      <c r="A39388" t="n">
        <v>39387</v>
      </c>
      <c r="B39388" t="inlineStr">
        <is>
          <t>x̄x̄x̄Mx̄CCCLXXXVII</t>
        </is>
      </c>
      <c r="C39388">
        <f>ROMAN(39387)</f>
        <v/>
      </c>
      <c r="D39388">
        <f>IF(B39388=C39388, "YES", "WRONG")</f>
        <v/>
      </c>
    </row>
    <row r="39389">
      <c r="A39389" t="n">
        <v>39388</v>
      </c>
      <c r="B39389" t="inlineStr">
        <is>
          <t>x̄x̄x̄Mx̄CCCLXXXVIII</t>
        </is>
      </c>
      <c r="C39389">
        <f>ROMAN(39388)</f>
        <v/>
      </c>
      <c r="D39389">
        <f>IF(B39389=C39389, "YES", "WRONG")</f>
        <v/>
      </c>
    </row>
    <row r="39390">
      <c r="A39390" t="n">
        <v>39389</v>
      </c>
      <c r="B39390" t="inlineStr">
        <is>
          <t>x̄x̄x̄Mx̄CCCLXXXIX</t>
        </is>
      </c>
      <c r="C39390">
        <f>ROMAN(39389)</f>
        <v/>
      </c>
      <c r="D39390">
        <f>IF(B39390=C39390, "YES", "WRONG")</f>
        <v/>
      </c>
    </row>
    <row r="39391">
      <c r="A39391" t="n">
        <v>39390</v>
      </c>
      <c r="B39391" t="inlineStr">
        <is>
          <t>x̄x̄x̄Mx̄CCCXC</t>
        </is>
      </c>
      <c r="C39391">
        <f>ROMAN(39390)</f>
        <v/>
      </c>
      <c r="D39391">
        <f>IF(B39391=C39391, "YES", "WRONG")</f>
        <v/>
      </c>
    </row>
    <row r="39392">
      <c r="A39392" t="n">
        <v>39391</v>
      </c>
      <c r="B39392" t="inlineStr">
        <is>
          <t>x̄x̄x̄Mx̄CCCXCI</t>
        </is>
      </c>
      <c r="C39392">
        <f>ROMAN(39391)</f>
        <v/>
      </c>
      <c r="D39392">
        <f>IF(B39392=C39392, "YES", "WRONG")</f>
        <v/>
      </c>
    </row>
    <row r="39393">
      <c r="A39393" t="n">
        <v>39392</v>
      </c>
      <c r="B39393" t="inlineStr">
        <is>
          <t>x̄x̄x̄Mx̄CCCXCII</t>
        </is>
      </c>
      <c r="C39393">
        <f>ROMAN(39392)</f>
        <v/>
      </c>
      <c r="D39393">
        <f>IF(B39393=C39393, "YES", "WRONG")</f>
        <v/>
      </c>
    </row>
    <row r="39394">
      <c r="A39394" t="n">
        <v>39393</v>
      </c>
      <c r="B39394" t="inlineStr">
        <is>
          <t>x̄x̄x̄Mx̄CCCXCIII</t>
        </is>
      </c>
      <c r="C39394">
        <f>ROMAN(39393)</f>
        <v/>
      </c>
      <c r="D39394">
        <f>IF(B39394=C39394, "YES", "WRONG")</f>
        <v/>
      </c>
    </row>
    <row r="39395">
      <c r="A39395" t="n">
        <v>39394</v>
      </c>
      <c r="B39395" t="inlineStr">
        <is>
          <t>x̄x̄x̄Mx̄CCCXCIV</t>
        </is>
      </c>
      <c r="C39395">
        <f>ROMAN(39394)</f>
        <v/>
      </c>
      <c r="D39395">
        <f>IF(B39395=C39395, "YES", "WRONG")</f>
        <v/>
      </c>
    </row>
    <row r="39396">
      <c r="A39396" t="n">
        <v>39395</v>
      </c>
      <c r="B39396" t="inlineStr">
        <is>
          <t>x̄x̄x̄Mx̄CCCXCV</t>
        </is>
      </c>
      <c r="C39396">
        <f>ROMAN(39395)</f>
        <v/>
      </c>
      <c r="D39396">
        <f>IF(B39396=C39396, "YES", "WRONG")</f>
        <v/>
      </c>
    </row>
    <row r="39397">
      <c r="A39397" t="n">
        <v>39396</v>
      </c>
      <c r="B39397" t="inlineStr">
        <is>
          <t>x̄x̄x̄Mx̄CCCXCVI</t>
        </is>
      </c>
      <c r="C39397">
        <f>ROMAN(39396)</f>
        <v/>
      </c>
      <c r="D39397">
        <f>IF(B39397=C39397, "YES", "WRONG")</f>
        <v/>
      </c>
    </row>
    <row r="39398">
      <c r="A39398" t="n">
        <v>39397</v>
      </c>
      <c r="B39398" t="inlineStr">
        <is>
          <t>x̄x̄x̄Mx̄CCCXCVII</t>
        </is>
      </c>
      <c r="C39398">
        <f>ROMAN(39397)</f>
        <v/>
      </c>
      <c r="D39398">
        <f>IF(B39398=C39398, "YES", "WRONG")</f>
        <v/>
      </c>
    </row>
    <row r="39399">
      <c r="A39399" t="n">
        <v>39398</v>
      </c>
      <c r="B39399" t="inlineStr">
        <is>
          <t>x̄x̄x̄Mx̄CCCXCVIII</t>
        </is>
      </c>
      <c r="C39399">
        <f>ROMAN(39398)</f>
        <v/>
      </c>
      <c r="D39399">
        <f>IF(B39399=C39399, "YES", "WRONG")</f>
        <v/>
      </c>
    </row>
    <row r="39400">
      <c r="A39400" t="n">
        <v>39399</v>
      </c>
      <c r="B39400" t="inlineStr">
        <is>
          <t>x̄x̄x̄Mx̄CCCXCIX</t>
        </is>
      </c>
      <c r="C39400">
        <f>ROMAN(39399)</f>
        <v/>
      </c>
      <c r="D39400">
        <f>IF(B39400=C39400, "YES", "WRONG")</f>
        <v/>
      </c>
    </row>
    <row r="39401">
      <c r="A39401" t="n">
        <v>39400</v>
      </c>
      <c r="B39401" t="inlineStr">
        <is>
          <t>x̄x̄x̄Mx̄CD</t>
        </is>
      </c>
      <c r="C39401">
        <f>ROMAN(39400)</f>
        <v/>
      </c>
      <c r="D39401">
        <f>IF(B39401=C39401, "YES", "WRONG")</f>
        <v/>
      </c>
    </row>
    <row r="39402">
      <c r="A39402" t="n">
        <v>39401</v>
      </c>
      <c r="B39402" t="inlineStr">
        <is>
          <t>x̄x̄x̄Mx̄CDI</t>
        </is>
      </c>
      <c r="C39402">
        <f>ROMAN(39401)</f>
        <v/>
      </c>
      <c r="D39402">
        <f>IF(B39402=C39402, "YES", "WRONG")</f>
        <v/>
      </c>
    </row>
    <row r="39403">
      <c r="A39403" t="n">
        <v>39402</v>
      </c>
      <c r="B39403" t="inlineStr">
        <is>
          <t>x̄x̄x̄Mx̄CDII</t>
        </is>
      </c>
      <c r="C39403">
        <f>ROMAN(39402)</f>
        <v/>
      </c>
      <c r="D39403">
        <f>IF(B39403=C39403, "YES", "WRONG")</f>
        <v/>
      </c>
    </row>
    <row r="39404">
      <c r="A39404" t="n">
        <v>39403</v>
      </c>
      <c r="B39404" t="inlineStr">
        <is>
          <t>x̄x̄x̄Mx̄CDIII</t>
        </is>
      </c>
      <c r="C39404">
        <f>ROMAN(39403)</f>
        <v/>
      </c>
      <c r="D39404">
        <f>IF(B39404=C39404, "YES", "WRONG")</f>
        <v/>
      </c>
    </row>
    <row r="39405">
      <c r="A39405" t="n">
        <v>39404</v>
      </c>
      <c r="B39405" t="inlineStr">
        <is>
          <t>x̄x̄x̄Mx̄CDIV</t>
        </is>
      </c>
      <c r="C39405">
        <f>ROMAN(39404)</f>
        <v/>
      </c>
      <c r="D39405">
        <f>IF(B39405=C39405, "YES", "WRONG")</f>
        <v/>
      </c>
    </row>
    <row r="39406">
      <c r="A39406" t="n">
        <v>39405</v>
      </c>
      <c r="B39406" t="inlineStr">
        <is>
          <t>x̄x̄x̄Mx̄CDV</t>
        </is>
      </c>
      <c r="C39406">
        <f>ROMAN(39405)</f>
        <v/>
      </c>
      <c r="D39406">
        <f>IF(B39406=C39406, "YES", "WRONG")</f>
        <v/>
      </c>
    </row>
    <row r="39407">
      <c r="A39407" t="n">
        <v>39406</v>
      </c>
      <c r="B39407" t="inlineStr">
        <is>
          <t>x̄x̄x̄Mx̄CDVI</t>
        </is>
      </c>
      <c r="C39407">
        <f>ROMAN(39406)</f>
        <v/>
      </c>
      <c r="D39407">
        <f>IF(B39407=C39407, "YES", "WRONG")</f>
        <v/>
      </c>
    </row>
    <row r="39408">
      <c r="A39408" t="n">
        <v>39407</v>
      </c>
      <c r="B39408" t="inlineStr">
        <is>
          <t>x̄x̄x̄Mx̄CDVII</t>
        </is>
      </c>
      <c r="C39408">
        <f>ROMAN(39407)</f>
        <v/>
      </c>
      <c r="D39408">
        <f>IF(B39408=C39408, "YES", "WRONG")</f>
        <v/>
      </c>
    </row>
    <row r="39409">
      <c r="A39409" t="n">
        <v>39408</v>
      </c>
      <c r="B39409" t="inlineStr">
        <is>
          <t>x̄x̄x̄Mx̄CDVIII</t>
        </is>
      </c>
      <c r="C39409">
        <f>ROMAN(39408)</f>
        <v/>
      </c>
      <c r="D39409">
        <f>IF(B39409=C39409, "YES", "WRONG")</f>
        <v/>
      </c>
    </row>
    <row r="39410">
      <c r="A39410" t="n">
        <v>39409</v>
      </c>
      <c r="B39410" t="inlineStr">
        <is>
          <t>x̄x̄x̄Mx̄CDIX</t>
        </is>
      </c>
      <c r="C39410">
        <f>ROMAN(39409)</f>
        <v/>
      </c>
      <c r="D39410">
        <f>IF(B39410=C39410, "YES", "WRONG")</f>
        <v/>
      </c>
    </row>
    <row r="39411">
      <c r="A39411" t="n">
        <v>39410</v>
      </c>
      <c r="B39411" t="inlineStr">
        <is>
          <t>x̄x̄x̄Mx̄CDX</t>
        </is>
      </c>
      <c r="C39411">
        <f>ROMAN(39410)</f>
        <v/>
      </c>
      <c r="D39411">
        <f>IF(B39411=C39411, "YES", "WRONG")</f>
        <v/>
      </c>
    </row>
    <row r="39412">
      <c r="A39412" t="n">
        <v>39411</v>
      </c>
      <c r="B39412" t="inlineStr">
        <is>
          <t>x̄x̄x̄Mx̄CDXI</t>
        </is>
      </c>
      <c r="C39412">
        <f>ROMAN(39411)</f>
        <v/>
      </c>
      <c r="D39412">
        <f>IF(B39412=C39412, "YES", "WRONG")</f>
        <v/>
      </c>
    </row>
    <row r="39413">
      <c r="A39413" t="n">
        <v>39412</v>
      </c>
      <c r="B39413" t="inlineStr">
        <is>
          <t>x̄x̄x̄Mx̄CDXII</t>
        </is>
      </c>
      <c r="C39413">
        <f>ROMAN(39412)</f>
        <v/>
      </c>
      <c r="D39413">
        <f>IF(B39413=C39413, "YES", "WRONG")</f>
        <v/>
      </c>
    </row>
    <row r="39414">
      <c r="A39414" t="n">
        <v>39413</v>
      </c>
      <c r="B39414" t="inlineStr">
        <is>
          <t>x̄x̄x̄Mx̄CDXIII</t>
        </is>
      </c>
      <c r="C39414">
        <f>ROMAN(39413)</f>
        <v/>
      </c>
      <c r="D39414">
        <f>IF(B39414=C39414, "YES", "WRONG")</f>
        <v/>
      </c>
    </row>
    <row r="39415">
      <c r="A39415" t="n">
        <v>39414</v>
      </c>
      <c r="B39415" t="inlineStr">
        <is>
          <t>x̄x̄x̄Mx̄CDXIV</t>
        </is>
      </c>
      <c r="C39415">
        <f>ROMAN(39414)</f>
        <v/>
      </c>
      <c r="D39415">
        <f>IF(B39415=C39415, "YES", "WRONG")</f>
        <v/>
      </c>
    </row>
    <row r="39416">
      <c r="A39416" t="n">
        <v>39415</v>
      </c>
      <c r="B39416" t="inlineStr">
        <is>
          <t>x̄x̄x̄Mx̄CDXV</t>
        </is>
      </c>
      <c r="C39416">
        <f>ROMAN(39415)</f>
        <v/>
      </c>
      <c r="D39416">
        <f>IF(B39416=C39416, "YES", "WRONG")</f>
        <v/>
      </c>
    </row>
    <row r="39417">
      <c r="A39417" t="n">
        <v>39416</v>
      </c>
      <c r="B39417" t="inlineStr">
        <is>
          <t>x̄x̄x̄Mx̄CDXVI</t>
        </is>
      </c>
      <c r="C39417">
        <f>ROMAN(39416)</f>
        <v/>
      </c>
      <c r="D39417">
        <f>IF(B39417=C39417, "YES", "WRONG")</f>
        <v/>
      </c>
    </row>
    <row r="39418">
      <c r="A39418" t="n">
        <v>39417</v>
      </c>
      <c r="B39418" t="inlineStr">
        <is>
          <t>x̄x̄x̄Mx̄CDXVII</t>
        </is>
      </c>
      <c r="C39418">
        <f>ROMAN(39417)</f>
        <v/>
      </c>
      <c r="D39418">
        <f>IF(B39418=C39418, "YES", "WRONG")</f>
        <v/>
      </c>
    </row>
    <row r="39419">
      <c r="A39419" t="n">
        <v>39418</v>
      </c>
      <c r="B39419" t="inlineStr">
        <is>
          <t>x̄x̄x̄Mx̄CDXVIII</t>
        </is>
      </c>
      <c r="C39419">
        <f>ROMAN(39418)</f>
        <v/>
      </c>
      <c r="D39419">
        <f>IF(B39419=C39419, "YES", "WRONG")</f>
        <v/>
      </c>
    </row>
    <row r="39420">
      <c r="A39420" t="n">
        <v>39419</v>
      </c>
      <c r="B39420" t="inlineStr">
        <is>
          <t>x̄x̄x̄Mx̄CDXIX</t>
        </is>
      </c>
      <c r="C39420">
        <f>ROMAN(39419)</f>
        <v/>
      </c>
      <c r="D39420">
        <f>IF(B39420=C39420, "YES", "WRONG")</f>
        <v/>
      </c>
    </row>
    <row r="39421">
      <c r="A39421" t="n">
        <v>39420</v>
      </c>
      <c r="B39421" t="inlineStr">
        <is>
          <t>x̄x̄x̄Mx̄CDXX</t>
        </is>
      </c>
      <c r="C39421">
        <f>ROMAN(39420)</f>
        <v/>
      </c>
      <c r="D39421">
        <f>IF(B39421=C39421, "YES", "WRONG")</f>
        <v/>
      </c>
    </row>
    <row r="39422">
      <c r="A39422" t="n">
        <v>39421</v>
      </c>
      <c r="B39422" t="inlineStr">
        <is>
          <t>x̄x̄x̄Mx̄CDXXI</t>
        </is>
      </c>
      <c r="C39422">
        <f>ROMAN(39421)</f>
        <v/>
      </c>
      <c r="D39422">
        <f>IF(B39422=C39422, "YES", "WRONG")</f>
        <v/>
      </c>
    </row>
    <row r="39423">
      <c r="A39423" t="n">
        <v>39422</v>
      </c>
      <c r="B39423" t="inlineStr">
        <is>
          <t>x̄x̄x̄Mx̄CDXXII</t>
        </is>
      </c>
      <c r="C39423">
        <f>ROMAN(39422)</f>
        <v/>
      </c>
      <c r="D39423">
        <f>IF(B39423=C39423, "YES", "WRONG")</f>
        <v/>
      </c>
    </row>
    <row r="39424">
      <c r="A39424" t="n">
        <v>39423</v>
      </c>
      <c r="B39424" t="inlineStr">
        <is>
          <t>x̄x̄x̄Mx̄CDXXIII</t>
        </is>
      </c>
      <c r="C39424">
        <f>ROMAN(39423)</f>
        <v/>
      </c>
      <c r="D39424">
        <f>IF(B39424=C39424, "YES", "WRONG")</f>
        <v/>
      </c>
    </row>
    <row r="39425">
      <c r="A39425" t="n">
        <v>39424</v>
      </c>
      <c r="B39425" t="inlineStr">
        <is>
          <t>x̄x̄x̄Mx̄CDXXIV</t>
        </is>
      </c>
      <c r="C39425">
        <f>ROMAN(39424)</f>
        <v/>
      </c>
      <c r="D39425">
        <f>IF(B39425=C39425, "YES", "WRONG")</f>
        <v/>
      </c>
    </row>
    <row r="39426">
      <c r="A39426" t="n">
        <v>39425</v>
      </c>
      <c r="B39426" t="inlineStr">
        <is>
          <t>x̄x̄x̄Mx̄CDXXV</t>
        </is>
      </c>
      <c r="C39426">
        <f>ROMAN(39425)</f>
        <v/>
      </c>
      <c r="D39426">
        <f>IF(B39426=C39426, "YES", "WRONG")</f>
        <v/>
      </c>
    </row>
    <row r="39427">
      <c r="A39427" t="n">
        <v>39426</v>
      </c>
      <c r="B39427" t="inlineStr">
        <is>
          <t>x̄x̄x̄Mx̄CDXXVI</t>
        </is>
      </c>
      <c r="C39427">
        <f>ROMAN(39426)</f>
        <v/>
      </c>
      <c r="D39427">
        <f>IF(B39427=C39427, "YES", "WRONG")</f>
        <v/>
      </c>
    </row>
    <row r="39428">
      <c r="A39428" t="n">
        <v>39427</v>
      </c>
      <c r="B39428" t="inlineStr">
        <is>
          <t>x̄x̄x̄Mx̄CDXXVII</t>
        </is>
      </c>
      <c r="C39428">
        <f>ROMAN(39427)</f>
        <v/>
      </c>
      <c r="D39428">
        <f>IF(B39428=C39428, "YES", "WRONG")</f>
        <v/>
      </c>
    </row>
    <row r="39429">
      <c r="A39429" t="n">
        <v>39428</v>
      </c>
      <c r="B39429" t="inlineStr">
        <is>
          <t>x̄x̄x̄Mx̄CDXXVIII</t>
        </is>
      </c>
      <c r="C39429">
        <f>ROMAN(39428)</f>
        <v/>
      </c>
      <c r="D39429">
        <f>IF(B39429=C39429, "YES", "WRONG")</f>
        <v/>
      </c>
    </row>
    <row r="39430">
      <c r="A39430" t="n">
        <v>39429</v>
      </c>
      <c r="B39430" t="inlineStr">
        <is>
          <t>x̄x̄x̄Mx̄CDXXIX</t>
        </is>
      </c>
      <c r="C39430">
        <f>ROMAN(39429)</f>
        <v/>
      </c>
      <c r="D39430">
        <f>IF(B39430=C39430, "YES", "WRONG")</f>
        <v/>
      </c>
    </row>
    <row r="39431">
      <c r="A39431" t="n">
        <v>39430</v>
      </c>
      <c r="B39431" t="inlineStr">
        <is>
          <t>x̄x̄x̄Mx̄CDXXX</t>
        </is>
      </c>
      <c r="C39431">
        <f>ROMAN(39430)</f>
        <v/>
      </c>
      <c r="D39431">
        <f>IF(B39431=C39431, "YES", "WRONG")</f>
        <v/>
      </c>
    </row>
    <row r="39432">
      <c r="A39432" t="n">
        <v>39431</v>
      </c>
      <c r="B39432" t="inlineStr">
        <is>
          <t>x̄x̄x̄Mx̄CDXXXI</t>
        </is>
      </c>
      <c r="C39432">
        <f>ROMAN(39431)</f>
        <v/>
      </c>
      <c r="D39432">
        <f>IF(B39432=C39432, "YES", "WRONG")</f>
        <v/>
      </c>
    </row>
    <row r="39433">
      <c r="A39433" t="n">
        <v>39432</v>
      </c>
      <c r="B39433" t="inlineStr">
        <is>
          <t>x̄x̄x̄Mx̄CDXXXII</t>
        </is>
      </c>
      <c r="C39433">
        <f>ROMAN(39432)</f>
        <v/>
      </c>
      <c r="D39433">
        <f>IF(B39433=C39433, "YES", "WRONG")</f>
        <v/>
      </c>
    </row>
    <row r="39434">
      <c r="A39434" t="n">
        <v>39433</v>
      </c>
      <c r="B39434" t="inlineStr">
        <is>
          <t>x̄x̄x̄Mx̄CDXXXIII</t>
        </is>
      </c>
      <c r="C39434">
        <f>ROMAN(39433)</f>
        <v/>
      </c>
      <c r="D39434">
        <f>IF(B39434=C39434, "YES", "WRONG")</f>
        <v/>
      </c>
    </row>
    <row r="39435">
      <c r="A39435" t="n">
        <v>39434</v>
      </c>
      <c r="B39435" t="inlineStr">
        <is>
          <t>x̄x̄x̄Mx̄CDXXXIV</t>
        </is>
      </c>
      <c r="C39435">
        <f>ROMAN(39434)</f>
        <v/>
      </c>
      <c r="D39435">
        <f>IF(B39435=C39435, "YES", "WRONG")</f>
        <v/>
      </c>
    </row>
    <row r="39436">
      <c r="A39436" t="n">
        <v>39435</v>
      </c>
      <c r="B39436" t="inlineStr">
        <is>
          <t>x̄x̄x̄Mx̄CDXXXV</t>
        </is>
      </c>
      <c r="C39436">
        <f>ROMAN(39435)</f>
        <v/>
      </c>
      <c r="D39436">
        <f>IF(B39436=C39436, "YES", "WRONG")</f>
        <v/>
      </c>
    </row>
    <row r="39437">
      <c r="A39437" t="n">
        <v>39436</v>
      </c>
      <c r="B39437" t="inlineStr">
        <is>
          <t>x̄x̄x̄Mx̄CDXXXVI</t>
        </is>
      </c>
      <c r="C39437">
        <f>ROMAN(39436)</f>
        <v/>
      </c>
      <c r="D39437">
        <f>IF(B39437=C39437, "YES", "WRONG")</f>
        <v/>
      </c>
    </row>
    <row r="39438">
      <c r="A39438" t="n">
        <v>39437</v>
      </c>
      <c r="B39438" t="inlineStr">
        <is>
          <t>x̄x̄x̄Mx̄CDXXXVII</t>
        </is>
      </c>
      <c r="C39438">
        <f>ROMAN(39437)</f>
        <v/>
      </c>
      <c r="D39438">
        <f>IF(B39438=C39438, "YES", "WRONG")</f>
        <v/>
      </c>
    </row>
    <row r="39439">
      <c r="A39439" t="n">
        <v>39438</v>
      </c>
      <c r="B39439" t="inlineStr">
        <is>
          <t>x̄x̄x̄Mx̄CDXXXVIII</t>
        </is>
      </c>
      <c r="C39439">
        <f>ROMAN(39438)</f>
        <v/>
      </c>
      <c r="D39439">
        <f>IF(B39439=C39439, "YES", "WRONG")</f>
        <v/>
      </c>
    </row>
    <row r="39440">
      <c r="A39440" t="n">
        <v>39439</v>
      </c>
      <c r="B39440" t="inlineStr">
        <is>
          <t>x̄x̄x̄Mx̄CDXXXIX</t>
        </is>
      </c>
      <c r="C39440">
        <f>ROMAN(39439)</f>
        <v/>
      </c>
      <c r="D39440">
        <f>IF(B39440=C39440, "YES", "WRONG")</f>
        <v/>
      </c>
    </row>
    <row r="39441">
      <c r="A39441" t="n">
        <v>39440</v>
      </c>
      <c r="B39441" t="inlineStr">
        <is>
          <t>x̄x̄x̄Mx̄CDXL</t>
        </is>
      </c>
      <c r="C39441">
        <f>ROMAN(39440)</f>
        <v/>
      </c>
      <c r="D39441">
        <f>IF(B39441=C39441, "YES", "WRONG")</f>
        <v/>
      </c>
    </row>
    <row r="39442">
      <c r="A39442" t="n">
        <v>39441</v>
      </c>
      <c r="B39442" t="inlineStr">
        <is>
          <t>x̄x̄x̄Mx̄CDXLI</t>
        </is>
      </c>
      <c r="C39442">
        <f>ROMAN(39441)</f>
        <v/>
      </c>
      <c r="D39442">
        <f>IF(B39442=C39442, "YES", "WRONG")</f>
        <v/>
      </c>
    </row>
    <row r="39443">
      <c r="A39443" t="n">
        <v>39442</v>
      </c>
      <c r="B39443" t="inlineStr">
        <is>
          <t>x̄x̄x̄Mx̄CDXLII</t>
        </is>
      </c>
      <c r="C39443">
        <f>ROMAN(39442)</f>
        <v/>
      </c>
      <c r="D39443">
        <f>IF(B39443=C39443, "YES", "WRONG")</f>
        <v/>
      </c>
    </row>
    <row r="39444">
      <c r="A39444" t="n">
        <v>39443</v>
      </c>
      <c r="B39444" t="inlineStr">
        <is>
          <t>x̄x̄x̄Mx̄CDXLIII</t>
        </is>
      </c>
      <c r="C39444">
        <f>ROMAN(39443)</f>
        <v/>
      </c>
      <c r="D39444">
        <f>IF(B39444=C39444, "YES", "WRONG")</f>
        <v/>
      </c>
    </row>
    <row r="39445">
      <c r="A39445" t="n">
        <v>39444</v>
      </c>
      <c r="B39445" t="inlineStr">
        <is>
          <t>x̄x̄x̄Mx̄CDXLIV</t>
        </is>
      </c>
      <c r="C39445">
        <f>ROMAN(39444)</f>
        <v/>
      </c>
      <c r="D39445">
        <f>IF(B39445=C39445, "YES", "WRONG")</f>
        <v/>
      </c>
    </row>
    <row r="39446">
      <c r="A39446" t="n">
        <v>39445</v>
      </c>
      <c r="B39446" t="inlineStr">
        <is>
          <t>x̄x̄x̄Mx̄CDXLV</t>
        </is>
      </c>
      <c r="C39446">
        <f>ROMAN(39445)</f>
        <v/>
      </c>
      <c r="D39446">
        <f>IF(B39446=C39446, "YES", "WRONG")</f>
        <v/>
      </c>
    </row>
    <row r="39447">
      <c r="A39447" t="n">
        <v>39446</v>
      </c>
      <c r="B39447" t="inlineStr">
        <is>
          <t>x̄x̄x̄Mx̄CDXLVI</t>
        </is>
      </c>
      <c r="C39447">
        <f>ROMAN(39446)</f>
        <v/>
      </c>
      <c r="D39447">
        <f>IF(B39447=C39447, "YES", "WRONG")</f>
        <v/>
      </c>
    </row>
    <row r="39448">
      <c r="A39448" t="n">
        <v>39447</v>
      </c>
      <c r="B39448" t="inlineStr">
        <is>
          <t>x̄x̄x̄Mx̄CDXLVII</t>
        </is>
      </c>
      <c r="C39448">
        <f>ROMAN(39447)</f>
        <v/>
      </c>
      <c r="D39448">
        <f>IF(B39448=C39448, "YES", "WRONG")</f>
        <v/>
      </c>
    </row>
    <row r="39449">
      <c r="A39449" t="n">
        <v>39448</v>
      </c>
      <c r="B39449" t="inlineStr">
        <is>
          <t>x̄x̄x̄Mx̄CDXLVIII</t>
        </is>
      </c>
      <c r="C39449">
        <f>ROMAN(39448)</f>
        <v/>
      </c>
      <c r="D39449">
        <f>IF(B39449=C39449, "YES", "WRONG")</f>
        <v/>
      </c>
    </row>
    <row r="39450">
      <c r="A39450" t="n">
        <v>39449</v>
      </c>
      <c r="B39450" t="inlineStr">
        <is>
          <t>x̄x̄x̄Mx̄CDXLIX</t>
        </is>
      </c>
      <c r="C39450">
        <f>ROMAN(39449)</f>
        <v/>
      </c>
      <c r="D39450">
        <f>IF(B39450=C39450, "YES", "WRONG")</f>
        <v/>
      </c>
    </row>
    <row r="39451">
      <c r="A39451" t="n">
        <v>39450</v>
      </c>
      <c r="B39451" t="inlineStr">
        <is>
          <t>x̄x̄x̄Mx̄CDL</t>
        </is>
      </c>
      <c r="C39451">
        <f>ROMAN(39450)</f>
        <v/>
      </c>
      <c r="D39451">
        <f>IF(B39451=C39451, "YES", "WRONG")</f>
        <v/>
      </c>
    </row>
    <row r="39452">
      <c r="A39452" t="n">
        <v>39451</v>
      </c>
      <c r="B39452" t="inlineStr">
        <is>
          <t>x̄x̄x̄Mx̄CDLI</t>
        </is>
      </c>
      <c r="C39452">
        <f>ROMAN(39451)</f>
        <v/>
      </c>
      <c r="D39452">
        <f>IF(B39452=C39452, "YES", "WRONG")</f>
        <v/>
      </c>
    </row>
    <row r="39453">
      <c r="A39453" t="n">
        <v>39452</v>
      </c>
      <c r="B39453" t="inlineStr">
        <is>
          <t>x̄x̄x̄Mx̄CDLII</t>
        </is>
      </c>
      <c r="C39453">
        <f>ROMAN(39452)</f>
        <v/>
      </c>
      <c r="D39453">
        <f>IF(B39453=C39453, "YES", "WRONG")</f>
        <v/>
      </c>
    </row>
    <row r="39454">
      <c r="A39454" t="n">
        <v>39453</v>
      </c>
      <c r="B39454" t="inlineStr">
        <is>
          <t>x̄x̄x̄Mx̄CDLIII</t>
        </is>
      </c>
      <c r="C39454">
        <f>ROMAN(39453)</f>
        <v/>
      </c>
      <c r="D39454">
        <f>IF(B39454=C39454, "YES", "WRONG")</f>
        <v/>
      </c>
    </row>
    <row r="39455">
      <c r="A39455" t="n">
        <v>39454</v>
      </c>
      <c r="B39455" t="inlineStr">
        <is>
          <t>x̄x̄x̄Mx̄CDLIV</t>
        </is>
      </c>
      <c r="C39455">
        <f>ROMAN(39454)</f>
        <v/>
      </c>
      <c r="D39455">
        <f>IF(B39455=C39455, "YES", "WRONG")</f>
        <v/>
      </c>
    </row>
    <row r="39456">
      <c r="A39456" t="n">
        <v>39455</v>
      </c>
      <c r="B39456" t="inlineStr">
        <is>
          <t>x̄x̄x̄Mx̄CDLV</t>
        </is>
      </c>
      <c r="C39456">
        <f>ROMAN(39455)</f>
        <v/>
      </c>
      <c r="D39456">
        <f>IF(B39456=C39456, "YES", "WRONG")</f>
        <v/>
      </c>
    </row>
    <row r="39457">
      <c r="A39457" t="n">
        <v>39456</v>
      </c>
      <c r="B39457" t="inlineStr">
        <is>
          <t>x̄x̄x̄Mx̄CDLVI</t>
        </is>
      </c>
      <c r="C39457">
        <f>ROMAN(39456)</f>
        <v/>
      </c>
      <c r="D39457">
        <f>IF(B39457=C39457, "YES", "WRONG")</f>
        <v/>
      </c>
    </row>
    <row r="39458">
      <c r="A39458" t="n">
        <v>39457</v>
      </c>
      <c r="B39458" t="inlineStr">
        <is>
          <t>x̄x̄x̄Mx̄CDLVII</t>
        </is>
      </c>
      <c r="C39458">
        <f>ROMAN(39457)</f>
        <v/>
      </c>
      <c r="D39458">
        <f>IF(B39458=C39458, "YES", "WRONG")</f>
        <v/>
      </c>
    </row>
    <row r="39459">
      <c r="A39459" t="n">
        <v>39458</v>
      </c>
      <c r="B39459" t="inlineStr">
        <is>
          <t>x̄x̄x̄Mx̄CDLVIII</t>
        </is>
      </c>
      <c r="C39459">
        <f>ROMAN(39458)</f>
        <v/>
      </c>
      <c r="D39459">
        <f>IF(B39459=C39459, "YES", "WRONG")</f>
        <v/>
      </c>
    </row>
    <row r="39460">
      <c r="A39460" t="n">
        <v>39459</v>
      </c>
      <c r="B39460" t="inlineStr">
        <is>
          <t>x̄x̄x̄Mx̄CDLIX</t>
        </is>
      </c>
      <c r="C39460">
        <f>ROMAN(39459)</f>
        <v/>
      </c>
      <c r="D39460">
        <f>IF(B39460=C39460, "YES", "WRONG")</f>
        <v/>
      </c>
    </row>
    <row r="39461">
      <c r="A39461" t="n">
        <v>39460</v>
      </c>
      <c r="B39461" t="inlineStr">
        <is>
          <t>x̄x̄x̄Mx̄CDLX</t>
        </is>
      </c>
      <c r="C39461">
        <f>ROMAN(39460)</f>
        <v/>
      </c>
      <c r="D39461">
        <f>IF(B39461=C39461, "YES", "WRONG")</f>
        <v/>
      </c>
    </row>
    <row r="39462">
      <c r="A39462" t="n">
        <v>39461</v>
      </c>
      <c r="B39462" t="inlineStr">
        <is>
          <t>x̄x̄x̄Mx̄CDLXI</t>
        </is>
      </c>
      <c r="C39462">
        <f>ROMAN(39461)</f>
        <v/>
      </c>
      <c r="D39462">
        <f>IF(B39462=C39462, "YES", "WRONG")</f>
        <v/>
      </c>
    </row>
    <row r="39463">
      <c r="A39463" t="n">
        <v>39462</v>
      </c>
      <c r="B39463" t="inlineStr">
        <is>
          <t>x̄x̄x̄Mx̄CDLXII</t>
        </is>
      </c>
      <c r="C39463">
        <f>ROMAN(39462)</f>
        <v/>
      </c>
      <c r="D39463">
        <f>IF(B39463=C39463, "YES", "WRONG")</f>
        <v/>
      </c>
    </row>
    <row r="39464">
      <c r="A39464" t="n">
        <v>39463</v>
      </c>
      <c r="B39464" t="inlineStr">
        <is>
          <t>x̄x̄x̄Mx̄CDLXIII</t>
        </is>
      </c>
      <c r="C39464">
        <f>ROMAN(39463)</f>
        <v/>
      </c>
      <c r="D39464">
        <f>IF(B39464=C39464, "YES", "WRONG")</f>
        <v/>
      </c>
    </row>
    <row r="39465">
      <c r="A39465" t="n">
        <v>39464</v>
      </c>
      <c r="B39465" t="inlineStr">
        <is>
          <t>x̄x̄x̄Mx̄CDLXIV</t>
        </is>
      </c>
      <c r="C39465">
        <f>ROMAN(39464)</f>
        <v/>
      </c>
      <c r="D39465">
        <f>IF(B39465=C39465, "YES", "WRONG")</f>
        <v/>
      </c>
    </row>
    <row r="39466">
      <c r="A39466" t="n">
        <v>39465</v>
      </c>
      <c r="B39466" t="inlineStr">
        <is>
          <t>x̄x̄x̄Mx̄CDLXV</t>
        </is>
      </c>
      <c r="C39466">
        <f>ROMAN(39465)</f>
        <v/>
      </c>
      <c r="D39466">
        <f>IF(B39466=C39466, "YES", "WRONG")</f>
        <v/>
      </c>
    </row>
    <row r="39467">
      <c r="A39467" t="n">
        <v>39466</v>
      </c>
      <c r="B39467" t="inlineStr">
        <is>
          <t>x̄x̄x̄Mx̄CDLXVI</t>
        </is>
      </c>
      <c r="C39467">
        <f>ROMAN(39466)</f>
        <v/>
      </c>
      <c r="D39467">
        <f>IF(B39467=C39467, "YES", "WRONG")</f>
        <v/>
      </c>
    </row>
    <row r="39468">
      <c r="A39468" t="n">
        <v>39467</v>
      </c>
      <c r="B39468" t="inlineStr">
        <is>
          <t>x̄x̄x̄Mx̄CDLXVII</t>
        </is>
      </c>
      <c r="C39468">
        <f>ROMAN(39467)</f>
        <v/>
      </c>
      <c r="D39468">
        <f>IF(B39468=C39468, "YES", "WRONG")</f>
        <v/>
      </c>
    </row>
    <row r="39469">
      <c r="A39469" t="n">
        <v>39468</v>
      </c>
      <c r="B39469" t="inlineStr">
        <is>
          <t>x̄x̄x̄Mx̄CDLXVIII</t>
        </is>
      </c>
      <c r="C39469">
        <f>ROMAN(39468)</f>
        <v/>
      </c>
      <c r="D39469">
        <f>IF(B39469=C39469, "YES", "WRONG")</f>
        <v/>
      </c>
    </row>
    <row r="39470">
      <c r="A39470" t="n">
        <v>39469</v>
      </c>
      <c r="B39470" t="inlineStr">
        <is>
          <t>x̄x̄x̄Mx̄CDLXIX</t>
        </is>
      </c>
      <c r="C39470">
        <f>ROMAN(39469)</f>
        <v/>
      </c>
      <c r="D39470">
        <f>IF(B39470=C39470, "YES", "WRONG")</f>
        <v/>
      </c>
    </row>
    <row r="39471">
      <c r="A39471" t="n">
        <v>39470</v>
      </c>
      <c r="B39471" t="inlineStr">
        <is>
          <t>x̄x̄x̄Mx̄CDLXX</t>
        </is>
      </c>
      <c r="C39471">
        <f>ROMAN(39470)</f>
        <v/>
      </c>
      <c r="D39471">
        <f>IF(B39471=C39471, "YES", "WRONG")</f>
        <v/>
      </c>
    </row>
    <row r="39472">
      <c r="A39472" t="n">
        <v>39471</v>
      </c>
      <c r="B39472" t="inlineStr">
        <is>
          <t>x̄x̄x̄Mx̄CDLXXI</t>
        </is>
      </c>
      <c r="C39472">
        <f>ROMAN(39471)</f>
        <v/>
      </c>
      <c r="D39472">
        <f>IF(B39472=C39472, "YES", "WRONG")</f>
        <v/>
      </c>
    </row>
    <row r="39473">
      <c r="A39473" t="n">
        <v>39472</v>
      </c>
      <c r="B39473" t="inlineStr">
        <is>
          <t>x̄x̄x̄Mx̄CDLXXII</t>
        </is>
      </c>
      <c r="C39473">
        <f>ROMAN(39472)</f>
        <v/>
      </c>
      <c r="D39473">
        <f>IF(B39473=C39473, "YES", "WRONG")</f>
        <v/>
      </c>
    </row>
    <row r="39474">
      <c r="A39474" t="n">
        <v>39473</v>
      </c>
      <c r="B39474" t="inlineStr">
        <is>
          <t>x̄x̄x̄Mx̄CDLXXIII</t>
        </is>
      </c>
      <c r="C39474">
        <f>ROMAN(39473)</f>
        <v/>
      </c>
      <c r="D39474">
        <f>IF(B39474=C39474, "YES", "WRONG")</f>
        <v/>
      </c>
    </row>
    <row r="39475">
      <c r="A39475" t="n">
        <v>39474</v>
      </c>
      <c r="B39475" t="inlineStr">
        <is>
          <t>x̄x̄x̄Mx̄CDLXXIV</t>
        </is>
      </c>
      <c r="C39475">
        <f>ROMAN(39474)</f>
        <v/>
      </c>
      <c r="D39475">
        <f>IF(B39475=C39475, "YES", "WRONG")</f>
        <v/>
      </c>
    </row>
    <row r="39476">
      <c r="A39476" t="n">
        <v>39475</v>
      </c>
      <c r="B39476" t="inlineStr">
        <is>
          <t>x̄x̄x̄Mx̄CDLXXV</t>
        </is>
      </c>
      <c r="C39476">
        <f>ROMAN(39475)</f>
        <v/>
      </c>
      <c r="D39476">
        <f>IF(B39476=C39476, "YES", "WRONG")</f>
        <v/>
      </c>
    </row>
    <row r="39477">
      <c r="A39477" t="n">
        <v>39476</v>
      </c>
      <c r="B39477" t="inlineStr">
        <is>
          <t>x̄x̄x̄Mx̄CDLXXVI</t>
        </is>
      </c>
      <c r="C39477">
        <f>ROMAN(39476)</f>
        <v/>
      </c>
      <c r="D39477">
        <f>IF(B39477=C39477, "YES", "WRONG")</f>
        <v/>
      </c>
    </row>
    <row r="39478">
      <c r="A39478" t="n">
        <v>39477</v>
      </c>
      <c r="B39478" t="inlineStr">
        <is>
          <t>x̄x̄x̄Mx̄CDLXXVII</t>
        </is>
      </c>
      <c r="C39478">
        <f>ROMAN(39477)</f>
        <v/>
      </c>
      <c r="D39478">
        <f>IF(B39478=C39478, "YES", "WRONG")</f>
        <v/>
      </c>
    </row>
    <row r="39479">
      <c r="A39479" t="n">
        <v>39478</v>
      </c>
      <c r="B39479" t="inlineStr">
        <is>
          <t>x̄x̄x̄Mx̄CDLXXVIII</t>
        </is>
      </c>
      <c r="C39479">
        <f>ROMAN(39478)</f>
        <v/>
      </c>
      <c r="D39479">
        <f>IF(B39479=C39479, "YES", "WRONG")</f>
        <v/>
      </c>
    </row>
    <row r="39480">
      <c r="A39480" t="n">
        <v>39479</v>
      </c>
      <c r="B39480" t="inlineStr">
        <is>
          <t>x̄x̄x̄Mx̄CDLXXIX</t>
        </is>
      </c>
      <c r="C39480">
        <f>ROMAN(39479)</f>
        <v/>
      </c>
      <c r="D39480">
        <f>IF(B39480=C39480, "YES", "WRONG")</f>
        <v/>
      </c>
    </row>
    <row r="39481">
      <c r="A39481" t="n">
        <v>39480</v>
      </c>
      <c r="B39481" t="inlineStr">
        <is>
          <t>x̄x̄x̄Mx̄CDLXXX</t>
        </is>
      </c>
      <c r="C39481">
        <f>ROMAN(39480)</f>
        <v/>
      </c>
      <c r="D39481">
        <f>IF(B39481=C39481, "YES", "WRONG")</f>
        <v/>
      </c>
    </row>
    <row r="39482">
      <c r="A39482" t="n">
        <v>39481</v>
      </c>
      <c r="B39482" t="inlineStr">
        <is>
          <t>x̄x̄x̄Mx̄CDLXXXI</t>
        </is>
      </c>
      <c r="C39482">
        <f>ROMAN(39481)</f>
        <v/>
      </c>
      <c r="D39482">
        <f>IF(B39482=C39482, "YES", "WRONG")</f>
        <v/>
      </c>
    </row>
    <row r="39483">
      <c r="A39483" t="n">
        <v>39482</v>
      </c>
      <c r="B39483" t="inlineStr">
        <is>
          <t>x̄x̄x̄Mx̄CDLXXXII</t>
        </is>
      </c>
      <c r="C39483">
        <f>ROMAN(39482)</f>
        <v/>
      </c>
      <c r="D39483">
        <f>IF(B39483=C39483, "YES", "WRONG")</f>
        <v/>
      </c>
    </row>
    <row r="39484">
      <c r="A39484" t="n">
        <v>39483</v>
      </c>
      <c r="B39484" t="inlineStr">
        <is>
          <t>x̄x̄x̄Mx̄CDLXXXIII</t>
        </is>
      </c>
      <c r="C39484">
        <f>ROMAN(39483)</f>
        <v/>
      </c>
      <c r="D39484">
        <f>IF(B39484=C39484, "YES", "WRONG")</f>
        <v/>
      </c>
    </row>
    <row r="39485">
      <c r="A39485" t="n">
        <v>39484</v>
      </c>
      <c r="B39485" t="inlineStr">
        <is>
          <t>x̄x̄x̄Mx̄CDLXXXIV</t>
        </is>
      </c>
      <c r="C39485">
        <f>ROMAN(39484)</f>
        <v/>
      </c>
      <c r="D39485">
        <f>IF(B39485=C39485, "YES", "WRONG")</f>
        <v/>
      </c>
    </row>
    <row r="39486">
      <c r="A39486" t="n">
        <v>39485</v>
      </c>
      <c r="B39486" t="inlineStr">
        <is>
          <t>x̄x̄x̄Mx̄CDLXXXV</t>
        </is>
      </c>
      <c r="C39486">
        <f>ROMAN(39485)</f>
        <v/>
      </c>
      <c r="D39486">
        <f>IF(B39486=C39486, "YES", "WRONG")</f>
        <v/>
      </c>
    </row>
    <row r="39487">
      <c r="A39487" t="n">
        <v>39486</v>
      </c>
      <c r="B39487" t="inlineStr">
        <is>
          <t>x̄x̄x̄Mx̄CDLXXXVI</t>
        </is>
      </c>
      <c r="C39487">
        <f>ROMAN(39486)</f>
        <v/>
      </c>
      <c r="D39487">
        <f>IF(B39487=C39487, "YES", "WRONG")</f>
        <v/>
      </c>
    </row>
    <row r="39488">
      <c r="A39488" t="n">
        <v>39487</v>
      </c>
      <c r="B39488" t="inlineStr">
        <is>
          <t>x̄x̄x̄Mx̄CDLXXXVII</t>
        </is>
      </c>
      <c r="C39488">
        <f>ROMAN(39487)</f>
        <v/>
      </c>
      <c r="D39488">
        <f>IF(B39488=C39488, "YES", "WRONG")</f>
        <v/>
      </c>
    </row>
    <row r="39489">
      <c r="A39489" t="n">
        <v>39488</v>
      </c>
      <c r="B39489" t="inlineStr">
        <is>
          <t>x̄x̄x̄Mx̄CDLXXXVIII</t>
        </is>
      </c>
      <c r="C39489">
        <f>ROMAN(39488)</f>
        <v/>
      </c>
      <c r="D39489">
        <f>IF(B39489=C39489, "YES", "WRONG")</f>
        <v/>
      </c>
    </row>
    <row r="39490">
      <c r="A39490" t="n">
        <v>39489</v>
      </c>
      <c r="B39490" t="inlineStr">
        <is>
          <t>x̄x̄x̄Mx̄CDLXXXIX</t>
        </is>
      </c>
      <c r="C39490">
        <f>ROMAN(39489)</f>
        <v/>
      </c>
      <c r="D39490">
        <f>IF(B39490=C39490, "YES", "WRONG")</f>
        <v/>
      </c>
    </row>
    <row r="39491">
      <c r="A39491" t="n">
        <v>39490</v>
      </c>
      <c r="B39491" t="inlineStr">
        <is>
          <t>x̄x̄x̄Mx̄CDXC</t>
        </is>
      </c>
      <c r="C39491">
        <f>ROMAN(39490)</f>
        <v/>
      </c>
      <c r="D39491">
        <f>IF(B39491=C39491, "YES", "WRONG")</f>
        <v/>
      </c>
    </row>
    <row r="39492">
      <c r="A39492" t="n">
        <v>39491</v>
      </c>
      <c r="B39492" t="inlineStr">
        <is>
          <t>x̄x̄x̄Mx̄CDXCI</t>
        </is>
      </c>
      <c r="C39492">
        <f>ROMAN(39491)</f>
        <v/>
      </c>
      <c r="D39492">
        <f>IF(B39492=C39492, "YES", "WRONG")</f>
        <v/>
      </c>
    </row>
    <row r="39493">
      <c r="A39493" t="n">
        <v>39492</v>
      </c>
      <c r="B39493" t="inlineStr">
        <is>
          <t>x̄x̄x̄Mx̄CDXCII</t>
        </is>
      </c>
      <c r="C39493">
        <f>ROMAN(39492)</f>
        <v/>
      </c>
      <c r="D39493">
        <f>IF(B39493=C39493, "YES", "WRONG")</f>
        <v/>
      </c>
    </row>
    <row r="39494">
      <c r="A39494" t="n">
        <v>39493</v>
      </c>
      <c r="B39494" t="inlineStr">
        <is>
          <t>x̄x̄x̄Mx̄CDXCIII</t>
        </is>
      </c>
      <c r="C39494">
        <f>ROMAN(39493)</f>
        <v/>
      </c>
      <c r="D39494">
        <f>IF(B39494=C39494, "YES", "WRONG")</f>
        <v/>
      </c>
    </row>
    <row r="39495">
      <c r="A39495" t="n">
        <v>39494</v>
      </c>
      <c r="B39495" t="inlineStr">
        <is>
          <t>x̄x̄x̄Mx̄CDXCIV</t>
        </is>
      </c>
      <c r="C39495">
        <f>ROMAN(39494)</f>
        <v/>
      </c>
      <c r="D39495">
        <f>IF(B39495=C39495, "YES", "WRONG")</f>
        <v/>
      </c>
    </row>
    <row r="39496">
      <c r="A39496" t="n">
        <v>39495</v>
      </c>
      <c r="B39496" t="inlineStr">
        <is>
          <t>x̄x̄x̄Mx̄CDXCV</t>
        </is>
      </c>
      <c r="C39496">
        <f>ROMAN(39495)</f>
        <v/>
      </c>
      <c r="D39496">
        <f>IF(B39496=C39496, "YES", "WRONG")</f>
        <v/>
      </c>
    </row>
    <row r="39497">
      <c r="A39497" t="n">
        <v>39496</v>
      </c>
      <c r="B39497" t="inlineStr">
        <is>
          <t>x̄x̄x̄Mx̄CDXCVI</t>
        </is>
      </c>
      <c r="C39497">
        <f>ROMAN(39496)</f>
        <v/>
      </c>
      <c r="D39497">
        <f>IF(B39497=C39497, "YES", "WRONG")</f>
        <v/>
      </c>
    </row>
    <row r="39498">
      <c r="A39498" t="n">
        <v>39497</v>
      </c>
      <c r="B39498" t="inlineStr">
        <is>
          <t>x̄x̄x̄Mx̄CDXCVII</t>
        </is>
      </c>
      <c r="C39498">
        <f>ROMAN(39497)</f>
        <v/>
      </c>
      <c r="D39498">
        <f>IF(B39498=C39498, "YES", "WRONG")</f>
        <v/>
      </c>
    </row>
    <row r="39499">
      <c r="A39499" t="n">
        <v>39498</v>
      </c>
      <c r="B39499" t="inlineStr">
        <is>
          <t>x̄x̄x̄Mx̄CDXCVIII</t>
        </is>
      </c>
      <c r="C39499">
        <f>ROMAN(39498)</f>
        <v/>
      </c>
      <c r="D39499">
        <f>IF(B39499=C39499, "YES", "WRONG")</f>
        <v/>
      </c>
    </row>
    <row r="39500">
      <c r="A39500" t="n">
        <v>39499</v>
      </c>
      <c r="B39500" t="inlineStr">
        <is>
          <t>x̄x̄x̄Mx̄CDXCIX</t>
        </is>
      </c>
      <c r="C39500">
        <f>ROMAN(39499)</f>
        <v/>
      </c>
      <c r="D39500">
        <f>IF(B39500=C39500, "YES", "WRONG")</f>
        <v/>
      </c>
    </row>
    <row r="39501">
      <c r="A39501" t="n">
        <v>39500</v>
      </c>
      <c r="B39501" t="inlineStr">
        <is>
          <t>x̄x̄x̄Mx̄D</t>
        </is>
      </c>
      <c r="C39501">
        <f>ROMAN(39500)</f>
        <v/>
      </c>
      <c r="D39501">
        <f>IF(B39501=C39501, "YES", "WRONG")</f>
        <v/>
      </c>
    </row>
    <row r="39502">
      <c r="A39502" t="n">
        <v>39501</v>
      </c>
      <c r="B39502" t="inlineStr">
        <is>
          <t>x̄x̄x̄Mx̄DI</t>
        </is>
      </c>
      <c r="C39502">
        <f>ROMAN(39501)</f>
        <v/>
      </c>
      <c r="D39502">
        <f>IF(B39502=C39502, "YES", "WRONG")</f>
        <v/>
      </c>
    </row>
    <row r="39503">
      <c r="A39503" t="n">
        <v>39502</v>
      </c>
      <c r="B39503" t="inlineStr">
        <is>
          <t>x̄x̄x̄Mx̄DII</t>
        </is>
      </c>
      <c r="C39503">
        <f>ROMAN(39502)</f>
        <v/>
      </c>
      <c r="D39503">
        <f>IF(B39503=C39503, "YES", "WRONG")</f>
        <v/>
      </c>
    </row>
    <row r="39504">
      <c r="A39504" t="n">
        <v>39503</v>
      </c>
      <c r="B39504" t="inlineStr">
        <is>
          <t>x̄x̄x̄Mx̄DIII</t>
        </is>
      </c>
      <c r="C39504">
        <f>ROMAN(39503)</f>
        <v/>
      </c>
      <c r="D39504">
        <f>IF(B39504=C39504, "YES", "WRONG")</f>
        <v/>
      </c>
    </row>
    <row r="39505">
      <c r="A39505" t="n">
        <v>39504</v>
      </c>
      <c r="B39505" t="inlineStr">
        <is>
          <t>x̄x̄x̄Mx̄DIV</t>
        </is>
      </c>
      <c r="C39505">
        <f>ROMAN(39504)</f>
        <v/>
      </c>
      <c r="D39505">
        <f>IF(B39505=C39505, "YES", "WRONG")</f>
        <v/>
      </c>
    </row>
    <row r="39506">
      <c r="A39506" t="n">
        <v>39505</v>
      </c>
      <c r="B39506" t="inlineStr">
        <is>
          <t>x̄x̄x̄Mx̄DV</t>
        </is>
      </c>
      <c r="C39506">
        <f>ROMAN(39505)</f>
        <v/>
      </c>
      <c r="D39506">
        <f>IF(B39506=C39506, "YES", "WRONG")</f>
        <v/>
      </c>
    </row>
    <row r="39507">
      <c r="A39507" t="n">
        <v>39506</v>
      </c>
      <c r="B39507" t="inlineStr">
        <is>
          <t>x̄x̄x̄Mx̄DVI</t>
        </is>
      </c>
      <c r="C39507">
        <f>ROMAN(39506)</f>
        <v/>
      </c>
      <c r="D39507">
        <f>IF(B39507=C39507, "YES", "WRONG")</f>
        <v/>
      </c>
    </row>
    <row r="39508">
      <c r="A39508" t="n">
        <v>39507</v>
      </c>
      <c r="B39508" t="inlineStr">
        <is>
          <t>x̄x̄x̄Mx̄DVII</t>
        </is>
      </c>
      <c r="C39508">
        <f>ROMAN(39507)</f>
        <v/>
      </c>
      <c r="D39508">
        <f>IF(B39508=C39508, "YES", "WRONG")</f>
        <v/>
      </c>
    </row>
    <row r="39509">
      <c r="A39509" t="n">
        <v>39508</v>
      </c>
      <c r="B39509" t="inlineStr">
        <is>
          <t>x̄x̄x̄Mx̄DVIII</t>
        </is>
      </c>
      <c r="C39509">
        <f>ROMAN(39508)</f>
        <v/>
      </c>
      <c r="D39509">
        <f>IF(B39509=C39509, "YES", "WRONG")</f>
        <v/>
      </c>
    </row>
    <row r="39510">
      <c r="A39510" t="n">
        <v>39509</v>
      </c>
      <c r="B39510" t="inlineStr">
        <is>
          <t>x̄x̄x̄Mx̄DIX</t>
        </is>
      </c>
      <c r="C39510">
        <f>ROMAN(39509)</f>
        <v/>
      </c>
      <c r="D39510">
        <f>IF(B39510=C39510, "YES", "WRONG")</f>
        <v/>
      </c>
    </row>
    <row r="39511">
      <c r="A39511" t="n">
        <v>39510</v>
      </c>
      <c r="B39511" t="inlineStr">
        <is>
          <t>x̄x̄x̄Mx̄DX</t>
        </is>
      </c>
      <c r="C39511">
        <f>ROMAN(39510)</f>
        <v/>
      </c>
      <c r="D39511">
        <f>IF(B39511=C39511, "YES", "WRONG")</f>
        <v/>
      </c>
    </row>
    <row r="39512">
      <c r="A39512" t="n">
        <v>39511</v>
      </c>
      <c r="B39512" t="inlineStr">
        <is>
          <t>x̄x̄x̄Mx̄DXI</t>
        </is>
      </c>
      <c r="C39512">
        <f>ROMAN(39511)</f>
        <v/>
      </c>
      <c r="D39512">
        <f>IF(B39512=C39512, "YES", "WRONG")</f>
        <v/>
      </c>
    </row>
    <row r="39513">
      <c r="A39513" t="n">
        <v>39512</v>
      </c>
      <c r="B39513" t="inlineStr">
        <is>
          <t>x̄x̄x̄Mx̄DXII</t>
        </is>
      </c>
      <c r="C39513">
        <f>ROMAN(39512)</f>
        <v/>
      </c>
      <c r="D39513">
        <f>IF(B39513=C39513, "YES", "WRONG")</f>
        <v/>
      </c>
    </row>
    <row r="39514">
      <c r="A39514" t="n">
        <v>39513</v>
      </c>
      <c r="B39514" t="inlineStr">
        <is>
          <t>x̄x̄x̄Mx̄DXIII</t>
        </is>
      </c>
      <c r="C39514">
        <f>ROMAN(39513)</f>
        <v/>
      </c>
      <c r="D39514">
        <f>IF(B39514=C39514, "YES", "WRONG")</f>
        <v/>
      </c>
    </row>
    <row r="39515">
      <c r="A39515" t="n">
        <v>39514</v>
      </c>
      <c r="B39515" t="inlineStr">
        <is>
          <t>x̄x̄x̄Mx̄DXIV</t>
        </is>
      </c>
      <c r="C39515">
        <f>ROMAN(39514)</f>
        <v/>
      </c>
      <c r="D39515">
        <f>IF(B39515=C39515, "YES", "WRONG")</f>
        <v/>
      </c>
    </row>
    <row r="39516">
      <c r="A39516" t="n">
        <v>39515</v>
      </c>
      <c r="B39516" t="inlineStr">
        <is>
          <t>x̄x̄x̄Mx̄DXV</t>
        </is>
      </c>
      <c r="C39516">
        <f>ROMAN(39515)</f>
        <v/>
      </c>
      <c r="D39516">
        <f>IF(B39516=C39516, "YES", "WRONG")</f>
        <v/>
      </c>
    </row>
    <row r="39517">
      <c r="A39517" t="n">
        <v>39516</v>
      </c>
      <c r="B39517" t="inlineStr">
        <is>
          <t>x̄x̄x̄Mx̄DXVI</t>
        </is>
      </c>
      <c r="C39517">
        <f>ROMAN(39516)</f>
        <v/>
      </c>
      <c r="D39517">
        <f>IF(B39517=C39517, "YES", "WRONG")</f>
        <v/>
      </c>
    </row>
    <row r="39518">
      <c r="A39518" t="n">
        <v>39517</v>
      </c>
      <c r="B39518" t="inlineStr">
        <is>
          <t>x̄x̄x̄Mx̄DXVII</t>
        </is>
      </c>
      <c r="C39518">
        <f>ROMAN(39517)</f>
        <v/>
      </c>
      <c r="D39518">
        <f>IF(B39518=C39518, "YES", "WRONG")</f>
        <v/>
      </c>
    </row>
    <row r="39519">
      <c r="A39519" t="n">
        <v>39518</v>
      </c>
      <c r="B39519" t="inlineStr">
        <is>
          <t>x̄x̄x̄Mx̄DXVIII</t>
        </is>
      </c>
      <c r="C39519">
        <f>ROMAN(39518)</f>
        <v/>
      </c>
      <c r="D39519">
        <f>IF(B39519=C39519, "YES", "WRONG")</f>
        <v/>
      </c>
    </row>
    <row r="39520">
      <c r="A39520" t="n">
        <v>39519</v>
      </c>
      <c r="B39520" t="inlineStr">
        <is>
          <t>x̄x̄x̄Mx̄DXIX</t>
        </is>
      </c>
      <c r="C39520">
        <f>ROMAN(39519)</f>
        <v/>
      </c>
      <c r="D39520">
        <f>IF(B39520=C39520, "YES", "WRONG")</f>
        <v/>
      </c>
    </row>
    <row r="39521">
      <c r="A39521" t="n">
        <v>39520</v>
      </c>
      <c r="B39521" t="inlineStr">
        <is>
          <t>x̄x̄x̄Mx̄DXX</t>
        </is>
      </c>
      <c r="C39521">
        <f>ROMAN(39520)</f>
        <v/>
      </c>
      <c r="D39521">
        <f>IF(B39521=C39521, "YES", "WRONG")</f>
        <v/>
      </c>
    </row>
    <row r="39522">
      <c r="A39522" t="n">
        <v>39521</v>
      </c>
      <c r="B39522" t="inlineStr">
        <is>
          <t>x̄x̄x̄Mx̄DXXI</t>
        </is>
      </c>
      <c r="C39522">
        <f>ROMAN(39521)</f>
        <v/>
      </c>
      <c r="D39522">
        <f>IF(B39522=C39522, "YES", "WRONG")</f>
        <v/>
      </c>
    </row>
    <row r="39523">
      <c r="A39523" t="n">
        <v>39522</v>
      </c>
      <c r="B39523" t="inlineStr">
        <is>
          <t>x̄x̄x̄Mx̄DXXII</t>
        </is>
      </c>
      <c r="C39523">
        <f>ROMAN(39522)</f>
        <v/>
      </c>
      <c r="D39523">
        <f>IF(B39523=C39523, "YES", "WRONG")</f>
        <v/>
      </c>
    </row>
    <row r="39524">
      <c r="A39524" t="n">
        <v>39523</v>
      </c>
      <c r="B39524" t="inlineStr">
        <is>
          <t>x̄x̄x̄Mx̄DXXIII</t>
        </is>
      </c>
      <c r="C39524">
        <f>ROMAN(39523)</f>
        <v/>
      </c>
      <c r="D39524">
        <f>IF(B39524=C39524, "YES", "WRONG")</f>
        <v/>
      </c>
    </row>
    <row r="39525">
      <c r="A39525" t="n">
        <v>39524</v>
      </c>
      <c r="B39525" t="inlineStr">
        <is>
          <t>x̄x̄x̄Mx̄DXXIV</t>
        </is>
      </c>
      <c r="C39525">
        <f>ROMAN(39524)</f>
        <v/>
      </c>
      <c r="D39525">
        <f>IF(B39525=C39525, "YES", "WRONG")</f>
        <v/>
      </c>
    </row>
    <row r="39526">
      <c r="A39526" t="n">
        <v>39525</v>
      </c>
      <c r="B39526" t="inlineStr">
        <is>
          <t>x̄x̄x̄Mx̄DXXV</t>
        </is>
      </c>
      <c r="C39526">
        <f>ROMAN(39525)</f>
        <v/>
      </c>
      <c r="D39526">
        <f>IF(B39526=C39526, "YES", "WRONG")</f>
        <v/>
      </c>
    </row>
    <row r="39527">
      <c r="A39527" t="n">
        <v>39526</v>
      </c>
      <c r="B39527" t="inlineStr">
        <is>
          <t>x̄x̄x̄Mx̄DXXVI</t>
        </is>
      </c>
      <c r="C39527">
        <f>ROMAN(39526)</f>
        <v/>
      </c>
      <c r="D39527">
        <f>IF(B39527=C39527, "YES", "WRONG")</f>
        <v/>
      </c>
    </row>
    <row r="39528">
      <c r="A39528" t="n">
        <v>39527</v>
      </c>
      <c r="B39528" t="inlineStr">
        <is>
          <t>x̄x̄x̄Mx̄DXXVII</t>
        </is>
      </c>
      <c r="C39528">
        <f>ROMAN(39527)</f>
        <v/>
      </c>
      <c r="D39528">
        <f>IF(B39528=C39528, "YES", "WRONG")</f>
        <v/>
      </c>
    </row>
    <row r="39529">
      <c r="A39529" t="n">
        <v>39528</v>
      </c>
      <c r="B39529" t="inlineStr">
        <is>
          <t>x̄x̄x̄Mx̄DXXVIII</t>
        </is>
      </c>
      <c r="C39529">
        <f>ROMAN(39528)</f>
        <v/>
      </c>
      <c r="D39529">
        <f>IF(B39529=C39529, "YES", "WRONG")</f>
        <v/>
      </c>
    </row>
    <row r="39530">
      <c r="A39530" t="n">
        <v>39529</v>
      </c>
      <c r="B39530" t="inlineStr">
        <is>
          <t>x̄x̄x̄Mx̄DXXIX</t>
        </is>
      </c>
      <c r="C39530">
        <f>ROMAN(39529)</f>
        <v/>
      </c>
      <c r="D39530">
        <f>IF(B39530=C39530, "YES", "WRONG")</f>
        <v/>
      </c>
    </row>
    <row r="39531">
      <c r="A39531" t="n">
        <v>39530</v>
      </c>
      <c r="B39531" t="inlineStr">
        <is>
          <t>x̄x̄x̄Mx̄DXXX</t>
        </is>
      </c>
      <c r="C39531">
        <f>ROMAN(39530)</f>
        <v/>
      </c>
      <c r="D39531">
        <f>IF(B39531=C39531, "YES", "WRONG")</f>
        <v/>
      </c>
    </row>
    <row r="39532">
      <c r="A39532" t="n">
        <v>39531</v>
      </c>
      <c r="B39532" t="inlineStr">
        <is>
          <t>x̄x̄x̄Mx̄DXXXI</t>
        </is>
      </c>
      <c r="C39532">
        <f>ROMAN(39531)</f>
        <v/>
      </c>
      <c r="D39532">
        <f>IF(B39532=C39532, "YES", "WRONG")</f>
        <v/>
      </c>
    </row>
    <row r="39533">
      <c r="A39533" t="n">
        <v>39532</v>
      </c>
      <c r="B39533" t="inlineStr">
        <is>
          <t>x̄x̄x̄Mx̄DXXXII</t>
        </is>
      </c>
      <c r="C39533">
        <f>ROMAN(39532)</f>
        <v/>
      </c>
      <c r="D39533">
        <f>IF(B39533=C39533, "YES", "WRONG")</f>
        <v/>
      </c>
    </row>
    <row r="39534">
      <c r="A39534" t="n">
        <v>39533</v>
      </c>
      <c r="B39534" t="inlineStr">
        <is>
          <t>x̄x̄x̄Mx̄DXXXIII</t>
        </is>
      </c>
      <c r="C39534">
        <f>ROMAN(39533)</f>
        <v/>
      </c>
      <c r="D39534">
        <f>IF(B39534=C39534, "YES", "WRONG")</f>
        <v/>
      </c>
    </row>
    <row r="39535">
      <c r="A39535" t="n">
        <v>39534</v>
      </c>
      <c r="B39535" t="inlineStr">
        <is>
          <t>x̄x̄x̄Mx̄DXXXIV</t>
        </is>
      </c>
      <c r="C39535">
        <f>ROMAN(39534)</f>
        <v/>
      </c>
      <c r="D39535">
        <f>IF(B39535=C39535, "YES", "WRONG")</f>
        <v/>
      </c>
    </row>
    <row r="39536">
      <c r="A39536" t="n">
        <v>39535</v>
      </c>
      <c r="B39536" t="inlineStr">
        <is>
          <t>x̄x̄x̄Mx̄DXXXV</t>
        </is>
      </c>
      <c r="C39536">
        <f>ROMAN(39535)</f>
        <v/>
      </c>
      <c r="D39536">
        <f>IF(B39536=C39536, "YES", "WRONG")</f>
        <v/>
      </c>
    </row>
    <row r="39537">
      <c r="A39537" t="n">
        <v>39536</v>
      </c>
      <c r="B39537" t="inlineStr">
        <is>
          <t>x̄x̄x̄Mx̄DXXXVI</t>
        </is>
      </c>
      <c r="C39537">
        <f>ROMAN(39536)</f>
        <v/>
      </c>
      <c r="D39537">
        <f>IF(B39537=C39537, "YES", "WRONG")</f>
        <v/>
      </c>
    </row>
    <row r="39538">
      <c r="A39538" t="n">
        <v>39537</v>
      </c>
      <c r="B39538" t="inlineStr">
        <is>
          <t>x̄x̄x̄Mx̄DXXXVII</t>
        </is>
      </c>
      <c r="C39538">
        <f>ROMAN(39537)</f>
        <v/>
      </c>
      <c r="D39538">
        <f>IF(B39538=C39538, "YES", "WRONG")</f>
        <v/>
      </c>
    </row>
    <row r="39539">
      <c r="A39539" t="n">
        <v>39538</v>
      </c>
      <c r="B39539" t="inlineStr">
        <is>
          <t>x̄x̄x̄Mx̄DXXXVIII</t>
        </is>
      </c>
      <c r="C39539">
        <f>ROMAN(39538)</f>
        <v/>
      </c>
      <c r="D39539">
        <f>IF(B39539=C39539, "YES", "WRONG")</f>
        <v/>
      </c>
    </row>
    <row r="39540">
      <c r="A39540" t="n">
        <v>39539</v>
      </c>
      <c r="B39540" t="inlineStr">
        <is>
          <t>x̄x̄x̄Mx̄DXXXIX</t>
        </is>
      </c>
      <c r="C39540">
        <f>ROMAN(39539)</f>
        <v/>
      </c>
      <c r="D39540">
        <f>IF(B39540=C39540, "YES", "WRONG")</f>
        <v/>
      </c>
    </row>
    <row r="39541">
      <c r="A39541" t="n">
        <v>39540</v>
      </c>
      <c r="B39541" t="inlineStr">
        <is>
          <t>x̄x̄x̄Mx̄DXL</t>
        </is>
      </c>
      <c r="C39541">
        <f>ROMAN(39540)</f>
        <v/>
      </c>
      <c r="D39541">
        <f>IF(B39541=C39541, "YES", "WRONG")</f>
        <v/>
      </c>
    </row>
    <row r="39542">
      <c r="A39542" t="n">
        <v>39541</v>
      </c>
      <c r="B39542" t="inlineStr">
        <is>
          <t>x̄x̄x̄Mx̄DXLI</t>
        </is>
      </c>
      <c r="C39542">
        <f>ROMAN(39541)</f>
        <v/>
      </c>
      <c r="D39542">
        <f>IF(B39542=C39542, "YES", "WRONG")</f>
        <v/>
      </c>
    </row>
    <row r="39543">
      <c r="A39543" t="n">
        <v>39542</v>
      </c>
      <c r="B39543" t="inlineStr">
        <is>
          <t>x̄x̄x̄Mx̄DXLII</t>
        </is>
      </c>
      <c r="C39543">
        <f>ROMAN(39542)</f>
        <v/>
      </c>
      <c r="D39543">
        <f>IF(B39543=C39543, "YES", "WRONG")</f>
        <v/>
      </c>
    </row>
    <row r="39544">
      <c r="A39544" t="n">
        <v>39543</v>
      </c>
      <c r="B39544" t="inlineStr">
        <is>
          <t>x̄x̄x̄Mx̄DXLIII</t>
        </is>
      </c>
      <c r="C39544">
        <f>ROMAN(39543)</f>
        <v/>
      </c>
      <c r="D39544">
        <f>IF(B39544=C39544, "YES", "WRONG")</f>
        <v/>
      </c>
    </row>
    <row r="39545">
      <c r="A39545" t="n">
        <v>39544</v>
      </c>
      <c r="B39545" t="inlineStr">
        <is>
          <t>x̄x̄x̄Mx̄DXLIV</t>
        </is>
      </c>
      <c r="C39545">
        <f>ROMAN(39544)</f>
        <v/>
      </c>
      <c r="D39545">
        <f>IF(B39545=C39545, "YES", "WRONG")</f>
        <v/>
      </c>
    </row>
    <row r="39546">
      <c r="A39546" t="n">
        <v>39545</v>
      </c>
      <c r="B39546" t="inlineStr">
        <is>
          <t>x̄x̄x̄Mx̄DXLV</t>
        </is>
      </c>
      <c r="C39546">
        <f>ROMAN(39545)</f>
        <v/>
      </c>
      <c r="D39546">
        <f>IF(B39546=C39546, "YES", "WRONG")</f>
        <v/>
      </c>
    </row>
    <row r="39547">
      <c r="A39547" t="n">
        <v>39546</v>
      </c>
      <c r="B39547" t="inlineStr">
        <is>
          <t>x̄x̄x̄Mx̄DXLVI</t>
        </is>
      </c>
      <c r="C39547">
        <f>ROMAN(39546)</f>
        <v/>
      </c>
      <c r="D39547">
        <f>IF(B39547=C39547, "YES", "WRONG")</f>
        <v/>
      </c>
    </row>
    <row r="39548">
      <c r="A39548" t="n">
        <v>39547</v>
      </c>
      <c r="B39548" t="inlineStr">
        <is>
          <t>x̄x̄x̄Mx̄DXLVII</t>
        </is>
      </c>
      <c r="C39548">
        <f>ROMAN(39547)</f>
        <v/>
      </c>
      <c r="D39548">
        <f>IF(B39548=C39548, "YES", "WRONG")</f>
        <v/>
      </c>
    </row>
    <row r="39549">
      <c r="A39549" t="n">
        <v>39548</v>
      </c>
      <c r="B39549" t="inlineStr">
        <is>
          <t>x̄x̄x̄Mx̄DXLVIII</t>
        </is>
      </c>
      <c r="C39549">
        <f>ROMAN(39548)</f>
        <v/>
      </c>
      <c r="D39549">
        <f>IF(B39549=C39549, "YES", "WRONG")</f>
        <v/>
      </c>
    </row>
    <row r="39550">
      <c r="A39550" t="n">
        <v>39549</v>
      </c>
      <c r="B39550" t="inlineStr">
        <is>
          <t>x̄x̄x̄Mx̄DXLIX</t>
        </is>
      </c>
      <c r="C39550">
        <f>ROMAN(39549)</f>
        <v/>
      </c>
      <c r="D39550">
        <f>IF(B39550=C39550, "YES", "WRONG")</f>
        <v/>
      </c>
    </row>
    <row r="39551">
      <c r="A39551" t="n">
        <v>39550</v>
      </c>
      <c r="B39551" t="inlineStr">
        <is>
          <t>x̄x̄x̄Mx̄DL</t>
        </is>
      </c>
      <c r="C39551">
        <f>ROMAN(39550)</f>
        <v/>
      </c>
      <c r="D39551">
        <f>IF(B39551=C39551, "YES", "WRONG")</f>
        <v/>
      </c>
    </row>
    <row r="39552">
      <c r="A39552" t="n">
        <v>39551</v>
      </c>
      <c r="B39552" t="inlineStr">
        <is>
          <t>x̄x̄x̄Mx̄DLI</t>
        </is>
      </c>
      <c r="C39552">
        <f>ROMAN(39551)</f>
        <v/>
      </c>
      <c r="D39552">
        <f>IF(B39552=C39552, "YES", "WRONG")</f>
        <v/>
      </c>
    </row>
    <row r="39553">
      <c r="A39553" t="n">
        <v>39552</v>
      </c>
      <c r="B39553" t="inlineStr">
        <is>
          <t>x̄x̄x̄Mx̄DLII</t>
        </is>
      </c>
      <c r="C39553">
        <f>ROMAN(39552)</f>
        <v/>
      </c>
      <c r="D39553">
        <f>IF(B39553=C39553, "YES", "WRONG")</f>
        <v/>
      </c>
    </row>
    <row r="39554">
      <c r="A39554" t="n">
        <v>39553</v>
      </c>
      <c r="B39554" t="inlineStr">
        <is>
          <t>x̄x̄x̄Mx̄DLIII</t>
        </is>
      </c>
      <c r="C39554">
        <f>ROMAN(39553)</f>
        <v/>
      </c>
      <c r="D39554">
        <f>IF(B39554=C39554, "YES", "WRONG")</f>
        <v/>
      </c>
    </row>
    <row r="39555">
      <c r="A39555" t="n">
        <v>39554</v>
      </c>
      <c r="B39555" t="inlineStr">
        <is>
          <t>x̄x̄x̄Mx̄DLIV</t>
        </is>
      </c>
      <c r="C39555">
        <f>ROMAN(39554)</f>
        <v/>
      </c>
      <c r="D39555">
        <f>IF(B39555=C39555, "YES", "WRONG")</f>
        <v/>
      </c>
    </row>
    <row r="39556">
      <c r="A39556" t="n">
        <v>39555</v>
      </c>
      <c r="B39556" t="inlineStr">
        <is>
          <t>x̄x̄x̄Mx̄DLV</t>
        </is>
      </c>
      <c r="C39556">
        <f>ROMAN(39555)</f>
        <v/>
      </c>
      <c r="D39556">
        <f>IF(B39556=C39556, "YES", "WRONG")</f>
        <v/>
      </c>
    </row>
    <row r="39557">
      <c r="A39557" t="n">
        <v>39556</v>
      </c>
      <c r="B39557" t="inlineStr">
        <is>
          <t>x̄x̄x̄Mx̄DLVI</t>
        </is>
      </c>
      <c r="C39557">
        <f>ROMAN(39556)</f>
        <v/>
      </c>
      <c r="D39557">
        <f>IF(B39557=C39557, "YES", "WRONG")</f>
        <v/>
      </c>
    </row>
    <row r="39558">
      <c r="A39558" t="n">
        <v>39557</v>
      </c>
      <c r="B39558" t="inlineStr">
        <is>
          <t>x̄x̄x̄Mx̄DLVII</t>
        </is>
      </c>
      <c r="C39558">
        <f>ROMAN(39557)</f>
        <v/>
      </c>
      <c r="D39558">
        <f>IF(B39558=C39558, "YES", "WRONG")</f>
        <v/>
      </c>
    </row>
    <row r="39559">
      <c r="A39559" t="n">
        <v>39558</v>
      </c>
      <c r="B39559" t="inlineStr">
        <is>
          <t>x̄x̄x̄Mx̄DLVIII</t>
        </is>
      </c>
      <c r="C39559">
        <f>ROMAN(39558)</f>
        <v/>
      </c>
      <c r="D39559">
        <f>IF(B39559=C39559, "YES", "WRONG")</f>
        <v/>
      </c>
    </row>
    <row r="39560">
      <c r="A39560" t="n">
        <v>39559</v>
      </c>
      <c r="B39560" t="inlineStr">
        <is>
          <t>x̄x̄x̄Mx̄DLIX</t>
        </is>
      </c>
      <c r="C39560">
        <f>ROMAN(39559)</f>
        <v/>
      </c>
      <c r="D39560">
        <f>IF(B39560=C39560, "YES", "WRONG")</f>
        <v/>
      </c>
    </row>
    <row r="39561">
      <c r="A39561" t="n">
        <v>39560</v>
      </c>
      <c r="B39561" t="inlineStr">
        <is>
          <t>x̄x̄x̄Mx̄DLX</t>
        </is>
      </c>
      <c r="C39561">
        <f>ROMAN(39560)</f>
        <v/>
      </c>
      <c r="D39561">
        <f>IF(B39561=C39561, "YES", "WRONG")</f>
        <v/>
      </c>
    </row>
    <row r="39562">
      <c r="A39562" t="n">
        <v>39561</v>
      </c>
      <c r="B39562" t="inlineStr">
        <is>
          <t>x̄x̄x̄Mx̄DLXI</t>
        </is>
      </c>
      <c r="C39562">
        <f>ROMAN(39561)</f>
        <v/>
      </c>
      <c r="D39562">
        <f>IF(B39562=C39562, "YES", "WRONG")</f>
        <v/>
      </c>
    </row>
    <row r="39563">
      <c r="A39563" t="n">
        <v>39562</v>
      </c>
      <c r="B39563" t="inlineStr">
        <is>
          <t>x̄x̄x̄Mx̄DLXII</t>
        </is>
      </c>
      <c r="C39563">
        <f>ROMAN(39562)</f>
        <v/>
      </c>
      <c r="D39563">
        <f>IF(B39563=C39563, "YES", "WRONG")</f>
        <v/>
      </c>
    </row>
    <row r="39564">
      <c r="A39564" t="n">
        <v>39563</v>
      </c>
      <c r="B39564" t="inlineStr">
        <is>
          <t>x̄x̄x̄Mx̄DLXIII</t>
        </is>
      </c>
      <c r="C39564">
        <f>ROMAN(39563)</f>
        <v/>
      </c>
      <c r="D39564">
        <f>IF(B39564=C39564, "YES", "WRONG")</f>
        <v/>
      </c>
    </row>
    <row r="39565">
      <c r="A39565" t="n">
        <v>39564</v>
      </c>
      <c r="B39565" t="inlineStr">
        <is>
          <t>x̄x̄x̄Mx̄DLXIV</t>
        </is>
      </c>
      <c r="C39565">
        <f>ROMAN(39564)</f>
        <v/>
      </c>
      <c r="D39565">
        <f>IF(B39565=C39565, "YES", "WRONG")</f>
        <v/>
      </c>
    </row>
    <row r="39566">
      <c r="A39566" t="n">
        <v>39565</v>
      </c>
      <c r="B39566" t="inlineStr">
        <is>
          <t>x̄x̄x̄Mx̄DLXV</t>
        </is>
      </c>
      <c r="C39566">
        <f>ROMAN(39565)</f>
        <v/>
      </c>
      <c r="D39566">
        <f>IF(B39566=C39566, "YES", "WRONG")</f>
        <v/>
      </c>
    </row>
    <row r="39567">
      <c r="A39567" t="n">
        <v>39566</v>
      </c>
      <c r="B39567" t="inlineStr">
        <is>
          <t>x̄x̄x̄Mx̄DLXVI</t>
        </is>
      </c>
      <c r="C39567">
        <f>ROMAN(39566)</f>
        <v/>
      </c>
      <c r="D39567">
        <f>IF(B39567=C39567, "YES", "WRONG")</f>
        <v/>
      </c>
    </row>
    <row r="39568">
      <c r="A39568" t="n">
        <v>39567</v>
      </c>
      <c r="B39568" t="inlineStr">
        <is>
          <t>x̄x̄x̄Mx̄DLXVII</t>
        </is>
      </c>
      <c r="C39568">
        <f>ROMAN(39567)</f>
        <v/>
      </c>
      <c r="D39568">
        <f>IF(B39568=C39568, "YES", "WRONG")</f>
        <v/>
      </c>
    </row>
    <row r="39569">
      <c r="A39569" t="n">
        <v>39568</v>
      </c>
      <c r="B39569" t="inlineStr">
        <is>
          <t>x̄x̄x̄Mx̄DLXVIII</t>
        </is>
      </c>
      <c r="C39569">
        <f>ROMAN(39568)</f>
        <v/>
      </c>
      <c r="D39569">
        <f>IF(B39569=C39569, "YES", "WRONG")</f>
        <v/>
      </c>
    </row>
    <row r="39570">
      <c r="A39570" t="n">
        <v>39569</v>
      </c>
      <c r="B39570" t="inlineStr">
        <is>
          <t>x̄x̄x̄Mx̄DLXIX</t>
        </is>
      </c>
      <c r="C39570">
        <f>ROMAN(39569)</f>
        <v/>
      </c>
      <c r="D39570">
        <f>IF(B39570=C39570, "YES", "WRONG")</f>
        <v/>
      </c>
    </row>
    <row r="39571">
      <c r="A39571" t="n">
        <v>39570</v>
      </c>
      <c r="B39571" t="inlineStr">
        <is>
          <t>x̄x̄x̄Mx̄DLXX</t>
        </is>
      </c>
      <c r="C39571">
        <f>ROMAN(39570)</f>
        <v/>
      </c>
      <c r="D39571">
        <f>IF(B39571=C39571, "YES", "WRONG")</f>
        <v/>
      </c>
    </row>
    <row r="39572">
      <c r="A39572" t="n">
        <v>39571</v>
      </c>
      <c r="B39572" t="inlineStr">
        <is>
          <t>x̄x̄x̄Mx̄DLXXI</t>
        </is>
      </c>
      <c r="C39572">
        <f>ROMAN(39571)</f>
        <v/>
      </c>
      <c r="D39572">
        <f>IF(B39572=C39572, "YES", "WRONG")</f>
        <v/>
      </c>
    </row>
    <row r="39573">
      <c r="A39573" t="n">
        <v>39572</v>
      </c>
      <c r="B39573" t="inlineStr">
        <is>
          <t>x̄x̄x̄Mx̄DLXXII</t>
        </is>
      </c>
      <c r="C39573">
        <f>ROMAN(39572)</f>
        <v/>
      </c>
      <c r="D39573">
        <f>IF(B39573=C39573, "YES", "WRONG")</f>
        <v/>
      </c>
    </row>
    <row r="39574">
      <c r="A39574" t="n">
        <v>39573</v>
      </c>
      <c r="B39574" t="inlineStr">
        <is>
          <t>x̄x̄x̄Mx̄DLXXIII</t>
        </is>
      </c>
      <c r="C39574">
        <f>ROMAN(39573)</f>
        <v/>
      </c>
      <c r="D39574">
        <f>IF(B39574=C39574, "YES", "WRONG")</f>
        <v/>
      </c>
    </row>
    <row r="39575">
      <c r="A39575" t="n">
        <v>39574</v>
      </c>
      <c r="B39575" t="inlineStr">
        <is>
          <t>x̄x̄x̄Mx̄DLXXIV</t>
        </is>
      </c>
      <c r="C39575">
        <f>ROMAN(39574)</f>
        <v/>
      </c>
      <c r="D39575">
        <f>IF(B39575=C39575, "YES", "WRONG")</f>
        <v/>
      </c>
    </row>
    <row r="39576">
      <c r="A39576" t="n">
        <v>39575</v>
      </c>
      <c r="B39576" t="inlineStr">
        <is>
          <t>x̄x̄x̄Mx̄DLXXV</t>
        </is>
      </c>
      <c r="C39576">
        <f>ROMAN(39575)</f>
        <v/>
      </c>
      <c r="D39576">
        <f>IF(B39576=C39576, "YES", "WRONG")</f>
        <v/>
      </c>
    </row>
    <row r="39577">
      <c r="A39577" t="n">
        <v>39576</v>
      </c>
      <c r="B39577" t="inlineStr">
        <is>
          <t>x̄x̄x̄Mx̄DLXXVI</t>
        </is>
      </c>
      <c r="C39577">
        <f>ROMAN(39576)</f>
        <v/>
      </c>
      <c r="D39577">
        <f>IF(B39577=C39577, "YES", "WRONG")</f>
        <v/>
      </c>
    </row>
    <row r="39578">
      <c r="A39578" t="n">
        <v>39577</v>
      </c>
      <c r="B39578" t="inlineStr">
        <is>
          <t>x̄x̄x̄Mx̄DLXXVII</t>
        </is>
      </c>
      <c r="C39578">
        <f>ROMAN(39577)</f>
        <v/>
      </c>
      <c r="D39578">
        <f>IF(B39578=C39578, "YES", "WRONG")</f>
        <v/>
      </c>
    </row>
    <row r="39579">
      <c r="A39579" t="n">
        <v>39578</v>
      </c>
      <c r="B39579" t="inlineStr">
        <is>
          <t>x̄x̄x̄Mx̄DLXXVIII</t>
        </is>
      </c>
      <c r="C39579">
        <f>ROMAN(39578)</f>
        <v/>
      </c>
      <c r="D39579">
        <f>IF(B39579=C39579, "YES", "WRONG")</f>
        <v/>
      </c>
    </row>
    <row r="39580">
      <c r="A39580" t="n">
        <v>39579</v>
      </c>
      <c r="B39580" t="inlineStr">
        <is>
          <t>x̄x̄x̄Mx̄DLXXIX</t>
        </is>
      </c>
      <c r="C39580">
        <f>ROMAN(39579)</f>
        <v/>
      </c>
      <c r="D39580">
        <f>IF(B39580=C39580, "YES", "WRONG")</f>
        <v/>
      </c>
    </row>
    <row r="39581">
      <c r="A39581" t="n">
        <v>39580</v>
      </c>
      <c r="B39581" t="inlineStr">
        <is>
          <t>x̄x̄x̄Mx̄DLXXX</t>
        </is>
      </c>
      <c r="C39581">
        <f>ROMAN(39580)</f>
        <v/>
      </c>
      <c r="D39581">
        <f>IF(B39581=C39581, "YES", "WRONG")</f>
        <v/>
      </c>
    </row>
    <row r="39582">
      <c r="A39582" t="n">
        <v>39581</v>
      </c>
      <c r="B39582" t="inlineStr">
        <is>
          <t>x̄x̄x̄Mx̄DLXXXI</t>
        </is>
      </c>
      <c r="C39582">
        <f>ROMAN(39581)</f>
        <v/>
      </c>
      <c r="D39582">
        <f>IF(B39582=C39582, "YES", "WRONG")</f>
        <v/>
      </c>
    </row>
    <row r="39583">
      <c r="A39583" t="n">
        <v>39582</v>
      </c>
      <c r="B39583" t="inlineStr">
        <is>
          <t>x̄x̄x̄Mx̄DLXXXII</t>
        </is>
      </c>
      <c r="C39583">
        <f>ROMAN(39582)</f>
        <v/>
      </c>
      <c r="D39583">
        <f>IF(B39583=C39583, "YES", "WRONG")</f>
        <v/>
      </c>
    </row>
    <row r="39584">
      <c r="A39584" t="n">
        <v>39583</v>
      </c>
      <c r="B39584" t="inlineStr">
        <is>
          <t>x̄x̄x̄Mx̄DLXXXIII</t>
        </is>
      </c>
      <c r="C39584">
        <f>ROMAN(39583)</f>
        <v/>
      </c>
      <c r="D39584">
        <f>IF(B39584=C39584, "YES", "WRONG")</f>
        <v/>
      </c>
    </row>
    <row r="39585">
      <c r="A39585" t="n">
        <v>39584</v>
      </c>
      <c r="B39585" t="inlineStr">
        <is>
          <t>x̄x̄x̄Mx̄DLXXXIV</t>
        </is>
      </c>
      <c r="C39585">
        <f>ROMAN(39584)</f>
        <v/>
      </c>
      <c r="D39585">
        <f>IF(B39585=C39585, "YES", "WRONG")</f>
        <v/>
      </c>
    </row>
    <row r="39586">
      <c r="A39586" t="n">
        <v>39585</v>
      </c>
      <c r="B39586" t="inlineStr">
        <is>
          <t>x̄x̄x̄Mx̄DLXXXV</t>
        </is>
      </c>
      <c r="C39586">
        <f>ROMAN(39585)</f>
        <v/>
      </c>
      <c r="D39586">
        <f>IF(B39586=C39586, "YES", "WRONG")</f>
        <v/>
      </c>
    </row>
    <row r="39587">
      <c r="A39587" t="n">
        <v>39586</v>
      </c>
      <c r="B39587" t="inlineStr">
        <is>
          <t>x̄x̄x̄Mx̄DLXXXVI</t>
        </is>
      </c>
      <c r="C39587">
        <f>ROMAN(39586)</f>
        <v/>
      </c>
      <c r="D39587">
        <f>IF(B39587=C39587, "YES", "WRONG")</f>
        <v/>
      </c>
    </row>
    <row r="39588">
      <c r="A39588" t="n">
        <v>39587</v>
      </c>
      <c r="B39588" t="inlineStr">
        <is>
          <t>x̄x̄x̄Mx̄DLXXXVII</t>
        </is>
      </c>
      <c r="C39588">
        <f>ROMAN(39587)</f>
        <v/>
      </c>
      <c r="D39588">
        <f>IF(B39588=C39588, "YES", "WRONG")</f>
        <v/>
      </c>
    </row>
    <row r="39589">
      <c r="A39589" t="n">
        <v>39588</v>
      </c>
      <c r="B39589" t="inlineStr">
        <is>
          <t>x̄x̄x̄Mx̄DLXXXVIII</t>
        </is>
      </c>
      <c r="C39589">
        <f>ROMAN(39588)</f>
        <v/>
      </c>
      <c r="D39589">
        <f>IF(B39589=C39589, "YES", "WRONG")</f>
        <v/>
      </c>
    </row>
    <row r="39590">
      <c r="A39590" t="n">
        <v>39589</v>
      </c>
      <c r="B39590" t="inlineStr">
        <is>
          <t>x̄x̄x̄Mx̄DLXXXIX</t>
        </is>
      </c>
      <c r="C39590">
        <f>ROMAN(39589)</f>
        <v/>
      </c>
      <c r="D39590">
        <f>IF(B39590=C39590, "YES", "WRONG")</f>
        <v/>
      </c>
    </row>
    <row r="39591">
      <c r="A39591" t="n">
        <v>39590</v>
      </c>
      <c r="B39591" t="inlineStr">
        <is>
          <t>x̄x̄x̄Mx̄DXC</t>
        </is>
      </c>
      <c r="C39591">
        <f>ROMAN(39590)</f>
        <v/>
      </c>
      <c r="D39591">
        <f>IF(B39591=C39591, "YES", "WRONG")</f>
        <v/>
      </c>
    </row>
    <row r="39592">
      <c r="A39592" t="n">
        <v>39591</v>
      </c>
      <c r="B39592" t="inlineStr">
        <is>
          <t>x̄x̄x̄Mx̄DXCI</t>
        </is>
      </c>
      <c r="C39592">
        <f>ROMAN(39591)</f>
        <v/>
      </c>
      <c r="D39592">
        <f>IF(B39592=C39592, "YES", "WRONG")</f>
        <v/>
      </c>
    </row>
    <row r="39593">
      <c r="A39593" t="n">
        <v>39592</v>
      </c>
      <c r="B39593" t="inlineStr">
        <is>
          <t>x̄x̄x̄Mx̄DXCII</t>
        </is>
      </c>
      <c r="C39593">
        <f>ROMAN(39592)</f>
        <v/>
      </c>
      <c r="D39593">
        <f>IF(B39593=C39593, "YES", "WRONG")</f>
        <v/>
      </c>
    </row>
    <row r="39594">
      <c r="A39594" t="n">
        <v>39593</v>
      </c>
      <c r="B39594" t="inlineStr">
        <is>
          <t>x̄x̄x̄Mx̄DXCIII</t>
        </is>
      </c>
      <c r="C39594">
        <f>ROMAN(39593)</f>
        <v/>
      </c>
      <c r="D39594">
        <f>IF(B39594=C39594, "YES", "WRONG")</f>
        <v/>
      </c>
    </row>
    <row r="39595">
      <c r="A39595" t="n">
        <v>39594</v>
      </c>
      <c r="B39595" t="inlineStr">
        <is>
          <t>x̄x̄x̄Mx̄DXCIV</t>
        </is>
      </c>
      <c r="C39595">
        <f>ROMAN(39594)</f>
        <v/>
      </c>
      <c r="D39595">
        <f>IF(B39595=C39595, "YES", "WRONG")</f>
        <v/>
      </c>
    </row>
    <row r="39596">
      <c r="A39596" t="n">
        <v>39595</v>
      </c>
      <c r="B39596" t="inlineStr">
        <is>
          <t>x̄x̄x̄Mx̄DXCV</t>
        </is>
      </c>
      <c r="C39596">
        <f>ROMAN(39595)</f>
        <v/>
      </c>
      <c r="D39596">
        <f>IF(B39596=C39596, "YES", "WRONG")</f>
        <v/>
      </c>
    </row>
    <row r="39597">
      <c r="A39597" t="n">
        <v>39596</v>
      </c>
      <c r="B39597" t="inlineStr">
        <is>
          <t>x̄x̄x̄Mx̄DXCVI</t>
        </is>
      </c>
      <c r="C39597">
        <f>ROMAN(39596)</f>
        <v/>
      </c>
      <c r="D39597">
        <f>IF(B39597=C39597, "YES", "WRONG")</f>
        <v/>
      </c>
    </row>
    <row r="39598">
      <c r="A39598" t="n">
        <v>39597</v>
      </c>
      <c r="B39598" t="inlineStr">
        <is>
          <t>x̄x̄x̄Mx̄DXCVII</t>
        </is>
      </c>
      <c r="C39598">
        <f>ROMAN(39597)</f>
        <v/>
      </c>
      <c r="D39598">
        <f>IF(B39598=C39598, "YES", "WRONG")</f>
        <v/>
      </c>
    </row>
    <row r="39599">
      <c r="A39599" t="n">
        <v>39598</v>
      </c>
      <c r="B39599" t="inlineStr">
        <is>
          <t>x̄x̄x̄Mx̄DXCVIII</t>
        </is>
      </c>
      <c r="C39599">
        <f>ROMAN(39598)</f>
        <v/>
      </c>
      <c r="D39599">
        <f>IF(B39599=C39599, "YES", "WRONG")</f>
        <v/>
      </c>
    </row>
    <row r="39600">
      <c r="A39600" t="n">
        <v>39599</v>
      </c>
      <c r="B39600" t="inlineStr">
        <is>
          <t>x̄x̄x̄Mx̄DXCIX</t>
        </is>
      </c>
      <c r="C39600">
        <f>ROMAN(39599)</f>
        <v/>
      </c>
      <c r="D39600">
        <f>IF(B39600=C39600, "YES", "WRONG")</f>
        <v/>
      </c>
    </row>
    <row r="39601">
      <c r="A39601" t="n">
        <v>39600</v>
      </c>
      <c r="B39601" t="inlineStr">
        <is>
          <t>x̄x̄x̄Mx̄DC</t>
        </is>
      </c>
      <c r="C39601">
        <f>ROMAN(39600)</f>
        <v/>
      </c>
      <c r="D39601">
        <f>IF(B39601=C39601, "YES", "WRONG")</f>
        <v/>
      </c>
    </row>
    <row r="39602">
      <c r="A39602" t="n">
        <v>39601</v>
      </c>
      <c r="B39602" t="inlineStr">
        <is>
          <t>x̄x̄x̄Mx̄DCI</t>
        </is>
      </c>
      <c r="C39602">
        <f>ROMAN(39601)</f>
        <v/>
      </c>
      <c r="D39602">
        <f>IF(B39602=C39602, "YES", "WRONG")</f>
        <v/>
      </c>
    </row>
    <row r="39603">
      <c r="A39603" t="n">
        <v>39602</v>
      </c>
      <c r="B39603" t="inlineStr">
        <is>
          <t>x̄x̄x̄Mx̄DCII</t>
        </is>
      </c>
      <c r="C39603">
        <f>ROMAN(39602)</f>
        <v/>
      </c>
      <c r="D39603">
        <f>IF(B39603=C39603, "YES", "WRONG")</f>
        <v/>
      </c>
    </row>
    <row r="39604">
      <c r="A39604" t="n">
        <v>39603</v>
      </c>
      <c r="B39604" t="inlineStr">
        <is>
          <t>x̄x̄x̄Mx̄DCIII</t>
        </is>
      </c>
      <c r="C39604">
        <f>ROMAN(39603)</f>
        <v/>
      </c>
      <c r="D39604">
        <f>IF(B39604=C39604, "YES", "WRONG")</f>
        <v/>
      </c>
    </row>
    <row r="39605">
      <c r="A39605" t="n">
        <v>39604</v>
      </c>
      <c r="B39605" t="inlineStr">
        <is>
          <t>x̄x̄x̄Mx̄DCIV</t>
        </is>
      </c>
      <c r="C39605">
        <f>ROMAN(39604)</f>
        <v/>
      </c>
      <c r="D39605">
        <f>IF(B39605=C39605, "YES", "WRONG")</f>
        <v/>
      </c>
    </row>
    <row r="39606">
      <c r="A39606" t="n">
        <v>39605</v>
      </c>
      <c r="B39606" t="inlineStr">
        <is>
          <t>x̄x̄x̄Mx̄DCV</t>
        </is>
      </c>
      <c r="C39606">
        <f>ROMAN(39605)</f>
        <v/>
      </c>
      <c r="D39606">
        <f>IF(B39606=C39606, "YES", "WRONG")</f>
        <v/>
      </c>
    </row>
    <row r="39607">
      <c r="A39607" t="n">
        <v>39606</v>
      </c>
      <c r="B39607" t="inlineStr">
        <is>
          <t>x̄x̄x̄Mx̄DCVI</t>
        </is>
      </c>
      <c r="C39607">
        <f>ROMAN(39606)</f>
        <v/>
      </c>
      <c r="D39607">
        <f>IF(B39607=C39607, "YES", "WRONG")</f>
        <v/>
      </c>
    </row>
    <row r="39608">
      <c r="A39608" t="n">
        <v>39607</v>
      </c>
      <c r="B39608" t="inlineStr">
        <is>
          <t>x̄x̄x̄Mx̄DCVII</t>
        </is>
      </c>
      <c r="C39608">
        <f>ROMAN(39607)</f>
        <v/>
      </c>
      <c r="D39608">
        <f>IF(B39608=C39608, "YES", "WRONG")</f>
        <v/>
      </c>
    </row>
    <row r="39609">
      <c r="A39609" t="n">
        <v>39608</v>
      </c>
      <c r="B39609" t="inlineStr">
        <is>
          <t>x̄x̄x̄Mx̄DCVIII</t>
        </is>
      </c>
      <c r="C39609">
        <f>ROMAN(39608)</f>
        <v/>
      </c>
      <c r="D39609">
        <f>IF(B39609=C39609, "YES", "WRONG")</f>
        <v/>
      </c>
    </row>
    <row r="39610">
      <c r="A39610" t="n">
        <v>39609</v>
      </c>
      <c r="B39610" t="inlineStr">
        <is>
          <t>x̄x̄x̄Mx̄DCIX</t>
        </is>
      </c>
      <c r="C39610">
        <f>ROMAN(39609)</f>
        <v/>
      </c>
      <c r="D39610">
        <f>IF(B39610=C39610, "YES", "WRONG")</f>
        <v/>
      </c>
    </row>
    <row r="39611">
      <c r="A39611" t="n">
        <v>39610</v>
      </c>
      <c r="B39611" t="inlineStr">
        <is>
          <t>x̄x̄x̄Mx̄DCX</t>
        </is>
      </c>
      <c r="C39611">
        <f>ROMAN(39610)</f>
        <v/>
      </c>
      <c r="D39611">
        <f>IF(B39611=C39611, "YES", "WRONG")</f>
        <v/>
      </c>
    </row>
    <row r="39612">
      <c r="A39612" t="n">
        <v>39611</v>
      </c>
      <c r="B39612" t="inlineStr">
        <is>
          <t>x̄x̄x̄Mx̄DCXI</t>
        </is>
      </c>
      <c r="C39612">
        <f>ROMAN(39611)</f>
        <v/>
      </c>
      <c r="D39612">
        <f>IF(B39612=C39612, "YES", "WRONG")</f>
        <v/>
      </c>
    </row>
    <row r="39613">
      <c r="A39613" t="n">
        <v>39612</v>
      </c>
      <c r="B39613" t="inlineStr">
        <is>
          <t>x̄x̄x̄Mx̄DCXII</t>
        </is>
      </c>
      <c r="C39613">
        <f>ROMAN(39612)</f>
        <v/>
      </c>
      <c r="D39613">
        <f>IF(B39613=C39613, "YES", "WRONG")</f>
        <v/>
      </c>
    </row>
    <row r="39614">
      <c r="A39614" t="n">
        <v>39613</v>
      </c>
      <c r="B39614" t="inlineStr">
        <is>
          <t>x̄x̄x̄Mx̄DCXIII</t>
        </is>
      </c>
      <c r="C39614">
        <f>ROMAN(39613)</f>
        <v/>
      </c>
      <c r="D39614">
        <f>IF(B39614=C39614, "YES", "WRONG")</f>
        <v/>
      </c>
    </row>
    <row r="39615">
      <c r="A39615" t="n">
        <v>39614</v>
      </c>
      <c r="B39615" t="inlineStr">
        <is>
          <t>x̄x̄x̄Mx̄DCXIV</t>
        </is>
      </c>
      <c r="C39615">
        <f>ROMAN(39614)</f>
        <v/>
      </c>
      <c r="D39615">
        <f>IF(B39615=C39615, "YES", "WRONG")</f>
        <v/>
      </c>
    </row>
    <row r="39616">
      <c r="A39616" t="n">
        <v>39615</v>
      </c>
      <c r="B39616" t="inlineStr">
        <is>
          <t>x̄x̄x̄Mx̄DCXV</t>
        </is>
      </c>
      <c r="C39616">
        <f>ROMAN(39615)</f>
        <v/>
      </c>
      <c r="D39616">
        <f>IF(B39616=C39616, "YES", "WRONG")</f>
        <v/>
      </c>
    </row>
    <row r="39617">
      <c r="A39617" t="n">
        <v>39616</v>
      </c>
      <c r="B39617" t="inlineStr">
        <is>
          <t>x̄x̄x̄Mx̄DCXVI</t>
        </is>
      </c>
      <c r="C39617">
        <f>ROMAN(39616)</f>
        <v/>
      </c>
      <c r="D39617">
        <f>IF(B39617=C39617, "YES", "WRONG")</f>
        <v/>
      </c>
    </row>
    <row r="39618">
      <c r="A39618" t="n">
        <v>39617</v>
      </c>
      <c r="B39618" t="inlineStr">
        <is>
          <t>x̄x̄x̄Mx̄DCXVII</t>
        </is>
      </c>
      <c r="C39618">
        <f>ROMAN(39617)</f>
        <v/>
      </c>
      <c r="D39618">
        <f>IF(B39618=C39618, "YES", "WRONG")</f>
        <v/>
      </c>
    </row>
    <row r="39619">
      <c r="A39619" t="n">
        <v>39618</v>
      </c>
      <c r="B39619" t="inlineStr">
        <is>
          <t>x̄x̄x̄Mx̄DCXVIII</t>
        </is>
      </c>
      <c r="C39619">
        <f>ROMAN(39618)</f>
        <v/>
      </c>
      <c r="D39619">
        <f>IF(B39619=C39619, "YES", "WRONG")</f>
        <v/>
      </c>
    </row>
    <row r="39620">
      <c r="A39620" t="n">
        <v>39619</v>
      </c>
      <c r="B39620" t="inlineStr">
        <is>
          <t>x̄x̄x̄Mx̄DCXIX</t>
        </is>
      </c>
      <c r="C39620">
        <f>ROMAN(39619)</f>
        <v/>
      </c>
      <c r="D39620">
        <f>IF(B39620=C39620, "YES", "WRONG")</f>
        <v/>
      </c>
    </row>
    <row r="39621">
      <c r="A39621" t="n">
        <v>39620</v>
      </c>
      <c r="B39621" t="inlineStr">
        <is>
          <t>x̄x̄x̄Mx̄DCXX</t>
        </is>
      </c>
      <c r="C39621">
        <f>ROMAN(39620)</f>
        <v/>
      </c>
      <c r="D39621">
        <f>IF(B39621=C39621, "YES", "WRONG")</f>
        <v/>
      </c>
    </row>
    <row r="39622">
      <c r="A39622" t="n">
        <v>39621</v>
      </c>
      <c r="B39622" t="inlineStr">
        <is>
          <t>x̄x̄x̄Mx̄DCXXI</t>
        </is>
      </c>
      <c r="C39622">
        <f>ROMAN(39621)</f>
        <v/>
      </c>
      <c r="D39622">
        <f>IF(B39622=C39622, "YES", "WRONG")</f>
        <v/>
      </c>
    </row>
    <row r="39623">
      <c r="A39623" t="n">
        <v>39622</v>
      </c>
      <c r="B39623" t="inlineStr">
        <is>
          <t>x̄x̄x̄Mx̄DCXXII</t>
        </is>
      </c>
      <c r="C39623">
        <f>ROMAN(39622)</f>
        <v/>
      </c>
      <c r="D39623">
        <f>IF(B39623=C39623, "YES", "WRONG")</f>
        <v/>
      </c>
    </row>
    <row r="39624">
      <c r="A39624" t="n">
        <v>39623</v>
      </c>
      <c r="B39624" t="inlineStr">
        <is>
          <t>x̄x̄x̄Mx̄DCXXIII</t>
        </is>
      </c>
      <c r="C39624">
        <f>ROMAN(39623)</f>
        <v/>
      </c>
      <c r="D39624">
        <f>IF(B39624=C39624, "YES", "WRONG")</f>
        <v/>
      </c>
    </row>
    <row r="39625">
      <c r="A39625" t="n">
        <v>39624</v>
      </c>
      <c r="B39625" t="inlineStr">
        <is>
          <t>x̄x̄x̄Mx̄DCXXIV</t>
        </is>
      </c>
      <c r="C39625">
        <f>ROMAN(39624)</f>
        <v/>
      </c>
      <c r="D39625">
        <f>IF(B39625=C39625, "YES", "WRONG")</f>
        <v/>
      </c>
    </row>
    <row r="39626">
      <c r="A39626" t="n">
        <v>39625</v>
      </c>
      <c r="B39626" t="inlineStr">
        <is>
          <t>x̄x̄x̄Mx̄DCXXV</t>
        </is>
      </c>
      <c r="C39626">
        <f>ROMAN(39625)</f>
        <v/>
      </c>
      <c r="D39626">
        <f>IF(B39626=C39626, "YES", "WRONG")</f>
        <v/>
      </c>
    </row>
    <row r="39627">
      <c r="A39627" t="n">
        <v>39626</v>
      </c>
      <c r="B39627" t="inlineStr">
        <is>
          <t>x̄x̄x̄Mx̄DCXXVI</t>
        </is>
      </c>
      <c r="C39627">
        <f>ROMAN(39626)</f>
        <v/>
      </c>
      <c r="D39627">
        <f>IF(B39627=C39627, "YES", "WRONG")</f>
        <v/>
      </c>
    </row>
    <row r="39628">
      <c r="A39628" t="n">
        <v>39627</v>
      </c>
      <c r="B39628" t="inlineStr">
        <is>
          <t>x̄x̄x̄Mx̄DCXXVII</t>
        </is>
      </c>
      <c r="C39628">
        <f>ROMAN(39627)</f>
        <v/>
      </c>
      <c r="D39628">
        <f>IF(B39628=C39628, "YES", "WRONG")</f>
        <v/>
      </c>
    </row>
    <row r="39629">
      <c r="A39629" t="n">
        <v>39628</v>
      </c>
      <c r="B39629" t="inlineStr">
        <is>
          <t>x̄x̄x̄Mx̄DCXXVIII</t>
        </is>
      </c>
      <c r="C39629">
        <f>ROMAN(39628)</f>
        <v/>
      </c>
      <c r="D39629">
        <f>IF(B39629=C39629, "YES", "WRONG")</f>
        <v/>
      </c>
    </row>
    <row r="39630">
      <c r="A39630" t="n">
        <v>39629</v>
      </c>
      <c r="B39630" t="inlineStr">
        <is>
          <t>x̄x̄x̄Mx̄DCXXIX</t>
        </is>
      </c>
      <c r="C39630">
        <f>ROMAN(39629)</f>
        <v/>
      </c>
      <c r="D39630">
        <f>IF(B39630=C39630, "YES", "WRONG")</f>
        <v/>
      </c>
    </row>
    <row r="39631">
      <c r="A39631" t="n">
        <v>39630</v>
      </c>
      <c r="B39631" t="inlineStr">
        <is>
          <t>x̄x̄x̄Mx̄DCXXX</t>
        </is>
      </c>
      <c r="C39631">
        <f>ROMAN(39630)</f>
        <v/>
      </c>
      <c r="D39631">
        <f>IF(B39631=C39631, "YES", "WRONG")</f>
        <v/>
      </c>
    </row>
    <row r="39632">
      <c r="A39632" t="n">
        <v>39631</v>
      </c>
      <c r="B39632" t="inlineStr">
        <is>
          <t>x̄x̄x̄Mx̄DCXXXI</t>
        </is>
      </c>
      <c r="C39632">
        <f>ROMAN(39631)</f>
        <v/>
      </c>
      <c r="D39632">
        <f>IF(B39632=C39632, "YES", "WRONG")</f>
        <v/>
      </c>
    </row>
    <row r="39633">
      <c r="A39633" t="n">
        <v>39632</v>
      </c>
      <c r="B39633" t="inlineStr">
        <is>
          <t>x̄x̄x̄Mx̄DCXXXII</t>
        </is>
      </c>
      <c r="C39633">
        <f>ROMAN(39632)</f>
        <v/>
      </c>
      <c r="D39633">
        <f>IF(B39633=C39633, "YES", "WRONG")</f>
        <v/>
      </c>
    </row>
    <row r="39634">
      <c r="A39634" t="n">
        <v>39633</v>
      </c>
      <c r="B39634" t="inlineStr">
        <is>
          <t>x̄x̄x̄Mx̄DCXXXIII</t>
        </is>
      </c>
      <c r="C39634">
        <f>ROMAN(39633)</f>
        <v/>
      </c>
      <c r="D39634">
        <f>IF(B39634=C39634, "YES", "WRONG")</f>
        <v/>
      </c>
    </row>
    <row r="39635">
      <c r="A39635" t="n">
        <v>39634</v>
      </c>
      <c r="B39635" t="inlineStr">
        <is>
          <t>x̄x̄x̄Mx̄DCXXXIV</t>
        </is>
      </c>
      <c r="C39635">
        <f>ROMAN(39634)</f>
        <v/>
      </c>
      <c r="D39635">
        <f>IF(B39635=C39635, "YES", "WRONG")</f>
        <v/>
      </c>
    </row>
    <row r="39636">
      <c r="A39636" t="n">
        <v>39635</v>
      </c>
      <c r="B39636" t="inlineStr">
        <is>
          <t>x̄x̄x̄Mx̄DCXXXV</t>
        </is>
      </c>
      <c r="C39636">
        <f>ROMAN(39635)</f>
        <v/>
      </c>
      <c r="D39636">
        <f>IF(B39636=C39636, "YES", "WRONG")</f>
        <v/>
      </c>
    </row>
    <row r="39637">
      <c r="A39637" t="n">
        <v>39636</v>
      </c>
      <c r="B39637" t="inlineStr">
        <is>
          <t>x̄x̄x̄Mx̄DCXXXVI</t>
        </is>
      </c>
      <c r="C39637">
        <f>ROMAN(39636)</f>
        <v/>
      </c>
      <c r="D39637">
        <f>IF(B39637=C39637, "YES", "WRONG")</f>
        <v/>
      </c>
    </row>
    <row r="39638">
      <c r="A39638" t="n">
        <v>39637</v>
      </c>
      <c r="B39638" t="inlineStr">
        <is>
          <t>x̄x̄x̄Mx̄DCXXXVII</t>
        </is>
      </c>
      <c r="C39638">
        <f>ROMAN(39637)</f>
        <v/>
      </c>
      <c r="D39638">
        <f>IF(B39638=C39638, "YES", "WRONG")</f>
        <v/>
      </c>
    </row>
    <row r="39639">
      <c r="A39639" t="n">
        <v>39638</v>
      </c>
      <c r="B39639" t="inlineStr">
        <is>
          <t>x̄x̄x̄Mx̄DCXXXVIII</t>
        </is>
      </c>
      <c r="C39639">
        <f>ROMAN(39638)</f>
        <v/>
      </c>
      <c r="D39639">
        <f>IF(B39639=C39639, "YES", "WRONG")</f>
        <v/>
      </c>
    </row>
    <row r="39640">
      <c r="A39640" t="n">
        <v>39639</v>
      </c>
      <c r="B39640" t="inlineStr">
        <is>
          <t>x̄x̄x̄Mx̄DCXXXIX</t>
        </is>
      </c>
      <c r="C39640">
        <f>ROMAN(39639)</f>
        <v/>
      </c>
      <c r="D39640">
        <f>IF(B39640=C39640, "YES", "WRONG")</f>
        <v/>
      </c>
    </row>
    <row r="39641">
      <c r="A39641" t="n">
        <v>39640</v>
      </c>
      <c r="B39641" t="inlineStr">
        <is>
          <t>x̄x̄x̄Mx̄DCXL</t>
        </is>
      </c>
      <c r="C39641">
        <f>ROMAN(39640)</f>
        <v/>
      </c>
      <c r="D39641">
        <f>IF(B39641=C39641, "YES", "WRONG")</f>
        <v/>
      </c>
    </row>
    <row r="39642">
      <c r="A39642" t="n">
        <v>39641</v>
      </c>
      <c r="B39642" t="inlineStr">
        <is>
          <t>x̄x̄x̄Mx̄DCXLI</t>
        </is>
      </c>
      <c r="C39642">
        <f>ROMAN(39641)</f>
        <v/>
      </c>
      <c r="D39642">
        <f>IF(B39642=C39642, "YES", "WRONG")</f>
        <v/>
      </c>
    </row>
    <row r="39643">
      <c r="A39643" t="n">
        <v>39642</v>
      </c>
      <c r="B39643" t="inlineStr">
        <is>
          <t>x̄x̄x̄Mx̄DCXLII</t>
        </is>
      </c>
      <c r="C39643">
        <f>ROMAN(39642)</f>
        <v/>
      </c>
      <c r="D39643">
        <f>IF(B39643=C39643, "YES", "WRONG")</f>
        <v/>
      </c>
    </row>
    <row r="39644">
      <c r="A39644" t="n">
        <v>39643</v>
      </c>
      <c r="B39644" t="inlineStr">
        <is>
          <t>x̄x̄x̄Mx̄DCXLIII</t>
        </is>
      </c>
      <c r="C39644">
        <f>ROMAN(39643)</f>
        <v/>
      </c>
      <c r="D39644">
        <f>IF(B39644=C39644, "YES", "WRONG")</f>
        <v/>
      </c>
    </row>
    <row r="39645">
      <c r="A39645" t="n">
        <v>39644</v>
      </c>
      <c r="B39645" t="inlineStr">
        <is>
          <t>x̄x̄x̄Mx̄DCXLIV</t>
        </is>
      </c>
      <c r="C39645">
        <f>ROMAN(39644)</f>
        <v/>
      </c>
      <c r="D39645">
        <f>IF(B39645=C39645, "YES", "WRONG")</f>
        <v/>
      </c>
    </row>
    <row r="39646">
      <c r="A39646" t="n">
        <v>39645</v>
      </c>
      <c r="B39646" t="inlineStr">
        <is>
          <t>x̄x̄x̄Mx̄DCXLV</t>
        </is>
      </c>
      <c r="C39646">
        <f>ROMAN(39645)</f>
        <v/>
      </c>
      <c r="D39646">
        <f>IF(B39646=C39646, "YES", "WRONG")</f>
        <v/>
      </c>
    </row>
    <row r="39647">
      <c r="A39647" t="n">
        <v>39646</v>
      </c>
      <c r="B39647" t="inlineStr">
        <is>
          <t>x̄x̄x̄Mx̄DCXLVI</t>
        </is>
      </c>
      <c r="C39647">
        <f>ROMAN(39646)</f>
        <v/>
      </c>
      <c r="D39647">
        <f>IF(B39647=C39647, "YES", "WRONG")</f>
        <v/>
      </c>
    </row>
    <row r="39648">
      <c r="A39648" t="n">
        <v>39647</v>
      </c>
      <c r="B39648" t="inlineStr">
        <is>
          <t>x̄x̄x̄Mx̄DCXLVII</t>
        </is>
      </c>
      <c r="C39648">
        <f>ROMAN(39647)</f>
        <v/>
      </c>
      <c r="D39648">
        <f>IF(B39648=C39648, "YES", "WRONG")</f>
        <v/>
      </c>
    </row>
    <row r="39649">
      <c r="A39649" t="n">
        <v>39648</v>
      </c>
      <c r="B39649" t="inlineStr">
        <is>
          <t>x̄x̄x̄Mx̄DCXLVIII</t>
        </is>
      </c>
      <c r="C39649">
        <f>ROMAN(39648)</f>
        <v/>
      </c>
      <c r="D39649">
        <f>IF(B39649=C39649, "YES", "WRONG")</f>
        <v/>
      </c>
    </row>
    <row r="39650">
      <c r="A39650" t="n">
        <v>39649</v>
      </c>
      <c r="B39650" t="inlineStr">
        <is>
          <t>x̄x̄x̄Mx̄DCXLIX</t>
        </is>
      </c>
      <c r="C39650">
        <f>ROMAN(39649)</f>
        <v/>
      </c>
      <c r="D39650">
        <f>IF(B39650=C39650, "YES", "WRONG")</f>
        <v/>
      </c>
    </row>
    <row r="39651">
      <c r="A39651" t="n">
        <v>39650</v>
      </c>
      <c r="B39651" t="inlineStr">
        <is>
          <t>x̄x̄x̄Mx̄DCL</t>
        </is>
      </c>
      <c r="C39651">
        <f>ROMAN(39650)</f>
        <v/>
      </c>
      <c r="D39651">
        <f>IF(B39651=C39651, "YES", "WRONG")</f>
        <v/>
      </c>
    </row>
    <row r="39652">
      <c r="A39652" t="n">
        <v>39651</v>
      </c>
      <c r="B39652" t="inlineStr">
        <is>
          <t>x̄x̄x̄Mx̄DCLI</t>
        </is>
      </c>
      <c r="C39652">
        <f>ROMAN(39651)</f>
        <v/>
      </c>
      <c r="D39652">
        <f>IF(B39652=C39652, "YES", "WRONG")</f>
        <v/>
      </c>
    </row>
    <row r="39653">
      <c r="A39653" t="n">
        <v>39652</v>
      </c>
      <c r="B39653" t="inlineStr">
        <is>
          <t>x̄x̄x̄Mx̄DCLII</t>
        </is>
      </c>
      <c r="C39653">
        <f>ROMAN(39652)</f>
        <v/>
      </c>
      <c r="D39653">
        <f>IF(B39653=C39653, "YES", "WRONG")</f>
        <v/>
      </c>
    </row>
    <row r="39654">
      <c r="A39654" t="n">
        <v>39653</v>
      </c>
      <c r="B39654" t="inlineStr">
        <is>
          <t>x̄x̄x̄Mx̄DCLIII</t>
        </is>
      </c>
      <c r="C39654">
        <f>ROMAN(39653)</f>
        <v/>
      </c>
      <c r="D39654">
        <f>IF(B39654=C39654, "YES", "WRONG")</f>
        <v/>
      </c>
    </row>
    <row r="39655">
      <c r="A39655" t="n">
        <v>39654</v>
      </c>
      <c r="B39655" t="inlineStr">
        <is>
          <t>x̄x̄x̄Mx̄DCLIV</t>
        </is>
      </c>
      <c r="C39655">
        <f>ROMAN(39654)</f>
        <v/>
      </c>
      <c r="D39655">
        <f>IF(B39655=C39655, "YES", "WRONG")</f>
        <v/>
      </c>
    </row>
    <row r="39656">
      <c r="A39656" t="n">
        <v>39655</v>
      </c>
      <c r="B39656" t="inlineStr">
        <is>
          <t>x̄x̄x̄Mx̄DCLV</t>
        </is>
      </c>
      <c r="C39656">
        <f>ROMAN(39655)</f>
        <v/>
      </c>
      <c r="D39656">
        <f>IF(B39656=C39656, "YES", "WRONG")</f>
        <v/>
      </c>
    </row>
    <row r="39657">
      <c r="A39657" t="n">
        <v>39656</v>
      </c>
      <c r="B39657" t="inlineStr">
        <is>
          <t>x̄x̄x̄Mx̄DCLVI</t>
        </is>
      </c>
      <c r="C39657">
        <f>ROMAN(39656)</f>
        <v/>
      </c>
      <c r="D39657">
        <f>IF(B39657=C39657, "YES", "WRONG")</f>
        <v/>
      </c>
    </row>
    <row r="39658">
      <c r="A39658" t="n">
        <v>39657</v>
      </c>
      <c r="B39658" t="inlineStr">
        <is>
          <t>x̄x̄x̄Mx̄DCLVII</t>
        </is>
      </c>
      <c r="C39658">
        <f>ROMAN(39657)</f>
        <v/>
      </c>
      <c r="D39658">
        <f>IF(B39658=C39658, "YES", "WRONG")</f>
        <v/>
      </c>
    </row>
    <row r="39659">
      <c r="A39659" t="n">
        <v>39658</v>
      </c>
      <c r="B39659" t="inlineStr">
        <is>
          <t>x̄x̄x̄Mx̄DCLVIII</t>
        </is>
      </c>
      <c r="C39659">
        <f>ROMAN(39658)</f>
        <v/>
      </c>
      <c r="D39659">
        <f>IF(B39659=C39659, "YES", "WRONG")</f>
        <v/>
      </c>
    </row>
    <row r="39660">
      <c r="A39660" t="n">
        <v>39659</v>
      </c>
      <c r="B39660" t="inlineStr">
        <is>
          <t>x̄x̄x̄Mx̄DCLIX</t>
        </is>
      </c>
      <c r="C39660">
        <f>ROMAN(39659)</f>
        <v/>
      </c>
      <c r="D39660">
        <f>IF(B39660=C39660, "YES", "WRONG")</f>
        <v/>
      </c>
    </row>
    <row r="39661">
      <c r="A39661" t="n">
        <v>39660</v>
      </c>
      <c r="B39661" t="inlineStr">
        <is>
          <t>x̄x̄x̄Mx̄DCLX</t>
        </is>
      </c>
      <c r="C39661">
        <f>ROMAN(39660)</f>
        <v/>
      </c>
      <c r="D39661">
        <f>IF(B39661=C39661, "YES", "WRONG")</f>
        <v/>
      </c>
    </row>
    <row r="39662">
      <c r="A39662" t="n">
        <v>39661</v>
      </c>
      <c r="B39662" t="inlineStr">
        <is>
          <t>x̄x̄x̄Mx̄DCLXI</t>
        </is>
      </c>
      <c r="C39662">
        <f>ROMAN(39661)</f>
        <v/>
      </c>
      <c r="D39662">
        <f>IF(B39662=C39662, "YES", "WRONG")</f>
        <v/>
      </c>
    </row>
    <row r="39663">
      <c r="A39663" t="n">
        <v>39662</v>
      </c>
      <c r="B39663" t="inlineStr">
        <is>
          <t>x̄x̄x̄Mx̄DCLXII</t>
        </is>
      </c>
      <c r="C39663">
        <f>ROMAN(39662)</f>
        <v/>
      </c>
      <c r="D39663">
        <f>IF(B39663=C39663, "YES", "WRONG")</f>
        <v/>
      </c>
    </row>
    <row r="39664">
      <c r="A39664" t="n">
        <v>39663</v>
      </c>
      <c r="B39664" t="inlineStr">
        <is>
          <t>x̄x̄x̄Mx̄DCLXIII</t>
        </is>
      </c>
      <c r="C39664">
        <f>ROMAN(39663)</f>
        <v/>
      </c>
      <c r="D39664">
        <f>IF(B39664=C39664, "YES", "WRONG")</f>
        <v/>
      </c>
    </row>
    <row r="39665">
      <c r="A39665" t="n">
        <v>39664</v>
      </c>
      <c r="B39665" t="inlineStr">
        <is>
          <t>x̄x̄x̄Mx̄DCLXIV</t>
        </is>
      </c>
      <c r="C39665">
        <f>ROMAN(39664)</f>
        <v/>
      </c>
      <c r="D39665">
        <f>IF(B39665=C39665, "YES", "WRONG")</f>
        <v/>
      </c>
    </row>
    <row r="39666">
      <c r="A39666" t="n">
        <v>39665</v>
      </c>
      <c r="B39666" t="inlineStr">
        <is>
          <t>x̄x̄x̄Mx̄DCLXV</t>
        </is>
      </c>
      <c r="C39666">
        <f>ROMAN(39665)</f>
        <v/>
      </c>
      <c r="D39666">
        <f>IF(B39666=C39666, "YES", "WRONG")</f>
        <v/>
      </c>
    </row>
    <row r="39667">
      <c r="A39667" t="n">
        <v>39666</v>
      </c>
      <c r="B39667" t="inlineStr">
        <is>
          <t>x̄x̄x̄Mx̄DCLXVI</t>
        </is>
      </c>
      <c r="C39667">
        <f>ROMAN(39666)</f>
        <v/>
      </c>
      <c r="D39667">
        <f>IF(B39667=C39667, "YES", "WRONG")</f>
        <v/>
      </c>
    </row>
    <row r="39668">
      <c r="A39668" t="n">
        <v>39667</v>
      </c>
      <c r="B39668" t="inlineStr">
        <is>
          <t>x̄x̄x̄Mx̄DCLXVII</t>
        </is>
      </c>
      <c r="C39668">
        <f>ROMAN(39667)</f>
        <v/>
      </c>
      <c r="D39668">
        <f>IF(B39668=C39668, "YES", "WRONG")</f>
        <v/>
      </c>
    </row>
    <row r="39669">
      <c r="A39669" t="n">
        <v>39668</v>
      </c>
      <c r="B39669" t="inlineStr">
        <is>
          <t>x̄x̄x̄Mx̄DCLXVIII</t>
        </is>
      </c>
      <c r="C39669">
        <f>ROMAN(39668)</f>
        <v/>
      </c>
      <c r="D39669">
        <f>IF(B39669=C39669, "YES", "WRONG")</f>
        <v/>
      </c>
    </row>
    <row r="39670">
      <c r="A39670" t="n">
        <v>39669</v>
      </c>
      <c r="B39670" t="inlineStr">
        <is>
          <t>x̄x̄x̄Mx̄DCLXIX</t>
        </is>
      </c>
      <c r="C39670">
        <f>ROMAN(39669)</f>
        <v/>
      </c>
      <c r="D39670">
        <f>IF(B39670=C39670, "YES", "WRONG")</f>
        <v/>
      </c>
    </row>
    <row r="39671">
      <c r="A39671" t="n">
        <v>39670</v>
      </c>
      <c r="B39671" t="inlineStr">
        <is>
          <t>x̄x̄x̄Mx̄DCLXX</t>
        </is>
      </c>
      <c r="C39671">
        <f>ROMAN(39670)</f>
        <v/>
      </c>
      <c r="D39671">
        <f>IF(B39671=C39671, "YES", "WRONG")</f>
        <v/>
      </c>
    </row>
    <row r="39672">
      <c r="A39672" t="n">
        <v>39671</v>
      </c>
      <c r="B39672" t="inlineStr">
        <is>
          <t>x̄x̄x̄Mx̄DCLXXI</t>
        </is>
      </c>
      <c r="C39672">
        <f>ROMAN(39671)</f>
        <v/>
      </c>
      <c r="D39672">
        <f>IF(B39672=C39672, "YES", "WRONG")</f>
        <v/>
      </c>
    </row>
    <row r="39673">
      <c r="A39673" t="n">
        <v>39672</v>
      </c>
      <c r="B39673" t="inlineStr">
        <is>
          <t>x̄x̄x̄Mx̄DCLXXII</t>
        </is>
      </c>
      <c r="C39673">
        <f>ROMAN(39672)</f>
        <v/>
      </c>
      <c r="D39673">
        <f>IF(B39673=C39673, "YES", "WRONG")</f>
        <v/>
      </c>
    </row>
    <row r="39674">
      <c r="A39674" t="n">
        <v>39673</v>
      </c>
      <c r="B39674" t="inlineStr">
        <is>
          <t>x̄x̄x̄Mx̄DCLXXIII</t>
        </is>
      </c>
      <c r="C39674">
        <f>ROMAN(39673)</f>
        <v/>
      </c>
      <c r="D39674">
        <f>IF(B39674=C39674, "YES", "WRONG")</f>
        <v/>
      </c>
    </row>
    <row r="39675">
      <c r="A39675" t="n">
        <v>39674</v>
      </c>
      <c r="B39675" t="inlineStr">
        <is>
          <t>x̄x̄x̄Mx̄DCLXXIV</t>
        </is>
      </c>
      <c r="C39675">
        <f>ROMAN(39674)</f>
        <v/>
      </c>
      <c r="D39675">
        <f>IF(B39675=C39675, "YES", "WRONG")</f>
        <v/>
      </c>
    </row>
    <row r="39676">
      <c r="A39676" t="n">
        <v>39675</v>
      </c>
      <c r="B39676" t="inlineStr">
        <is>
          <t>x̄x̄x̄Mx̄DCLXXV</t>
        </is>
      </c>
      <c r="C39676">
        <f>ROMAN(39675)</f>
        <v/>
      </c>
      <c r="D39676">
        <f>IF(B39676=C39676, "YES", "WRONG")</f>
        <v/>
      </c>
    </row>
    <row r="39677">
      <c r="A39677" t="n">
        <v>39676</v>
      </c>
      <c r="B39677" t="inlineStr">
        <is>
          <t>x̄x̄x̄Mx̄DCLXXVI</t>
        </is>
      </c>
      <c r="C39677">
        <f>ROMAN(39676)</f>
        <v/>
      </c>
      <c r="D39677">
        <f>IF(B39677=C39677, "YES", "WRONG")</f>
        <v/>
      </c>
    </row>
    <row r="39678">
      <c r="A39678" t="n">
        <v>39677</v>
      </c>
      <c r="B39678" t="inlineStr">
        <is>
          <t>x̄x̄x̄Mx̄DCLXXVII</t>
        </is>
      </c>
      <c r="C39678">
        <f>ROMAN(39677)</f>
        <v/>
      </c>
      <c r="D39678">
        <f>IF(B39678=C39678, "YES", "WRONG")</f>
        <v/>
      </c>
    </row>
    <row r="39679">
      <c r="A39679" t="n">
        <v>39678</v>
      </c>
      <c r="B39679" t="inlineStr">
        <is>
          <t>x̄x̄x̄Mx̄DCLXXVIII</t>
        </is>
      </c>
      <c r="C39679">
        <f>ROMAN(39678)</f>
        <v/>
      </c>
      <c r="D39679">
        <f>IF(B39679=C39679, "YES", "WRONG")</f>
        <v/>
      </c>
    </row>
    <row r="39680">
      <c r="A39680" t="n">
        <v>39679</v>
      </c>
      <c r="B39680" t="inlineStr">
        <is>
          <t>x̄x̄x̄Mx̄DCLXXIX</t>
        </is>
      </c>
      <c r="C39680">
        <f>ROMAN(39679)</f>
        <v/>
      </c>
      <c r="D39680">
        <f>IF(B39680=C39680, "YES", "WRONG")</f>
        <v/>
      </c>
    </row>
    <row r="39681">
      <c r="A39681" t="n">
        <v>39680</v>
      </c>
      <c r="B39681" t="inlineStr">
        <is>
          <t>x̄x̄x̄Mx̄DCLXXX</t>
        </is>
      </c>
      <c r="C39681">
        <f>ROMAN(39680)</f>
        <v/>
      </c>
      <c r="D39681">
        <f>IF(B39681=C39681, "YES", "WRONG")</f>
        <v/>
      </c>
    </row>
    <row r="39682">
      <c r="A39682" t="n">
        <v>39681</v>
      </c>
      <c r="B39682" t="inlineStr">
        <is>
          <t>x̄x̄x̄Mx̄DCLXXXI</t>
        </is>
      </c>
      <c r="C39682">
        <f>ROMAN(39681)</f>
        <v/>
      </c>
      <c r="D39682">
        <f>IF(B39682=C39682, "YES", "WRONG")</f>
        <v/>
      </c>
    </row>
    <row r="39683">
      <c r="A39683" t="n">
        <v>39682</v>
      </c>
      <c r="B39683" t="inlineStr">
        <is>
          <t>x̄x̄x̄Mx̄DCLXXXII</t>
        </is>
      </c>
      <c r="C39683">
        <f>ROMAN(39682)</f>
        <v/>
      </c>
      <c r="D39683">
        <f>IF(B39683=C39683, "YES", "WRONG")</f>
        <v/>
      </c>
    </row>
    <row r="39684">
      <c r="A39684" t="n">
        <v>39683</v>
      </c>
      <c r="B39684" t="inlineStr">
        <is>
          <t>x̄x̄x̄Mx̄DCLXXXIII</t>
        </is>
      </c>
      <c r="C39684">
        <f>ROMAN(39683)</f>
        <v/>
      </c>
      <c r="D39684">
        <f>IF(B39684=C39684, "YES", "WRONG")</f>
        <v/>
      </c>
    </row>
    <row r="39685">
      <c r="A39685" t="n">
        <v>39684</v>
      </c>
      <c r="B39685" t="inlineStr">
        <is>
          <t>x̄x̄x̄Mx̄DCLXXXIV</t>
        </is>
      </c>
      <c r="C39685">
        <f>ROMAN(39684)</f>
        <v/>
      </c>
      <c r="D39685">
        <f>IF(B39685=C39685, "YES", "WRONG")</f>
        <v/>
      </c>
    </row>
    <row r="39686">
      <c r="A39686" t="n">
        <v>39685</v>
      </c>
      <c r="B39686" t="inlineStr">
        <is>
          <t>x̄x̄x̄Mx̄DCLXXXV</t>
        </is>
      </c>
      <c r="C39686">
        <f>ROMAN(39685)</f>
        <v/>
      </c>
      <c r="D39686">
        <f>IF(B39686=C39686, "YES", "WRONG")</f>
        <v/>
      </c>
    </row>
    <row r="39687">
      <c r="A39687" t="n">
        <v>39686</v>
      </c>
      <c r="B39687" t="inlineStr">
        <is>
          <t>x̄x̄x̄Mx̄DCLXXXVI</t>
        </is>
      </c>
      <c r="C39687">
        <f>ROMAN(39686)</f>
        <v/>
      </c>
      <c r="D39687">
        <f>IF(B39687=C39687, "YES", "WRONG")</f>
        <v/>
      </c>
    </row>
    <row r="39688">
      <c r="A39688" t="n">
        <v>39687</v>
      </c>
      <c r="B39688" t="inlineStr">
        <is>
          <t>x̄x̄x̄Mx̄DCLXXXVII</t>
        </is>
      </c>
      <c r="C39688">
        <f>ROMAN(39687)</f>
        <v/>
      </c>
      <c r="D39688">
        <f>IF(B39688=C39688, "YES", "WRONG")</f>
        <v/>
      </c>
    </row>
    <row r="39689">
      <c r="A39689" t="n">
        <v>39688</v>
      </c>
      <c r="B39689" t="inlineStr">
        <is>
          <t>x̄x̄x̄Mx̄DCLXXXVIII</t>
        </is>
      </c>
      <c r="C39689">
        <f>ROMAN(39688)</f>
        <v/>
      </c>
      <c r="D39689">
        <f>IF(B39689=C39689, "YES", "WRONG")</f>
        <v/>
      </c>
    </row>
    <row r="39690">
      <c r="A39690" t="n">
        <v>39689</v>
      </c>
      <c r="B39690" t="inlineStr">
        <is>
          <t>x̄x̄x̄Mx̄DCLXXXIX</t>
        </is>
      </c>
      <c r="C39690">
        <f>ROMAN(39689)</f>
        <v/>
      </c>
      <c r="D39690">
        <f>IF(B39690=C39690, "YES", "WRONG")</f>
        <v/>
      </c>
    </row>
    <row r="39691">
      <c r="A39691" t="n">
        <v>39690</v>
      </c>
      <c r="B39691" t="inlineStr">
        <is>
          <t>x̄x̄x̄Mx̄DCXC</t>
        </is>
      </c>
      <c r="C39691">
        <f>ROMAN(39690)</f>
        <v/>
      </c>
      <c r="D39691">
        <f>IF(B39691=C39691, "YES", "WRONG")</f>
        <v/>
      </c>
    </row>
    <row r="39692">
      <c r="A39692" t="n">
        <v>39691</v>
      </c>
      <c r="B39692" t="inlineStr">
        <is>
          <t>x̄x̄x̄Mx̄DCXCI</t>
        </is>
      </c>
      <c r="C39692">
        <f>ROMAN(39691)</f>
        <v/>
      </c>
      <c r="D39692">
        <f>IF(B39692=C39692, "YES", "WRONG")</f>
        <v/>
      </c>
    </row>
    <row r="39693">
      <c r="A39693" t="n">
        <v>39692</v>
      </c>
      <c r="B39693" t="inlineStr">
        <is>
          <t>x̄x̄x̄Mx̄DCXCII</t>
        </is>
      </c>
      <c r="C39693">
        <f>ROMAN(39692)</f>
        <v/>
      </c>
      <c r="D39693">
        <f>IF(B39693=C39693, "YES", "WRONG")</f>
        <v/>
      </c>
    </row>
    <row r="39694">
      <c r="A39694" t="n">
        <v>39693</v>
      </c>
      <c r="B39694" t="inlineStr">
        <is>
          <t>x̄x̄x̄Mx̄DCXCIII</t>
        </is>
      </c>
      <c r="C39694">
        <f>ROMAN(39693)</f>
        <v/>
      </c>
      <c r="D39694">
        <f>IF(B39694=C39694, "YES", "WRONG")</f>
        <v/>
      </c>
    </row>
    <row r="39695">
      <c r="A39695" t="n">
        <v>39694</v>
      </c>
      <c r="B39695" t="inlineStr">
        <is>
          <t>x̄x̄x̄Mx̄DCXCIV</t>
        </is>
      </c>
      <c r="C39695">
        <f>ROMAN(39694)</f>
        <v/>
      </c>
      <c r="D39695">
        <f>IF(B39695=C39695, "YES", "WRONG")</f>
        <v/>
      </c>
    </row>
    <row r="39696">
      <c r="A39696" t="n">
        <v>39695</v>
      </c>
      <c r="B39696" t="inlineStr">
        <is>
          <t>x̄x̄x̄Mx̄DCXCV</t>
        </is>
      </c>
      <c r="C39696">
        <f>ROMAN(39695)</f>
        <v/>
      </c>
      <c r="D39696">
        <f>IF(B39696=C39696, "YES", "WRONG")</f>
        <v/>
      </c>
    </row>
    <row r="39697">
      <c r="A39697" t="n">
        <v>39696</v>
      </c>
      <c r="B39697" t="inlineStr">
        <is>
          <t>x̄x̄x̄Mx̄DCXCVI</t>
        </is>
      </c>
      <c r="C39697">
        <f>ROMAN(39696)</f>
        <v/>
      </c>
      <c r="D39697">
        <f>IF(B39697=C39697, "YES", "WRONG")</f>
        <v/>
      </c>
    </row>
    <row r="39698">
      <c r="A39698" t="n">
        <v>39697</v>
      </c>
      <c r="B39698" t="inlineStr">
        <is>
          <t>x̄x̄x̄Mx̄DCXCVII</t>
        </is>
      </c>
      <c r="C39698">
        <f>ROMAN(39697)</f>
        <v/>
      </c>
      <c r="D39698">
        <f>IF(B39698=C39698, "YES", "WRONG")</f>
        <v/>
      </c>
    </row>
    <row r="39699">
      <c r="A39699" t="n">
        <v>39698</v>
      </c>
      <c r="B39699" t="inlineStr">
        <is>
          <t>x̄x̄x̄Mx̄DCXCVIII</t>
        </is>
      </c>
      <c r="C39699">
        <f>ROMAN(39698)</f>
        <v/>
      </c>
      <c r="D39699">
        <f>IF(B39699=C39699, "YES", "WRONG")</f>
        <v/>
      </c>
    </row>
    <row r="39700">
      <c r="A39700" t="n">
        <v>39699</v>
      </c>
      <c r="B39700" t="inlineStr">
        <is>
          <t>x̄x̄x̄Mx̄DCXCIX</t>
        </is>
      </c>
      <c r="C39700">
        <f>ROMAN(39699)</f>
        <v/>
      </c>
      <c r="D39700">
        <f>IF(B39700=C39700, "YES", "WRONG")</f>
        <v/>
      </c>
    </row>
    <row r="39701">
      <c r="A39701" t="n">
        <v>39700</v>
      </c>
      <c r="B39701" t="inlineStr">
        <is>
          <t>x̄x̄x̄Mx̄DCC</t>
        </is>
      </c>
      <c r="C39701">
        <f>ROMAN(39700)</f>
        <v/>
      </c>
      <c r="D39701">
        <f>IF(B39701=C39701, "YES", "WRONG")</f>
        <v/>
      </c>
    </row>
    <row r="39702">
      <c r="A39702" t="n">
        <v>39701</v>
      </c>
      <c r="B39702" t="inlineStr">
        <is>
          <t>x̄x̄x̄Mx̄DCCI</t>
        </is>
      </c>
      <c r="C39702">
        <f>ROMAN(39701)</f>
        <v/>
      </c>
      <c r="D39702">
        <f>IF(B39702=C39702, "YES", "WRONG")</f>
        <v/>
      </c>
    </row>
    <row r="39703">
      <c r="A39703" t="n">
        <v>39702</v>
      </c>
      <c r="B39703" t="inlineStr">
        <is>
          <t>x̄x̄x̄Mx̄DCCII</t>
        </is>
      </c>
      <c r="C39703">
        <f>ROMAN(39702)</f>
        <v/>
      </c>
      <c r="D39703">
        <f>IF(B39703=C39703, "YES", "WRONG")</f>
        <v/>
      </c>
    </row>
    <row r="39704">
      <c r="A39704" t="n">
        <v>39703</v>
      </c>
      <c r="B39704" t="inlineStr">
        <is>
          <t>x̄x̄x̄Mx̄DCCIII</t>
        </is>
      </c>
      <c r="C39704">
        <f>ROMAN(39703)</f>
        <v/>
      </c>
      <c r="D39704">
        <f>IF(B39704=C39704, "YES", "WRONG")</f>
        <v/>
      </c>
    </row>
    <row r="39705">
      <c r="A39705" t="n">
        <v>39704</v>
      </c>
      <c r="B39705" t="inlineStr">
        <is>
          <t>x̄x̄x̄Mx̄DCCIV</t>
        </is>
      </c>
      <c r="C39705">
        <f>ROMAN(39704)</f>
        <v/>
      </c>
      <c r="D39705">
        <f>IF(B39705=C39705, "YES", "WRONG")</f>
        <v/>
      </c>
    </row>
    <row r="39706">
      <c r="A39706" t="n">
        <v>39705</v>
      </c>
      <c r="B39706" t="inlineStr">
        <is>
          <t>x̄x̄x̄Mx̄DCCV</t>
        </is>
      </c>
      <c r="C39706">
        <f>ROMAN(39705)</f>
        <v/>
      </c>
      <c r="D39706">
        <f>IF(B39706=C39706, "YES", "WRONG")</f>
        <v/>
      </c>
    </row>
    <row r="39707">
      <c r="A39707" t="n">
        <v>39706</v>
      </c>
      <c r="B39707" t="inlineStr">
        <is>
          <t>x̄x̄x̄Mx̄DCCVI</t>
        </is>
      </c>
      <c r="C39707">
        <f>ROMAN(39706)</f>
        <v/>
      </c>
      <c r="D39707">
        <f>IF(B39707=C39707, "YES", "WRONG")</f>
        <v/>
      </c>
    </row>
    <row r="39708">
      <c r="A39708" t="n">
        <v>39707</v>
      </c>
      <c r="B39708" t="inlineStr">
        <is>
          <t>x̄x̄x̄Mx̄DCCVII</t>
        </is>
      </c>
      <c r="C39708">
        <f>ROMAN(39707)</f>
        <v/>
      </c>
      <c r="D39708">
        <f>IF(B39708=C39708, "YES", "WRONG")</f>
        <v/>
      </c>
    </row>
    <row r="39709">
      <c r="A39709" t="n">
        <v>39708</v>
      </c>
      <c r="B39709" t="inlineStr">
        <is>
          <t>x̄x̄x̄Mx̄DCCVIII</t>
        </is>
      </c>
      <c r="C39709">
        <f>ROMAN(39708)</f>
        <v/>
      </c>
      <c r="D39709">
        <f>IF(B39709=C39709, "YES", "WRONG")</f>
        <v/>
      </c>
    </row>
    <row r="39710">
      <c r="A39710" t="n">
        <v>39709</v>
      </c>
      <c r="B39710" t="inlineStr">
        <is>
          <t>x̄x̄x̄Mx̄DCCIX</t>
        </is>
      </c>
      <c r="C39710">
        <f>ROMAN(39709)</f>
        <v/>
      </c>
      <c r="D39710">
        <f>IF(B39710=C39710, "YES", "WRONG")</f>
        <v/>
      </c>
    </row>
    <row r="39711">
      <c r="A39711" t="n">
        <v>39710</v>
      </c>
      <c r="B39711" t="inlineStr">
        <is>
          <t>x̄x̄x̄Mx̄DCCX</t>
        </is>
      </c>
      <c r="C39711">
        <f>ROMAN(39710)</f>
        <v/>
      </c>
      <c r="D39711">
        <f>IF(B39711=C39711, "YES", "WRONG")</f>
        <v/>
      </c>
    </row>
    <row r="39712">
      <c r="A39712" t="n">
        <v>39711</v>
      </c>
      <c r="B39712" t="inlineStr">
        <is>
          <t>x̄x̄x̄Mx̄DCCXI</t>
        </is>
      </c>
      <c r="C39712">
        <f>ROMAN(39711)</f>
        <v/>
      </c>
      <c r="D39712">
        <f>IF(B39712=C39712, "YES", "WRONG")</f>
        <v/>
      </c>
    </row>
    <row r="39713">
      <c r="A39713" t="n">
        <v>39712</v>
      </c>
      <c r="B39713" t="inlineStr">
        <is>
          <t>x̄x̄x̄Mx̄DCCXII</t>
        </is>
      </c>
      <c r="C39713">
        <f>ROMAN(39712)</f>
        <v/>
      </c>
      <c r="D39713">
        <f>IF(B39713=C39713, "YES", "WRONG")</f>
        <v/>
      </c>
    </row>
    <row r="39714">
      <c r="A39714" t="n">
        <v>39713</v>
      </c>
      <c r="B39714" t="inlineStr">
        <is>
          <t>x̄x̄x̄Mx̄DCCXIII</t>
        </is>
      </c>
      <c r="C39714">
        <f>ROMAN(39713)</f>
        <v/>
      </c>
      <c r="D39714">
        <f>IF(B39714=C39714, "YES", "WRONG")</f>
        <v/>
      </c>
    </row>
    <row r="39715">
      <c r="A39715" t="n">
        <v>39714</v>
      </c>
      <c r="B39715" t="inlineStr">
        <is>
          <t>x̄x̄x̄Mx̄DCCXIV</t>
        </is>
      </c>
      <c r="C39715">
        <f>ROMAN(39714)</f>
        <v/>
      </c>
      <c r="D39715">
        <f>IF(B39715=C39715, "YES", "WRONG")</f>
        <v/>
      </c>
    </row>
    <row r="39716">
      <c r="A39716" t="n">
        <v>39715</v>
      </c>
      <c r="B39716" t="inlineStr">
        <is>
          <t>x̄x̄x̄Mx̄DCCXV</t>
        </is>
      </c>
      <c r="C39716">
        <f>ROMAN(39715)</f>
        <v/>
      </c>
      <c r="D39716">
        <f>IF(B39716=C39716, "YES", "WRONG")</f>
        <v/>
      </c>
    </row>
    <row r="39717">
      <c r="A39717" t="n">
        <v>39716</v>
      </c>
      <c r="B39717" t="inlineStr">
        <is>
          <t>x̄x̄x̄Mx̄DCCXVI</t>
        </is>
      </c>
      <c r="C39717">
        <f>ROMAN(39716)</f>
        <v/>
      </c>
      <c r="D39717">
        <f>IF(B39717=C39717, "YES", "WRONG")</f>
        <v/>
      </c>
    </row>
    <row r="39718">
      <c r="A39718" t="n">
        <v>39717</v>
      </c>
      <c r="B39718" t="inlineStr">
        <is>
          <t>x̄x̄x̄Mx̄DCCXVII</t>
        </is>
      </c>
      <c r="C39718">
        <f>ROMAN(39717)</f>
        <v/>
      </c>
      <c r="D39718">
        <f>IF(B39718=C39718, "YES", "WRONG")</f>
        <v/>
      </c>
    </row>
    <row r="39719">
      <c r="A39719" t="n">
        <v>39718</v>
      </c>
      <c r="B39719" t="inlineStr">
        <is>
          <t>x̄x̄x̄Mx̄DCCXVIII</t>
        </is>
      </c>
      <c r="C39719">
        <f>ROMAN(39718)</f>
        <v/>
      </c>
      <c r="D39719">
        <f>IF(B39719=C39719, "YES", "WRONG")</f>
        <v/>
      </c>
    </row>
    <row r="39720">
      <c r="A39720" t="n">
        <v>39719</v>
      </c>
      <c r="B39720" t="inlineStr">
        <is>
          <t>x̄x̄x̄Mx̄DCCXIX</t>
        </is>
      </c>
      <c r="C39720">
        <f>ROMAN(39719)</f>
        <v/>
      </c>
      <c r="D39720">
        <f>IF(B39720=C39720, "YES", "WRONG")</f>
        <v/>
      </c>
    </row>
    <row r="39721">
      <c r="A39721" t="n">
        <v>39720</v>
      </c>
      <c r="B39721" t="inlineStr">
        <is>
          <t>x̄x̄x̄Mx̄DCCXX</t>
        </is>
      </c>
      <c r="C39721">
        <f>ROMAN(39720)</f>
        <v/>
      </c>
      <c r="D39721">
        <f>IF(B39721=C39721, "YES", "WRONG")</f>
        <v/>
      </c>
    </row>
    <row r="39722">
      <c r="A39722" t="n">
        <v>39721</v>
      </c>
      <c r="B39722" t="inlineStr">
        <is>
          <t>x̄x̄x̄Mx̄DCCXXI</t>
        </is>
      </c>
      <c r="C39722">
        <f>ROMAN(39721)</f>
        <v/>
      </c>
      <c r="D39722">
        <f>IF(B39722=C39722, "YES", "WRONG")</f>
        <v/>
      </c>
    </row>
    <row r="39723">
      <c r="A39723" t="n">
        <v>39722</v>
      </c>
      <c r="B39723" t="inlineStr">
        <is>
          <t>x̄x̄x̄Mx̄DCCXXII</t>
        </is>
      </c>
      <c r="C39723">
        <f>ROMAN(39722)</f>
        <v/>
      </c>
      <c r="D39723">
        <f>IF(B39723=C39723, "YES", "WRONG")</f>
        <v/>
      </c>
    </row>
    <row r="39724">
      <c r="A39724" t="n">
        <v>39723</v>
      </c>
      <c r="B39724" t="inlineStr">
        <is>
          <t>x̄x̄x̄Mx̄DCCXXIII</t>
        </is>
      </c>
      <c r="C39724">
        <f>ROMAN(39723)</f>
        <v/>
      </c>
      <c r="D39724">
        <f>IF(B39724=C39724, "YES", "WRONG")</f>
        <v/>
      </c>
    </row>
    <row r="39725">
      <c r="A39725" t="n">
        <v>39724</v>
      </c>
      <c r="B39725" t="inlineStr">
        <is>
          <t>x̄x̄x̄Mx̄DCCXXIV</t>
        </is>
      </c>
      <c r="C39725">
        <f>ROMAN(39724)</f>
        <v/>
      </c>
      <c r="D39725">
        <f>IF(B39725=C39725, "YES", "WRONG")</f>
        <v/>
      </c>
    </row>
    <row r="39726">
      <c r="A39726" t="n">
        <v>39725</v>
      </c>
      <c r="B39726" t="inlineStr">
        <is>
          <t>x̄x̄x̄Mx̄DCCXXV</t>
        </is>
      </c>
      <c r="C39726">
        <f>ROMAN(39725)</f>
        <v/>
      </c>
      <c r="D39726">
        <f>IF(B39726=C39726, "YES", "WRONG")</f>
        <v/>
      </c>
    </row>
    <row r="39727">
      <c r="A39727" t="n">
        <v>39726</v>
      </c>
      <c r="B39727" t="inlineStr">
        <is>
          <t>x̄x̄x̄Mx̄DCCXXVI</t>
        </is>
      </c>
      <c r="C39727">
        <f>ROMAN(39726)</f>
        <v/>
      </c>
      <c r="D39727">
        <f>IF(B39727=C39727, "YES", "WRONG")</f>
        <v/>
      </c>
    </row>
    <row r="39728">
      <c r="A39728" t="n">
        <v>39727</v>
      </c>
      <c r="B39728" t="inlineStr">
        <is>
          <t>x̄x̄x̄Mx̄DCCXXVII</t>
        </is>
      </c>
      <c r="C39728">
        <f>ROMAN(39727)</f>
        <v/>
      </c>
      <c r="D39728">
        <f>IF(B39728=C39728, "YES", "WRONG")</f>
        <v/>
      </c>
    </row>
    <row r="39729">
      <c r="A39729" t="n">
        <v>39728</v>
      </c>
      <c r="B39729" t="inlineStr">
        <is>
          <t>x̄x̄x̄Mx̄DCCXXVIII</t>
        </is>
      </c>
      <c r="C39729">
        <f>ROMAN(39728)</f>
        <v/>
      </c>
      <c r="D39729">
        <f>IF(B39729=C39729, "YES", "WRONG")</f>
        <v/>
      </c>
    </row>
    <row r="39730">
      <c r="A39730" t="n">
        <v>39729</v>
      </c>
      <c r="B39730" t="inlineStr">
        <is>
          <t>x̄x̄x̄Mx̄DCCXXIX</t>
        </is>
      </c>
      <c r="C39730">
        <f>ROMAN(39729)</f>
        <v/>
      </c>
      <c r="D39730">
        <f>IF(B39730=C39730, "YES", "WRONG")</f>
        <v/>
      </c>
    </row>
    <row r="39731">
      <c r="A39731" t="n">
        <v>39730</v>
      </c>
      <c r="B39731" t="inlineStr">
        <is>
          <t>x̄x̄x̄Mx̄DCCXXX</t>
        </is>
      </c>
      <c r="C39731">
        <f>ROMAN(39730)</f>
        <v/>
      </c>
      <c r="D39731">
        <f>IF(B39731=C39731, "YES", "WRONG")</f>
        <v/>
      </c>
    </row>
    <row r="39732">
      <c r="A39732" t="n">
        <v>39731</v>
      </c>
      <c r="B39732" t="inlineStr">
        <is>
          <t>x̄x̄x̄Mx̄DCCXXXI</t>
        </is>
      </c>
      <c r="C39732">
        <f>ROMAN(39731)</f>
        <v/>
      </c>
      <c r="D39732">
        <f>IF(B39732=C39732, "YES", "WRONG")</f>
        <v/>
      </c>
    </row>
    <row r="39733">
      <c r="A39733" t="n">
        <v>39732</v>
      </c>
      <c r="B39733" t="inlineStr">
        <is>
          <t>x̄x̄x̄Mx̄DCCXXXII</t>
        </is>
      </c>
      <c r="C39733">
        <f>ROMAN(39732)</f>
        <v/>
      </c>
      <c r="D39733">
        <f>IF(B39733=C39733, "YES", "WRONG")</f>
        <v/>
      </c>
    </row>
    <row r="39734">
      <c r="A39734" t="n">
        <v>39733</v>
      </c>
      <c r="B39734" t="inlineStr">
        <is>
          <t>x̄x̄x̄Mx̄DCCXXXIII</t>
        </is>
      </c>
      <c r="C39734">
        <f>ROMAN(39733)</f>
        <v/>
      </c>
      <c r="D39734">
        <f>IF(B39734=C39734, "YES", "WRONG")</f>
        <v/>
      </c>
    </row>
    <row r="39735">
      <c r="A39735" t="n">
        <v>39734</v>
      </c>
      <c r="B39735" t="inlineStr">
        <is>
          <t>x̄x̄x̄Mx̄DCCXXXIV</t>
        </is>
      </c>
      <c r="C39735">
        <f>ROMAN(39734)</f>
        <v/>
      </c>
      <c r="D39735">
        <f>IF(B39735=C39735, "YES", "WRONG")</f>
        <v/>
      </c>
    </row>
    <row r="39736">
      <c r="A39736" t="n">
        <v>39735</v>
      </c>
      <c r="B39736" t="inlineStr">
        <is>
          <t>x̄x̄x̄Mx̄DCCXXXV</t>
        </is>
      </c>
      <c r="C39736">
        <f>ROMAN(39735)</f>
        <v/>
      </c>
      <c r="D39736">
        <f>IF(B39736=C39736, "YES", "WRONG")</f>
        <v/>
      </c>
    </row>
    <row r="39737">
      <c r="A39737" t="n">
        <v>39736</v>
      </c>
      <c r="B39737" t="inlineStr">
        <is>
          <t>x̄x̄x̄Mx̄DCCXXXVI</t>
        </is>
      </c>
      <c r="C39737">
        <f>ROMAN(39736)</f>
        <v/>
      </c>
      <c r="D39737">
        <f>IF(B39737=C39737, "YES", "WRONG")</f>
        <v/>
      </c>
    </row>
    <row r="39738">
      <c r="A39738" t="n">
        <v>39737</v>
      </c>
      <c r="B39738" t="inlineStr">
        <is>
          <t>x̄x̄x̄Mx̄DCCXXXVII</t>
        </is>
      </c>
      <c r="C39738">
        <f>ROMAN(39737)</f>
        <v/>
      </c>
      <c r="D39738">
        <f>IF(B39738=C39738, "YES", "WRONG")</f>
        <v/>
      </c>
    </row>
    <row r="39739">
      <c r="A39739" t="n">
        <v>39738</v>
      </c>
      <c r="B39739" t="inlineStr">
        <is>
          <t>x̄x̄x̄Mx̄DCCXXXVIII</t>
        </is>
      </c>
      <c r="C39739">
        <f>ROMAN(39738)</f>
        <v/>
      </c>
      <c r="D39739">
        <f>IF(B39739=C39739, "YES", "WRONG")</f>
        <v/>
      </c>
    </row>
    <row r="39740">
      <c r="A39740" t="n">
        <v>39739</v>
      </c>
      <c r="B39740" t="inlineStr">
        <is>
          <t>x̄x̄x̄Mx̄DCCXXXIX</t>
        </is>
      </c>
      <c r="C39740">
        <f>ROMAN(39739)</f>
        <v/>
      </c>
      <c r="D39740">
        <f>IF(B39740=C39740, "YES", "WRONG")</f>
        <v/>
      </c>
    </row>
    <row r="39741">
      <c r="A39741" t="n">
        <v>39740</v>
      </c>
      <c r="B39741" t="inlineStr">
        <is>
          <t>x̄x̄x̄Mx̄DCCXL</t>
        </is>
      </c>
      <c r="C39741">
        <f>ROMAN(39740)</f>
        <v/>
      </c>
      <c r="D39741">
        <f>IF(B39741=C39741, "YES", "WRONG")</f>
        <v/>
      </c>
    </row>
    <row r="39742">
      <c r="A39742" t="n">
        <v>39741</v>
      </c>
      <c r="B39742" t="inlineStr">
        <is>
          <t>x̄x̄x̄Mx̄DCCXLI</t>
        </is>
      </c>
      <c r="C39742">
        <f>ROMAN(39741)</f>
        <v/>
      </c>
      <c r="D39742">
        <f>IF(B39742=C39742, "YES", "WRONG")</f>
        <v/>
      </c>
    </row>
    <row r="39743">
      <c r="A39743" t="n">
        <v>39742</v>
      </c>
      <c r="B39743" t="inlineStr">
        <is>
          <t>x̄x̄x̄Mx̄DCCXLII</t>
        </is>
      </c>
      <c r="C39743">
        <f>ROMAN(39742)</f>
        <v/>
      </c>
      <c r="D39743">
        <f>IF(B39743=C39743, "YES", "WRONG")</f>
        <v/>
      </c>
    </row>
    <row r="39744">
      <c r="A39744" t="n">
        <v>39743</v>
      </c>
      <c r="B39744" t="inlineStr">
        <is>
          <t>x̄x̄x̄Mx̄DCCXLIII</t>
        </is>
      </c>
      <c r="C39744">
        <f>ROMAN(39743)</f>
        <v/>
      </c>
      <c r="D39744">
        <f>IF(B39744=C39744, "YES", "WRONG")</f>
        <v/>
      </c>
    </row>
    <row r="39745">
      <c r="A39745" t="n">
        <v>39744</v>
      </c>
      <c r="B39745" t="inlineStr">
        <is>
          <t>x̄x̄x̄Mx̄DCCXLIV</t>
        </is>
      </c>
      <c r="C39745">
        <f>ROMAN(39744)</f>
        <v/>
      </c>
      <c r="D39745">
        <f>IF(B39745=C39745, "YES", "WRONG")</f>
        <v/>
      </c>
    </row>
    <row r="39746">
      <c r="A39746" t="n">
        <v>39745</v>
      </c>
      <c r="B39746" t="inlineStr">
        <is>
          <t>x̄x̄x̄Mx̄DCCXLV</t>
        </is>
      </c>
      <c r="C39746">
        <f>ROMAN(39745)</f>
        <v/>
      </c>
      <c r="D39746">
        <f>IF(B39746=C39746, "YES", "WRONG")</f>
        <v/>
      </c>
    </row>
    <row r="39747">
      <c r="A39747" t="n">
        <v>39746</v>
      </c>
      <c r="B39747" t="inlineStr">
        <is>
          <t>x̄x̄x̄Mx̄DCCXLVI</t>
        </is>
      </c>
      <c r="C39747">
        <f>ROMAN(39746)</f>
        <v/>
      </c>
      <c r="D39747">
        <f>IF(B39747=C39747, "YES", "WRONG")</f>
        <v/>
      </c>
    </row>
    <row r="39748">
      <c r="A39748" t="n">
        <v>39747</v>
      </c>
      <c r="B39748" t="inlineStr">
        <is>
          <t>x̄x̄x̄Mx̄DCCXLVII</t>
        </is>
      </c>
      <c r="C39748">
        <f>ROMAN(39747)</f>
        <v/>
      </c>
      <c r="D39748">
        <f>IF(B39748=C39748, "YES", "WRONG")</f>
        <v/>
      </c>
    </row>
    <row r="39749">
      <c r="A39749" t="n">
        <v>39748</v>
      </c>
      <c r="B39749" t="inlineStr">
        <is>
          <t>x̄x̄x̄Mx̄DCCXLVIII</t>
        </is>
      </c>
      <c r="C39749">
        <f>ROMAN(39748)</f>
        <v/>
      </c>
      <c r="D39749">
        <f>IF(B39749=C39749, "YES", "WRONG")</f>
        <v/>
      </c>
    </row>
    <row r="39750">
      <c r="A39750" t="n">
        <v>39749</v>
      </c>
      <c r="B39750" t="inlineStr">
        <is>
          <t>x̄x̄x̄Mx̄DCCXLIX</t>
        </is>
      </c>
      <c r="C39750">
        <f>ROMAN(39749)</f>
        <v/>
      </c>
      <c r="D39750">
        <f>IF(B39750=C39750, "YES", "WRONG")</f>
        <v/>
      </c>
    </row>
    <row r="39751">
      <c r="A39751" t="n">
        <v>39750</v>
      </c>
      <c r="B39751" t="inlineStr">
        <is>
          <t>x̄x̄x̄Mx̄DCCL</t>
        </is>
      </c>
      <c r="C39751">
        <f>ROMAN(39750)</f>
        <v/>
      </c>
      <c r="D39751">
        <f>IF(B39751=C39751, "YES", "WRONG")</f>
        <v/>
      </c>
    </row>
    <row r="39752">
      <c r="A39752" t="n">
        <v>39751</v>
      </c>
      <c r="B39752" t="inlineStr">
        <is>
          <t>x̄x̄x̄Mx̄DCCLI</t>
        </is>
      </c>
      <c r="C39752">
        <f>ROMAN(39751)</f>
        <v/>
      </c>
      <c r="D39752">
        <f>IF(B39752=C39752, "YES", "WRONG")</f>
        <v/>
      </c>
    </row>
    <row r="39753">
      <c r="A39753" t="n">
        <v>39752</v>
      </c>
      <c r="B39753" t="inlineStr">
        <is>
          <t>x̄x̄x̄Mx̄DCCLII</t>
        </is>
      </c>
      <c r="C39753">
        <f>ROMAN(39752)</f>
        <v/>
      </c>
      <c r="D39753">
        <f>IF(B39753=C39753, "YES", "WRONG")</f>
        <v/>
      </c>
    </row>
    <row r="39754">
      <c r="A39754" t="n">
        <v>39753</v>
      </c>
      <c r="B39754" t="inlineStr">
        <is>
          <t>x̄x̄x̄Mx̄DCCLIII</t>
        </is>
      </c>
      <c r="C39754">
        <f>ROMAN(39753)</f>
        <v/>
      </c>
      <c r="D39754">
        <f>IF(B39754=C39754, "YES", "WRONG")</f>
        <v/>
      </c>
    </row>
    <row r="39755">
      <c r="A39755" t="n">
        <v>39754</v>
      </c>
      <c r="B39755" t="inlineStr">
        <is>
          <t>x̄x̄x̄Mx̄DCCLIV</t>
        </is>
      </c>
      <c r="C39755">
        <f>ROMAN(39754)</f>
        <v/>
      </c>
      <c r="D39755">
        <f>IF(B39755=C39755, "YES", "WRONG")</f>
        <v/>
      </c>
    </row>
    <row r="39756">
      <c r="A39756" t="n">
        <v>39755</v>
      </c>
      <c r="B39756" t="inlineStr">
        <is>
          <t>x̄x̄x̄Mx̄DCCLV</t>
        </is>
      </c>
      <c r="C39756">
        <f>ROMAN(39755)</f>
        <v/>
      </c>
      <c r="D39756">
        <f>IF(B39756=C39756, "YES", "WRONG")</f>
        <v/>
      </c>
    </row>
    <row r="39757">
      <c r="A39757" t="n">
        <v>39756</v>
      </c>
      <c r="B39757" t="inlineStr">
        <is>
          <t>x̄x̄x̄Mx̄DCCLVI</t>
        </is>
      </c>
      <c r="C39757">
        <f>ROMAN(39756)</f>
        <v/>
      </c>
      <c r="D39757">
        <f>IF(B39757=C39757, "YES", "WRONG")</f>
        <v/>
      </c>
    </row>
    <row r="39758">
      <c r="A39758" t="n">
        <v>39757</v>
      </c>
      <c r="B39758" t="inlineStr">
        <is>
          <t>x̄x̄x̄Mx̄DCCLVII</t>
        </is>
      </c>
      <c r="C39758">
        <f>ROMAN(39757)</f>
        <v/>
      </c>
      <c r="D39758">
        <f>IF(B39758=C39758, "YES", "WRONG")</f>
        <v/>
      </c>
    </row>
    <row r="39759">
      <c r="A39759" t="n">
        <v>39758</v>
      </c>
      <c r="B39759" t="inlineStr">
        <is>
          <t>x̄x̄x̄Mx̄DCCLVIII</t>
        </is>
      </c>
      <c r="C39759">
        <f>ROMAN(39758)</f>
        <v/>
      </c>
      <c r="D39759">
        <f>IF(B39759=C39759, "YES", "WRONG")</f>
        <v/>
      </c>
    </row>
    <row r="39760">
      <c r="A39760" t="n">
        <v>39759</v>
      </c>
      <c r="B39760" t="inlineStr">
        <is>
          <t>x̄x̄x̄Mx̄DCCLIX</t>
        </is>
      </c>
      <c r="C39760">
        <f>ROMAN(39759)</f>
        <v/>
      </c>
      <c r="D39760">
        <f>IF(B39760=C39760, "YES", "WRONG")</f>
        <v/>
      </c>
    </row>
    <row r="39761">
      <c r="A39761" t="n">
        <v>39760</v>
      </c>
      <c r="B39761" t="inlineStr">
        <is>
          <t>x̄x̄x̄Mx̄DCCLX</t>
        </is>
      </c>
      <c r="C39761">
        <f>ROMAN(39760)</f>
        <v/>
      </c>
      <c r="D39761">
        <f>IF(B39761=C39761, "YES", "WRONG")</f>
        <v/>
      </c>
    </row>
    <row r="39762">
      <c r="A39762" t="n">
        <v>39761</v>
      </c>
      <c r="B39762" t="inlineStr">
        <is>
          <t>x̄x̄x̄Mx̄DCCLXI</t>
        </is>
      </c>
      <c r="C39762">
        <f>ROMAN(39761)</f>
        <v/>
      </c>
      <c r="D39762">
        <f>IF(B39762=C39762, "YES", "WRONG")</f>
        <v/>
      </c>
    </row>
    <row r="39763">
      <c r="A39763" t="n">
        <v>39762</v>
      </c>
      <c r="B39763" t="inlineStr">
        <is>
          <t>x̄x̄x̄Mx̄DCCLXII</t>
        </is>
      </c>
      <c r="C39763">
        <f>ROMAN(39762)</f>
        <v/>
      </c>
      <c r="D39763">
        <f>IF(B39763=C39763, "YES", "WRONG")</f>
        <v/>
      </c>
    </row>
    <row r="39764">
      <c r="A39764" t="n">
        <v>39763</v>
      </c>
      <c r="B39764" t="inlineStr">
        <is>
          <t>x̄x̄x̄Mx̄DCCLXIII</t>
        </is>
      </c>
      <c r="C39764">
        <f>ROMAN(39763)</f>
        <v/>
      </c>
      <c r="D39764">
        <f>IF(B39764=C39764, "YES", "WRONG")</f>
        <v/>
      </c>
    </row>
    <row r="39765">
      <c r="A39765" t="n">
        <v>39764</v>
      </c>
      <c r="B39765" t="inlineStr">
        <is>
          <t>x̄x̄x̄Mx̄DCCLXIV</t>
        </is>
      </c>
      <c r="C39765">
        <f>ROMAN(39764)</f>
        <v/>
      </c>
      <c r="D39765">
        <f>IF(B39765=C39765, "YES", "WRONG")</f>
        <v/>
      </c>
    </row>
    <row r="39766">
      <c r="A39766" t="n">
        <v>39765</v>
      </c>
      <c r="B39766" t="inlineStr">
        <is>
          <t>x̄x̄x̄Mx̄DCCLXV</t>
        </is>
      </c>
      <c r="C39766">
        <f>ROMAN(39765)</f>
        <v/>
      </c>
      <c r="D39766">
        <f>IF(B39766=C39766, "YES", "WRONG")</f>
        <v/>
      </c>
    </row>
    <row r="39767">
      <c r="A39767" t="n">
        <v>39766</v>
      </c>
      <c r="B39767" t="inlineStr">
        <is>
          <t>x̄x̄x̄Mx̄DCCLXVI</t>
        </is>
      </c>
      <c r="C39767">
        <f>ROMAN(39766)</f>
        <v/>
      </c>
      <c r="D39767">
        <f>IF(B39767=C39767, "YES", "WRONG")</f>
        <v/>
      </c>
    </row>
    <row r="39768">
      <c r="A39768" t="n">
        <v>39767</v>
      </c>
      <c r="B39768" t="inlineStr">
        <is>
          <t>x̄x̄x̄Mx̄DCCLXVII</t>
        </is>
      </c>
      <c r="C39768">
        <f>ROMAN(39767)</f>
        <v/>
      </c>
      <c r="D39768">
        <f>IF(B39768=C39768, "YES", "WRONG")</f>
        <v/>
      </c>
    </row>
    <row r="39769">
      <c r="A39769" t="n">
        <v>39768</v>
      </c>
      <c r="B39769" t="inlineStr">
        <is>
          <t>x̄x̄x̄Mx̄DCCLXVIII</t>
        </is>
      </c>
      <c r="C39769">
        <f>ROMAN(39768)</f>
        <v/>
      </c>
      <c r="D39769">
        <f>IF(B39769=C39769, "YES", "WRONG")</f>
        <v/>
      </c>
    </row>
    <row r="39770">
      <c r="A39770" t="n">
        <v>39769</v>
      </c>
      <c r="B39770" t="inlineStr">
        <is>
          <t>x̄x̄x̄Mx̄DCCLXIX</t>
        </is>
      </c>
      <c r="C39770">
        <f>ROMAN(39769)</f>
        <v/>
      </c>
      <c r="D39770">
        <f>IF(B39770=C39770, "YES", "WRONG")</f>
        <v/>
      </c>
    </row>
    <row r="39771">
      <c r="A39771" t="n">
        <v>39770</v>
      </c>
      <c r="B39771" t="inlineStr">
        <is>
          <t>x̄x̄x̄Mx̄DCCLXX</t>
        </is>
      </c>
      <c r="C39771">
        <f>ROMAN(39770)</f>
        <v/>
      </c>
      <c r="D39771">
        <f>IF(B39771=C39771, "YES", "WRONG")</f>
        <v/>
      </c>
    </row>
    <row r="39772">
      <c r="A39772" t="n">
        <v>39771</v>
      </c>
      <c r="B39772" t="inlineStr">
        <is>
          <t>x̄x̄x̄Mx̄DCCLXXI</t>
        </is>
      </c>
      <c r="C39772">
        <f>ROMAN(39771)</f>
        <v/>
      </c>
      <c r="D39772">
        <f>IF(B39772=C39772, "YES", "WRONG")</f>
        <v/>
      </c>
    </row>
    <row r="39773">
      <c r="A39773" t="n">
        <v>39772</v>
      </c>
      <c r="B39773" t="inlineStr">
        <is>
          <t>x̄x̄x̄Mx̄DCCLXXII</t>
        </is>
      </c>
      <c r="C39773">
        <f>ROMAN(39772)</f>
        <v/>
      </c>
      <c r="D39773">
        <f>IF(B39773=C39773, "YES", "WRONG")</f>
        <v/>
      </c>
    </row>
    <row r="39774">
      <c r="A39774" t="n">
        <v>39773</v>
      </c>
      <c r="B39774" t="inlineStr">
        <is>
          <t>x̄x̄x̄Mx̄DCCLXXIII</t>
        </is>
      </c>
      <c r="C39774">
        <f>ROMAN(39773)</f>
        <v/>
      </c>
      <c r="D39774">
        <f>IF(B39774=C39774, "YES", "WRONG")</f>
        <v/>
      </c>
    </row>
    <row r="39775">
      <c r="A39775" t="n">
        <v>39774</v>
      </c>
      <c r="B39775" t="inlineStr">
        <is>
          <t>x̄x̄x̄Mx̄DCCLXXIV</t>
        </is>
      </c>
      <c r="C39775">
        <f>ROMAN(39774)</f>
        <v/>
      </c>
      <c r="D39775">
        <f>IF(B39775=C39775, "YES", "WRONG")</f>
        <v/>
      </c>
    </row>
    <row r="39776">
      <c r="A39776" t="n">
        <v>39775</v>
      </c>
      <c r="B39776" t="inlineStr">
        <is>
          <t>x̄x̄x̄Mx̄DCCLXXV</t>
        </is>
      </c>
      <c r="C39776">
        <f>ROMAN(39775)</f>
        <v/>
      </c>
      <c r="D39776">
        <f>IF(B39776=C39776, "YES", "WRONG")</f>
        <v/>
      </c>
    </row>
    <row r="39777">
      <c r="A39777" t="n">
        <v>39776</v>
      </c>
      <c r="B39777" t="inlineStr">
        <is>
          <t>x̄x̄x̄Mx̄DCCLXXVI</t>
        </is>
      </c>
      <c r="C39777">
        <f>ROMAN(39776)</f>
        <v/>
      </c>
      <c r="D39777">
        <f>IF(B39777=C39777, "YES", "WRONG")</f>
        <v/>
      </c>
    </row>
    <row r="39778">
      <c r="A39778" t="n">
        <v>39777</v>
      </c>
      <c r="B39778" t="inlineStr">
        <is>
          <t>x̄x̄x̄Mx̄DCCLXXVII</t>
        </is>
      </c>
      <c r="C39778">
        <f>ROMAN(39777)</f>
        <v/>
      </c>
      <c r="D39778">
        <f>IF(B39778=C39778, "YES", "WRONG")</f>
        <v/>
      </c>
    </row>
    <row r="39779">
      <c r="A39779" t="n">
        <v>39778</v>
      </c>
      <c r="B39779" t="inlineStr">
        <is>
          <t>x̄x̄x̄Mx̄DCCLXXVIII</t>
        </is>
      </c>
      <c r="C39779">
        <f>ROMAN(39778)</f>
        <v/>
      </c>
      <c r="D39779">
        <f>IF(B39779=C39779, "YES", "WRONG")</f>
        <v/>
      </c>
    </row>
    <row r="39780">
      <c r="A39780" t="n">
        <v>39779</v>
      </c>
      <c r="B39780" t="inlineStr">
        <is>
          <t>x̄x̄x̄Mx̄DCCLXXIX</t>
        </is>
      </c>
      <c r="C39780">
        <f>ROMAN(39779)</f>
        <v/>
      </c>
      <c r="D39780">
        <f>IF(B39780=C39780, "YES", "WRONG")</f>
        <v/>
      </c>
    </row>
    <row r="39781">
      <c r="A39781" t="n">
        <v>39780</v>
      </c>
      <c r="B39781" t="inlineStr">
        <is>
          <t>x̄x̄x̄Mx̄DCCLXXX</t>
        </is>
      </c>
      <c r="C39781">
        <f>ROMAN(39780)</f>
        <v/>
      </c>
      <c r="D39781">
        <f>IF(B39781=C39781, "YES", "WRONG")</f>
        <v/>
      </c>
    </row>
    <row r="39782">
      <c r="A39782" t="n">
        <v>39781</v>
      </c>
      <c r="B39782" t="inlineStr">
        <is>
          <t>x̄x̄x̄Mx̄DCCLXXXI</t>
        </is>
      </c>
      <c r="C39782">
        <f>ROMAN(39781)</f>
        <v/>
      </c>
      <c r="D39782">
        <f>IF(B39782=C39782, "YES", "WRONG")</f>
        <v/>
      </c>
    </row>
    <row r="39783">
      <c r="A39783" t="n">
        <v>39782</v>
      </c>
      <c r="B39783" t="inlineStr">
        <is>
          <t>x̄x̄x̄Mx̄DCCLXXXII</t>
        </is>
      </c>
      <c r="C39783">
        <f>ROMAN(39782)</f>
        <v/>
      </c>
      <c r="D39783">
        <f>IF(B39783=C39783, "YES", "WRONG")</f>
        <v/>
      </c>
    </row>
    <row r="39784">
      <c r="A39784" t="n">
        <v>39783</v>
      </c>
      <c r="B39784" t="inlineStr">
        <is>
          <t>x̄x̄x̄Mx̄DCCLXXXIII</t>
        </is>
      </c>
      <c r="C39784">
        <f>ROMAN(39783)</f>
        <v/>
      </c>
      <c r="D39784">
        <f>IF(B39784=C39784, "YES", "WRONG")</f>
        <v/>
      </c>
    </row>
    <row r="39785">
      <c r="A39785" t="n">
        <v>39784</v>
      </c>
      <c r="B39785" t="inlineStr">
        <is>
          <t>x̄x̄x̄Mx̄DCCLXXXIV</t>
        </is>
      </c>
      <c r="C39785">
        <f>ROMAN(39784)</f>
        <v/>
      </c>
      <c r="D39785">
        <f>IF(B39785=C39785, "YES", "WRONG")</f>
        <v/>
      </c>
    </row>
    <row r="39786">
      <c r="A39786" t="n">
        <v>39785</v>
      </c>
      <c r="B39786" t="inlineStr">
        <is>
          <t>x̄x̄x̄Mx̄DCCLXXXV</t>
        </is>
      </c>
      <c r="C39786">
        <f>ROMAN(39785)</f>
        <v/>
      </c>
      <c r="D39786">
        <f>IF(B39786=C39786, "YES", "WRONG")</f>
        <v/>
      </c>
    </row>
    <row r="39787">
      <c r="A39787" t="n">
        <v>39786</v>
      </c>
      <c r="B39787" t="inlineStr">
        <is>
          <t>x̄x̄x̄Mx̄DCCLXXXVI</t>
        </is>
      </c>
      <c r="C39787">
        <f>ROMAN(39786)</f>
        <v/>
      </c>
      <c r="D39787">
        <f>IF(B39787=C39787, "YES", "WRONG")</f>
        <v/>
      </c>
    </row>
    <row r="39788">
      <c r="A39788" t="n">
        <v>39787</v>
      </c>
      <c r="B39788" t="inlineStr">
        <is>
          <t>x̄x̄x̄Mx̄DCCLXXXVII</t>
        </is>
      </c>
      <c r="C39788">
        <f>ROMAN(39787)</f>
        <v/>
      </c>
      <c r="D39788">
        <f>IF(B39788=C39788, "YES", "WRONG")</f>
        <v/>
      </c>
    </row>
    <row r="39789">
      <c r="A39789" t="n">
        <v>39788</v>
      </c>
      <c r="B39789" t="inlineStr">
        <is>
          <t>x̄x̄x̄Mx̄DCCLXXXVIII</t>
        </is>
      </c>
      <c r="C39789">
        <f>ROMAN(39788)</f>
        <v/>
      </c>
      <c r="D39789">
        <f>IF(B39789=C39789, "YES", "WRONG")</f>
        <v/>
      </c>
    </row>
    <row r="39790">
      <c r="A39790" t="n">
        <v>39789</v>
      </c>
      <c r="B39790" t="inlineStr">
        <is>
          <t>x̄x̄x̄Mx̄DCCLXXXIX</t>
        </is>
      </c>
      <c r="C39790">
        <f>ROMAN(39789)</f>
        <v/>
      </c>
      <c r="D39790">
        <f>IF(B39790=C39790, "YES", "WRONG")</f>
        <v/>
      </c>
    </row>
    <row r="39791">
      <c r="A39791" t="n">
        <v>39790</v>
      </c>
      <c r="B39791" t="inlineStr">
        <is>
          <t>x̄x̄x̄Mx̄DCCXC</t>
        </is>
      </c>
      <c r="C39791">
        <f>ROMAN(39790)</f>
        <v/>
      </c>
      <c r="D39791">
        <f>IF(B39791=C39791, "YES", "WRONG")</f>
        <v/>
      </c>
    </row>
    <row r="39792">
      <c r="A39792" t="n">
        <v>39791</v>
      </c>
      <c r="B39792" t="inlineStr">
        <is>
          <t>x̄x̄x̄Mx̄DCCXCI</t>
        </is>
      </c>
      <c r="C39792">
        <f>ROMAN(39791)</f>
        <v/>
      </c>
      <c r="D39792">
        <f>IF(B39792=C39792, "YES", "WRONG")</f>
        <v/>
      </c>
    </row>
    <row r="39793">
      <c r="A39793" t="n">
        <v>39792</v>
      </c>
      <c r="B39793" t="inlineStr">
        <is>
          <t>x̄x̄x̄Mx̄DCCXCII</t>
        </is>
      </c>
      <c r="C39793">
        <f>ROMAN(39792)</f>
        <v/>
      </c>
      <c r="D39793">
        <f>IF(B39793=C39793, "YES", "WRONG")</f>
        <v/>
      </c>
    </row>
    <row r="39794">
      <c r="A39794" t="n">
        <v>39793</v>
      </c>
      <c r="B39794" t="inlineStr">
        <is>
          <t>x̄x̄x̄Mx̄DCCXCIII</t>
        </is>
      </c>
      <c r="C39794">
        <f>ROMAN(39793)</f>
        <v/>
      </c>
      <c r="D39794">
        <f>IF(B39794=C39794, "YES", "WRONG")</f>
        <v/>
      </c>
    </row>
    <row r="39795">
      <c r="A39795" t="n">
        <v>39794</v>
      </c>
      <c r="B39795" t="inlineStr">
        <is>
          <t>x̄x̄x̄Mx̄DCCXCIV</t>
        </is>
      </c>
      <c r="C39795">
        <f>ROMAN(39794)</f>
        <v/>
      </c>
      <c r="D39795">
        <f>IF(B39795=C39795, "YES", "WRONG")</f>
        <v/>
      </c>
    </row>
    <row r="39796">
      <c r="A39796" t="n">
        <v>39795</v>
      </c>
      <c r="B39796" t="inlineStr">
        <is>
          <t>x̄x̄x̄Mx̄DCCXCV</t>
        </is>
      </c>
      <c r="C39796">
        <f>ROMAN(39795)</f>
        <v/>
      </c>
      <c r="D39796">
        <f>IF(B39796=C39796, "YES", "WRONG")</f>
        <v/>
      </c>
    </row>
    <row r="39797">
      <c r="A39797" t="n">
        <v>39796</v>
      </c>
      <c r="B39797" t="inlineStr">
        <is>
          <t>x̄x̄x̄Mx̄DCCXCVI</t>
        </is>
      </c>
      <c r="C39797">
        <f>ROMAN(39796)</f>
        <v/>
      </c>
      <c r="D39797">
        <f>IF(B39797=C39797, "YES", "WRONG")</f>
        <v/>
      </c>
    </row>
    <row r="39798">
      <c r="A39798" t="n">
        <v>39797</v>
      </c>
      <c r="B39798" t="inlineStr">
        <is>
          <t>x̄x̄x̄Mx̄DCCXCVII</t>
        </is>
      </c>
      <c r="C39798">
        <f>ROMAN(39797)</f>
        <v/>
      </c>
      <c r="D39798">
        <f>IF(B39798=C39798, "YES", "WRONG")</f>
        <v/>
      </c>
    </row>
    <row r="39799">
      <c r="A39799" t="n">
        <v>39798</v>
      </c>
      <c r="B39799" t="inlineStr">
        <is>
          <t>x̄x̄x̄Mx̄DCCXCVIII</t>
        </is>
      </c>
      <c r="C39799">
        <f>ROMAN(39798)</f>
        <v/>
      </c>
      <c r="D39799">
        <f>IF(B39799=C39799, "YES", "WRONG")</f>
        <v/>
      </c>
    </row>
    <row r="39800">
      <c r="A39800" t="n">
        <v>39799</v>
      </c>
      <c r="B39800" t="inlineStr">
        <is>
          <t>x̄x̄x̄Mx̄DCCXCIX</t>
        </is>
      </c>
      <c r="C39800">
        <f>ROMAN(39799)</f>
        <v/>
      </c>
      <c r="D39800">
        <f>IF(B39800=C39800, "YES", "WRONG")</f>
        <v/>
      </c>
    </row>
    <row r="39801">
      <c r="A39801" t="n">
        <v>39800</v>
      </c>
      <c r="B39801" t="inlineStr">
        <is>
          <t>x̄x̄x̄Mx̄DCCC</t>
        </is>
      </c>
      <c r="C39801">
        <f>ROMAN(39800)</f>
        <v/>
      </c>
      <c r="D39801">
        <f>IF(B39801=C39801, "YES", "WRONG")</f>
        <v/>
      </c>
    </row>
    <row r="39802">
      <c r="A39802" t="n">
        <v>39801</v>
      </c>
      <c r="B39802" t="inlineStr">
        <is>
          <t>x̄x̄x̄Mx̄DCCCI</t>
        </is>
      </c>
      <c r="C39802">
        <f>ROMAN(39801)</f>
        <v/>
      </c>
      <c r="D39802">
        <f>IF(B39802=C39802, "YES", "WRONG")</f>
        <v/>
      </c>
    </row>
    <row r="39803">
      <c r="A39803" t="n">
        <v>39802</v>
      </c>
      <c r="B39803" t="inlineStr">
        <is>
          <t>x̄x̄x̄Mx̄DCCCII</t>
        </is>
      </c>
      <c r="C39803">
        <f>ROMAN(39802)</f>
        <v/>
      </c>
      <c r="D39803">
        <f>IF(B39803=C39803, "YES", "WRONG")</f>
        <v/>
      </c>
    </row>
    <row r="39804">
      <c r="A39804" t="n">
        <v>39803</v>
      </c>
      <c r="B39804" t="inlineStr">
        <is>
          <t>x̄x̄x̄Mx̄DCCCIII</t>
        </is>
      </c>
      <c r="C39804">
        <f>ROMAN(39803)</f>
        <v/>
      </c>
      <c r="D39804">
        <f>IF(B39804=C39804, "YES", "WRONG")</f>
        <v/>
      </c>
    </row>
    <row r="39805">
      <c r="A39805" t="n">
        <v>39804</v>
      </c>
      <c r="B39805" t="inlineStr">
        <is>
          <t>x̄x̄x̄Mx̄DCCCIV</t>
        </is>
      </c>
      <c r="C39805">
        <f>ROMAN(39804)</f>
        <v/>
      </c>
      <c r="D39805">
        <f>IF(B39805=C39805, "YES", "WRONG")</f>
        <v/>
      </c>
    </row>
    <row r="39806">
      <c r="A39806" t="n">
        <v>39805</v>
      </c>
      <c r="B39806" t="inlineStr">
        <is>
          <t>x̄x̄x̄Mx̄DCCCV</t>
        </is>
      </c>
      <c r="C39806">
        <f>ROMAN(39805)</f>
        <v/>
      </c>
      <c r="D39806">
        <f>IF(B39806=C39806, "YES", "WRONG")</f>
        <v/>
      </c>
    </row>
    <row r="39807">
      <c r="A39807" t="n">
        <v>39806</v>
      </c>
      <c r="B39807" t="inlineStr">
        <is>
          <t>x̄x̄x̄Mx̄DCCCVI</t>
        </is>
      </c>
      <c r="C39807">
        <f>ROMAN(39806)</f>
        <v/>
      </c>
      <c r="D39807">
        <f>IF(B39807=C39807, "YES", "WRONG")</f>
        <v/>
      </c>
    </row>
    <row r="39808">
      <c r="A39808" t="n">
        <v>39807</v>
      </c>
      <c r="B39808" t="inlineStr">
        <is>
          <t>x̄x̄x̄Mx̄DCCCVII</t>
        </is>
      </c>
      <c r="C39808">
        <f>ROMAN(39807)</f>
        <v/>
      </c>
      <c r="D39808">
        <f>IF(B39808=C39808, "YES", "WRONG")</f>
        <v/>
      </c>
    </row>
    <row r="39809">
      <c r="A39809" t="n">
        <v>39808</v>
      </c>
      <c r="B39809" t="inlineStr">
        <is>
          <t>x̄x̄x̄Mx̄DCCCVIII</t>
        </is>
      </c>
      <c r="C39809">
        <f>ROMAN(39808)</f>
        <v/>
      </c>
      <c r="D39809">
        <f>IF(B39809=C39809, "YES", "WRONG")</f>
        <v/>
      </c>
    </row>
    <row r="39810">
      <c r="A39810" t="n">
        <v>39809</v>
      </c>
      <c r="B39810" t="inlineStr">
        <is>
          <t>x̄x̄x̄Mx̄DCCCIX</t>
        </is>
      </c>
      <c r="C39810">
        <f>ROMAN(39809)</f>
        <v/>
      </c>
      <c r="D39810">
        <f>IF(B39810=C39810, "YES", "WRONG")</f>
        <v/>
      </c>
    </row>
    <row r="39811">
      <c r="A39811" t="n">
        <v>39810</v>
      </c>
      <c r="B39811" t="inlineStr">
        <is>
          <t>x̄x̄x̄Mx̄DCCCX</t>
        </is>
      </c>
      <c r="C39811">
        <f>ROMAN(39810)</f>
        <v/>
      </c>
      <c r="D39811">
        <f>IF(B39811=C39811, "YES", "WRONG")</f>
        <v/>
      </c>
    </row>
    <row r="39812">
      <c r="A39812" t="n">
        <v>39811</v>
      </c>
      <c r="B39812" t="inlineStr">
        <is>
          <t>x̄x̄x̄Mx̄DCCCXI</t>
        </is>
      </c>
      <c r="C39812">
        <f>ROMAN(39811)</f>
        <v/>
      </c>
      <c r="D39812">
        <f>IF(B39812=C39812, "YES", "WRONG")</f>
        <v/>
      </c>
    </row>
    <row r="39813">
      <c r="A39813" t="n">
        <v>39812</v>
      </c>
      <c r="B39813" t="inlineStr">
        <is>
          <t>x̄x̄x̄Mx̄DCCCXII</t>
        </is>
      </c>
      <c r="C39813">
        <f>ROMAN(39812)</f>
        <v/>
      </c>
      <c r="D39813">
        <f>IF(B39813=C39813, "YES", "WRONG")</f>
        <v/>
      </c>
    </row>
    <row r="39814">
      <c r="A39814" t="n">
        <v>39813</v>
      </c>
      <c r="B39814" t="inlineStr">
        <is>
          <t>x̄x̄x̄Mx̄DCCCXIII</t>
        </is>
      </c>
      <c r="C39814">
        <f>ROMAN(39813)</f>
        <v/>
      </c>
      <c r="D39814">
        <f>IF(B39814=C39814, "YES", "WRONG")</f>
        <v/>
      </c>
    </row>
    <row r="39815">
      <c r="A39815" t="n">
        <v>39814</v>
      </c>
      <c r="B39815" t="inlineStr">
        <is>
          <t>x̄x̄x̄Mx̄DCCCXIV</t>
        </is>
      </c>
      <c r="C39815">
        <f>ROMAN(39814)</f>
        <v/>
      </c>
      <c r="D39815">
        <f>IF(B39815=C39815, "YES", "WRONG")</f>
        <v/>
      </c>
    </row>
    <row r="39816">
      <c r="A39816" t="n">
        <v>39815</v>
      </c>
      <c r="B39816" t="inlineStr">
        <is>
          <t>x̄x̄x̄Mx̄DCCCXV</t>
        </is>
      </c>
      <c r="C39816">
        <f>ROMAN(39815)</f>
        <v/>
      </c>
      <c r="D39816">
        <f>IF(B39816=C39816, "YES", "WRONG")</f>
        <v/>
      </c>
    </row>
    <row r="39817">
      <c r="A39817" t="n">
        <v>39816</v>
      </c>
      <c r="B39817" t="inlineStr">
        <is>
          <t>x̄x̄x̄Mx̄DCCCXVI</t>
        </is>
      </c>
      <c r="C39817">
        <f>ROMAN(39816)</f>
        <v/>
      </c>
      <c r="D39817">
        <f>IF(B39817=C39817, "YES", "WRONG")</f>
        <v/>
      </c>
    </row>
    <row r="39818">
      <c r="A39818" t="n">
        <v>39817</v>
      </c>
      <c r="B39818" t="inlineStr">
        <is>
          <t>x̄x̄x̄Mx̄DCCCXVII</t>
        </is>
      </c>
      <c r="C39818">
        <f>ROMAN(39817)</f>
        <v/>
      </c>
      <c r="D39818">
        <f>IF(B39818=C39818, "YES", "WRONG")</f>
        <v/>
      </c>
    </row>
    <row r="39819">
      <c r="A39819" t="n">
        <v>39818</v>
      </c>
      <c r="B39819" t="inlineStr">
        <is>
          <t>x̄x̄x̄Mx̄DCCCXVIII</t>
        </is>
      </c>
      <c r="C39819">
        <f>ROMAN(39818)</f>
        <v/>
      </c>
      <c r="D39819">
        <f>IF(B39819=C39819, "YES", "WRONG")</f>
        <v/>
      </c>
    </row>
    <row r="39820">
      <c r="A39820" t="n">
        <v>39819</v>
      </c>
      <c r="B39820" t="inlineStr">
        <is>
          <t>x̄x̄x̄Mx̄DCCCXIX</t>
        </is>
      </c>
      <c r="C39820">
        <f>ROMAN(39819)</f>
        <v/>
      </c>
      <c r="D39820">
        <f>IF(B39820=C39820, "YES", "WRONG")</f>
        <v/>
      </c>
    </row>
    <row r="39821">
      <c r="A39821" t="n">
        <v>39820</v>
      </c>
      <c r="B39821" t="inlineStr">
        <is>
          <t>x̄x̄x̄Mx̄DCCCXX</t>
        </is>
      </c>
      <c r="C39821">
        <f>ROMAN(39820)</f>
        <v/>
      </c>
      <c r="D39821">
        <f>IF(B39821=C39821, "YES", "WRONG")</f>
        <v/>
      </c>
    </row>
    <row r="39822">
      <c r="A39822" t="n">
        <v>39821</v>
      </c>
      <c r="B39822" t="inlineStr">
        <is>
          <t>x̄x̄x̄Mx̄DCCCXXI</t>
        </is>
      </c>
      <c r="C39822">
        <f>ROMAN(39821)</f>
        <v/>
      </c>
      <c r="D39822">
        <f>IF(B39822=C39822, "YES", "WRONG")</f>
        <v/>
      </c>
    </row>
    <row r="39823">
      <c r="A39823" t="n">
        <v>39822</v>
      </c>
      <c r="B39823" t="inlineStr">
        <is>
          <t>x̄x̄x̄Mx̄DCCCXXII</t>
        </is>
      </c>
      <c r="C39823">
        <f>ROMAN(39822)</f>
        <v/>
      </c>
      <c r="D39823">
        <f>IF(B39823=C39823, "YES", "WRONG")</f>
        <v/>
      </c>
    </row>
    <row r="39824">
      <c r="A39824" t="n">
        <v>39823</v>
      </c>
      <c r="B39824" t="inlineStr">
        <is>
          <t>x̄x̄x̄Mx̄DCCCXXIII</t>
        </is>
      </c>
      <c r="C39824">
        <f>ROMAN(39823)</f>
        <v/>
      </c>
      <c r="D39824">
        <f>IF(B39824=C39824, "YES", "WRONG")</f>
        <v/>
      </c>
    </row>
    <row r="39825">
      <c r="A39825" t="n">
        <v>39824</v>
      </c>
      <c r="B39825" t="inlineStr">
        <is>
          <t>x̄x̄x̄Mx̄DCCCXXIV</t>
        </is>
      </c>
      <c r="C39825">
        <f>ROMAN(39824)</f>
        <v/>
      </c>
      <c r="D39825">
        <f>IF(B39825=C39825, "YES", "WRONG")</f>
        <v/>
      </c>
    </row>
    <row r="39826">
      <c r="A39826" t="n">
        <v>39825</v>
      </c>
      <c r="B39826" t="inlineStr">
        <is>
          <t>x̄x̄x̄Mx̄DCCCXXV</t>
        </is>
      </c>
      <c r="C39826">
        <f>ROMAN(39825)</f>
        <v/>
      </c>
      <c r="D39826">
        <f>IF(B39826=C39826, "YES", "WRONG")</f>
        <v/>
      </c>
    </row>
    <row r="39827">
      <c r="A39827" t="n">
        <v>39826</v>
      </c>
      <c r="B39827" t="inlineStr">
        <is>
          <t>x̄x̄x̄Mx̄DCCCXXVI</t>
        </is>
      </c>
      <c r="C39827">
        <f>ROMAN(39826)</f>
        <v/>
      </c>
      <c r="D39827">
        <f>IF(B39827=C39827, "YES", "WRONG")</f>
        <v/>
      </c>
    </row>
    <row r="39828">
      <c r="A39828" t="n">
        <v>39827</v>
      </c>
      <c r="B39828" t="inlineStr">
        <is>
          <t>x̄x̄x̄Mx̄DCCCXXVII</t>
        </is>
      </c>
      <c r="C39828">
        <f>ROMAN(39827)</f>
        <v/>
      </c>
      <c r="D39828">
        <f>IF(B39828=C39828, "YES", "WRONG")</f>
        <v/>
      </c>
    </row>
    <row r="39829">
      <c r="A39829" t="n">
        <v>39828</v>
      </c>
      <c r="B39829" t="inlineStr">
        <is>
          <t>x̄x̄x̄Mx̄DCCCXXVIII</t>
        </is>
      </c>
      <c r="C39829">
        <f>ROMAN(39828)</f>
        <v/>
      </c>
      <c r="D39829">
        <f>IF(B39829=C39829, "YES", "WRONG")</f>
        <v/>
      </c>
    </row>
    <row r="39830">
      <c r="A39830" t="n">
        <v>39829</v>
      </c>
      <c r="B39830" t="inlineStr">
        <is>
          <t>x̄x̄x̄Mx̄DCCCXXIX</t>
        </is>
      </c>
      <c r="C39830">
        <f>ROMAN(39829)</f>
        <v/>
      </c>
      <c r="D39830">
        <f>IF(B39830=C39830, "YES", "WRONG")</f>
        <v/>
      </c>
    </row>
    <row r="39831">
      <c r="A39831" t="n">
        <v>39830</v>
      </c>
      <c r="B39831" t="inlineStr">
        <is>
          <t>x̄x̄x̄Mx̄DCCCXXX</t>
        </is>
      </c>
      <c r="C39831">
        <f>ROMAN(39830)</f>
        <v/>
      </c>
      <c r="D39831">
        <f>IF(B39831=C39831, "YES", "WRONG")</f>
        <v/>
      </c>
    </row>
    <row r="39832">
      <c r="A39832" t="n">
        <v>39831</v>
      </c>
      <c r="B39832" t="inlineStr">
        <is>
          <t>x̄x̄x̄Mx̄DCCCXXXI</t>
        </is>
      </c>
      <c r="C39832">
        <f>ROMAN(39831)</f>
        <v/>
      </c>
      <c r="D39832">
        <f>IF(B39832=C39832, "YES", "WRONG")</f>
        <v/>
      </c>
    </row>
    <row r="39833">
      <c r="A39833" t="n">
        <v>39832</v>
      </c>
      <c r="B39833" t="inlineStr">
        <is>
          <t>x̄x̄x̄Mx̄DCCCXXXII</t>
        </is>
      </c>
      <c r="C39833">
        <f>ROMAN(39832)</f>
        <v/>
      </c>
      <c r="D39833">
        <f>IF(B39833=C39833, "YES", "WRONG")</f>
        <v/>
      </c>
    </row>
    <row r="39834">
      <c r="A39834" t="n">
        <v>39833</v>
      </c>
      <c r="B39834" t="inlineStr">
        <is>
          <t>x̄x̄x̄Mx̄DCCCXXXIII</t>
        </is>
      </c>
      <c r="C39834">
        <f>ROMAN(39833)</f>
        <v/>
      </c>
      <c r="D39834">
        <f>IF(B39834=C39834, "YES", "WRONG")</f>
        <v/>
      </c>
    </row>
    <row r="39835">
      <c r="A39835" t="n">
        <v>39834</v>
      </c>
      <c r="B39835" t="inlineStr">
        <is>
          <t>x̄x̄x̄Mx̄DCCCXXXIV</t>
        </is>
      </c>
      <c r="C39835">
        <f>ROMAN(39834)</f>
        <v/>
      </c>
      <c r="D39835">
        <f>IF(B39835=C39835, "YES", "WRONG")</f>
        <v/>
      </c>
    </row>
    <row r="39836">
      <c r="A39836" t="n">
        <v>39835</v>
      </c>
      <c r="B39836" t="inlineStr">
        <is>
          <t>x̄x̄x̄Mx̄DCCCXXXV</t>
        </is>
      </c>
      <c r="C39836">
        <f>ROMAN(39835)</f>
        <v/>
      </c>
      <c r="D39836">
        <f>IF(B39836=C39836, "YES", "WRONG")</f>
        <v/>
      </c>
    </row>
    <row r="39837">
      <c r="A39837" t="n">
        <v>39836</v>
      </c>
      <c r="B39837" t="inlineStr">
        <is>
          <t>x̄x̄x̄Mx̄DCCCXXXVI</t>
        </is>
      </c>
      <c r="C39837">
        <f>ROMAN(39836)</f>
        <v/>
      </c>
      <c r="D39837">
        <f>IF(B39837=C39837, "YES", "WRONG")</f>
        <v/>
      </c>
    </row>
    <row r="39838">
      <c r="A39838" t="n">
        <v>39837</v>
      </c>
      <c r="B39838" t="inlineStr">
        <is>
          <t>x̄x̄x̄Mx̄DCCCXXXVII</t>
        </is>
      </c>
      <c r="C39838">
        <f>ROMAN(39837)</f>
        <v/>
      </c>
      <c r="D39838">
        <f>IF(B39838=C39838, "YES", "WRONG")</f>
        <v/>
      </c>
    </row>
    <row r="39839">
      <c r="A39839" t="n">
        <v>39838</v>
      </c>
      <c r="B39839" t="inlineStr">
        <is>
          <t>x̄x̄x̄Mx̄DCCCXXXVIII</t>
        </is>
      </c>
      <c r="C39839">
        <f>ROMAN(39838)</f>
        <v/>
      </c>
      <c r="D39839">
        <f>IF(B39839=C39839, "YES", "WRONG")</f>
        <v/>
      </c>
    </row>
    <row r="39840">
      <c r="A39840" t="n">
        <v>39839</v>
      </c>
      <c r="B39840" t="inlineStr">
        <is>
          <t>x̄x̄x̄Mx̄DCCCXXXIX</t>
        </is>
      </c>
      <c r="C39840">
        <f>ROMAN(39839)</f>
        <v/>
      </c>
      <c r="D39840">
        <f>IF(B39840=C39840, "YES", "WRONG")</f>
        <v/>
      </c>
    </row>
    <row r="39841">
      <c r="A39841" t="n">
        <v>39840</v>
      </c>
      <c r="B39841" t="inlineStr">
        <is>
          <t>x̄x̄x̄Mx̄DCCCXL</t>
        </is>
      </c>
      <c r="C39841">
        <f>ROMAN(39840)</f>
        <v/>
      </c>
      <c r="D39841">
        <f>IF(B39841=C39841, "YES", "WRONG")</f>
        <v/>
      </c>
    </row>
    <row r="39842">
      <c r="A39842" t="n">
        <v>39841</v>
      </c>
      <c r="B39842" t="inlineStr">
        <is>
          <t>x̄x̄x̄Mx̄DCCCXLI</t>
        </is>
      </c>
      <c r="C39842">
        <f>ROMAN(39841)</f>
        <v/>
      </c>
      <c r="D39842">
        <f>IF(B39842=C39842, "YES", "WRONG")</f>
        <v/>
      </c>
    </row>
    <row r="39843">
      <c r="A39843" t="n">
        <v>39842</v>
      </c>
      <c r="B39843" t="inlineStr">
        <is>
          <t>x̄x̄x̄Mx̄DCCCXLII</t>
        </is>
      </c>
      <c r="C39843">
        <f>ROMAN(39842)</f>
        <v/>
      </c>
      <c r="D39843">
        <f>IF(B39843=C39843, "YES", "WRONG")</f>
        <v/>
      </c>
    </row>
    <row r="39844">
      <c r="A39844" t="n">
        <v>39843</v>
      </c>
      <c r="B39844" t="inlineStr">
        <is>
          <t>x̄x̄x̄Mx̄DCCCXLIII</t>
        </is>
      </c>
      <c r="C39844">
        <f>ROMAN(39843)</f>
        <v/>
      </c>
      <c r="D39844">
        <f>IF(B39844=C39844, "YES", "WRONG")</f>
        <v/>
      </c>
    </row>
    <row r="39845">
      <c r="A39845" t="n">
        <v>39844</v>
      </c>
      <c r="B39845" t="inlineStr">
        <is>
          <t>x̄x̄x̄Mx̄DCCCXLIV</t>
        </is>
      </c>
      <c r="C39845">
        <f>ROMAN(39844)</f>
        <v/>
      </c>
      <c r="D39845">
        <f>IF(B39845=C39845, "YES", "WRONG")</f>
        <v/>
      </c>
    </row>
    <row r="39846">
      <c r="A39846" t="n">
        <v>39845</v>
      </c>
      <c r="B39846" t="inlineStr">
        <is>
          <t>x̄x̄x̄Mx̄DCCCXLV</t>
        </is>
      </c>
      <c r="C39846">
        <f>ROMAN(39845)</f>
        <v/>
      </c>
      <c r="D39846">
        <f>IF(B39846=C39846, "YES", "WRONG")</f>
        <v/>
      </c>
    </row>
    <row r="39847">
      <c r="A39847" t="n">
        <v>39846</v>
      </c>
      <c r="B39847" t="inlineStr">
        <is>
          <t>x̄x̄x̄Mx̄DCCCXLVI</t>
        </is>
      </c>
      <c r="C39847">
        <f>ROMAN(39846)</f>
        <v/>
      </c>
      <c r="D39847">
        <f>IF(B39847=C39847, "YES", "WRONG")</f>
        <v/>
      </c>
    </row>
    <row r="39848">
      <c r="A39848" t="n">
        <v>39847</v>
      </c>
      <c r="B39848" t="inlineStr">
        <is>
          <t>x̄x̄x̄Mx̄DCCCXLVII</t>
        </is>
      </c>
      <c r="C39848">
        <f>ROMAN(39847)</f>
        <v/>
      </c>
      <c r="D39848">
        <f>IF(B39848=C39848, "YES", "WRONG")</f>
        <v/>
      </c>
    </row>
    <row r="39849">
      <c r="A39849" t="n">
        <v>39848</v>
      </c>
      <c r="B39849" t="inlineStr">
        <is>
          <t>x̄x̄x̄Mx̄DCCCXLVIII</t>
        </is>
      </c>
      <c r="C39849">
        <f>ROMAN(39848)</f>
        <v/>
      </c>
      <c r="D39849">
        <f>IF(B39849=C39849, "YES", "WRONG")</f>
        <v/>
      </c>
    </row>
    <row r="39850">
      <c r="A39850" t="n">
        <v>39849</v>
      </c>
      <c r="B39850" t="inlineStr">
        <is>
          <t>x̄x̄x̄Mx̄DCCCXLIX</t>
        </is>
      </c>
      <c r="C39850">
        <f>ROMAN(39849)</f>
        <v/>
      </c>
      <c r="D39850">
        <f>IF(B39850=C39850, "YES", "WRONG")</f>
        <v/>
      </c>
    </row>
    <row r="39851">
      <c r="A39851" t="n">
        <v>39850</v>
      </c>
      <c r="B39851" t="inlineStr">
        <is>
          <t>x̄x̄x̄Mx̄DCCCL</t>
        </is>
      </c>
      <c r="C39851">
        <f>ROMAN(39850)</f>
        <v/>
      </c>
      <c r="D39851">
        <f>IF(B39851=C39851, "YES", "WRONG")</f>
        <v/>
      </c>
    </row>
    <row r="39852">
      <c r="A39852" t="n">
        <v>39851</v>
      </c>
      <c r="B39852" t="inlineStr">
        <is>
          <t>x̄x̄x̄Mx̄DCCCLI</t>
        </is>
      </c>
      <c r="C39852">
        <f>ROMAN(39851)</f>
        <v/>
      </c>
      <c r="D39852">
        <f>IF(B39852=C39852, "YES", "WRONG")</f>
        <v/>
      </c>
    </row>
    <row r="39853">
      <c r="A39853" t="n">
        <v>39852</v>
      </c>
      <c r="B39853" t="inlineStr">
        <is>
          <t>x̄x̄x̄Mx̄DCCCLII</t>
        </is>
      </c>
      <c r="C39853">
        <f>ROMAN(39852)</f>
        <v/>
      </c>
      <c r="D39853">
        <f>IF(B39853=C39853, "YES", "WRONG")</f>
        <v/>
      </c>
    </row>
    <row r="39854">
      <c r="A39854" t="n">
        <v>39853</v>
      </c>
      <c r="B39854" t="inlineStr">
        <is>
          <t>x̄x̄x̄Mx̄DCCCLIII</t>
        </is>
      </c>
      <c r="C39854">
        <f>ROMAN(39853)</f>
        <v/>
      </c>
      <c r="D39854">
        <f>IF(B39854=C39854, "YES", "WRONG")</f>
        <v/>
      </c>
    </row>
    <row r="39855">
      <c r="A39855" t="n">
        <v>39854</v>
      </c>
      <c r="B39855" t="inlineStr">
        <is>
          <t>x̄x̄x̄Mx̄DCCCLIV</t>
        </is>
      </c>
      <c r="C39855">
        <f>ROMAN(39854)</f>
        <v/>
      </c>
      <c r="D39855">
        <f>IF(B39855=C39855, "YES", "WRONG")</f>
        <v/>
      </c>
    </row>
    <row r="39856">
      <c r="A39856" t="n">
        <v>39855</v>
      </c>
      <c r="B39856" t="inlineStr">
        <is>
          <t>x̄x̄x̄Mx̄DCCCLV</t>
        </is>
      </c>
      <c r="C39856">
        <f>ROMAN(39855)</f>
        <v/>
      </c>
      <c r="D39856">
        <f>IF(B39856=C39856, "YES", "WRONG")</f>
        <v/>
      </c>
    </row>
    <row r="39857">
      <c r="A39857" t="n">
        <v>39856</v>
      </c>
      <c r="B39857" t="inlineStr">
        <is>
          <t>x̄x̄x̄Mx̄DCCCLVI</t>
        </is>
      </c>
      <c r="C39857">
        <f>ROMAN(39856)</f>
        <v/>
      </c>
      <c r="D39857">
        <f>IF(B39857=C39857, "YES", "WRONG")</f>
        <v/>
      </c>
    </row>
    <row r="39858">
      <c r="A39858" t="n">
        <v>39857</v>
      </c>
      <c r="B39858" t="inlineStr">
        <is>
          <t>x̄x̄x̄Mx̄DCCCLVII</t>
        </is>
      </c>
      <c r="C39858">
        <f>ROMAN(39857)</f>
        <v/>
      </c>
      <c r="D39858">
        <f>IF(B39858=C39858, "YES", "WRONG")</f>
        <v/>
      </c>
    </row>
    <row r="39859">
      <c r="A39859" t="n">
        <v>39858</v>
      </c>
      <c r="B39859" t="inlineStr">
        <is>
          <t>x̄x̄x̄Mx̄DCCCLVIII</t>
        </is>
      </c>
      <c r="C39859">
        <f>ROMAN(39858)</f>
        <v/>
      </c>
      <c r="D39859">
        <f>IF(B39859=C39859, "YES", "WRONG")</f>
        <v/>
      </c>
    </row>
    <row r="39860">
      <c r="A39860" t="n">
        <v>39859</v>
      </c>
      <c r="B39860" t="inlineStr">
        <is>
          <t>x̄x̄x̄Mx̄DCCCLIX</t>
        </is>
      </c>
      <c r="C39860">
        <f>ROMAN(39859)</f>
        <v/>
      </c>
      <c r="D39860">
        <f>IF(B39860=C39860, "YES", "WRONG")</f>
        <v/>
      </c>
    </row>
    <row r="39861">
      <c r="A39861" t="n">
        <v>39860</v>
      </c>
      <c r="B39861" t="inlineStr">
        <is>
          <t>x̄x̄x̄Mx̄DCCCLX</t>
        </is>
      </c>
      <c r="C39861">
        <f>ROMAN(39860)</f>
        <v/>
      </c>
      <c r="D39861">
        <f>IF(B39861=C39861, "YES", "WRONG")</f>
        <v/>
      </c>
    </row>
    <row r="39862">
      <c r="A39862" t="n">
        <v>39861</v>
      </c>
      <c r="B39862" t="inlineStr">
        <is>
          <t>x̄x̄x̄Mx̄DCCCLXI</t>
        </is>
      </c>
      <c r="C39862">
        <f>ROMAN(39861)</f>
        <v/>
      </c>
      <c r="D39862">
        <f>IF(B39862=C39862, "YES", "WRONG")</f>
        <v/>
      </c>
    </row>
    <row r="39863">
      <c r="A39863" t="n">
        <v>39862</v>
      </c>
      <c r="B39863" t="inlineStr">
        <is>
          <t>x̄x̄x̄Mx̄DCCCLXII</t>
        </is>
      </c>
      <c r="C39863">
        <f>ROMAN(39862)</f>
        <v/>
      </c>
      <c r="D39863">
        <f>IF(B39863=C39863, "YES", "WRONG")</f>
        <v/>
      </c>
    </row>
    <row r="39864">
      <c r="A39864" t="n">
        <v>39863</v>
      </c>
      <c r="B39864" t="inlineStr">
        <is>
          <t>x̄x̄x̄Mx̄DCCCLXIII</t>
        </is>
      </c>
      <c r="C39864">
        <f>ROMAN(39863)</f>
        <v/>
      </c>
      <c r="D39864">
        <f>IF(B39864=C39864, "YES", "WRONG")</f>
        <v/>
      </c>
    </row>
    <row r="39865">
      <c r="A39865" t="n">
        <v>39864</v>
      </c>
      <c r="B39865" t="inlineStr">
        <is>
          <t>x̄x̄x̄Mx̄DCCCLXIV</t>
        </is>
      </c>
      <c r="C39865">
        <f>ROMAN(39864)</f>
        <v/>
      </c>
      <c r="D39865">
        <f>IF(B39865=C39865, "YES", "WRONG")</f>
        <v/>
      </c>
    </row>
    <row r="39866">
      <c r="A39866" t="n">
        <v>39865</v>
      </c>
      <c r="B39866" t="inlineStr">
        <is>
          <t>x̄x̄x̄Mx̄DCCCLXV</t>
        </is>
      </c>
      <c r="C39866">
        <f>ROMAN(39865)</f>
        <v/>
      </c>
      <c r="D39866">
        <f>IF(B39866=C39866, "YES", "WRONG")</f>
        <v/>
      </c>
    </row>
    <row r="39867">
      <c r="A39867" t="n">
        <v>39866</v>
      </c>
      <c r="B39867" t="inlineStr">
        <is>
          <t>x̄x̄x̄Mx̄DCCCLXVI</t>
        </is>
      </c>
      <c r="C39867">
        <f>ROMAN(39866)</f>
        <v/>
      </c>
      <c r="D39867">
        <f>IF(B39867=C39867, "YES", "WRONG")</f>
        <v/>
      </c>
    </row>
    <row r="39868">
      <c r="A39868" t="n">
        <v>39867</v>
      </c>
      <c r="B39868" t="inlineStr">
        <is>
          <t>x̄x̄x̄Mx̄DCCCLXVII</t>
        </is>
      </c>
      <c r="C39868">
        <f>ROMAN(39867)</f>
        <v/>
      </c>
      <c r="D39868">
        <f>IF(B39868=C39868, "YES", "WRONG")</f>
        <v/>
      </c>
    </row>
    <row r="39869">
      <c r="A39869" t="n">
        <v>39868</v>
      </c>
      <c r="B39869" t="inlineStr">
        <is>
          <t>x̄x̄x̄Mx̄DCCCLXVIII</t>
        </is>
      </c>
      <c r="C39869">
        <f>ROMAN(39868)</f>
        <v/>
      </c>
      <c r="D39869">
        <f>IF(B39869=C39869, "YES", "WRONG")</f>
        <v/>
      </c>
    </row>
    <row r="39870">
      <c r="A39870" t="n">
        <v>39869</v>
      </c>
      <c r="B39870" t="inlineStr">
        <is>
          <t>x̄x̄x̄Mx̄DCCCLXIX</t>
        </is>
      </c>
      <c r="C39870">
        <f>ROMAN(39869)</f>
        <v/>
      </c>
      <c r="D39870">
        <f>IF(B39870=C39870, "YES", "WRONG")</f>
        <v/>
      </c>
    </row>
    <row r="39871">
      <c r="A39871" t="n">
        <v>39870</v>
      </c>
      <c r="B39871" t="inlineStr">
        <is>
          <t>x̄x̄x̄Mx̄DCCCLXX</t>
        </is>
      </c>
      <c r="C39871">
        <f>ROMAN(39870)</f>
        <v/>
      </c>
      <c r="D39871">
        <f>IF(B39871=C39871, "YES", "WRONG")</f>
        <v/>
      </c>
    </row>
    <row r="39872">
      <c r="A39872" t="n">
        <v>39871</v>
      </c>
      <c r="B39872" t="inlineStr">
        <is>
          <t>x̄x̄x̄Mx̄DCCCLXXI</t>
        </is>
      </c>
      <c r="C39872">
        <f>ROMAN(39871)</f>
        <v/>
      </c>
      <c r="D39872">
        <f>IF(B39872=C39872, "YES", "WRONG")</f>
        <v/>
      </c>
    </row>
    <row r="39873">
      <c r="A39873" t="n">
        <v>39872</v>
      </c>
      <c r="B39873" t="inlineStr">
        <is>
          <t>x̄x̄x̄Mx̄DCCCLXXII</t>
        </is>
      </c>
      <c r="C39873">
        <f>ROMAN(39872)</f>
        <v/>
      </c>
      <c r="D39873">
        <f>IF(B39873=C39873, "YES", "WRONG")</f>
        <v/>
      </c>
    </row>
    <row r="39874">
      <c r="A39874" t="n">
        <v>39873</v>
      </c>
      <c r="B39874" t="inlineStr">
        <is>
          <t>x̄x̄x̄Mx̄DCCCLXXIII</t>
        </is>
      </c>
      <c r="C39874">
        <f>ROMAN(39873)</f>
        <v/>
      </c>
      <c r="D39874">
        <f>IF(B39874=C39874, "YES", "WRONG")</f>
        <v/>
      </c>
    </row>
    <row r="39875">
      <c r="A39875" t="n">
        <v>39874</v>
      </c>
      <c r="B39875" t="inlineStr">
        <is>
          <t>x̄x̄x̄Mx̄DCCCLXXIV</t>
        </is>
      </c>
      <c r="C39875">
        <f>ROMAN(39874)</f>
        <v/>
      </c>
      <c r="D39875">
        <f>IF(B39875=C39875, "YES", "WRONG")</f>
        <v/>
      </c>
    </row>
    <row r="39876">
      <c r="A39876" t="n">
        <v>39875</v>
      </c>
      <c r="B39876" t="inlineStr">
        <is>
          <t>x̄x̄x̄Mx̄DCCCLXXV</t>
        </is>
      </c>
      <c r="C39876">
        <f>ROMAN(39875)</f>
        <v/>
      </c>
      <c r="D39876">
        <f>IF(B39876=C39876, "YES", "WRONG")</f>
        <v/>
      </c>
    </row>
    <row r="39877">
      <c r="A39877" t="n">
        <v>39876</v>
      </c>
      <c r="B39877" t="inlineStr">
        <is>
          <t>x̄x̄x̄Mx̄DCCCLXXVI</t>
        </is>
      </c>
      <c r="C39877">
        <f>ROMAN(39876)</f>
        <v/>
      </c>
      <c r="D39877">
        <f>IF(B39877=C39877, "YES", "WRONG")</f>
        <v/>
      </c>
    </row>
    <row r="39878">
      <c r="A39878" t="n">
        <v>39877</v>
      </c>
      <c r="B39878" t="inlineStr">
        <is>
          <t>x̄x̄x̄Mx̄DCCCLXXVII</t>
        </is>
      </c>
      <c r="C39878">
        <f>ROMAN(39877)</f>
        <v/>
      </c>
      <c r="D39878">
        <f>IF(B39878=C39878, "YES", "WRONG")</f>
        <v/>
      </c>
    </row>
    <row r="39879">
      <c r="A39879" t="n">
        <v>39878</v>
      </c>
      <c r="B39879" t="inlineStr">
        <is>
          <t>x̄x̄x̄Mx̄DCCCLXXVIII</t>
        </is>
      </c>
      <c r="C39879">
        <f>ROMAN(39878)</f>
        <v/>
      </c>
      <c r="D39879">
        <f>IF(B39879=C39879, "YES", "WRONG")</f>
        <v/>
      </c>
    </row>
    <row r="39880">
      <c r="A39880" t="n">
        <v>39879</v>
      </c>
      <c r="B39880" t="inlineStr">
        <is>
          <t>x̄x̄x̄Mx̄DCCCLXXIX</t>
        </is>
      </c>
      <c r="C39880">
        <f>ROMAN(39879)</f>
        <v/>
      </c>
      <c r="D39880">
        <f>IF(B39880=C39880, "YES", "WRONG")</f>
        <v/>
      </c>
    </row>
    <row r="39881">
      <c r="A39881" t="n">
        <v>39880</v>
      </c>
      <c r="B39881" t="inlineStr">
        <is>
          <t>x̄x̄x̄Mx̄DCCCLXXX</t>
        </is>
      </c>
      <c r="C39881">
        <f>ROMAN(39880)</f>
        <v/>
      </c>
      <c r="D39881">
        <f>IF(B39881=C39881, "YES", "WRONG")</f>
        <v/>
      </c>
    </row>
    <row r="39882">
      <c r="A39882" t="n">
        <v>39881</v>
      </c>
      <c r="B39882" t="inlineStr">
        <is>
          <t>x̄x̄x̄Mx̄DCCCLXXXI</t>
        </is>
      </c>
      <c r="C39882">
        <f>ROMAN(39881)</f>
        <v/>
      </c>
      <c r="D39882">
        <f>IF(B39882=C39882, "YES", "WRONG")</f>
        <v/>
      </c>
    </row>
    <row r="39883">
      <c r="A39883" t="n">
        <v>39882</v>
      </c>
      <c r="B39883" t="inlineStr">
        <is>
          <t>x̄x̄x̄Mx̄DCCCLXXXII</t>
        </is>
      </c>
      <c r="C39883">
        <f>ROMAN(39882)</f>
        <v/>
      </c>
      <c r="D39883">
        <f>IF(B39883=C39883, "YES", "WRONG")</f>
        <v/>
      </c>
    </row>
    <row r="39884">
      <c r="A39884" t="n">
        <v>39883</v>
      </c>
      <c r="B39884" t="inlineStr">
        <is>
          <t>x̄x̄x̄Mx̄DCCCLXXXIII</t>
        </is>
      </c>
      <c r="C39884">
        <f>ROMAN(39883)</f>
        <v/>
      </c>
      <c r="D39884">
        <f>IF(B39884=C39884, "YES", "WRONG")</f>
        <v/>
      </c>
    </row>
    <row r="39885">
      <c r="A39885" t="n">
        <v>39884</v>
      </c>
      <c r="B39885" t="inlineStr">
        <is>
          <t>x̄x̄x̄Mx̄DCCCLXXXIV</t>
        </is>
      </c>
      <c r="C39885">
        <f>ROMAN(39884)</f>
        <v/>
      </c>
      <c r="D39885">
        <f>IF(B39885=C39885, "YES", "WRONG")</f>
        <v/>
      </c>
    </row>
    <row r="39886">
      <c r="A39886" t="n">
        <v>39885</v>
      </c>
      <c r="B39886" t="inlineStr">
        <is>
          <t>x̄x̄x̄Mx̄DCCCLXXXV</t>
        </is>
      </c>
      <c r="C39886">
        <f>ROMAN(39885)</f>
        <v/>
      </c>
      <c r="D39886">
        <f>IF(B39886=C39886, "YES", "WRONG")</f>
        <v/>
      </c>
    </row>
    <row r="39887">
      <c r="A39887" t="n">
        <v>39886</v>
      </c>
      <c r="B39887" t="inlineStr">
        <is>
          <t>x̄x̄x̄Mx̄DCCCLXXXVI</t>
        </is>
      </c>
      <c r="C39887">
        <f>ROMAN(39886)</f>
        <v/>
      </c>
      <c r="D39887">
        <f>IF(B39887=C39887, "YES", "WRONG")</f>
        <v/>
      </c>
    </row>
    <row r="39888">
      <c r="A39888" t="n">
        <v>39887</v>
      </c>
      <c r="B39888" t="inlineStr">
        <is>
          <t>x̄x̄x̄Mx̄DCCCLXXXVII</t>
        </is>
      </c>
      <c r="C39888">
        <f>ROMAN(39887)</f>
        <v/>
      </c>
      <c r="D39888">
        <f>IF(B39888=C39888, "YES", "WRONG")</f>
        <v/>
      </c>
    </row>
    <row r="39889">
      <c r="A39889" t="n">
        <v>39888</v>
      </c>
      <c r="B39889" t="inlineStr">
        <is>
          <t>x̄x̄x̄Mx̄DCCCLXXXVIII</t>
        </is>
      </c>
      <c r="C39889">
        <f>ROMAN(39888)</f>
        <v/>
      </c>
      <c r="D39889">
        <f>IF(B39889=C39889, "YES", "WRONG")</f>
        <v/>
      </c>
    </row>
    <row r="39890">
      <c r="A39890" t="n">
        <v>39889</v>
      </c>
      <c r="B39890" t="inlineStr">
        <is>
          <t>x̄x̄x̄Mx̄DCCCLXXXIX</t>
        </is>
      </c>
      <c r="C39890">
        <f>ROMAN(39889)</f>
        <v/>
      </c>
      <c r="D39890">
        <f>IF(B39890=C39890, "YES", "WRONG")</f>
        <v/>
      </c>
    </row>
    <row r="39891">
      <c r="A39891" t="n">
        <v>39890</v>
      </c>
      <c r="B39891" t="inlineStr">
        <is>
          <t>x̄x̄x̄Mx̄DCCCXC</t>
        </is>
      </c>
      <c r="C39891">
        <f>ROMAN(39890)</f>
        <v/>
      </c>
      <c r="D39891">
        <f>IF(B39891=C39891, "YES", "WRONG")</f>
        <v/>
      </c>
    </row>
    <row r="39892">
      <c r="A39892" t="n">
        <v>39891</v>
      </c>
      <c r="B39892" t="inlineStr">
        <is>
          <t>x̄x̄x̄Mx̄DCCCXCI</t>
        </is>
      </c>
      <c r="C39892">
        <f>ROMAN(39891)</f>
        <v/>
      </c>
      <c r="D39892">
        <f>IF(B39892=C39892, "YES", "WRONG")</f>
        <v/>
      </c>
    </row>
    <row r="39893">
      <c r="A39893" t="n">
        <v>39892</v>
      </c>
      <c r="B39893" t="inlineStr">
        <is>
          <t>x̄x̄x̄Mx̄DCCCXCII</t>
        </is>
      </c>
      <c r="C39893">
        <f>ROMAN(39892)</f>
        <v/>
      </c>
      <c r="D39893">
        <f>IF(B39893=C39893, "YES", "WRONG")</f>
        <v/>
      </c>
    </row>
    <row r="39894">
      <c r="A39894" t="n">
        <v>39893</v>
      </c>
      <c r="B39894" t="inlineStr">
        <is>
          <t>x̄x̄x̄Mx̄DCCCXCIII</t>
        </is>
      </c>
      <c r="C39894">
        <f>ROMAN(39893)</f>
        <v/>
      </c>
      <c r="D39894">
        <f>IF(B39894=C39894, "YES", "WRONG")</f>
        <v/>
      </c>
    </row>
    <row r="39895">
      <c r="A39895" t="n">
        <v>39894</v>
      </c>
      <c r="B39895" t="inlineStr">
        <is>
          <t>x̄x̄x̄Mx̄DCCCXCIV</t>
        </is>
      </c>
      <c r="C39895">
        <f>ROMAN(39894)</f>
        <v/>
      </c>
      <c r="D39895">
        <f>IF(B39895=C39895, "YES", "WRONG")</f>
        <v/>
      </c>
    </row>
    <row r="39896">
      <c r="A39896" t="n">
        <v>39895</v>
      </c>
      <c r="B39896" t="inlineStr">
        <is>
          <t>x̄x̄x̄Mx̄DCCCXCV</t>
        </is>
      </c>
      <c r="C39896">
        <f>ROMAN(39895)</f>
        <v/>
      </c>
      <c r="D39896">
        <f>IF(B39896=C39896, "YES", "WRONG")</f>
        <v/>
      </c>
    </row>
    <row r="39897">
      <c r="A39897" t="n">
        <v>39896</v>
      </c>
      <c r="B39897" t="inlineStr">
        <is>
          <t>x̄x̄x̄Mx̄DCCCXCVI</t>
        </is>
      </c>
      <c r="C39897">
        <f>ROMAN(39896)</f>
        <v/>
      </c>
      <c r="D39897">
        <f>IF(B39897=C39897, "YES", "WRONG")</f>
        <v/>
      </c>
    </row>
    <row r="39898">
      <c r="A39898" t="n">
        <v>39897</v>
      </c>
      <c r="B39898" t="inlineStr">
        <is>
          <t>x̄x̄x̄Mx̄DCCCXCVII</t>
        </is>
      </c>
      <c r="C39898">
        <f>ROMAN(39897)</f>
        <v/>
      </c>
      <c r="D39898">
        <f>IF(B39898=C39898, "YES", "WRONG")</f>
        <v/>
      </c>
    </row>
    <row r="39899">
      <c r="A39899" t="n">
        <v>39898</v>
      </c>
      <c r="B39899" t="inlineStr">
        <is>
          <t>x̄x̄x̄Mx̄DCCCXCVIII</t>
        </is>
      </c>
      <c r="C39899">
        <f>ROMAN(39898)</f>
        <v/>
      </c>
      <c r="D39899">
        <f>IF(B39899=C39899, "YES", "WRONG")</f>
        <v/>
      </c>
    </row>
    <row r="39900">
      <c r="A39900" t="n">
        <v>39899</v>
      </c>
      <c r="B39900" t="inlineStr">
        <is>
          <t>x̄x̄x̄Mx̄DCCCXCIX</t>
        </is>
      </c>
      <c r="C39900">
        <f>ROMAN(39899)</f>
        <v/>
      </c>
      <c r="D39900">
        <f>IF(B39900=C39900, "YES", "WRONG")</f>
        <v/>
      </c>
    </row>
    <row r="39901">
      <c r="A39901" t="n">
        <v>39900</v>
      </c>
      <c r="B39901" t="inlineStr">
        <is>
          <t>x̄x̄x̄Mx̄CM</t>
        </is>
      </c>
      <c r="C39901">
        <f>ROMAN(39900)</f>
        <v/>
      </c>
      <c r="D39901">
        <f>IF(B39901=C39901, "YES", "WRONG")</f>
        <v/>
      </c>
    </row>
    <row r="39902">
      <c r="A39902" t="n">
        <v>39901</v>
      </c>
      <c r="B39902" t="inlineStr">
        <is>
          <t>x̄x̄x̄Mx̄CMI</t>
        </is>
      </c>
      <c r="C39902">
        <f>ROMAN(39901)</f>
        <v/>
      </c>
      <c r="D39902">
        <f>IF(B39902=C39902, "YES", "WRONG")</f>
        <v/>
      </c>
    </row>
    <row r="39903">
      <c r="A39903" t="n">
        <v>39902</v>
      </c>
      <c r="B39903" t="inlineStr">
        <is>
          <t>x̄x̄x̄Mx̄CMII</t>
        </is>
      </c>
      <c r="C39903">
        <f>ROMAN(39902)</f>
        <v/>
      </c>
      <c r="D39903">
        <f>IF(B39903=C39903, "YES", "WRONG")</f>
        <v/>
      </c>
    </row>
    <row r="39904">
      <c r="A39904" t="n">
        <v>39903</v>
      </c>
      <c r="B39904" t="inlineStr">
        <is>
          <t>x̄x̄x̄Mx̄CMIII</t>
        </is>
      </c>
      <c r="C39904">
        <f>ROMAN(39903)</f>
        <v/>
      </c>
      <c r="D39904">
        <f>IF(B39904=C39904, "YES", "WRONG")</f>
        <v/>
      </c>
    </row>
    <row r="39905">
      <c r="A39905" t="n">
        <v>39904</v>
      </c>
      <c r="B39905" t="inlineStr">
        <is>
          <t>x̄x̄x̄Mx̄CMIV</t>
        </is>
      </c>
      <c r="C39905">
        <f>ROMAN(39904)</f>
        <v/>
      </c>
      <c r="D39905">
        <f>IF(B39905=C39905, "YES", "WRONG")</f>
        <v/>
      </c>
    </row>
    <row r="39906">
      <c r="A39906" t="n">
        <v>39905</v>
      </c>
      <c r="B39906" t="inlineStr">
        <is>
          <t>x̄x̄x̄Mx̄CMV</t>
        </is>
      </c>
      <c r="C39906">
        <f>ROMAN(39905)</f>
        <v/>
      </c>
      <c r="D39906">
        <f>IF(B39906=C39906, "YES", "WRONG")</f>
        <v/>
      </c>
    </row>
    <row r="39907">
      <c r="A39907" t="n">
        <v>39906</v>
      </c>
      <c r="B39907" t="inlineStr">
        <is>
          <t>x̄x̄x̄Mx̄CMVI</t>
        </is>
      </c>
      <c r="C39907">
        <f>ROMAN(39906)</f>
        <v/>
      </c>
      <c r="D39907">
        <f>IF(B39907=C39907, "YES", "WRONG")</f>
        <v/>
      </c>
    </row>
    <row r="39908">
      <c r="A39908" t="n">
        <v>39907</v>
      </c>
      <c r="B39908" t="inlineStr">
        <is>
          <t>x̄x̄x̄Mx̄CMVII</t>
        </is>
      </c>
      <c r="C39908">
        <f>ROMAN(39907)</f>
        <v/>
      </c>
      <c r="D39908">
        <f>IF(B39908=C39908, "YES", "WRONG")</f>
        <v/>
      </c>
    </row>
    <row r="39909">
      <c r="A39909" t="n">
        <v>39908</v>
      </c>
      <c r="B39909" t="inlineStr">
        <is>
          <t>x̄x̄x̄Mx̄CMVIII</t>
        </is>
      </c>
      <c r="C39909">
        <f>ROMAN(39908)</f>
        <v/>
      </c>
      <c r="D39909">
        <f>IF(B39909=C39909, "YES", "WRONG")</f>
        <v/>
      </c>
    </row>
    <row r="39910">
      <c r="A39910" t="n">
        <v>39909</v>
      </c>
      <c r="B39910" t="inlineStr">
        <is>
          <t>x̄x̄x̄Mx̄CMIX</t>
        </is>
      </c>
      <c r="C39910">
        <f>ROMAN(39909)</f>
        <v/>
      </c>
      <c r="D39910">
        <f>IF(B39910=C39910, "YES", "WRONG")</f>
        <v/>
      </c>
    </row>
    <row r="39911">
      <c r="A39911" t="n">
        <v>39910</v>
      </c>
      <c r="B39911" t="inlineStr">
        <is>
          <t>x̄x̄x̄Mx̄CMX</t>
        </is>
      </c>
      <c r="C39911">
        <f>ROMAN(39910)</f>
        <v/>
      </c>
      <c r="D39911">
        <f>IF(B39911=C39911, "YES", "WRONG")</f>
        <v/>
      </c>
    </row>
    <row r="39912">
      <c r="A39912" t="n">
        <v>39911</v>
      </c>
      <c r="B39912" t="inlineStr">
        <is>
          <t>x̄x̄x̄Mx̄CMXI</t>
        </is>
      </c>
      <c r="C39912">
        <f>ROMAN(39911)</f>
        <v/>
      </c>
      <c r="D39912">
        <f>IF(B39912=C39912, "YES", "WRONG")</f>
        <v/>
      </c>
    </row>
    <row r="39913">
      <c r="A39913" t="n">
        <v>39912</v>
      </c>
      <c r="B39913" t="inlineStr">
        <is>
          <t>x̄x̄x̄Mx̄CMXII</t>
        </is>
      </c>
      <c r="C39913">
        <f>ROMAN(39912)</f>
        <v/>
      </c>
      <c r="D39913">
        <f>IF(B39913=C39913, "YES", "WRONG")</f>
        <v/>
      </c>
    </row>
    <row r="39914">
      <c r="A39914" t="n">
        <v>39913</v>
      </c>
      <c r="B39914" t="inlineStr">
        <is>
          <t>x̄x̄x̄Mx̄CMXIII</t>
        </is>
      </c>
      <c r="C39914">
        <f>ROMAN(39913)</f>
        <v/>
      </c>
      <c r="D39914">
        <f>IF(B39914=C39914, "YES", "WRONG")</f>
        <v/>
      </c>
    </row>
    <row r="39915">
      <c r="A39915" t="n">
        <v>39914</v>
      </c>
      <c r="B39915" t="inlineStr">
        <is>
          <t>x̄x̄x̄Mx̄CMXIV</t>
        </is>
      </c>
      <c r="C39915">
        <f>ROMAN(39914)</f>
        <v/>
      </c>
      <c r="D39915">
        <f>IF(B39915=C39915, "YES", "WRONG")</f>
        <v/>
      </c>
    </row>
    <row r="39916">
      <c r="A39916" t="n">
        <v>39915</v>
      </c>
      <c r="B39916" t="inlineStr">
        <is>
          <t>x̄x̄x̄Mx̄CMXV</t>
        </is>
      </c>
      <c r="C39916">
        <f>ROMAN(39915)</f>
        <v/>
      </c>
      <c r="D39916">
        <f>IF(B39916=C39916, "YES", "WRONG")</f>
        <v/>
      </c>
    </row>
    <row r="39917">
      <c r="A39917" t="n">
        <v>39916</v>
      </c>
      <c r="B39917" t="inlineStr">
        <is>
          <t>x̄x̄x̄Mx̄CMXVI</t>
        </is>
      </c>
      <c r="C39917">
        <f>ROMAN(39916)</f>
        <v/>
      </c>
      <c r="D39917">
        <f>IF(B39917=C39917, "YES", "WRONG")</f>
        <v/>
      </c>
    </row>
    <row r="39918">
      <c r="A39918" t="n">
        <v>39917</v>
      </c>
      <c r="B39918" t="inlineStr">
        <is>
          <t>x̄x̄x̄Mx̄CMXVII</t>
        </is>
      </c>
      <c r="C39918">
        <f>ROMAN(39917)</f>
        <v/>
      </c>
      <c r="D39918">
        <f>IF(B39918=C39918, "YES", "WRONG")</f>
        <v/>
      </c>
    </row>
    <row r="39919">
      <c r="A39919" t="n">
        <v>39918</v>
      </c>
      <c r="B39919" t="inlineStr">
        <is>
          <t>x̄x̄x̄Mx̄CMXVIII</t>
        </is>
      </c>
      <c r="C39919">
        <f>ROMAN(39918)</f>
        <v/>
      </c>
      <c r="D39919">
        <f>IF(B39919=C39919, "YES", "WRONG")</f>
        <v/>
      </c>
    </row>
    <row r="39920">
      <c r="A39920" t="n">
        <v>39919</v>
      </c>
      <c r="B39920" t="inlineStr">
        <is>
          <t>x̄x̄x̄Mx̄CMXIX</t>
        </is>
      </c>
      <c r="C39920">
        <f>ROMAN(39919)</f>
        <v/>
      </c>
      <c r="D39920">
        <f>IF(B39920=C39920, "YES", "WRONG")</f>
        <v/>
      </c>
    </row>
    <row r="39921">
      <c r="A39921" t="n">
        <v>39920</v>
      </c>
      <c r="B39921" t="inlineStr">
        <is>
          <t>x̄x̄x̄Mx̄CMXX</t>
        </is>
      </c>
      <c r="C39921">
        <f>ROMAN(39920)</f>
        <v/>
      </c>
      <c r="D39921">
        <f>IF(B39921=C39921, "YES", "WRONG")</f>
        <v/>
      </c>
    </row>
    <row r="39922">
      <c r="A39922" t="n">
        <v>39921</v>
      </c>
      <c r="B39922" t="inlineStr">
        <is>
          <t>x̄x̄x̄Mx̄CMXXI</t>
        </is>
      </c>
      <c r="C39922">
        <f>ROMAN(39921)</f>
        <v/>
      </c>
      <c r="D39922">
        <f>IF(B39922=C39922, "YES", "WRONG")</f>
        <v/>
      </c>
    </row>
    <row r="39923">
      <c r="A39923" t="n">
        <v>39922</v>
      </c>
      <c r="B39923" t="inlineStr">
        <is>
          <t>x̄x̄x̄Mx̄CMXXII</t>
        </is>
      </c>
      <c r="C39923">
        <f>ROMAN(39922)</f>
        <v/>
      </c>
      <c r="D39923">
        <f>IF(B39923=C39923, "YES", "WRONG")</f>
        <v/>
      </c>
    </row>
    <row r="39924">
      <c r="A39924" t="n">
        <v>39923</v>
      </c>
      <c r="B39924" t="inlineStr">
        <is>
          <t>x̄x̄x̄Mx̄CMXXIII</t>
        </is>
      </c>
      <c r="C39924">
        <f>ROMAN(39923)</f>
        <v/>
      </c>
      <c r="D39924">
        <f>IF(B39924=C39924, "YES", "WRONG")</f>
        <v/>
      </c>
    </row>
    <row r="39925">
      <c r="A39925" t="n">
        <v>39924</v>
      </c>
      <c r="B39925" t="inlineStr">
        <is>
          <t>x̄x̄x̄Mx̄CMXXIV</t>
        </is>
      </c>
      <c r="C39925">
        <f>ROMAN(39924)</f>
        <v/>
      </c>
      <c r="D39925">
        <f>IF(B39925=C39925, "YES", "WRONG")</f>
        <v/>
      </c>
    </row>
    <row r="39926">
      <c r="A39926" t="n">
        <v>39925</v>
      </c>
      <c r="B39926" t="inlineStr">
        <is>
          <t>x̄x̄x̄Mx̄CMXXV</t>
        </is>
      </c>
      <c r="C39926">
        <f>ROMAN(39925)</f>
        <v/>
      </c>
      <c r="D39926">
        <f>IF(B39926=C39926, "YES", "WRONG")</f>
        <v/>
      </c>
    </row>
    <row r="39927">
      <c r="A39927" t="n">
        <v>39926</v>
      </c>
      <c r="B39927" t="inlineStr">
        <is>
          <t>x̄x̄x̄Mx̄CMXXVI</t>
        </is>
      </c>
      <c r="C39927">
        <f>ROMAN(39926)</f>
        <v/>
      </c>
      <c r="D39927">
        <f>IF(B39927=C39927, "YES", "WRONG")</f>
        <v/>
      </c>
    </row>
    <row r="39928">
      <c r="A39928" t="n">
        <v>39927</v>
      </c>
      <c r="B39928" t="inlineStr">
        <is>
          <t>x̄x̄x̄Mx̄CMXXVII</t>
        </is>
      </c>
      <c r="C39928">
        <f>ROMAN(39927)</f>
        <v/>
      </c>
      <c r="D39928">
        <f>IF(B39928=C39928, "YES", "WRONG")</f>
        <v/>
      </c>
    </row>
    <row r="39929">
      <c r="A39929" t="n">
        <v>39928</v>
      </c>
      <c r="B39929" t="inlineStr">
        <is>
          <t>x̄x̄x̄Mx̄CMXXVIII</t>
        </is>
      </c>
      <c r="C39929">
        <f>ROMAN(39928)</f>
        <v/>
      </c>
      <c r="D39929">
        <f>IF(B39929=C39929, "YES", "WRONG")</f>
        <v/>
      </c>
    </row>
    <row r="39930">
      <c r="A39930" t="n">
        <v>39929</v>
      </c>
      <c r="B39930" t="inlineStr">
        <is>
          <t>x̄x̄x̄Mx̄CMXXIX</t>
        </is>
      </c>
      <c r="C39930">
        <f>ROMAN(39929)</f>
        <v/>
      </c>
      <c r="D39930">
        <f>IF(B39930=C39930, "YES", "WRONG")</f>
        <v/>
      </c>
    </row>
    <row r="39931">
      <c r="A39931" t="n">
        <v>39930</v>
      </c>
      <c r="B39931" t="inlineStr">
        <is>
          <t>x̄x̄x̄Mx̄CMXXX</t>
        </is>
      </c>
      <c r="C39931">
        <f>ROMAN(39930)</f>
        <v/>
      </c>
      <c r="D39931">
        <f>IF(B39931=C39931, "YES", "WRONG")</f>
        <v/>
      </c>
    </row>
    <row r="39932">
      <c r="A39932" t="n">
        <v>39931</v>
      </c>
      <c r="B39932" t="inlineStr">
        <is>
          <t>x̄x̄x̄Mx̄CMXXXI</t>
        </is>
      </c>
      <c r="C39932">
        <f>ROMAN(39931)</f>
        <v/>
      </c>
      <c r="D39932">
        <f>IF(B39932=C39932, "YES", "WRONG")</f>
        <v/>
      </c>
    </row>
    <row r="39933">
      <c r="A39933" t="n">
        <v>39932</v>
      </c>
      <c r="B39933" t="inlineStr">
        <is>
          <t>x̄x̄x̄Mx̄CMXXXII</t>
        </is>
      </c>
      <c r="C39933">
        <f>ROMAN(39932)</f>
        <v/>
      </c>
      <c r="D39933">
        <f>IF(B39933=C39933, "YES", "WRONG")</f>
        <v/>
      </c>
    </row>
    <row r="39934">
      <c r="A39934" t="n">
        <v>39933</v>
      </c>
      <c r="B39934" t="inlineStr">
        <is>
          <t>x̄x̄x̄Mx̄CMXXXIII</t>
        </is>
      </c>
      <c r="C39934">
        <f>ROMAN(39933)</f>
        <v/>
      </c>
      <c r="D39934">
        <f>IF(B39934=C39934, "YES", "WRONG")</f>
        <v/>
      </c>
    </row>
    <row r="39935">
      <c r="A39935" t="n">
        <v>39934</v>
      </c>
      <c r="B39935" t="inlineStr">
        <is>
          <t>x̄x̄x̄Mx̄CMXXXIV</t>
        </is>
      </c>
      <c r="C39935">
        <f>ROMAN(39934)</f>
        <v/>
      </c>
      <c r="D39935">
        <f>IF(B39935=C39935, "YES", "WRONG")</f>
        <v/>
      </c>
    </row>
    <row r="39936">
      <c r="A39936" t="n">
        <v>39935</v>
      </c>
      <c r="B39936" t="inlineStr">
        <is>
          <t>x̄x̄x̄Mx̄CMXXXV</t>
        </is>
      </c>
      <c r="C39936">
        <f>ROMAN(39935)</f>
        <v/>
      </c>
      <c r="D39936">
        <f>IF(B39936=C39936, "YES", "WRONG")</f>
        <v/>
      </c>
    </row>
    <row r="39937">
      <c r="A39937" t="n">
        <v>39936</v>
      </c>
      <c r="B39937" t="inlineStr">
        <is>
          <t>x̄x̄x̄Mx̄CMXXXVI</t>
        </is>
      </c>
      <c r="C39937">
        <f>ROMAN(39936)</f>
        <v/>
      </c>
      <c r="D39937">
        <f>IF(B39937=C39937, "YES", "WRONG")</f>
        <v/>
      </c>
    </row>
    <row r="39938">
      <c r="A39938" t="n">
        <v>39937</v>
      </c>
      <c r="B39938" t="inlineStr">
        <is>
          <t>x̄x̄x̄Mx̄CMXXXVII</t>
        </is>
      </c>
      <c r="C39938">
        <f>ROMAN(39937)</f>
        <v/>
      </c>
      <c r="D39938">
        <f>IF(B39938=C39938, "YES", "WRONG")</f>
        <v/>
      </c>
    </row>
    <row r="39939">
      <c r="A39939" t="n">
        <v>39938</v>
      </c>
      <c r="B39939" t="inlineStr">
        <is>
          <t>x̄x̄x̄Mx̄CMXXXVIII</t>
        </is>
      </c>
      <c r="C39939">
        <f>ROMAN(39938)</f>
        <v/>
      </c>
      <c r="D39939">
        <f>IF(B39939=C39939, "YES", "WRONG")</f>
        <v/>
      </c>
    </row>
    <row r="39940">
      <c r="A39940" t="n">
        <v>39939</v>
      </c>
      <c r="B39940" t="inlineStr">
        <is>
          <t>x̄x̄x̄Mx̄CMXXXIX</t>
        </is>
      </c>
      <c r="C39940">
        <f>ROMAN(39939)</f>
        <v/>
      </c>
      <c r="D39940">
        <f>IF(B39940=C39940, "YES", "WRONG")</f>
        <v/>
      </c>
    </row>
    <row r="39941">
      <c r="A39941" t="n">
        <v>39940</v>
      </c>
      <c r="B39941" t="inlineStr">
        <is>
          <t>x̄x̄x̄Mx̄CMXL</t>
        </is>
      </c>
      <c r="C39941">
        <f>ROMAN(39940)</f>
        <v/>
      </c>
      <c r="D39941">
        <f>IF(B39941=C39941, "YES", "WRONG")</f>
        <v/>
      </c>
    </row>
    <row r="39942">
      <c r="A39942" t="n">
        <v>39941</v>
      </c>
      <c r="B39942" t="inlineStr">
        <is>
          <t>x̄x̄x̄Mx̄CMXLI</t>
        </is>
      </c>
      <c r="C39942">
        <f>ROMAN(39941)</f>
        <v/>
      </c>
      <c r="D39942">
        <f>IF(B39942=C39942, "YES", "WRONG")</f>
        <v/>
      </c>
    </row>
    <row r="39943">
      <c r="A39943" t="n">
        <v>39942</v>
      </c>
      <c r="B39943" t="inlineStr">
        <is>
          <t>x̄x̄x̄Mx̄CMXLII</t>
        </is>
      </c>
      <c r="C39943">
        <f>ROMAN(39942)</f>
        <v/>
      </c>
      <c r="D39943">
        <f>IF(B39943=C39943, "YES", "WRONG")</f>
        <v/>
      </c>
    </row>
    <row r="39944">
      <c r="A39944" t="n">
        <v>39943</v>
      </c>
      <c r="B39944" t="inlineStr">
        <is>
          <t>x̄x̄x̄Mx̄CMXLIII</t>
        </is>
      </c>
      <c r="C39944">
        <f>ROMAN(39943)</f>
        <v/>
      </c>
      <c r="D39944">
        <f>IF(B39944=C39944, "YES", "WRONG")</f>
        <v/>
      </c>
    </row>
    <row r="39945">
      <c r="A39945" t="n">
        <v>39944</v>
      </c>
      <c r="B39945" t="inlineStr">
        <is>
          <t>x̄x̄x̄Mx̄CMXLIV</t>
        </is>
      </c>
      <c r="C39945">
        <f>ROMAN(39944)</f>
        <v/>
      </c>
      <c r="D39945">
        <f>IF(B39945=C39945, "YES", "WRONG")</f>
        <v/>
      </c>
    </row>
    <row r="39946">
      <c r="A39946" t="n">
        <v>39945</v>
      </c>
      <c r="B39946" t="inlineStr">
        <is>
          <t>x̄x̄x̄Mx̄CMXLV</t>
        </is>
      </c>
      <c r="C39946">
        <f>ROMAN(39945)</f>
        <v/>
      </c>
      <c r="D39946">
        <f>IF(B39946=C39946, "YES", "WRONG")</f>
        <v/>
      </c>
    </row>
    <row r="39947">
      <c r="A39947" t="n">
        <v>39946</v>
      </c>
      <c r="B39947" t="inlineStr">
        <is>
          <t>x̄x̄x̄Mx̄CMXLVI</t>
        </is>
      </c>
      <c r="C39947">
        <f>ROMAN(39946)</f>
        <v/>
      </c>
      <c r="D39947">
        <f>IF(B39947=C39947, "YES", "WRONG")</f>
        <v/>
      </c>
    </row>
    <row r="39948">
      <c r="A39948" t="n">
        <v>39947</v>
      </c>
      <c r="B39948" t="inlineStr">
        <is>
          <t>x̄x̄x̄Mx̄CMXLVII</t>
        </is>
      </c>
      <c r="C39948">
        <f>ROMAN(39947)</f>
        <v/>
      </c>
      <c r="D39948">
        <f>IF(B39948=C39948, "YES", "WRONG")</f>
        <v/>
      </c>
    </row>
    <row r="39949">
      <c r="A39949" t="n">
        <v>39948</v>
      </c>
      <c r="B39949" t="inlineStr">
        <is>
          <t>x̄x̄x̄Mx̄CMXLVIII</t>
        </is>
      </c>
      <c r="C39949">
        <f>ROMAN(39948)</f>
        <v/>
      </c>
      <c r="D39949">
        <f>IF(B39949=C39949, "YES", "WRONG")</f>
        <v/>
      </c>
    </row>
    <row r="39950">
      <c r="A39950" t="n">
        <v>39949</v>
      </c>
      <c r="B39950" t="inlineStr">
        <is>
          <t>x̄x̄x̄Mx̄CMXLIX</t>
        </is>
      </c>
      <c r="C39950">
        <f>ROMAN(39949)</f>
        <v/>
      </c>
      <c r="D39950">
        <f>IF(B39950=C39950, "YES", "WRONG")</f>
        <v/>
      </c>
    </row>
    <row r="39951">
      <c r="A39951" t="n">
        <v>39950</v>
      </c>
      <c r="B39951" t="inlineStr">
        <is>
          <t>x̄x̄x̄Mx̄CML</t>
        </is>
      </c>
      <c r="C39951">
        <f>ROMAN(39950)</f>
        <v/>
      </c>
      <c r="D39951">
        <f>IF(B39951=C39951, "YES", "WRONG")</f>
        <v/>
      </c>
    </row>
    <row r="39952">
      <c r="A39952" t="n">
        <v>39951</v>
      </c>
      <c r="B39952" t="inlineStr">
        <is>
          <t>x̄x̄x̄Mx̄CMLI</t>
        </is>
      </c>
      <c r="C39952">
        <f>ROMAN(39951)</f>
        <v/>
      </c>
      <c r="D39952">
        <f>IF(B39952=C39952, "YES", "WRONG")</f>
        <v/>
      </c>
    </row>
    <row r="39953">
      <c r="A39953" t="n">
        <v>39952</v>
      </c>
      <c r="B39953" t="inlineStr">
        <is>
          <t>x̄x̄x̄Mx̄CMLII</t>
        </is>
      </c>
      <c r="C39953">
        <f>ROMAN(39952)</f>
        <v/>
      </c>
      <c r="D39953">
        <f>IF(B39953=C39953, "YES", "WRONG")</f>
        <v/>
      </c>
    </row>
    <row r="39954">
      <c r="A39954" t="n">
        <v>39953</v>
      </c>
      <c r="B39954" t="inlineStr">
        <is>
          <t>x̄x̄x̄Mx̄CMLIII</t>
        </is>
      </c>
      <c r="C39954">
        <f>ROMAN(39953)</f>
        <v/>
      </c>
      <c r="D39954">
        <f>IF(B39954=C39954, "YES", "WRONG")</f>
        <v/>
      </c>
    </row>
    <row r="39955">
      <c r="A39955" t="n">
        <v>39954</v>
      </c>
      <c r="B39955" t="inlineStr">
        <is>
          <t>x̄x̄x̄Mx̄CMLIV</t>
        </is>
      </c>
      <c r="C39955">
        <f>ROMAN(39954)</f>
        <v/>
      </c>
      <c r="D39955">
        <f>IF(B39955=C39955, "YES", "WRONG")</f>
        <v/>
      </c>
    </row>
    <row r="39956">
      <c r="A39956" t="n">
        <v>39955</v>
      </c>
      <c r="B39956" t="inlineStr">
        <is>
          <t>x̄x̄x̄Mx̄CMLV</t>
        </is>
      </c>
      <c r="C39956">
        <f>ROMAN(39955)</f>
        <v/>
      </c>
      <c r="D39956">
        <f>IF(B39956=C39956, "YES", "WRONG")</f>
        <v/>
      </c>
    </row>
    <row r="39957">
      <c r="A39957" t="n">
        <v>39956</v>
      </c>
      <c r="B39957" t="inlineStr">
        <is>
          <t>x̄x̄x̄Mx̄CMLVI</t>
        </is>
      </c>
      <c r="C39957">
        <f>ROMAN(39956)</f>
        <v/>
      </c>
      <c r="D39957">
        <f>IF(B39957=C39957, "YES", "WRONG")</f>
        <v/>
      </c>
    </row>
    <row r="39958">
      <c r="A39958" t="n">
        <v>39957</v>
      </c>
      <c r="B39958" t="inlineStr">
        <is>
          <t>x̄x̄x̄Mx̄CMLVII</t>
        </is>
      </c>
      <c r="C39958">
        <f>ROMAN(39957)</f>
        <v/>
      </c>
      <c r="D39958">
        <f>IF(B39958=C39958, "YES", "WRONG")</f>
        <v/>
      </c>
    </row>
    <row r="39959">
      <c r="A39959" t="n">
        <v>39958</v>
      </c>
      <c r="B39959" t="inlineStr">
        <is>
          <t>x̄x̄x̄Mx̄CMLVIII</t>
        </is>
      </c>
      <c r="C39959">
        <f>ROMAN(39958)</f>
        <v/>
      </c>
      <c r="D39959">
        <f>IF(B39959=C39959, "YES", "WRONG")</f>
        <v/>
      </c>
    </row>
    <row r="39960">
      <c r="A39960" t="n">
        <v>39959</v>
      </c>
      <c r="B39960" t="inlineStr">
        <is>
          <t>x̄x̄x̄Mx̄CMLIX</t>
        </is>
      </c>
      <c r="C39960">
        <f>ROMAN(39959)</f>
        <v/>
      </c>
      <c r="D39960">
        <f>IF(B39960=C39960, "YES", "WRONG")</f>
        <v/>
      </c>
    </row>
    <row r="39961">
      <c r="A39961" t="n">
        <v>39960</v>
      </c>
      <c r="B39961" t="inlineStr">
        <is>
          <t>x̄x̄x̄Mx̄CMLX</t>
        </is>
      </c>
      <c r="C39961">
        <f>ROMAN(39960)</f>
        <v/>
      </c>
      <c r="D39961">
        <f>IF(B39961=C39961, "YES", "WRONG")</f>
        <v/>
      </c>
    </row>
    <row r="39962">
      <c r="A39962" t="n">
        <v>39961</v>
      </c>
      <c r="B39962" t="inlineStr">
        <is>
          <t>x̄x̄x̄Mx̄CMLXI</t>
        </is>
      </c>
      <c r="C39962">
        <f>ROMAN(39961)</f>
        <v/>
      </c>
      <c r="D39962">
        <f>IF(B39962=C39962, "YES", "WRONG")</f>
        <v/>
      </c>
    </row>
    <row r="39963">
      <c r="A39963" t="n">
        <v>39962</v>
      </c>
      <c r="B39963" t="inlineStr">
        <is>
          <t>x̄x̄x̄Mx̄CMLXII</t>
        </is>
      </c>
      <c r="C39963">
        <f>ROMAN(39962)</f>
        <v/>
      </c>
      <c r="D39963">
        <f>IF(B39963=C39963, "YES", "WRONG")</f>
        <v/>
      </c>
    </row>
    <row r="39964">
      <c r="A39964" t="n">
        <v>39963</v>
      </c>
      <c r="B39964" t="inlineStr">
        <is>
          <t>x̄x̄x̄Mx̄CMLXIII</t>
        </is>
      </c>
      <c r="C39964">
        <f>ROMAN(39963)</f>
        <v/>
      </c>
      <c r="D39964">
        <f>IF(B39964=C39964, "YES", "WRONG")</f>
        <v/>
      </c>
    </row>
    <row r="39965">
      <c r="A39965" t="n">
        <v>39964</v>
      </c>
      <c r="B39965" t="inlineStr">
        <is>
          <t>x̄x̄x̄Mx̄CMLXIV</t>
        </is>
      </c>
      <c r="C39965">
        <f>ROMAN(39964)</f>
        <v/>
      </c>
      <c r="D39965">
        <f>IF(B39965=C39965, "YES", "WRONG")</f>
        <v/>
      </c>
    </row>
    <row r="39966">
      <c r="A39966" t="n">
        <v>39965</v>
      </c>
      <c r="B39966" t="inlineStr">
        <is>
          <t>x̄x̄x̄Mx̄CMLXV</t>
        </is>
      </c>
      <c r="C39966">
        <f>ROMAN(39965)</f>
        <v/>
      </c>
      <c r="D39966">
        <f>IF(B39966=C39966, "YES", "WRONG")</f>
        <v/>
      </c>
    </row>
    <row r="39967">
      <c r="A39967" t="n">
        <v>39966</v>
      </c>
      <c r="B39967" t="inlineStr">
        <is>
          <t>x̄x̄x̄Mx̄CMLXVI</t>
        </is>
      </c>
      <c r="C39967">
        <f>ROMAN(39966)</f>
        <v/>
      </c>
      <c r="D39967">
        <f>IF(B39967=C39967, "YES", "WRONG")</f>
        <v/>
      </c>
    </row>
    <row r="39968">
      <c r="A39968" t="n">
        <v>39967</v>
      </c>
      <c r="B39968" t="inlineStr">
        <is>
          <t>x̄x̄x̄Mx̄CMLXVII</t>
        </is>
      </c>
      <c r="C39968">
        <f>ROMAN(39967)</f>
        <v/>
      </c>
      <c r="D39968">
        <f>IF(B39968=C39968, "YES", "WRONG")</f>
        <v/>
      </c>
    </row>
    <row r="39969">
      <c r="A39969" t="n">
        <v>39968</v>
      </c>
      <c r="B39969" t="inlineStr">
        <is>
          <t>x̄x̄x̄Mx̄CMLXVIII</t>
        </is>
      </c>
      <c r="C39969">
        <f>ROMAN(39968)</f>
        <v/>
      </c>
      <c r="D39969">
        <f>IF(B39969=C39969, "YES", "WRONG")</f>
        <v/>
      </c>
    </row>
    <row r="39970">
      <c r="A39970" t="n">
        <v>39969</v>
      </c>
      <c r="B39970" t="inlineStr">
        <is>
          <t>x̄x̄x̄Mx̄CMLXIX</t>
        </is>
      </c>
      <c r="C39970">
        <f>ROMAN(39969)</f>
        <v/>
      </c>
      <c r="D39970">
        <f>IF(B39970=C39970, "YES", "WRONG")</f>
        <v/>
      </c>
    </row>
    <row r="39971">
      <c r="A39971" t="n">
        <v>39970</v>
      </c>
      <c r="B39971" t="inlineStr">
        <is>
          <t>x̄x̄x̄Mx̄CMLXX</t>
        </is>
      </c>
      <c r="C39971">
        <f>ROMAN(39970)</f>
        <v/>
      </c>
      <c r="D39971">
        <f>IF(B39971=C39971, "YES", "WRONG")</f>
        <v/>
      </c>
    </row>
    <row r="39972">
      <c r="A39972" t="n">
        <v>39971</v>
      </c>
      <c r="B39972" t="inlineStr">
        <is>
          <t>x̄x̄x̄Mx̄CMLXXI</t>
        </is>
      </c>
      <c r="C39972">
        <f>ROMAN(39971)</f>
        <v/>
      </c>
      <c r="D39972">
        <f>IF(B39972=C39972, "YES", "WRONG")</f>
        <v/>
      </c>
    </row>
    <row r="39973">
      <c r="A39973" t="n">
        <v>39972</v>
      </c>
      <c r="B39973" t="inlineStr">
        <is>
          <t>x̄x̄x̄Mx̄CMLXXII</t>
        </is>
      </c>
      <c r="C39973">
        <f>ROMAN(39972)</f>
        <v/>
      </c>
      <c r="D39973">
        <f>IF(B39973=C39973, "YES", "WRONG")</f>
        <v/>
      </c>
    </row>
    <row r="39974">
      <c r="A39974" t="n">
        <v>39973</v>
      </c>
      <c r="B39974" t="inlineStr">
        <is>
          <t>x̄x̄x̄Mx̄CMLXXIII</t>
        </is>
      </c>
      <c r="C39974">
        <f>ROMAN(39973)</f>
        <v/>
      </c>
      <c r="D39974">
        <f>IF(B39974=C39974, "YES", "WRONG")</f>
        <v/>
      </c>
    </row>
    <row r="39975">
      <c r="A39975" t="n">
        <v>39974</v>
      </c>
      <c r="B39975" t="inlineStr">
        <is>
          <t>x̄x̄x̄Mx̄CMLXXIV</t>
        </is>
      </c>
      <c r="C39975">
        <f>ROMAN(39974)</f>
        <v/>
      </c>
      <c r="D39975">
        <f>IF(B39975=C39975, "YES", "WRONG")</f>
        <v/>
      </c>
    </row>
    <row r="39976">
      <c r="A39976" t="n">
        <v>39975</v>
      </c>
      <c r="B39976" t="inlineStr">
        <is>
          <t>x̄x̄x̄Mx̄CMLXXV</t>
        </is>
      </c>
      <c r="C39976">
        <f>ROMAN(39975)</f>
        <v/>
      </c>
      <c r="D39976">
        <f>IF(B39976=C39976, "YES", "WRONG")</f>
        <v/>
      </c>
    </row>
    <row r="39977">
      <c r="A39977" t="n">
        <v>39976</v>
      </c>
      <c r="B39977" t="inlineStr">
        <is>
          <t>x̄x̄x̄Mx̄CMLXXVI</t>
        </is>
      </c>
      <c r="C39977">
        <f>ROMAN(39976)</f>
        <v/>
      </c>
      <c r="D39977">
        <f>IF(B39977=C39977, "YES", "WRONG")</f>
        <v/>
      </c>
    </row>
    <row r="39978">
      <c r="A39978" t="n">
        <v>39977</v>
      </c>
      <c r="B39978" t="inlineStr">
        <is>
          <t>x̄x̄x̄Mx̄CMLXXVII</t>
        </is>
      </c>
      <c r="C39978">
        <f>ROMAN(39977)</f>
        <v/>
      </c>
      <c r="D39978">
        <f>IF(B39978=C39978, "YES", "WRONG")</f>
        <v/>
      </c>
    </row>
    <row r="39979">
      <c r="A39979" t="n">
        <v>39978</v>
      </c>
      <c r="B39979" t="inlineStr">
        <is>
          <t>x̄x̄x̄Mx̄CMLXXVIII</t>
        </is>
      </c>
      <c r="C39979">
        <f>ROMAN(39978)</f>
        <v/>
      </c>
      <c r="D39979">
        <f>IF(B39979=C39979, "YES", "WRONG")</f>
        <v/>
      </c>
    </row>
    <row r="39980">
      <c r="A39980" t="n">
        <v>39979</v>
      </c>
      <c r="B39980" t="inlineStr">
        <is>
          <t>x̄x̄x̄Mx̄CMLXXIX</t>
        </is>
      </c>
      <c r="C39980">
        <f>ROMAN(39979)</f>
        <v/>
      </c>
      <c r="D39980">
        <f>IF(B39980=C39980, "YES", "WRONG")</f>
        <v/>
      </c>
    </row>
    <row r="39981">
      <c r="A39981" t="n">
        <v>39980</v>
      </c>
      <c r="B39981" t="inlineStr">
        <is>
          <t>x̄x̄x̄Mx̄CMLXXX</t>
        </is>
      </c>
      <c r="C39981">
        <f>ROMAN(39980)</f>
        <v/>
      </c>
      <c r="D39981">
        <f>IF(B39981=C39981, "YES", "WRONG")</f>
        <v/>
      </c>
    </row>
    <row r="39982">
      <c r="A39982" t="n">
        <v>39981</v>
      </c>
      <c r="B39982" t="inlineStr">
        <is>
          <t>x̄x̄x̄Mx̄CMLXXXI</t>
        </is>
      </c>
      <c r="C39982">
        <f>ROMAN(39981)</f>
        <v/>
      </c>
      <c r="D39982">
        <f>IF(B39982=C39982, "YES", "WRONG")</f>
        <v/>
      </c>
    </row>
    <row r="39983">
      <c r="A39983" t="n">
        <v>39982</v>
      </c>
      <c r="B39983" t="inlineStr">
        <is>
          <t>x̄x̄x̄Mx̄CMLXXXII</t>
        </is>
      </c>
      <c r="C39983">
        <f>ROMAN(39982)</f>
        <v/>
      </c>
      <c r="D39983">
        <f>IF(B39983=C39983, "YES", "WRONG")</f>
        <v/>
      </c>
    </row>
    <row r="39984">
      <c r="A39984" t="n">
        <v>39983</v>
      </c>
      <c r="B39984" t="inlineStr">
        <is>
          <t>x̄x̄x̄Mx̄CMLXXXIII</t>
        </is>
      </c>
      <c r="C39984">
        <f>ROMAN(39983)</f>
        <v/>
      </c>
      <c r="D39984">
        <f>IF(B39984=C39984, "YES", "WRONG")</f>
        <v/>
      </c>
    </row>
    <row r="39985">
      <c r="A39985" t="n">
        <v>39984</v>
      </c>
      <c r="B39985" t="inlineStr">
        <is>
          <t>x̄x̄x̄Mx̄CMLXXXIV</t>
        </is>
      </c>
      <c r="C39985">
        <f>ROMAN(39984)</f>
        <v/>
      </c>
      <c r="D39985">
        <f>IF(B39985=C39985, "YES", "WRONG")</f>
        <v/>
      </c>
    </row>
    <row r="39986">
      <c r="A39986" t="n">
        <v>39985</v>
      </c>
      <c r="B39986" t="inlineStr">
        <is>
          <t>x̄x̄x̄Mx̄CMLXXXV</t>
        </is>
      </c>
      <c r="C39986">
        <f>ROMAN(39985)</f>
        <v/>
      </c>
      <c r="D39986">
        <f>IF(B39986=C39986, "YES", "WRONG")</f>
        <v/>
      </c>
    </row>
    <row r="39987">
      <c r="A39987" t="n">
        <v>39986</v>
      </c>
      <c r="B39987" t="inlineStr">
        <is>
          <t>x̄x̄x̄Mx̄CMLXXXVI</t>
        </is>
      </c>
      <c r="C39987">
        <f>ROMAN(39986)</f>
        <v/>
      </c>
      <c r="D39987">
        <f>IF(B39987=C39987, "YES", "WRONG")</f>
        <v/>
      </c>
    </row>
    <row r="39988">
      <c r="A39988" t="n">
        <v>39987</v>
      </c>
      <c r="B39988" t="inlineStr">
        <is>
          <t>x̄x̄x̄Mx̄CMLXXXVII</t>
        </is>
      </c>
      <c r="C39988">
        <f>ROMAN(39987)</f>
        <v/>
      </c>
      <c r="D39988">
        <f>IF(B39988=C39988, "YES", "WRONG")</f>
        <v/>
      </c>
    </row>
    <row r="39989">
      <c r="A39989" t="n">
        <v>39988</v>
      </c>
      <c r="B39989" t="inlineStr">
        <is>
          <t>x̄x̄x̄Mx̄CMLXXXVIII</t>
        </is>
      </c>
      <c r="C39989">
        <f>ROMAN(39988)</f>
        <v/>
      </c>
      <c r="D39989">
        <f>IF(B39989=C39989, "YES", "WRONG")</f>
        <v/>
      </c>
    </row>
    <row r="39990">
      <c r="A39990" t="n">
        <v>39989</v>
      </c>
      <c r="B39990" t="inlineStr">
        <is>
          <t>x̄x̄x̄Mx̄CMLXXXIX</t>
        </is>
      </c>
      <c r="C39990">
        <f>ROMAN(39989)</f>
        <v/>
      </c>
      <c r="D39990">
        <f>IF(B39990=C39990, "YES", "WRONG")</f>
        <v/>
      </c>
    </row>
    <row r="39991">
      <c r="A39991" t="n">
        <v>39990</v>
      </c>
      <c r="B39991" t="inlineStr">
        <is>
          <t>x̄x̄x̄Mx̄CMXC</t>
        </is>
      </c>
      <c r="C39991">
        <f>ROMAN(39990)</f>
        <v/>
      </c>
      <c r="D39991">
        <f>IF(B39991=C39991, "YES", "WRONG")</f>
        <v/>
      </c>
    </row>
    <row r="39992">
      <c r="A39992" t="n">
        <v>39991</v>
      </c>
      <c r="B39992" t="inlineStr">
        <is>
          <t>x̄x̄x̄Mx̄CMXCI</t>
        </is>
      </c>
      <c r="C39992">
        <f>ROMAN(39991)</f>
        <v/>
      </c>
      <c r="D39992">
        <f>IF(B39992=C39992, "YES", "WRONG")</f>
        <v/>
      </c>
    </row>
    <row r="39993">
      <c r="A39993" t="n">
        <v>39992</v>
      </c>
      <c r="B39993" t="inlineStr">
        <is>
          <t>x̄x̄x̄Mx̄CMXCII</t>
        </is>
      </c>
      <c r="C39993">
        <f>ROMAN(39992)</f>
        <v/>
      </c>
      <c r="D39993">
        <f>IF(B39993=C39993, "YES", "WRONG")</f>
        <v/>
      </c>
    </row>
    <row r="39994">
      <c r="A39994" t="n">
        <v>39993</v>
      </c>
      <c r="B39994" t="inlineStr">
        <is>
          <t>x̄x̄x̄Mx̄CMXCIII</t>
        </is>
      </c>
      <c r="C39994">
        <f>ROMAN(39993)</f>
        <v/>
      </c>
      <c r="D39994">
        <f>IF(B39994=C39994, "YES", "WRONG")</f>
        <v/>
      </c>
    </row>
    <row r="39995">
      <c r="A39995" t="n">
        <v>39994</v>
      </c>
      <c r="B39995" t="inlineStr">
        <is>
          <t>x̄x̄x̄Mx̄CMXCIV</t>
        </is>
      </c>
      <c r="C39995">
        <f>ROMAN(39994)</f>
        <v/>
      </c>
      <c r="D39995">
        <f>IF(B39995=C39995, "YES", "WRONG")</f>
        <v/>
      </c>
    </row>
    <row r="39996">
      <c r="A39996" t="n">
        <v>39995</v>
      </c>
      <c r="B39996" t="inlineStr">
        <is>
          <t>x̄x̄x̄Mx̄CMXCV</t>
        </is>
      </c>
      <c r="C39996">
        <f>ROMAN(39995)</f>
        <v/>
      </c>
      <c r="D39996">
        <f>IF(B39996=C39996, "YES", "WRONG")</f>
        <v/>
      </c>
    </row>
    <row r="39997">
      <c r="A39997" t="n">
        <v>39996</v>
      </c>
      <c r="B39997" t="inlineStr">
        <is>
          <t>x̄x̄x̄Mx̄CMXCVI</t>
        </is>
      </c>
      <c r="C39997">
        <f>ROMAN(39996)</f>
        <v/>
      </c>
      <c r="D39997">
        <f>IF(B39997=C39997, "YES", "WRONG")</f>
        <v/>
      </c>
    </row>
    <row r="39998">
      <c r="A39998" t="n">
        <v>39997</v>
      </c>
      <c r="B39998" t="inlineStr">
        <is>
          <t>x̄x̄x̄Mx̄CMXCVII</t>
        </is>
      </c>
      <c r="C39998">
        <f>ROMAN(39997)</f>
        <v/>
      </c>
      <c r="D39998">
        <f>IF(B39998=C39998, "YES", "WRONG")</f>
        <v/>
      </c>
    </row>
    <row r="39999">
      <c r="A39999" t="n">
        <v>39998</v>
      </c>
      <c r="B39999" t="inlineStr">
        <is>
          <t>x̄x̄x̄Mx̄CMXCVIII</t>
        </is>
      </c>
      <c r="C39999">
        <f>ROMAN(39998)</f>
        <v/>
      </c>
      <c r="D39999">
        <f>IF(B39999=C39999, "YES", "WRONG")</f>
        <v/>
      </c>
    </row>
    <row r="40000">
      <c r="A40000" t="n">
        <v>39999</v>
      </c>
      <c r="B40000" t="inlineStr">
        <is>
          <t>x̄x̄x̄Mx̄CMXCIX</t>
        </is>
      </c>
      <c r="C40000">
        <f>ROMAN(39999)</f>
        <v/>
      </c>
      <c r="D40000">
        <f>IF(B40000=C40000, "YES", "WRONG")</f>
        <v/>
      </c>
    </row>
    <row r="40001">
      <c r="A40001" t="n">
        <v>40000</v>
      </c>
      <c r="B40001" t="inlineStr">
        <is>
          <t>x̄x̄x̄x̄</t>
        </is>
      </c>
      <c r="C40001">
        <f>ROMAN(40000)</f>
        <v/>
      </c>
      <c r="D40001">
        <f>IF(B40001=C40001, "YES", "WRONG")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2023-02-06T15:32:58Z</dcterms:created>
  <dcterms:modified xmlns:dcterms="http://purl.org/dc/terms/" xmlns:xsi="http://www.w3.org/2001/XMLSchema-instance" xsi:type="dcterms:W3CDTF">2023-02-06T15:32:58Z</dcterms:modified>
</cp:coreProperties>
</file>